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npconsulting-my.sharepoint.com/personal/hermann_kakpeu_tnpconsultants_com/Documents/Documents/GitHub/Moulinette_TNP/datas/data_ecritures/"/>
    </mc:Choice>
  </mc:AlternateContent>
  <xr:revisionPtr revIDLastSave="28" documentId="13_ncr:1_{B2957B2D-48A9-41DB-B4FF-F0CEC22699D5}" xr6:coauthVersionLast="47" xr6:coauthVersionMax="47" xr10:uidLastSave="{73C206EC-7324-4D45-B001-9DC8542AA27B}"/>
  <bookViews>
    <workbookView xWindow="-110" yWindow="-110" windowWidth="19420" windowHeight="10300" xr2:uid="{C9D70348-A016-4A30-B73B-30F44230061B}"/>
  </bookViews>
  <sheets>
    <sheet name="LCR" sheetId="1" r:id="rId1"/>
    <sheet name="LCR Ana" sheetId="2" state="hidden" r:id="rId2"/>
    <sheet name="MIN" sheetId="3" r:id="rId3"/>
    <sheet name="MIN Ana" sheetId="4" state="hidden" r:id="rId4"/>
    <sheet name="LOG" sheetId="5" r:id="rId5"/>
    <sheet name="LOG Ana" sheetId="6" state="hidden" r:id="rId6"/>
    <sheet name="SCI" sheetId="7" r:id="rId7"/>
    <sheet name="SCI Ana" sheetId="8" state="hidden" r:id="rId8"/>
    <sheet name="GC" sheetId="9" r:id="rId9"/>
    <sheet name="GC Ana" sheetId="10" state="hidden" r:id="rId10"/>
    <sheet name="LCR verif" sheetId="11" r:id="rId11"/>
    <sheet name="MIN verif" sheetId="12" r:id="rId12"/>
    <sheet name="LOG verif" sheetId="13" r:id="rId13"/>
    <sheet name="SCI verif" sheetId="14" r:id="rId14"/>
    <sheet name="GC verif" sheetId="15" r:id="rId15"/>
  </sheets>
  <definedNames>
    <definedName name="_xlnm._FilterDatabase" localSheetId="8" hidden="1">GC!$A$1:$L$164</definedName>
    <definedName name="_xlnm._FilterDatabase" localSheetId="0" hidden="1">LCR!$A$1:$L$7905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1" i="10" l="1"/>
  <c r="A65" i="10"/>
  <c r="A2" i="10"/>
  <c r="D2" i="10"/>
  <c r="E2" i="10"/>
  <c r="D3" i="10"/>
  <c r="A3" i="10" s="1"/>
  <c r="E3" i="10"/>
  <c r="D4" i="10"/>
  <c r="A4" i="10" s="1"/>
  <c r="E4" i="10"/>
  <c r="D5" i="10"/>
  <c r="E5" i="10"/>
  <c r="D6" i="10"/>
  <c r="A6" i="10" s="1"/>
  <c r="E6" i="10"/>
  <c r="D7" i="10"/>
  <c r="A7" i="10" s="1"/>
  <c r="E7" i="10"/>
  <c r="D8" i="10"/>
  <c r="A8" i="10" s="1"/>
  <c r="E8" i="10"/>
  <c r="D9" i="10"/>
  <c r="E9" i="10"/>
  <c r="A9" i="10" s="1"/>
  <c r="D10" i="10"/>
  <c r="A10" i="10" s="1"/>
  <c r="E10" i="10"/>
  <c r="D11" i="10"/>
  <c r="A11" i="10" s="1"/>
  <c r="E11" i="10"/>
  <c r="D12" i="10"/>
  <c r="A12" i="10" s="1"/>
  <c r="E12" i="10"/>
  <c r="D13" i="10"/>
  <c r="E13" i="10"/>
  <c r="D14" i="10"/>
  <c r="A14" i="10" s="1"/>
  <c r="E14" i="10"/>
  <c r="D15" i="10"/>
  <c r="A15" i="10" s="1"/>
  <c r="E15" i="10"/>
  <c r="D16" i="10"/>
  <c r="A16" i="10" s="1"/>
  <c r="E16" i="10"/>
  <c r="D17" i="10"/>
  <c r="E17" i="10"/>
  <c r="A17" i="10" s="1"/>
  <c r="D18" i="10"/>
  <c r="A18" i="10" s="1"/>
  <c r="E18" i="10"/>
  <c r="D19" i="10"/>
  <c r="A19" i="10" s="1"/>
  <c r="E19" i="10"/>
  <c r="D20" i="10"/>
  <c r="A20" i="10" s="1"/>
  <c r="E20" i="10"/>
  <c r="D21" i="10"/>
  <c r="E21" i="10"/>
  <c r="D22" i="10"/>
  <c r="A22" i="10" s="1"/>
  <c r="E22" i="10"/>
  <c r="D23" i="10"/>
  <c r="A23" i="10" s="1"/>
  <c r="E23" i="10"/>
  <c r="D24" i="10"/>
  <c r="A24" i="10" s="1"/>
  <c r="E24" i="10"/>
  <c r="D25" i="10"/>
  <c r="E25" i="10"/>
  <c r="A25" i="10" s="1"/>
  <c r="D26" i="10"/>
  <c r="A26" i="10" s="1"/>
  <c r="E26" i="10"/>
  <c r="D27" i="10"/>
  <c r="A27" i="10" s="1"/>
  <c r="E27" i="10"/>
  <c r="D28" i="10"/>
  <c r="A28" i="10" s="1"/>
  <c r="E28" i="10"/>
  <c r="D29" i="10"/>
  <c r="E29" i="10"/>
  <c r="D30" i="10"/>
  <c r="A30" i="10" s="1"/>
  <c r="E30" i="10"/>
  <c r="D31" i="10"/>
  <c r="A31" i="10" s="1"/>
  <c r="E31" i="10"/>
  <c r="D32" i="10"/>
  <c r="A32" i="10" s="1"/>
  <c r="E32" i="10"/>
  <c r="D33" i="10"/>
  <c r="E33" i="10"/>
  <c r="A33" i="10" s="1"/>
  <c r="D34" i="10"/>
  <c r="A34" i="10" s="1"/>
  <c r="E34" i="10"/>
  <c r="D35" i="10"/>
  <c r="A35" i="10" s="1"/>
  <c r="E35" i="10"/>
  <c r="D36" i="10"/>
  <c r="A36" i="10" s="1"/>
  <c r="E36" i="10"/>
  <c r="D37" i="10"/>
  <c r="E37" i="10"/>
  <c r="D38" i="10"/>
  <c r="A38" i="10" s="1"/>
  <c r="E38" i="10"/>
  <c r="D39" i="10"/>
  <c r="A39" i="10" s="1"/>
  <c r="E39" i="10"/>
  <c r="D40" i="10"/>
  <c r="A40" i="10" s="1"/>
  <c r="E40" i="10"/>
  <c r="D41" i="10"/>
  <c r="E41" i="10"/>
  <c r="D42" i="10"/>
  <c r="A42" i="10" s="1"/>
  <c r="E42" i="10"/>
  <c r="D43" i="10"/>
  <c r="A43" i="10" s="1"/>
  <c r="E43" i="10"/>
  <c r="D44" i="10"/>
  <c r="A44" i="10" s="1"/>
  <c r="E44" i="10"/>
  <c r="D45" i="10"/>
  <c r="E45" i="10"/>
  <c r="D46" i="10"/>
  <c r="A46" i="10" s="1"/>
  <c r="E46" i="10"/>
  <c r="D47" i="10"/>
  <c r="A47" i="10" s="1"/>
  <c r="E47" i="10"/>
  <c r="D48" i="10"/>
  <c r="A48" i="10" s="1"/>
  <c r="E48" i="10"/>
  <c r="D49" i="10"/>
  <c r="E49" i="10"/>
  <c r="A49" i="10" s="1"/>
  <c r="D50" i="10"/>
  <c r="A50" i="10" s="1"/>
  <c r="E50" i="10"/>
  <c r="D51" i="10"/>
  <c r="A51" i="10" s="1"/>
  <c r="E51" i="10"/>
  <c r="D52" i="10"/>
  <c r="A52" i="10" s="1"/>
  <c r="E52" i="10"/>
  <c r="D53" i="10"/>
  <c r="E53" i="10"/>
  <c r="D54" i="10"/>
  <c r="A54" i="10" s="1"/>
  <c r="E54" i="10"/>
  <c r="D55" i="10"/>
  <c r="A55" i="10" s="1"/>
  <c r="E55" i="10"/>
  <c r="D56" i="10"/>
  <c r="A56" i="10" s="1"/>
  <c r="E56" i="10"/>
  <c r="D57" i="10"/>
  <c r="E57" i="10"/>
  <c r="A57" i="10" s="1"/>
  <c r="D58" i="10"/>
  <c r="A58" i="10" s="1"/>
  <c r="E58" i="10"/>
  <c r="D59" i="10"/>
  <c r="A59" i="10" s="1"/>
  <c r="E59" i="10"/>
  <c r="D60" i="10"/>
  <c r="A60" i="10" s="1"/>
  <c r="E60" i="10"/>
  <c r="D61" i="10"/>
  <c r="E61" i="10"/>
  <c r="D62" i="10"/>
  <c r="A62" i="10" s="1"/>
  <c r="E62" i="10"/>
  <c r="D63" i="10"/>
  <c r="A63" i="10" s="1"/>
  <c r="E63" i="10"/>
  <c r="D64" i="10"/>
  <c r="A64" i="10" s="1"/>
  <c r="E64" i="10"/>
  <c r="D65" i="10"/>
  <c r="E65" i="10"/>
  <c r="D66" i="10"/>
  <c r="A66" i="10" s="1"/>
  <c r="E66" i="10"/>
  <c r="D67" i="10"/>
  <c r="A67" i="10" s="1"/>
  <c r="E67" i="10"/>
  <c r="D68" i="10"/>
  <c r="A68" i="10" s="1"/>
  <c r="E68" i="10"/>
  <c r="D69" i="10"/>
  <c r="E69" i="10"/>
  <c r="D70" i="10"/>
  <c r="A70" i="10" s="1"/>
  <c r="E70" i="10"/>
  <c r="D71" i="10"/>
  <c r="A71" i="10" s="1"/>
  <c r="E71" i="10"/>
  <c r="D72" i="10"/>
  <c r="A72" i="10" s="1"/>
  <c r="E72" i="10"/>
  <c r="D73" i="10"/>
  <c r="E73" i="10"/>
  <c r="A73" i="10" s="1"/>
  <c r="D74" i="10"/>
  <c r="A74" i="10" s="1"/>
  <c r="E74" i="10"/>
  <c r="D75" i="10"/>
  <c r="A75" i="10" s="1"/>
  <c r="E75" i="10"/>
  <c r="D76" i="10"/>
  <c r="A76" i="10" s="1"/>
  <c r="E76" i="10"/>
  <c r="D77" i="10"/>
  <c r="E77" i="10"/>
  <c r="D78" i="10"/>
  <c r="A78" i="10" s="1"/>
  <c r="E78" i="10"/>
  <c r="D79" i="10"/>
  <c r="A79" i="10" s="1"/>
  <c r="E79" i="10"/>
  <c r="D80" i="10"/>
  <c r="A80" i="10" s="1"/>
  <c r="E80" i="10"/>
  <c r="A4" i="8"/>
  <c r="A12" i="8"/>
  <c r="A20" i="8"/>
  <c r="A2" i="8"/>
  <c r="D2" i="8"/>
  <c r="E2" i="8"/>
  <c r="D3" i="8"/>
  <c r="A3" i="8" s="1"/>
  <c r="E3" i="8"/>
  <c r="D4" i="8"/>
  <c r="E4" i="8"/>
  <c r="D5" i="8"/>
  <c r="E5" i="8"/>
  <c r="A5" i="8" s="1"/>
  <c r="D6" i="8"/>
  <c r="A6" i="8" s="1"/>
  <c r="E6" i="8"/>
  <c r="D7" i="8"/>
  <c r="A7" i="8" s="1"/>
  <c r="E7" i="8"/>
  <c r="D8" i="8"/>
  <c r="A8" i="8" s="1"/>
  <c r="E8" i="8"/>
  <c r="D9" i="8"/>
  <c r="A9" i="8" s="1"/>
  <c r="E9" i="8"/>
  <c r="D10" i="8"/>
  <c r="A10" i="8" s="1"/>
  <c r="E10" i="8"/>
  <c r="D11" i="8"/>
  <c r="A11" i="8" s="1"/>
  <c r="E11" i="8"/>
  <c r="D12" i="8"/>
  <c r="E12" i="8"/>
  <c r="D13" i="8"/>
  <c r="E13" i="8"/>
  <c r="A13" i="8" s="1"/>
  <c r="D14" i="8"/>
  <c r="A14" i="8" s="1"/>
  <c r="E14" i="8"/>
  <c r="D15" i="8"/>
  <c r="A15" i="8" s="1"/>
  <c r="E15" i="8"/>
  <c r="D16" i="8"/>
  <c r="A16" i="8" s="1"/>
  <c r="E16" i="8"/>
  <c r="D17" i="8"/>
  <c r="A17" i="8" s="1"/>
  <c r="E17" i="8"/>
  <c r="D18" i="8"/>
  <c r="A18" i="8" s="1"/>
  <c r="E18" i="8"/>
  <c r="D19" i="8"/>
  <c r="A19" i="8" s="1"/>
  <c r="E19" i="8"/>
  <c r="D20" i="8"/>
  <c r="E20" i="8"/>
  <c r="D21" i="8"/>
  <c r="E21" i="8"/>
  <c r="A21" i="8" s="1"/>
  <c r="D22" i="8"/>
  <c r="A22" i="8" s="1"/>
  <c r="E22" i="8"/>
  <c r="D23" i="8"/>
  <c r="A23" i="8" s="1"/>
  <c r="E23" i="8"/>
  <c r="D24" i="8"/>
  <c r="A24" i="8" s="1"/>
  <c r="E24" i="8"/>
  <c r="D25" i="8"/>
  <c r="A25" i="8" s="1"/>
  <c r="E25" i="8"/>
  <c r="D26" i="8"/>
  <c r="A26" i="8" s="1"/>
  <c r="E26" i="8"/>
  <c r="D27" i="8"/>
  <c r="A27" i="8" s="1"/>
  <c r="E27" i="8"/>
  <c r="A77" i="10" l="1"/>
  <c r="A69" i="10"/>
  <c r="A61" i="10"/>
  <c r="A53" i="10"/>
  <c r="A45" i="10"/>
  <c r="A37" i="10"/>
  <c r="A29" i="10"/>
  <c r="A21" i="10"/>
  <c r="A13" i="10"/>
  <c r="A5" i="10"/>
  <c r="K224" i="15"/>
  <c r="J224" i="15"/>
  <c r="K222" i="15"/>
  <c r="J222" i="15"/>
  <c r="K220" i="15"/>
  <c r="J220" i="15"/>
  <c r="K218" i="15"/>
  <c r="J218" i="15"/>
  <c r="K216" i="15"/>
  <c r="J216" i="15"/>
  <c r="K214" i="15"/>
  <c r="J214" i="15"/>
  <c r="K207" i="15"/>
  <c r="J207" i="15"/>
  <c r="K204" i="15"/>
  <c r="J204" i="15"/>
  <c r="K201" i="15"/>
  <c r="J201" i="15"/>
  <c r="K195" i="15"/>
  <c r="J195" i="15"/>
  <c r="K193" i="15"/>
  <c r="J193" i="15"/>
  <c r="K191" i="15"/>
  <c r="J191" i="15"/>
  <c r="K189" i="15"/>
  <c r="J189" i="15"/>
  <c r="K187" i="15"/>
  <c r="J187" i="15"/>
  <c r="K184" i="15"/>
  <c r="J184" i="15"/>
  <c r="K182" i="15"/>
  <c r="J182" i="15"/>
  <c r="K178" i="15"/>
  <c r="J178" i="15"/>
  <c r="K175" i="15"/>
  <c r="J175" i="15"/>
  <c r="K173" i="15"/>
  <c r="J173" i="15"/>
  <c r="K171" i="15"/>
  <c r="J171" i="15"/>
  <c r="K168" i="15"/>
  <c r="J168" i="15"/>
  <c r="K162" i="15"/>
  <c r="J162" i="15"/>
  <c r="K160" i="15"/>
  <c r="J160" i="15"/>
  <c r="K157" i="15"/>
  <c r="J157" i="15"/>
  <c r="K155" i="15"/>
  <c r="J155" i="15"/>
  <c r="K153" i="15"/>
  <c r="J153" i="15"/>
  <c r="K150" i="15"/>
  <c r="J150" i="15"/>
  <c r="K148" i="15"/>
  <c r="J148" i="15"/>
  <c r="K142" i="15"/>
  <c r="J142" i="15"/>
  <c r="K130" i="15"/>
  <c r="J130" i="15"/>
  <c r="K128" i="15"/>
  <c r="J128" i="15"/>
  <c r="K122" i="15"/>
  <c r="J122" i="15"/>
  <c r="K120" i="15"/>
  <c r="J120" i="15"/>
  <c r="K109" i="15"/>
  <c r="J109" i="15"/>
  <c r="K104" i="15"/>
  <c r="J104" i="15"/>
  <c r="K102" i="15"/>
  <c r="J102" i="15"/>
  <c r="K85" i="15"/>
  <c r="J85" i="15"/>
  <c r="K83" i="15"/>
  <c r="J83" i="15"/>
  <c r="K80" i="15"/>
  <c r="J80" i="15"/>
  <c r="K73" i="15"/>
  <c r="J73" i="15"/>
  <c r="K67" i="15"/>
  <c r="J67" i="15"/>
  <c r="K63" i="15"/>
  <c r="J63" i="15"/>
  <c r="K58" i="15"/>
  <c r="J58" i="15"/>
  <c r="K55" i="15"/>
  <c r="J55" i="15"/>
  <c r="K52" i="15"/>
  <c r="J52" i="15"/>
  <c r="K49" i="15"/>
  <c r="J49" i="15"/>
  <c r="K47" i="15"/>
  <c r="J47" i="15"/>
  <c r="K45" i="15"/>
  <c r="J45" i="15"/>
  <c r="K42" i="15"/>
  <c r="J42" i="15"/>
  <c r="K36" i="15"/>
  <c r="J36" i="15"/>
  <c r="K34" i="15"/>
  <c r="J34" i="15"/>
  <c r="K22" i="15"/>
  <c r="J22" i="15"/>
  <c r="K20" i="15"/>
  <c r="J20" i="15"/>
  <c r="K18" i="15"/>
  <c r="J18" i="15"/>
  <c r="K16" i="15"/>
  <c r="J16" i="15"/>
  <c r="K14" i="15"/>
  <c r="J14" i="15"/>
  <c r="K11" i="15"/>
  <c r="J11" i="15"/>
  <c r="K9" i="15"/>
  <c r="J9" i="15"/>
  <c r="K6" i="15"/>
  <c r="J6" i="15"/>
  <c r="K3" i="15"/>
  <c r="J3" i="15"/>
  <c r="K142" i="14"/>
  <c r="J142" i="14"/>
  <c r="K139" i="14"/>
  <c r="J139" i="14"/>
  <c r="K134" i="14"/>
  <c r="J134" i="14"/>
  <c r="K130" i="14"/>
  <c r="J130" i="14"/>
  <c r="K128" i="14"/>
  <c r="J128" i="14"/>
  <c r="K126" i="14"/>
  <c r="J126" i="14"/>
  <c r="K123" i="14"/>
  <c r="J123" i="14"/>
  <c r="K121" i="14"/>
  <c r="J121" i="14"/>
  <c r="K119" i="14"/>
  <c r="J119" i="14"/>
  <c r="K117" i="14"/>
  <c r="J117" i="14"/>
  <c r="K114" i="14"/>
  <c r="J114" i="14"/>
  <c r="K108" i="14"/>
  <c r="J108" i="14"/>
  <c r="K106" i="14"/>
  <c r="J106" i="14"/>
  <c r="K104" i="14"/>
  <c r="J104" i="14"/>
  <c r="K102" i="14"/>
  <c r="J102" i="14"/>
  <c r="K93" i="14"/>
  <c r="J93" i="14"/>
  <c r="K85" i="14"/>
  <c r="J85" i="14"/>
  <c r="K82" i="14"/>
  <c r="J82" i="14"/>
  <c r="K79" i="14"/>
  <c r="J79" i="14"/>
  <c r="K77" i="14"/>
  <c r="J77" i="14"/>
  <c r="K71" i="14"/>
  <c r="J71" i="14"/>
  <c r="K64" i="14"/>
  <c r="J64" i="14"/>
  <c r="K62" i="14"/>
  <c r="J62" i="14"/>
  <c r="K60" i="14"/>
  <c r="J60" i="14"/>
  <c r="K57" i="14"/>
  <c r="J57" i="14"/>
  <c r="K55" i="14"/>
  <c r="J55" i="14"/>
  <c r="K47" i="14"/>
  <c r="J47" i="14"/>
  <c r="K44" i="14"/>
  <c r="J44" i="14"/>
  <c r="K41" i="14"/>
  <c r="J41" i="14"/>
  <c r="K39" i="14"/>
  <c r="J39" i="14"/>
  <c r="K33" i="14"/>
  <c r="J33" i="14"/>
  <c r="K30" i="14"/>
  <c r="J30" i="14"/>
  <c r="K27" i="14"/>
  <c r="J27" i="14"/>
  <c r="K24" i="14"/>
  <c r="J24" i="14"/>
  <c r="K21" i="14"/>
  <c r="J21" i="14"/>
  <c r="K13" i="14"/>
  <c r="J13" i="14"/>
  <c r="K9" i="14"/>
  <c r="J9" i="14"/>
  <c r="K446" i="13"/>
  <c r="J446" i="13"/>
  <c r="K444" i="13"/>
  <c r="J444" i="13"/>
  <c r="K421" i="13"/>
  <c r="J421" i="13"/>
  <c r="K419" i="13"/>
  <c r="J419" i="13"/>
  <c r="K417" i="13"/>
  <c r="J417" i="13"/>
  <c r="K415" i="13"/>
  <c r="J415" i="13"/>
  <c r="K413" i="13"/>
  <c r="J413" i="13"/>
  <c r="K411" i="13"/>
  <c r="J411" i="13"/>
  <c r="K402" i="13"/>
  <c r="J402" i="13"/>
  <c r="K400" i="13"/>
  <c r="J400" i="13"/>
  <c r="K398" i="13"/>
  <c r="J398" i="13"/>
  <c r="K396" i="13"/>
  <c r="J396" i="13"/>
  <c r="K392" i="13"/>
  <c r="J392" i="13"/>
  <c r="K390" i="13"/>
  <c r="J390" i="13"/>
  <c r="K388" i="13"/>
  <c r="J388" i="13"/>
  <c r="K386" i="13"/>
  <c r="J386" i="13"/>
  <c r="K384" i="13"/>
  <c r="J384" i="13"/>
  <c r="K381" i="13"/>
  <c r="J381" i="13"/>
  <c r="K379" i="13"/>
  <c r="J379" i="13"/>
  <c r="K377" i="13"/>
  <c r="J377" i="13"/>
  <c r="K375" i="13"/>
  <c r="J375" i="13"/>
  <c r="K373" i="13"/>
  <c r="J373" i="13"/>
  <c r="K371" i="13"/>
  <c r="J371" i="13"/>
  <c r="K368" i="13"/>
  <c r="J368" i="13"/>
  <c r="K366" i="13"/>
  <c r="J366" i="13"/>
  <c r="K361" i="13"/>
  <c r="J361" i="13"/>
  <c r="K359" i="13"/>
  <c r="J359" i="13"/>
  <c r="K357" i="13"/>
  <c r="J357" i="13"/>
  <c r="K348" i="13"/>
  <c r="J348" i="13"/>
  <c r="K346" i="13"/>
  <c r="J346" i="13"/>
  <c r="K343" i="13"/>
  <c r="J343" i="13"/>
  <c r="K339" i="13"/>
  <c r="J339" i="13"/>
  <c r="K337" i="13"/>
  <c r="J337" i="13"/>
  <c r="K325" i="13"/>
  <c r="J325" i="13"/>
  <c r="K314" i="13"/>
  <c r="J314" i="13"/>
  <c r="K311" i="13"/>
  <c r="J311" i="13"/>
  <c r="K309" i="13"/>
  <c r="J309" i="13"/>
  <c r="K307" i="13"/>
  <c r="J307" i="13"/>
  <c r="K303" i="13"/>
  <c r="J303" i="13"/>
  <c r="K301" i="13"/>
  <c r="J301" i="13"/>
  <c r="K294" i="13"/>
  <c r="J294" i="13"/>
  <c r="K292" i="13"/>
  <c r="J292" i="13"/>
  <c r="K289" i="13"/>
  <c r="J289" i="13"/>
  <c r="K287" i="13"/>
  <c r="J287" i="13"/>
  <c r="K280" i="13"/>
  <c r="J280" i="13"/>
  <c r="K246" i="13"/>
  <c r="J246" i="13"/>
  <c r="K238" i="13"/>
  <c r="J238" i="13"/>
  <c r="K224" i="13"/>
  <c r="J224" i="13"/>
  <c r="K222" i="13"/>
  <c r="J222" i="13"/>
  <c r="K197" i="13"/>
  <c r="J197" i="13"/>
  <c r="K195" i="13"/>
  <c r="J195" i="13"/>
  <c r="K189" i="13"/>
  <c r="J189" i="13"/>
  <c r="K187" i="13"/>
  <c r="J187" i="13"/>
  <c r="K160" i="13"/>
  <c r="J160" i="13"/>
  <c r="K152" i="13"/>
  <c r="J152" i="13"/>
  <c r="K150" i="13"/>
  <c r="J150" i="13"/>
  <c r="K148" i="13"/>
  <c r="J148" i="13"/>
  <c r="K146" i="13"/>
  <c r="J146" i="13"/>
  <c r="K132" i="13"/>
  <c r="J132" i="13"/>
  <c r="K128" i="13"/>
  <c r="J128" i="13"/>
  <c r="K125" i="13"/>
  <c r="J125" i="13"/>
  <c r="K122" i="13"/>
  <c r="J122" i="13"/>
  <c r="K118" i="13"/>
  <c r="J118" i="13"/>
  <c r="K112" i="13"/>
  <c r="J112" i="13"/>
  <c r="K110" i="13"/>
  <c r="J110" i="13"/>
  <c r="K105" i="13"/>
  <c r="J105" i="13"/>
  <c r="K88" i="13"/>
  <c r="J88" i="13"/>
  <c r="K85" i="13"/>
  <c r="J85" i="13"/>
  <c r="K69" i="13"/>
  <c r="J69" i="13"/>
  <c r="K65" i="13"/>
  <c r="J65" i="13"/>
  <c r="K11" i="13"/>
  <c r="J11" i="13"/>
  <c r="K9" i="13"/>
  <c r="J9" i="13"/>
  <c r="K7" i="13"/>
  <c r="J7" i="13"/>
  <c r="K5" i="13"/>
  <c r="J5" i="13"/>
  <c r="K3" i="13"/>
  <c r="J3" i="13"/>
  <c r="K1220" i="12"/>
  <c r="J1220" i="12"/>
  <c r="K1218" i="12"/>
  <c r="J1218" i="12"/>
  <c r="K1215" i="12"/>
  <c r="J1215" i="12"/>
  <c r="K1201" i="12"/>
  <c r="J1201" i="12"/>
  <c r="K1187" i="12"/>
  <c r="J1187" i="12"/>
  <c r="K949" i="12"/>
  <c r="J949" i="12"/>
  <c r="K947" i="12"/>
  <c r="J947" i="12"/>
  <c r="K945" i="12"/>
  <c r="J945" i="12"/>
  <c r="K932" i="12"/>
  <c r="J932" i="12"/>
  <c r="K930" i="12"/>
  <c r="J930" i="12"/>
  <c r="K928" i="12"/>
  <c r="J928" i="12"/>
  <c r="K926" i="12"/>
  <c r="J926" i="12"/>
  <c r="K924" i="12"/>
  <c r="J924" i="12"/>
  <c r="K918" i="12"/>
  <c r="J918" i="12"/>
  <c r="K916" i="12"/>
  <c r="J916" i="12"/>
  <c r="K914" i="12"/>
  <c r="J914" i="12"/>
  <c r="K912" i="12"/>
  <c r="J912" i="12"/>
  <c r="K910" i="12"/>
  <c r="J910" i="12"/>
  <c r="K908" i="12"/>
  <c r="J908" i="12"/>
  <c r="K875" i="12"/>
  <c r="J875" i="12"/>
  <c r="K856" i="12"/>
  <c r="J856" i="12"/>
  <c r="K853" i="12"/>
  <c r="J853" i="12"/>
  <c r="K821" i="12"/>
  <c r="J821" i="12"/>
  <c r="K818" i="12"/>
  <c r="J818" i="12"/>
  <c r="K812" i="12"/>
  <c r="J812" i="12"/>
  <c r="K807" i="12"/>
  <c r="J807" i="12"/>
  <c r="K611" i="12"/>
  <c r="J611" i="12"/>
  <c r="K609" i="12"/>
  <c r="J609" i="12"/>
  <c r="K569" i="12"/>
  <c r="J569" i="12"/>
  <c r="K552" i="12"/>
  <c r="J552" i="12"/>
  <c r="K539" i="12"/>
  <c r="J539" i="12"/>
  <c r="K537" i="12"/>
  <c r="J537" i="12"/>
  <c r="K535" i="12"/>
  <c r="J535" i="12"/>
  <c r="K533" i="12"/>
  <c r="J533" i="12"/>
  <c r="K530" i="12"/>
  <c r="J530" i="12"/>
  <c r="K527" i="12"/>
  <c r="J527" i="12"/>
  <c r="K525" i="12"/>
  <c r="J525" i="12"/>
  <c r="K290" i="12"/>
  <c r="J290" i="12"/>
  <c r="K288" i="12"/>
  <c r="J288" i="12"/>
  <c r="K285" i="12"/>
  <c r="J285" i="12"/>
  <c r="K15" i="12"/>
  <c r="J15" i="12"/>
  <c r="K10" i="12"/>
  <c r="J10" i="12"/>
  <c r="K8" i="12"/>
  <c r="J8" i="12"/>
  <c r="K5" i="12"/>
  <c r="J5" i="12"/>
  <c r="K3" i="12"/>
  <c r="J3" i="12"/>
  <c r="F194" i="15"/>
  <c r="C194" i="15"/>
  <c r="F192" i="15"/>
  <c r="C192" i="15"/>
  <c r="F190" i="15"/>
  <c r="C190" i="15"/>
  <c r="F79" i="15"/>
  <c r="C79" i="15"/>
  <c r="F54" i="15"/>
  <c r="C54" i="15"/>
  <c r="F51" i="15"/>
  <c r="C51" i="15"/>
  <c r="F44" i="15"/>
  <c r="C44" i="15"/>
  <c r="F41" i="15"/>
  <c r="C41" i="15"/>
  <c r="F40" i="15"/>
  <c r="C40" i="15"/>
  <c r="F39" i="15"/>
  <c r="C39" i="15"/>
  <c r="F38" i="15"/>
  <c r="C38" i="15"/>
  <c r="G37" i="15"/>
  <c r="F37" i="15"/>
  <c r="C37" i="15"/>
  <c r="F213" i="15"/>
  <c r="C213" i="15"/>
  <c r="F13" i="15"/>
  <c r="C13" i="15"/>
  <c r="F217" i="15"/>
  <c r="C217" i="15"/>
  <c r="F215" i="15"/>
  <c r="C215" i="15"/>
  <c r="F21" i="15"/>
  <c r="C21" i="15"/>
  <c r="F19" i="15"/>
  <c r="C19" i="15"/>
  <c r="F17" i="15"/>
  <c r="C17" i="15"/>
  <c r="F72" i="15"/>
  <c r="C72" i="15"/>
  <c r="F71" i="15"/>
  <c r="C71" i="15"/>
  <c r="F66" i="15"/>
  <c r="C66" i="15"/>
  <c r="F62" i="15"/>
  <c r="C62" i="15"/>
  <c r="F61" i="15"/>
  <c r="C61" i="15"/>
  <c r="F127" i="15"/>
  <c r="C127" i="15"/>
  <c r="F57" i="15"/>
  <c r="C57" i="15"/>
  <c r="F161" i="15"/>
  <c r="C161" i="15"/>
  <c r="F126" i="15"/>
  <c r="C126" i="15"/>
  <c r="F56" i="15"/>
  <c r="C56" i="15"/>
  <c r="F35" i="15"/>
  <c r="C35" i="15"/>
  <c r="F152" i="15"/>
  <c r="C152" i="15"/>
  <c r="F101" i="15"/>
  <c r="C101" i="15"/>
  <c r="F212" i="15"/>
  <c r="C212" i="15"/>
  <c r="F2" i="15"/>
  <c r="C2" i="15"/>
  <c r="F211" i="15"/>
  <c r="C211" i="15"/>
  <c r="F10" i="15"/>
  <c r="C10" i="15"/>
  <c r="F203" i="15"/>
  <c r="C203" i="15"/>
  <c r="F53" i="15"/>
  <c r="C53" i="15"/>
  <c r="F202" i="15"/>
  <c r="C202" i="15"/>
  <c r="F50" i="15"/>
  <c r="C50" i="15"/>
  <c r="F48" i="15"/>
  <c r="C48" i="15"/>
  <c r="F46" i="15"/>
  <c r="C46" i="15"/>
  <c r="F183" i="15"/>
  <c r="C183" i="15"/>
  <c r="F181" i="15"/>
  <c r="C181" i="15"/>
  <c r="F78" i="15"/>
  <c r="C78" i="15"/>
  <c r="F77" i="15"/>
  <c r="C77" i="15"/>
  <c r="F177" i="15"/>
  <c r="C177" i="15"/>
  <c r="F76" i="15"/>
  <c r="C76" i="15"/>
  <c r="F221" i="15"/>
  <c r="C221" i="15"/>
  <c r="F84" i="15"/>
  <c r="C84" i="15"/>
  <c r="F210" i="15"/>
  <c r="C210" i="15"/>
  <c r="F8" i="15"/>
  <c r="C8" i="15"/>
  <c r="F209" i="15"/>
  <c r="C209" i="15"/>
  <c r="F5" i="15"/>
  <c r="C5" i="15"/>
  <c r="F208" i="15"/>
  <c r="C208" i="15"/>
  <c r="F12" i="15"/>
  <c r="C12" i="15"/>
  <c r="F219" i="15"/>
  <c r="C219" i="15"/>
  <c r="F121" i="15"/>
  <c r="C121" i="15"/>
  <c r="F186" i="15"/>
  <c r="C186" i="15"/>
  <c r="F125" i="15"/>
  <c r="C125" i="15"/>
  <c r="F108" i="15"/>
  <c r="C108" i="15"/>
  <c r="F70" i="15"/>
  <c r="C70" i="15"/>
  <c r="F65" i="15"/>
  <c r="C65" i="15"/>
  <c r="F60" i="15"/>
  <c r="C60" i="15"/>
  <c r="F59" i="15"/>
  <c r="C59" i="15"/>
  <c r="F100" i="15"/>
  <c r="C100" i="15"/>
  <c r="F33" i="15"/>
  <c r="C33" i="15"/>
  <c r="F149" i="15"/>
  <c r="C149" i="15"/>
  <c r="F99" i="15"/>
  <c r="C99" i="15"/>
  <c r="F151" i="15"/>
  <c r="C151" i="15"/>
  <c r="F98" i="15"/>
  <c r="C98" i="15"/>
  <c r="F97" i="15"/>
  <c r="C97" i="15"/>
  <c r="F43" i="15"/>
  <c r="C43" i="15"/>
  <c r="F103" i="15"/>
  <c r="C103" i="15"/>
  <c r="F96" i="15"/>
  <c r="C96" i="15"/>
  <c r="F188" i="15"/>
  <c r="C188" i="15"/>
  <c r="F95" i="15"/>
  <c r="C95" i="15"/>
  <c r="F94" i="15"/>
  <c r="C94" i="15"/>
  <c r="F32" i="15"/>
  <c r="C32" i="15"/>
  <c r="F156" i="15"/>
  <c r="C156" i="15"/>
  <c r="F93" i="15"/>
  <c r="C93" i="15"/>
  <c r="F107" i="15"/>
  <c r="C107" i="15"/>
  <c r="F92" i="15"/>
  <c r="C92" i="15"/>
  <c r="F200" i="15"/>
  <c r="C200" i="15"/>
  <c r="F91" i="15"/>
  <c r="C91" i="15"/>
  <c r="F199" i="15"/>
  <c r="C199" i="15"/>
  <c r="F90" i="15"/>
  <c r="C90" i="15"/>
  <c r="F106" i="15"/>
  <c r="C106" i="15"/>
  <c r="F89" i="15"/>
  <c r="C89" i="15"/>
  <c r="F129" i="15"/>
  <c r="D129" i="15"/>
  <c r="C129" i="15"/>
  <c r="F64" i="15"/>
  <c r="D64" i="15"/>
  <c r="C64" i="15"/>
  <c r="F15" i="15"/>
  <c r="D15" i="15"/>
  <c r="C15" i="15"/>
  <c r="F167" i="15"/>
  <c r="C167" i="15"/>
  <c r="F147" i="15"/>
  <c r="C147" i="15"/>
  <c r="F166" i="15"/>
  <c r="C166" i="15"/>
  <c r="F146" i="15"/>
  <c r="C146" i="15"/>
  <c r="F145" i="15"/>
  <c r="C145" i="15"/>
  <c r="F88" i="15"/>
  <c r="C88" i="15"/>
  <c r="F144" i="15"/>
  <c r="C144" i="15"/>
  <c r="F31" i="15"/>
  <c r="C31" i="15"/>
  <c r="F143" i="15"/>
  <c r="C143" i="15"/>
  <c r="F30" i="15"/>
  <c r="C30" i="15"/>
  <c r="F165" i="15"/>
  <c r="C165" i="15"/>
  <c r="F141" i="15"/>
  <c r="C141" i="15"/>
  <c r="F164" i="15"/>
  <c r="C164" i="15"/>
  <c r="F140" i="15"/>
  <c r="C140" i="15"/>
  <c r="F139" i="15"/>
  <c r="C139" i="15"/>
  <c r="F29" i="15"/>
  <c r="C29" i="15"/>
  <c r="F163" i="15"/>
  <c r="C163" i="15"/>
  <c r="F138" i="15"/>
  <c r="C138" i="15"/>
  <c r="F137" i="15"/>
  <c r="C137" i="15"/>
  <c r="F7" i="15"/>
  <c r="C7" i="15"/>
  <c r="F136" i="15"/>
  <c r="C136" i="15"/>
  <c r="F4" i="15"/>
  <c r="C4" i="15"/>
  <c r="F135" i="15"/>
  <c r="C135" i="15"/>
  <c r="F87" i="15"/>
  <c r="C87" i="15"/>
  <c r="F134" i="15"/>
  <c r="C134" i="15"/>
  <c r="F86" i="15"/>
  <c r="C86" i="15"/>
  <c r="F133" i="15"/>
  <c r="C133" i="15"/>
  <c r="F28" i="15"/>
  <c r="C28" i="15"/>
  <c r="F180" i="15"/>
  <c r="C180" i="15"/>
  <c r="F132" i="15"/>
  <c r="C132" i="15"/>
  <c r="F75" i="15"/>
  <c r="C75" i="15"/>
  <c r="F179" i="15"/>
  <c r="C179" i="15"/>
  <c r="F131" i="15"/>
  <c r="C131" i="15"/>
  <c r="F74" i="15"/>
  <c r="C74" i="15"/>
  <c r="F198" i="15"/>
  <c r="C198" i="15"/>
  <c r="F27" i="15"/>
  <c r="C27" i="15"/>
  <c r="F159" i="15"/>
  <c r="E159" i="15"/>
  <c r="C159" i="15"/>
  <c r="F119" i="15"/>
  <c r="E119" i="15"/>
  <c r="C119" i="15"/>
  <c r="F69" i="15"/>
  <c r="E69" i="15"/>
  <c r="C69" i="15"/>
  <c r="F26" i="15"/>
  <c r="E26" i="15"/>
  <c r="C26" i="15"/>
  <c r="F118" i="15"/>
  <c r="E118" i="15"/>
  <c r="C118" i="15"/>
  <c r="F25" i="15"/>
  <c r="E25" i="15"/>
  <c r="C25" i="15"/>
  <c r="F105" i="15"/>
  <c r="E105" i="15"/>
  <c r="C105" i="15"/>
  <c r="F24" i="15"/>
  <c r="E24" i="15"/>
  <c r="C24" i="15"/>
  <c r="F170" i="15"/>
  <c r="C170" i="15"/>
  <c r="F68" i="15"/>
  <c r="C68" i="15"/>
  <c r="F23" i="15"/>
  <c r="C23" i="15"/>
  <c r="F169" i="15"/>
  <c r="C169" i="15"/>
  <c r="F117" i="15"/>
  <c r="C117" i="15"/>
  <c r="F158" i="15"/>
  <c r="C158" i="15"/>
  <c r="F116" i="15"/>
  <c r="C116" i="15"/>
  <c r="F154" i="15"/>
  <c r="C154" i="15"/>
  <c r="F115" i="15"/>
  <c r="C115" i="15"/>
  <c r="F197" i="15"/>
  <c r="C197" i="15"/>
  <c r="F114" i="15"/>
  <c r="C114" i="15"/>
  <c r="F176" i="15"/>
  <c r="C176" i="15"/>
  <c r="F82" i="15"/>
  <c r="C82" i="15"/>
  <c r="F174" i="15"/>
  <c r="C174" i="15"/>
  <c r="F124" i="15"/>
  <c r="C124" i="15"/>
  <c r="F223" i="15"/>
  <c r="C223" i="15"/>
  <c r="F81" i="15"/>
  <c r="C81" i="15"/>
  <c r="F196" i="15"/>
  <c r="C196" i="15"/>
  <c r="F113" i="15"/>
  <c r="C113" i="15"/>
  <c r="F185" i="15"/>
  <c r="C185" i="15"/>
  <c r="F123" i="15"/>
  <c r="C123" i="15"/>
  <c r="F172" i="15"/>
  <c r="C172" i="15"/>
  <c r="F112" i="15"/>
  <c r="C112" i="15"/>
  <c r="F206" i="15"/>
  <c r="C206" i="15"/>
  <c r="F111" i="15"/>
  <c r="C111" i="15"/>
  <c r="F205" i="15"/>
  <c r="C205" i="15"/>
  <c r="F110" i="15"/>
  <c r="C110" i="15"/>
  <c r="F141" i="14"/>
  <c r="E141" i="14"/>
  <c r="D141" i="14"/>
  <c r="C141" i="14"/>
  <c r="F43" i="14"/>
  <c r="E43" i="14"/>
  <c r="D43" i="14"/>
  <c r="C43" i="14"/>
  <c r="F29" i="14"/>
  <c r="E29" i="14"/>
  <c r="D29" i="14"/>
  <c r="C29" i="14"/>
  <c r="F140" i="14"/>
  <c r="E140" i="14"/>
  <c r="D140" i="14"/>
  <c r="C140" i="14"/>
  <c r="F42" i="14"/>
  <c r="E42" i="14"/>
  <c r="D42" i="14"/>
  <c r="C42" i="14"/>
  <c r="F28" i="14"/>
  <c r="E28" i="14"/>
  <c r="D28" i="14"/>
  <c r="C28" i="14"/>
  <c r="F105" i="14"/>
  <c r="C105" i="14"/>
  <c r="G26" i="14"/>
  <c r="F26" i="14"/>
  <c r="C26" i="14"/>
  <c r="F138" i="14"/>
  <c r="C138" i="14"/>
  <c r="G32" i="14"/>
  <c r="F32" i="14"/>
  <c r="C32" i="14"/>
  <c r="F136" i="14"/>
  <c r="C136" i="14"/>
  <c r="F135" i="14"/>
  <c r="C135" i="14"/>
  <c r="F12" i="14"/>
  <c r="C12" i="14"/>
  <c r="F11" i="14"/>
  <c r="C11" i="14"/>
  <c r="F10" i="14"/>
  <c r="C10" i="14"/>
  <c r="F125" i="14"/>
  <c r="C125" i="14"/>
  <c r="F84" i="14"/>
  <c r="C84" i="14"/>
  <c r="F61" i="14"/>
  <c r="C61" i="14"/>
  <c r="F56" i="14"/>
  <c r="C56" i="14"/>
  <c r="F46" i="14"/>
  <c r="C46" i="14"/>
  <c r="F45" i="14"/>
  <c r="C45" i="14"/>
  <c r="F137" i="14"/>
  <c r="C137" i="14"/>
  <c r="G31" i="14"/>
  <c r="F31" i="14"/>
  <c r="C31" i="14"/>
  <c r="F83" i="14"/>
  <c r="C83" i="14"/>
  <c r="F40" i="14"/>
  <c r="C40" i="14"/>
  <c r="F124" i="14"/>
  <c r="C124" i="14"/>
  <c r="F25" i="14"/>
  <c r="C25" i="14"/>
  <c r="F103" i="14"/>
  <c r="C103" i="14"/>
  <c r="F70" i="14"/>
  <c r="C70" i="14"/>
  <c r="F69" i="14"/>
  <c r="C69" i="14"/>
  <c r="F66" i="14"/>
  <c r="C66" i="14"/>
  <c r="G23" i="14"/>
  <c r="F23" i="14"/>
  <c r="C23" i="14"/>
  <c r="F68" i="14"/>
  <c r="C68" i="14"/>
  <c r="F65" i="14"/>
  <c r="C65" i="14"/>
  <c r="G22" i="14"/>
  <c r="F22" i="14"/>
  <c r="C22" i="14"/>
  <c r="F129" i="14"/>
  <c r="C129" i="14"/>
  <c r="F67" i="14"/>
  <c r="C67" i="14"/>
  <c r="F133" i="14"/>
  <c r="C133" i="14"/>
  <c r="F101" i="14"/>
  <c r="C101" i="14"/>
  <c r="F100" i="14"/>
  <c r="C100" i="14"/>
  <c r="F38" i="14"/>
  <c r="C38" i="14"/>
  <c r="F99" i="14"/>
  <c r="C99" i="14"/>
  <c r="F37" i="14"/>
  <c r="C37" i="14"/>
  <c r="F98" i="14"/>
  <c r="C98" i="14"/>
  <c r="F36" i="14"/>
  <c r="C36" i="14"/>
  <c r="F118" i="14"/>
  <c r="C118" i="14"/>
  <c r="F97" i="14"/>
  <c r="C97" i="14"/>
  <c r="F96" i="14"/>
  <c r="C96" i="14"/>
  <c r="F63" i="14"/>
  <c r="C63" i="14"/>
  <c r="F132" i="14"/>
  <c r="C132" i="14"/>
  <c r="F81" i="14"/>
  <c r="C81" i="14"/>
  <c r="F131" i="14"/>
  <c r="C131" i="14"/>
  <c r="F80" i="14"/>
  <c r="C80" i="14"/>
  <c r="F95" i="14"/>
  <c r="C95" i="14"/>
  <c r="F94" i="14"/>
  <c r="C94" i="14"/>
  <c r="F35" i="14"/>
  <c r="C35" i="14"/>
  <c r="F34" i="14"/>
  <c r="C34" i="14"/>
  <c r="F112" i="14"/>
  <c r="E112" i="14"/>
  <c r="C112" i="14"/>
  <c r="G20" i="14"/>
  <c r="F20" i="14"/>
  <c r="E20" i="14"/>
  <c r="C20" i="14"/>
  <c r="G92" i="14"/>
  <c r="F92" i="14"/>
  <c r="E92" i="14"/>
  <c r="C92" i="14"/>
  <c r="F54" i="14"/>
  <c r="E54" i="14"/>
  <c r="C54" i="14"/>
  <c r="F8" i="14"/>
  <c r="E8" i="14"/>
  <c r="C8" i="14"/>
  <c r="G91" i="14"/>
  <c r="F91" i="14"/>
  <c r="E91" i="14"/>
  <c r="C91" i="14"/>
  <c r="F53" i="14"/>
  <c r="E53" i="14"/>
  <c r="C53" i="14"/>
  <c r="F7" i="14"/>
  <c r="E7" i="14"/>
  <c r="C7" i="14"/>
  <c r="G90" i="14"/>
  <c r="F90" i="14"/>
  <c r="E90" i="14"/>
  <c r="C90" i="14"/>
  <c r="F52" i="14"/>
  <c r="E52" i="14"/>
  <c r="C52" i="14"/>
  <c r="F6" i="14"/>
  <c r="E6" i="14"/>
  <c r="C6" i="14"/>
  <c r="F111" i="14"/>
  <c r="E111" i="14"/>
  <c r="C111" i="14"/>
  <c r="G19" i="14"/>
  <c r="F19" i="14"/>
  <c r="E19" i="14"/>
  <c r="C19" i="14"/>
  <c r="F110" i="14"/>
  <c r="E110" i="14"/>
  <c r="C110" i="14"/>
  <c r="G18" i="14"/>
  <c r="F18" i="14"/>
  <c r="E18" i="14"/>
  <c r="C18" i="14"/>
  <c r="F109" i="14"/>
  <c r="E109" i="14"/>
  <c r="C109" i="14"/>
  <c r="G17" i="14"/>
  <c r="F17" i="14"/>
  <c r="E17" i="14"/>
  <c r="C17" i="14"/>
  <c r="F122" i="14"/>
  <c r="C122" i="14"/>
  <c r="F59" i="14"/>
  <c r="C59" i="14"/>
  <c r="G16" i="14"/>
  <c r="F16" i="14"/>
  <c r="C16" i="14"/>
  <c r="G89" i="14"/>
  <c r="F89" i="14"/>
  <c r="E89" i="14"/>
  <c r="C89" i="14"/>
  <c r="F51" i="14"/>
  <c r="E51" i="14"/>
  <c r="C51" i="14"/>
  <c r="F5" i="14"/>
  <c r="E5" i="14"/>
  <c r="C5" i="14"/>
  <c r="G88" i="14"/>
  <c r="F88" i="14"/>
  <c r="E88" i="14"/>
  <c r="C88" i="14"/>
  <c r="F50" i="14"/>
  <c r="E50" i="14"/>
  <c r="C50" i="14"/>
  <c r="F4" i="14"/>
  <c r="E4" i="14"/>
  <c r="C4" i="14"/>
  <c r="F113" i="14"/>
  <c r="E113" i="14"/>
  <c r="C113" i="14"/>
  <c r="F58" i="14"/>
  <c r="E58" i="14"/>
  <c r="C58" i="14"/>
  <c r="G15" i="14"/>
  <c r="F15" i="14"/>
  <c r="E15" i="14"/>
  <c r="C15" i="14"/>
  <c r="G87" i="14"/>
  <c r="F87" i="14"/>
  <c r="E87" i="14"/>
  <c r="C87" i="14"/>
  <c r="F49" i="14"/>
  <c r="E49" i="14"/>
  <c r="C49" i="14"/>
  <c r="F3" i="14"/>
  <c r="E3" i="14"/>
  <c r="C3" i="14"/>
  <c r="G86" i="14"/>
  <c r="F86" i="14"/>
  <c r="E86" i="14"/>
  <c r="C86" i="14"/>
  <c r="F48" i="14"/>
  <c r="E48" i="14"/>
  <c r="C48" i="14"/>
  <c r="F2" i="14"/>
  <c r="E2" i="14"/>
  <c r="C2" i="14"/>
  <c r="F78" i="14"/>
  <c r="C78" i="14"/>
  <c r="G14" i="14"/>
  <c r="F14" i="14"/>
  <c r="C14" i="14"/>
  <c r="F120" i="14"/>
  <c r="C120" i="14"/>
  <c r="F72" i="14"/>
  <c r="C72" i="14"/>
  <c r="F116" i="14"/>
  <c r="C116" i="14"/>
  <c r="F76" i="14"/>
  <c r="C76" i="14"/>
  <c r="F107" i="14"/>
  <c r="C107" i="14"/>
  <c r="F73" i="14"/>
  <c r="C73" i="14"/>
  <c r="F127" i="14"/>
  <c r="C127" i="14"/>
  <c r="F75" i="14"/>
  <c r="C75" i="14"/>
  <c r="F115" i="14"/>
  <c r="C115" i="14"/>
  <c r="F74" i="14"/>
  <c r="C74" i="14"/>
  <c r="F443" i="13"/>
  <c r="E443" i="13"/>
  <c r="D443" i="13"/>
  <c r="C443" i="13"/>
  <c r="F145" i="13"/>
  <c r="E145" i="13"/>
  <c r="D145" i="13"/>
  <c r="C145" i="13"/>
  <c r="F104" i="13"/>
  <c r="E104" i="13"/>
  <c r="D104" i="13"/>
  <c r="C104" i="13"/>
  <c r="F442" i="13"/>
  <c r="E442" i="13"/>
  <c r="D442" i="13"/>
  <c r="C442" i="13"/>
  <c r="F144" i="13"/>
  <c r="E144" i="13"/>
  <c r="D144" i="13"/>
  <c r="C144" i="13"/>
  <c r="F103" i="13"/>
  <c r="E103" i="13"/>
  <c r="D103" i="13"/>
  <c r="C103" i="13"/>
  <c r="F441" i="13"/>
  <c r="E441" i="13"/>
  <c r="D441" i="13"/>
  <c r="C441" i="13"/>
  <c r="F143" i="13"/>
  <c r="E143" i="13"/>
  <c r="D143" i="13"/>
  <c r="C143" i="13"/>
  <c r="F102" i="13"/>
  <c r="E102" i="13"/>
  <c r="D102" i="13"/>
  <c r="C102" i="13"/>
  <c r="F440" i="13"/>
  <c r="E440" i="13"/>
  <c r="D440" i="13"/>
  <c r="C440" i="13"/>
  <c r="F142" i="13"/>
  <c r="E142" i="13"/>
  <c r="D142" i="13"/>
  <c r="C142" i="13"/>
  <c r="F101" i="13"/>
  <c r="E101" i="13"/>
  <c r="D101" i="13"/>
  <c r="C101" i="13"/>
  <c r="F439" i="13"/>
  <c r="E439" i="13"/>
  <c r="D439" i="13"/>
  <c r="C439" i="13"/>
  <c r="F141" i="13"/>
  <c r="E141" i="13"/>
  <c r="D141" i="13"/>
  <c r="C141" i="13"/>
  <c r="F100" i="13"/>
  <c r="E100" i="13"/>
  <c r="D100" i="13"/>
  <c r="C100" i="13"/>
  <c r="F438" i="13"/>
  <c r="E438" i="13"/>
  <c r="D438" i="13"/>
  <c r="C438" i="13"/>
  <c r="F140" i="13"/>
  <c r="E140" i="13"/>
  <c r="D140" i="13"/>
  <c r="C140" i="13"/>
  <c r="F99" i="13"/>
  <c r="E99" i="13"/>
  <c r="D99" i="13"/>
  <c r="C99" i="13"/>
  <c r="F437" i="13"/>
  <c r="E437" i="13"/>
  <c r="D437" i="13"/>
  <c r="C437" i="13"/>
  <c r="F139" i="13"/>
  <c r="E139" i="13"/>
  <c r="D139" i="13"/>
  <c r="C139" i="13"/>
  <c r="F98" i="13"/>
  <c r="E98" i="13"/>
  <c r="D98" i="13"/>
  <c r="C98" i="13"/>
  <c r="F436" i="13"/>
  <c r="C436" i="13"/>
  <c r="F138" i="13"/>
  <c r="C138" i="13"/>
  <c r="F97" i="13"/>
  <c r="C97" i="13"/>
  <c r="F435" i="13"/>
  <c r="E435" i="13"/>
  <c r="D435" i="13"/>
  <c r="C435" i="13"/>
  <c r="F137" i="13"/>
  <c r="E137" i="13"/>
  <c r="D137" i="13"/>
  <c r="C137" i="13"/>
  <c r="F96" i="13"/>
  <c r="E96" i="13"/>
  <c r="D96" i="13"/>
  <c r="C96" i="13"/>
  <c r="F434" i="13"/>
  <c r="E434" i="13"/>
  <c r="D434" i="13"/>
  <c r="C434" i="13"/>
  <c r="F136" i="13"/>
  <c r="E136" i="13"/>
  <c r="D136" i="13"/>
  <c r="C136" i="13"/>
  <c r="F95" i="13"/>
  <c r="E95" i="13"/>
  <c r="D95" i="13"/>
  <c r="C95" i="13"/>
  <c r="F433" i="13"/>
  <c r="E433" i="13"/>
  <c r="D433" i="13"/>
  <c r="C433" i="13"/>
  <c r="F135" i="13"/>
  <c r="E135" i="13"/>
  <c r="D135" i="13"/>
  <c r="C135" i="13"/>
  <c r="F94" i="13"/>
  <c r="E94" i="13"/>
  <c r="D94" i="13"/>
  <c r="C94" i="13"/>
  <c r="F432" i="13"/>
  <c r="E432" i="13"/>
  <c r="D432" i="13"/>
  <c r="C432" i="13"/>
  <c r="F134" i="13"/>
  <c r="E134" i="13"/>
  <c r="D134" i="13"/>
  <c r="C134" i="13"/>
  <c r="F93" i="13"/>
  <c r="E93" i="13"/>
  <c r="D93" i="13"/>
  <c r="C93" i="13"/>
  <c r="F416" i="13"/>
  <c r="C416" i="13"/>
  <c r="F279" i="13"/>
  <c r="C279" i="13"/>
  <c r="F356" i="13"/>
  <c r="C356" i="13"/>
  <c r="F278" i="13"/>
  <c r="C278" i="13"/>
  <c r="F277" i="13"/>
  <c r="C277" i="13"/>
  <c r="F117" i="13"/>
  <c r="C117" i="13"/>
  <c r="F276" i="13"/>
  <c r="C276" i="13"/>
  <c r="F116" i="13"/>
  <c r="C116" i="13"/>
  <c r="F275" i="13"/>
  <c r="C275" i="13"/>
  <c r="F115" i="13"/>
  <c r="C115" i="13"/>
  <c r="F274" i="13"/>
  <c r="C274" i="13"/>
  <c r="F92" i="13"/>
  <c r="C92" i="13"/>
  <c r="F273" i="13"/>
  <c r="C273" i="13"/>
  <c r="F114" i="13"/>
  <c r="C114" i="13"/>
  <c r="F355" i="13"/>
  <c r="C355" i="13"/>
  <c r="F272" i="13"/>
  <c r="C272" i="13"/>
  <c r="F354" i="13"/>
  <c r="C354" i="13"/>
  <c r="F271" i="13"/>
  <c r="C271" i="13"/>
  <c r="F353" i="13"/>
  <c r="C353" i="13"/>
  <c r="F270" i="13"/>
  <c r="C270" i="13"/>
  <c r="F269" i="13"/>
  <c r="C269" i="13"/>
  <c r="F223" i="13"/>
  <c r="C223" i="13"/>
  <c r="F221" i="13"/>
  <c r="C221" i="13"/>
  <c r="F268" i="13"/>
  <c r="C268" i="13"/>
  <c r="F220" i="13"/>
  <c r="C220" i="13"/>
  <c r="F91" i="13"/>
  <c r="C91" i="13"/>
  <c r="F267" i="13"/>
  <c r="C267" i="13"/>
  <c r="F64" i="13"/>
  <c r="C64" i="13"/>
  <c r="F266" i="13"/>
  <c r="C266" i="13"/>
  <c r="F63" i="13"/>
  <c r="C63" i="13"/>
  <c r="F352" i="13"/>
  <c r="C352" i="13"/>
  <c r="F265" i="13"/>
  <c r="C265" i="13"/>
  <c r="F264" i="13"/>
  <c r="C264" i="13"/>
  <c r="F219" i="13"/>
  <c r="C219" i="13"/>
  <c r="F263" i="13"/>
  <c r="C263" i="13"/>
  <c r="F121" i="13"/>
  <c r="C121" i="13"/>
  <c r="F262" i="13"/>
  <c r="C262" i="13"/>
  <c r="F131" i="13"/>
  <c r="C131" i="13"/>
  <c r="F127" i="13"/>
  <c r="C127" i="13"/>
  <c r="F124" i="13"/>
  <c r="C124" i="13"/>
  <c r="F261" i="13"/>
  <c r="C261" i="13"/>
  <c r="F62" i="13"/>
  <c r="C62" i="13"/>
  <c r="F260" i="13"/>
  <c r="C260" i="13"/>
  <c r="F61" i="13"/>
  <c r="C61" i="13"/>
  <c r="F259" i="13"/>
  <c r="C259" i="13"/>
  <c r="F60" i="13"/>
  <c r="C60" i="13"/>
  <c r="F218" i="13"/>
  <c r="C218" i="13"/>
  <c r="F90" i="13"/>
  <c r="C90" i="13"/>
  <c r="F258" i="13"/>
  <c r="C258" i="13"/>
  <c r="F217" i="13"/>
  <c r="C217" i="13"/>
  <c r="F257" i="13"/>
  <c r="C257" i="13"/>
  <c r="F196" i="13"/>
  <c r="C196" i="13"/>
  <c r="F59" i="13"/>
  <c r="C59" i="13"/>
  <c r="F256" i="13"/>
  <c r="C256" i="13"/>
  <c r="F58" i="13"/>
  <c r="C58" i="13"/>
  <c r="F255" i="13"/>
  <c r="C255" i="13"/>
  <c r="F57" i="13"/>
  <c r="C57" i="13"/>
  <c r="F254" i="13"/>
  <c r="C254" i="13"/>
  <c r="F56" i="13"/>
  <c r="C56" i="13"/>
  <c r="F253" i="13"/>
  <c r="C253" i="13"/>
  <c r="F55" i="13"/>
  <c r="C55" i="13"/>
  <c r="F252" i="13"/>
  <c r="C252" i="13"/>
  <c r="F54" i="13"/>
  <c r="C54" i="13"/>
  <c r="F251" i="13"/>
  <c r="C251" i="13"/>
  <c r="F53" i="13"/>
  <c r="C53" i="13"/>
  <c r="F250" i="13"/>
  <c r="C250" i="13"/>
  <c r="F52" i="13"/>
  <c r="C52" i="13"/>
  <c r="F249" i="13"/>
  <c r="C249" i="13"/>
  <c r="F51" i="13"/>
  <c r="C51" i="13"/>
  <c r="F248" i="13"/>
  <c r="C248" i="13"/>
  <c r="F50" i="13"/>
  <c r="C50" i="13"/>
  <c r="F247" i="13"/>
  <c r="C247" i="13"/>
  <c r="F49" i="13"/>
  <c r="C49" i="13"/>
  <c r="F397" i="13"/>
  <c r="C397" i="13"/>
  <c r="F391" i="13"/>
  <c r="C391" i="13"/>
  <c r="F387" i="13"/>
  <c r="C387" i="13"/>
  <c r="F385" i="13"/>
  <c r="C385" i="13"/>
  <c r="F383" i="13"/>
  <c r="C383" i="13"/>
  <c r="F382" i="13"/>
  <c r="C382" i="13"/>
  <c r="F380" i="13"/>
  <c r="C380" i="13"/>
  <c r="F194" i="13"/>
  <c r="C194" i="13"/>
  <c r="F130" i="13"/>
  <c r="C130" i="13"/>
  <c r="F120" i="13"/>
  <c r="C120" i="13"/>
  <c r="F113" i="13"/>
  <c r="C113" i="13"/>
  <c r="F111" i="13"/>
  <c r="C111" i="13"/>
  <c r="F324" i="13"/>
  <c r="C324" i="13"/>
  <c r="F48" i="13"/>
  <c r="C48" i="13"/>
  <c r="F431" i="13"/>
  <c r="C431" i="13"/>
  <c r="F109" i="13"/>
  <c r="C109" i="13"/>
  <c r="F430" i="13"/>
  <c r="C430" i="13"/>
  <c r="F429" i="13"/>
  <c r="C429" i="13"/>
  <c r="F428" i="13"/>
  <c r="C428" i="13"/>
  <c r="F427" i="13"/>
  <c r="C427" i="13"/>
  <c r="F108" i="13"/>
  <c r="C108" i="13"/>
  <c r="F410" i="13"/>
  <c r="C410" i="13"/>
  <c r="F84" i="13"/>
  <c r="C84" i="13"/>
  <c r="F409" i="13"/>
  <c r="C409" i="13"/>
  <c r="F83" i="13"/>
  <c r="C83" i="13"/>
  <c r="F336" i="13"/>
  <c r="C336" i="13"/>
  <c r="F82" i="13"/>
  <c r="C82" i="13"/>
  <c r="F370" i="13"/>
  <c r="C370" i="13"/>
  <c r="F193" i="13"/>
  <c r="C193" i="13"/>
  <c r="F186" i="13"/>
  <c r="C186" i="13"/>
  <c r="F159" i="13"/>
  <c r="C159" i="13"/>
  <c r="F151" i="13"/>
  <c r="C151" i="13"/>
  <c r="F149" i="13"/>
  <c r="C149" i="13"/>
  <c r="F147" i="13"/>
  <c r="C147" i="13"/>
  <c r="F133" i="13"/>
  <c r="C133" i="13"/>
  <c r="F445" i="13"/>
  <c r="C445" i="13"/>
  <c r="F68" i="13"/>
  <c r="C68" i="13"/>
  <c r="F420" i="13"/>
  <c r="C420" i="13"/>
  <c r="F418" i="13"/>
  <c r="C418" i="13"/>
  <c r="F10" i="13"/>
  <c r="C10" i="13"/>
  <c r="F8" i="13"/>
  <c r="C8" i="13"/>
  <c r="F6" i="13"/>
  <c r="C6" i="13"/>
  <c r="F4" i="13"/>
  <c r="C4" i="13"/>
  <c r="F2" i="13"/>
  <c r="C2" i="13"/>
  <c r="F245" i="13"/>
  <c r="C245" i="13"/>
  <c r="F237" i="13"/>
  <c r="C237" i="13"/>
  <c r="F360" i="13"/>
  <c r="C360" i="13"/>
  <c r="F244" i="13"/>
  <c r="C244" i="13"/>
  <c r="F376" i="13"/>
  <c r="C376" i="13"/>
  <c r="F188" i="13"/>
  <c r="C188" i="13"/>
  <c r="F342" i="13"/>
  <c r="C342" i="13"/>
  <c r="F81" i="13"/>
  <c r="C81" i="13"/>
  <c r="F335" i="13"/>
  <c r="C335" i="13"/>
  <c r="F80" i="13"/>
  <c r="C80" i="13"/>
  <c r="F300" i="13"/>
  <c r="C300" i="13"/>
  <c r="F79" i="13"/>
  <c r="C79" i="13"/>
  <c r="F310" i="13"/>
  <c r="C310" i="13"/>
  <c r="F78" i="13"/>
  <c r="C78" i="13"/>
  <c r="F323" i="13"/>
  <c r="C323" i="13"/>
  <c r="F77" i="13"/>
  <c r="C77" i="13"/>
  <c r="F399" i="13"/>
  <c r="C399" i="13"/>
  <c r="F129" i="13"/>
  <c r="C129" i="13"/>
  <c r="F126" i="13"/>
  <c r="C126" i="13"/>
  <c r="F123" i="13"/>
  <c r="C123" i="13"/>
  <c r="F374" i="13"/>
  <c r="C374" i="13"/>
  <c r="F372" i="13"/>
  <c r="C372" i="13"/>
  <c r="F192" i="13"/>
  <c r="C192" i="13"/>
  <c r="F191" i="13"/>
  <c r="C191" i="13"/>
  <c r="F401" i="13"/>
  <c r="C401" i="13"/>
  <c r="F119" i="13"/>
  <c r="C119" i="13"/>
  <c r="F369" i="13"/>
  <c r="C369" i="13"/>
  <c r="F190" i="13"/>
  <c r="C190" i="13"/>
  <c r="F426" i="13"/>
  <c r="C426" i="13"/>
  <c r="F425" i="13"/>
  <c r="C425" i="13"/>
  <c r="F424" i="13"/>
  <c r="C424" i="13"/>
  <c r="F423" i="13"/>
  <c r="C423" i="13"/>
  <c r="F107" i="13"/>
  <c r="C107" i="13"/>
  <c r="F422" i="13"/>
  <c r="C422" i="13"/>
  <c r="F106" i="13"/>
  <c r="C106" i="13"/>
  <c r="F408" i="13"/>
  <c r="C408" i="13"/>
  <c r="F76" i="13"/>
  <c r="C76" i="13"/>
  <c r="F407" i="13"/>
  <c r="C407" i="13"/>
  <c r="F75" i="13"/>
  <c r="C75" i="13"/>
  <c r="F334" i="13"/>
  <c r="C334" i="13"/>
  <c r="F74" i="13"/>
  <c r="C74" i="13"/>
  <c r="F299" i="13"/>
  <c r="C299" i="13"/>
  <c r="F73" i="13"/>
  <c r="C73" i="13"/>
  <c r="F298" i="13"/>
  <c r="C298" i="13"/>
  <c r="F72" i="13"/>
  <c r="C72" i="13"/>
  <c r="F322" i="13"/>
  <c r="C322" i="13"/>
  <c r="F71" i="13"/>
  <c r="C71" i="13"/>
  <c r="F321" i="13"/>
  <c r="C321" i="13"/>
  <c r="F70" i="13"/>
  <c r="C70" i="13"/>
  <c r="F320" i="13"/>
  <c r="C320" i="13"/>
  <c r="F216" i="13"/>
  <c r="C216" i="13"/>
  <c r="F87" i="13"/>
  <c r="C87" i="13"/>
  <c r="F86" i="13"/>
  <c r="C86" i="13"/>
  <c r="F67" i="13"/>
  <c r="C67" i="13"/>
  <c r="F47" i="13"/>
  <c r="C47" i="13"/>
  <c r="F351" i="13"/>
  <c r="C351" i="13"/>
  <c r="F286" i="13"/>
  <c r="C286" i="13"/>
  <c r="F350" i="13"/>
  <c r="C350" i="13"/>
  <c r="F285" i="13"/>
  <c r="C285" i="13"/>
  <c r="F349" i="13"/>
  <c r="C349" i="13"/>
  <c r="F284" i="13"/>
  <c r="C284" i="13"/>
  <c r="F283" i="13"/>
  <c r="C283" i="13"/>
  <c r="F46" i="13"/>
  <c r="C46" i="13"/>
  <c r="F282" i="13"/>
  <c r="C282" i="13"/>
  <c r="F45" i="13"/>
  <c r="C45" i="13"/>
  <c r="F281" i="13"/>
  <c r="C281" i="13"/>
  <c r="F44" i="13"/>
  <c r="C44" i="13"/>
  <c r="F389" i="13"/>
  <c r="C389" i="13"/>
  <c r="F347" i="13"/>
  <c r="C347" i="13"/>
  <c r="F215" i="13"/>
  <c r="C215" i="13"/>
  <c r="F214" i="13"/>
  <c r="C214" i="13"/>
  <c r="F89" i="13"/>
  <c r="C89" i="13"/>
  <c r="F345" i="13"/>
  <c r="C345" i="13"/>
  <c r="F213" i="13"/>
  <c r="C213" i="13"/>
  <c r="F344" i="13"/>
  <c r="C344" i="13"/>
  <c r="F212" i="13"/>
  <c r="C212" i="13"/>
  <c r="F412" i="13"/>
  <c r="C412" i="13"/>
  <c r="F211" i="13"/>
  <c r="C211" i="13"/>
  <c r="F319" i="13"/>
  <c r="C319" i="13"/>
  <c r="F210" i="13"/>
  <c r="C210" i="13"/>
  <c r="F185" i="13"/>
  <c r="C185" i="13"/>
  <c r="F318" i="13"/>
  <c r="C318" i="13"/>
  <c r="F209" i="13"/>
  <c r="C209" i="13"/>
  <c r="F184" i="13"/>
  <c r="C184" i="13"/>
  <c r="F317" i="13"/>
  <c r="C317" i="13"/>
  <c r="F208" i="13"/>
  <c r="C208" i="13"/>
  <c r="F183" i="13"/>
  <c r="C183" i="13"/>
  <c r="F293" i="13"/>
  <c r="C293" i="13"/>
  <c r="F207" i="13"/>
  <c r="C207" i="13"/>
  <c r="F333" i="13"/>
  <c r="C333" i="13"/>
  <c r="F206" i="13"/>
  <c r="C206" i="13"/>
  <c r="F182" i="13"/>
  <c r="C182" i="13"/>
  <c r="F332" i="13"/>
  <c r="C332" i="13"/>
  <c r="F205" i="13"/>
  <c r="C205" i="13"/>
  <c r="F181" i="13"/>
  <c r="C181" i="13"/>
  <c r="F288" i="13"/>
  <c r="C288" i="13"/>
  <c r="F204" i="13"/>
  <c r="C204" i="13"/>
  <c r="F180" i="13"/>
  <c r="C180" i="13"/>
  <c r="F203" i="13"/>
  <c r="C203" i="13"/>
  <c r="F66" i="13"/>
  <c r="C66" i="13"/>
  <c r="F291" i="13"/>
  <c r="C291" i="13"/>
  <c r="F202" i="13"/>
  <c r="C202" i="13"/>
  <c r="F179" i="13"/>
  <c r="C179" i="13"/>
  <c r="F290" i="13"/>
  <c r="C290" i="13"/>
  <c r="F201" i="13"/>
  <c r="C201" i="13"/>
  <c r="F178" i="13"/>
  <c r="C178" i="13"/>
  <c r="F200" i="13"/>
  <c r="C200" i="13"/>
  <c r="F43" i="13"/>
  <c r="C43" i="13"/>
  <c r="F331" i="13"/>
  <c r="E331" i="13"/>
  <c r="C331" i="13"/>
  <c r="F42" i="13"/>
  <c r="E42" i="13"/>
  <c r="C42" i="13"/>
  <c r="F297" i="13"/>
  <c r="E297" i="13"/>
  <c r="C297" i="13"/>
  <c r="F158" i="13"/>
  <c r="E158" i="13"/>
  <c r="C158" i="13"/>
  <c r="F41" i="13"/>
  <c r="E41" i="13"/>
  <c r="C41" i="13"/>
  <c r="F302" i="13"/>
  <c r="E302" i="13"/>
  <c r="C302" i="13"/>
  <c r="F40" i="13"/>
  <c r="E40" i="13"/>
  <c r="C40" i="13"/>
  <c r="F395" i="13"/>
  <c r="E395" i="13"/>
  <c r="C395" i="13"/>
  <c r="F39" i="13"/>
  <c r="E39" i="13"/>
  <c r="C39" i="13"/>
  <c r="F330" i="13"/>
  <c r="E330" i="13"/>
  <c r="C330" i="13"/>
  <c r="F177" i="13"/>
  <c r="E177" i="13"/>
  <c r="C177" i="13"/>
  <c r="F38" i="13"/>
  <c r="E38" i="13"/>
  <c r="C38" i="13"/>
  <c r="F338" i="13"/>
  <c r="E338" i="13"/>
  <c r="C338" i="13"/>
  <c r="F37" i="13"/>
  <c r="E37" i="13"/>
  <c r="C37" i="13"/>
  <c r="F394" i="13"/>
  <c r="E394" i="13"/>
  <c r="C394" i="13"/>
  <c r="F36" i="13"/>
  <c r="E36" i="13"/>
  <c r="C36" i="13"/>
  <c r="F306" i="13"/>
  <c r="E306" i="13"/>
  <c r="C306" i="13"/>
  <c r="F157" i="13"/>
  <c r="E157" i="13"/>
  <c r="C157" i="13"/>
  <c r="F35" i="13"/>
  <c r="E35" i="13"/>
  <c r="C35" i="13"/>
  <c r="F305" i="13"/>
  <c r="E305" i="13"/>
  <c r="C305" i="13"/>
  <c r="F156" i="13"/>
  <c r="E156" i="13"/>
  <c r="C156" i="13"/>
  <c r="F34" i="13"/>
  <c r="E34" i="13"/>
  <c r="C34" i="13"/>
  <c r="F304" i="13"/>
  <c r="E304" i="13"/>
  <c r="C304" i="13"/>
  <c r="F155" i="13"/>
  <c r="E155" i="13"/>
  <c r="C155" i="13"/>
  <c r="F33" i="13"/>
  <c r="E33" i="13"/>
  <c r="C33" i="13"/>
  <c r="F316" i="13"/>
  <c r="C316" i="13"/>
  <c r="F176" i="13"/>
  <c r="C176" i="13"/>
  <c r="F32" i="13"/>
  <c r="C32" i="13"/>
  <c r="F406" i="13"/>
  <c r="E406" i="13"/>
  <c r="C406" i="13"/>
  <c r="F175" i="13"/>
  <c r="E175" i="13"/>
  <c r="C175" i="13"/>
  <c r="F31" i="13"/>
  <c r="E31" i="13"/>
  <c r="C31" i="13"/>
  <c r="F405" i="13"/>
  <c r="E405" i="13"/>
  <c r="C405" i="13"/>
  <c r="F174" i="13"/>
  <c r="E174" i="13"/>
  <c r="C174" i="13"/>
  <c r="F30" i="13"/>
  <c r="E30" i="13"/>
  <c r="C30" i="13"/>
  <c r="F404" i="13"/>
  <c r="C404" i="13"/>
  <c r="F173" i="13"/>
  <c r="C173" i="13"/>
  <c r="F29" i="13"/>
  <c r="C29" i="13"/>
  <c r="F403" i="13"/>
  <c r="C403" i="13"/>
  <c r="F172" i="13"/>
  <c r="C172" i="13"/>
  <c r="F28" i="13"/>
  <c r="C28" i="13"/>
  <c r="F243" i="13"/>
  <c r="C243" i="13"/>
  <c r="F27" i="13"/>
  <c r="C27" i="13"/>
  <c r="F329" i="13"/>
  <c r="C329" i="13"/>
  <c r="F199" i="13"/>
  <c r="C199" i="13"/>
  <c r="F171" i="13"/>
  <c r="C171" i="13"/>
  <c r="F328" i="13"/>
  <c r="C328" i="13"/>
  <c r="F198" i="13"/>
  <c r="C198" i="13"/>
  <c r="F170" i="13"/>
  <c r="C170" i="13"/>
  <c r="F296" i="13"/>
  <c r="E296" i="13"/>
  <c r="C296" i="13"/>
  <c r="F154" i="13"/>
  <c r="E154" i="13"/>
  <c r="C154" i="13"/>
  <c r="F26" i="13"/>
  <c r="E26" i="13"/>
  <c r="C26" i="13"/>
  <c r="F295" i="13"/>
  <c r="E295" i="13"/>
  <c r="C295" i="13"/>
  <c r="F153" i="13"/>
  <c r="E153" i="13"/>
  <c r="C153" i="13"/>
  <c r="F25" i="13"/>
  <c r="E25" i="13"/>
  <c r="C25" i="13"/>
  <c r="F341" i="13"/>
  <c r="E341" i="13"/>
  <c r="C341" i="13"/>
  <c r="F169" i="13"/>
  <c r="E169" i="13"/>
  <c r="C169" i="13"/>
  <c r="F24" i="13"/>
  <c r="E24" i="13"/>
  <c r="C24" i="13"/>
  <c r="F340" i="13"/>
  <c r="E340" i="13"/>
  <c r="C340" i="13"/>
  <c r="F168" i="13"/>
  <c r="E168" i="13"/>
  <c r="C168" i="13"/>
  <c r="F23" i="13"/>
  <c r="E23" i="13"/>
  <c r="C23" i="13"/>
  <c r="F315" i="13"/>
  <c r="E315" i="13"/>
  <c r="C315" i="13"/>
  <c r="F167" i="13"/>
  <c r="E167" i="13"/>
  <c r="C167" i="13"/>
  <c r="F22" i="13"/>
  <c r="E22" i="13"/>
  <c r="C22" i="13"/>
  <c r="F327" i="13"/>
  <c r="E327" i="13"/>
  <c r="C327" i="13"/>
  <c r="F166" i="13"/>
  <c r="E166" i="13"/>
  <c r="C166" i="13"/>
  <c r="F21" i="13"/>
  <c r="E21" i="13"/>
  <c r="C21" i="13"/>
  <c r="F326" i="13"/>
  <c r="E326" i="13"/>
  <c r="C326" i="13"/>
  <c r="F165" i="13"/>
  <c r="E165" i="13"/>
  <c r="C165" i="13"/>
  <c r="F20" i="13"/>
  <c r="E20" i="13"/>
  <c r="C20" i="13"/>
  <c r="F236" i="13"/>
  <c r="E236" i="13"/>
  <c r="C236" i="13"/>
  <c r="F19" i="13"/>
  <c r="E19" i="13"/>
  <c r="C19" i="13"/>
  <c r="F235" i="13"/>
  <c r="E235" i="13"/>
  <c r="C235" i="13"/>
  <c r="F18" i="13"/>
  <c r="E18" i="13"/>
  <c r="C18" i="13"/>
  <c r="F365" i="13"/>
  <c r="E365" i="13"/>
  <c r="C365" i="13"/>
  <c r="F164" i="13"/>
  <c r="E164" i="13"/>
  <c r="C164" i="13"/>
  <c r="F17" i="13"/>
  <c r="E17" i="13"/>
  <c r="C17" i="13"/>
  <c r="F364" i="13"/>
  <c r="E364" i="13"/>
  <c r="C364" i="13"/>
  <c r="F163" i="13"/>
  <c r="E163" i="13"/>
  <c r="C163" i="13"/>
  <c r="F16" i="13"/>
  <c r="E16" i="13"/>
  <c r="C16" i="13"/>
  <c r="F234" i="13"/>
  <c r="E234" i="13"/>
  <c r="C234" i="13"/>
  <c r="F162" i="13"/>
  <c r="E162" i="13"/>
  <c r="C162" i="13"/>
  <c r="F15" i="13"/>
  <c r="E15" i="13"/>
  <c r="C15" i="13"/>
  <c r="F233" i="13"/>
  <c r="E233" i="13"/>
  <c r="C233" i="13"/>
  <c r="F161" i="13"/>
  <c r="E161" i="13"/>
  <c r="C161" i="13"/>
  <c r="F14" i="13"/>
  <c r="E14" i="13"/>
  <c r="C14" i="13"/>
  <c r="F232" i="13"/>
  <c r="C232" i="13"/>
  <c r="F13" i="13"/>
  <c r="C13" i="13"/>
  <c r="F231" i="13"/>
  <c r="C231" i="13"/>
  <c r="F12" i="13"/>
  <c r="C12" i="13"/>
  <c r="F313" i="13"/>
  <c r="C313" i="13"/>
  <c r="F230" i="13"/>
  <c r="C230" i="13"/>
  <c r="F358" i="13"/>
  <c r="C358" i="13"/>
  <c r="F229" i="13"/>
  <c r="C229" i="13"/>
  <c r="F367" i="13"/>
  <c r="C367" i="13"/>
  <c r="F242" i="13"/>
  <c r="C242" i="13"/>
  <c r="F363" i="13"/>
  <c r="C363" i="13"/>
  <c r="F228" i="13"/>
  <c r="C228" i="13"/>
  <c r="F362" i="13"/>
  <c r="C362" i="13"/>
  <c r="F227" i="13"/>
  <c r="C227" i="13"/>
  <c r="F308" i="13"/>
  <c r="C308" i="13"/>
  <c r="F226" i="13"/>
  <c r="C226" i="13"/>
  <c r="F312" i="13"/>
  <c r="C312" i="13"/>
  <c r="F241" i="13"/>
  <c r="C241" i="13"/>
  <c r="F393" i="13"/>
  <c r="C393" i="13"/>
  <c r="F240" i="13"/>
  <c r="C240" i="13"/>
  <c r="F414" i="13"/>
  <c r="C414" i="13"/>
  <c r="F225" i="13"/>
  <c r="C225" i="13"/>
  <c r="F378" i="13"/>
  <c r="C378" i="13"/>
  <c r="F239" i="13"/>
  <c r="C239" i="13"/>
  <c r="F1186" i="12"/>
  <c r="F806" i="12"/>
  <c r="F524" i="12"/>
  <c r="G284" i="12"/>
  <c r="F284" i="12"/>
  <c r="F1185" i="12"/>
  <c r="F523" i="12"/>
  <c r="G283" i="12"/>
  <c r="F283" i="12"/>
  <c r="F1184" i="12"/>
  <c r="F805" i="12"/>
  <c r="F522" i="12"/>
  <c r="G282" i="12"/>
  <c r="F282" i="12"/>
  <c r="F1183" i="12"/>
  <c r="F804" i="12"/>
  <c r="F521" i="12"/>
  <c r="G281" i="12"/>
  <c r="F281" i="12"/>
  <c r="F1182" i="12"/>
  <c r="F520" i="12"/>
  <c r="G280" i="12"/>
  <c r="F280" i="12"/>
  <c r="F1181" i="12"/>
  <c r="F519" i="12"/>
  <c r="G279" i="12"/>
  <c r="F279" i="12"/>
  <c r="F1180" i="12"/>
  <c r="F803" i="12"/>
  <c r="F518" i="12"/>
  <c r="G278" i="12"/>
  <c r="F278" i="12"/>
  <c r="F1200" i="12"/>
  <c r="F1179" i="12"/>
  <c r="F517" i="12"/>
  <c r="G277" i="12"/>
  <c r="F277" i="12"/>
  <c r="F1178" i="12"/>
  <c r="F802" i="12"/>
  <c r="F516" i="12"/>
  <c r="G276" i="12"/>
  <c r="F276" i="12"/>
  <c r="F1177" i="12"/>
  <c r="F801" i="12"/>
  <c r="F515" i="12"/>
  <c r="G275" i="12"/>
  <c r="F275" i="12"/>
  <c r="F1176" i="12"/>
  <c r="F800" i="12"/>
  <c r="F514" i="12"/>
  <c r="G274" i="12"/>
  <c r="F274" i="12"/>
  <c r="F1175" i="12"/>
  <c r="F799" i="12"/>
  <c r="F513" i="12"/>
  <c r="G273" i="12"/>
  <c r="F273" i="12"/>
  <c r="F1174" i="12"/>
  <c r="F798" i="12"/>
  <c r="F512" i="12"/>
  <c r="G272" i="12"/>
  <c r="F272" i="12"/>
  <c r="F1173" i="12"/>
  <c r="F797" i="12"/>
  <c r="F511" i="12"/>
  <c r="G271" i="12"/>
  <c r="F271" i="12"/>
  <c r="F1172" i="12"/>
  <c r="F796" i="12"/>
  <c r="F510" i="12"/>
  <c r="G270" i="12"/>
  <c r="F270" i="12"/>
  <c r="F1214" i="12"/>
  <c r="F1171" i="12"/>
  <c r="F795" i="12"/>
  <c r="F509" i="12"/>
  <c r="G269" i="12"/>
  <c r="F269" i="12"/>
  <c r="F1170" i="12"/>
  <c r="F794" i="12"/>
  <c r="F508" i="12"/>
  <c r="G268" i="12"/>
  <c r="F268" i="12"/>
  <c r="F1169" i="12"/>
  <c r="F793" i="12"/>
  <c r="F507" i="12"/>
  <c r="G267" i="12"/>
  <c r="F267" i="12"/>
  <c r="F1168" i="12"/>
  <c r="F792" i="12"/>
  <c r="F506" i="12"/>
  <c r="G266" i="12"/>
  <c r="F266" i="12"/>
  <c r="F1167" i="12"/>
  <c r="F791" i="12"/>
  <c r="F505" i="12"/>
  <c r="G265" i="12"/>
  <c r="F265" i="12"/>
  <c r="F1166" i="12"/>
  <c r="F790" i="12"/>
  <c r="F504" i="12"/>
  <c r="G264" i="12"/>
  <c r="F264" i="12"/>
  <c r="F1165" i="12"/>
  <c r="F789" i="12"/>
  <c r="F503" i="12"/>
  <c r="G263" i="12"/>
  <c r="F263" i="12"/>
  <c r="F1164" i="12"/>
  <c r="F788" i="12"/>
  <c r="F502" i="12"/>
  <c r="G262" i="12"/>
  <c r="F262" i="12"/>
  <c r="F1163" i="12"/>
  <c r="F787" i="12"/>
  <c r="F501" i="12"/>
  <c r="G261" i="12"/>
  <c r="F261" i="12"/>
  <c r="F1162" i="12"/>
  <c r="F500" i="12"/>
  <c r="G260" i="12"/>
  <c r="F260" i="12"/>
  <c r="F1161" i="12"/>
  <c r="F786" i="12"/>
  <c r="F499" i="12"/>
  <c r="G259" i="12"/>
  <c r="F259" i="12"/>
  <c r="F1160" i="12"/>
  <c r="F785" i="12"/>
  <c r="F498" i="12"/>
  <c r="G258" i="12"/>
  <c r="F258" i="12"/>
  <c r="F1213" i="12"/>
  <c r="F1159" i="12"/>
  <c r="F784" i="12"/>
  <c r="F497" i="12"/>
  <c r="G257" i="12"/>
  <c r="F257" i="12"/>
  <c r="F1158" i="12"/>
  <c r="F783" i="12"/>
  <c r="F496" i="12"/>
  <c r="G256" i="12"/>
  <c r="F256" i="12"/>
  <c r="F1157" i="12"/>
  <c r="F782" i="12"/>
  <c r="F495" i="12"/>
  <c r="G255" i="12"/>
  <c r="F255" i="12"/>
  <c r="F1156" i="12"/>
  <c r="F781" i="12"/>
  <c r="F494" i="12"/>
  <c r="G254" i="12"/>
  <c r="F254" i="12"/>
  <c r="F1199" i="12"/>
  <c r="F1155" i="12"/>
  <c r="F493" i="12"/>
  <c r="G253" i="12"/>
  <c r="F253" i="12"/>
  <c r="F1198" i="12"/>
  <c r="F1154" i="12"/>
  <c r="F492" i="12"/>
  <c r="G252" i="12"/>
  <c r="F252" i="12"/>
  <c r="F1153" i="12"/>
  <c r="F780" i="12"/>
  <c r="F491" i="12"/>
  <c r="G251" i="12"/>
  <c r="F251" i="12"/>
  <c r="F1152" i="12"/>
  <c r="F779" i="12"/>
  <c r="F490" i="12"/>
  <c r="G250" i="12"/>
  <c r="F250" i="12"/>
  <c r="F1151" i="12"/>
  <c r="F778" i="12"/>
  <c r="F489" i="12"/>
  <c r="G249" i="12"/>
  <c r="F249" i="12"/>
  <c r="F1150" i="12"/>
  <c r="F777" i="12"/>
  <c r="F488" i="12"/>
  <c r="G248" i="12"/>
  <c r="F248" i="12"/>
  <c r="F1149" i="12"/>
  <c r="F776" i="12"/>
  <c r="F487" i="12"/>
  <c r="G247" i="12"/>
  <c r="F247" i="12"/>
  <c r="F1148" i="12"/>
  <c r="F775" i="12"/>
  <c r="F486" i="12"/>
  <c r="G246" i="12"/>
  <c r="F246" i="12"/>
  <c r="F1147" i="12"/>
  <c r="F774" i="12"/>
  <c r="F485" i="12"/>
  <c r="G245" i="12"/>
  <c r="F245" i="12"/>
  <c r="F1146" i="12"/>
  <c r="F773" i="12"/>
  <c r="F484" i="12"/>
  <c r="G244" i="12"/>
  <c r="F244" i="12"/>
  <c r="F1197" i="12"/>
  <c r="F1145" i="12"/>
  <c r="F483" i="12"/>
  <c r="G243" i="12"/>
  <c r="F243" i="12"/>
  <c r="F1144" i="12"/>
  <c r="F772" i="12"/>
  <c r="F482" i="12"/>
  <c r="G242" i="12"/>
  <c r="F242" i="12"/>
  <c r="F1143" i="12"/>
  <c r="F1142" i="12"/>
  <c r="F1141" i="12"/>
  <c r="F771" i="12"/>
  <c r="F770" i="12"/>
  <c r="F769" i="12"/>
  <c r="F481" i="12"/>
  <c r="F480" i="12"/>
  <c r="F479" i="12"/>
  <c r="G241" i="12"/>
  <c r="F241" i="12"/>
  <c r="G240" i="12"/>
  <c r="F240" i="12"/>
  <c r="G239" i="12"/>
  <c r="F239" i="12"/>
  <c r="F1140" i="12"/>
  <c r="F1139" i="12"/>
  <c r="F1138" i="12"/>
  <c r="F768" i="12"/>
  <c r="F767" i="12"/>
  <c r="F766" i="12"/>
  <c r="F478" i="12"/>
  <c r="F477" i="12"/>
  <c r="F476" i="12"/>
  <c r="G238" i="12"/>
  <c r="F238" i="12"/>
  <c r="G237" i="12"/>
  <c r="F237" i="12"/>
  <c r="G236" i="12"/>
  <c r="F236" i="12"/>
  <c r="F1137" i="12"/>
  <c r="F1136" i="12"/>
  <c r="F1135" i="12"/>
  <c r="F765" i="12"/>
  <c r="F764" i="12"/>
  <c r="F763" i="12"/>
  <c r="F475" i="12"/>
  <c r="F474" i="12"/>
  <c r="F473" i="12"/>
  <c r="G235" i="12"/>
  <c r="F235" i="12"/>
  <c r="G234" i="12"/>
  <c r="F234" i="12"/>
  <c r="G233" i="12"/>
  <c r="F233" i="12"/>
  <c r="F1134" i="12"/>
  <c r="F1133" i="12"/>
  <c r="F1132" i="12"/>
  <c r="F762" i="12"/>
  <c r="F761" i="12"/>
  <c r="F760" i="12"/>
  <c r="F472" i="12"/>
  <c r="F471" i="12"/>
  <c r="F470" i="12"/>
  <c r="G232" i="12"/>
  <c r="F232" i="12"/>
  <c r="G231" i="12"/>
  <c r="F231" i="12"/>
  <c r="G230" i="12"/>
  <c r="F230" i="12"/>
  <c r="F1131" i="12"/>
  <c r="F1130" i="12"/>
  <c r="F1129" i="12"/>
  <c r="F759" i="12"/>
  <c r="F758" i="12"/>
  <c r="F757" i="12"/>
  <c r="F469" i="12"/>
  <c r="F468" i="12"/>
  <c r="F467" i="12"/>
  <c r="G229" i="12"/>
  <c r="F229" i="12"/>
  <c r="G228" i="12"/>
  <c r="F228" i="12"/>
  <c r="G227" i="12"/>
  <c r="F227" i="12"/>
  <c r="F1128" i="12"/>
  <c r="F1127" i="12"/>
  <c r="F1126" i="12"/>
  <c r="F466" i="12"/>
  <c r="F465" i="12"/>
  <c r="F464" i="12"/>
  <c r="G226" i="12"/>
  <c r="F226" i="12"/>
  <c r="G225" i="12"/>
  <c r="F225" i="12"/>
  <c r="G224" i="12"/>
  <c r="F224" i="12"/>
  <c r="F1125" i="12"/>
  <c r="F1124" i="12"/>
  <c r="F1123" i="12"/>
  <c r="F756" i="12"/>
  <c r="F755" i="12"/>
  <c r="F754" i="12"/>
  <c r="F463" i="12"/>
  <c r="F462" i="12"/>
  <c r="F461" i="12"/>
  <c r="G223" i="12"/>
  <c r="F223" i="12"/>
  <c r="G222" i="12"/>
  <c r="F222" i="12"/>
  <c r="G221" i="12"/>
  <c r="F221" i="12"/>
  <c r="F1122" i="12"/>
  <c r="F1121" i="12"/>
  <c r="F1120" i="12"/>
  <c r="F753" i="12"/>
  <c r="F752" i="12"/>
  <c r="F751" i="12"/>
  <c r="F460" i="12"/>
  <c r="F459" i="12"/>
  <c r="F458" i="12"/>
  <c r="G220" i="12"/>
  <c r="F220" i="12"/>
  <c r="G219" i="12"/>
  <c r="F219" i="12"/>
  <c r="G218" i="12"/>
  <c r="F218" i="12"/>
  <c r="F1119" i="12"/>
  <c r="F1118" i="12"/>
  <c r="F1117" i="12"/>
  <c r="F750" i="12"/>
  <c r="F749" i="12"/>
  <c r="F748" i="12"/>
  <c r="F457" i="12"/>
  <c r="F456" i="12"/>
  <c r="F455" i="12"/>
  <c r="G217" i="12"/>
  <c r="F217" i="12"/>
  <c r="G216" i="12"/>
  <c r="F216" i="12"/>
  <c r="G215" i="12"/>
  <c r="F215" i="12"/>
  <c r="F1116" i="12"/>
  <c r="F1115" i="12"/>
  <c r="F1114" i="12"/>
  <c r="F747" i="12"/>
  <c r="F746" i="12"/>
  <c r="F745" i="12"/>
  <c r="F454" i="12"/>
  <c r="F453" i="12"/>
  <c r="F452" i="12"/>
  <c r="G214" i="12"/>
  <c r="F214" i="12"/>
  <c r="G213" i="12"/>
  <c r="F213" i="12"/>
  <c r="G212" i="12"/>
  <c r="F212" i="12"/>
  <c r="F1113" i="12"/>
  <c r="F1112" i="12"/>
  <c r="F1111" i="12"/>
  <c r="F744" i="12"/>
  <c r="F743" i="12"/>
  <c r="F742" i="12"/>
  <c r="F451" i="12"/>
  <c r="F450" i="12"/>
  <c r="F449" i="12"/>
  <c r="G211" i="12"/>
  <c r="F211" i="12"/>
  <c r="G210" i="12"/>
  <c r="F210" i="12"/>
  <c r="G209" i="12"/>
  <c r="F209" i="12"/>
  <c r="F1110" i="12"/>
  <c r="F1109" i="12"/>
  <c r="F1108" i="12"/>
  <c r="F741" i="12"/>
  <c r="F740" i="12"/>
  <c r="F739" i="12"/>
  <c r="F448" i="12"/>
  <c r="F447" i="12"/>
  <c r="F446" i="12"/>
  <c r="G208" i="12"/>
  <c r="F208" i="12"/>
  <c r="G207" i="12"/>
  <c r="F207" i="12"/>
  <c r="G206" i="12"/>
  <c r="F206" i="12"/>
  <c r="F1107" i="12"/>
  <c r="F1106" i="12"/>
  <c r="F1105" i="12"/>
  <c r="F738" i="12"/>
  <c r="F737" i="12"/>
  <c r="F736" i="12"/>
  <c r="F445" i="12"/>
  <c r="F444" i="12"/>
  <c r="F443" i="12"/>
  <c r="G205" i="12"/>
  <c r="F205" i="12"/>
  <c r="G204" i="12"/>
  <c r="F204" i="12"/>
  <c r="G203" i="12"/>
  <c r="F203" i="12"/>
  <c r="F1104" i="12"/>
  <c r="F1103" i="12"/>
  <c r="F1102" i="12"/>
  <c r="F735" i="12"/>
  <c r="F734" i="12"/>
  <c r="F733" i="12"/>
  <c r="F442" i="12"/>
  <c r="F441" i="12"/>
  <c r="F440" i="12"/>
  <c r="G202" i="12"/>
  <c r="F202" i="12"/>
  <c r="G201" i="12"/>
  <c r="F201" i="12"/>
  <c r="G200" i="12"/>
  <c r="F200" i="12"/>
  <c r="F1101" i="12"/>
  <c r="F1100" i="12"/>
  <c r="F1099" i="12"/>
  <c r="F732" i="12"/>
  <c r="F731" i="12"/>
  <c r="F730" i="12"/>
  <c r="F439" i="12"/>
  <c r="F438" i="12"/>
  <c r="F437" i="12"/>
  <c r="G199" i="12"/>
  <c r="F199" i="12"/>
  <c r="G198" i="12"/>
  <c r="F198" i="12"/>
  <c r="G197" i="12"/>
  <c r="F197" i="12"/>
  <c r="F1098" i="12"/>
  <c r="F1097" i="12"/>
  <c r="F1096" i="12"/>
  <c r="F729" i="12"/>
  <c r="F728" i="12"/>
  <c r="F727" i="12"/>
  <c r="F436" i="12"/>
  <c r="F435" i="12"/>
  <c r="F434" i="12"/>
  <c r="G196" i="12"/>
  <c r="F196" i="12"/>
  <c r="G195" i="12"/>
  <c r="F195" i="12"/>
  <c r="G194" i="12"/>
  <c r="F194" i="12"/>
  <c r="F1095" i="12"/>
  <c r="F1094" i="12"/>
  <c r="F1093" i="12"/>
  <c r="F726" i="12"/>
  <c r="F725" i="12"/>
  <c r="F724" i="12"/>
  <c r="F433" i="12"/>
  <c r="F432" i="12"/>
  <c r="F431" i="12"/>
  <c r="G193" i="12"/>
  <c r="F193" i="12"/>
  <c r="G192" i="12"/>
  <c r="F192" i="12"/>
  <c r="G191" i="12"/>
  <c r="F191" i="12"/>
  <c r="F1092" i="12"/>
  <c r="F1091" i="12"/>
  <c r="F1090" i="12"/>
  <c r="F723" i="12"/>
  <c r="F722" i="12"/>
  <c r="F721" i="12"/>
  <c r="F430" i="12"/>
  <c r="F429" i="12"/>
  <c r="F428" i="12"/>
  <c r="G190" i="12"/>
  <c r="F190" i="12"/>
  <c r="G189" i="12"/>
  <c r="F189" i="12"/>
  <c r="G188" i="12"/>
  <c r="F188" i="12"/>
  <c r="F1089" i="12"/>
  <c r="F1088" i="12"/>
  <c r="F1087" i="12"/>
  <c r="F720" i="12"/>
  <c r="F719" i="12"/>
  <c r="F718" i="12"/>
  <c r="F427" i="12"/>
  <c r="F426" i="12"/>
  <c r="F425" i="12"/>
  <c r="G187" i="12"/>
  <c r="F187" i="12"/>
  <c r="G186" i="12"/>
  <c r="F186" i="12"/>
  <c r="G185" i="12"/>
  <c r="F185" i="12"/>
  <c r="F1086" i="12"/>
  <c r="F1085" i="12"/>
  <c r="F1084" i="12"/>
  <c r="F424" i="12"/>
  <c r="F423" i="12"/>
  <c r="F422" i="12"/>
  <c r="G184" i="12"/>
  <c r="F184" i="12"/>
  <c r="G183" i="12"/>
  <c r="F183" i="12"/>
  <c r="G182" i="12"/>
  <c r="F182" i="12"/>
  <c r="F1083" i="12"/>
  <c r="F1082" i="12"/>
  <c r="F1081" i="12"/>
  <c r="F717" i="12"/>
  <c r="F716" i="12"/>
  <c r="F715" i="12"/>
  <c r="F421" i="12"/>
  <c r="F420" i="12"/>
  <c r="F419" i="12"/>
  <c r="G181" i="12"/>
  <c r="F181" i="12"/>
  <c r="G180" i="12"/>
  <c r="F180" i="12"/>
  <c r="G179" i="12"/>
  <c r="F179" i="12"/>
  <c r="F1080" i="12"/>
  <c r="F1079" i="12"/>
  <c r="F1078" i="12"/>
  <c r="F714" i="12"/>
  <c r="F713" i="12"/>
  <c r="F712" i="12"/>
  <c r="F418" i="12"/>
  <c r="F417" i="12"/>
  <c r="F416" i="12"/>
  <c r="G178" i="12"/>
  <c r="F178" i="12"/>
  <c r="G177" i="12"/>
  <c r="F177" i="12"/>
  <c r="G176" i="12"/>
  <c r="F176" i="12"/>
  <c r="F1077" i="12"/>
  <c r="F1076" i="12"/>
  <c r="F1075" i="12"/>
  <c r="F711" i="12"/>
  <c r="F710" i="12"/>
  <c r="F709" i="12"/>
  <c r="F415" i="12"/>
  <c r="F414" i="12"/>
  <c r="F413" i="12"/>
  <c r="G175" i="12"/>
  <c r="F175" i="12"/>
  <c r="G174" i="12"/>
  <c r="F174" i="12"/>
  <c r="G173" i="12"/>
  <c r="F173" i="12"/>
  <c r="F1074" i="12"/>
  <c r="F1073" i="12"/>
  <c r="F1072" i="12"/>
  <c r="F708" i="12"/>
  <c r="F707" i="12"/>
  <c r="F706" i="12"/>
  <c r="F412" i="12"/>
  <c r="F411" i="12"/>
  <c r="F410" i="12"/>
  <c r="G172" i="12"/>
  <c r="F172" i="12"/>
  <c r="G171" i="12"/>
  <c r="F171" i="12"/>
  <c r="G170" i="12"/>
  <c r="F170" i="12"/>
  <c r="F1071" i="12"/>
  <c r="F1070" i="12"/>
  <c r="F1069" i="12"/>
  <c r="F705" i="12"/>
  <c r="F704" i="12"/>
  <c r="F703" i="12"/>
  <c r="F409" i="12"/>
  <c r="F408" i="12"/>
  <c r="F407" i="12"/>
  <c r="G169" i="12"/>
  <c r="F169" i="12"/>
  <c r="G168" i="12"/>
  <c r="F168" i="12"/>
  <c r="G167" i="12"/>
  <c r="F167" i="12"/>
  <c r="F1068" i="12"/>
  <c r="F1067" i="12"/>
  <c r="F1066" i="12"/>
  <c r="F702" i="12"/>
  <c r="F701" i="12"/>
  <c r="F700" i="12"/>
  <c r="F406" i="12"/>
  <c r="F405" i="12"/>
  <c r="F404" i="12"/>
  <c r="G166" i="12"/>
  <c r="F166" i="12"/>
  <c r="G165" i="12"/>
  <c r="F165" i="12"/>
  <c r="G164" i="12"/>
  <c r="F164" i="12"/>
  <c r="F1065" i="12"/>
  <c r="F1064" i="12"/>
  <c r="F1063" i="12"/>
  <c r="F699" i="12"/>
  <c r="F698" i="12"/>
  <c r="F697" i="12"/>
  <c r="F403" i="12"/>
  <c r="F402" i="12"/>
  <c r="F401" i="12"/>
  <c r="G163" i="12"/>
  <c r="F163" i="12"/>
  <c r="G162" i="12"/>
  <c r="F162" i="12"/>
  <c r="G161" i="12"/>
  <c r="F161" i="12"/>
  <c r="F1062" i="12"/>
  <c r="F1061" i="12"/>
  <c r="F1060" i="12"/>
  <c r="F696" i="12"/>
  <c r="F695" i="12"/>
  <c r="F694" i="12"/>
  <c r="F400" i="12"/>
  <c r="F399" i="12"/>
  <c r="F398" i="12"/>
  <c r="G160" i="12"/>
  <c r="F160" i="12"/>
  <c r="G159" i="12"/>
  <c r="F159" i="12"/>
  <c r="G158" i="12"/>
  <c r="F158" i="12"/>
  <c r="F1059" i="12"/>
  <c r="F1058" i="12"/>
  <c r="F1057" i="12"/>
  <c r="F693" i="12"/>
  <c r="F692" i="12"/>
  <c r="F691" i="12"/>
  <c r="F397" i="12"/>
  <c r="F396" i="12"/>
  <c r="F395" i="12"/>
  <c r="G157" i="12"/>
  <c r="F157" i="12"/>
  <c r="G156" i="12"/>
  <c r="F156" i="12"/>
  <c r="G155" i="12"/>
  <c r="F155" i="12"/>
  <c r="F1056" i="12"/>
  <c r="F1055" i="12"/>
  <c r="F1054" i="12"/>
  <c r="F690" i="12"/>
  <c r="F689" i="12"/>
  <c r="F688" i="12"/>
  <c r="F394" i="12"/>
  <c r="F393" i="12"/>
  <c r="F392" i="12"/>
  <c r="G154" i="12"/>
  <c r="F154" i="12"/>
  <c r="G153" i="12"/>
  <c r="F153" i="12"/>
  <c r="G152" i="12"/>
  <c r="F152" i="12"/>
  <c r="F1053" i="12"/>
  <c r="F1052" i="12"/>
  <c r="F1051" i="12"/>
  <c r="F687" i="12"/>
  <c r="F686" i="12"/>
  <c r="F685" i="12"/>
  <c r="F391" i="12"/>
  <c r="F390" i="12"/>
  <c r="F389" i="12"/>
  <c r="G151" i="12"/>
  <c r="F151" i="12"/>
  <c r="G150" i="12"/>
  <c r="F150" i="12"/>
  <c r="G149" i="12"/>
  <c r="F149" i="12"/>
  <c r="F1212" i="12"/>
  <c r="F1211" i="12"/>
  <c r="F1210" i="12"/>
  <c r="F1050" i="12"/>
  <c r="F1049" i="12"/>
  <c r="F1048" i="12"/>
  <c r="F684" i="12"/>
  <c r="F683" i="12"/>
  <c r="F682" i="12"/>
  <c r="F388" i="12"/>
  <c r="F387" i="12"/>
  <c r="F386" i="12"/>
  <c r="G148" i="12"/>
  <c r="F148" i="12"/>
  <c r="G147" i="12"/>
  <c r="F147" i="12"/>
  <c r="G146" i="12"/>
  <c r="F146" i="12"/>
  <c r="F1047" i="12"/>
  <c r="F1046" i="12"/>
  <c r="F1045" i="12"/>
  <c r="F681" i="12"/>
  <c r="F680" i="12"/>
  <c r="F679" i="12"/>
  <c r="F385" i="12"/>
  <c r="F384" i="12"/>
  <c r="F383" i="12"/>
  <c r="G145" i="12"/>
  <c r="F145" i="12"/>
  <c r="G144" i="12"/>
  <c r="F144" i="12"/>
  <c r="G143" i="12"/>
  <c r="F143" i="12"/>
  <c r="F1044" i="12"/>
  <c r="F1043" i="12"/>
  <c r="F1042" i="12"/>
  <c r="F678" i="12"/>
  <c r="F677" i="12"/>
  <c r="F676" i="12"/>
  <c r="F382" i="12"/>
  <c r="F381" i="12"/>
  <c r="F380" i="12"/>
  <c r="G142" i="12"/>
  <c r="F142" i="12"/>
  <c r="G141" i="12"/>
  <c r="F141" i="12"/>
  <c r="G140" i="12"/>
  <c r="F140" i="12"/>
  <c r="F1041" i="12"/>
  <c r="F1040" i="12"/>
  <c r="F1039" i="12"/>
  <c r="F675" i="12"/>
  <c r="F674" i="12"/>
  <c r="F673" i="12"/>
  <c r="F379" i="12"/>
  <c r="F378" i="12"/>
  <c r="F377" i="12"/>
  <c r="G139" i="12"/>
  <c r="F139" i="12"/>
  <c r="G138" i="12"/>
  <c r="F138" i="12"/>
  <c r="G137" i="12"/>
  <c r="F137" i="12"/>
  <c r="F1038" i="12"/>
  <c r="F1037" i="12"/>
  <c r="F1036" i="12"/>
  <c r="F672" i="12"/>
  <c r="F671" i="12"/>
  <c r="F670" i="12"/>
  <c r="F376" i="12"/>
  <c r="F375" i="12"/>
  <c r="F374" i="12"/>
  <c r="G136" i="12"/>
  <c r="F136" i="12"/>
  <c r="G135" i="12"/>
  <c r="F135" i="12"/>
  <c r="G134" i="12"/>
  <c r="F134" i="12"/>
  <c r="F1035" i="12"/>
  <c r="F1034" i="12"/>
  <c r="F1033" i="12"/>
  <c r="F669" i="12"/>
  <c r="F668" i="12"/>
  <c r="F667" i="12"/>
  <c r="F373" i="12"/>
  <c r="F372" i="12"/>
  <c r="F371" i="12"/>
  <c r="G133" i="12"/>
  <c r="F133" i="12"/>
  <c r="G132" i="12"/>
  <c r="F132" i="12"/>
  <c r="G131" i="12"/>
  <c r="F131" i="12"/>
  <c r="F1032" i="12"/>
  <c r="F666" i="12"/>
  <c r="F370" i="12"/>
  <c r="G130" i="12"/>
  <c r="F130" i="12"/>
  <c r="F1031" i="12"/>
  <c r="F665" i="12"/>
  <c r="F369" i="12"/>
  <c r="G129" i="12"/>
  <c r="F129" i="12"/>
  <c r="F1030" i="12"/>
  <c r="F664" i="12"/>
  <c r="F368" i="12"/>
  <c r="G128" i="12"/>
  <c r="F128" i="12"/>
  <c r="F1029" i="12"/>
  <c r="F663" i="12"/>
  <c r="F367" i="12"/>
  <c r="G127" i="12"/>
  <c r="F127" i="12"/>
  <c r="F1028" i="12"/>
  <c r="F662" i="12"/>
  <c r="F366" i="12"/>
  <c r="G126" i="12"/>
  <c r="F126" i="12"/>
  <c r="F1209" i="12"/>
  <c r="F1027" i="12"/>
  <c r="F365" i="12"/>
  <c r="G125" i="12"/>
  <c r="F125" i="12"/>
  <c r="F1026" i="12"/>
  <c r="F364" i="12"/>
  <c r="G124" i="12"/>
  <c r="F124" i="12"/>
  <c r="F1025" i="12"/>
  <c r="F363" i="12"/>
  <c r="G123" i="12"/>
  <c r="F123" i="12"/>
  <c r="F1024" i="12"/>
  <c r="F362" i="12"/>
  <c r="G122" i="12"/>
  <c r="F122" i="12"/>
  <c r="F1023" i="12"/>
  <c r="F361" i="12"/>
  <c r="G121" i="12"/>
  <c r="F121" i="12"/>
  <c r="F1022" i="12"/>
  <c r="F360" i="12"/>
  <c r="G120" i="12"/>
  <c r="F120" i="12"/>
  <c r="F1021" i="12"/>
  <c r="F661" i="12"/>
  <c r="F359" i="12"/>
  <c r="G119" i="12"/>
  <c r="F119" i="12"/>
  <c r="F1020" i="12"/>
  <c r="F660" i="12"/>
  <c r="F358" i="12"/>
  <c r="G118" i="12"/>
  <c r="F118" i="12"/>
  <c r="F1019" i="12"/>
  <c r="F357" i="12"/>
  <c r="G117" i="12"/>
  <c r="F117" i="12"/>
  <c r="F1018" i="12"/>
  <c r="F356" i="12"/>
  <c r="G116" i="12"/>
  <c r="F116" i="12"/>
  <c r="F1017" i="12"/>
  <c r="F659" i="12"/>
  <c r="F355" i="12"/>
  <c r="G115" i="12"/>
  <c r="F115" i="12"/>
  <c r="F1016" i="12"/>
  <c r="F658" i="12"/>
  <c r="F354" i="12"/>
  <c r="G114" i="12"/>
  <c r="F114" i="12"/>
  <c r="F1015" i="12"/>
  <c r="F657" i="12"/>
  <c r="F353" i="12"/>
  <c r="G113" i="12"/>
  <c r="F113" i="12"/>
  <c r="F1014" i="12"/>
  <c r="F656" i="12"/>
  <c r="F352" i="12"/>
  <c r="G112" i="12"/>
  <c r="F112" i="12"/>
  <c r="F1013" i="12"/>
  <c r="F655" i="12"/>
  <c r="F351" i="12"/>
  <c r="G111" i="12"/>
  <c r="F111" i="12"/>
  <c r="F1012" i="12"/>
  <c r="F654" i="12"/>
  <c r="F350" i="12"/>
  <c r="G110" i="12"/>
  <c r="F110" i="12"/>
  <c r="F1011" i="12"/>
  <c r="F349" i="12"/>
  <c r="G109" i="12"/>
  <c r="F109" i="12"/>
  <c r="F1010" i="12"/>
  <c r="F653" i="12"/>
  <c r="F348" i="12"/>
  <c r="G108" i="12"/>
  <c r="F108" i="12"/>
  <c r="F1009" i="12"/>
  <c r="F652" i="12"/>
  <c r="F347" i="12"/>
  <c r="G107" i="12"/>
  <c r="F107" i="12"/>
  <c r="F1008" i="12"/>
  <c r="F651" i="12"/>
  <c r="F346" i="12"/>
  <c r="G106" i="12"/>
  <c r="F106" i="12"/>
  <c r="F1007" i="12"/>
  <c r="F650" i="12"/>
  <c r="F345" i="12"/>
  <c r="G105" i="12"/>
  <c r="F105" i="12"/>
  <c r="F1006" i="12"/>
  <c r="F649" i="12"/>
  <c r="F344" i="12"/>
  <c r="G104" i="12"/>
  <c r="F104" i="12"/>
  <c r="F1005" i="12"/>
  <c r="F648" i="12"/>
  <c r="F343" i="12"/>
  <c r="G103" i="12"/>
  <c r="F103" i="12"/>
  <c r="F1004" i="12"/>
  <c r="F647" i="12"/>
  <c r="F342" i="12"/>
  <c r="G102" i="12"/>
  <c r="F102" i="12"/>
  <c r="F1003" i="12"/>
  <c r="F646" i="12"/>
  <c r="F341" i="12"/>
  <c r="G101" i="12"/>
  <c r="F101" i="12"/>
  <c r="F1002" i="12"/>
  <c r="F340" i="12"/>
  <c r="G100" i="12"/>
  <c r="F100" i="12"/>
  <c r="F1001" i="12"/>
  <c r="F339" i="12"/>
  <c r="G99" i="12"/>
  <c r="F99" i="12"/>
  <c r="F1208" i="12"/>
  <c r="F1000" i="12"/>
  <c r="F645" i="12"/>
  <c r="F338" i="12"/>
  <c r="G98" i="12"/>
  <c r="F98" i="12"/>
  <c r="F999" i="12"/>
  <c r="F337" i="12"/>
  <c r="G97" i="12"/>
  <c r="F97" i="12"/>
  <c r="F998" i="12"/>
  <c r="F336" i="12"/>
  <c r="G96" i="12"/>
  <c r="F96" i="12"/>
  <c r="F997" i="12"/>
  <c r="F644" i="12"/>
  <c r="F335" i="12"/>
  <c r="G95" i="12"/>
  <c r="F95" i="12"/>
  <c r="F996" i="12"/>
  <c r="F643" i="12"/>
  <c r="F334" i="12"/>
  <c r="G94" i="12"/>
  <c r="F94" i="12"/>
  <c r="F995" i="12"/>
  <c r="F642" i="12"/>
  <c r="F333" i="12"/>
  <c r="G93" i="12"/>
  <c r="F93" i="12"/>
  <c r="F1207" i="12"/>
  <c r="F994" i="12"/>
  <c r="F641" i="12"/>
  <c r="F332" i="12"/>
  <c r="G92" i="12"/>
  <c r="F92" i="12"/>
  <c r="F1206" i="12"/>
  <c r="F993" i="12"/>
  <c r="F640" i="12"/>
  <c r="F331" i="12"/>
  <c r="G91" i="12"/>
  <c r="F91" i="12"/>
  <c r="F992" i="12"/>
  <c r="F639" i="12"/>
  <c r="F330" i="12"/>
  <c r="G90" i="12"/>
  <c r="F90" i="12"/>
  <c r="F991" i="12"/>
  <c r="F638" i="12"/>
  <c r="F329" i="12"/>
  <c r="G89" i="12"/>
  <c r="F89" i="12"/>
  <c r="F990" i="12"/>
  <c r="F637" i="12"/>
  <c r="F328" i="12"/>
  <c r="G88" i="12"/>
  <c r="F88" i="12"/>
  <c r="F989" i="12"/>
  <c r="F636" i="12"/>
  <c r="F327" i="12"/>
  <c r="G87" i="12"/>
  <c r="F87" i="12"/>
  <c r="F988" i="12"/>
  <c r="F635" i="12"/>
  <c r="F326" i="12"/>
  <c r="G86" i="12"/>
  <c r="F86" i="12"/>
  <c r="F987" i="12"/>
  <c r="F634" i="12"/>
  <c r="F325" i="12"/>
  <c r="G85" i="12"/>
  <c r="F85" i="12"/>
  <c r="F986" i="12"/>
  <c r="F633" i="12"/>
  <c r="F324" i="12"/>
  <c r="G84" i="12"/>
  <c r="F84" i="12"/>
  <c r="F985" i="12"/>
  <c r="F632" i="12"/>
  <c r="F323" i="12"/>
  <c r="G83" i="12"/>
  <c r="F83" i="12"/>
  <c r="F984" i="12"/>
  <c r="F631" i="12"/>
  <c r="F322" i="12"/>
  <c r="G82" i="12"/>
  <c r="F82" i="12"/>
  <c r="F983" i="12"/>
  <c r="F321" i="12"/>
  <c r="G81" i="12"/>
  <c r="F81" i="12"/>
  <c r="F982" i="12"/>
  <c r="F630" i="12"/>
  <c r="F320" i="12"/>
  <c r="G80" i="12"/>
  <c r="F80" i="12"/>
  <c r="F981" i="12"/>
  <c r="F319" i="12"/>
  <c r="G79" i="12"/>
  <c r="F79" i="12"/>
  <c r="F980" i="12"/>
  <c r="F629" i="12"/>
  <c r="F318" i="12"/>
  <c r="G78" i="12"/>
  <c r="F78" i="12"/>
  <c r="F979" i="12"/>
  <c r="F628" i="12"/>
  <c r="F317" i="12"/>
  <c r="G77" i="12"/>
  <c r="F77" i="12"/>
  <c r="F978" i="12"/>
  <c r="F627" i="12"/>
  <c r="F316" i="12"/>
  <c r="G76" i="12"/>
  <c r="F76" i="12"/>
  <c r="F977" i="12"/>
  <c r="F626" i="12"/>
  <c r="F315" i="12"/>
  <c r="G75" i="12"/>
  <c r="F75" i="12"/>
  <c r="F976" i="12"/>
  <c r="F625" i="12"/>
  <c r="F314" i="12"/>
  <c r="G74" i="12"/>
  <c r="F74" i="12"/>
  <c r="F975" i="12"/>
  <c r="F624" i="12"/>
  <c r="F313" i="12"/>
  <c r="G73" i="12"/>
  <c r="F73" i="12"/>
  <c r="F974" i="12"/>
  <c r="F312" i="12"/>
  <c r="G72" i="12"/>
  <c r="F72" i="12"/>
  <c r="F973" i="12"/>
  <c r="F623" i="12"/>
  <c r="F311" i="12"/>
  <c r="G71" i="12"/>
  <c r="F71" i="12"/>
  <c r="F972" i="12"/>
  <c r="F622" i="12"/>
  <c r="F310" i="12"/>
  <c r="G70" i="12"/>
  <c r="F70" i="12"/>
  <c r="F971" i="12"/>
  <c r="F621" i="12"/>
  <c r="F309" i="12"/>
  <c r="G69" i="12"/>
  <c r="F69" i="12"/>
  <c r="F970" i="12"/>
  <c r="F620" i="12"/>
  <c r="F308" i="12"/>
  <c r="G68" i="12"/>
  <c r="F68" i="12"/>
  <c r="F969" i="12"/>
  <c r="F619" i="12"/>
  <c r="F307" i="12"/>
  <c r="G67" i="12"/>
  <c r="F67" i="12"/>
  <c r="F968" i="12"/>
  <c r="F967" i="12"/>
  <c r="F966" i="12"/>
  <c r="F306" i="12"/>
  <c r="F305" i="12"/>
  <c r="F304" i="12"/>
  <c r="G66" i="12"/>
  <c r="F66" i="12"/>
  <c r="G65" i="12"/>
  <c r="F65" i="12"/>
  <c r="G64" i="12"/>
  <c r="F64" i="12"/>
  <c r="F1205" i="12"/>
  <c r="F965" i="12"/>
  <c r="F618" i="12"/>
  <c r="F303" i="12"/>
  <c r="G63" i="12"/>
  <c r="F63" i="12"/>
  <c r="F1196" i="12"/>
  <c r="F964" i="12"/>
  <c r="F302" i="12"/>
  <c r="G62" i="12"/>
  <c r="F62" i="12"/>
  <c r="F1204" i="12"/>
  <c r="F963" i="12"/>
  <c r="F617" i="12"/>
  <c r="F301" i="12"/>
  <c r="G61" i="12"/>
  <c r="F61" i="12"/>
  <c r="F962" i="12"/>
  <c r="F616" i="12"/>
  <c r="F300" i="12"/>
  <c r="G60" i="12"/>
  <c r="F60" i="12"/>
  <c r="F961" i="12"/>
  <c r="F615" i="12"/>
  <c r="F299" i="12"/>
  <c r="G59" i="12"/>
  <c r="F59" i="12"/>
  <c r="F960" i="12"/>
  <c r="F614" i="12"/>
  <c r="F298" i="12"/>
  <c r="G58" i="12"/>
  <c r="F58" i="12"/>
  <c r="F959" i="12"/>
  <c r="F613" i="12"/>
  <c r="F297" i="12"/>
  <c r="G57" i="12"/>
  <c r="F57" i="12"/>
  <c r="F958" i="12"/>
  <c r="F612" i="12"/>
  <c r="F296" i="12"/>
  <c r="G56" i="12"/>
  <c r="F56" i="12"/>
  <c r="F1195" i="12"/>
  <c r="F1194" i="12"/>
  <c r="F957" i="12"/>
  <c r="F956" i="12"/>
  <c r="F295" i="12"/>
  <c r="F294" i="12"/>
  <c r="G55" i="12"/>
  <c r="F55" i="12"/>
  <c r="G54" i="12"/>
  <c r="F54" i="12"/>
  <c r="F1193" i="12"/>
  <c r="F1192" i="12"/>
  <c r="F955" i="12"/>
  <c r="F954" i="12"/>
  <c r="F293" i="12"/>
  <c r="F292" i="12"/>
  <c r="G53" i="12"/>
  <c r="F53" i="12"/>
  <c r="G52" i="12"/>
  <c r="F52" i="12"/>
  <c r="F874" i="12"/>
  <c r="E874" i="12"/>
  <c r="C874" i="12"/>
  <c r="F608" i="12"/>
  <c r="E608" i="12"/>
  <c r="C608" i="12"/>
  <c r="F873" i="12"/>
  <c r="E873" i="12"/>
  <c r="C873" i="12"/>
  <c r="G51" i="12"/>
  <c r="F51" i="12"/>
  <c r="E51" i="12"/>
  <c r="C51" i="12"/>
  <c r="F872" i="12"/>
  <c r="E872" i="12"/>
  <c r="C872" i="12"/>
  <c r="F607" i="12"/>
  <c r="E607" i="12"/>
  <c r="C607" i="12"/>
  <c r="F871" i="12"/>
  <c r="E871" i="12"/>
  <c r="C871" i="12"/>
  <c r="G50" i="12"/>
  <c r="F50" i="12"/>
  <c r="E50" i="12"/>
  <c r="C50" i="12"/>
  <c r="F870" i="12"/>
  <c r="E870" i="12"/>
  <c r="C870" i="12"/>
  <c r="F606" i="12"/>
  <c r="E606" i="12"/>
  <c r="C606" i="12"/>
  <c r="F869" i="12"/>
  <c r="E869" i="12"/>
  <c r="C869" i="12"/>
  <c r="G49" i="12"/>
  <c r="F49" i="12"/>
  <c r="E49" i="12"/>
  <c r="C49" i="12"/>
  <c r="F868" i="12"/>
  <c r="E868" i="12"/>
  <c r="C868" i="12"/>
  <c r="F605" i="12"/>
  <c r="E605" i="12"/>
  <c r="C605" i="12"/>
  <c r="F867" i="12"/>
  <c r="E867" i="12"/>
  <c r="C867" i="12"/>
  <c r="G48" i="12"/>
  <c r="F48" i="12"/>
  <c r="E48" i="12"/>
  <c r="C48" i="12"/>
  <c r="F866" i="12"/>
  <c r="E866" i="12"/>
  <c r="C866" i="12"/>
  <c r="F604" i="12"/>
  <c r="E604" i="12"/>
  <c r="C604" i="12"/>
  <c r="F865" i="12"/>
  <c r="E865" i="12"/>
  <c r="C865" i="12"/>
  <c r="G47" i="12"/>
  <c r="F47" i="12"/>
  <c r="E47" i="12"/>
  <c r="C47" i="12"/>
  <c r="F864" i="12"/>
  <c r="E864" i="12"/>
  <c r="C864" i="12"/>
  <c r="F603" i="12"/>
  <c r="E603" i="12"/>
  <c r="C603" i="12"/>
  <c r="F863" i="12"/>
  <c r="E863" i="12"/>
  <c r="C863" i="12"/>
  <c r="G46" i="12"/>
  <c r="F46" i="12"/>
  <c r="E46" i="12"/>
  <c r="C46" i="12"/>
  <c r="F862" i="12"/>
  <c r="E862" i="12"/>
  <c r="C862" i="12"/>
  <c r="F602" i="12"/>
  <c r="E602" i="12"/>
  <c r="C602" i="12"/>
  <c r="F861" i="12"/>
  <c r="E861" i="12"/>
  <c r="C861" i="12"/>
  <c r="G45" i="12"/>
  <c r="F45" i="12"/>
  <c r="E45" i="12"/>
  <c r="C45" i="12"/>
  <c r="F860" i="12"/>
  <c r="E860" i="12"/>
  <c r="C860" i="12"/>
  <c r="F601" i="12"/>
  <c r="E601" i="12"/>
  <c r="C601" i="12"/>
  <c r="F859" i="12"/>
  <c r="E859" i="12"/>
  <c r="C859" i="12"/>
  <c r="G44" i="12"/>
  <c r="F44" i="12"/>
  <c r="E44" i="12"/>
  <c r="C44" i="12"/>
  <c r="F858" i="12"/>
  <c r="E858" i="12"/>
  <c r="C858" i="12"/>
  <c r="F600" i="12"/>
  <c r="E600" i="12"/>
  <c r="C600" i="12"/>
  <c r="F857" i="12"/>
  <c r="E857" i="12"/>
  <c r="C857" i="12"/>
  <c r="G43" i="12"/>
  <c r="F43" i="12"/>
  <c r="E43" i="12"/>
  <c r="C43" i="12"/>
  <c r="F1217" i="12"/>
  <c r="C1217" i="12"/>
  <c r="F1203" i="12"/>
  <c r="C1203" i="12"/>
  <c r="F1191" i="12"/>
  <c r="C1191" i="12"/>
  <c r="F1190" i="12"/>
  <c r="C1190" i="12"/>
  <c r="F953" i="12"/>
  <c r="C953" i="12"/>
  <c r="F952" i="12"/>
  <c r="C952" i="12"/>
  <c r="F287" i="12"/>
  <c r="C287" i="12"/>
  <c r="F532" i="12"/>
  <c r="C532" i="12"/>
  <c r="F529" i="12"/>
  <c r="C529" i="12"/>
  <c r="F526" i="12"/>
  <c r="C526" i="12"/>
  <c r="F291" i="12"/>
  <c r="C291" i="12"/>
  <c r="F948" i="12"/>
  <c r="C948" i="12"/>
  <c r="F9" i="12"/>
  <c r="C9" i="12"/>
  <c r="F7" i="12"/>
  <c r="C7" i="12"/>
  <c r="F946" i="12"/>
  <c r="C946" i="12"/>
  <c r="F610" i="12"/>
  <c r="C610" i="12"/>
  <c r="F536" i="12"/>
  <c r="C536" i="12"/>
  <c r="F931" i="12"/>
  <c r="C931" i="12"/>
  <c r="F534" i="12"/>
  <c r="C534" i="12"/>
  <c r="F927" i="12"/>
  <c r="C927" i="12"/>
  <c r="F817" i="12"/>
  <c r="C817" i="12"/>
  <c r="F1216" i="12"/>
  <c r="C1216" i="12"/>
  <c r="F1202" i="12"/>
  <c r="C1202" i="12"/>
  <c r="F1189" i="12"/>
  <c r="C1189" i="12"/>
  <c r="F1188" i="12"/>
  <c r="C1188" i="12"/>
  <c r="F951" i="12"/>
  <c r="C951" i="12"/>
  <c r="F950" i="12"/>
  <c r="C950" i="12"/>
  <c r="F286" i="12"/>
  <c r="C286" i="12"/>
  <c r="F6" i="12"/>
  <c r="C6" i="12"/>
  <c r="F4" i="12"/>
  <c r="C4" i="12"/>
  <c r="F816" i="12"/>
  <c r="C816" i="12"/>
  <c r="F289" i="12"/>
  <c r="C289" i="12"/>
  <c r="F944" i="12"/>
  <c r="C944" i="12"/>
  <c r="G551" i="12"/>
  <c r="F551" i="12"/>
  <c r="C551" i="12"/>
  <c r="F943" i="12"/>
  <c r="C943" i="12"/>
  <c r="G550" i="12"/>
  <c r="F550" i="12"/>
  <c r="C550" i="12"/>
  <c r="F942" i="12"/>
  <c r="C942" i="12"/>
  <c r="G549" i="12"/>
  <c r="F549" i="12"/>
  <c r="C549" i="12"/>
  <c r="F941" i="12"/>
  <c r="C941" i="12"/>
  <c r="G548" i="12"/>
  <c r="F548" i="12"/>
  <c r="C548" i="12"/>
  <c r="F940" i="12"/>
  <c r="C940" i="12"/>
  <c r="G547" i="12"/>
  <c r="F547" i="12"/>
  <c r="C547" i="12"/>
  <c r="F939" i="12"/>
  <c r="C939" i="12"/>
  <c r="G546" i="12"/>
  <c r="F546" i="12"/>
  <c r="C546" i="12"/>
  <c r="F938" i="12"/>
  <c r="C938" i="12"/>
  <c r="G545" i="12"/>
  <c r="F545" i="12"/>
  <c r="C545" i="12"/>
  <c r="F937" i="12"/>
  <c r="C937" i="12"/>
  <c r="G544" i="12"/>
  <c r="F544" i="12"/>
  <c r="C544" i="12"/>
  <c r="F936" i="12"/>
  <c r="C936" i="12"/>
  <c r="G543" i="12"/>
  <c r="F543" i="12"/>
  <c r="C543" i="12"/>
  <c r="F935" i="12"/>
  <c r="C935" i="12"/>
  <c r="G542" i="12"/>
  <c r="F542" i="12"/>
  <c r="C542" i="12"/>
  <c r="F934" i="12"/>
  <c r="C934" i="12"/>
  <c r="G541" i="12"/>
  <c r="F541" i="12"/>
  <c r="C541" i="12"/>
  <c r="F933" i="12"/>
  <c r="C933" i="12"/>
  <c r="G540" i="12"/>
  <c r="F540" i="12"/>
  <c r="C540" i="12"/>
  <c r="G820" i="12"/>
  <c r="F820" i="12"/>
  <c r="D820" i="12"/>
  <c r="C820" i="12"/>
  <c r="F2" i="12"/>
  <c r="D2" i="12"/>
  <c r="C2" i="12"/>
  <c r="F907" i="12"/>
  <c r="E907" i="12"/>
  <c r="C907" i="12"/>
  <c r="F599" i="12"/>
  <c r="E599" i="12"/>
  <c r="C599" i="12"/>
  <c r="F906" i="12"/>
  <c r="E906" i="12"/>
  <c r="C906" i="12"/>
  <c r="F568" i="12"/>
  <c r="E568" i="12"/>
  <c r="C568" i="12"/>
  <c r="G42" i="12"/>
  <c r="F42" i="12"/>
  <c r="E42" i="12"/>
  <c r="C42" i="12"/>
  <c r="F905" i="12"/>
  <c r="E905" i="12"/>
  <c r="C905" i="12"/>
  <c r="F598" i="12"/>
  <c r="E598" i="12"/>
  <c r="C598" i="12"/>
  <c r="F904" i="12"/>
  <c r="E904" i="12"/>
  <c r="C904" i="12"/>
  <c r="F567" i="12"/>
  <c r="E567" i="12"/>
  <c r="C567" i="12"/>
  <c r="G41" i="12"/>
  <c r="F41" i="12"/>
  <c r="E41" i="12"/>
  <c r="C41" i="12"/>
  <c r="F903" i="12"/>
  <c r="E903" i="12"/>
  <c r="C903" i="12"/>
  <c r="F597" i="12"/>
  <c r="E597" i="12"/>
  <c r="C597" i="12"/>
  <c r="F902" i="12"/>
  <c r="E902" i="12"/>
  <c r="C902" i="12"/>
  <c r="F566" i="12"/>
  <c r="E566" i="12"/>
  <c r="C566" i="12"/>
  <c r="G40" i="12"/>
  <c r="F40" i="12"/>
  <c r="E40" i="12"/>
  <c r="C40" i="12"/>
  <c r="F901" i="12"/>
  <c r="E901" i="12"/>
  <c r="C901" i="12"/>
  <c r="F596" i="12"/>
  <c r="E596" i="12"/>
  <c r="C596" i="12"/>
  <c r="F900" i="12"/>
  <c r="E900" i="12"/>
  <c r="C900" i="12"/>
  <c r="F565" i="12"/>
  <c r="E565" i="12"/>
  <c r="C565" i="12"/>
  <c r="G39" i="12"/>
  <c r="F39" i="12"/>
  <c r="E39" i="12"/>
  <c r="C39" i="12"/>
  <c r="F899" i="12"/>
  <c r="E899" i="12"/>
  <c r="C899" i="12"/>
  <c r="F595" i="12"/>
  <c r="E595" i="12"/>
  <c r="C595" i="12"/>
  <c r="F898" i="12"/>
  <c r="E898" i="12"/>
  <c r="C898" i="12"/>
  <c r="F564" i="12"/>
  <c r="E564" i="12"/>
  <c r="C564" i="12"/>
  <c r="G38" i="12"/>
  <c r="F38" i="12"/>
  <c r="E38" i="12"/>
  <c r="C38" i="12"/>
  <c r="F897" i="12"/>
  <c r="E897" i="12"/>
  <c r="C897" i="12"/>
  <c r="F594" i="12"/>
  <c r="E594" i="12"/>
  <c r="C594" i="12"/>
  <c r="F896" i="12"/>
  <c r="E896" i="12"/>
  <c r="C896" i="12"/>
  <c r="F563" i="12"/>
  <c r="E563" i="12"/>
  <c r="C563" i="12"/>
  <c r="G37" i="12"/>
  <c r="F37" i="12"/>
  <c r="E37" i="12"/>
  <c r="C37" i="12"/>
  <c r="F895" i="12"/>
  <c r="E895" i="12"/>
  <c r="C895" i="12"/>
  <c r="F593" i="12"/>
  <c r="E593" i="12"/>
  <c r="C593" i="12"/>
  <c r="F894" i="12"/>
  <c r="E894" i="12"/>
  <c r="C894" i="12"/>
  <c r="F562" i="12"/>
  <c r="E562" i="12"/>
  <c r="C562" i="12"/>
  <c r="G36" i="12"/>
  <c r="F36" i="12"/>
  <c r="E36" i="12"/>
  <c r="C36" i="12"/>
  <c r="F893" i="12"/>
  <c r="E893" i="12"/>
  <c r="C893" i="12"/>
  <c r="F592" i="12"/>
  <c r="E592" i="12"/>
  <c r="C592" i="12"/>
  <c r="F892" i="12"/>
  <c r="E892" i="12"/>
  <c r="C892" i="12"/>
  <c r="F561" i="12"/>
  <c r="E561" i="12"/>
  <c r="C561" i="12"/>
  <c r="G35" i="12"/>
  <c r="F35" i="12"/>
  <c r="E35" i="12"/>
  <c r="C35" i="12"/>
  <c r="F891" i="12"/>
  <c r="E891" i="12"/>
  <c r="C891" i="12"/>
  <c r="F591" i="12"/>
  <c r="E591" i="12"/>
  <c r="C591" i="12"/>
  <c r="F890" i="12"/>
  <c r="E890" i="12"/>
  <c r="C890" i="12"/>
  <c r="F560" i="12"/>
  <c r="E560" i="12"/>
  <c r="C560" i="12"/>
  <c r="G34" i="12"/>
  <c r="F34" i="12"/>
  <c r="E34" i="12"/>
  <c r="C34" i="12"/>
  <c r="F889" i="12"/>
  <c r="E889" i="12"/>
  <c r="C889" i="12"/>
  <c r="F590" i="12"/>
  <c r="E590" i="12"/>
  <c r="C590" i="12"/>
  <c r="F888" i="12"/>
  <c r="E888" i="12"/>
  <c r="C888" i="12"/>
  <c r="F559" i="12"/>
  <c r="E559" i="12"/>
  <c r="C559" i="12"/>
  <c r="G33" i="12"/>
  <c r="F33" i="12"/>
  <c r="E33" i="12"/>
  <c r="C33" i="12"/>
  <c r="F887" i="12"/>
  <c r="E887" i="12"/>
  <c r="C887" i="12"/>
  <c r="F589" i="12"/>
  <c r="E589" i="12"/>
  <c r="C589" i="12"/>
  <c r="F886" i="12"/>
  <c r="E886" i="12"/>
  <c r="C886" i="12"/>
  <c r="F558" i="12"/>
  <c r="E558" i="12"/>
  <c r="C558" i="12"/>
  <c r="G32" i="12"/>
  <c r="F32" i="12"/>
  <c r="E32" i="12"/>
  <c r="C32" i="12"/>
  <c r="F885" i="12"/>
  <c r="E885" i="12"/>
  <c r="C885" i="12"/>
  <c r="F588" i="12"/>
  <c r="E588" i="12"/>
  <c r="C588" i="12"/>
  <c r="F884" i="12"/>
  <c r="E884" i="12"/>
  <c r="C884" i="12"/>
  <c r="F557" i="12"/>
  <c r="E557" i="12"/>
  <c r="C557" i="12"/>
  <c r="G31" i="12"/>
  <c r="F31" i="12"/>
  <c r="E31" i="12"/>
  <c r="C31" i="12"/>
  <c r="F883" i="12"/>
  <c r="E883" i="12"/>
  <c r="C883" i="12"/>
  <c r="F587" i="12"/>
  <c r="E587" i="12"/>
  <c r="C587" i="12"/>
  <c r="F882" i="12"/>
  <c r="E882" i="12"/>
  <c r="C882" i="12"/>
  <c r="F556" i="12"/>
  <c r="E556" i="12"/>
  <c r="C556" i="12"/>
  <c r="G30" i="12"/>
  <c r="F30" i="12"/>
  <c r="E30" i="12"/>
  <c r="C30" i="12"/>
  <c r="F881" i="12"/>
  <c r="E881" i="12"/>
  <c r="C881" i="12"/>
  <c r="F586" i="12"/>
  <c r="E586" i="12"/>
  <c r="C586" i="12"/>
  <c r="F880" i="12"/>
  <c r="E880" i="12"/>
  <c r="C880" i="12"/>
  <c r="F555" i="12"/>
  <c r="E555" i="12"/>
  <c r="C555" i="12"/>
  <c r="G29" i="12"/>
  <c r="F29" i="12"/>
  <c r="E29" i="12"/>
  <c r="C29" i="12"/>
  <c r="F879" i="12"/>
  <c r="E879" i="12"/>
  <c r="C879" i="12"/>
  <c r="F585" i="12"/>
  <c r="E585" i="12"/>
  <c r="C585" i="12"/>
  <c r="F878" i="12"/>
  <c r="E878" i="12"/>
  <c r="C878" i="12"/>
  <c r="F554" i="12"/>
  <c r="E554" i="12"/>
  <c r="C554" i="12"/>
  <c r="G28" i="12"/>
  <c r="F28" i="12"/>
  <c r="E28" i="12"/>
  <c r="C28" i="12"/>
  <c r="F877" i="12"/>
  <c r="E877" i="12"/>
  <c r="C877" i="12"/>
  <c r="F584" i="12"/>
  <c r="E584" i="12"/>
  <c r="C584" i="12"/>
  <c r="F876" i="12"/>
  <c r="E876" i="12"/>
  <c r="C876" i="12"/>
  <c r="F553" i="12"/>
  <c r="E553" i="12"/>
  <c r="C553" i="12"/>
  <c r="G27" i="12"/>
  <c r="F27" i="12"/>
  <c r="E27" i="12"/>
  <c r="C27" i="12"/>
  <c r="F923" i="12"/>
  <c r="C923" i="12"/>
  <c r="F855" i="12"/>
  <c r="C855" i="12"/>
  <c r="F922" i="12"/>
  <c r="C922" i="12"/>
  <c r="F854" i="12"/>
  <c r="C854" i="12"/>
  <c r="F921" i="12"/>
  <c r="C921" i="12"/>
  <c r="F852" i="12"/>
  <c r="C852" i="12"/>
  <c r="F920" i="12"/>
  <c r="C920" i="12"/>
  <c r="F851" i="12"/>
  <c r="C851" i="12"/>
  <c r="F850" i="12"/>
  <c r="C850" i="12"/>
  <c r="G26" i="12"/>
  <c r="F26" i="12"/>
  <c r="C26" i="12"/>
  <c r="F849" i="12"/>
  <c r="C849" i="12"/>
  <c r="F583" i="12"/>
  <c r="C583" i="12"/>
  <c r="F848" i="12"/>
  <c r="C848" i="12"/>
  <c r="F582" i="12"/>
  <c r="C582" i="12"/>
  <c r="F847" i="12"/>
  <c r="C847" i="12"/>
  <c r="G25" i="12"/>
  <c r="F25" i="12"/>
  <c r="C25" i="12"/>
  <c r="F919" i="12"/>
  <c r="C919" i="12"/>
  <c r="F846" i="12"/>
  <c r="C846" i="12"/>
  <c r="F845" i="12"/>
  <c r="C845" i="12"/>
  <c r="F581" i="12"/>
  <c r="C581" i="12"/>
  <c r="F844" i="12"/>
  <c r="C844" i="12"/>
  <c r="F14" i="12"/>
  <c r="C14" i="12"/>
  <c r="F843" i="12"/>
  <c r="C843" i="12"/>
  <c r="G24" i="12"/>
  <c r="F24" i="12"/>
  <c r="C24" i="12"/>
  <c r="F842" i="12"/>
  <c r="C842" i="12"/>
  <c r="F580" i="12"/>
  <c r="C580" i="12"/>
  <c r="F841" i="12"/>
  <c r="C841" i="12"/>
  <c r="F579" i="12"/>
  <c r="C579" i="12"/>
  <c r="F840" i="12"/>
  <c r="C840" i="12"/>
  <c r="F578" i="12"/>
  <c r="C578" i="12"/>
  <c r="F839" i="12"/>
  <c r="C839" i="12"/>
  <c r="F577" i="12"/>
  <c r="C577" i="12"/>
  <c r="F838" i="12"/>
  <c r="C838" i="12"/>
  <c r="F576" i="12"/>
  <c r="C576" i="12"/>
  <c r="F837" i="12"/>
  <c r="C837" i="12"/>
  <c r="F575" i="12"/>
  <c r="C575" i="12"/>
  <c r="F836" i="12"/>
  <c r="C836" i="12"/>
  <c r="F574" i="12"/>
  <c r="C574" i="12"/>
  <c r="F835" i="12"/>
  <c r="C835" i="12"/>
  <c r="F573" i="12"/>
  <c r="C573" i="12"/>
  <c r="F834" i="12"/>
  <c r="C834" i="12"/>
  <c r="F572" i="12"/>
  <c r="C572" i="12"/>
  <c r="F833" i="12"/>
  <c r="C833" i="12"/>
  <c r="F571" i="12"/>
  <c r="C571" i="12"/>
  <c r="F832" i="12"/>
  <c r="C832" i="12"/>
  <c r="G13" i="12"/>
  <c r="F13" i="12"/>
  <c r="C13" i="12"/>
  <c r="F831" i="12"/>
  <c r="C831" i="12"/>
  <c r="G23" i="12"/>
  <c r="F23" i="12"/>
  <c r="C23" i="12"/>
  <c r="F830" i="12"/>
  <c r="C830" i="12"/>
  <c r="G22" i="12"/>
  <c r="F22" i="12"/>
  <c r="C22" i="12"/>
  <c r="F829" i="12"/>
  <c r="C829" i="12"/>
  <c r="G21" i="12"/>
  <c r="F21" i="12"/>
  <c r="C21" i="12"/>
  <c r="F828" i="12"/>
  <c r="C828" i="12"/>
  <c r="G20" i="12"/>
  <c r="F20" i="12"/>
  <c r="C20" i="12"/>
  <c r="F827" i="12"/>
  <c r="C827" i="12"/>
  <c r="G819" i="12"/>
  <c r="F819" i="12"/>
  <c r="C819" i="12"/>
  <c r="F826" i="12"/>
  <c r="C826" i="12"/>
  <c r="G19" i="12"/>
  <c r="F19" i="12"/>
  <c r="C19" i="12"/>
  <c r="F825" i="12"/>
  <c r="C825" i="12"/>
  <c r="G18" i="12"/>
  <c r="F18" i="12"/>
  <c r="C18" i="12"/>
  <c r="F824" i="12"/>
  <c r="C824" i="12"/>
  <c r="F570" i="12"/>
  <c r="C570" i="12"/>
  <c r="F823" i="12"/>
  <c r="C823" i="12"/>
  <c r="G17" i="12"/>
  <c r="F17" i="12"/>
  <c r="C17" i="12"/>
  <c r="F822" i="12"/>
  <c r="C822" i="12"/>
  <c r="G16" i="12"/>
  <c r="F16" i="12"/>
  <c r="C16" i="12"/>
  <c r="F811" i="12"/>
  <c r="E811" i="12"/>
  <c r="C811" i="12"/>
  <c r="F531" i="12"/>
  <c r="E531" i="12"/>
  <c r="C531" i="12"/>
  <c r="G12" i="12"/>
  <c r="F12" i="12"/>
  <c r="E12" i="12"/>
  <c r="C12" i="12"/>
  <c r="F909" i="12"/>
  <c r="E909" i="12"/>
  <c r="C909" i="12"/>
  <c r="F528" i="12"/>
  <c r="E528" i="12"/>
  <c r="C528" i="12"/>
  <c r="F11" i="12"/>
  <c r="E11" i="12"/>
  <c r="C11" i="12"/>
  <c r="F925" i="12"/>
  <c r="C925" i="12"/>
  <c r="F810" i="12"/>
  <c r="C810" i="12"/>
  <c r="F911" i="12"/>
  <c r="C911" i="12"/>
  <c r="F809" i="12"/>
  <c r="C809" i="12"/>
  <c r="F1219" i="12"/>
  <c r="C1219" i="12"/>
  <c r="F538" i="12"/>
  <c r="C538" i="12"/>
  <c r="F929" i="12"/>
  <c r="C929" i="12"/>
  <c r="F815" i="12"/>
  <c r="C815" i="12"/>
  <c r="F913" i="12"/>
  <c r="C913" i="12"/>
  <c r="F808" i="12"/>
  <c r="C808" i="12"/>
  <c r="F917" i="12"/>
  <c r="C917" i="12"/>
  <c r="F814" i="12"/>
  <c r="C814" i="12"/>
  <c r="F915" i="12"/>
  <c r="C915" i="12"/>
  <c r="F813" i="12"/>
  <c r="C813" i="12"/>
  <c r="J1221" i="12" l="1"/>
  <c r="K1221" i="12"/>
  <c r="J447" i="13"/>
  <c r="J143" i="14"/>
  <c r="J225" i="15"/>
  <c r="K447" i="13"/>
  <c r="K143" i="14"/>
  <c r="K225" i="15"/>
  <c r="K8168" i="11"/>
  <c r="J8168" i="11"/>
  <c r="K8166" i="11"/>
  <c r="J8166" i="11"/>
  <c r="K8164" i="11"/>
  <c r="J8164" i="11"/>
  <c r="K8161" i="11"/>
  <c r="J8161" i="11"/>
  <c r="K8149" i="11"/>
  <c r="J8149" i="11"/>
  <c r="K8138" i="11"/>
  <c r="J8138" i="11"/>
  <c r="K8126" i="11"/>
  <c r="J8126" i="11"/>
  <c r="K8119" i="11"/>
  <c r="J8119" i="11"/>
  <c r="K8085" i="11"/>
  <c r="J8085" i="11"/>
  <c r="K7707" i="11"/>
  <c r="J7707" i="11"/>
  <c r="K7705" i="11"/>
  <c r="J7705" i="11"/>
  <c r="K7701" i="11"/>
  <c r="J7701" i="11"/>
  <c r="K7697" i="11"/>
  <c r="J7697" i="11"/>
  <c r="K7694" i="11"/>
  <c r="J7694" i="11"/>
  <c r="K7692" i="11"/>
  <c r="J7692" i="11"/>
  <c r="K7663" i="11"/>
  <c r="J7663" i="11"/>
  <c r="K7661" i="11"/>
  <c r="J7661" i="11"/>
  <c r="K7655" i="11"/>
  <c r="J7655" i="11"/>
  <c r="K7652" i="11"/>
  <c r="J7652" i="11"/>
  <c r="K7647" i="11"/>
  <c r="J7647" i="11"/>
  <c r="K7637" i="11"/>
  <c r="J7637" i="11"/>
  <c r="K7633" i="11"/>
  <c r="J7633" i="11"/>
  <c r="K7627" i="11"/>
  <c r="J7627" i="11"/>
  <c r="K7621" i="11"/>
  <c r="J7621" i="11"/>
  <c r="K7615" i="11"/>
  <c r="J7615" i="11"/>
  <c r="K7612" i="11"/>
  <c r="J7612" i="11"/>
  <c r="K7605" i="11"/>
  <c r="J7605" i="11"/>
  <c r="K7602" i="11"/>
  <c r="J7602" i="11"/>
  <c r="K7600" i="11"/>
  <c r="J7600" i="11"/>
  <c r="K7598" i="11"/>
  <c r="J7598" i="11"/>
  <c r="K7596" i="11"/>
  <c r="J7596" i="11"/>
  <c r="K7592" i="11"/>
  <c r="J7592" i="11"/>
  <c r="K7588" i="11"/>
  <c r="J7588" i="11"/>
  <c r="K7584" i="11"/>
  <c r="J7584" i="11"/>
  <c r="K7581" i="11"/>
  <c r="J7581" i="11"/>
  <c r="K7578" i="11"/>
  <c r="J7578" i="11"/>
  <c r="K7576" i="11"/>
  <c r="J7576" i="11"/>
  <c r="K7573" i="11"/>
  <c r="J7573" i="11"/>
  <c r="K7571" i="11"/>
  <c r="J7571" i="11"/>
  <c r="K7568" i="11"/>
  <c r="J7568" i="11"/>
  <c r="K7565" i="11"/>
  <c r="J7565" i="11"/>
  <c r="K7562" i="11"/>
  <c r="J7562" i="11"/>
  <c r="K7560" i="11"/>
  <c r="J7560" i="11"/>
  <c r="K7556" i="11"/>
  <c r="J7556" i="11"/>
  <c r="K7554" i="11"/>
  <c r="J7554" i="11"/>
  <c r="K7552" i="11"/>
  <c r="J7552" i="11"/>
  <c r="K7520" i="11"/>
  <c r="J7520" i="11"/>
  <c r="K7512" i="11"/>
  <c r="J7512" i="11"/>
  <c r="K7510" i="11"/>
  <c r="J7510" i="11"/>
  <c r="K7493" i="11"/>
  <c r="J7493" i="11"/>
  <c r="K7491" i="11"/>
  <c r="J7491" i="11"/>
  <c r="K7489" i="11"/>
  <c r="J7489" i="11"/>
  <c r="K7469" i="11"/>
  <c r="J7469" i="11"/>
  <c r="K7437" i="11"/>
  <c r="J7437" i="11"/>
  <c r="K7433" i="11"/>
  <c r="J7433" i="11"/>
  <c r="K7430" i="11"/>
  <c r="J7430" i="11"/>
  <c r="K7428" i="11"/>
  <c r="J7428" i="11"/>
  <c r="K7425" i="11"/>
  <c r="J7425" i="11"/>
  <c r="K7422" i="11"/>
  <c r="J7422" i="11"/>
  <c r="K7418" i="11"/>
  <c r="J7418" i="11"/>
  <c r="K7416" i="11"/>
  <c r="J7416" i="11"/>
  <c r="K7414" i="11"/>
  <c r="J7414" i="11"/>
  <c r="K7407" i="11"/>
  <c r="J7407" i="11"/>
  <c r="K7314" i="11"/>
  <c r="J7314" i="11"/>
  <c r="K7301" i="11"/>
  <c r="J7301" i="11"/>
  <c r="K7299" i="11"/>
  <c r="J7299" i="11"/>
  <c r="K7297" i="11"/>
  <c r="J7297" i="11"/>
  <c r="K7292" i="11"/>
  <c r="J7292" i="11"/>
  <c r="K7288" i="11"/>
  <c r="J7288" i="11"/>
  <c r="K7284" i="11"/>
  <c r="J7284" i="11"/>
  <c r="K7279" i="11"/>
  <c r="J7279" i="11"/>
  <c r="K7277" i="11"/>
  <c r="J7277" i="11"/>
  <c r="K7272" i="11"/>
  <c r="J7272" i="11"/>
  <c r="K7270" i="11"/>
  <c r="J7270" i="11"/>
  <c r="K7265" i="11"/>
  <c r="J7265" i="11"/>
  <c r="K7201" i="11"/>
  <c r="J7201" i="11"/>
  <c r="K7154" i="11"/>
  <c r="J7154" i="11"/>
  <c r="K7134" i="11"/>
  <c r="J7134" i="11"/>
  <c r="K7115" i="11"/>
  <c r="J7115" i="11"/>
  <c r="K7110" i="11"/>
  <c r="J7110" i="11"/>
  <c r="K7108" i="11"/>
  <c r="J7108" i="11"/>
  <c r="K7105" i="11"/>
  <c r="J7105" i="11"/>
  <c r="K7102" i="11"/>
  <c r="J7102" i="11"/>
  <c r="K7100" i="11"/>
  <c r="J7100" i="11"/>
  <c r="K7098" i="11"/>
  <c r="J7098" i="11"/>
  <c r="K7096" i="11"/>
  <c r="J7096" i="11"/>
  <c r="K7075" i="11"/>
  <c r="J7075" i="11"/>
  <c r="K7066" i="11"/>
  <c r="J7066" i="11"/>
  <c r="K7063" i="11"/>
  <c r="J7063" i="11"/>
  <c r="K7061" i="11"/>
  <c r="J7061" i="11"/>
  <c r="K7057" i="11"/>
  <c r="J7057" i="11"/>
  <c r="K7016" i="11"/>
  <c r="J7016" i="11"/>
  <c r="K6986" i="11"/>
  <c r="J6986" i="11"/>
  <c r="K6982" i="11"/>
  <c r="J6982" i="11"/>
  <c r="K6963" i="11"/>
  <c r="J6963" i="11"/>
  <c r="K6924" i="11"/>
  <c r="J6924" i="11"/>
  <c r="K6920" i="11"/>
  <c r="J6920" i="11"/>
  <c r="K6912" i="11"/>
  <c r="J6912" i="11"/>
  <c r="K6904" i="11"/>
  <c r="J6904" i="11"/>
  <c r="K6901" i="11"/>
  <c r="J6901" i="11"/>
  <c r="K6881" i="11"/>
  <c r="J6881" i="11"/>
  <c r="K6871" i="11"/>
  <c r="J6871" i="11"/>
  <c r="K6747" i="11"/>
  <c r="J6747" i="11"/>
  <c r="K6542" i="11"/>
  <c r="J6542" i="11"/>
  <c r="K6523" i="11"/>
  <c r="J6523" i="11"/>
  <c r="K6520" i="11"/>
  <c r="J6520" i="11"/>
  <c r="K6515" i="11"/>
  <c r="J6515" i="11"/>
  <c r="K6513" i="11"/>
  <c r="J6513" i="11"/>
  <c r="K6499" i="11"/>
  <c r="J6499" i="11"/>
  <c r="K6493" i="11"/>
  <c r="J6493" i="11"/>
  <c r="K6491" i="11"/>
  <c r="J6491" i="11"/>
  <c r="K6479" i="11"/>
  <c r="J6479" i="11"/>
  <c r="K6471" i="11"/>
  <c r="J6471" i="11"/>
  <c r="K6467" i="11"/>
  <c r="J6467" i="11"/>
  <c r="K6458" i="11"/>
  <c r="J6458" i="11"/>
  <c r="K6455" i="11"/>
  <c r="J6455" i="11"/>
  <c r="K6058" i="11"/>
  <c r="J6058" i="11"/>
  <c r="K6053" i="11"/>
  <c r="J6053" i="11"/>
  <c r="K6049" i="11"/>
  <c r="J6049" i="11"/>
  <c r="K5442" i="11"/>
  <c r="J5442" i="11"/>
  <c r="K5370" i="11"/>
  <c r="J5370" i="11"/>
  <c r="K5351" i="11"/>
  <c r="J5351" i="11"/>
  <c r="K5233" i="11"/>
  <c r="J5233" i="11"/>
  <c r="K5201" i="11"/>
  <c r="J5201" i="11"/>
  <c r="K5055" i="11"/>
  <c r="J5055" i="11"/>
  <c r="K5036" i="11"/>
  <c r="J5036" i="11"/>
  <c r="K4910" i="11"/>
  <c r="J4910" i="11"/>
  <c r="K4908" i="11"/>
  <c r="J4908" i="11"/>
  <c r="K4664" i="11"/>
  <c r="J4664" i="11"/>
  <c r="K4660" i="11"/>
  <c r="J4660" i="11"/>
  <c r="K4636" i="11"/>
  <c r="J4636" i="11"/>
  <c r="K4574" i="11"/>
  <c r="J4574" i="11"/>
  <c r="K4536" i="11"/>
  <c r="J4536" i="11"/>
  <c r="K4453" i="11"/>
  <c r="J4453" i="11"/>
  <c r="K4424" i="11"/>
  <c r="J4424" i="11"/>
  <c r="K4400" i="11"/>
  <c r="J4400" i="11"/>
  <c r="K4356" i="11"/>
  <c r="J4356" i="11"/>
  <c r="K4282" i="11"/>
  <c r="J4282" i="11"/>
  <c r="K4276" i="11"/>
  <c r="J4276" i="11"/>
  <c r="K4263" i="11"/>
  <c r="J4263" i="11"/>
  <c r="K4257" i="11"/>
  <c r="J4257" i="11"/>
  <c r="K4254" i="11"/>
  <c r="J4254" i="11"/>
  <c r="K4247" i="11"/>
  <c r="J4247" i="11"/>
  <c r="K4243" i="11"/>
  <c r="J4243" i="11"/>
  <c r="K4191" i="11"/>
  <c r="J4191" i="11"/>
  <c r="K4180" i="11"/>
  <c r="J4180" i="11"/>
  <c r="K4092" i="11"/>
  <c r="J4092" i="11"/>
  <c r="K3911" i="11"/>
  <c r="J3911" i="11"/>
  <c r="K3897" i="11"/>
  <c r="J3897" i="11"/>
  <c r="K3894" i="11"/>
  <c r="J3894" i="11"/>
  <c r="K3892" i="11"/>
  <c r="J3892" i="11"/>
  <c r="K3872" i="11"/>
  <c r="J3872" i="11"/>
  <c r="K3865" i="11"/>
  <c r="J3865" i="11"/>
  <c r="K3825" i="11"/>
  <c r="J3825" i="11"/>
  <c r="K3819" i="11"/>
  <c r="J3819" i="11"/>
  <c r="K3816" i="11"/>
  <c r="J3816" i="11"/>
  <c r="K3814" i="11"/>
  <c r="J3814" i="11"/>
  <c r="K3756" i="11"/>
  <c r="J3756" i="11"/>
  <c r="K3747" i="11"/>
  <c r="J3747" i="11"/>
  <c r="K3745" i="11"/>
  <c r="J3745" i="11"/>
  <c r="K3733" i="11"/>
  <c r="J3733" i="11"/>
  <c r="K3730" i="11"/>
  <c r="J3730" i="11"/>
  <c r="K3727" i="11"/>
  <c r="J3727" i="11"/>
  <c r="K3724" i="11"/>
  <c r="J3724" i="11"/>
  <c r="K3722" i="11"/>
  <c r="J3722" i="11"/>
  <c r="K3717" i="11"/>
  <c r="J3717" i="11"/>
  <c r="K3715" i="11"/>
  <c r="J3715" i="11"/>
  <c r="K3625" i="11"/>
  <c r="J3625" i="11"/>
  <c r="K3430" i="11"/>
  <c r="J3430" i="11"/>
  <c r="K3426" i="11"/>
  <c r="J3426" i="11"/>
  <c r="K3422" i="11"/>
  <c r="J3422" i="11"/>
  <c r="K3413" i="11"/>
  <c r="J3413" i="11"/>
  <c r="K3408" i="11"/>
  <c r="J3408" i="11"/>
  <c r="K3060" i="11"/>
  <c r="J3060" i="11"/>
  <c r="K3051" i="11"/>
  <c r="J3051" i="11"/>
  <c r="K3049" i="11"/>
  <c r="J3049" i="11"/>
  <c r="K3038" i="11"/>
  <c r="J3038" i="11"/>
  <c r="K3036" i="11"/>
  <c r="J3036" i="11"/>
  <c r="K3033" i="11"/>
  <c r="J3033" i="11"/>
  <c r="K3029" i="11"/>
  <c r="J3029" i="11"/>
  <c r="K3023" i="11"/>
  <c r="J3023" i="11"/>
  <c r="K3021" i="11"/>
  <c r="J3021" i="11"/>
  <c r="K3014" i="11"/>
  <c r="J3014" i="11"/>
  <c r="K2976" i="11"/>
  <c r="J2976" i="11"/>
  <c r="K2973" i="11"/>
  <c r="J2973" i="11"/>
  <c r="K2970" i="11"/>
  <c r="J2970" i="11"/>
  <c r="K2968" i="11"/>
  <c r="J2968" i="11"/>
  <c r="K2963" i="11"/>
  <c r="J2963" i="11"/>
  <c r="K2961" i="11"/>
  <c r="J2961" i="11"/>
  <c r="K2953" i="11"/>
  <c r="J2953" i="11"/>
  <c r="K2950" i="11"/>
  <c r="J2950" i="11"/>
  <c r="K2946" i="11"/>
  <c r="J2946" i="11"/>
  <c r="K2944" i="11"/>
  <c r="J2944" i="11"/>
  <c r="K2745" i="11"/>
  <c r="J2745" i="11"/>
  <c r="K2484" i="11"/>
  <c r="J2484" i="11"/>
  <c r="K2444" i="11"/>
  <c r="J2444" i="11"/>
  <c r="K2426" i="11"/>
  <c r="J2426" i="11"/>
  <c r="K2422" i="11"/>
  <c r="J2422" i="11"/>
  <c r="K1793" i="11"/>
  <c r="J1793" i="11"/>
  <c r="K689" i="11"/>
  <c r="J689" i="11"/>
  <c r="K371" i="11"/>
  <c r="J371" i="11"/>
  <c r="K244" i="11"/>
  <c r="J244" i="11"/>
  <c r="K167" i="11"/>
  <c r="J167" i="11"/>
  <c r="K159" i="11"/>
  <c r="J159" i="11"/>
  <c r="K155" i="11"/>
  <c r="J155" i="11"/>
  <c r="K151" i="11"/>
  <c r="J151" i="11"/>
  <c r="K147" i="11"/>
  <c r="J147" i="11"/>
  <c r="K143" i="11"/>
  <c r="J143" i="11"/>
  <c r="K139" i="11"/>
  <c r="J139" i="11"/>
  <c r="K135" i="11"/>
  <c r="J135" i="11"/>
  <c r="K131" i="11"/>
  <c r="J131" i="11"/>
  <c r="K127" i="11"/>
  <c r="J127" i="11"/>
  <c r="K123" i="11"/>
  <c r="J123" i="11"/>
  <c r="K119" i="11"/>
  <c r="J119" i="11"/>
  <c r="K115" i="11"/>
  <c r="J115" i="11"/>
  <c r="K111" i="11"/>
  <c r="J111" i="11"/>
  <c r="K107" i="11"/>
  <c r="J107" i="11"/>
  <c r="K103" i="11"/>
  <c r="J103" i="11"/>
  <c r="K99" i="11"/>
  <c r="J99" i="11"/>
  <c r="K95" i="11"/>
  <c r="J95" i="11"/>
  <c r="K91" i="11"/>
  <c r="J91" i="11"/>
  <c r="K89" i="11"/>
  <c r="J89" i="11"/>
  <c r="K87" i="11"/>
  <c r="J87" i="11"/>
  <c r="K85" i="11"/>
  <c r="J85" i="11"/>
  <c r="K80" i="11"/>
  <c r="J80" i="11"/>
  <c r="K77" i="11"/>
  <c r="J77" i="11"/>
  <c r="K75" i="11"/>
  <c r="J75" i="11"/>
  <c r="K73" i="11"/>
  <c r="J73" i="11"/>
  <c r="K71" i="11"/>
  <c r="J71" i="11"/>
  <c r="K69" i="11"/>
  <c r="J69" i="11"/>
  <c r="K67" i="11"/>
  <c r="J67" i="11"/>
  <c r="K65" i="11"/>
  <c r="J65" i="11"/>
  <c r="K63" i="11"/>
  <c r="J63" i="11"/>
  <c r="K61" i="11"/>
  <c r="J61" i="11"/>
  <c r="K59" i="11"/>
  <c r="J59" i="11"/>
  <c r="K57" i="11"/>
  <c r="J57" i="11"/>
  <c r="K55" i="11"/>
  <c r="J55" i="11"/>
  <c r="K53" i="11"/>
  <c r="J53" i="11"/>
  <c r="K51" i="11"/>
  <c r="J51" i="11"/>
  <c r="K49" i="11"/>
  <c r="J49" i="11"/>
  <c r="K47" i="11"/>
  <c r="J47" i="11"/>
  <c r="K45" i="11"/>
  <c r="J45" i="11"/>
  <c r="K43" i="11"/>
  <c r="J43" i="11"/>
  <c r="K41" i="11"/>
  <c r="J41" i="11"/>
  <c r="K39" i="11"/>
  <c r="J39" i="11"/>
  <c r="K37" i="11"/>
  <c r="J37" i="11"/>
  <c r="K35" i="11"/>
  <c r="J35" i="11"/>
  <c r="K33" i="11"/>
  <c r="J33" i="11"/>
  <c r="K31" i="11"/>
  <c r="J31" i="11"/>
  <c r="K29" i="11"/>
  <c r="J29" i="11"/>
  <c r="K27" i="11"/>
  <c r="J27" i="11"/>
  <c r="K25" i="11"/>
  <c r="J25" i="11"/>
  <c r="K23" i="11"/>
  <c r="J23" i="11"/>
  <c r="K21" i="11"/>
  <c r="J21" i="11"/>
  <c r="K19" i="11"/>
  <c r="J19" i="11"/>
  <c r="K17" i="11"/>
  <c r="J17" i="11"/>
  <c r="K15" i="11"/>
  <c r="J15" i="11"/>
  <c r="K13" i="11"/>
  <c r="J13" i="11"/>
  <c r="K11" i="11"/>
  <c r="J11" i="11"/>
  <c r="K9" i="11"/>
  <c r="J9" i="11"/>
  <c r="K7" i="11"/>
  <c r="J7" i="11"/>
  <c r="K5" i="11"/>
  <c r="J5" i="11"/>
  <c r="K3" i="11"/>
  <c r="J3" i="11"/>
  <c r="F8084" i="11"/>
  <c r="F3407" i="11"/>
  <c r="G2943" i="11"/>
  <c r="F2943" i="11"/>
  <c r="F8083" i="11"/>
  <c r="F3406" i="11"/>
  <c r="G2942" i="11"/>
  <c r="F2942" i="11"/>
  <c r="F8082" i="11"/>
  <c r="F3405" i="11"/>
  <c r="G2941" i="11"/>
  <c r="F2941" i="11"/>
  <c r="F8081" i="11"/>
  <c r="F3404" i="11"/>
  <c r="G2940" i="11"/>
  <c r="F2940" i="11"/>
  <c r="F8080" i="11"/>
  <c r="F3403" i="11"/>
  <c r="G2744" i="11"/>
  <c r="F2744" i="11"/>
  <c r="F8079" i="11"/>
  <c r="F3402" i="11"/>
  <c r="G2743" i="11"/>
  <c r="F2743" i="11"/>
  <c r="F8078" i="11"/>
  <c r="F3401" i="11"/>
  <c r="G2742" i="11"/>
  <c r="F2742" i="11"/>
  <c r="F8077" i="11"/>
  <c r="F3400" i="11"/>
  <c r="G2741" i="11"/>
  <c r="F2741" i="11"/>
  <c r="F8076" i="11"/>
  <c r="F3399" i="11"/>
  <c r="G2939" i="11"/>
  <c r="F2939" i="11"/>
  <c r="F8075" i="11"/>
  <c r="F3398" i="11"/>
  <c r="G2938" i="11"/>
  <c r="F2938" i="11"/>
  <c r="F8118" i="11"/>
  <c r="F8074" i="11"/>
  <c r="G2937" i="11"/>
  <c r="F2937" i="11"/>
  <c r="F8073" i="11"/>
  <c r="G2936" i="11"/>
  <c r="F2936" i="11"/>
  <c r="F8117" i="11"/>
  <c r="G2935" i="11"/>
  <c r="F2935" i="11"/>
  <c r="F8116" i="11"/>
  <c r="G2934" i="11"/>
  <c r="F2934" i="11"/>
  <c r="F8115" i="11"/>
  <c r="G2933" i="11"/>
  <c r="F2933" i="11"/>
  <c r="F8114" i="11"/>
  <c r="G2932" i="11"/>
  <c r="F2932" i="11"/>
  <c r="F8137" i="11"/>
  <c r="F3397" i="11"/>
  <c r="G2740" i="11"/>
  <c r="F2740" i="11"/>
  <c r="F8125" i="11"/>
  <c r="F3396" i="11"/>
  <c r="G2739" i="11"/>
  <c r="F2739" i="11"/>
  <c r="F8124" i="11"/>
  <c r="F3395" i="11"/>
  <c r="G2738" i="11"/>
  <c r="F2738" i="11"/>
  <c r="F8072" i="11"/>
  <c r="G2737" i="11"/>
  <c r="F2737" i="11"/>
  <c r="F8071" i="11"/>
  <c r="G2736" i="11"/>
  <c r="F2736" i="11"/>
  <c r="F8070" i="11"/>
  <c r="G2735" i="11"/>
  <c r="F2735" i="11"/>
  <c r="F8069" i="11"/>
  <c r="G2734" i="11"/>
  <c r="F2734" i="11"/>
  <c r="F8068" i="11"/>
  <c r="F3394" i="11"/>
  <c r="G2931" i="11"/>
  <c r="F2931" i="11"/>
  <c r="F8067" i="11"/>
  <c r="F3393" i="11"/>
  <c r="G2930" i="11"/>
  <c r="F2930" i="11"/>
  <c r="F8066" i="11"/>
  <c r="F3392" i="11"/>
  <c r="G2929" i="11"/>
  <c r="F2929" i="11"/>
  <c r="F8065" i="11"/>
  <c r="F4091" i="11"/>
  <c r="F3391" i="11"/>
  <c r="G2733" i="11"/>
  <c r="F2733" i="11"/>
  <c r="F8064" i="11"/>
  <c r="F4090" i="11"/>
  <c r="F3390" i="11"/>
  <c r="G2732" i="11"/>
  <c r="F2732" i="11"/>
  <c r="F8063" i="11"/>
  <c r="F4089" i="11"/>
  <c r="F3389" i="11"/>
  <c r="G2731" i="11"/>
  <c r="F2731" i="11"/>
  <c r="F8062" i="11"/>
  <c r="F4088" i="11"/>
  <c r="F3388" i="11"/>
  <c r="G2730" i="11"/>
  <c r="F2730" i="11"/>
  <c r="F8061" i="11"/>
  <c r="F4087" i="11"/>
  <c r="F3387" i="11"/>
  <c r="G2729" i="11"/>
  <c r="F2729" i="11"/>
  <c r="F8060" i="11"/>
  <c r="F4086" i="11"/>
  <c r="F3386" i="11"/>
  <c r="G2728" i="11"/>
  <c r="F2728" i="11"/>
  <c r="F8059" i="11"/>
  <c r="F4085" i="11"/>
  <c r="F3385" i="11"/>
  <c r="G2727" i="11"/>
  <c r="F2727" i="11"/>
  <c r="F8058" i="11"/>
  <c r="F4084" i="11"/>
  <c r="F3384" i="11"/>
  <c r="G2726" i="11"/>
  <c r="F2726" i="11"/>
  <c r="F8057" i="11"/>
  <c r="F4083" i="11"/>
  <c r="F3383" i="11"/>
  <c r="G2725" i="11"/>
  <c r="F2725" i="11"/>
  <c r="F8056" i="11"/>
  <c r="F4082" i="11"/>
  <c r="F3382" i="11"/>
  <c r="G2724" i="11"/>
  <c r="F2724" i="11"/>
  <c r="F8055" i="11"/>
  <c r="F4081" i="11"/>
  <c r="F3381" i="11"/>
  <c r="G2723" i="11"/>
  <c r="F2723" i="11"/>
  <c r="F8054" i="11"/>
  <c r="F4080" i="11"/>
  <c r="F3380" i="11"/>
  <c r="G2722" i="11"/>
  <c r="F2722" i="11"/>
  <c r="F8053" i="11"/>
  <c r="F4079" i="11"/>
  <c r="F3379" i="11"/>
  <c r="G2721" i="11"/>
  <c r="F2721" i="11"/>
  <c r="F8052" i="11"/>
  <c r="F4078" i="11"/>
  <c r="F3378" i="11"/>
  <c r="G2720" i="11"/>
  <c r="F2720" i="11"/>
  <c r="F8051" i="11"/>
  <c r="F4077" i="11"/>
  <c r="F3377" i="11"/>
  <c r="G2719" i="11"/>
  <c r="F2719" i="11"/>
  <c r="F8050" i="11"/>
  <c r="F4076" i="11"/>
  <c r="F3376" i="11"/>
  <c r="G2718" i="11"/>
  <c r="F2718" i="11"/>
  <c r="F8049" i="11"/>
  <c r="F4075" i="11"/>
  <c r="F3375" i="11"/>
  <c r="G2717" i="11"/>
  <c r="F2717" i="11"/>
  <c r="F8048" i="11"/>
  <c r="F4074" i="11"/>
  <c r="F3374" i="11"/>
  <c r="G2716" i="11"/>
  <c r="F2716" i="11"/>
  <c r="F8047" i="11"/>
  <c r="F4073" i="11"/>
  <c r="F3373" i="11"/>
  <c r="G2715" i="11"/>
  <c r="F2715" i="11"/>
  <c r="F8046" i="11"/>
  <c r="F4072" i="11"/>
  <c r="F3372" i="11"/>
  <c r="G2714" i="11"/>
  <c r="F2714" i="11"/>
  <c r="F8045" i="11"/>
  <c r="F4071" i="11"/>
  <c r="F3371" i="11"/>
  <c r="G2713" i="11"/>
  <c r="F2713" i="11"/>
  <c r="F8044" i="11"/>
  <c r="F4070" i="11"/>
  <c r="F3370" i="11"/>
  <c r="G2712" i="11"/>
  <c r="F2712" i="11"/>
  <c r="F8043" i="11"/>
  <c r="G2711" i="11"/>
  <c r="F2711" i="11"/>
  <c r="F8042" i="11"/>
  <c r="G2710" i="11"/>
  <c r="F2710" i="11"/>
  <c r="F8041" i="11"/>
  <c r="F3369" i="11"/>
  <c r="G2928" i="11"/>
  <c r="F2928" i="11"/>
  <c r="F8160" i="11"/>
  <c r="F8040" i="11"/>
  <c r="F4069" i="11"/>
  <c r="F3368" i="11"/>
  <c r="G2709" i="11"/>
  <c r="F2709" i="11"/>
  <c r="F8039" i="11"/>
  <c r="F3367" i="11"/>
  <c r="G2927" i="11"/>
  <c r="F2927" i="11"/>
  <c r="F8038" i="11"/>
  <c r="F3366" i="11"/>
  <c r="G2926" i="11"/>
  <c r="F2926" i="11"/>
  <c r="F8037" i="11"/>
  <c r="F3365" i="11"/>
  <c r="G2925" i="11"/>
  <c r="F2925" i="11"/>
  <c r="F8113" i="11"/>
  <c r="G2924" i="11"/>
  <c r="F2924" i="11"/>
  <c r="F8112" i="11"/>
  <c r="G2708" i="11"/>
  <c r="F2708" i="11"/>
  <c r="F8036" i="11"/>
  <c r="F3364" i="11"/>
  <c r="G2923" i="11"/>
  <c r="F2923" i="11"/>
  <c r="F8035" i="11"/>
  <c r="F3363" i="11"/>
  <c r="G2922" i="11"/>
  <c r="F2922" i="11"/>
  <c r="F8034" i="11"/>
  <c r="F3362" i="11"/>
  <c r="G2921" i="11"/>
  <c r="F2921" i="11"/>
  <c r="F8033" i="11"/>
  <c r="F3361" i="11"/>
  <c r="G2920" i="11"/>
  <c r="F2920" i="11"/>
  <c r="F8032" i="11"/>
  <c r="F3360" i="11"/>
  <c r="G2919" i="11"/>
  <c r="F2919" i="11"/>
  <c r="F8031" i="11"/>
  <c r="F8030" i="11"/>
  <c r="F3359" i="11"/>
  <c r="F3358" i="11"/>
  <c r="G2918" i="11"/>
  <c r="F2918" i="11"/>
  <c r="G2917" i="11"/>
  <c r="F2917" i="11"/>
  <c r="F8029" i="11"/>
  <c r="F3357" i="11"/>
  <c r="G2916" i="11"/>
  <c r="F2916" i="11"/>
  <c r="F8028" i="11"/>
  <c r="F3356" i="11"/>
  <c r="G2915" i="11"/>
  <c r="F2915" i="11"/>
  <c r="F8027" i="11"/>
  <c r="F3355" i="11"/>
  <c r="G2914" i="11"/>
  <c r="F2914" i="11"/>
  <c r="F8026" i="11"/>
  <c r="F3354" i="11"/>
  <c r="G2913" i="11"/>
  <c r="F2913" i="11"/>
  <c r="F8025" i="11"/>
  <c r="F3353" i="11"/>
  <c r="G2912" i="11"/>
  <c r="F2912" i="11"/>
  <c r="F8024" i="11"/>
  <c r="F3352" i="11"/>
  <c r="G2911" i="11"/>
  <c r="F2911" i="11"/>
  <c r="F8023" i="11"/>
  <c r="F3351" i="11"/>
  <c r="G2910" i="11"/>
  <c r="F2910" i="11"/>
  <c r="F8022" i="11"/>
  <c r="F3350" i="11"/>
  <c r="G2909" i="11"/>
  <c r="F2909" i="11"/>
  <c r="F8021" i="11"/>
  <c r="F3349" i="11"/>
  <c r="G2908" i="11"/>
  <c r="F2908" i="11"/>
  <c r="F8020" i="11"/>
  <c r="F3348" i="11"/>
  <c r="G2907" i="11"/>
  <c r="F2907" i="11"/>
  <c r="F8111" i="11"/>
  <c r="G2906" i="11"/>
  <c r="F2906" i="11"/>
  <c r="F8110" i="11"/>
  <c r="G2707" i="11"/>
  <c r="F2707" i="11"/>
  <c r="F8019" i="11"/>
  <c r="F3347" i="11"/>
  <c r="G2706" i="11"/>
  <c r="F2706" i="11"/>
  <c r="F8018" i="11"/>
  <c r="F3346" i="11"/>
  <c r="G2705" i="11"/>
  <c r="F2705" i="11"/>
  <c r="F8136" i="11"/>
  <c r="F8017" i="11"/>
  <c r="F3345" i="11"/>
  <c r="G2704" i="11"/>
  <c r="F2704" i="11"/>
  <c r="F8135" i="11"/>
  <c r="F3344" i="11"/>
  <c r="G2905" i="11"/>
  <c r="F2905" i="11"/>
  <c r="F8159" i="11"/>
  <c r="F8016" i="11"/>
  <c r="F4068" i="11"/>
  <c r="F3343" i="11"/>
  <c r="G2703" i="11"/>
  <c r="F2703" i="11"/>
  <c r="F8015" i="11"/>
  <c r="F4067" i="11"/>
  <c r="F3342" i="11"/>
  <c r="G2702" i="11"/>
  <c r="F2702" i="11"/>
  <c r="F8014" i="11"/>
  <c r="F4066" i="11"/>
  <c r="F3341" i="11"/>
  <c r="G2701" i="11"/>
  <c r="F2701" i="11"/>
  <c r="F8013" i="11"/>
  <c r="F4065" i="11"/>
  <c r="F3340" i="11"/>
  <c r="G2700" i="11"/>
  <c r="F2700" i="11"/>
  <c r="F8012" i="11"/>
  <c r="F4064" i="11"/>
  <c r="F3339" i="11"/>
  <c r="G2699" i="11"/>
  <c r="F2699" i="11"/>
  <c r="F8011" i="11"/>
  <c r="F4063" i="11"/>
  <c r="F3338" i="11"/>
  <c r="G2698" i="11"/>
  <c r="F2698" i="11"/>
  <c r="F8010" i="11"/>
  <c r="F4062" i="11"/>
  <c r="F3337" i="11"/>
  <c r="G2697" i="11"/>
  <c r="F2697" i="11"/>
  <c r="F8009" i="11"/>
  <c r="F4061" i="11"/>
  <c r="F3336" i="11"/>
  <c r="G2696" i="11"/>
  <c r="F2696" i="11"/>
  <c r="F8008" i="11"/>
  <c r="F4060" i="11"/>
  <c r="F3335" i="11"/>
  <c r="G2695" i="11"/>
  <c r="F2695" i="11"/>
  <c r="F8158" i="11"/>
  <c r="F8007" i="11"/>
  <c r="F4059" i="11"/>
  <c r="F3334" i="11"/>
  <c r="G2694" i="11"/>
  <c r="F2694" i="11"/>
  <c r="F8006" i="11"/>
  <c r="F4058" i="11"/>
  <c r="F3333" i="11"/>
  <c r="G2693" i="11"/>
  <c r="F2693" i="11"/>
  <c r="F8005" i="11"/>
  <c r="F4057" i="11"/>
  <c r="F3332" i="11"/>
  <c r="G2692" i="11"/>
  <c r="F2692" i="11"/>
  <c r="F8004" i="11"/>
  <c r="F4056" i="11"/>
  <c r="F3331" i="11"/>
  <c r="G2691" i="11"/>
  <c r="F2691" i="11"/>
  <c r="F8003" i="11"/>
  <c r="G2904" i="11"/>
  <c r="F2904" i="11"/>
  <c r="F8002" i="11"/>
  <c r="F3330" i="11"/>
  <c r="G2903" i="11"/>
  <c r="F2903" i="11"/>
  <c r="F8001" i="11"/>
  <c r="F3329" i="11"/>
  <c r="G2902" i="11"/>
  <c r="F2902" i="11"/>
  <c r="F8000" i="11"/>
  <c r="F3328" i="11"/>
  <c r="G2690" i="11"/>
  <c r="F2690" i="11"/>
  <c r="F8109" i="11"/>
  <c r="G2901" i="11"/>
  <c r="F2901" i="11"/>
  <c r="F7999" i="11"/>
  <c r="F3327" i="11"/>
  <c r="G2900" i="11"/>
  <c r="F2900" i="11"/>
  <c r="F7998" i="11"/>
  <c r="F3326" i="11"/>
  <c r="G2899" i="11"/>
  <c r="F2899" i="11"/>
  <c r="F7997" i="11"/>
  <c r="F3325" i="11"/>
  <c r="G2898" i="11"/>
  <c r="F2898" i="11"/>
  <c r="F7996" i="11"/>
  <c r="F3324" i="11"/>
  <c r="G2897" i="11"/>
  <c r="F2897" i="11"/>
  <c r="F7995" i="11"/>
  <c r="F3323" i="11"/>
  <c r="G2896" i="11"/>
  <c r="F2896" i="11"/>
  <c r="F7994" i="11"/>
  <c r="F3322" i="11"/>
  <c r="G2895" i="11"/>
  <c r="F2895" i="11"/>
  <c r="F7993" i="11"/>
  <c r="F3321" i="11"/>
  <c r="G2894" i="11"/>
  <c r="F2894" i="11"/>
  <c r="F7992" i="11"/>
  <c r="F3320" i="11"/>
  <c r="G2893" i="11"/>
  <c r="F2893" i="11"/>
  <c r="F7991" i="11"/>
  <c r="F3319" i="11"/>
  <c r="G2892" i="11"/>
  <c r="F2892" i="11"/>
  <c r="F7990" i="11"/>
  <c r="F3318" i="11"/>
  <c r="G2891" i="11"/>
  <c r="F2891" i="11"/>
  <c r="F7989" i="11"/>
  <c r="F4055" i="11"/>
  <c r="G2890" i="11"/>
  <c r="F2890" i="11"/>
  <c r="F7988" i="11"/>
  <c r="F4054" i="11"/>
  <c r="G2889" i="11"/>
  <c r="F2889" i="11"/>
  <c r="F7987" i="11"/>
  <c r="F4053" i="11"/>
  <c r="G2888" i="11"/>
  <c r="F2888" i="11"/>
  <c r="F7986" i="11"/>
  <c r="F4052" i="11"/>
  <c r="G2887" i="11"/>
  <c r="F2887" i="11"/>
  <c r="F7985" i="11"/>
  <c r="F4051" i="11"/>
  <c r="G2886" i="11"/>
  <c r="F2886" i="11"/>
  <c r="F7984" i="11"/>
  <c r="F4050" i="11"/>
  <c r="G2885" i="11"/>
  <c r="F2885" i="11"/>
  <c r="F7983" i="11"/>
  <c r="F4049" i="11"/>
  <c r="G2884" i="11"/>
  <c r="F2884" i="11"/>
  <c r="F7982" i="11"/>
  <c r="F4048" i="11"/>
  <c r="G2883" i="11"/>
  <c r="F2883" i="11"/>
  <c r="F7981" i="11"/>
  <c r="F4047" i="11"/>
  <c r="G2882" i="11"/>
  <c r="F2882" i="11"/>
  <c r="F7980" i="11"/>
  <c r="F4046" i="11"/>
  <c r="G2881" i="11"/>
  <c r="F2881" i="11"/>
  <c r="F7979" i="11"/>
  <c r="F3317" i="11"/>
  <c r="G2689" i="11"/>
  <c r="F2689" i="11"/>
  <c r="F7978" i="11"/>
  <c r="F3316" i="11"/>
  <c r="G2880" i="11"/>
  <c r="F2880" i="11"/>
  <c r="F7977" i="11"/>
  <c r="F3315" i="11"/>
  <c r="G2879" i="11"/>
  <c r="F2879" i="11"/>
  <c r="F7976" i="11"/>
  <c r="G2878" i="11"/>
  <c r="F2878" i="11"/>
  <c r="F8108" i="11"/>
  <c r="G2688" i="11"/>
  <c r="F2688" i="11"/>
  <c r="F7975" i="11"/>
  <c r="F4045" i="11"/>
  <c r="F3314" i="11"/>
  <c r="G2687" i="11"/>
  <c r="F2687" i="11"/>
  <c r="F7974" i="11"/>
  <c r="F3313" i="11"/>
  <c r="G2686" i="11"/>
  <c r="F2686" i="11"/>
  <c r="F7973" i="11"/>
  <c r="F4044" i="11"/>
  <c r="F3312" i="11"/>
  <c r="G2685" i="11"/>
  <c r="F2685" i="11"/>
  <c r="F7972" i="11"/>
  <c r="F4043" i="11"/>
  <c r="F3311" i="11"/>
  <c r="G2684" i="11"/>
  <c r="F2684" i="11"/>
  <c r="F7971" i="11"/>
  <c r="F4042" i="11"/>
  <c r="F3310" i="11"/>
  <c r="G2683" i="11"/>
  <c r="F2683" i="11"/>
  <c r="F7970" i="11"/>
  <c r="F4041" i="11"/>
  <c r="F3309" i="11"/>
  <c r="G2682" i="11"/>
  <c r="F2682" i="11"/>
  <c r="F7969" i="11"/>
  <c r="F4040" i="11"/>
  <c r="F3308" i="11"/>
  <c r="G2681" i="11"/>
  <c r="F2681" i="11"/>
  <c r="F7968" i="11"/>
  <c r="F4039" i="11"/>
  <c r="F3307" i="11"/>
  <c r="G2680" i="11"/>
  <c r="F2680" i="11"/>
  <c r="F7967" i="11"/>
  <c r="F4038" i="11"/>
  <c r="F3306" i="11"/>
  <c r="G2679" i="11"/>
  <c r="F2679" i="11"/>
  <c r="F7966" i="11"/>
  <c r="F4037" i="11"/>
  <c r="F3305" i="11"/>
  <c r="G2678" i="11"/>
  <c r="F2678" i="11"/>
  <c r="F8107" i="11"/>
  <c r="G2877" i="11"/>
  <c r="F2877" i="11"/>
  <c r="F8106" i="11"/>
  <c r="G2876" i="11"/>
  <c r="F2876" i="11"/>
  <c r="F7965" i="11"/>
  <c r="F3304" i="11"/>
  <c r="G2875" i="11"/>
  <c r="F2875" i="11"/>
  <c r="F8157" i="11"/>
  <c r="F7964" i="11"/>
  <c r="F4036" i="11"/>
  <c r="F3303" i="11"/>
  <c r="G2677" i="11"/>
  <c r="F2677" i="11"/>
  <c r="F7963" i="11"/>
  <c r="F4035" i="11"/>
  <c r="F3302" i="11"/>
  <c r="G2676" i="11"/>
  <c r="F2676" i="11"/>
  <c r="F7962" i="11"/>
  <c r="F7961" i="11"/>
  <c r="F4034" i="11"/>
  <c r="F4033" i="11"/>
  <c r="F3301" i="11"/>
  <c r="F3300" i="11"/>
  <c r="G2675" i="11"/>
  <c r="F2675" i="11"/>
  <c r="G2674" i="11"/>
  <c r="F2674" i="11"/>
  <c r="F7960" i="11"/>
  <c r="F4032" i="11"/>
  <c r="F3299" i="11"/>
  <c r="G2673" i="11"/>
  <c r="F2673" i="11"/>
  <c r="F7959" i="11"/>
  <c r="F4031" i="11"/>
  <c r="F3298" i="11"/>
  <c r="G2672" i="11"/>
  <c r="F2672" i="11"/>
  <c r="F7958" i="11"/>
  <c r="F4030" i="11"/>
  <c r="F3297" i="11"/>
  <c r="G2671" i="11"/>
  <c r="F2671" i="11"/>
  <c r="F7957" i="11"/>
  <c r="F4029" i="11"/>
  <c r="F3296" i="11"/>
  <c r="G2670" i="11"/>
  <c r="F2670" i="11"/>
  <c r="F7956" i="11"/>
  <c r="F4028" i="11"/>
  <c r="F3295" i="11"/>
  <c r="G2669" i="11"/>
  <c r="F2669" i="11"/>
  <c r="F7955" i="11"/>
  <c r="F4027" i="11"/>
  <c r="F3294" i="11"/>
  <c r="G2668" i="11"/>
  <c r="F2668" i="11"/>
  <c r="F7954" i="11"/>
  <c r="F4026" i="11"/>
  <c r="F3293" i="11"/>
  <c r="G2667" i="11"/>
  <c r="F2667" i="11"/>
  <c r="F7953" i="11"/>
  <c r="F4025" i="11"/>
  <c r="F3292" i="11"/>
  <c r="G2666" i="11"/>
  <c r="F2666" i="11"/>
  <c r="F7952" i="11"/>
  <c r="F4024" i="11"/>
  <c r="F3291" i="11"/>
  <c r="G2665" i="11"/>
  <c r="F2665" i="11"/>
  <c r="F7951" i="11"/>
  <c r="F4023" i="11"/>
  <c r="F3290" i="11"/>
  <c r="G2664" i="11"/>
  <c r="F2664" i="11"/>
  <c r="F7950" i="11"/>
  <c r="F4022" i="11"/>
  <c r="F3289" i="11"/>
  <c r="G2663" i="11"/>
  <c r="F2663" i="11"/>
  <c r="F7949" i="11"/>
  <c r="F4021" i="11"/>
  <c r="F3288" i="11"/>
  <c r="G2662" i="11"/>
  <c r="F2662" i="11"/>
  <c r="F7948" i="11"/>
  <c r="F4020" i="11"/>
  <c r="F3287" i="11"/>
  <c r="G2661" i="11"/>
  <c r="F2661" i="11"/>
  <c r="F7947" i="11"/>
  <c r="F4019" i="11"/>
  <c r="F3286" i="11"/>
  <c r="G2660" i="11"/>
  <c r="F2660" i="11"/>
  <c r="F8156" i="11"/>
  <c r="F7946" i="11"/>
  <c r="F4018" i="11"/>
  <c r="F3285" i="11"/>
  <c r="G2659" i="11"/>
  <c r="F2659" i="11"/>
  <c r="F7945" i="11"/>
  <c r="F3284" i="11"/>
  <c r="G2874" i="11"/>
  <c r="F2874" i="11"/>
  <c r="F7944" i="11"/>
  <c r="F3283" i="11"/>
  <c r="G2873" i="11"/>
  <c r="F2873" i="11"/>
  <c r="F7943" i="11"/>
  <c r="F3282" i="11"/>
  <c r="G2872" i="11"/>
  <c r="F2872" i="11"/>
  <c r="F7942" i="11"/>
  <c r="F7941" i="11"/>
  <c r="F7940" i="11"/>
  <c r="F3281" i="11"/>
  <c r="F3280" i="11"/>
  <c r="F3279" i="11"/>
  <c r="G2871" i="11"/>
  <c r="F2871" i="11"/>
  <c r="G2870" i="11"/>
  <c r="F2870" i="11"/>
  <c r="G2869" i="11"/>
  <c r="F2869" i="11"/>
  <c r="F7939" i="11"/>
  <c r="F7938" i="11"/>
  <c r="F7937" i="11"/>
  <c r="F3278" i="11"/>
  <c r="F3277" i="11"/>
  <c r="F3276" i="11"/>
  <c r="G2868" i="11"/>
  <c r="F2868" i="11"/>
  <c r="G2867" i="11"/>
  <c r="F2867" i="11"/>
  <c r="G2866" i="11"/>
  <c r="F2866" i="11"/>
  <c r="F7936" i="11"/>
  <c r="F7935" i="11"/>
  <c r="F7934" i="11"/>
  <c r="F3275" i="11"/>
  <c r="F3274" i="11"/>
  <c r="F3273" i="11"/>
  <c r="G2865" i="11"/>
  <c r="F2865" i="11"/>
  <c r="G2864" i="11"/>
  <c r="F2864" i="11"/>
  <c r="G2863" i="11"/>
  <c r="F2863" i="11"/>
  <c r="F7933" i="11"/>
  <c r="F7932" i="11"/>
  <c r="F7931" i="11"/>
  <c r="F3272" i="11"/>
  <c r="F3271" i="11"/>
  <c r="F3270" i="11"/>
  <c r="G2862" i="11"/>
  <c r="F2862" i="11"/>
  <c r="G2861" i="11"/>
  <c r="F2861" i="11"/>
  <c r="G2860" i="11"/>
  <c r="F2860" i="11"/>
  <c r="F7930" i="11"/>
  <c r="F4017" i="11"/>
  <c r="F3269" i="11"/>
  <c r="G2658" i="11"/>
  <c r="F2658" i="11"/>
  <c r="F7929" i="11"/>
  <c r="F4016" i="11"/>
  <c r="F3268" i="11"/>
  <c r="G2657" i="11"/>
  <c r="F2657" i="11"/>
  <c r="F7928" i="11"/>
  <c r="F7927" i="11"/>
  <c r="F7926" i="11"/>
  <c r="F3267" i="11"/>
  <c r="F3266" i="11"/>
  <c r="F3265" i="11"/>
  <c r="G2859" i="11"/>
  <c r="F2859" i="11"/>
  <c r="G2858" i="11"/>
  <c r="F2858" i="11"/>
  <c r="G2857" i="11"/>
  <c r="F2857" i="11"/>
  <c r="F7925" i="11"/>
  <c r="F7924" i="11"/>
  <c r="F7923" i="11"/>
  <c r="F3264" i="11"/>
  <c r="F3263" i="11"/>
  <c r="F3262" i="11"/>
  <c r="G2856" i="11"/>
  <c r="F2856" i="11"/>
  <c r="G2855" i="11"/>
  <c r="F2855" i="11"/>
  <c r="G2854" i="11"/>
  <c r="F2854" i="11"/>
  <c r="F7922" i="11"/>
  <c r="F7921" i="11"/>
  <c r="F7920" i="11"/>
  <c r="F3261" i="11"/>
  <c r="F3260" i="11"/>
  <c r="F3259" i="11"/>
  <c r="G2853" i="11"/>
  <c r="F2853" i="11"/>
  <c r="G2852" i="11"/>
  <c r="F2852" i="11"/>
  <c r="G2851" i="11"/>
  <c r="F2851" i="11"/>
  <c r="F7919" i="11"/>
  <c r="F7918" i="11"/>
  <c r="F7917" i="11"/>
  <c r="F3258" i="11"/>
  <c r="F3257" i="11"/>
  <c r="F3256" i="11"/>
  <c r="G2850" i="11"/>
  <c r="F2850" i="11"/>
  <c r="G2849" i="11"/>
  <c r="F2849" i="11"/>
  <c r="G2848" i="11"/>
  <c r="F2848" i="11"/>
  <c r="F8105" i="11"/>
  <c r="F8104" i="11"/>
  <c r="F8103" i="11"/>
  <c r="G2847" i="11"/>
  <c r="F2847" i="11"/>
  <c r="G2846" i="11"/>
  <c r="F2846" i="11"/>
  <c r="G2845" i="11"/>
  <c r="F2845" i="11"/>
  <c r="F7916" i="11"/>
  <c r="F7915" i="11"/>
  <c r="F7914" i="11"/>
  <c r="G2844" i="11"/>
  <c r="F2844" i="11"/>
  <c r="G2843" i="11"/>
  <c r="F2843" i="11"/>
  <c r="G2842" i="11"/>
  <c r="F2842" i="11"/>
  <c r="F8102" i="11"/>
  <c r="F8101" i="11"/>
  <c r="F8100" i="11"/>
  <c r="G2841" i="11"/>
  <c r="F2841" i="11"/>
  <c r="G2840" i="11"/>
  <c r="F2840" i="11"/>
  <c r="G2839" i="11"/>
  <c r="F2839" i="11"/>
  <c r="F7913" i="11"/>
  <c r="F7912" i="11"/>
  <c r="F7911" i="11"/>
  <c r="F3255" i="11"/>
  <c r="F3254" i="11"/>
  <c r="F3253" i="11"/>
  <c r="G2838" i="11"/>
  <c r="F2838" i="11"/>
  <c r="G2837" i="11"/>
  <c r="F2837" i="11"/>
  <c r="G2836" i="11"/>
  <c r="F2836" i="11"/>
  <c r="F8099" i="11"/>
  <c r="F8098" i="11"/>
  <c r="F8097" i="11"/>
  <c r="G2835" i="11"/>
  <c r="F2835" i="11"/>
  <c r="G2834" i="11"/>
  <c r="F2834" i="11"/>
  <c r="G2833" i="11"/>
  <c r="F2833" i="11"/>
  <c r="F7910" i="11"/>
  <c r="F7909" i="11"/>
  <c r="F7908" i="11"/>
  <c r="F4015" i="11"/>
  <c r="F4014" i="11"/>
  <c r="F4013" i="11"/>
  <c r="F3252" i="11"/>
  <c r="F3251" i="11"/>
  <c r="F3250" i="11"/>
  <c r="G2656" i="11"/>
  <c r="F2656" i="11"/>
  <c r="G2655" i="11"/>
  <c r="F2655" i="11"/>
  <c r="G2654" i="11"/>
  <c r="F2654" i="11"/>
  <c r="F7907" i="11"/>
  <c r="F7906" i="11"/>
  <c r="F7905" i="11"/>
  <c r="F4012" i="11"/>
  <c r="F4011" i="11"/>
  <c r="F4010" i="11"/>
  <c r="F3249" i="11"/>
  <c r="F3248" i="11"/>
  <c r="F3247" i="11"/>
  <c r="G2653" i="11"/>
  <c r="F2653" i="11"/>
  <c r="G2652" i="11"/>
  <c r="F2652" i="11"/>
  <c r="G2651" i="11"/>
  <c r="F2651" i="11"/>
  <c r="F7904" i="11"/>
  <c r="F7903" i="11"/>
  <c r="F7902" i="11"/>
  <c r="F4009" i="11"/>
  <c r="F4008" i="11"/>
  <c r="F4007" i="11"/>
  <c r="F3246" i="11"/>
  <c r="F3245" i="11"/>
  <c r="F3244" i="11"/>
  <c r="G2650" i="11"/>
  <c r="F2650" i="11"/>
  <c r="G2649" i="11"/>
  <c r="F2649" i="11"/>
  <c r="G2648" i="11"/>
  <c r="F2648" i="11"/>
  <c r="F7901" i="11"/>
  <c r="F7900" i="11"/>
  <c r="F7899" i="11"/>
  <c r="F3243" i="11"/>
  <c r="F3242" i="11"/>
  <c r="F3241" i="11"/>
  <c r="G2647" i="11"/>
  <c r="F2647" i="11"/>
  <c r="G2646" i="11"/>
  <c r="F2646" i="11"/>
  <c r="G2645" i="11"/>
  <c r="F2645" i="11"/>
  <c r="F7898" i="11"/>
  <c r="F7897" i="11"/>
  <c r="F7896" i="11"/>
  <c r="F3240" i="11"/>
  <c r="F3239" i="11"/>
  <c r="F3238" i="11"/>
  <c r="G2644" i="11"/>
  <c r="F2644" i="11"/>
  <c r="G2643" i="11"/>
  <c r="F2643" i="11"/>
  <c r="G2642" i="11"/>
  <c r="F2642" i="11"/>
  <c r="F7895" i="11"/>
  <c r="F7894" i="11"/>
  <c r="F7893" i="11"/>
  <c r="F4006" i="11"/>
  <c r="F4005" i="11"/>
  <c r="F4004" i="11"/>
  <c r="F3237" i="11"/>
  <c r="F3236" i="11"/>
  <c r="F3235" i="11"/>
  <c r="G2641" i="11"/>
  <c r="F2641" i="11"/>
  <c r="G2640" i="11"/>
  <c r="F2640" i="11"/>
  <c r="G2639" i="11"/>
  <c r="F2639" i="11"/>
  <c r="F8134" i="11"/>
  <c r="F8133" i="11"/>
  <c r="F8132" i="11"/>
  <c r="F7892" i="11"/>
  <c r="F7891" i="11"/>
  <c r="F7890" i="11"/>
  <c r="F3234" i="11"/>
  <c r="F3233" i="11"/>
  <c r="F3232" i="11"/>
  <c r="G2832" i="11"/>
  <c r="F2832" i="11"/>
  <c r="G2831" i="11"/>
  <c r="F2831" i="11"/>
  <c r="G2830" i="11"/>
  <c r="F2830" i="11"/>
  <c r="F7889" i="11"/>
  <c r="F7888" i="11"/>
  <c r="F7887" i="11"/>
  <c r="F3231" i="11"/>
  <c r="F3230" i="11"/>
  <c r="F3229" i="11"/>
  <c r="G2638" i="11"/>
  <c r="F2638" i="11"/>
  <c r="G2637" i="11"/>
  <c r="F2637" i="11"/>
  <c r="G2636" i="11"/>
  <c r="F2636" i="11"/>
  <c r="F7886" i="11"/>
  <c r="F7885" i="11"/>
  <c r="F7884" i="11"/>
  <c r="F4003" i="11"/>
  <c r="F4002" i="11"/>
  <c r="F4001" i="11"/>
  <c r="F3228" i="11"/>
  <c r="F3227" i="11"/>
  <c r="F3226" i="11"/>
  <c r="G2635" i="11"/>
  <c r="F2635" i="11"/>
  <c r="G2634" i="11"/>
  <c r="F2634" i="11"/>
  <c r="G2633" i="11"/>
  <c r="F2633" i="11"/>
  <c r="F7883" i="11"/>
  <c r="F7882" i="11"/>
  <c r="F7881" i="11"/>
  <c r="F4000" i="11"/>
  <c r="F3999" i="11"/>
  <c r="F3998" i="11"/>
  <c r="F3225" i="11"/>
  <c r="F3224" i="11"/>
  <c r="F3223" i="11"/>
  <c r="G2632" i="11"/>
  <c r="F2632" i="11"/>
  <c r="G2631" i="11"/>
  <c r="F2631" i="11"/>
  <c r="G2630" i="11"/>
  <c r="F2630" i="11"/>
  <c r="F7880" i="11"/>
  <c r="F7879" i="11"/>
  <c r="F7878" i="11"/>
  <c r="F3997" i="11"/>
  <c r="F3996" i="11"/>
  <c r="F3995" i="11"/>
  <c r="F3222" i="11"/>
  <c r="F3221" i="11"/>
  <c r="F3220" i="11"/>
  <c r="G2629" i="11"/>
  <c r="F2629" i="11"/>
  <c r="G2628" i="11"/>
  <c r="F2628" i="11"/>
  <c r="G2627" i="11"/>
  <c r="F2627" i="11"/>
  <c r="F7877" i="11"/>
  <c r="F3994" i="11"/>
  <c r="F3219" i="11"/>
  <c r="G2626" i="11"/>
  <c r="F2626" i="11"/>
  <c r="F7876" i="11"/>
  <c r="F7875" i="11"/>
  <c r="F7874" i="11"/>
  <c r="F3993" i="11"/>
  <c r="F3992" i="11"/>
  <c r="F3991" i="11"/>
  <c r="F3218" i="11"/>
  <c r="F3217" i="11"/>
  <c r="F3216" i="11"/>
  <c r="G2625" i="11"/>
  <c r="F2625" i="11"/>
  <c r="G2624" i="11"/>
  <c r="F2624" i="11"/>
  <c r="G2623" i="11"/>
  <c r="F2623" i="11"/>
  <c r="F7873" i="11"/>
  <c r="F7872" i="11"/>
  <c r="F7871" i="11"/>
  <c r="F3990" i="11"/>
  <c r="F3989" i="11"/>
  <c r="F3988" i="11"/>
  <c r="F3215" i="11"/>
  <c r="F3214" i="11"/>
  <c r="F3213" i="11"/>
  <c r="G2622" i="11"/>
  <c r="F2622" i="11"/>
  <c r="G2621" i="11"/>
  <c r="F2621" i="11"/>
  <c r="G2620" i="11"/>
  <c r="F2620" i="11"/>
  <c r="F8155" i="11"/>
  <c r="F8154" i="11"/>
  <c r="F8153" i="11"/>
  <c r="F7870" i="11"/>
  <c r="F7869" i="11"/>
  <c r="F7868" i="11"/>
  <c r="F3987" i="11"/>
  <c r="F3986" i="11"/>
  <c r="F3985" i="11"/>
  <c r="F3212" i="11"/>
  <c r="F3211" i="11"/>
  <c r="F3210" i="11"/>
  <c r="G2619" i="11"/>
  <c r="F2619" i="11"/>
  <c r="G2618" i="11"/>
  <c r="F2618" i="11"/>
  <c r="G2617" i="11"/>
  <c r="F2617" i="11"/>
  <c r="F7867" i="11"/>
  <c r="F3209" i="11"/>
  <c r="G2616" i="11"/>
  <c r="F2616" i="11"/>
  <c r="F7866" i="11"/>
  <c r="F3208" i="11"/>
  <c r="G2829" i="11"/>
  <c r="F2829" i="11"/>
  <c r="F7865" i="11"/>
  <c r="F3207" i="11"/>
  <c r="G2615" i="11"/>
  <c r="F2615" i="11"/>
  <c r="F8096" i="11"/>
  <c r="G2828" i="11"/>
  <c r="F2828" i="11"/>
  <c r="F8095" i="11"/>
  <c r="G2827" i="11"/>
  <c r="F2827" i="11"/>
  <c r="F7864" i="11"/>
  <c r="F7863" i="11"/>
  <c r="F3206" i="11"/>
  <c r="F3205" i="11"/>
  <c r="G2614" i="11"/>
  <c r="F2614" i="11"/>
  <c r="G2613" i="11"/>
  <c r="F2613" i="11"/>
  <c r="F7862" i="11"/>
  <c r="F7861" i="11"/>
  <c r="F3204" i="11"/>
  <c r="F3203" i="11"/>
  <c r="G2612" i="11"/>
  <c r="F2612" i="11"/>
  <c r="G2611" i="11"/>
  <c r="F2611" i="11"/>
  <c r="F7860" i="11"/>
  <c r="F3984" i="11"/>
  <c r="F3202" i="11"/>
  <c r="G2610" i="11"/>
  <c r="F2610" i="11"/>
  <c r="F7859" i="11"/>
  <c r="F3983" i="11"/>
  <c r="F3201" i="11"/>
  <c r="G2609" i="11"/>
  <c r="F2609" i="11"/>
  <c r="F7858" i="11"/>
  <c r="F3982" i="11"/>
  <c r="F3200" i="11"/>
  <c r="G2608" i="11"/>
  <c r="F2608" i="11"/>
  <c r="F7857" i="11"/>
  <c r="F3981" i="11"/>
  <c r="F3199" i="11"/>
  <c r="G2607" i="11"/>
  <c r="F2607" i="11"/>
  <c r="F7856" i="11"/>
  <c r="F3980" i="11"/>
  <c r="F3198" i="11"/>
  <c r="G2606" i="11"/>
  <c r="F2606" i="11"/>
  <c r="F7855" i="11"/>
  <c r="F3979" i="11"/>
  <c r="F3197" i="11"/>
  <c r="G2605" i="11"/>
  <c r="F2605" i="11"/>
  <c r="F7854" i="11"/>
  <c r="F3978" i="11"/>
  <c r="F3196" i="11"/>
  <c r="G2604" i="11"/>
  <c r="F2604" i="11"/>
  <c r="F7853" i="11"/>
  <c r="F3977" i="11"/>
  <c r="F3195" i="11"/>
  <c r="G2603" i="11"/>
  <c r="F2603" i="11"/>
  <c r="F7852" i="11"/>
  <c r="F3976" i="11"/>
  <c r="F3194" i="11"/>
  <c r="G2602" i="11"/>
  <c r="F2602" i="11"/>
  <c r="F7851" i="11"/>
  <c r="F3975" i="11"/>
  <c r="F3193" i="11"/>
  <c r="G2601" i="11"/>
  <c r="F2601" i="11"/>
  <c r="F7850" i="11"/>
  <c r="F3974" i="11"/>
  <c r="F3192" i="11"/>
  <c r="G2600" i="11"/>
  <c r="F2600" i="11"/>
  <c r="F7849" i="11"/>
  <c r="F3973" i="11"/>
  <c r="F3191" i="11"/>
  <c r="G2599" i="11"/>
  <c r="F2599" i="11"/>
  <c r="F7848" i="11"/>
  <c r="F3972" i="11"/>
  <c r="F3190" i="11"/>
  <c r="G2598" i="11"/>
  <c r="F2598" i="11"/>
  <c r="F7847" i="11"/>
  <c r="F3971" i="11"/>
  <c r="F3189" i="11"/>
  <c r="G2597" i="11"/>
  <c r="F2597" i="11"/>
  <c r="F7846" i="11"/>
  <c r="F3970" i="11"/>
  <c r="F3188" i="11"/>
  <c r="G2596" i="11"/>
  <c r="F2596" i="11"/>
  <c r="F7845" i="11"/>
  <c r="F3969" i="11"/>
  <c r="F3187" i="11"/>
  <c r="G2595" i="11"/>
  <c r="F2595" i="11"/>
  <c r="F7844" i="11"/>
  <c r="F3968" i="11"/>
  <c r="F3186" i="11"/>
  <c r="G2594" i="11"/>
  <c r="F2594" i="11"/>
  <c r="F7843" i="11"/>
  <c r="F3967" i="11"/>
  <c r="F3185" i="11"/>
  <c r="G2593" i="11"/>
  <c r="F2593" i="11"/>
  <c r="F7842" i="11"/>
  <c r="F3966" i="11"/>
  <c r="F3184" i="11"/>
  <c r="G2592" i="11"/>
  <c r="F2592" i="11"/>
  <c r="F7841" i="11"/>
  <c r="F3965" i="11"/>
  <c r="F3183" i="11"/>
  <c r="G2591" i="11"/>
  <c r="F2591" i="11"/>
  <c r="F7840" i="11"/>
  <c r="F3964" i="11"/>
  <c r="F3182" i="11"/>
  <c r="G2590" i="11"/>
  <c r="F2590" i="11"/>
  <c r="F7839" i="11"/>
  <c r="F3963" i="11"/>
  <c r="F3181" i="11"/>
  <c r="G2589" i="11"/>
  <c r="F2589" i="11"/>
  <c r="F7838" i="11"/>
  <c r="F3962" i="11"/>
  <c r="F3180" i="11"/>
  <c r="G2588" i="11"/>
  <c r="F2588" i="11"/>
  <c r="F7837" i="11"/>
  <c r="F3961" i="11"/>
  <c r="F3179" i="11"/>
  <c r="G2587" i="11"/>
  <c r="F2587" i="11"/>
  <c r="F7836" i="11"/>
  <c r="F3960" i="11"/>
  <c r="F3178" i="11"/>
  <c r="G2586" i="11"/>
  <c r="F2586" i="11"/>
  <c r="F7835" i="11"/>
  <c r="F3177" i="11"/>
  <c r="G2826" i="11"/>
  <c r="F2826" i="11"/>
  <c r="F7834" i="11"/>
  <c r="F3176" i="11"/>
  <c r="G2825" i="11"/>
  <c r="F2825" i="11"/>
  <c r="F7833" i="11"/>
  <c r="F3175" i="11"/>
  <c r="G2824" i="11"/>
  <c r="F2824" i="11"/>
  <c r="F7832" i="11"/>
  <c r="F3174" i="11"/>
  <c r="G2823" i="11"/>
  <c r="F2823" i="11"/>
  <c r="F7831" i="11"/>
  <c r="F3173" i="11"/>
  <c r="G2822" i="11"/>
  <c r="F2822" i="11"/>
  <c r="F7830" i="11"/>
  <c r="F3172" i="11"/>
  <c r="G2821" i="11"/>
  <c r="F2821" i="11"/>
  <c r="F7829" i="11"/>
  <c r="F3171" i="11"/>
  <c r="G2820" i="11"/>
  <c r="F2820" i="11"/>
  <c r="F7828" i="11"/>
  <c r="G2819" i="11"/>
  <c r="F2819" i="11"/>
  <c r="F8094" i="11"/>
  <c r="G2818" i="11"/>
  <c r="F2818" i="11"/>
  <c r="F8093" i="11"/>
  <c r="G2817" i="11"/>
  <c r="F2817" i="11"/>
  <c r="F7827" i="11"/>
  <c r="G2816" i="11"/>
  <c r="F2816" i="11"/>
  <c r="F7826" i="11"/>
  <c r="F3170" i="11"/>
  <c r="G2815" i="11"/>
  <c r="F2815" i="11"/>
  <c r="F7825" i="11"/>
  <c r="F3169" i="11"/>
  <c r="G2814" i="11"/>
  <c r="F2814" i="11"/>
  <c r="F7824" i="11"/>
  <c r="F3168" i="11"/>
  <c r="G2813" i="11"/>
  <c r="F2813" i="11"/>
  <c r="F7823" i="11"/>
  <c r="F3167" i="11"/>
  <c r="G2812" i="11"/>
  <c r="F2812" i="11"/>
  <c r="F8092" i="11"/>
  <c r="F8091" i="11"/>
  <c r="G2811" i="11"/>
  <c r="F2811" i="11"/>
  <c r="G2810" i="11"/>
  <c r="F2810" i="11"/>
  <c r="F7822" i="11"/>
  <c r="F7821" i="11"/>
  <c r="F3166" i="11"/>
  <c r="F3165" i="11"/>
  <c r="G2809" i="11"/>
  <c r="F2809" i="11"/>
  <c r="G2808" i="11"/>
  <c r="F2808" i="11"/>
  <c r="F7820" i="11"/>
  <c r="F7819" i="11"/>
  <c r="F3164" i="11"/>
  <c r="F3163" i="11"/>
  <c r="G2807" i="11"/>
  <c r="F2807" i="11"/>
  <c r="G2806" i="11"/>
  <c r="F2806" i="11"/>
  <c r="F8148" i="11"/>
  <c r="F7818" i="11"/>
  <c r="F3162" i="11"/>
  <c r="G2585" i="11"/>
  <c r="F2585" i="11"/>
  <c r="F7817" i="11"/>
  <c r="F3161" i="11"/>
  <c r="G2584" i="11"/>
  <c r="F2584" i="11"/>
  <c r="F7816" i="11"/>
  <c r="F3959" i="11"/>
  <c r="F3160" i="11"/>
  <c r="G2583" i="11"/>
  <c r="F2583" i="11"/>
  <c r="F7815" i="11"/>
  <c r="F3958" i="11"/>
  <c r="F3159" i="11"/>
  <c r="G2582" i="11"/>
  <c r="F2582" i="11"/>
  <c r="F7814" i="11"/>
  <c r="F3957" i="11"/>
  <c r="F3158" i="11"/>
  <c r="G2581" i="11"/>
  <c r="F2581" i="11"/>
  <c r="F7813" i="11"/>
  <c r="F3956" i="11"/>
  <c r="F3157" i="11"/>
  <c r="G2580" i="11"/>
  <c r="F2580" i="11"/>
  <c r="F7812" i="11"/>
  <c r="F3955" i="11"/>
  <c r="F3156" i="11"/>
  <c r="G2579" i="11"/>
  <c r="F2579" i="11"/>
  <c r="F7811" i="11"/>
  <c r="F3954" i="11"/>
  <c r="F3155" i="11"/>
  <c r="G2578" i="11"/>
  <c r="F2578" i="11"/>
  <c r="F7810" i="11"/>
  <c r="F3154" i="11"/>
  <c r="G2577" i="11"/>
  <c r="F2577" i="11"/>
  <c r="F7809" i="11"/>
  <c r="F7808" i="11"/>
  <c r="F3153" i="11"/>
  <c r="F3152" i="11"/>
  <c r="G2805" i="11"/>
  <c r="F2805" i="11"/>
  <c r="G2804" i="11"/>
  <c r="F2804" i="11"/>
  <c r="F7807" i="11"/>
  <c r="F3953" i="11"/>
  <c r="G2803" i="11"/>
  <c r="F2803" i="11"/>
  <c r="F7806" i="11"/>
  <c r="F3151" i="11"/>
  <c r="G2802" i="11"/>
  <c r="F2802" i="11"/>
  <c r="F8090" i="11"/>
  <c r="G2801" i="11"/>
  <c r="F2801" i="11"/>
  <c r="F8089" i="11"/>
  <c r="G2800" i="11"/>
  <c r="F2800" i="11"/>
  <c r="F8152" i="11"/>
  <c r="F7805" i="11"/>
  <c r="F3952" i="11"/>
  <c r="F3150" i="11"/>
  <c r="G2576" i="11"/>
  <c r="F2576" i="11"/>
  <c r="F7804" i="11"/>
  <c r="F3951" i="11"/>
  <c r="F3149" i="11"/>
  <c r="G2575" i="11"/>
  <c r="F2575" i="11"/>
  <c r="F7803" i="11"/>
  <c r="F3950" i="11"/>
  <c r="F3148" i="11"/>
  <c r="G2574" i="11"/>
  <c r="F2574" i="11"/>
  <c r="F7802" i="11"/>
  <c r="F3147" i="11"/>
  <c r="G2573" i="11"/>
  <c r="F2573" i="11"/>
  <c r="F7801" i="11"/>
  <c r="F3146" i="11"/>
  <c r="G2572" i="11"/>
  <c r="F2572" i="11"/>
  <c r="F7800" i="11"/>
  <c r="F3145" i="11"/>
  <c r="G2799" i="11"/>
  <c r="F2799" i="11"/>
  <c r="F7799" i="11"/>
  <c r="F3144" i="11"/>
  <c r="G2798" i="11"/>
  <c r="F2798" i="11"/>
  <c r="F7798" i="11"/>
  <c r="F3143" i="11"/>
  <c r="G2797" i="11"/>
  <c r="F2797" i="11"/>
  <c r="F7797" i="11"/>
  <c r="F3142" i="11"/>
  <c r="G2796" i="11"/>
  <c r="F2796" i="11"/>
  <c r="F7796" i="11"/>
  <c r="F3141" i="11"/>
  <c r="G2795" i="11"/>
  <c r="F2795" i="11"/>
  <c r="F7795" i="11"/>
  <c r="F3140" i="11"/>
  <c r="G2794" i="11"/>
  <c r="F2794" i="11"/>
  <c r="F7794" i="11"/>
  <c r="F3139" i="11"/>
  <c r="G2793" i="11"/>
  <c r="F2793" i="11"/>
  <c r="F7793" i="11"/>
  <c r="F3138" i="11"/>
  <c r="G2571" i="11"/>
  <c r="F2571" i="11"/>
  <c r="F7792" i="11"/>
  <c r="F3137" i="11"/>
  <c r="G2570" i="11"/>
  <c r="F2570" i="11"/>
  <c r="F8123" i="11"/>
  <c r="F3136" i="11"/>
  <c r="G2569" i="11"/>
  <c r="F2569" i="11"/>
  <c r="F7791" i="11"/>
  <c r="F3135" i="11"/>
  <c r="G2792" i="11"/>
  <c r="F2792" i="11"/>
  <c r="F7790" i="11"/>
  <c r="F3134" i="11"/>
  <c r="G2791" i="11"/>
  <c r="F2791" i="11"/>
  <c r="F7789" i="11"/>
  <c r="F3133" i="11"/>
  <c r="G2568" i="11"/>
  <c r="F2568" i="11"/>
  <c r="F7788" i="11"/>
  <c r="F3132" i="11"/>
  <c r="G2567" i="11"/>
  <c r="F2567" i="11"/>
  <c r="F8131" i="11"/>
  <c r="F3131" i="11"/>
  <c r="G2790" i="11"/>
  <c r="F2790" i="11"/>
  <c r="F8130" i="11"/>
  <c r="F3130" i="11"/>
  <c r="G2789" i="11"/>
  <c r="F2789" i="11"/>
  <c r="F8129" i="11"/>
  <c r="F3129" i="11"/>
  <c r="G2788" i="11"/>
  <c r="F2788" i="11"/>
  <c r="F7787" i="11"/>
  <c r="F3128" i="11"/>
  <c r="G2566" i="11"/>
  <c r="F2566" i="11"/>
  <c r="F7786" i="11"/>
  <c r="F3127" i="11"/>
  <c r="G2565" i="11"/>
  <c r="F2565" i="11"/>
  <c r="F7785" i="11"/>
  <c r="F3949" i="11"/>
  <c r="F3126" i="11"/>
  <c r="G2564" i="11"/>
  <c r="F2564" i="11"/>
  <c r="F7784" i="11"/>
  <c r="F3948" i="11"/>
  <c r="F3125" i="11"/>
  <c r="G2563" i="11"/>
  <c r="F2563" i="11"/>
  <c r="F7783" i="11"/>
  <c r="F3947" i="11"/>
  <c r="F3124" i="11"/>
  <c r="G2562" i="11"/>
  <c r="F2562" i="11"/>
  <c r="F7782" i="11"/>
  <c r="F3123" i="11"/>
  <c r="G2787" i="11"/>
  <c r="F2787" i="11"/>
  <c r="F7781" i="11"/>
  <c r="F3122" i="11"/>
  <c r="G2786" i="11"/>
  <c r="F2786" i="11"/>
  <c r="F7780" i="11"/>
  <c r="F3121" i="11"/>
  <c r="G2785" i="11"/>
  <c r="F2785" i="11"/>
  <c r="F7779" i="11"/>
  <c r="F3120" i="11"/>
  <c r="G2784" i="11"/>
  <c r="F2784" i="11"/>
  <c r="F7778" i="11"/>
  <c r="F3119" i="11"/>
  <c r="G2783" i="11"/>
  <c r="F2783" i="11"/>
  <c r="F7777" i="11"/>
  <c r="F3118" i="11"/>
  <c r="G2782" i="11"/>
  <c r="F2782" i="11"/>
  <c r="F7776" i="11"/>
  <c r="F3117" i="11"/>
  <c r="G2781" i="11"/>
  <c r="F2781" i="11"/>
  <c r="F7775" i="11"/>
  <c r="F3946" i="11"/>
  <c r="F3116" i="11"/>
  <c r="G2561" i="11"/>
  <c r="F2561" i="11"/>
  <c r="F7774" i="11"/>
  <c r="F3115" i="11"/>
  <c r="G2780" i="11"/>
  <c r="F2780" i="11"/>
  <c r="F7773" i="11"/>
  <c r="F3114" i="11"/>
  <c r="G2779" i="11"/>
  <c r="F2779" i="11"/>
  <c r="F7772" i="11"/>
  <c r="F3113" i="11"/>
  <c r="G2778" i="11"/>
  <c r="F2778" i="11"/>
  <c r="F7771" i="11"/>
  <c r="F3112" i="11"/>
  <c r="G2777" i="11"/>
  <c r="F2777" i="11"/>
  <c r="F8088" i="11"/>
  <c r="G2560" i="11"/>
  <c r="F2560" i="11"/>
  <c r="F7770" i="11"/>
  <c r="F3945" i="11"/>
  <c r="F3111" i="11"/>
  <c r="G2559" i="11"/>
  <c r="F2559" i="11"/>
  <c r="F7769" i="11"/>
  <c r="F3944" i="11"/>
  <c r="F3110" i="11"/>
  <c r="G2558" i="11"/>
  <c r="F2558" i="11"/>
  <c r="F7768" i="11"/>
  <c r="F3109" i="11"/>
  <c r="G2557" i="11"/>
  <c r="F2557" i="11"/>
  <c r="F7767" i="11"/>
  <c r="F3943" i="11"/>
  <c r="F3108" i="11"/>
  <c r="G2556" i="11"/>
  <c r="F2556" i="11"/>
  <c r="F7766" i="11"/>
  <c r="F3942" i="11"/>
  <c r="F3107" i="11"/>
  <c r="G2555" i="11"/>
  <c r="F2555" i="11"/>
  <c r="F7765" i="11"/>
  <c r="F3941" i="11"/>
  <c r="F3106" i="11"/>
  <c r="G2554" i="11"/>
  <c r="F2554" i="11"/>
  <c r="F7764" i="11"/>
  <c r="F3940" i="11"/>
  <c r="F3105" i="11"/>
  <c r="G2553" i="11"/>
  <c r="F2553" i="11"/>
  <c r="F7763" i="11"/>
  <c r="F3939" i="11"/>
  <c r="F3104" i="11"/>
  <c r="G2552" i="11"/>
  <c r="F2552" i="11"/>
  <c r="F7762" i="11"/>
  <c r="F3103" i="11"/>
  <c r="G2551" i="11"/>
  <c r="F2551" i="11"/>
  <c r="F7761" i="11"/>
  <c r="F3938" i="11"/>
  <c r="F3102" i="11"/>
  <c r="G2550" i="11"/>
  <c r="F2550" i="11"/>
  <c r="F7760" i="11"/>
  <c r="F3937" i="11"/>
  <c r="F3101" i="11"/>
  <c r="G2549" i="11"/>
  <c r="F2549" i="11"/>
  <c r="F7759" i="11"/>
  <c r="F3936" i="11"/>
  <c r="F3100" i="11"/>
  <c r="G2548" i="11"/>
  <c r="F2548" i="11"/>
  <c r="F7758" i="11"/>
  <c r="F3935" i="11"/>
  <c r="F3099" i="11"/>
  <c r="G2547" i="11"/>
  <c r="F2547" i="11"/>
  <c r="F7757" i="11"/>
  <c r="F3934" i="11"/>
  <c r="F3098" i="11"/>
  <c r="G2546" i="11"/>
  <c r="F2546" i="11"/>
  <c r="F7756" i="11"/>
  <c r="F3933" i="11"/>
  <c r="F3097" i="11"/>
  <c r="G2545" i="11"/>
  <c r="F2545" i="11"/>
  <c r="F7755" i="11"/>
  <c r="F3932" i="11"/>
  <c r="F3096" i="11"/>
  <c r="G2544" i="11"/>
  <c r="F2544" i="11"/>
  <c r="F7754" i="11"/>
  <c r="F3931" i="11"/>
  <c r="F3095" i="11"/>
  <c r="G2543" i="11"/>
  <c r="F2543" i="11"/>
  <c r="F7753" i="11"/>
  <c r="F3930" i="11"/>
  <c r="F3094" i="11"/>
  <c r="G2542" i="11"/>
  <c r="F2542" i="11"/>
  <c r="F7752" i="11"/>
  <c r="F3929" i="11"/>
  <c r="F3093" i="11"/>
  <c r="G2541" i="11"/>
  <c r="F2541" i="11"/>
  <c r="F7751" i="11"/>
  <c r="F3928" i="11"/>
  <c r="F3092" i="11"/>
  <c r="G2540" i="11"/>
  <c r="F2540" i="11"/>
  <c r="F7750" i="11"/>
  <c r="F3927" i="11"/>
  <c r="F3091" i="11"/>
  <c r="G2539" i="11"/>
  <c r="F2539" i="11"/>
  <c r="F7749" i="11"/>
  <c r="F3926" i="11"/>
  <c r="F3090" i="11"/>
  <c r="G2538" i="11"/>
  <c r="F2538" i="11"/>
  <c r="F7748" i="11"/>
  <c r="F3925" i="11"/>
  <c r="F3089" i="11"/>
  <c r="G2537" i="11"/>
  <c r="F2537" i="11"/>
  <c r="F7747" i="11"/>
  <c r="F3924" i="11"/>
  <c r="F3088" i="11"/>
  <c r="G2536" i="11"/>
  <c r="F2536" i="11"/>
  <c r="F7746" i="11"/>
  <c r="F3923" i="11"/>
  <c r="F3087" i="11"/>
  <c r="G2535" i="11"/>
  <c r="F2535" i="11"/>
  <c r="F7745" i="11"/>
  <c r="F3922" i="11"/>
  <c r="F3086" i="11"/>
  <c r="G2534" i="11"/>
  <c r="F2534" i="11"/>
  <c r="F7744" i="11"/>
  <c r="F3085" i="11"/>
  <c r="G2533" i="11"/>
  <c r="F2533" i="11"/>
  <c r="F7743" i="11"/>
  <c r="G2532" i="11"/>
  <c r="F2532" i="11"/>
  <c r="F7742" i="11"/>
  <c r="F3921" i="11"/>
  <c r="F3084" i="11"/>
  <c r="G2531" i="11"/>
  <c r="F2531" i="11"/>
  <c r="F7741" i="11"/>
  <c r="F3083" i="11"/>
  <c r="G2776" i="11"/>
  <c r="F2776" i="11"/>
  <c r="F7740" i="11"/>
  <c r="F3920" i="11"/>
  <c r="F3082" i="11"/>
  <c r="G2530" i="11"/>
  <c r="F2530" i="11"/>
  <c r="F7739" i="11"/>
  <c r="F3919" i="11"/>
  <c r="F3081" i="11"/>
  <c r="G2529" i="11"/>
  <c r="F2529" i="11"/>
  <c r="F7738" i="11"/>
  <c r="F3918" i="11"/>
  <c r="F3080" i="11"/>
  <c r="G2528" i="11"/>
  <c r="F2528" i="11"/>
  <c r="F7737" i="11"/>
  <c r="F3917" i="11"/>
  <c r="F3079" i="11"/>
  <c r="G2527" i="11"/>
  <c r="F2527" i="11"/>
  <c r="F7736" i="11"/>
  <c r="F3078" i="11"/>
  <c r="G2775" i="11"/>
  <c r="F2775" i="11"/>
  <c r="F7735" i="11"/>
  <c r="F3077" i="11"/>
  <c r="G2774" i="11"/>
  <c r="F2774" i="11"/>
  <c r="F7734" i="11"/>
  <c r="F3916" i="11"/>
  <c r="F3076" i="11"/>
  <c r="G2526" i="11"/>
  <c r="F2526" i="11"/>
  <c r="F7733" i="11"/>
  <c r="F3075" i="11"/>
  <c r="G2773" i="11"/>
  <c r="F2773" i="11"/>
  <c r="F7732" i="11"/>
  <c r="F3074" i="11"/>
  <c r="G2525" i="11"/>
  <c r="F2525" i="11"/>
  <c r="F7731" i="11"/>
  <c r="F3073" i="11"/>
  <c r="G2772" i="11"/>
  <c r="F2772" i="11"/>
  <c r="F7730" i="11"/>
  <c r="F3072" i="11"/>
  <c r="G2524" i="11"/>
  <c r="F2524" i="11"/>
  <c r="F7729" i="11"/>
  <c r="G2771" i="11"/>
  <c r="F2771" i="11"/>
  <c r="F8147" i="11"/>
  <c r="F7728" i="11"/>
  <c r="F3071" i="11"/>
  <c r="G2523" i="11"/>
  <c r="F2523" i="11"/>
  <c r="F7727" i="11"/>
  <c r="F3070" i="11"/>
  <c r="G2770" i="11"/>
  <c r="F2770" i="11"/>
  <c r="F7726" i="11"/>
  <c r="F3069" i="11"/>
  <c r="G2522" i="11"/>
  <c r="F2522" i="11"/>
  <c r="F8122" i="11"/>
  <c r="F3068" i="11"/>
  <c r="G2521" i="11"/>
  <c r="F2521" i="11"/>
  <c r="F7725" i="11"/>
  <c r="F3067" i="11"/>
  <c r="G2769" i="11"/>
  <c r="F2769" i="11"/>
  <c r="F7724" i="11"/>
  <c r="F3066" i="11"/>
  <c r="G2768" i="11"/>
  <c r="F2768" i="11"/>
  <c r="G6048" i="11"/>
  <c r="F6048" i="11"/>
  <c r="E6048" i="11"/>
  <c r="C6048" i="11"/>
  <c r="F1792" i="11"/>
  <c r="E1792" i="11"/>
  <c r="C1792" i="11"/>
  <c r="G6047" i="11"/>
  <c r="F6047" i="11"/>
  <c r="E6047" i="11"/>
  <c r="C6047" i="11"/>
  <c r="F1791" i="11"/>
  <c r="E1791" i="11"/>
  <c r="C1791" i="11"/>
  <c r="G6046" i="11"/>
  <c r="F6046" i="11"/>
  <c r="E6046" i="11"/>
  <c r="C6046" i="11"/>
  <c r="F1790" i="11"/>
  <c r="E1790" i="11"/>
  <c r="C1790" i="11"/>
  <c r="G5350" i="11"/>
  <c r="F5350" i="11"/>
  <c r="E5350" i="11"/>
  <c r="C5350" i="11"/>
  <c r="F370" i="11"/>
  <c r="E370" i="11"/>
  <c r="C370" i="11"/>
  <c r="G6045" i="11"/>
  <c r="F6045" i="11"/>
  <c r="E6045" i="11"/>
  <c r="C6045" i="11"/>
  <c r="F1789" i="11"/>
  <c r="E1789" i="11"/>
  <c r="C1789" i="11"/>
  <c r="G6044" i="11"/>
  <c r="F6044" i="11"/>
  <c r="E6044" i="11"/>
  <c r="C6044" i="11"/>
  <c r="F1788" i="11"/>
  <c r="E1788" i="11"/>
  <c r="C1788" i="11"/>
  <c r="G6043" i="11"/>
  <c r="F6043" i="11"/>
  <c r="E6043" i="11"/>
  <c r="C6043" i="11"/>
  <c r="F1787" i="11"/>
  <c r="E1787" i="11"/>
  <c r="C1787" i="11"/>
  <c r="G6042" i="11"/>
  <c r="F6042" i="11"/>
  <c r="E6042" i="11"/>
  <c r="C6042" i="11"/>
  <c r="F1786" i="11"/>
  <c r="E1786" i="11"/>
  <c r="C1786" i="11"/>
  <c r="G6041" i="11"/>
  <c r="F6041" i="11"/>
  <c r="E6041" i="11"/>
  <c r="C6041" i="11"/>
  <c r="F1785" i="11"/>
  <c r="E1785" i="11"/>
  <c r="C1785" i="11"/>
  <c r="G6040" i="11"/>
  <c r="F6040" i="11"/>
  <c r="E6040" i="11"/>
  <c r="C6040" i="11"/>
  <c r="F1784" i="11"/>
  <c r="E1784" i="11"/>
  <c r="C1784" i="11"/>
  <c r="G6039" i="11"/>
  <c r="F6039" i="11"/>
  <c r="E6039" i="11"/>
  <c r="C6039" i="11"/>
  <c r="F1783" i="11"/>
  <c r="E1783" i="11"/>
  <c r="C1783" i="11"/>
  <c r="G5349" i="11"/>
  <c r="F5349" i="11"/>
  <c r="E5349" i="11"/>
  <c r="C5349" i="11"/>
  <c r="F369" i="11"/>
  <c r="E369" i="11"/>
  <c r="C369" i="11"/>
  <c r="G6038" i="11"/>
  <c r="F6038" i="11"/>
  <c r="E6038" i="11"/>
  <c r="C6038" i="11"/>
  <c r="F1782" i="11"/>
  <c r="E1782" i="11"/>
  <c r="C1782" i="11"/>
  <c r="G6037" i="11"/>
  <c r="F6037" i="11"/>
  <c r="E6037" i="11"/>
  <c r="C6037" i="11"/>
  <c r="F1781" i="11"/>
  <c r="E1781" i="11"/>
  <c r="C1781" i="11"/>
  <c r="G6036" i="11"/>
  <c r="F6036" i="11"/>
  <c r="E6036" i="11"/>
  <c r="C6036" i="11"/>
  <c r="F1780" i="11"/>
  <c r="E1780" i="11"/>
  <c r="C1780" i="11"/>
  <c r="G6035" i="11"/>
  <c r="F6035" i="11"/>
  <c r="E6035" i="11"/>
  <c r="C6035" i="11"/>
  <c r="F1779" i="11"/>
  <c r="E1779" i="11"/>
  <c r="C1779" i="11"/>
  <c r="G6034" i="11"/>
  <c r="F6034" i="11"/>
  <c r="E6034" i="11"/>
  <c r="C6034" i="11"/>
  <c r="F1778" i="11"/>
  <c r="E1778" i="11"/>
  <c r="C1778" i="11"/>
  <c r="G6033" i="11"/>
  <c r="F6033" i="11"/>
  <c r="E6033" i="11"/>
  <c r="C6033" i="11"/>
  <c r="F1777" i="11"/>
  <c r="E1777" i="11"/>
  <c r="C1777" i="11"/>
  <c r="G6032" i="11"/>
  <c r="F6032" i="11"/>
  <c r="E6032" i="11"/>
  <c r="C6032" i="11"/>
  <c r="F1776" i="11"/>
  <c r="E1776" i="11"/>
  <c r="C1776" i="11"/>
  <c r="G6454" i="11"/>
  <c r="F6454" i="11"/>
  <c r="E6454" i="11"/>
  <c r="C6454" i="11"/>
  <c r="F688" i="11"/>
  <c r="E688" i="11"/>
  <c r="C688" i="11"/>
  <c r="G6453" i="11"/>
  <c r="F6453" i="11"/>
  <c r="E6453" i="11"/>
  <c r="C6453" i="11"/>
  <c r="F1775" i="11"/>
  <c r="E1775" i="11"/>
  <c r="C1775" i="11"/>
  <c r="G5441" i="11"/>
  <c r="F5441" i="11"/>
  <c r="E5441" i="11"/>
  <c r="C5441" i="11"/>
  <c r="F243" i="11"/>
  <c r="E243" i="11"/>
  <c r="C243" i="11"/>
  <c r="G6452" i="11"/>
  <c r="F6452" i="11"/>
  <c r="E6452" i="11"/>
  <c r="C6452" i="11"/>
  <c r="F687" i="11"/>
  <c r="E687" i="11"/>
  <c r="C687" i="11"/>
  <c r="G6451" i="11"/>
  <c r="F6451" i="11"/>
  <c r="E6451" i="11"/>
  <c r="C6451" i="11"/>
  <c r="F1774" i="11"/>
  <c r="E1774" i="11"/>
  <c r="C1774" i="11"/>
  <c r="F686" i="11"/>
  <c r="E686" i="11"/>
  <c r="C686" i="11"/>
  <c r="G6450" i="11"/>
  <c r="F6450" i="11"/>
  <c r="E6450" i="11"/>
  <c r="C6450" i="11"/>
  <c r="F685" i="11"/>
  <c r="E685" i="11"/>
  <c r="C685" i="11"/>
  <c r="G6449" i="11"/>
  <c r="F6449" i="11"/>
  <c r="E6449" i="11"/>
  <c r="C6449" i="11"/>
  <c r="F1773" i="11"/>
  <c r="E1773" i="11"/>
  <c r="C1773" i="11"/>
  <c r="G6448" i="11"/>
  <c r="F6448" i="11"/>
  <c r="E6448" i="11"/>
  <c r="C6448" i="11"/>
  <c r="F684" i="11"/>
  <c r="E684" i="11"/>
  <c r="C684" i="11"/>
  <c r="G6447" i="11"/>
  <c r="F6447" i="11"/>
  <c r="E6447" i="11"/>
  <c r="C6447" i="11"/>
  <c r="F683" i="11"/>
  <c r="E683" i="11"/>
  <c r="C683" i="11"/>
  <c r="G5348" i="11"/>
  <c r="F5348" i="11"/>
  <c r="E5348" i="11"/>
  <c r="C5348" i="11"/>
  <c r="F682" i="11"/>
  <c r="E682" i="11"/>
  <c r="C682" i="11"/>
  <c r="G6446" i="11"/>
  <c r="F6446" i="11"/>
  <c r="E6446" i="11"/>
  <c r="C6446" i="11"/>
  <c r="F1772" i="11"/>
  <c r="E1772" i="11"/>
  <c r="C1772" i="11"/>
  <c r="F681" i="11"/>
  <c r="E681" i="11"/>
  <c r="C681" i="11"/>
  <c r="G6445" i="11"/>
  <c r="F6445" i="11"/>
  <c r="E6445" i="11"/>
  <c r="C6445" i="11"/>
  <c r="F1771" i="11"/>
  <c r="E1771" i="11"/>
  <c r="C1771" i="11"/>
  <c r="F680" i="11"/>
  <c r="E680" i="11"/>
  <c r="C680" i="11"/>
  <c r="G6444" i="11"/>
  <c r="F6444" i="11"/>
  <c r="E6444" i="11"/>
  <c r="C6444" i="11"/>
  <c r="F679" i="11"/>
  <c r="E679" i="11"/>
  <c r="C679" i="11"/>
  <c r="G6443" i="11"/>
  <c r="F6443" i="11"/>
  <c r="E6443" i="11"/>
  <c r="C6443" i="11"/>
  <c r="F678" i="11"/>
  <c r="E678" i="11"/>
  <c r="C678" i="11"/>
  <c r="G6442" i="11"/>
  <c r="F6442" i="11"/>
  <c r="E6442" i="11"/>
  <c r="C6442" i="11"/>
  <c r="F677" i="11"/>
  <c r="E677" i="11"/>
  <c r="C677" i="11"/>
  <c r="G6031" i="11"/>
  <c r="F6031" i="11"/>
  <c r="E6031" i="11"/>
  <c r="C6031" i="11"/>
  <c r="F1770" i="11"/>
  <c r="E1770" i="11"/>
  <c r="C1770" i="11"/>
  <c r="G6441" i="11"/>
  <c r="F6441" i="11"/>
  <c r="E6441" i="11"/>
  <c r="C6441" i="11"/>
  <c r="F676" i="11"/>
  <c r="E676" i="11"/>
  <c r="C676" i="11"/>
  <c r="G6440" i="11"/>
  <c r="F6440" i="11"/>
  <c r="E6440" i="11"/>
  <c r="C6440" i="11"/>
  <c r="F675" i="11"/>
  <c r="E675" i="11"/>
  <c r="C675" i="11"/>
  <c r="G6030" i="11"/>
  <c r="F6030" i="11"/>
  <c r="E6030" i="11"/>
  <c r="C6030" i="11"/>
  <c r="F1769" i="11"/>
  <c r="E1769" i="11"/>
  <c r="C1769" i="11"/>
  <c r="G6439" i="11"/>
  <c r="F6439" i="11"/>
  <c r="E6439" i="11"/>
  <c r="C6439" i="11"/>
  <c r="F674" i="11"/>
  <c r="E674" i="11"/>
  <c r="C674" i="11"/>
  <c r="G6438" i="11"/>
  <c r="F6438" i="11"/>
  <c r="E6438" i="11"/>
  <c r="C6438" i="11"/>
  <c r="F1768" i="11"/>
  <c r="E1768" i="11"/>
  <c r="C1768" i="11"/>
  <c r="F673" i="11"/>
  <c r="E673" i="11"/>
  <c r="C673" i="11"/>
  <c r="G6437" i="11"/>
  <c r="F6437" i="11"/>
  <c r="E6437" i="11"/>
  <c r="C6437" i="11"/>
  <c r="F1767" i="11"/>
  <c r="E1767" i="11"/>
  <c r="C1767" i="11"/>
  <c r="F672" i="11"/>
  <c r="E672" i="11"/>
  <c r="C672" i="11"/>
  <c r="G6436" i="11"/>
  <c r="F6436" i="11"/>
  <c r="E6436" i="11"/>
  <c r="C6436" i="11"/>
  <c r="F1766" i="11"/>
  <c r="E1766" i="11"/>
  <c r="C1766" i="11"/>
  <c r="F671" i="11"/>
  <c r="E671" i="11"/>
  <c r="C671" i="11"/>
  <c r="G6435" i="11"/>
  <c r="F6435" i="11"/>
  <c r="E6435" i="11"/>
  <c r="C6435" i="11"/>
  <c r="F1765" i="11"/>
  <c r="E1765" i="11"/>
  <c r="C1765" i="11"/>
  <c r="G6434" i="11"/>
  <c r="F6434" i="11"/>
  <c r="E6434" i="11"/>
  <c r="C6434" i="11"/>
  <c r="F1764" i="11"/>
  <c r="E1764" i="11"/>
  <c r="C1764" i="11"/>
  <c r="G6433" i="11"/>
  <c r="F6433" i="11"/>
  <c r="E6433" i="11"/>
  <c r="C6433" i="11"/>
  <c r="F670" i="11"/>
  <c r="E670" i="11"/>
  <c r="C670" i="11"/>
  <c r="G6029" i="11"/>
  <c r="F6029" i="11"/>
  <c r="E6029" i="11"/>
  <c r="C6029" i="11"/>
  <c r="F1763" i="11"/>
  <c r="E1763" i="11"/>
  <c r="C1763" i="11"/>
  <c r="G5347" i="11"/>
  <c r="F5347" i="11"/>
  <c r="E5347" i="11"/>
  <c r="C5347" i="11"/>
  <c r="F368" i="11"/>
  <c r="E368" i="11"/>
  <c r="C368" i="11"/>
  <c r="G5346" i="11"/>
  <c r="F5346" i="11"/>
  <c r="E5346" i="11"/>
  <c r="C5346" i="11"/>
  <c r="F1762" i="11"/>
  <c r="E1762" i="11"/>
  <c r="C1762" i="11"/>
  <c r="G6432" i="11"/>
  <c r="F6432" i="11"/>
  <c r="E6432" i="11"/>
  <c r="C6432" i="11"/>
  <c r="F669" i="11"/>
  <c r="E669" i="11"/>
  <c r="C669" i="11"/>
  <c r="G6028" i="11"/>
  <c r="F6028" i="11"/>
  <c r="E6028" i="11"/>
  <c r="C6028" i="11"/>
  <c r="F1761" i="11"/>
  <c r="E1761" i="11"/>
  <c r="C1761" i="11"/>
  <c r="G6027" i="11"/>
  <c r="F6027" i="11"/>
  <c r="E6027" i="11"/>
  <c r="C6027" i="11"/>
  <c r="F1760" i="11"/>
  <c r="E1760" i="11"/>
  <c r="C1760" i="11"/>
  <c r="G6431" i="11"/>
  <c r="F6431" i="11"/>
  <c r="E6431" i="11"/>
  <c r="C6431" i="11"/>
  <c r="F1759" i="11"/>
  <c r="E1759" i="11"/>
  <c r="C1759" i="11"/>
  <c r="G5345" i="11"/>
  <c r="F5345" i="11"/>
  <c r="E5345" i="11"/>
  <c r="C5345" i="11"/>
  <c r="F367" i="11"/>
  <c r="E367" i="11"/>
  <c r="C367" i="11"/>
  <c r="G6430" i="11"/>
  <c r="F6430" i="11"/>
  <c r="E6430" i="11"/>
  <c r="C6430" i="11"/>
  <c r="F1758" i="11"/>
  <c r="E1758" i="11"/>
  <c r="C1758" i="11"/>
  <c r="F668" i="11"/>
  <c r="E668" i="11"/>
  <c r="C668" i="11"/>
  <c r="G6026" i="11"/>
  <c r="F6026" i="11"/>
  <c r="E6026" i="11"/>
  <c r="C6026" i="11"/>
  <c r="F1757" i="11"/>
  <c r="E1757" i="11"/>
  <c r="C1757" i="11"/>
  <c r="G6025" i="11"/>
  <c r="F6025" i="11"/>
  <c r="E6025" i="11"/>
  <c r="C6025" i="11"/>
  <c r="F1756" i="11"/>
  <c r="E1756" i="11"/>
  <c r="C1756" i="11"/>
  <c r="G6024" i="11"/>
  <c r="F6024" i="11"/>
  <c r="E6024" i="11"/>
  <c r="C6024" i="11"/>
  <c r="F1755" i="11"/>
  <c r="E1755" i="11"/>
  <c r="C1755" i="11"/>
  <c r="G6023" i="11"/>
  <c r="F6023" i="11"/>
  <c r="E6023" i="11"/>
  <c r="C6023" i="11"/>
  <c r="F1754" i="11"/>
  <c r="E1754" i="11"/>
  <c r="C1754" i="11"/>
  <c r="G6022" i="11"/>
  <c r="F6022" i="11"/>
  <c r="E6022" i="11"/>
  <c r="C6022" i="11"/>
  <c r="F1753" i="11"/>
  <c r="E1753" i="11"/>
  <c r="C1753" i="11"/>
  <c r="G6021" i="11"/>
  <c r="F6021" i="11"/>
  <c r="E6021" i="11"/>
  <c r="C6021" i="11"/>
  <c r="F1752" i="11"/>
  <c r="E1752" i="11"/>
  <c r="C1752" i="11"/>
  <c r="G6020" i="11"/>
  <c r="F6020" i="11"/>
  <c r="E6020" i="11"/>
  <c r="C6020" i="11"/>
  <c r="F1751" i="11"/>
  <c r="E1751" i="11"/>
  <c r="C1751" i="11"/>
  <c r="G6429" i="11"/>
  <c r="F6429" i="11"/>
  <c r="E6429" i="11"/>
  <c r="C6429" i="11"/>
  <c r="F1750" i="11"/>
  <c r="E1750" i="11"/>
  <c r="C1750" i="11"/>
  <c r="G6428" i="11"/>
  <c r="F6428" i="11"/>
  <c r="E6428" i="11"/>
  <c r="C6428" i="11"/>
  <c r="F1749" i="11"/>
  <c r="E1749" i="11"/>
  <c r="C1749" i="11"/>
  <c r="F667" i="11"/>
  <c r="E667" i="11"/>
  <c r="C667" i="11"/>
  <c r="G6019" i="11"/>
  <c r="F6019" i="11"/>
  <c r="E6019" i="11"/>
  <c r="C6019" i="11"/>
  <c r="F1748" i="11"/>
  <c r="E1748" i="11"/>
  <c r="C1748" i="11"/>
  <c r="G6018" i="11"/>
  <c r="F6018" i="11"/>
  <c r="E6018" i="11"/>
  <c r="C6018" i="11"/>
  <c r="F242" i="11"/>
  <c r="E242" i="11"/>
  <c r="C242" i="11"/>
  <c r="G6427" i="11"/>
  <c r="F6427" i="11"/>
  <c r="E6427" i="11"/>
  <c r="C6427" i="11"/>
  <c r="F1747" i="11"/>
  <c r="E1747" i="11"/>
  <c r="C1747" i="11"/>
  <c r="F666" i="11"/>
  <c r="E666" i="11"/>
  <c r="C666" i="11"/>
  <c r="G6426" i="11"/>
  <c r="F6426" i="11"/>
  <c r="E6426" i="11"/>
  <c r="C6426" i="11"/>
  <c r="F1746" i="11"/>
  <c r="E1746" i="11"/>
  <c r="C1746" i="11"/>
  <c r="F665" i="11"/>
  <c r="E665" i="11"/>
  <c r="C665" i="11"/>
  <c r="G6425" i="11"/>
  <c r="F6425" i="11"/>
  <c r="E6425" i="11"/>
  <c r="C6425" i="11"/>
  <c r="F1745" i="11"/>
  <c r="E1745" i="11"/>
  <c r="C1745" i="11"/>
  <c r="G6017" i="11"/>
  <c r="F6017" i="11"/>
  <c r="E6017" i="11"/>
  <c r="C6017" i="11"/>
  <c r="F1744" i="11"/>
  <c r="E1744" i="11"/>
  <c r="C1744" i="11"/>
  <c r="G6016" i="11"/>
  <c r="F6016" i="11"/>
  <c r="E6016" i="11"/>
  <c r="C6016" i="11"/>
  <c r="F1743" i="11"/>
  <c r="E1743" i="11"/>
  <c r="C1743" i="11"/>
  <c r="G6015" i="11"/>
  <c r="F6015" i="11"/>
  <c r="E6015" i="11"/>
  <c r="C6015" i="11"/>
  <c r="F1742" i="11"/>
  <c r="E1742" i="11"/>
  <c r="C1742" i="11"/>
  <c r="G6424" i="11"/>
  <c r="F6424" i="11"/>
  <c r="E6424" i="11"/>
  <c r="C6424" i="11"/>
  <c r="F1741" i="11"/>
  <c r="E1741" i="11"/>
  <c r="C1741" i="11"/>
  <c r="F664" i="11"/>
  <c r="E664" i="11"/>
  <c r="C664" i="11"/>
  <c r="G6423" i="11"/>
  <c r="F6423" i="11"/>
  <c r="E6423" i="11"/>
  <c r="C6423" i="11"/>
  <c r="F1740" i="11"/>
  <c r="E1740" i="11"/>
  <c r="C1740" i="11"/>
  <c r="F663" i="11"/>
  <c r="E663" i="11"/>
  <c r="C663" i="11"/>
  <c r="G6014" i="11"/>
  <c r="F6014" i="11"/>
  <c r="E6014" i="11"/>
  <c r="C6014" i="11"/>
  <c r="F1739" i="11"/>
  <c r="E1739" i="11"/>
  <c r="C1739" i="11"/>
  <c r="G6013" i="11"/>
  <c r="F6013" i="11"/>
  <c r="E6013" i="11"/>
  <c r="C6013" i="11"/>
  <c r="F1738" i="11"/>
  <c r="E1738" i="11"/>
  <c r="C1738" i="11"/>
  <c r="G6012" i="11"/>
  <c r="F6012" i="11"/>
  <c r="E6012" i="11"/>
  <c r="C6012" i="11"/>
  <c r="F1737" i="11"/>
  <c r="E1737" i="11"/>
  <c r="C1737" i="11"/>
  <c r="G6011" i="11"/>
  <c r="F6011" i="11"/>
  <c r="E6011" i="11"/>
  <c r="C6011" i="11"/>
  <c r="F1736" i="11"/>
  <c r="E1736" i="11"/>
  <c r="C1736" i="11"/>
  <c r="G6010" i="11"/>
  <c r="F6010" i="11"/>
  <c r="E6010" i="11"/>
  <c r="C6010" i="11"/>
  <c r="F1735" i="11"/>
  <c r="E1735" i="11"/>
  <c r="C1735" i="11"/>
  <c r="G6009" i="11"/>
  <c r="F6009" i="11"/>
  <c r="E6009" i="11"/>
  <c r="C6009" i="11"/>
  <c r="F1734" i="11"/>
  <c r="E1734" i="11"/>
  <c r="C1734" i="11"/>
  <c r="G6008" i="11"/>
  <c r="F6008" i="11"/>
  <c r="E6008" i="11"/>
  <c r="C6008" i="11"/>
  <c r="F1733" i="11"/>
  <c r="E1733" i="11"/>
  <c r="C1733" i="11"/>
  <c r="G6422" i="11"/>
  <c r="F6422" i="11"/>
  <c r="E6422" i="11"/>
  <c r="C6422" i="11"/>
  <c r="F1732" i="11"/>
  <c r="E1732" i="11"/>
  <c r="C1732" i="11"/>
  <c r="G6007" i="11"/>
  <c r="F6007" i="11"/>
  <c r="E6007" i="11"/>
  <c r="C6007" i="11"/>
  <c r="F1731" i="11"/>
  <c r="E1731" i="11"/>
  <c r="C1731" i="11"/>
  <c r="G6421" i="11"/>
  <c r="F6421" i="11"/>
  <c r="E6421" i="11"/>
  <c r="C6421" i="11"/>
  <c r="F1730" i="11"/>
  <c r="E1730" i="11"/>
  <c r="C1730" i="11"/>
  <c r="F662" i="11"/>
  <c r="E662" i="11"/>
  <c r="C662" i="11"/>
  <c r="G6006" i="11"/>
  <c r="F6006" i="11"/>
  <c r="E6006" i="11"/>
  <c r="C6006" i="11"/>
  <c r="F1729" i="11"/>
  <c r="E1729" i="11"/>
  <c r="C1729" i="11"/>
  <c r="G6420" i="11"/>
  <c r="F6420" i="11"/>
  <c r="E6420" i="11"/>
  <c r="C6420" i="11"/>
  <c r="F1728" i="11"/>
  <c r="E1728" i="11"/>
  <c r="C1728" i="11"/>
  <c r="F661" i="11"/>
  <c r="E661" i="11"/>
  <c r="C661" i="11"/>
  <c r="G6005" i="11"/>
  <c r="F6005" i="11"/>
  <c r="E6005" i="11"/>
  <c r="C6005" i="11"/>
  <c r="F1727" i="11"/>
  <c r="E1727" i="11"/>
  <c r="C1727" i="11"/>
  <c r="G6419" i="11"/>
  <c r="F6419" i="11"/>
  <c r="E6419" i="11"/>
  <c r="C6419" i="11"/>
  <c r="F660" i="11"/>
  <c r="E660" i="11"/>
  <c r="C660" i="11"/>
  <c r="G6004" i="11"/>
  <c r="F6004" i="11"/>
  <c r="E6004" i="11"/>
  <c r="C6004" i="11"/>
  <c r="F1726" i="11"/>
  <c r="E1726" i="11"/>
  <c r="C1726" i="11"/>
  <c r="G6003" i="11"/>
  <c r="F6003" i="11"/>
  <c r="E6003" i="11"/>
  <c r="C6003" i="11"/>
  <c r="F1725" i="11"/>
  <c r="E1725" i="11"/>
  <c r="C1725" i="11"/>
  <c r="G6002" i="11"/>
  <c r="F6002" i="11"/>
  <c r="E6002" i="11"/>
  <c r="C6002" i="11"/>
  <c r="F1724" i="11"/>
  <c r="E1724" i="11"/>
  <c r="C1724" i="11"/>
  <c r="G5440" i="11"/>
  <c r="F5440" i="11"/>
  <c r="E5440" i="11"/>
  <c r="C5440" i="11"/>
  <c r="F241" i="11"/>
  <c r="E241" i="11"/>
  <c r="C241" i="11"/>
  <c r="G6001" i="11"/>
  <c r="F6001" i="11"/>
  <c r="E6001" i="11"/>
  <c r="C6001" i="11"/>
  <c r="F1723" i="11"/>
  <c r="E1723" i="11"/>
  <c r="C1723" i="11"/>
  <c r="G6000" i="11"/>
  <c r="F6000" i="11"/>
  <c r="E6000" i="11"/>
  <c r="C6000" i="11"/>
  <c r="F1722" i="11"/>
  <c r="E1722" i="11"/>
  <c r="C1722" i="11"/>
  <c r="G6418" i="11"/>
  <c r="F6418" i="11"/>
  <c r="E6418" i="11"/>
  <c r="C6418" i="11"/>
  <c r="F659" i="11"/>
  <c r="E659" i="11"/>
  <c r="C659" i="11"/>
  <c r="G5999" i="11"/>
  <c r="F5999" i="11"/>
  <c r="E5999" i="11"/>
  <c r="C5999" i="11"/>
  <c r="F1721" i="11"/>
  <c r="E1721" i="11"/>
  <c r="C1721" i="11"/>
  <c r="G5998" i="11"/>
  <c r="F5998" i="11"/>
  <c r="E5998" i="11"/>
  <c r="C5998" i="11"/>
  <c r="F1720" i="11"/>
  <c r="E1720" i="11"/>
  <c r="C1720" i="11"/>
  <c r="G5997" i="11"/>
  <c r="F5997" i="11"/>
  <c r="E5997" i="11"/>
  <c r="C5997" i="11"/>
  <c r="F1719" i="11"/>
  <c r="E1719" i="11"/>
  <c r="C1719" i="11"/>
  <c r="G5996" i="11"/>
  <c r="F5996" i="11"/>
  <c r="E5996" i="11"/>
  <c r="C5996" i="11"/>
  <c r="F1718" i="11"/>
  <c r="E1718" i="11"/>
  <c r="C1718" i="11"/>
  <c r="G5995" i="11"/>
  <c r="F5995" i="11"/>
  <c r="E5995" i="11"/>
  <c r="C5995" i="11"/>
  <c r="F1717" i="11"/>
  <c r="E1717" i="11"/>
  <c r="C1717" i="11"/>
  <c r="G6417" i="11"/>
  <c r="F6417" i="11"/>
  <c r="E6417" i="11"/>
  <c r="C6417" i="11"/>
  <c r="F1716" i="11"/>
  <c r="E1716" i="11"/>
  <c r="C1716" i="11"/>
  <c r="G5994" i="11"/>
  <c r="F5994" i="11"/>
  <c r="E5994" i="11"/>
  <c r="C5994" i="11"/>
  <c r="F1715" i="11"/>
  <c r="E1715" i="11"/>
  <c r="C1715" i="11"/>
  <c r="G5993" i="11"/>
  <c r="F5993" i="11"/>
  <c r="E5993" i="11"/>
  <c r="C5993" i="11"/>
  <c r="F1714" i="11"/>
  <c r="E1714" i="11"/>
  <c r="C1714" i="11"/>
  <c r="G6416" i="11"/>
  <c r="F6416" i="11"/>
  <c r="E6416" i="11"/>
  <c r="C6416" i="11"/>
  <c r="F658" i="11"/>
  <c r="E658" i="11"/>
  <c r="C658" i="11"/>
  <c r="G5439" i="11"/>
  <c r="F5439" i="11"/>
  <c r="E5439" i="11"/>
  <c r="C5439" i="11"/>
  <c r="F240" i="11"/>
  <c r="E240" i="11"/>
  <c r="C240" i="11"/>
  <c r="G5992" i="11"/>
  <c r="F5992" i="11"/>
  <c r="E5992" i="11"/>
  <c r="C5992" i="11"/>
  <c r="F1713" i="11"/>
  <c r="E1713" i="11"/>
  <c r="C1713" i="11"/>
  <c r="G5991" i="11"/>
  <c r="F5991" i="11"/>
  <c r="E5991" i="11"/>
  <c r="C5991" i="11"/>
  <c r="F1712" i="11"/>
  <c r="E1712" i="11"/>
  <c r="C1712" i="11"/>
  <c r="G6415" i="11"/>
  <c r="F6415" i="11"/>
  <c r="E6415" i="11"/>
  <c r="C6415" i="11"/>
  <c r="F657" i="11"/>
  <c r="E657" i="11"/>
  <c r="C657" i="11"/>
  <c r="G5438" i="11"/>
  <c r="F5438" i="11"/>
  <c r="E5438" i="11"/>
  <c r="C5438" i="11"/>
  <c r="F239" i="11"/>
  <c r="E239" i="11"/>
  <c r="C239" i="11"/>
  <c r="G5990" i="11"/>
  <c r="F5990" i="11"/>
  <c r="E5990" i="11"/>
  <c r="C5990" i="11"/>
  <c r="F1711" i="11"/>
  <c r="E1711" i="11"/>
  <c r="C1711" i="11"/>
  <c r="G5989" i="11"/>
  <c r="F5989" i="11"/>
  <c r="E5989" i="11"/>
  <c r="C5989" i="11"/>
  <c r="F1710" i="11"/>
  <c r="E1710" i="11"/>
  <c r="C1710" i="11"/>
  <c r="G5988" i="11"/>
  <c r="F5988" i="11"/>
  <c r="E5988" i="11"/>
  <c r="C5988" i="11"/>
  <c r="F1709" i="11"/>
  <c r="E1709" i="11"/>
  <c r="C1709" i="11"/>
  <c r="G6414" i="11"/>
  <c r="F6414" i="11"/>
  <c r="E6414" i="11"/>
  <c r="C6414" i="11"/>
  <c r="F656" i="11"/>
  <c r="E656" i="11"/>
  <c r="C656" i="11"/>
  <c r="G5987" i="11"/>
  <c r="F5987" i="11"/>
  <c r="E5987" i="11"/>
  <c r="C5987" i="11"/>
  <c r="F1708" i="11"/>
  <c r="E1708" i="11"/>
  <c r="C1708" i="11"/>
  <c r="G6413" i="11"/>
  <c r="F6413" i="11"/>
  <c r="E6413" i="11"/>
  <c r="C6413" i="11"/>
  <c r="F1707" i="11"/>
  <c r="E1707" i="11"/>
  <c r="C1707" i="11"/>
  <c r="G5986" i="11"/>
  <c r="F5986" i="11"/>
  <c r="E5986" i="11"/>
  <c r="C5986" i="11"/>
  <c r="F1706" i="11"/>
  <c r="E1706" i="11"/>
  <c r="C1706" i="11"/>
  <c r="G6412" i="11"/>
  <c r="F6412" i="11"/>
  <c r="E6412" i="11"/>
  <c r="C6412" i="11"/>
  <c r="F1705" i="11"/>
  <c r="E1705" i="11"/>
  <c r="C1705" i="11"/>
  <c r="G5344" i="11"/>
  <c r="F5344" i="11"/>
  <c r="E5344" i="11"/>
  <c r="C5344" i="11"/>
  <c r="F366" i="11"/>
  <c r="E366" i="11"/>
  <c r="C366" i="11"/>
  <c r="G6411" i="11"/>
  <c r="F6411" i="11"/>
  <c r="E6411" i="11"/>
  <c r="C6411" i="11"/>
  <c r="F655" i="11"/>
  <c r="E655" i="11"/>
  <c r="C655" i="11"/>
  <c r="G5985" i="11"/>
  <c r="F5985" i="11"/>
  <c r="E5985" i="11"/>
  <c r="C5985" i="11"/>
  <c r="F1704" i="11"/>
  <c r="E1704" i="11"/>
  <c r="C1704" i="11"/>
  <c r="G5984" i="11"/>
  <c r="F5984" i="11"/>
  <c r="E5984" i="11"/>
  <c r="C5984" i="11"/>
  <c r="F1703" i="11"/>
  <c r="E1703" i="11"/>
  <c r="C1703" i="11"/>
  <c r="G5983" i="11"/>
  <c r="F5983" i="11"/>
  <c r="E5983" i="11"/>
  <c r="C5983" i="11"/>
  <c r="F1702" i="11"/>
  <c r="E1702" i="11"/>
  <c r="C1702" i="11"/>
  <c r="G5343" i="11"/>
  <c r="F5343" i="11"/>
  <c r="E5343" i="11"/>
  <c r="C5343" i="11"/>
  <c r="F365" i="11"/>
  <c r="E365" i="11"/>
  <c r="C365" i="11"/>
  <c r="G5342" i="11"/>
  <c r="F5342" i="11"/>
  <c r="E5342" i="11"/>
  <c r="C5342" i="11"/>
  <c r="F364" i="11"/>
  <c r="E364" i="11"/>
  <c r="C364" i="11"/>
  <c r="G5982" i="11"/>
  <c r="F5982" i="11"/>
  <c r="E5982" i="11"/>
  <c r="C5982" i="11"/>
  <c r="F1701" i="11"/>
  <c r="E1701" i="11"/>
  <c r="C1701" i="11"/>
  <c r="G5341" i="11"/>
  <c r="F5341" i="11"/>
  <c r="E5341" i="11"/>
  <c r="C5341" i="11"/>
  <c r="F1700" i="11"/>
  <c r="E1700" i="11"/>
  <c r="C1700" i="11"/>
  <c r="F363" i="11"/>
  <c r="E363" i="11"/>
  <c r="C363" i="11"/>
  <c r="G5340" i="11"/>
  <c r="F5340" i="11"/>
  <c r="E5340" i="11"/>
  <c r="C5340" i="11"/>
  <c r="F362" i="11"/>
  <c r="E362" i="11"/>
  <c r="C362" i="11"/>
  <c r="G5981" i="11"/>
  <c r="F5981" i="11"/>
  <c r="E5981" i="11"/>
  <c r="C5981" i="11"/>
  <c r="F1699" i="11"/>
  <c r="E1699" i="11"/>
  <c r="C1699" i="11"/>
  <c r="G6410" i="11"/>
  <c r="F6410" i="11"/>
  <c r="E6410" i="11"/>
  <c r="C6410" i="11"/>
  <c r="F1698" i="11"/>
  <c r="E1698" i="11"/>
  <c r="C1698" i="11"/>
  <c r="F654" i="11"/>
  <c r="E654" i="11"/>
  <c r="C654" i="11"/>
  <c r="G6409" i="11"/>
  <c r="F6409" i="11"/>
  <c r="E6409" i="11"/>
  <c r="C6409" i="11"/>
  <c r="F1697" i="11"/>
  <c r="E1697" i="11"/>
  <c r="C1697" i="11"/>
  <c r="G5980" i="11"/>
  <c r="F5980" i="11"/>
  <c r="E5980" i="11"/>
  <c r="C5980" i="11"/>
  <c r="F1696" i="11"/>
  <c r="E1696" i="11"/>
  <c r="C1696" i="11"/>
  <c r="G6408" i="11"/>
  <c r="F6408" i="11"/>
  <c r="E6408" i="11"/>
  <c r="C6408" i="11"/>
  <c r="F653" i="11"/>
  <c r="E653" i="11"/>
  <c r="C653" i="11"/>
  <c r="G5979" i="11"/>
  <c r="F5979" i="11"/>
  <c r="E5979" i="11"/>
  <c r="C5979" i="11"/>
  <c r="F1695" i="11"/>
  <c r="E1695" i="11"/>
  <c r="C1695" i="11"/>
  <c r="G6407" i="11"/>
  <c r="F6407" i="11"/>
  <c r="E6407" i="11"/>
  <c r="C6407" i="11"/>
  <c r="F652" i="11"/>
  <c r="E652" i="11"/>
  <c r="C652" i="11"/>
  <c r="G5978" i="11"/>
  <c r="F5978" i="11"/>
  <c r="E5978" i="11"/>
  <c r="C5978" i="11"/>
  <c r="F1694" i="11"/>
  <c r="E1694" i="11"/>
  <c r="C1694" i="11"/>
  <c r="G5977" i="11"/>
  <c r="F5977" i="11"/>
  <c r="E5977" i="11"/>
  <c r="C5977" i="11"/>
  <c r="F1693" i="11"/>
  <c r="E1693" i="11"/>
  <c r="C1693" i="11"/>
  <c r="G5976" i="11"/>
  <c r="F5976" i="11"/>
  <c r="E5976" i="11"/>
  <c r="C5976" i="11"/>
  <c r="F1692" i="11"/>
  <c r="E1692" i="11"/>
  <c r="C1692" i="11"/>
  <c r="G5975" i="11"/>
  <c r="F5975" i="11"/>
  <c r="E5975" i="11"/>
  <c r="C5975" i="11"/>
  <c r="F1691" i="11"/>
  <c r="E1691" i="11"/>
  <c r="C1691" i="11"/>
  <c r="G5974" i="11"/>
  <c r="F5974" i="11"/>
  <c r="E5974" i="11"/>
  <c r="C5974" i="11"/>
  <c r="F1690" i="11"/>
  <c r="E1690" i="11"/>
  <c r="C1690" i="11"/>
  <c r="G5973" i="11"/>
  <c r="F5973" i="11"/>
  <c r="E5973" i="11"/>
  <c r="C5973" i="11"/>
  <c r="F1689" i="11"/>
  <c r="E1689" i="11"/>
  <c r="C1689" i="11"/>
  <c r="G6406" i="11"/>
  <c r="F6406" i="11"/>
  <c r="E6406" i="11"/>
  <c r="C6406" i="11"/>
  <c r="F1688" i="11"/>
  <c r="E1688" i="11"/>
  <c r="C1688" i="11"/>
  <c r="F651" i="11"/>
  <c r="E651" i="11"/>
  <c r="C651" i="11"/>
  <c r="G5972" i="11"/>
  <c r="F5972" i="11"/>
  <c r="E5972" i="11"/>
  <c r="C5972" i="11"/>
  <c r="F1687" i="11"/>
  <c r="E1687" i="11"/>
  <c r="C1687" i="11"/>
  <c r="G6405" i="11"/>
  <c r="F6405" i="11"/>
  <c r="E6405" i="11"/>
  <c r="C6405" i="11"/>
  <c r="F1686" i="11"/>
  <c r="E1686" i="11"/>
  <c r="C1686" i="11"/>
  <c r="G5971" i="11"/>
  <c r="F5971" i="11"/>
  <c r="E5971" i="11"/>
  <c r="C5971" i="11"/>
  <c r="F1685" i="11"/>
  <c r="E1685" i="11"/>
  <c r="C1685" i="11"/>
  <c r="G5970" i="11"/>
  <c r="F5970" i="11"/>
  <c r="E5970" i="11"/>
  <c r="C5970" i="11"/>
  <c r="F1684" i="11"/>
  <c r="E1684" i="11"/>
  <c r="C1684" i="11"/>
  <c r="G6404" i="11"/>
  <c r="F6404" i="11"/>
  <c r="E6404" i="11"/>
  <c r="C6404" i="11"/>
  <c r="F650" i="11"/>
  <c r="E650" i="11"/>
  <c r="C650" i="11"/>
  <c r="G5969" i="11"/>
  <c r="F5969" i="11"/>
  <c r="E5969" i="11"/>
  <c r="C5969" i="11"/>
  <c r="F1683" i="11"/>
  <c r="E1683" i="11"/>
  <c r="C1683" i="11"/>
  <c r="G5968" i="11"/>
  <c r="F5968" i="11"/>
  <c r="E5968" i="11"/>
  <c r="C5968" i="11"/>
  <c r="F1682" i="11"/>
  <c r="E1682" i="11"/>
  <c r="C1682" i="11"/>
  <c r="G5967" i="11"/>
  <c r="F5967" i="11"/>
  <c r="E5967" i="11"/>
  <c r="C5967" i="11"/>
  <c r="F1681" i="11"/>
  <c r="E1681" i="11"/>
  <c r="C1681" i="11"/>
  <c r="G6403" i="11"/>
  <c r="F6403" i="11"/>
  <c r="C6403" i="11"/>
  <c r="F649" i="11"/>
  <c r="C649" i="11"/>
  <c r="G5966" i="11"/>
  <c r="F5966" i="11"/>
  <c r="E5966" i="11"/>
  <c r="C5966" i="11"/>
  <c r="F1680" i="11"/>
  <c r="E1680" i="11"/>
  <c r="C1680" i="11"/>
  <c r="G6402" i="11"/>
  <c r="F6402" i="11"/>
  <c r="E6402" i="11"/>
  <c r="C6402" i="11"/>
  <c r="F648" i="11"/>
  <c r="E648" i="11"/>
  <c r="C648" i="11"/>
  <c r="G5965" i="11"/>
  <c r="F5965" i="11"/>
  <c r="E5965" i="11"/>
  <c r="C5965" i="11"/>
  <c r="F1679" i="11"/>
  <c r="E1679" i="11"/>
  <c r="C1679" i="11"/>
  <c r="G6401" i="11"/>
  <c r="F6401" i="11"/>
  <c r="E6401" i="11"/>
  <c r="C6401" i="11"/>
  <c r="F647" i="11"/>
  <c r="E647" i="11"/>
  <c r="C647" i="11"/>
  <c r="G5964" i="11"/>
  <c r="F5964" i="11"/>
  <c r="E5964" i="11"/>
  <c r="C5964" i="11"/>
  <c r="F1678" i="11"/>
  <c r="E1678" i="11"/>
  <c r="C1678" i="11"/>
  <c r="G5963" i="11"/>
  <c r="F5963" i="11"/>
  <c r="E5963" i="11"/>
  <c r="C5963" i="11"/>
  <c r="F1677" i="11"/>
  <c r="E1677" i="11"/>
  <c r="C1677" i="11"/>
  <c r="G6400" i="11"/>
  <c r="F6400" i="11"/>
  <c r="E6400" i="11"/>
  <c r="C6400" i="11"/>
  <c r="F646" i="11"/>
  <c r="E646" i="11"/>
  <c r="C646" i="11"/>
  <c r="G5962" i="11"/>
  <c r="F5962" i="11"/>
  <c r="E5962" i="11"/>
  <c r="C5962" i="11"/>
  <c r="F1676" i="11"/>
  <c r="E1676" i="11"/>
  <c r="C1676" i="11"/>
  <c r="G6399" i="11"/>
  <c r="F6399" i="11"/>
  <c r="E6399" i="11"/>
  <c r="C6399" i="11"/>
  <c r="F645" i="11"/>
  <c r="E645" i="11"/>
  <c r="C645" i="11"/>
  <c r="G5961" i="11"/>
  <c r="F5961" i="11"/>
  <c r="E5961" i="11"/>
  <c r="C5961" i="11"/>
  <c r="F1675" i="11"/>
  <c r="E1675" i="11"/>
  <c r="C1675" i="11"/>
  <c r="G5960" i="11"/>
  <c r="F5960" i="11"/>
  <c r="E5960" i="11"/>
  <c r="C5960" i="11"/>
  <c r="F1674" i="11"/>
  <c r="E1674" i="11"/>
  <c r="C1674" i="11"/>
  <c r="G6398" i="11"/>
  <c r="F6398" i="11"/>
  <c r="E6398" i="11"/>
  <c r="C6398" i="11"/>
  <c r="F1673" i="11"/>
  <c r="E1673" i="11"/>
  <c r="C1673" i="11"/>
  <c r="G5959" i="11"/>
  <c r="F5959" i="11"/>
  <c r="E5959" i="11"/>
  <c r="C5959" i="11"/>
  <c r="F1672" i="11"/>
  <c r="E1672" i="11"/>
  <c r="C1672" i="11"/>
  <c r="G5958" i="11"/>
  <c r="F5958" i="11"/>
  <c r="E5958" i="11"/>
  <c r="C5958" i="11"/>
  <c r="F1671" i="11"/>
  <c r="E1671" i="11"/>
  <c r="C1671" i="11"/>
  <c r="G5437" i="11"/>
  <c r="F5437" i="11"/>
  <c r="E5437" i="11"/>
  <c r="C5437" i="11"/>
  <c r="F238" i="11"/>
  <c r="E238" i="11"/>
  <c r="C238" i="11"/>
  <c r="G5957" i="11"/>
  <c r="F5957" i="11"/>
  <c r="E5957" i="11"/>
  <c r="C5957" i="11"/>
  <c r="F1670" i="11"/>
  <c r="E1670" i="11"/>
  <c r="C1670" i="11"/>
  <c r="G5956" i="11"/>
  <c r="F5956" i="11"/>
  <c r="E5956" i="11"/>
  <c r="C5956" i="11"/>
  <c r="F1669" i="11"/>
  <c r="E1669" i="11"/>
  <c r="C1669" i="11"/>
  <c r="G5955" i="11"/>
  <c r="F5955" i="11"/>
  <c r="E5955" i="11"/>
  <c r="C5955" i="11"/>
  <c r="F1668" i="11"/>
  <c r="E1668" i="11"/>
  <c r="C1668" i="11"/>
  <c r="G5954" i="11"/>
  <c r="F5954" i="11"/>
  <c r="E5954" i="11"/>
  <c r="C5954" i="11"/>
  <c r="F1667" i="11"/>
  <c r="E1667" i="11"/>
  <c r="C1667" i="11"/>
  <c r="G5953" i="11"/>
  <c r="F5953" i="11"/>
  <c r="E5953" i="11"/>
  <c r="C5953" i="11"/>
  <c r="F1666" i="11"/>
  <c r="E1666" i="11"/>
  <c r="C1666" i="11"/>
  <c r="G5952" i="11"/>
  <c r="F5952" i="11"/>
  <c r="E5952" i="11"/>
  <c r="C5952" i="11"/>
  <c r="F1665" i="11"/>
  <c r="E1665" i="11"/>
  <c r="C1665" i="11"/>
  <c r="G5951" i="11"/>
  <c r="F5951" i="11"/>
  <c r="E5951" i="11"/>
  <c r="C5951" i="11"/>
  <c r="F1664" i="11"/>
  <c r="E1664" i="11"/>
  <c r="C1664" i="11"/>
  <c r="G5950" i="11"/>
  <c r="F5950" i="11"/>
  <c r="E5950" i="11"/>
  <c r="C5950" i="11"/>
  <c r="F1663" i="11"/>
  <c r="E1663" i="11"/>
  <c r="C1663" i="11"/>
  <c r="G5949" i="11"/>
  <c r="F5949" i="11"/>
  <c r="E5949" i="11"/>
  <c r="C5949" i="11"/>
  <c r="F644" i="11"/>
  <c r="E644" i="11"/>
  <c r="C644" i="11"/>
  <c r="G5948" i="11"/>
  <c r="F5948" i="11"/>
  <c r="E5948" i="11"/>
  <c r="C5948" i="11"/>
  <c r="F1662" i="11"/>
  <c r="E1662" i="11"/>
  <c r="C1662" i="11"/>
  <c r="G5947" i="11"/>
  <c r="F5947" i="11"/>
  <c r="E5947" i="11"/>
  <c r="C5947" i="11"/>
  <c r="F1661" i="11"/>
  <c r="E1661" i="11"/>
  <c r="C1661" i="11"/>
  <c r="G5946" i="11"/>
  <c r="F5946" i="11"/>
  <c r="E5946" i="11"/>
  <c r="C5946" i="11"/>
  <c r="F1660" i="11"/>
  <c r="E1660" i="11"/>
  <c r="C1660" i="11"/>
  <c r="G5945" i="11"/>
  <c r="F5945" i="11"/>
  <c r="E5945" i="11"/>
  <c r="C5945" i="11"/>
  <c r="F1659" i="11"/>
  <c r="E1659" i="11"/>
  <c r="C1659" i="11"/>
  <c r="F643" i="11"/>
  <c r="E643" i="11"/>
  <c r="C643" i="11"/>
  <c r="G5944" i="11"/>
  <c r="F5944" i="11"/>
  <c r="E5944" i="11"/>
  <c r="C5944" i="11"/>
  <c r="F1658" i="11"/>
  <c r="E1658" i="11"/>
  <c r="C1658" i="11"/>
  <c r="G5943" i="11"/>
  <c r="F5943" i="11"/>
  <c r="E5943" i="11"/>
  <c r="C5943" i="11"/>
  <c r="F1657" i="11"/>
  <c r="E1657" i="11"/>
  <c r="C1657" i="11"/>
  <c r="F642" i="11"/>
  <c r="E642" i="11"/>
  <c r="C642" i="11"/>
  <c r="G5942" i="11"/>
  <c r="F5942" i="11"/>
  <c r="E5942" i="11"/>
  <c r="C5942" i="11"/>
  <c r="F1656" i="11"/>
  <c r="E1656" i="11"/>
  <c r="C1656" i="11"/>
  <c r="F237" i="11"/>
  <c r="E237" i="11"/>
  <c r="C237" i="11"/>
  <c r="G5941" i="11"/>
  <c r="F5941" i="11"/>
  <c r="E5941" i="11"/>
  <c r="C5941" i="11"/>
  <c r="F1655" i="11"/>
  <c r="E1655" i="11"/>
  <c r="C1655" i="11"/>
  <c r="G5339" i="11"/>
  <c r="F5339" i="11"/>
  <c r="E5339" i="11"/>
  <c r="C5339" i="11"/>
  <c r="F361" i="11"/>
  <c r="E361" i="11"/>
  <c r="C361" i="11"/>
  <c r="G5338" i="11"/>
  <c r="F5338" i="11"/>
  <c r="E5338" i="11"/>
  <c r="C5338" i="11"/>
  <c r="F1654" i="11"/>
  <c r="E1654" i="11"/>
  <c r="C1654" i="11"/>
  <c r="G5337" i="11"/>
  <c r="F5337" i="11"/>
  <c r="E5337" i="11"/>
  <c r="C5337" i="11"/>
  <c r="F1653" i="11"/>
  <c r="E1653" i="11"/>
  <c r="C1653" i="11"/>
  <c r="G5336" i="11"/>
  <c r="F5336" i="11"/>
  <c r="E5336" i="11"/>
  <c r="C5336" i="11"/>
  <c r="F360" i="11"/>
  <c r="E360" i="11"/>
  <c r="C360" i="11"/>
  <c r="G5335" i="11"/>
  <c r="F5335" i="11"/>
  <c r="E5335" i="11"/>
  <c r="C5335" i="11"/>
  <c r="F1652" i="11"/>
  <c r="E1652" i="11"/>
  <c r="C1652" i="11"/>
  <c r="G5334" i="11"/>
  <c r="F5334" i="11"/>
  <c r="E5334" i="11"/>
  <c r="C5334" i="11"/>
  <c r="F359" i="11"/>
  <c r="E359" i="11"/>
  <c r="C359" i="11"/>
  <c r="G5333" i="11"/>
  <c r="F5333" i="11"/>
  <c r="E5333" i="11"/>
  <c r="C5333" i="11"/>
  <c r="F358" i="11"/>
  <c r="E358" i="11"/>
  <c r="C358" i="11"/>
  <c r="G5332" i="11"/>
  <c r="F5332" i="11"/>
  <c r="E5332" i="11"/>
  <c r="C5332" i="11"/>
  <c r="F357" i="11"/>
  <c r="E357" i="11"/>
  <c r="C357" i="11"/>
  <c r="G5940" i="11"/>
  <c r="F5940" i="11"/>
  <c r="E5940" i="11"/>
  <c r="C5940" i="11"/>
  <c r="F1651" i="11"/>
  <c r="E1651" i="11"/>
  <c r="C1651" i="11"/>
  <c r="G5331" i="11"/>
  <c r="F5331" i="11"/>
  <c r="E5331" i="11"/>
  <c r="C5331" i="11"/>
  <c r="F356" i="11"/>
  <c r="E356" i="11"/>
  <c r="C356" i="11"/>
  <c r="G5939" i="11"/>
  <c r="F5939" i="11"/>
  <c r="E5939" i="11"/>
  <c r="C5939" i="11"/>
  <c r="F1650" i="11"/>
  <c r="E1650" i="11"/>
  <c r="C1650" i="11"/>
  <c r="G5938" i="11"/>
  <c r="F5938" i="11"/>
  <c r="E5938" i="11"/>
  <c r="C5938" i="11"/>
  <c r="F1649" i="11"/>
  <c r="E1649" i="11"/>
  <c r="C1649" i="11"/>
  <c r="G5937" i="11"/>
  <c r="F5937" i="11"/>
  <c r="E5937" i="11"/>
  <c r="C5937" i="11"/>
  <c r="F1648" i="11"/>
  <c r="E1648" i="11"/>
  <c r="C1648" i="11"/>
  <c r="G5330" i="11"/>
  <c r="F5330" i="11"/>
  <c r="E5330" i="11"/>
  <c r="C5330" i="11"/>
  <c r="F1647" i="11"/>
  <c r="E1647" i="11"/>
  <c r="C1647" i="11"/>
  <c r="G5936" i="11"/>
  <c r="F5936" i="11"/>
  <c r="E5936" i="11"/>
  <c r="C5936" i="11"/>
  <c r="F1646" i="11"/>
  <c r="E1646" i="11"/>
  <c r="C1646" i="11"/>
  <c r="G5436" i="11"/>
  <c r="F5436" i="11"/>
  <c r="E5436" i="11"/>
  <c r="C5436" i="11"/>
  <c r="F236" i="11"/>
  <c r="E236" i="11"/>
  <c r="C236" i="11"/>
  <c r="G6397" i="11"/>
  <c r="F6397" i="11"/>
  <c r="E6397" i="11"/>
  <c r="C6397" i="11"/>
  <c r="F1645" i="11"/>
  <c r="E1645" i="11"/>
  <c r="C1645" i="11"/>
  <c r="G6396" i="11"/>
  <c r="F6396" i="11"/>
  <c r="E6396" i="11"/>
  <c r="C6396" i="11"/>
  <c r="F641" i="11"/>
  <c r="E641" i="11"/>
  <c r="C641" i="11"/>
  <c r="G6395" i="11"/>
  <c r="F6395" i="11"/>
  <c r="E6395" i="11"/>
  <c r="C6395" i="11"/>
  <c r="F640" i="11"/>
  <c r="E640" i="11"/>
  <c r="C640" i="11"/>
  <c r="G5435" i="11"/>
  <c r="F5435" i="11"/>
  <c r="E5435" i="11"/>
  <c r="C5435" i="11"/>
  <c r="F235" i="11"/>
  <c r="E235" i="11"/>
  <c r="C235" i="11"/>
  <c r="G6394" i="11"/>
  <c r="F6394" i="11"/>
  <c r="E6394" i="11"/>
  <c r="C6394" i="11"/>
  <c r="F639" i="11"/>
  <c r="E639" i="11"/>
  <c r="C639" i="11"/>
  <c r="G5434" i="11"/>
  <c r="F5434" i="11"/>
  <c r="E5434" i="11"/>
  <c r="C5434" i="11"/>
  <c r="F234" i="11"/>
  <c r="E234" i="11"/>
  <c r="C234" i="11"/>
  <c r="G6393" i="11"/>
  <c r="F6393" i="11"/>
  <c r="E6393" i="11"/>
  <c r="C6393" i="11"/>
  <c r="F638" i="11"/>
  <c r="E638" i="11"/>
  <c r="C638" i="11"/>
  <c r="G5433" i="11"/>
  <c r="F5433" i="11"/>
  <c r="E5433" i="11"/>
  <c r="C5433" i="11"/>
  <c r="F233" i="11"/>
  <c r="E233" i="11"/>
  <c r="C233" i="11"/>
  <c r="G6392" i="11"/>
  <c r="F6392" i="11"/>
  <c r="E6392" i="11"/>
  <c r="C6392" i="11"/>
  <c r="F637" i="11"/>
  <c r="E637" i="11"/>
  <c r="C637" i="11"/>
  <c r="G6391" i="11"/>
  <c r="F6391" i="11"/>
  <c r="E6391" i="11"/>
  <c r="C6391" i="11"/>
  <c r="F1644" i="11"/>
  <c r="E1644" i="11"/>
  <c r="C1644" i="11"/>
  <c r="G5329" i="11"/>
  <c r="F5329" i="11"/>
  <c r="E5329" i="11"/>
  <c r="C5329" i="11"/>
  <c r="F1643" i="11"/>
  <c r="E1643" i="11"/>
  <c r="C1643" i="11"/>
  <c r="G6390" i="11"/>
  <c r="F6390" i="11"/>
  <c r="E6390" i="11"/>
  <c r="C6390" i="11"/>
  <c r="F636" i="11"/>
  <c r="E636" i="11"/>
  <c r="C636" i="11"/>
  <c r="G6389" i="11"/>
  <c r="F6389" i="11"/>
  <c r="E6389" i="11"/>
  <c r="C6389" i="11"/>
  <c r="F635" i="11"/>
  <c r="E635" i="11"/>
  <c r="C635" i="11"/>
  <c r="G6388" i="11"/>
  <c r="F6388" i="11"/>
  <c r="E6388" i="11"/>
  <c r="C6388" i="11"/>
  <c r="F634" i="11"/>
  <c r="E634" i="11"/>
  <c r="C634" i="11"/>
  <c r="G6387" i="11"/>
  <c r="F6387" i="11"/>
  <c r="E6387" i="11"/>
  <c r="C6387" i="11"/>
  <c r="F633" i="11"/>
  <c r="E633" i="11"/>
  <c r="C633" i="11"/>
  <c r="G6386" i="11"/>
  <c r="F6386" i="11"/>
  <c r="E6386" i="11"/>
  <c r="C6386" i="11"/>
  <c r="F1642" i="11"/>
  <c r="E1642" i="11"/>
  <c r="C1642" i="11"/>
  <c r="G6385" i="11"/>
  <c r="F6385" i="11"/>
  <c r="E6385" i="11"/>
  <c r="C6385" i="11"/>
  <c r="F1641" i="11"/>
  <c r="E1641" i="11"/>
  <c r="C1641" i="11"/>
  <c r="G6384" i="11"/>
  <c r="F6384" i="11"/>
  <c r="E6384" i="11"/>
  <c r="C6384" i="11"/>
  <c r="F1640" i="11"/>
  <c r="E1640" i="11"/>
  <c r="C1640" i="11"/>
  <c r="G6383" i="11"/>
  <c r="F6383" i="11"/>
  <c r="E6383" i="11"/>
  <c r="C6383" i="11"/>
  <c r="F632" i="11"/>
  <c r="E632" i="11"/>
  <c r="C632" i="11"/>
  <c r="G6382" i="11"/>
  <c r="F6382" i="11"/>
  <c r="E6382" i="11"/>
  <c r="C6382" i="11"/>
  <c r="F631" i="11"/>
  <c r="E631" i="11"/>
  <c r="C631" i="11"/>
  <c r="G6381" i="11"/>
  <c r="F6381" i="11"/>
  <c r="E6381" i="11"/>
  <c r="C6381" i="11"/>
  <c r="F1639" i="11"/>
  <c r="E1639" i="11"/>
  <c r="C1639" i="11"/>
  <c r="F630" i="11"/>
  <c r="E630" i="11"/>
  <c r="C630" i="11"/>
  <c r="G6380" i="11"/>
  <c r="F6380" i="11"/>
  <c r="E6380" i="11"/>
  <c r="C6380" i="11"/>
  <c r="F1638" i="11"/>
  <c r="E1638" i="11"/>
  <c r="C1638" i="11"/>
  <c r="F629" i="11"/>
  <c r="E629" i="11"/>
  <c r="C629" i="11"/>
  <c r="G5328" i="11"/>
  <c r="F5328" i="11"/>
  <c r="E5328" i="11"/>
  <c r="C5328" i="11"/>
  <c r="F355" i="11"/>
  <c r="E355" i="11"/>
  <c r="C355" i="11"/>
  <c r="G5935" i="11"/>
  <c r="F5935" i="11"/>
  <c r="E5935" i="11"/>
  <c r="C5935" i="11"/>
  <c r="F1637" i="11"/>
  <c r="E1637" i="11"/>
  <c r="C1637" i="11"/>
  <c r="G5934" i="11"/>
  <c r="F5934" i="11"/>
  <c r="E5934" i="11"/>
  <c r="C5934" i="11"/>
  <c r="F1636" i="11"/>
  <c r="E1636" i="11"/>
  <c r="C1636" i="11"/>
  <c r="G5933" i="11"/>
  <c r="F5933" i="11"/>
  <c r="E5933" i="11"/>
  <c r="C5933" i="11"/>
  <c r="F1635" i="11"/>
  <c r="E1635" i="11"/>
  <c r="C1635" i="11"/>
  <c r="G5932" i="11"/>
  <c r="F5932" i="11"/>
  <c r="E5932" i="11"/>
  <c r="C5932" i="11"/>
  <c r="F1634" i="11"/>
  <c r="E1634" i="11"/>
  <c r="C1634" i="11"/>
  <c r="G5931" i="11"/>
  <c r="F5931" i="11"/>
  <c r="E5931" i="11"/>
  <c r="C5931" i="11"/>
  <c r="F1633" i="11"/>
  <c r="E1633" i="11"/>
  <c r="C1633" i="11"/>
  <c r="G5930" i="11"/>
  <c r="F5930" i="11"/>
  <c r="E5930" i="11"/>
  <c r="C5930" i="11"/>
  <c r="F1632" i="11"/>
  <c r="E1632" i="11"/>
  <c r="C1632" i="11"/>
  <c r="G5929" i="11"/>
  <c r="F5929" i="11"/>
  <c r="E5929" i="11"/>
  <c r="C5929" i="11"/>
  <c r="F1631" i="11"/>
  <c r="E1631" i="11"/>
  <c r="C1631" i="11"/>
  <c r="G5928" i="11"/>
  <c r="F5928" i="11"/>
  <c r="E5928" i="11"/>
  <c r="C5928" i="11"/>
  <c r="F1630" i="11"/>
  <c r="E1630" i="11"/>
  <c r="C1630" i="11"/>
  <c r="G5927" i="11"/>
  <c r="F5927" i="11"/>
  <c r="E5927" i="11"/>
  <c r="C5927" i="11"/>
  <c r="F1629" i="11"/>
  <c r="E1629" i="11"/>
  <c r="C1629" i="11"/>
  <c r="G5926" i="11"/>
  <c r="F5926" i="11"/>
  <c r="E5926" i="11"/>
  <c r="C5926" i="11"/>
  <c r="F1628" i="11"/>
  <c r="E1628" i="11"/>
  <c r="C1628" i="11"/>
  <c r="G5925" i="11"/>
  <c r="F5925" i="11"/>
  <c r="E5925" i="11"/>
  <c r="C5925" i="11"/>
  <c r="F1627" i="11"/>
  <c r="E1627" i="11"/>
  <c r="C1627" i="11"/>
  <c r="G5924" i="11"/>
  <c r="F5924" i="11"/>
  <c r="E5924" i="11"/>
  <c r="C5924" i="11"/>
  <c r="F1626" i="11"/>
  <c r="E1626" i="11"/>
  <c r="C1626" i="11"/>
  <c r="G5923" i="11"/>
  <c r="F5923" i="11"/>
  <c r="E5923" i="11"/>
  <c r="C5923" i="11"/>
  <c r="F1625" i="11"/>
  <c r="E1625" i="11"/>
  <c r="C1625" i="11"/>
  <c r="G5922" i="11"/>
  <c r="F5922" i="11"/>
  <c r="E5922" i="11"/>
  <c r="C5922" i="11"/>
  <c r="F1624" i="11"/>
  <c r="E1624" i="11"/>
  <c r="C1624" i="11"/>
  <c r="G5921" i="11"/>
  <c r="F5921" i="11"/>
  <c r="E5921" i="11"/>
  <c r="C5921" i="11"/>
  <c r="F1623" i="11"/>
  <c r="E1623" i="11"/>
  <c r="C1623" i="11"/>
  <c r="G5920" i="11"/>
  <c r="F5920" i="11"/>
  <c r="E5920" i="11"/>
  <c r="C5920" i="11"/>
  <c r="F1622" i="11"/>
  <c r="E1622" i="11"/>
  <c r="C1622" i="11"/>
  <c r="G5327" i="11"/>
  <c r="F5327" i="11"/>
  <c r="E5327" i="11"/>
  <c r="C5327" i="11"/>
  <c r="F1621" i="11"/>
  <c r="E1621" i="11"/>
  <c r="C1621" i="11"/>
  <c r="F354" i="11"/>
  <c r="E354" i="11"/>
  <c r="C354" i="11"/>
  <c r="G5919" i="11"/>
  <c r="F5919" i="11"/>
  <c r="E5919" i="11"/>
  <c r="C5919" i="11"/>
  <c r="F1620" i="11"/>
  <c r="E1620" i="11"/>
  <c r="C1620" i="11"/>
  <c r="G5918" i="11"/>
  <c r="F5918" i="11"/>
  <c r="E5918" i="11"/>
  <c r="C5918" i="11"/>
  <c r="F1619" i="11"/>
  <c r="E1619" i="11"/>
  <c r="C1619" i="11"/>
  <c r="G5917" i="11"/>
  <c r="F5917" i="11"/>
  <c r="E5917" i="11"/>
  <c r="C5917" i="11"/>
  <c r="F1618" i="11"/>
  <c r="E1618" i="11"/>
  <c r="C1618" i="11"/>
  <c r="G5916" i="11"/>
  <c r="F5916" i="11"/>
  <c r="E5916" i="11"/>
  <c r="C5916" i="11"/>
  <c r="F1617" i="11"/>
  <c r="E1617" i="11"/>
  <c r="C1617" i="11"/>
  <c r="G5915" i="11"/>
  <c r="F5915" i="11"/>
  <c r="E5915" i="11"/>
  <c r="C5915" i="11"/>
  <c r="F1616" i="11"/>
  <c r="E1616" i="11"/>
  <c r="C1616" i="11"/>
  <c r="G5326" i="11"/>
  <c r="F5326" i="11"/>
  <c r="E5326" i="11"/>
  <c r="C5326" i="11"/>
  <c r="F353" i="11"/>
  <c r="E353" i="11"/>
  <c r="C353" i="11"/>
  <c r="G5914" i="11"/>
  <c r="F5914" i="11"/>
  <c r="E5914" i="11"/>
  <c r="C5914" i="11"/>
  <c r="F1615" i="11"/>
  <c r="E1615" i="11"/>
  <c r="C1615" i="11"/>
  <c r="G5913" i="11"/>
  <c r="F5913" i="11"/>
  <c r="E5913" i="11"/>
  <c r="C5913" i="11"/>
  <c r="F1614" i="11"/>
  <c r="E1614" i="11"/>
  <c r="C1614" i="11"/>
  <c r="G5912" i="11"/>
  <c r="F5912" i="11"/>
  <c r="E5912" i="11"/>
  <c r="C5912" i="11"/>
  <c r="F1613" i="11"/>
  <c r="E1613" i="11"/>
  <c r="C1613" i="11"/>
  <c r="G5911" i="11"/>
  <c r="F5911" i="11"/>
  <c r="E5911" i="11"/>
  <c r="C5911" i="11"/>
  <c r="F1612" i="11"/>
  <c r="E1612" i="11"/>
  <c r="C1612" i="11"/>
  <c r="G5910" i="11"/>
  <c r="F5910" i="11"/>
  <c r="E5910" i="11"/>
  <c r="C5910" i="11"/>
  <c r="F1611" i="11"/>
  <c r="E1611" i="11"/>
  <c r="C1611" i="11"/>
  <c r="G5325" i="11"/>
  <c r="F5325" i="11"/>
  <c r="E5325" i="11"/>
  <c r="C5325" i="11"/>
  <c r="F352" i="11"/>
  <c r="E352" i="11"/>
  <c r="C352" i="11"/>
  <c r="G5909" i="11"/>
  <c r="F5909" i="11"/>
  <c r="E5909" i="11"/>
  <c r="C5909" i="11"/>
  <c r="F1610" i="11"/>
  <c r="E1610" i="11"/>
  <c r="C1610" i="11"/>
  <c r="G5908" i="11"/>
  <c r="F5908" i="11"/>
  <c r="E5908" i="11"/>
  <c r="C5908" i="11"/>
  <c r="F1609" i="11"/>
  <c r="E1609" i="11"/>
  <c r="C1609" i="11"/>
  <c r="F628" i="11"/>
  <c r="E628" i="11"/>
  <c r="C628" i="11"/>
  <c r="G5432" i="11"/>
  <c r="F5432" i="11"/>
  <c r="E5432" i="11"/>
  <c r="C5432" i="11"/>
  <c r="F232" i="11"/>
  <c r="E232" i="11"/>
  <c r="C232" i="11"/>
  <c r="G6379" i="11"/>
  <c r="F6379" i="11"/>
  <c r="E6379" i="11"/>
  <c r="C6379" i="11"/>
  <c r="F1608" i="11"/>
  <c r="E1608" i="11"/>
  <c r="C1608" i="11"/>
  <c r="G5431" i="11"/>
  <c r="F5431" i="11"/>
  <c r="E5431" i="11"/>
  <c r="C5431" i="11"/>
  <c r="F231" i="11"/>
  <c r="E231" i="11"/>
  <c r="C231" i="11"/>
  <c r="G6378" i="11"/>
  <c r="F6378" i="11"/>
  <c r="E6378" i="11"/>
  <c r="C6378" i="11"/>
  <c r="F627" i="11"/>
  <c r="E627" i="11"/>
  <c r="C627" i="11"/>
  <c r="G6377" i="11"/>
  <c r="F6377" i="11"/>
  <c r="E6377" i="11"/>
  <c r="C6377" i="11"/>
  <c r="F626" i="11"/>
  <c r="E626" i="11"/>
  <c r="C626" i="11"/>
  <c r="G6376" i="11"/>
  <c r="F6376" i="11"/>
  <c r="E6376" i="11"/>
  <c r="C6376" i="11"/>
  <c r="F1607" i="11"/>
  <c r="E1607" i="11"/>
  <c r="C1607" i="11"/>
  <c r="F625" i="11"/>
  <c r="E625" i="11"/>
  <c r="C625" i="11"/>
  <c r="G6375" i="11"/>
  <c r="F6375" i="11"/>
  <c r="E6375" i="11"/>
  <c r="C6375" i="11"/>
  <c r="F1606" i="11"/>
  <c r="E1606" i="11"/>
  <c r="C1606" i="11"/>
  <c r="F624" i="11"/>
  <c r="E624" i="11"/>
  <c r="C624" i="11"/>
  <c r="G5430" i="11"/>
  <c r="F5430" i="11"/>
  <c r="E5430" i="11"/>
  <c r="C5430" i="11"/>
  <c r="F230" i="11"/>
  <c r="E230" i="11"/>
  <c r="C230" i="11"/>
  <c r="G6374" i="11"/>
  <c r="F6374" i="11"/>
  <c r="E6374" i="11"/>
  <c r="C6374" i="11"/>
  <c r="F1605" i="11"/>
  <c r="E1605" i="11"/>
  <c r="C1605" i="11"/>
  <c r="F623" i="11"/>
  <c r="E623" i="11"/>
  <c r="C623" i="11"/>
  <c r="G6373" i="11"/>
  <c r="F6373" i="11"/>
  <c r="E6373" i="11"/>
  <c r="C6373" i="11"/>
  <c r="F1604" i="11"/>
  <c r="E1604" i="11"/>
  <c r="C1604" i="11"/>
  <c r="G6372" i="11"/>
  <c r="F6372" i="11"/>
  <c r="E6372" i="11"/>
  <c r="C6372" i="11"/>
  <c r="F1603" i="11"/>
  <c r="E1603" i="11"/>
  <c r="C1603" i="11"/>
  <c r="G6371" i="11"/>
  <c r="F6371" i="11"/>
  <c r="E6371" i="11"/>
  <c r="C6371" i="11"/>
  <c r="F1602" i="11"/>
  <c r="E1602" i="11"/>
  <c r="C1602" i="11"/>
  <c r="G5429" i="11"/>
  <c r="F5429" i="11"/>
  <c r="E5429" i="11"/>
  <c r="C5429" i="11"/>
  <c r="F229" i="11"/>
  <c r="E229" i="11"/>
  <c r="C229" i="11"/>
  <c r="G6370" i="11"/>
  <c r="F6370" i="11"/>
  <c r="E6370" i="11"/>
  <c r="C6370" i="11"/>
  <c r="F622" i="11"/>
  <c r="E622" i="11"/>
  <c r="C622" i="11"/>
  <c r="G5907" i="11"/>
  <c r="F5907" i="11"/>
  <c r="E5907" i="11"/>
  <c r="C5907" i="11"/>
  <c r="F1601" i="11"/>
  <c r="E1601" i="11"/>
  <c r="C1601" i="11"/>
  <c r="G5906" i="11"/>
  <c r="F5906" i="11"/>
  <c r="E5906" i="11"/>
  <c r="C5906" i="11"/>
  <c r="F1600" i="11"/>
  <c r="E1600" i="11"/>
  <c r="C1600" i="11"/>
  <c r="G5905" i="11"/>
  <c r="F5905" i="11"/>
  <c r="E5905" i="11"/>
  <c r="C5905" i="11"/>
  <c r="F1599" i="11"/>
  <c r="E1599" i="11"/>
  <c r="C1599" i="11"/>
  <c r="G5324" i="11"/>
  <c r="F5324" i="11"/>
  <c r="E5324" i="11"/>
  <c r="C5324" i="11"/>
  <c r="F1598" i="11"/>
  <c r="E1598" i="11"/>
  <c r="C1598" i="11"/>
  <c r="G5904" i="11"/>
  <c r="F5904" i="11"/>
  <c r="E5904" i="11"/>
  <c r="C5904" i="11"/>
  <c r="F1597" i="11"/>
  <c r="E1597" i="11"/>
  <c r="C1597" i="11"/>
  <c r="G5903" i="11"/>
  <c r="F5903" i="11"/>
  <c r="E5903" i="11"/>
  <c r="C5903" i="11"/>
  <c r="F1596" i="11"/>
  <c r="E1596" i="11"/>
  <c r="C1596" i="11"/>
  <c r="G5902" i="11"/>
  <c r="F5902" i="11"/>
  <c r="E5902" i="11"/>
  <c r="C5902" i="11"/>
  <c r="F1595" i="11"/>
  <c r="E1595" i="11"/>
  <c r="C1595" i="11"/>
  <c r="G5901" i="11"/>
  <c r="F5901" i="11"/>
  <c r="E5901" i="11"/>
  <c r="C5901" i="11"/>
  <c r="F1594" i="11"/>
  <c r="E1594" i="11"/>
  <c r="C1594" i="11"/>
  <c r="G5900" i="11"/>
  <c r="F5900" i="11"/>
  <c r="E5900" i="11"/>
  <c r="C5900" i="11"/>
  <c r="F1593" i="11"/>
  <c r="E1593" i="11"/>
  <c r="C1593" i="11"/>
  <c r="G5899" i="11"/>
  <c r="F5899" i="11"/>
  <c r="E5899" i="11"/>
  <c r="C5899" i="11"/>
  <c r="F1592" i="11"/>
  <c r="E1592" i="11"/>
  <c r="C1592" i="11"/>
  <c r="G5898" i="11"/>
  <c r="F5898" i="11"/>
  <c r="E5898" i="11"/>
  <c r="C5898" i="11"/>
  <c r="F1591" i="11"/>
  <c r="E1591" i="11"/>
  <c r="C1591" i="11"/>
  <c r="G5897" i="11"/>
  <c r="F5897" i="11"/>
  <c r="E5897" i="11"/>
  <c r="C5897" i="11"/>
  <c r="F1590" i="11"/>
  <c r="E1590" i="11"/>
  <c r="C1590" i="11"/>
  <c r="G5896" i="11"/>
  <c r="F5896" i="11"/>
  <c r="E5896" i="11"/>
  <c r="C5896" i="11"/>
  <c r="F1589" i="11"/>
  <c r="E1589" i="11"/>
  <c r="C1589" i="11"/>
  <c r="G5895" i="11"/>
  <c r="F5895" i="11"/>
  <c r="E5895" i="11"/>
  <c r="C5895" i="11"/>
  <c r="F1588" i="11"/>
  <c r="E1588" i="11"/>
  <c r="C1588" i="11"/>
  <c r="G5894" i="11"/>
  <c r="F5894" i="11"/>
  <c r="E5894" i="11"/>
  <c r="C5894" i="11"/>
  <c r="F1587" i="11"/>
  <c r="E1587" i="11"/>
  <c r="C1587" i="11"/>
  <c r="G5893" i="11"/>
  <c r="F5893" i="11"/>
  <c r="E5893" i="11"/>
  <c r="C5893" i="11"/>
  <c r="F1586" i="11"/>
  <c r="E1586" i="11"/>
  <c r="C1586" i="11"/>
  <c r="G5892" i="11"/>
  <c r="F5892" i="11"/>
  <c r="E5892" i="11"/>
  <c r="C5892" i="11"/>
  <c r="F1585" i="11"/>
  <c r="E1585" i="11"/>
  <c r="C1585" i="11"/>
  <c r="G5891" i="11"/>
  <c r="F5891" i="11"/>
  <c r="E5891" i="11"/>
  <c r="C5891" i="11"/>
  <c r="F1584" i="11"/>
  <c r="E1584" i="11"/>
  <c r="C1584" i="11"/>
  <c r="G5890" i="11"/>
  <c r="F5890" i="11"/>
  <c r="E5890" i="11"/>
  <c r="C5890" i="11"/>
  <c r="F1583" i="11"/>
  <c r="E1583" i="11"/>
  <c r="C1583" i="11"/>
  <c r="G5889" i="11"/>
  <c r="F5889" i="11"/>
  <c r="E5889" i="11"/>
  <c r="C5889" i="11"/>
  <c r="F1582" i="11"/>
  <c r="E1582" i="11"/>
  <c r="C1582" i="11"/>
  <c r="G5888" i="11"/>
  <c r="F5888" i="11"/>
  <c r="E5888" i="11"/>
  <c r="C5888" i="11"/>
  <c r="F1581" i="11"/>
  <c r="E1581" i="11"/>
  <c r="C1581" i="11"/>
  <c r="G5887" i="11"/>
  <c r="F5887" i="11"/>
  <c r="E5887" i="11"/>
  <c r="C5887" i="11"/>
  <c r="F1580" i="11"/>
  <c r="E1580" i="11"/>
  <c r="C1580" i="11"/>
  <c r="G5886" i="11"/>
  <c r="F5886" i="11"/>
  <c r="E5886" i="11"/>
  <c r="C5886" i="11"/>
  <c r="F1579" i="11"/>
  <c r="E1579" i="11"/>
  <c r="C1579" i="11"/>
  <c r="G5885" i="11"/>
  <c r="F5885" i="11"/>
  <c r="E5885" i="11"/>
  <c r="C5885" i="11"/>
  <c r="F1578" i="11"/>
  <c r="E1578" i="11"/>
  <c r="C1578" i="11"/>
  <c r="G5884" i="11"/>
  <c r="F5884" i="11"/>
  <c r="E5884" i="11"/>
  <c r="C5884" i="11"/>
  <c r="F1577" i="11"/>
  <c r="E1577" i="11"/>
  <c r="C1577" i="11"/>
  <c r="G5883" i="11"/>
  <c r="F5883" i="11"/>
  <c r="E5883" i="11"/>
  <c r="C5883" i="11"/>
  <c r="F1576" i="11"/>
  <c r="E1576" i="11"/>
  <c r="C1576" i="11"/>
  <c r="G5882" i="11"/>
  <c r="F5882" i="11"/>
  <c r="E5882" i="11"/>
  <c r="C5882" i="11"/>
  <c r="F1575" i="11"/>
  <c r="E1575" i="11"/>
  <c r="C1575" i="11"/>
  <c r="G5881" i="11"/>
  <c r="F5881" i="11"/>
  <c r="E5881" i="11"/>
  <c r="C5881" i="11"/>
  <c r="F1574" i="11"/>
  <c r="E1574" i="11"/>
  <c r="C1574" i="11"/>
  <c r="G5880" i="11"/>
  <c r="F5880" i="11"/>
  <c r="E5880" i="11"/>
  <c r="C5880" i="11"/>
  <c r="F1573" i="11"/>
  <c r="E1573" i="11"/>
  <c r="C1573" i="11"/>
  <c r="G5879" i="11"/>
  <c r="F5879" i="11"/>
  <c r="E5879" i="11"/>
  <c r="C5879" i="11"/>
  <c r="F1572" i="11"/>
  <c r="E1572" i="11"/>
  <c r="C1572" i="11"/>
  <c r="G5878" i="11"/>
  <c r="F5878" i="11"/>
  <c r="E5878" i="11"/>
  <c r="C5878" i="11"/>
  <c r="F1571" i="11"/>
  <c r="E1571" i="11"/>
  <c r="C1571" i="11"/>
  <c r="G5877" i="11"/>
  <c r="F5877" i="11"/>
  <c r="E5877" i="11"/>
  <c r="C5877" i="11"/>
  <c r="F1570" i="11"/>
  <c r="E1570" i="11"/>
  <c r="C1570" i="11"/>
  <c r="G5876" i="11"/>
  <c r="F5876" i="11"/>
  <c r="E5876" i="11"/>
  <c r="C5876" i="11"/>
  <c r="F1569" i="11"/>
  <c r="E1569" i="11"/>
  <c r="C1569" i="11"/>
  <c r="G5875" i="11"/>
  <c r="F5875" i="11"/>
  <c r="E5875" i="11"/>
  <c r="C5875" i="11"/>
  <c r="F1568" i="11"/>
  <c r="E1568" i="11"/>
  <c r="C1568" i="11"/>
  <c r="G5874" i="11"/>
  <c r="F5874" i="11"/>
  <c r="E5874" i="11"/>
  <c r="C5874" i="11"/>
  <c r="F1567" i="11"/>
  <c r="E1567" i="11"/>
  <c r="C1567" i="11"/>
  <c r="G5873" i="11"/>
  <c r="F5873" i="11"/>
  <c r="E5873" i="11"/>
  <c r="C5873" i="11"/>
  <c r="F1566" i="11"/>
  <c r="E1566" i="11"/>
  <c r="C1566" i="11"/>
  <c r="G5872" i="11"/>
  <c r="F5872" i="11"/>
  <c r="E5872" i="11"/>
  <c r="C5872" i="11"/>
  <c r="F1565" i="11"/>
  <c r="E1565" i="11"/>
  <c r="C1565" i="11"/>
  <c r="G5871" i="11"/>
  <c r="F5871" i="11"/>
  <c r="E5871" i="11"/>
  <c r="C5871" i="11"/>
  <c r="F1564" i="11"/>
  <c r="E1564" i="11"/>
  <c r="C1564" i="11"/>
  <c r="G5870" i="11"/>
  <c r="F5870" i="11"/>
  <c r="E5870" i="11"/>
  <c r="C5870" i="11"/>
  <c r="F1563" i="11"/>
  <c r="E1563" i="11"/>
  <c r="C1563" i="11"/>
  <c r="G5869" i="11"/>
  <c r="F5869" i="11"/>
  <c r="E5869" i="11"/>
  <c r="C5869" i="11"/>
  <c r="F1562" i="11"/>
  <c r="E1562" i="11"/>
  <c r="C1562" i="11"/>
  <c r="G5868" i="11"/>
  <c r="F5868" i="11"/>
  <c r="E5868" i="11"/>
  <c r="C5868" i="11"/>
  <c r="F1561" i="11"/>
  <c r="E1561" i="11"/>
  <c r="C1561" i="11"/>
  <c r="G5323" i="11"/>
  <c r="F5323" i="11"/>
  <c r="E5323" i="11"/>
  <c r="C5323" i="11"/>
  <c r="F351" i="11"/>
  <c r="E351" i="11"/>
  <c r="C351" i="11"/>
  <c r="G6369" i="11"/>
  <c r="F6369" i="11"/>
  <c r="E6369" i="11"/>
  <c r="C6369" i="11"/>
  <c r="F621" i="11"/>
  <c r="E621" i="11"/>
  <c r="C621" i="11"/>
  <c r="G6368" i="11"/>
  <c r="F6368" i="11"/>
  <c r="E6368" i="11"/>
  <c r="C6368" i="11"/>
  <c r="F620" i="11"/>
  <c r="E620" i="11"/>
  <c r="C620" i="11"/>
  <c r="G6367" i="11"/>
  <c r="F6367" i="11"/>
  <c r="E6367" i="11"/>
  <c r="C6367" i="11"/>
  <c r="F619" i="11"/>
  <c r="E619" i="11"/>
  <c r="C619" i="11"/>
  <c r="G5322" i="11"/>
  <c r="F5322" i="11"/>
  <c r="E5322" i="11"/>
  <c r="C5322" i="11"/>
  <c r="F1560" i="11"/>
  <c r="E1560" i="11"/>
  <c r="C1560" i="11"/>
  <c r="G5321" i="11"/>
  <c r="F5321" i="11"/>
  <c r="E5321" i="11"/>
  <c r="C5321" i="11"/>
  <c r="F350" i="11"/>
  <c r="E350" i="11"/>
  <c r="C350" i="11"/>
  <c r="G6366" i="11"/>
  <c r="F6366" i="11"/>
  <c r="E6366" i="11"/>
  <c r="C6366" i="11"/>
  <c r="F618" i="11"/>
  <c r="E618" i="11"/>
  <c r="C618" i="11"/>
  <c r="G6365" i="11"/>
  <c r="F6365" i="11"/>
  <c r="E6365" i="11"/>
  <c r="C6365" i="11"/>
  <c r="F617" i="11"/>
  <c r="E617" i="11"/>
  <c r="C617" i="11"/>
  <c r="G6364" i="11"/>
  <c r="F6364" i="11"/>
  <c r="E6364" i="11"/>
  <c r="C6364" i="11"/>
  <c r="F1559" i="11"/>
  <c r="E1559" i="11"/>
  <c r="C1559" i="11"/>
  <c r="F616" i="11"/>
  <c r="E616" i="11"/>
  <c r="C616" i="11"/>
  <c r="G5428" i="11"/>
  <c r="F5428" i="11"/>
  <c r="E5428" i="11"/>
  <c r="C5428" i="11"/>
  <c r="F228" i="11"/>
  <c r="E228" i="11"/>
  <c r="C228" i="11"/>
  <c r="G5320" i="11"/>
  <c r="F5320" i="11"/>
  <c r="E5320" i="11"/>
  <c r="C5320" i="11"/>
  <c r="F349" i="11"/>
  <c r="E349" i="11"/>
  <c r="C349" i="11"/>
  <c r="G5319" i="11"/>
  <c r="F5319" i="11"/>
  <c r="E5319" i="11"/>
  <c r="C5319" i="11"/>
  <c r="F348" i="11"/>
  <c r="E348" i="11"/>
  <c r="C348" i="11"/>
  <c r="G6363" i="11"/>
  <c r="F6363" i="11"/>
  <c r="E6363" i="11"/>
  <c r="C6363" i="11"/>
  <c r="F1558" i="11"/>
  <c r="E1558" i="11"/>
  <c r="C1558" i="11"/>
  <c r="G6362" i="11"/>
  <c r="F6362" i="11"/>
  <c r="E6362" i="11"/>
  <c r="C6362" i="11"/>
  <c r="F1557" i="11"/>
  <c r="E1557" i="11"/>
  <c r="C1557" i="11"/>
  <c r="G6361" i="11"/>
  <c r="F6361" i="11"/>
  <c r="E6361" i="11"/>
  <c r="C6361" i="11"/>
  <c r="F1556" i="11"/>
  <c r="E1556" i="11"/>
  <c r="C1556" i="11"/>
  <c r="G6360" i="11"/>
  <c r="F6360" i="11"/>
  <c r="E6360" i="11"/>
  <c r="C6360" i="11"/>
  <c r="F1555" i="11"/>
  <c r="E1555" i="11"/>
  <c r="C1555" i="11"/>
  <c r="G6359" i="11"/>
  <c r="F6359" i="11"/>
  <c r="E6359" i="11"/>
  <c r="C6359" i="11"/>
  <c r="F615" i="11"/>
  <c r="E615" i="11"/>
  <c r="C615" i="11"/>
  <c r="G6358" i="11"/>
  <c r="F6358" i="11"/>
  <c r="E6358" i="11"/>
  <c r="C6358" i="11"/>
  <c r="F1554" i="11"/>
  <c r="E1554" i="11"/>
  <c r="C1554" i="11"/>
  <c r="G6357" i="11"/>
  <c r="F6357" i="11"/>
  <c r="E6357" i="11"/>
  <c r="C6357" i="11"/>
  <c r="F1553" i="11"/>
  <c r="E1553" i="11"/>
  <c r="C1553" i="11"/>
  <c r="F614" i="11"/>
  <c r="E614" i="11"/>
  <c r="C614" i="11"/>
  <c r="G6356" i="11"/>
  <c r="F6356" i="11"/>
  <c r="E6356" i="11"/>
  <c r="C6356" i="11"/>
  <c r="F1552" i="11"/>
  <c r="E1552" i="11"/>
  <c r="C1552" i="11"/>
  <c r="F613" i="11"/>
  <c r="E613" i="11"/>
  <c r="C613" i="11"/>
  <c r="G6355" i="11"/>
  <c r="F6355" i="11"/>
  <c r="E6355" i="11"/>
  <c r="C6355" i="11"/>
  <c r="F1551" i="11"/>
  <c r="E1551" i="11"/>
  <c r="C1551" i="11"/>
  <c r="F612" i="11"/>
  <c r="E612" i="11"/>
  <c r="C612" i="11"/>
  <c r="G6354" i="11"/>
  <c r="F6354" i="11"/>
  <c r="E6354" i="11"/>
  <c r="C6354" i="11"/>
  <c r="F611" i="11"/>
  <c r="E611" i="11"/>
  <c r="C611" i="11"/>
  <c r="G6353" i="11"/>
  <c r="F6353" i="11"/>
  <c r="E6353" i="11"/>
  <c r="C6353" i="11"/>
  <c r="F1550" i="11"/>
  <c r="E1550" i="11"/>
  <c r="C1550" i="11"/>
  <c r="G6352" i="11"/>
  <c r="F6352" i="11"/>
  <c r="E6352" i="11"/>
  <c r="C6352" i="11"/>
  <c r="F1549" i="11"/>
  <c r="E1549" i="11"/>
  <c r="C1549" i="11"/>
  <c r="F610" i="11"/>
  <c r="E610" i="11"/>
  <c r="C610" i="11"/>
  <c r="G6351" i="11"/>
  <c r="F6351" i="11"/>
  <c r="E6351" i="11"/>
  <c r="C6351" i="11"/>
  <c r="F609" i="11"/>
  <c r="E609" i="11"/>
  <c r="C609" i="11"/>
  <c r="G6350" i="11"/>
  <c r="F6350" i="11"/>
  <c r="E6350" i="11"/>
  <c r="C6350" i="11"/>
  <c r="F1548" i="11"/>
  <c r="E1548" i="11"/>
  <c r="C1548" i="11"/>
  <c r="F608" i="11"/>
  <c r="E608" i="11"/>
  <c r="C608" i="11"/>
  <c r="G6349" i="11"/>
  <c r="F6349" i="11"/>
  <c r="E6349" i="11"/>
  <c r="C6349" i="11"/>
  <c r="F607" i="11"/>
  <c r="E607" i="11"/>
  <c r="C607" i="11"/>
  <c r="G6348" i="11"/>
  <c r="F6348" i="11"/>
  <c r="E6348" i="11"/>
  <c r="C6348" i="11"/>
  <c r="F606" i="11"/>
  <c r="E606" i="11"/>
  <c r="C606" i="11"/>
  <c r="G6347" i="11"/>
  <c r="F6347" i="11"/>
  <c r="E6347" i="11"/>
  <c r="C6347" i="11"/>
  <c r="F605" i="11"/>
  <c r="E605" i="11"/>
  <c r="C605" i="11"/>
  <c r="G6346" i="11"/>
  <c r="F6346" i="11"/>
  <c r="E6346" i="11"/>
  <c r="C6346" i="11"/>
  <c r="F1547" i="11"/>
  <c r="E1547" i="11"/>
  <c r="C1547" i="11"/>
  <c r="F604" i="11"/>
  <c r="E604" i="11"/>
  <c r="C604" i="11"/>
  <c r="G6345" i="11"/>
  <c r="F6345" i="11"/>
  <c r="E6345" i="11"/>
  <c r="C6345" i="11"/>
  <c r="F603" i="11"/>
  <c r="E603" i="11"/>
  <c r="C603" i="11"/>
  <c r="G6344" i="11"/>
  <c r="F6344" i="11"/>
  <c r="E6344" i="11"/>
  <c r="C6344" i="11"/>
  <c r="F1546" i="11"/>
  <c r="E1546" i="11"/>
  <c r="C1546" i="11"/>
  <c r="G5867" i="11"/>
  <c r="F5867" i="11"/>
  <c r="E5867" i="11"/>
  <c r="C5867" i="11"/>
  <c r="F1545" i="11"/>
  <c r="E1545" i="11"/>
  <c r="C1545" i="11"/>
  <c r="G5866" i="11"/>
  <c r="F5866" i="11"/>
  <c r="E5866" i="11"/>
  <c r="C5866" i="11"/>
  <c r="F1544" i="11"/>
  <c r="E1544" i="11"/>
  <c r="C1544" i="11"/>
  <c r="G5865" i="11"/>
  <c r="F5865" i="11"/>
  <c r="E5865" i="11"/>
  <c r="C5865" i="11"/>
  <c r="F1543" i="11"/>
  <c r="E1543" i="11"/>
  <c r="C1543" i="11"/>
  <c r="G5864" i="11"/>
  <c r="F5864" i="11"/>
  <c r="E5864" i="11"/>
  <c r="C5864" i="11"/>
  <c r="F1542" i="11"/>
  <c r="E1542" i="11"/>
  <c r="C1542" i="11"/>
  <c r="G5863" i="11"/>
  <c r="F5863" i="11"/>
  <c r="E5863" i="11"/>
  <c r="C5863" i="11"/>
  <c r="F1541" i="11"/>
  <c r="E1541" i="11"/>
  <c r="C1541" i="11"/>
  <c r="G5862" i="11"/>
  <c r="F5862" i="11"/>
  <c r="E5862" i="11"/>
  <c r="C5862" i="11"/>
  <c r="F1540" i="11"/>
  <c r="E1540" i="11"/>
  <c r="C1540" i="11"/>
  <c r="G5861" i="11"/>
  <c r="F5861" i="11"/>
  <c r="E5861" i="11"/>
  <c r="C5861" i="11"/>
  <c r="F1539" i="11"/>
  <c r="E1539" i="11"/>
  <c r="C1539" i="11"/>
  <c r="G5860" i="11"/>
  <c r="F5860" i="11"/>
  <c r="E5860" i="11"/>
  <c r="C5860" i="11"/>
  <c r="F1538" i="11"/>
  <c r="E1538" i="11"/>
  <c r="C1538" i="11"/>
  <c r="G5859" i="11"/>
  <c r="F5859" i="11"/>
  <c r="E5859" i="11"/>
  <c r="C5859" i="11"/>
  <c r="F1537" i="11"/>
  <c r="E1537" i="11"/>
  <c r="C1537" i="11"/>
  <c r="G5858" i="11"/>
  <c r="F5858" i="11"/>
  <c r="E5858" i="11"/>
  <c r="C5858" i="11"/>
  <c r="F1536" i="11"/>
  <c r="E1536" i="11"/>
  <c r="C1536" i="11"/>
  <c r="G5857" i="11"/>
  <c r="F5857" i="11"/>
  <c r="E5857" i="11"/>
  <c r="C5857" i="11"/>
  <c r="F1535" i="11"/>
  <c r="E1535" i="11"/>
  <c r="C1535" i="11"/>
  <c r="G5856" i="11"/>
  <c r="F5856" i="11"/>
  <c r="E5856" i="11"/>
  <c r="C5856" i="11"/>
  <c r="F1534" i="11"/>
  <c r="E1534" i="11"/>
  <c r="C1534" i="11"/>
  <c r="G5855" i="11"/>
  <c r="F5855" i="11"/>
  <c r="E5855" i="11"/>
  <c r="C5855" i="11"/>
  <c r="F1533" i="11"/>
  <c r="E1533" i="11"/>
  <c r="C1533" i="11"/>
  <c r="G5854" i="11"/>
  <c r="F5854" i="11"/>
  <c r="E5854" i="11"/>
  <c r="C5854" i="11"/>
  <c r="F1532" i="11"/>
  <c r="E1532" i="11"/>
  <c r="C1532" i="11"/>
  <c r="G5853" i="11"/>
  <c r="F5853" i="11"/>
  <c r="E5853" i="11"/>
  <c r="C5853" i="11"/>
  <c r="F1531" i="11"/>
  <c r="E1531" i="11"/>
  <c r="C1531" i="11"/>
  <c r="G5852" i="11"/>
  <c r="F5852" i="11"/>
  <c r="E5852" i="11"/>
  <c r="C5852" i="11"/>
  <c r="F1530" i="11"/>
  <c r="E1530" i="11"/>
  <c r="C1530" i="11"/>
  <c r="G5851" i="11"/>
  <c r="F5851" i="11"/>
  <c r="E5851" i="11"/>
  <c r="C5851" i="11"/>
  <c r="F1529" i="11"/>
  <c r="E1529" i="11"/>
  <c r="C1529" i="11"/>
  <c r="G5850" i="11"/>
  <c r="F5850" i="11"/>
  <c r="E5850" i="11"/>
  <c r="C5850" i="11"/>
  <c r="F1528" i="11"/>
  <c r="E1528" i="11"/>
  <c r="C1528" i="11"/>
  <c r="G5849" i="11"/>
  <c r="F5849" i="11"/>
  <c r="E5849" i="11"/>
  <c r="C5849" i="11"/>
  <c r="F1527" i="11"/>
  <c r="E1527" i="11"/>
  <c r="C1527" i="11"/>
  <c r="G5848" i="11"/>
  <c r="F5848" i="11"/>
  <c r="E5848" i="11"/>
  <c r="C5848" i="11"/>
  <c r="F1526" i="11"/>
  <c r="E1526" i="11"/>
  <c r="C1526" i="11"/>
  <c r="G5847" i="11"/>
  <c r="F5847" i="11"/>
  <c r="E5847" i="11"/>
  <c r="C5847" i="11"/>
  <c r="F1525" i="11"/>
  <c r="E1525" i="11"/>
  <c r="C1525" i="11"/>
  <c r="G5846" i="11"/>
  <c r="F5846" i="11"/>
  <c r="E5846" i="11"/>
  <c r="C5846" i="11"/>
  <c r="F1524" i="11"/>
  <c r="E1524" i="11"/>
  <c r="C1524" i="11"/>
  <c r="G6343" i="11"/>
  <c r="F6343" i="11"/>
  <c r="E6343" i="11"/>
  <c r="C6343" i="11"/>
  <c r="F1523" i="11"/>
  <c r="E1523" i="11"/>
  <c r="C1523" i="11"/>
  <c r="G6342" i="11"/>
  <c r="F6342" i="11"/>
  <c r="E6342" i="11"/>
  <c r="C6342" i="11"/>
  <c r="F1522" i="11"/>
  <c r="E1522" i="11"/>
  <c r="C1522" i="11"/>
  <c r="G5845" i="11"/>
  <c r="F5845" i="11"/>
  <c r="E5845" i="11"/>
  <c r="C5845" i="11"/>
  <c r="F1521" i="11"/>
  <c r="E1521" i="11"/>
  <c r="C1521" i="11"/>
  <c r="G5844" i="11"/>
  <c r="F5844" i="11"/>
  <c r="E5844" i="11"/>
  <c r="C5844" i="11"/>
  <c r="F1520" i="11"/>
  <c r="E1520" i="11"/>
  <c r="C1520" i="11"/>
  <c r="G6341" i="11"/>
  <c r="F6341" i="11"/>
  <c r="E6341" i="11"/>
  <c r="C6341" i="11"/>
  <c r="F602" i="11"/>
  <c r="E602" i="11"/>
  <c r="C602" i="11"/>
  <c r="G6340" i="11"/>
  <c r="F6340" i="11"/>
  <c r="E6340" i="11"/>
  <c r="C6340" i="11"/>
  <c r="F1519" i="11"/>
  <c r="E1519" i="11"/>
  <c r="C1519" i="11"/>
  <c r="G5843" i="11"/>
  <c r="F5843" i="11"/>
  <c r="E5843" i="11"/>
  <c r="C5843" i="11"/>
  <c r="F1518" i="11"/>
  <c r="E1518" i="11"/>
  <c r="C1518" i="11"/>
  <c r="F1517" i="11"/>
  <c r="E1517" i="11"/>
  <c r="C1517" i="11"/>
  <c r="G5842" i="11"/>
  <c r="F5842" i="11"/>
  <c r="E5842" i="11"/>
  <c r="C5842" i="11"/>
  <c r="F1516" i="11"/>
  <c r="E1516" i="11"/>
  <c r="C1516" i="11"/>
  <c r="G5841" i="11"/>
  <c r="F5841" i="11"/>
  <c r="E5841" i="11"/>
  <c r="C5841" i="11"/>
  <c r="F1515" i="11"/>
  <c r="E1515" i="11"/>
  <c r="C1515" i="11"/>
  <c r="G5840" i="11"/>
  <c r="F5840" i="11"/>
  <c r="E5840" i="11"/>
  <c r="C5840" i="11"/>
  <c r="F1514" i="11"/>
  <c r="E1514" i="11"/>
  <c r="C1514" i="11"/>
  <c r="G6339" i="11"/>
  <c r="F6339" i="11"/>
  <c r="E6339" i="11"/>
  <c r="C6339" i="11"/>
  <c r="F601" i="11"/>
  <c r="E601" i="11"/>
  <c r="C601" i="11"/>
  <c r="G5839" i="11"/>
  <c r="F5839" i="11"/>
  <c r="E5839" i="11"/>
  <c r="C5839" i="11"/>
  <c r="F1513" i="11"/>
  <c r="E1513" i="11"/>
  <c r="C1513" i="11"/>
  <c r="G5318" i="11"/>
  <c r="F5318" i="11"/>
  <c r="E5318" i="11"/>
  <c r="C5318" i="11"/>
  <c r="F347" i="11"/>
  <c r="E347" i="11"/>
  <c r="C347" i="11"/>
  <c r="G5838" i="11"/>
  <c r="F5838" i="11"/>
  <c r="E5838" i="11"/>
  <c r="C5838" i="11"/>
  <c r="F1512" i="11"/>
  <c r="E1512" i="11"/>
  <c r="C1512" i="11"/>
  <c r="G5317" i="11"/>
  <c r="F5317" i="11"/>
  <c r="E5317" i="11"/>
  <c r="C5317" i="11"/>
  <c r="F346" i="11"/>
  <c r="E346" i="11"/>
  <c r="C346" i="11"/>
  <c r="G5316" i="11"/>
  <c r="F5316" i="11"/>
  <c r="E5316" i="11"/>
  <c r="C5316" i="11"/>
  <c r="F600" i="11"/>
  <c r="E600" i="11"/>
  <c r="C600" i="11"/>
  <c r="F345" i="11"/>
  <c r="E345" i="11"/>
  <c r="C345" i="11"/>
  <c r="G6338" i="11"/>
  <c r="F6338" i="11"/>
  <c r="E6338" i="11"/>
  <c r="C6338" i="11"/>
  <c r="F1511" i="11"/>
  <c r="E1511" i="11"/>
  <c r="C1511" i="11"/>
  <c r="G5315" i="11"/>
  <c r="F5315" i="11"/>
  <c r="E5315" i="11"/>
  <c r="C5315" i="11"/>
  <c r="F344" i="11"/>
  <c r="E344" i="11"/>
  <c r="C344" i="11"/>
  <c r="G6337" i="11"/>
  <c r="F6337" i="11"/>
  <c r="E6337" i="11"/>
  <c r="C6337" i="11"/>
  <c r="F1510" i="11"/>
  <c r="E1510" i="11"/>
  <c r="C1510" i="11"/>
  <c r="G5837" i="11"/>
  <c r="F5837" i="11"/>
  <c r="E5837" i="11"/>
  <c r="C5837" i="11"/>
  <c r="F1509" i="11"/>
  <c r="E1509" i="11"/>
  <c r="C1509" i="11"/>
  <c r="G5836" i="11"/>
  <c r="F5836" i="11"/>
  <c r="E5836" i="11"/>
  <c r="C5836" i="11"/>
  <c r="F1508" i="11"/>
  <c r="E1508" i="11"/>
  <c r="C1508" i="11"/>
  <c r="G5835" i="11"/>
  <c r="F5835" i="11"/>
  <c r="E5835" i="11"/>
  <c r="C5835" i="11"/>
  <c r="F1507" i="11"/>
  <c r="E1507" i="11"/>
  <c r="C1507" i="11"/>
  <c r="G6336" i="11"/>
  <c r="F6336" i="11"/>
  <c r="E6336" i="11"/>
  <c r="C6336" i="11"/>
  <c r="F1506" i="11"/>
  <c r="E1506" i="11"/>
  <c r="C1506" i="11"/>
  <c r="G6335" i="11"/>
  <c r="F6335" i="11"/>
  <c r="E6335" i="11"/>
  <c r="C6335" i="11"/>
  <c r="F1505" i="11"/>
  <c r="E1505" i="11"/>
  <c r="C1505" i="11"/>
  <c r="G6334" i="11"/>
  <c r="F6334" i="11"/>
  <c r="E6334" i="11"/>
  <c r="C6334" i="11"/>
  <c r="F1504" i="11"/>
  <c r="E1504" i="11"/>
  <c r="C1504" i="11"/>
  <c r="G6333" i="11"/>
  <c r="F6333" i="11"/>
  <c r="E6333" i="11"/>
  <c r="C6333" i="11"/>
  <c r="F1503" i="11"/>
  <c r="E1503" i="11"/>
  <c r="C1503" i="11"/>
  <c r="G6332" i="11"/>
  <c r="F6332" i="11"/>
  <c r="E6332" i="11"/>
  <c r="C6332" i="11"/>
  <c r="F1502" i="11"/>
  <c r="E1502" i="11"/>
  <c r="C1502" i="11"/>
  <c r="G6331" i="11"/>
  <c r="F6331" i="11"/>
  <c r="E6331" i="11"/>
  <c r="C6331" i="11"/>
  <c r="F1501" i="11"/>
  <c r="E1501" i="11"/>
  <c r="C1501" i="11"/>
  <c r="G6330" i="11"/>
  <c r="F6330" i="11"/>
  <c r="E6330" i="11"/>
  <c r="C6330" i="11"/>
  <c r="F1500" i="11"/>
  <c r="E1500" i="11"/>
  <c r="C1500" i="11"/>
  <c r="G6329" i="11"/>
  <c r="F6329" i="11"/>
  <c r="E6329" i="11"/>
  <c r="C6329" i="11"/>
  <c r="F1499" i="11"/>
  <c r="E1499" i="11"/>
  <c r="C1499" i="11"/>
  <c r="G6328" i="11"/>
  <c r="F6328" i="11"/>
  <c r="E6328" i="11"/>
  <c r="C6328" i="11"/>
  <c r="F599" i="11"/>
  <c r="E599" i="11"/>
  <c r="C599" i="11"/>
  <c r="G6327" i="11"/>
  <c r="F6327" i="11"/>
  <c r="E6327" i="11"/>
  <c r="C6327" i="11"/>
  <c r="F598" i="11"/>
  <c r="E598" i="11"/>
  <c r="C598" i="11"/>
  <c r="G5314" i="11"/>
  <c r="F5314" i="11"/>
  <c r="E5314" i="11"/>
  <c r="C5314" i="11"/>
  <c r="F1498" i="11"/>
  <c r="E1498" i="11"/>
  <c r="C1498" i="11"/>
  <c r="G6326" i="11"/>
  <c r="F6326" i="11"/>
  <c r="E6326" i="11"/>
  <c r="C6326" i="11"/>
  <c r="F597" i="11"/>
  <c r="E597" i="11"/>
  <c r="C597" i="11"/>
  <c r="G6325" i="11"/>
  <c r="F6325" i="11"/>
  <c r="E6325" i="11"/>
  <c r="C6325" i="11"/>
  <c r="F1497" i="11"/>
  <c r="E1497" i="11"/>
  <c r="C1497" i="11"/>
  <c r="G6324" i="11"/>
  <c r="F6324" i="11"/>
  <c r="E6324" i="11"/>
  <c r="C6324" i="11"/>
  <c r="F1496" i="11"/>
  <c r="E1496" i="11"/>
  <c r="C1496" i="11"/>
  <c r="F596" i="11"/>
  <c r="E596" i="11"/>
  <c r="C596" i="11"/>
  <c r="G6323" i="11"/>
  <c r="F6323" i="11"/>
  <c r="E6323" i="11"/>
  <c r="C6323" i="11"/>
  <c r="F1495" i="11"/>
  <c r="E1495" i="11"/>
  <c r="C1495" i="11"/>
  <c r="G6322" i="11"/>
  <c r="F6322" i="11"/>
  <c r="E6322" i="11"/>
  <c r="C6322" i="11"/>
  <c r="F1494" i="11"/>
  <c r="E1494" i="11"/>
  <c r="C1494" i="11"/>
  <c r="G6321" i="11"/>
  <c r="F6321" i="11"/>
  <c r="E6321" i="11"/>
  <c r="C6321" i="11"/>
  <c r="F1493" i="11"/>
  <c r="E1493" i="11"/>
  <c r="C1493" i="11"/>
  <c r="G6320" i="11"/>
  <c r="F6320" i="11"/>
  <c r="E6320" i="11"/>
  <c r="C6320" i="11"/>
  <c r="F1492" i="11"/>
  <c r="E1492" i="11"/>
  <c r="C1492" i="11"/>
  <c r="G6319" i="11"/>
  <c r="F6319" i="11"/>
  <c r="E6319" i="11"/>
  <c r="C6319" i="11"/>
  <c r="F1491" i="11"/>
  <c r="E1491" i="11"/>
  <c r="C1491" i="11"/>
  <c r="G6318" i="11"/>
  <c r="F6318" i="11"/>
  <c r="E6318" i="11"/>
  <c r="C6318" i="11"/>
  <c r="F1490" i="11"/>
  <c r="E1490" i="11"/>
  <c r="C1490" i="11"/>
  <c r="G6317" i="11"/>
  <c r="F6317" i="11"/>
  <c r="E6317" i="11"/>
  <c r="C6317" i="11"/>
  <c r="F1489" i="11"/>
  <c r="E1489" i="11"/>
  <c r="C1489" i="11"/>
  <c r="G6316" i="11"/>
  <c r="F6316" i="11"/>
  <c r="E6316" i="11"/>
  <c r="C6316" i="11"/>
  <c r="F1488" i="11"/>
  <c r="E1488" i="11"/>
  <c r="C1488" i="11"/>
  <c r="G5834" i="11"/>
  <c r="F5834" i="11"/>
  <c r="E5834" i="11"/>
  <c r="C5834" i="11"/>
  <c r="F1487" i="11"/>
  <c r="E1487" i="11"/>
  <c r="C1487" i="11"/>
  <c r="F1486" i="11"/>
  <c r="E1486" i="11"/>
  <c r="C1486" i="11"/>
  <c r="G5833" i="11"/>
  <c r="F5833" i="11"/>
  <c r="E5833" i="11"/>
  <c r="C5833" i="11"/>
  <c r="F1485" i="11"/>
  <c r="E1485" i="11"/>
  <c r="C1485" i="11"/>
  <c r="G5427" i="11"/>
  <c r="F5427" i="11"/>
  <c r="E5427" i="11"/>
  <c r="C5427" i="11"/>
  <c r="F227" i="11"/>
  <c r="E227" i="11"/>
  <c r="C227" i="11"/>
  <c r="G5832" i="11"/>
  <c r="F5832" i="11"/>
  <c r="E5832" i="11"/>
  <c r="C5832" i="11"/>
  <c r="F1484" i="11"/>
  <c r="E1484" i="11"/>
  <c r="C1484" i="11"/>
  <c r="G5313" i="11"/>
  <c r="F5313" i="11"/>
  <c r="E5313" i="11"/>
  <c r="C5313" i="11"/>
  <c r="F1483" i="11"/>
  <c r="E1483" i="11"/>
  <c r="C1483" i="11"/>
  <c r="F343" i="11"/>
  <c r="E343" i="11"/>
  <c r="C343" i="11"/>
  <c r="G5312" i="11"/>
  <c r="F5312" i="11"/>
  <c r="E5312" i="11"/>
  <c r="C5312" i="11"/>
  <c r="F342" i="11"/>
  <c r="E342" i="11"/>
  <c r="C342" i="11"/>
  <c r="G6315" i="11"/>
  <c r="F6315" i="11"/>
  <c r="E6315" i="11"/>
  <c r="C6315" i="11"/>
  <c r="F1482" i="11"/>
  <c r="E1482" i="11"/>
  <c r="C1482" i="11"/>
  <c r="F595" i="11"/>
  <c r="E595" i="11"/>
  <c r="C595" i="11"/>
  <c r="G5831" i="11"/>
  <c r="F5831" i="11"/>
  <c r="E5831" i="11"/>
  <c r="C5831" i="11"/>
  <c r="F1481" i="11"/>
  <c r="E1481" i="11"/>
  <c r="C1481" i="11"/>
  <c r="G5830" i="11"/>
  <c r="F5830" i="11"/>
  <c r="E5830" i="11"/>
  <c r="C5830" i="11"/>
  <c r="F1480" i="11"/>
  <c r="E1480" i="11"/>
  <c r="C1480" i="11"/>
  <c r="G6314" i="11"/>
  <c r="F6314" i="11"/>
  <c r="E6314" i="11"/>
  <c r="C6314" i="11"/>
  <c r="F1479" i="11"/>
  <c r="E1479" i="11"/>
  <c r="C1479" i="11"/>
  <c r="F594" i="11"/>
  <c r="E594" i="11"/>
  <c r="C594" i="11"/>
  <c r="G5311" i="11"/>
  <c r="F5311" i="11"/>
  <c r="E5311" i="11"/>
  <c r="C5311" i="11"/>
  <c r="F341" i="11"/>
  <c r="E341" i="11"/>
  <c r="C341" i="11"/>
  <c r="G5310" i="11"/>
  <c r="F5310" i="11"/>
  <c r="E5310" i="11"/>
  <c r="C5310" i="11"/>
  <c r="F340" i="11"/>
  <c r="E340" i="11"/>
  <c r="C340" i="11"/>
  <c r="G6313" i="11"/>
  <c r="F6313" i="11"/>
  <c r="E6313" i="11"/>
  <c r="C6313" i="11"/>
  <c r="F1478" i="11"/>
  <c r="E1478" i="11"/>
  <c r="C1478" i="11"/>
  <c r="F593" i="11"/>
  <c r="E593" i="11"/>
  <c r="C593" i="11"/>
  <c r="G6312" i="11"/>
  <c r="F6312" i="11"/>
  <c r="E6312" i="11"/>
  <c r="C6312" i="11"/>
  <c r="F1477" i="11"/>
  <c r="E1477" i="11"/>
  <c r="C1477" i="11"/>
  <c r="F592" i="11"/>
  <c r="E592" i="11"/>
  <c r="C592" i="11"/>
  <c r="G6311" i="11"/>
  <c r="F6311" i="11"/>
  <c r="E6311" i="11"/>
  <c r="C6311" i="11"/>
  <c r="F1476" i="11"/>
  <c r="E1476" i="11"/>
  <c r="C1476" i="11"/>
  <c r="F591" i="11"/>
  <c r="E591" i="11"/>
  <c r="C591" i="11"/>
  <c r="G6310" i="11"/>
  <c r="F6310" i="11"/>
  <c r="E6310" i="11"/>
  <c r="C6310" i="11"/>
  <c r="F1475" i="11"/>
  <c r="E1475" i="11"/>
  <c r="C1475" i="11"/>
  <c r="G6309" i="11"/>
  <c r="F6309" i="11"/>
  <c r="E6309" i="11"/>
  <c r="C6309" i="11"/>
  <c r="F590" i="11"/>
  <c r="E590" i="11"/>
  <c r="C590" i="11"/>
  <c r="G5829" i="11"/>
  <c r="F5829" i="11"/>
  <c r="E5829" i="11"/>
  <c r="C5829" i="11"/>
  <c r="F1474" i="11"/>
  <c r="E1474" i="11"/>
  <c r="C1474" i="11"/>
  <c r="G5828" i="11"/>
  <c r="F5828" i="11"/>
  <c r="E5828" i="11"/>
  <c r="C5828" i="11"/>
  <c r="F1473" i="11"/>
  <c r="E1473" i="11"/>
  <c r="C1473" i="11"/>
  <c r="G6308" i="11"/>
  <c r="F6308" i="11"/>
  <c r="E6308" i="11"/>
  <c r="C6308" i="11"/>
  <c r="F589" i="11"/>
  <c r="E589" i="11"/>
  <c r="C589" i="11"/>
  <c r="G5827" i="11"/>
  <c r="F5827" i="11"/>
  <c r="E5827" i="11"/>
  <c r="C5827" i="11"/>
  <c r="F1472" i="11"/>
  <c r="E1472" i="11"/>
  <c r="C1472" i="11"/>
  <c r="G5826" i="11"/>
  <c r="F5826" i="11"/>
  <c r="E5826" i="11"/>
  <c r="C5826" i="11"/>
  <c r="F1471" i="11"/>
  <c r="E1471" i="11"/>
  <c r="C1471" i="11"/>
  <c r="G5426" i="11"/>
  <c r="F5426" i="11"/>
  <c r="E5426" i="11"/>
  <c r="C5426" i="11"/>
  <c r="F226" i="11"/>
  <c r="E226" i="11"/>
  <c r="C226" i="11"/>
  <c r="G5825" i="11"/>
  <c r="F5825" i="11"/>
  <c r="E5825" i="11"/>
  <c r="C5825" i="11"/>
  <c r="F1470" i="11"/>
  <c r="E1470" i="11"/>
  <c r="C1470" i="11"/>
  <c r="G6307" i="11"/>
  <c r="F6307" i="11"/>
  <c r="E6307" i="11"/>
  <c r="C6307" i="11"/>
  <c r="F588" i="11"/>
  <c r="E588" i="11"/>
  <c r="C588" i="11"/>
  <c r="G6306" i="11"/>
  <c r="F6306" i="11"/>
  <c r="E6306" i="11"/>
  <c r="C6306" i="11"/>
  <c r="F587" i="11"/>
  <c r="E587" i="11"/>
  <c r="C587" i="11"/>
  <c r="G5824" i="11"/>
  <c r="F5824" i="11"/>
  <c r="E5824" i="11"/>
  <c r="C5824" i="11"/>
  <c r="F1469" i="11"/>
  <c r="E1469" i="11"/>
  <c r="C1469" i="11"/>
  <c r="G5425" i="11"/>
  <c r="F5425" i="11"/>
  <c r="E5425" i="11"/>
  <c r="C5425" i="11"/>
  <c r="F225" i="11"/>
  <c r="E225" i="11"/>
  <c r="C225" i="11"/>
  <c r="G6305" i="11"/>
  <c r="F6305" i="11"/>
  <c r="E6305" i="11"/>
  <c r="C6305" i="11"/>
  <c r="F586" i="11"/>
  <c r="E586" i="11"/>
  <c r="C586" i="11"/>
  <c r="G6304" i="11"/>
  <c r="F6304" i="11"/>
  <c r="E6304" i="11"/>
  <c r="C6304" i="11"/>
  <c r="F585" i="11"/>
  <c r="E585" i="11"/>
  <c r="C585" i="11"/>
  <c r="G5823" i="11"/>
  <c r="F5823" i="11"/>
  <c r="E5823" i="11"/>
  <c r="C5823" i="11"/>
  <c r="F1468" i="11"/>
  <c r="E1468" i="11"/>
  <c r="C1468" i="11"/>
  <c r="G6303" i="11"/>
  <c r="F6303" i="11"/>
  <c r="E6303" i="11"/>
  <c r="C6303" i="11"/>
  <c r="F1467" i="11"/>
  <c r="E1467" i="11"/>
  <c r="C1467" i="11"/>
  <c r="G6302" i="11"/>
  <c r="F6302" i="11"/>
  <c r="E6302" i="11"/>
  <c r="C6302" i="11"/>
  <c r="F1466" i="11"/>
  <c r="E1466" i="11"/>
  <c r="C1466" i="11"/>
  <c r="G5822" i="11"/>
  <c r="F5822" i="11"/>
  <c r="E5822" i="11"/>
  <c r="C5822" i="11"/>
  <c r="F1465" i="11"/>
  <c r="E1465" i="11"/>
  <c r="C1465" i="11"/>
  <c r="G5821" i="11"/>
  <c r="F5821" i="11"/>
  <c r="E5821" i="11"/>
  <c r="C5821" i="11"/>
  <c r="F1464" i="11"/>
  <c r="E1464" i="11"/>
  <c r="C1464" i="11"/>
  <c r="G5820" i="11"/>
  <c r="F5820" i="11"/>
  <c r="E5820" i="11"/>
  <c r="C5820" i="11"/>
  <c r="F1463" i="11"/>
  <c r="E1463" i="11"/>
  <c r="C1463" i="11"/>
  <c r="G6301" i="11"/>
  <c r="F6301" i="11"/>
  <c r="E6301" i="11"/>
  <c r="C6301" i="11"/>
  <c r="F1462" i="11"/>
  <c r="E1462" i="11"/>
  <c r="C1462" i="11"/>
  <c r="G6300" i="11"/>
  <c r="F6300" i="11"/>
  <c r="E6300" i="11"/>
  <c r="C6300" i="11"/>
  <c r="F1461" i="11"/>
  <c r="E1461" i="11"/>
  <c r="C1461" i="11"/>
  <c r="G6299" i="11"/>
  <c r="F6299" i="11"/>
  <c r="E6299" i="11"/>
  <c r="C6299" i="11"/>
  <c r="F1460" i="11"/>
  <c r="E1460" i="11"/>
  <c r="C1460" i="11"/>
  <c r="G5424" i="11"/>
  <c r="F5424" i="11"/>
  <c r="E5424" i="11"/>
  <c r="C5424" i="11"/>
  <c r="F224" i="11"/>
  <c r="E224" i="11"/>
  <c r="C224" i="11"/>
  <c r="G5819" i="11"/>
  <c r="F5819" i="11"/>
  <c r="E5819" i="11"/>
  <c r="C5819" i="11"/>
  <c r="F1459" i="11"/>
  <c r="E1459" i="11"/>
  <c r="C1459" i="11"/>
  <c r="G6298" i="11"/>
  <c r="F6298" i="11"/>
  <c r="E6298" i="11"/>
  <c r="C6298" i="11"/>
  <c r="F1458" i="11"/>
  <c r="E1458" i="11"/>
  <c r="C1458" i="11"/>
  <c r="G6297" i="11"/>
  <c r="F6297" i="11"/>
  <c r="E6297" i="11"/>
  <c r="C6297" i="11"/>
  <c r="F584" i="11"/>
  <c r="E584" i="11"/>
  <c r="C584" i="11"/>
  <c r="G5423" i="11"/>
  <c r="F5423" i="11"/>
  <c r="E5423" i="11"/>
  <c r="C5423" i="11"/>
  <c r="F223" i="11"/>
  <c r="E223" i="11"/>
  <c r="C223" i="11"/>
  <c r="G6296" i="11"/>
  <c r="F6296" i="11"/>
  <c r="E6296" i="11"/>
  <c r="C6296" i="11"/>
  <c r="F583" i="11"/>
  <c r="E583" i="11"/>
  <c r="C583" i="11"/>
  <c r="G5818" i="11"/>
  <c r="F5818" i="11"/>
  <c r="E5818" i="11"/>
  <c r="C5818" i="11"/>
  <c r="F1457" i="11"/>
  <c r="E1457" i="11"/>
  <c r="C1457" i="11"/>
  <c r="G5309" i="11"/>
  <c r="F5309" i="11"/>
  <c r="E5309" i="11"/>
  <c r="C5309" i="11"/>
  <c r="F582" i="11"/>
  <c r="E582" i="11"/>
  <c r="C582" i="11"/>
  <c r="F339" i="11"/>
  <c r="E339" i="11"/>
  <c r="C339" i="11"/>
  <c r="G5308" i="11"/>
  <c r="F5308" i="11"/>
  <c r="E5308" i="11"/>
  <c r="C5308" i="11"/>
  <c r="F1456" i="11"/>
  <c r="E1456" i="11"/>
  <c r="C1456" i="11"/>
  <c r="F338" i="11"/>
  <c r="E338" i="11"/>
  <c r="C338" i="11"/>
  <c r="G5307" i="11"/>
  <c r="F5307" i="11"/>
  <c r="E5307" i="11"/>
  <c r="C5307" i="11"/>
  <c r="F1455" i="11"/>
  <c r="E1455" i="11"/>
  <c r="C1455" i="11"/>
  <c r="F337" i="11"/>
  <c r="E337" i="11"/>
  <c r="C337" i="11"/>
  <c r="G6295" i="11"/>
  <c r="F6295" i="11"/>
  <c r="E6295" i="11"/>
  <c r="C6295" i="11"/>
  <c r="F1454" i="11"/>
  <c r="E1454" i="11"/>
  <c r="C1454" i="11"/>
  <c r="F581" i="11"/>
  <c r="E581" i="11"/>
  <c r="C581" i="11"/>
  <c r="G6294" i="11"/>
  <c r="F6294" i="11"/>
  <c r="E6294" i="11"/>
  <c r="C6294" i="11"/>
  <c r="F580" i="11"/>
  <c r="E580" i="11"/>
  <c r="C580" i="11"/>
  <c r="G5817" i="11"/>
  <c r="F5817" i="11"/>
  <c r="E5817" i="11"/>
  <c r="C5817" i="11"/>
  <c r="F1453" i="11"/>
  <c r="E1453" i="11"/>
  <c r="C1453" i="11"/>
  <c r="G5816" i="11"/>
  <c r="F5816" i="11"/>
  <c r="E5816" i="11"/>
  <c r="C5816" i="11"/>
  <c r="F1452" i="11"/>
  <c r="E1452" i="11"/>
  <c r="C1452" i="11"/>
  <c r="F579" i="11"/>
  <c r="E579" i="11"/>
  <c r="C579" i="11"/>
  <c r="G6293" i="11"/>
  <c r="F6293" i="11"/>
  <c r="E6293" i="11"/>
  <c r="C6293" i="11"/>
  <c r="F578" i="11"/>
  <c r="E578" i="11"/>
  <c r="C578" i="11"/>
  <c r="G5815" i="11"/>
  <c r="F5815" i="11"/>
  <c r="E5815" i="11"/>
  <c r="C5815" i="11"/>
  <c r="F1451" i="11"/>
  <c r="E1451" i="11"/>
  <c r="C1451" i="11"/>
  <c r="G5422" i="11"/>
  <c r="F5422" i="11"/>
  <c r="E5422" i="11"/>
  <c r="C5422" i="11"/>
  <c r="F222" i="11"/>
  <c r="E222" i="11"/>
  <c r="C222" i="11"/>
  <c r="G5814" i="11"/>
  <c r="F5814" i="11"/>
  <c r="E5814" i="11"/>
  <c r="C5814" i="11"/>
  <c r="F1450" i="11"/>
  <c r="E1450" i="11"/>
  <c r="C1450" i="11"/>
  <c r="G6292" i="11"/>
  <c r="F6292" i="11"/>
  <c r="E6292" i="11"/>
  <c r="C6292" i="11"/>
  <c r="F1449" i="11"/>
  <c r="E1449" i="11"/>
  <c r="C1449" i="11"/>
  <c r="F577" i="11"/>
  <c r="E577" i="11"/>
  <c r="C577" i="11"/>
  <c r="G6291" i="11"/>
  <c r="F6291" i="11"/>
  <c r="E6291" i="11"/>
  <c r="C6291" i="11"/>
  <c r="F1448" i="11"/>
  <c r="E1448" i="11"/>
  <c r="C1448" i="11"/>
  <c r="G6290" i="11"/>
  <c r="F6290" i="11"/>
  <c r="E6290" i="11"/>
  <c r="C6290" i="11"/>
  <c r="F1447" i="11"/>
  <c r="E1447" i="11"/>
  <c r="C1447" i="11"/>
  <c r="G5813" i="11"/>
  <c r="F5813" i="11"/>
  <c r="E5813" i="11"/>
  <c r="C5813" i="11"/>
  <c r="F1446" i="11"/>
  <c r="E1446" i="11"/>
  <c r="C1446" i="11"/>
  <c r="G5812" i="11"/>
  <c r="F5812" i="11"/>
  <c r="E5812" i="11"/>
  <c r="C5812" i="11"/>
  <c r="F1445" i="11"/>
  <c r="E1445" i="11"/>
  <c r="C1445" i="11"/>
  <c r="F576" i="11"/>
  <c r="E576" i="11"/>
  <c r="C576" i="11"/>
  <c r="G5811" i="11"/>
  <c r="F5811" i="11"/>
  <c r="E5811" i="11"/>
  <c r="C5811" i="11"/>
  <c r="F1444" i="11"/>
  <c r="E1444" i="11"/>
  <c r="C1444" i="11"/>
  <c r="G5810" i="11"/>
  <c r="F5810" i="11"/>
  <c r="E5810" i="11"/>
  <c r="C5810" i="11"/>
  <c r="F1443" i="11"/>
  <c r="E1443" i="11"/>
  <c r="C1443" i="11"/>
  <c r="G5809" i="11"/>
  <c r="F5809" i="11"/>
  <c r="E5809" i="11"/>
  <c r="C5809" i="11"/>
  <c r="F1442" i="11"/>
  <c r="E1442" i="11"/>
  <c r="C1442" i="11"/>
  <c r="G5808" i="11"/>
  <c r="F5808" i="11"/>
  <c r="E5808" i="11"/>
  <c r="C5808" i="11"/>
  <c r="F1441" i="11"/>
  <c r="E1441" i="11"/>
  <c r="C1441" i="11"/>
  <c r="G5807" i="11"/>
  <c r="F5807" i="11"/>
  <c r="E5807" i="11"/>
  <c r="C5807" i="11"/>
  <c r="F1440" i="11"/>
  <c r="E1440" i="11"/>
  <c r="C1440" i="11"/>
  <c r="G5806" i="11"/>
  <c r="F5806" i="11"/>
  <c r="E5806" i="11"/>
  <c r="C5806" i="11"/>
  <c r="F1439" i="11"/>
  <c r="E1439" i="11"/>
  <c r="C1439" i="11"/>
  <c r="G5805" i="11"/>
  <c r="F5805" i="11"/>
  <c r="E5805" i="11"/>
  <c r="C5805" i="11"/>
  <c r="F1438" i="11"/>
  <c r="E1438" i="11"/>
  <c r="C1438" i="11"/>
  <c r="G5804" i="11"/>
  <c r="F5804" i="11"/>
  <c r="E5804" i="11"/>
  <c r="C5804" i="11"/>
  <c r="F1437" i="11"/>
  <c r="E1437" i="11"/>
  <c r="C1437" i="11"/>
  <c r="G5803" i="11"/>
  <c r="F5803" i="11"/>
  <c r="E5803" i="11"/>
  <c r="C5803" i="11"/>
  <c r="F1436" i="11"/>
  <c r="E1436" i="11"/>
  <c r="C1436" i="11"/>
  <c r="G5802" i="11"/>
  <c r="F5802" i="11"/>
  <c r="E5802" i="11"/>
  <c r="C5802" i="11"/>
  <c r="F1435" i="11"/>
  <c r="E1435" i="11"/>
  <c r="C1435" i="11"/>
  <c r="G5801" i="11"/>
  <c r="F5801" i="11"/>
  <c r="E5801" i="11"/>
  <c r="C5801" i="11"/>
  <c r="F1434" i="11"/>
  <c r="E1434" i="11"/>
  <c r="C1434" i="11"/>
  <c r="G5800" i="11"/>
  <c r="F5800" i="11"/>
  <c r="E5800" i="11"/>
  <c r="C5800" i="11"/>
  <c r="F1433" i="11"/>
  <c r="E1433" i="11"/>
  <c r="C1433" i="11"/>
  <c r="G5799" i="11"/>
  <c r="F5799" i="11"/>
  <c r="E5799" i="11"/>
  <c r="C5799" i="11"/>
  <c r="F1432" i="11"/>
  <c r="E1432" i="11"/>
  <c r="C1432" i="11"/>
  <c r="G5798" i="11"/>
  <c r="F5798" i="11"/>
  <c r="E5798" i="11"/>
  <c r="C5798" i="11"/>
  <c r="F1431" i="11"/>
  <c r="E1431" i="11"/>
  <c r="C1431" i="11"/>
  <c r="G5797" i="11"/>
  <c r="F5797" i="11"/>
  <c r="E5797" i="11"/>
  <c r="C5797" i="11"/>
  <c r="F1430" i="11"/>
  <c r="E1430" i="11"/>
  <c r="C1430" i="11"/>
  <c r="G5796" i="11"/>
  <c r="F5796" i="11"/>
  <c r="E5796" i="11"/>
  <c r="C5796" i="11"/>
  <c r="F1429" i="11"/>
  <c r="E1429" i="11"/>
  <c r="C1429" i="11"/>
  <c r="G5795" i="11"/>
  <c r="F5795" i="11"/>
  <c r="E5795" i="11"/>
  <c r="C5795" i="11"/>
  <c r="F1428" i="11"/>
  <c r="E1428" i="11"/>
  <c r="C1428" i="11"/>
  <c r="G5794" i="11"/>
  <c r="F5794" i="11"/>
  <c r="E5794" i="11"/>
  <c r="C5794" i="11"/>
  <c r="F1427" i="11"/>
  <c r="E1427" i="11"/>
  <c r="C1427" i="11"/>
  <c r="G5793" i="11"/>
  <c r="F5793" i="11"/>
  <c r="E5793" i="11"/>
  <c r="C5793" i="11"/>
  <c r="F1426" i="11"/>
  <c r="E1426" i="11"/>
  <c r="C1426" i="11"/>
  <c r="G5792" i="11"/>
  <c r="F5792" i="11"/>
  <c r="E5792" i="11"/>
  <c r="C5792" i="11"/>
  <c r="F1425" i="11"/>
  <c r="E1425" i="11"/>
  <c r="C1425" i="11"/>
  <c r="G5791" i="11"/>
  <c r="F5791" i="11"/>
  <c r="E5791" i="11"/>
  <c r="C5791" i="11"/>
  <c r="F1424" i="11"/>
  <c r="E1424" i="11"/>
  <c r="C1424" i="11"/>
  <c r="G5790" i="11"/>
  <c r="F5790" i="11"/>
  <c r="E5790" i="11"/>
  <c r="C5790" i="11"/>
  <c r="F1423" i="11"/>
  <c r="E1423" i="11"/>
  <c r="C1423" i="11"/>
  <c r="G5789" i="11"/>
  <c r="F5789" i="11"/>
  <c r="E5789" i="11"/>
  <c r="C5789" i="11"/>
  <c r="F1422" i="11"/>
  <c r="E1422" i="11"/>
  <c r="C1422" i="11"/>
  <c r="G5788" i="11"/>
  <c r="F5788" i="11"/>
  <c r="E5788" i="11"/>
  <c r="C5788" i="11"/>
  <c r="F1421" i="11"/>
  <c r="E1421" i="11"/>
  <c r="C1421" i="11"/>
  <c r="G5787" i="11"/>
  <c r="F5787" i="11"/>
  <c r="E5787" i="11"/>
  <c r="C5787" i="11"/>
  <c r="F1420" i="11"/>
  <c r="E1420" i="11"/>
  <c r="C1420" i="11"/>
  <c r="G5786" i="11"/>
  <c r="F5786" i="11"/>
  <c r="E5786" i="11"/>
  <c r="C5786" i="11"/>
  <c r="F1419" i="11"/>
  <c r="E1419" i="11"/>
  <c r="C1419" i="11"/>
  <c r="G5306" i="11"/>
  <c r="F5306" i="11"/>
  <c r="E5306" i="11"/>
  <c r="C5306" i="11"/>
  <c r="F336" i="11"/>
  <c r="E336" i="11"/>
  <c r="C336" i="11"/>
  <c r="G5305" i="11"/>
  <c r="F5305" i="11"/>
  <c r="E5305" i="11"/>
  <c r="C5305" i="11"/>
  <c r="F335" i="11"/>
  <c r="E335" i="11"/>
  <c r="C335" i="11"/>
  <c r="G5785" i="11"/>
  <c r="F5785" i="11"/>
  <c r="E5785" i="11"/>
  <c r="C5785" i="11"/>
  <c r="F1418" i="11"/>
  <c r="E1418" i="11"/>
  <c r="C1418" i="11"/>
  <c r="G5784" i="11"/>
  <c r="F5784" i="11"/>
  <c r="E5784" i="11"/>
  <c r="C5784" i="11"/>
  <c r="F1417" i="11"/>
  <c r="E1417" i="11"/>
  <c r="C1417" i="11"/>
  <c r="G5783" i="11"/>
  <c r="F5783" i="11"/>
  <c r="E5783" i="11"/>
  <c r="C5783" i="11"/>
  <c r="F1416" i="11"/>
  <c r="E1416" i="11"/>
  <c r="C1416" i="11"/>
  <c r="G5782" i="11"/>
  <c r="F5782" i="11"/>
  <c r="E5782" i="11"/>
  <c r="C5782" i="11"/>
  <c r="F1415" i="11"/>
  <c r="E1415" i="11"/>
  <c r="C1415" i="11"/>
  <c r="G5304" i="11"/>
  <c r="F5304" i="11"/>
  <c r="E5304" i="11"/>
  <c r="C5304" i="11"/>
  <c r="F575" i="11"/>
  <c r="E575" i="11"/>
  <c r="C575" i="11"/>
  <c r="G5303" i="11"/>
  <c r="F5303" i="11"/>
  <c r="E5303" i="11"/>
  <c r="C5303" i="11"/>
  <c r="F334" i="11"/>
  <c r="E334" i="11"/>
  <c r="C334" i="11"/>
  <c r="G5302" i="11"/>
  <c r="F5302" i="11"/>
  <c r="E5302" i="11"/>
  <c r="C5302" i="11"/>
  <c r="F333" i="11"/>
  <c r="E333" i="11"/>
  <c r="C333" i="11"/>
  <c r="G5301" i="11"/>
  <c r="F5301" i="11"/>
  <c r="E5301" i="11"/>
  <c r="C5301" i="11"/>
  <c r="F332" i="11"/>
  <c r="E332" i="11"/>
  <c r="C332" i="11"/>
  <c r="G5300" i="11"/>
  <c r="F5300" i="11"/>
  <c r="E5300" i="11"/>
  <c r="C5300" i="11"/>
  <c r="F331" i="11"/>
  <c r="E331" i="11"/>
  <c r="C331" i="11"/>
  <c r="G5299" i="11"/>
  <c r="F5299" i="11"/>
  <c r="E5299" i="11"/>
  <c r="C5299" i="11"/>
  <c r="F330" i="11"/>
  <c r="E330" i="11"/>
  <c r="C330" i="11"/>
  <c r="G6289" i="11"/>
  <c r="F6289" i="11"/>
  <c r="E6289" i="11"/>
  <c r="C6289" i="11"/>
  <c r="F574" i="11"/>
  <c r="E574" i="11"/>
  <c r="C574" i="11"/>
  <c r="G5421" i="11"/>
  <c r="F5421" i="11"/>
  <c r="E5421" i="11"/>
  <c r="C5421" i="11"/>
  <c r="F221" i="11"/>
  <c r="E221" i="11"/>
  <c r="C221" i="11"/>
  <c r="G6288" i="11"/>
  <c r="F6288" i="11"/>
  <c r="E6288" i="11"/>
  <c r="C6288" i="11"/>
  <c r="F1414" i="11"/>
  <c r="E1414" i="11"/>
  <c r="C1414" i="11"/>
  <c r="G6287" i="11"/>
  <c r="F6287" i="11"/>
  <c r="E6287" i="11"/>
  <c r="C6287" i="11"/>
  <c r="F573" i="11"/>
  <c r="E573" i="11"/>
  <c r="C573" i="11"/>
  <c r="G6286" i="11"/>
  <c r="F6286" i="11"/>
  <c r="E6286" i="11"/>
  <c r="C6286" i="11"/>
  <c r="F1413" i="11"/>
  <c r="E1413" i="11"/>
  <c r="C1413" i="11"/>
  <c r="G6285" i="11"/>
  <c r="F6285" i="11"/>
  <c r="E6285" i="11"/>
  <c r="C6285" i="11"/>
  <c r="F1412" i="11"/>
  <c r="E1412" i="11"/>
  <c r="C1412" i="11"/>
  <c r="G5298" i="11"/>
  <c r="F5298" i="11"/>
  <c r="E5298" i="11"/>
  <c r="C5298" i="11"/>
  <c r="F329" i="11"/>
  <c r="E329" i="11"/>
  <c r="C329" i="11"/>
  <c r="G6284" i="11"/>
  <c r="F6284" i="11"/>
  <c r="E6284" i="11"/>
  <c r="C6284" i="11"/>
  <c r="F572" i="11"/>
  <c r="E572" i="11"/>
  <c r="C572" i="11"/>
  <c r="G5420" i="11"/>
  <c r="F5420" i="11"/>
  <c r="E5420" i="11"/>
  <c r="C5420" i="11"/>
  <c r="F220" i="11"/>
  <c r="E220" i="11"/>
  <c r="C220" i="11"/>
  <c r="G5419" i="11"/>
  <c r="F5419" i="11"/>
  <c r="E5419" i="11"/>
  <c r="C5419" i="11"/>
  <c r="F219" i="11"/>
  <c r="E219" i="11"/>
  <c r="C219" i="11"/>
  <c r="G6283" i="11"/>
  <c r="F6283" i="11"/>
  <c r="E6283" i="11"/>
  <c r="C6283" i="11"/>
  <c r="F1411" i="11"/>
  <c r="E1411" i="11"/>
  <c r="C1411" i="11"/>
  <c r="G6282" i="11"/>
  <c r="F6282" i="11"/>
  <c r="E6282" i="11"/>
  <c r="C6282" i="11"/>
  <c r="F1410" i="11"/>
  <c r="E1410" i="11"/>
  <c r="C1410" i="11"/>
  <c r="G6281" i="11"/>
  <c r="F6281" i="11"/>
  <c r="E6281" i="11"/>
  <c r="C6281" i="11"/>
  <c r="F571" i="11"/>
  <c r="E571" i="11"/>
  <c r="C571" i="11"/>
  <c r="G6280" i="11"/>
  <c r="F6280" i="11"/>
  <c r="E6280" i="11"/>
  <c r="C6280" i="11"/>
  <c r="F570" i="11"/>
  <c r="E570" i="11"/>
  <c r="C570" i="11"/>
  <c r="G6279" i="11"/>
  <c r="F6279" i="11"/>
  <c r="E6279" i="11"/>
  <c r="C6279" i="11"/>
  <c r="F569" i="11"/>
  <c r="E569" i="11"/>
  <c r="C569" i="11"/>
  <c r="G6278" i="11"/>
  <c r="F6278" i="11"/>
  <c r="E6278" i="11"/>
  <c r="C6278" i="11"/>
  <c r="F568" i="11"/>
  <c r="E568" i="11"/>
  <c r="C568" i="11"/>
  <c r="G6277" i="11"/>
  <c r="F6277" i="11"/>
  <c r="E6277" i="11"/>
  <c r="C6277" i="11"/>
  <c r="F1409" i="11"/>
  <c r="E1409" i="11"/>
  <c r="C1409" i="11"/>
  <c r="G6276" i="11"/>
  <c r="F6276" i="11"/>
  <c r="E6276" i="11"/>
  <c r="C6276" i="11"/>
  <c r="F1408" i="11"/>
  <c r="E1408" i="11"/>
  <c r="C1408" i="11"/>
  <c r="G6275" i="11"/>
  <c r="F6275" i="11"/>
  <c r="E6275" i="11"/>
  <c r="C6275" i="11"/>
  <c r="F1407" i="11"/>
  <c r="E1407" i="11"/>
  <c r="C1407" i="11"/>
  <c r="G6274" i="11"/>
  <c r="F6274" i="11"/>
  <c r="E6274" i="11"/>
  <c r="C6274" i="11"/>
  <c r="F1406" i="11"/>
  <c r="E1406" i="11"/>
  <c r="C1406" i="11"/>
  <c r="G6273" i="11"/>
  <c r="F6273" i="11"/>
  <c r="E6273" i="11"/>
  <c r="C6273" i="11"/>
  <c r="F1405" i="11"/>
  <c r="E1405" i="11"/>
  <c r="C1405" i="11"/>
  <c r="G5297" i="11"/>
  <c r="F5297" i="11"/>
  <c r="E5297" i="11"/>
  <c r="C5297" i="11"/>
  <c r="F328" i="11"/>
  <c r="E328" i="11"/>
  <c r="C328" i="11"/>
  <c r="G6272" i="11"/>
  <c r="F6272" i="11"/>
  <c r="E6272" i="11"/>
  <c r="C6272" i="11"/>
  <c r="F567" i="11"/>
  <c r="E567" i="11"/>
  <c r="C567" i="11"/>
  <c r="G6271" i="11"/>
  <c r="F6271" i="11"/>
  <c r="E6271" i="11"/>
  <c r="C6271" i="11"/>
  <c r="F566" i="11"/>
  <c r="E566" i="11"/>
  <c r="C566" i="11"/>
  <c r="G6270" i="11"/>
  <c r="F6270" i="11"/>
  <c r="E6270" i="11"/>
  <c r="C6270" i="11"/>
  <c r="F565" i="11"/>
  <c r="E565" i="11"/>
  <c r="C565" i="11"/>
  <c r="G5781" i="11"/>
  <c r="F5781" i="11"/>
  <c r="E5781" i="11"/>
  <c r="C5781" i="11"/>
  <c r="F1404" i="11"/>
  <c r="E1404" i="11"/>
  <c r="C1404" i="11"/>
  <c r="G5780" i="11"/>
  <c r="F5780" i="11"/>
  <c r="E5780" i="11"/>
  <c r="C5780" i="11"/>
  <c r="F1403" i="11"/>
  <c r="E1403" i="11"/>
  <c r="C1403" i="11"/>
  <c r="G6269" i="11"/>
  <c r="F6269" i="11"/>
  <c r="E6269" i="11"/>
  <c r="C6269" i="11"/>
  <c r="F564" i="11"/>
  <c r="E564" i="11"/>
  <c r="C564" i="11"/>
  <c r="G5296" i="11"/>
  <c r="F5296" i="11"/>
  <c r="E5296" i="11"/>
  <c r="C5296" i="11"/>
  <c r="F327" i="11"/>
  <c r="E327" i="11"/>
  <c r="C327" i="11"/>
  <c r="G5418" i="11"/>
  <c r="F5418" i="11"/>
  <c r="E5418" i="11"/>
  <c r="C5418" i="11"/>
  <c r="F218" i="11"/>
  <c r="E218" i="11"/>
  <c r="C218" i="11"/>
  <c r="G5779" i="11"/>
  <c r="F5779" i="11"/>
  <c r="E5779" i="11"/>
  <c r="C5779" i="11"/>
  <c r="F1402" i="11"/>
  <c r="E1402" i="11"/>
  <c r="C1402" i="11"/>
  <c r="G6268" i="11"/>
  <c r="F6268" i="11"/>
  <c r="E6268" i="11"/>
  <c r="C6268" i="11"/>
  <c r="F1401" i="11"/>
  <c r="E1401" i="11"/>
  <c r="C1401" i="11"/>
  <c r="G6267" i="11"/>
  <c r="F6267" i="11"/>
  <c r="E6267" i="11"/>
  <c r="C6267" i="11"/>
  <c r="F563" i="11"/>
  <c r="E563" i="11"/>
  <c r="C563" i="11"/>
  <c r="G5778" i="11"/>
  <c r="F5778" i="11"/>
  <c r="E5778" i="11"/>
  <c r="C5778" i="11"/>
  <c r="F1400" i="11"/>
  <c r="E1400" i="11"/>
  <c r="C1400" i="11"/>
  <c r="G5777" i="11"/>
  <c r="F5777" i="11"/>
  <c r="E5777" i="11"/>
  <c r="C5777" i="11"/>
  <c r="F1399" i="11"/>
  <c r="E1399" i="11"/>
  <c r="C1399" i="11"/>
  <c r="G5776" i="11"/>
  <c r="F5776" i="11"/>
  <c r="E5776" i="11"/>
  <c r="C5776" i="11"/>
  <c r="F1398" i="11"/>
  <c r="E1398" i="11"/>
  <c r="C1398" i="11"/>
  <c r="G5775" i="11"/>
  <c r="F5775" i="11"/>
  <c r="E5775" i="11"/>
  <c r="C5775" i="11"/>
  <c r="F1397" i="11"/>
  <c r="E1397" i="11"/>
  <c r="C1397" i="11"/>
  <c r="G5774" i="11"/>
  <c r="F5774" i="11"/>
  <c r="E5774" i="11"/>
  <c r="C5774" i="11"/>
  <c r="F1396" i="11"/>
  <c r="E1396" i="11"/>
  <c r="C1396" i="11"/>
  <c r="G5773" i="11"/>
  <c r="F5773" i="11"/>
  <c r="E5773" i="11"/>
  <c r="C5773" i="11"/>
  <c r="F1395" i="11"/>
  <c r="E1395" i="11"/>
  <c r="C1395" i="11"/>
  <c r="G5772" i="11"/>
  <c r="F5772" i="11"/>
  <c r="E5772" i="11"/>
  <c r="C5772" i="11"/>
  <c r="F1394" i="11"/>
  <c r="E1394" i="11"/>
  <c r="C1394" i="11"/>
  <c r="G5771" i="11"/>
  <c r="F5771" i="11"/>
  <c r="E5771" i="11"/>
  <c r="C5771" i="11"/>
  <c r="F1393" i="11"/>
  <c r="E1393" i="11"/>
  <c r="C1393" i="11"/>
  <c r="F562" i="11"/>
  <c r="E562" i="11"/>
  <c r="C562" i="11"/>
  <c r="G5770" i="11"/>
  <c r="F5770" i="11"/>
  <c r="E5770" i="11"/>
  <c r="C5770" i="11"/>
  <c r="F1392" i="11"/>
  <c r="E1392" i="11"/>
  <c r="C1392" i="11"/>
  <c r="G5769" i="11"/>
  <c r="F5769" i="11"/>
  <c r="E5769" i="11"/>
  <c r="C5769" i="11"/>
  <c r="F1391" i="11"/>
  <c r="E1391" i="11"/>
  <c r="C1391" i="11"/>
  <c r="G5768" i="11"/>
  <c r="F5768" i="11"/>
  <c r="E5768" i="11"/>
  <c r="C5768" i="11"/>
  <c r="F1390" i="11"/>
  <c r="E1390" i="11"/>
  <c r="C1390" i="11"/>
  <c r="G5295" i="11"/>
  <c r="F5295" i="11"/>
  <c r="E5295" i="11"/>
  <c r="C5295" i="11"/>
  <c r="F326" i="11"/>
  <c r="E326" i="11"/>
  <c r="C326" i="11"/>
  <c r="G5294" i="11"/>
  <c r="F5294" i="11"/>
  <c r="E5294" i="11"/>
  <c r="C5294" i="11"/>
  <c r="F325" i="11"/>
  <c r="E325" i="11"/>
  <c r="C325" i="11"/>
  <c r="G5293" i="11"/>
  <c r="F5293" i="11"/>
  <c r="E5293" i="11"/>
  <c r="C5293" i="11"/>
  <c r="F1389" i="11"/>
  <c r="E1389" i="11"/>
  <c r="C1389" i="11"/>
  <c r="G5292" i="11"/>
  <c r="F5292" i="11"/>
  <c r="E5292" i="11"/>
  <c r="C5292" i="11"/>
  <c r="F324" i="11"/>
  <c r="E324" i="11"/>
  <c r="C324" i="11"/>
  <c r="G6266" i="11"/>
  <c r="F6266" i="11"/>
  <c r="E6266" i="11"/>
  <c r="C6266" i="11"/>
  <c r="F1388" i="11"/>
  <c r="E1388" i="11"/>
  <c r="C1388" i="11"/>
  <c r="G6265" i="11"/>
  <c r="F6265" i="11"/>
  <c r="E6265" i="11"/>
  <c r="C6265" i="11"/>
  <c r="F561" i="11"/>
  <c r="E561" i="11"/>
  <c r="C561" i="11"/>
  <c r="G6264" i="11"/>
  <c r="F6264" i="11"/>
  <c r="E6264" i="11"/>
  <c r="C6264" i="11"/>
  <c r="F1387" i="11"/>
  <c r="E1387" i="11"/>
  <c r="C1387" i="11"/>
  <c r="G6263" i="11"/>
  <c r="F6263" i="11"/>
  <c r="E6263" i="11"/>
  <c r="C6263" i="11"/>
  <c r="F1386" i="11"/>
  <c r="E1386" i="11"/>
  <c r="C1386" i="11"/>
  <c r="F560" i="11"/>
  <c r="E560" i="11"/>
  <c r="C560" i="11"/>
  <c r="G5417" i="11"/>
  <c r="F5417" i="11"/>
  <c r="E5417" i="11"/>
  <c r="C5417" i="11"/>
  <c r="F217" i="11"/>
  <c r="E217" i="11"/>
  <c r="C217" i="11"/>
  <c r="G5416" i="11"/>
  <c r="F5416" i="11"/>
  <c r="E5416" i="11"/>
  <c r="C5416" i="11"/>
  <c r="F216" i="11"/>
  <c r="E216" i="11"/>
  <c r="C216" i="11"/>
  <c r="G6262" i="11"/>
  <c r="F6262" i="11"/>
  <c r="E6262" i="11"/>
  <c r="C6262" i="11"/>
  <c r="F559" i="11"/>
  <c r="E559" i="11"/>
  <c r="C559" i="11"/>
  <c r="G6261" i="11"/>
  <c r="F6261" i="11"/>
  <c r="E6261" i="11"/>
  <c r="C6261" i="11"/>
  <c r="F558" i="11"/>
  <c r="E558" i="11"/>
  <c r="C558" i="11"/>
  <c r="G5767" i="11"/>
  <c r="F5767" i="11"/>
  <c r="E5767" i="11"/>
  <c r="C5767" i="11"/>
  <c r="F1385" i="11"/>
  <c r="E1385" i="11"/>
  <c r="C1385" i="11"/>
  <c r="G5766" i="11"/>
  <c r="F5766" i="11"/>
  <c r="E5766" i="11"/>
  <c r="C5766" i="11"/>
  <c r="F1384" i="11"/>
  <c r="E1384" i="11"/>
  <c r="C1384" i="11"/>
  <c r="G6260" i="11"/>
  <c r="F6260" i="11"/>
  <c r="E6260" i="11"/>
  <c r="C6260" i="11"/>
  <c r="F557" i="11"/>
  <c r="E557" i="11"/>
  <c r="C557" i="11"/>
  <c r="G6259" i="11"/>
  <c r="F6259" i="11"/>
  <c r="E6259" i="11"/>
  <c r="C6259" i="11"/>
  <c r="F556" i="11"/>
  <c r="E556" i="11"/>
  <c r="C556" i="11"/>
  <c r="G6258" i="11"/>
  <c r="F6258" i="11"/>
  <c r="E6258" i="11"/>
  <c r="C6258" i="11"/>
  <c r="F555" i="11"/>
  <c r="E555" i="11"/>
  <c r="C555" i="11"/>
  <c r="G5291" i="11"/>
  <c r="F5291" i="11"/>
  <c r="E5291" i="11"/>
  <c r="C5291" i="11"/>
  <c r="F1383" i="11"/>
  <c r="E1383" i="11"/>
  <c r="C1383" i="11"/>
  <c r="G5765" i="11"/>
  <c r="F5765" i="11"/>
  <c r="E5765" i="11"/>
  <c r="C5765" i="11"/>
  <c r="F1382" i="11"/>
  <c r="E1382" i="11"/>
  <c r="C1382" i="11"/>
  <c r="G5764" i="11"/>
  <c r="F5764" i="11"/>
  <c r="E5764" i="11"/>
  <c r="C5764" i="11"/>
  <c r="F1381" i="11"/>
  <c r="E1381" i="11"/>
  <c r="C1381" i="11"/>
  <c r="F554" i="11"/>
  <c r="E554" i="11"/>
  <c r="C554" i="11"/>
  <c r="G6257" i="11"/>
  <c r="F6257" i="11"/>
  <c r="E6257" i="11"/>
  <c r="C6257" i="11"/>
  <c r="F1380" i="11"/>
  <c r="E1380" i="11"/>
  <c r="C1380" i="11"/>
  <c r="F553" i="11"/>
  <c r="E553" i="11"/>
  <c r="C553" i="11"/>
  <c r="G6256" i="11"/>
  <c r="F6256" i="11"/>
  <c r="E6256" i="11"/>
  <c r="C6256" i="11"/>
  <c r="F1379" i="11"/>
  <c r="E1379" i="11"/>
  <c r="C1379" i="11"/>
  <c r="F552" i="11"/>
  <c r="E552" i="11"/>
  <c r="C552" i="11"/>
  <c r="G6255" i="11"/>
  <c r="F6255" i="11"/>
  <c r="E6255" i="11"/>
  <c r="C6255" i="11"/>
  <c r="F551" i="11"/>
  <c r="E551" i="11"/>
  <c r="C551" i="11"/>
  <c r="G5763" i="11"/>
  <c r="F5763" i="11"/>
  <c r="E5763" i="11"/>
  <c r="C5763" i="11"/>
  <c r="F1378" i="11"/>
  <c r="E1378" i="11"/>
  <c r="C1378" i="11"/>
  <c r="G5762" i="11"/>
  <c r="F5762" i="11"/>
  <c r="E5762" i="11"/>
  <c r="C5762" i="11"/>
  <c r="F1377" i="11"/>
  <c r="E1377" i="11"/>
  <c r="C1377" i="11"/>
  <c r="G6254" i="11"/>
  <c r="F6254" i="11"/>
  <c r="E6254" i="11"/>
  <c r="C6254" i="11"/>
  <c r="F550" i="11"/>
  <c r="E550" i="11"/>
  <c r="C550" i="11"/>
  <c r="G6253" i="11"/>
  <c r="F6253" i="11"/>
  <c r="E6253" i="11"/>
  <c r="C6253" i="11"/>
  <c r="F549" i="11"/>
  <c r="E549" i="11"/>
  <c r="C549" i="11"/>
  <c r="G5761" i="11"/>
  <c r="F5761" i="11"/>
  <c r="E5761" i="11"/>
  <c r="C5761" i="11"/>
  <c r="F1376" i="11"/>
  <c r="E1376" i="11"/>
  <c r="C1376" i="11"/>
  <c r="G6252" i="11"/>
  <c r="F6252" i="11"/>
  <c r="E6252" i="11"/>
  <c r="C6252" i="11"/>
  <c r="F548" i="11"/>
  <c r="E548" i="11"/>
  <c r="C548" i="11"/>
  <c r="G5415" i="11"/>
  <c r="F5415" i="11"/>
  <c r="E5415" i="11"/>
  <c r="C5415" i="11"/>
  <c r="F215" i="11"/>
  <c r="E215" i="11"/>
  <c r="C215" i="11"/>
  <c r="G6251" i="11"/>
  <c r="F6251" i="11"/>
  <c r="E6251" i="11"/>
  <c r="C6251" i="11"/>
  <c r="F1375" i="11"/>
  <c r="E1375" i="11"/>
  <c r="C1375" i="11"/>
  <c r="G5760" i="11"/>
  <c r="F5760" i="11"/>
  <c r="E5760" i="11"/>
  <c r="C5760" i="11"/>
  <c r="F1374" i="11"/>
  <c r="E1374" i="11"/>
  <c r="C1374" i="11"/>
  <c r="G5290" i="11"/>
  <c r="F5290" i="11"/>
  <c r="E5290" i="11"/>
  <c r="C5290" i="11"/>
  <c r="F547" i="11"/>
  <c r="E547" i="11"/>
  <c r="C547" i="11"/>
  <c r="G5289" i="11"/>
  <c r="F5289" i="11"/>
  <c r="E5289" i="11"/>
  <c r="C5289" i="11"/>
  <c r="F546" i="11"/>
  <c r="E546" i="11"/>
  <c r="C546" i="11"/>
  <c r="G5288" i="11"/>
  <c r="F5288" i="11"/>
  <c r="E5288" i="11"/>
  <c r="C5288" i="11"/>
  <c r="F323" i="11"/>
  <c r="E323" i="11"/>
  <c r="C323" i="11"/>
  <c r="G6250" i="11"/>
  <c r="F6250" i="11"/>
  <c r="E6250" i="11"/>
  <c r="C6250" i="11"/>
  <c r="F545" i="11"/>
  <c r="E545" i="11"/>
  <c r="C545" i="11"/>
  <c r="G6249" i="11"/>
  <c r="F6249" i="11"/>
  <c r="E6249" i="11"/>
  <c r="C6249" i="11"/>
  <c r="F1373" i="11"/>
  <c r="E1373" i="11"/>
  <c r="C1373" i="11"/>
  <c r="G6248" i="11"/>
  <c r="F6248" i="11"/>
  <c r="E6248" i="11"/>
  <c r="C6248" i="11"/>
  <c r="F1372" i="11"/>
  <c r="E1372" i="11"/>
  <c r="C1372" i="11"/>
  <c r="G5759" i="11"/>
  <c r="F5759" i="11"/>
  <c r="E5759" i="11"/>
  <c r="C5759" i="11"/>
  <c r="F1371" i="11"/>
  <c r="E1371" i="11"/>
  <c r="C1371" i="11"/>
  <c r="G5758" i="11"/>
  <c r="F5758" i="11"/>
  <c r="E5758" i="11"/>
  <c r="C5758" i="11"/>
  <c r="F1370" i="11"/>
  <c r="E1370" i="11"/>
  <c r="C1370" i="11"/>
  <c r="G5757" i="11"/>
  <c r="F5757" i="11"/>
  <c r="E5757" i="11"/>
  <c r="C5757" i="11"/>
  <c r="F1369" i="11"/>
  <c r="E1369" i="11"/>
  <c r="C1369" i="11"/>
  <c r="G5756" i="11"/>
  <c r="F5756" i="11"/>
  <c r="E5756" i="11"/>
  <c r="C5756" i="11"/>
  <c r="F1368" i="11"/>
  <c r="E1368" i="11"/>
  <c r="C1368" i="11"/>
  <c r="G5755" i="11"/>
  <c r="F5755" i="11"/>
  <c r="E5755" i="11"/>
  <c r="C5755" i="11"/>
  <c r="F1367" i="11"/>
  <c r="E1367" i="11"/>
  <c r="C1367" i="11"/>
  <c r="G5754" i="11"/>
  <c r="F5754" i="11"/>
  <c r="E5754" i="11"/>
  <c r="C5754" i="11"/>
  <c r="F1366" i="11"/>
  <c r="E1366" i="11"/>
  <c r="C1366" i="11"/>
  <c r="G5753" i="11"/>
  <c r="F5753" i="11"/>
  <c r="E5753" i="11"/>
  <c r="C5753" i="11"/>
  <c r="F1365" i="11"/>
  <c r="E1365" i="11"/>
  <c r="C1365" i="11"/>
  <c r="G5752" i="11"/>
  <c r="F5752" i="11"/>
  <c r="E5752" i="11"/>
  <c r="C5752" i="11"/>
  <c r="F1364" i="11"/>
  <c r="E1364" i="11"/>
  <c r="C1364" i="11"/>
  <c r="G5751" i="11"/>
  <c r="F5751" i="11"/>
  <c r="E5751" i="11"/>
  <c r="C5751" i="11"/>
  <c r="F1363" i="11"/>
  <c r="E1363" i="11"/>
  <c r="C1363" i="11"/>
  <c r="G5750" i="11"/>
  <c r="F5750" i="11"/>
  <c r="E5750" i="11"/>
  <c r="C5750" i="11"/>
  <c r="F1362" i="11"/>
  <c r="E1362" i="11"/>
  <c r="C1362" i="11"/>
  <c r="G6247" i="11"/>
  <c r="F6247" i="11"/>
  <c r="E6247" i="11"/>
  <c r="C6247" i="11"/>
  <c r="F1361" i="11"/>
  <c r="E1361" i="11"/>
  <c r="C1361" i="11"/>
  <c r="G6246" i="11"/>
  <c r="F6246" i="11"/>
  <c r="E6246" i="11"/>
  <c r="C6246" i="11"/>
  <c r="F1360" i="11"/>
  <c r="E1360" i="11"/>
  <c r="C1360" i="11"/>
  <c r="G6245" i="11"/>
  <c r="F6245" i="11"/>
  <c r="E6245" i="11"/>
  <c r="C6245" i="11"/>
  <c r="F544" i="11"/>
  <c r="E544" i="11"/>
  <c r="C544" i="11"/>
  <c r="G6244" i="11"/>
  <c r="F6244" i="11"/>
  <c r="E6244" i="11"/>
  <c r="C6244" i="11"/>
  <c r="F1359" i="11"/>
  <c r="E1359" i="11"/>
  <c r="C1359" i="11"/>
  <c r="G5749" i="11"/>
  <c r="F5749" i="11"/>
  <c r="E5749" i="11"/>
  <c r="C5749" i="11"/>
  <c r="F1358" i="11"/>
  <c r="E1358" i="11"/>
  <c r="C1358" i="11"/>
  <c r="G5414" i="11"/>
  <c r="F5414" i="11"/>
  <c r="E5414" i="11"/>
  <c r="C5414" i="11"/>
  <c r="F322" i="11"/>
  <c r="E322" i="11"/>
  <c r="C322" i="11"/>
  <c r="G5287" i="11"/>
  <c r="F5287" i="11"/>
  <c r="E5287" i="11"/>
  <c r="C5287" i="11"/>
  <c r="F321" i="11"/>
  <c r="E321" i="11"/>
  <c r="C321" i="11"/>
  <c r="G5748" i="11"/>
  <c r="F5748" i="11"/>
  <c r="E5748" i="11"/>
  <c r="C5748" i="11"/>
  <c r="F1357" i="11"/>
  <c r="E1357" i="11"/>
  <c r="C1357" i="11"/>
  <c r="G6243" i="11"/>
  <c r="F6243" i="11"/>
  <c r="E6243" i="11"/>
  <c r="C6243" i="11"/>
  <c r="F1356" i="11"/>
  <c r="E1356" i="11"/>
  <c r="C1356" i="11"/>
  <c r="G5747" i="11"/>
  <c r="F5747" i="11"/>
  <c r="E5747" i="11"/>
  <c r="C5747" i="11"/>
  <c r="F1355" i="11"/>
  <c r="E1355" i="11"/>
  <c r="C1355" i="11"/>
  <c r="G5413" i="11"/>
  <c r="F5413" i="11"/>
  <c r="E5413" i="11"/>
  <c r="C5413" i="11"/>
  <c r="F214" i="11"/>
  <c r="E214" i="11"/>
  <c r="C214" i="11"/>
  <c r="G5746" i="11"/>
  <c r="F5746" i="11"/>
  <c r="E5746" i="11"/>
  <c r="C5746" i="11"/>
  <c r="F1354" i="11"/>
  <c r="E1354" i="11"/>
  <c r="C1354" i="11"/>
  <c r="G5745" i="11"/>
  <c r="F5745" i="11"/>
  <c r="E5745" i="11"/>
  <c r="C5745" i="11"/>
  <c r="F1353" i="11"/>
  <c r="E1353" i="11"/>
  <c r="C1353" i="11"/>
  <c r="G6242" i="11"/>
  <c r="F6242" i="11"/>
  <c r="E6242" i="11"/>
  <c r="C6242" i="11"/>
  <c r="F1352" i="11"/>
  <c r="E1352" i="11"/>
  <c r="C1352" i="11"/>
  <c r="G5744" i="11"/>
  <c r="F5744" i="11"/>
  <c r="E5744" i="11"/>
  <c r="C5744" i="11"/>
  <c r="F1351" i="11"/>
  <c r="E1351" i="11"/>
  <c r="C1351" i="11"/>
  <c r="G5743" i="11"/>
  <c r="F5743" i="11"/>
  <c r="E5743" i="11"/>
  <c r="C5743" i="11"/>
  <c r="F1350" i="11"/>
  <c r="E1350" i="11"/>
  <c r="C1350" i="11"/>
  <c r="G5742" i="11"/>
  <c r="F5742" i="11"/>
  <c r="E5742" i="11"/>
  <c r="C5742" i="11"/>
  <c r="F1349" i="11"/>
  <c r="E1349" i="11"/>
  <c r="C1349" i="11"/>
  <c r="G5741" i="11"/>
  <c r="F5741" i="11"/>
  <c r="E5741" i="11"/>
  <c r="C5741" i="11"/>
  <c r="F1348" i="11"/>
  <c r="E1348" i="11"/>
  <c r="C1348" i="11"/>
  <c r="G6241" i="11"/>
  <c r="F6241" i="11"/>
  <c r="E6241" i="11"/>
  <c r="C6241" i="11"/>
  <c r="F543" i="11"/>
  <c r="E543" i="11"/>
  <c r="C543" i="11"/>
  <c r="G5412" i="11"/>
  <c r="F5412" i="11"/>
  <c r="E5412" i="11"/>
  <c r="C5412" i="11"/>
  <c r="F213" i="11"/>
  <c r="E213" i="11"/>
  <c r="C213" i="11"/>
  <c r="G5740" i="11"/>
  <c r="F5740" i="11"/>
  <c r="E5740" i="11"/>
  <c r="C5740" i="11"/>
  <c r="F1347" i="11"/>
  <c r="E1347" i="11"/>
  <c r="C1347" i="11"/>
  <c r="G6240" i="11"/>
  <c r="F6240" i="11"/>
  <c r="E6240" i="11"/>
  <c r="C6240" i="11"/>
  <c r="F1346" i="11"/>
  <c r="E1346" i="11"/>
  <c r="C1346" i="11"/>
  <c r="G5739" i="11"/>
  <c r="F5739" i="11"/>
  <c r="E5739" i="11"/>
  <c r="C5739" i="11"/>
  <c r="F1345" i="11"/>
  <c r="E1345" i="11"/>
  <c r="C1345" i="11"/>
  <c r="G6239" i="11"/>
  <c r="F6239" i="11"/>
  <c r="E6239" i="11"/>
  <c r="C6239" i="11"/>
  <c r="F542" i="11"/>
  <c r="E542" i="11"/>
  <c r="C542" i="11"/>
  <c r="G5738" i="11"/>
  <c r="F5738" i="11"/>
  <c r="E5738" i="11"/>
  <c r="C5738" i="11"/>
  <c r="F1344" i="11"/>
  <c r="E1344" i="11"/>
  <c r="C1344" i="11"/>
  <c r="G5737" i="11"/>
  <c r="F5737" i="11"/>
  <c r="E5737" i="11"/>
  <c r="C5737" i="11"/>
  <c r="F1343" i="11"/>
  <c r="E1343" i="11"/>
  <c r="C1343" i="11"/>
  <c r="G6238" i="11"/>
  <c r="F6238" i="11"/>
  <c r="E6238" i="11"/>
  <c r="C6238" i="11"/>
  <c r="F541" i="11"/>
  <c r="E541" i="11"/>
  <c r="C541" i="11"/>
  <c r="G6237" i="11"/>
  <c r="F6237" i="11"/>
  <c r="E6237" i="11"/>
  <c r="C6237" i="11"/>
  <c r="F1342" i="11"/>
  <c r="E1342" i="11"/>
  <c r="C1342" i="11"/>
  <c r="F540" i="11"/>
  <c r="E540" i="11"/>
  <c r="C540" i="11"/>
  <c r="G5411" i="11"/>
  <c r="F5411" i="11"/>
  <c r="E5411" i="11"/>
  <c r="C5411" i="11"/>
  <c r="F212" i="11"/>
  <c r="E212" i="11"/>
  <c r="C212" i="11"/>
  <c r="G6236" i="11"/>
  <c r="F6236" i="11"/>
  <c r="E6236" i="11"/>
  <c r="C6236" i="11"/>
  <c r="F1341" i="11"/>
  <c r="E1341" i="11"/>
  <c r="C1341" i="11"/>
  <c r="G5736" i="11"/>
  <c r="F5736" i="11"/>
  <c r="E5736" i="11"/>
  <c r="C5736" i="11"/>
  <c r="F1340" i="11"/>
  <c r="E1340" i="11"/>
  <c r="C1340" i="11"/>
  <c r="G5735" i="11"/>
  <c r="F5735" i="11"/>
  <c r="E5735" i="11"/>
  <c r="C5735" i="11"/>
  <c r="F1339" i="11"/>
  <c r="E1339" i="11"/>
  <c r="C1339" i="11"/>
  <c r="G6235" i="11"/>
  <c r="F6235" i="11"/>
  <c r="E6235" i="11"/>
  <c r="C6235" i="11"/>
  <c r="F539" i="11"/>
  <c r="E539" i="11"/>
  <c r="C539" i="11"/>
  <c r="G5734" i="11"/>
  <c r="F5734" i="11"/>
  <c r="E5734" i="11"/>
  <c r="C5734" i="11"/>
  <c r="F1338" i="11"/>
  <c r="E1338" i="11"/>
  <c r="C1338" i="11"/>
  <c r="G5733" i="11"/>
  <c r="F5733" i="11"/>
  <c r="E5733" i="11"/>
  <c r="C5733" i="11"/>
  <c r="F1337" i="11"/>
  <c r="E1337" i="11"/>
  <c r="C1337" i="11"/>
  <c r="G5732" i="11"/>
  <c r="F5732" i="11"/>
  <c r="E5732" i="11"/>
  <c r="C5732" i="11"/>
  <c r="F1336" i="11"/>
  <c r="E1336" i="11"/>
  <c r="C1336" i="11"/>
  <c r="G5731" i="11"/>
  <c r="F5731" i="11"/>
  <c r="E5731" i="11"/>
  <c r="C5731" i="11"/>
  <c r="F1335" i="11"/>
  <c r="E1335" i="11"/>
  <c r="C1335" i="11"/>
  <c r="G5730" i="11"/>
  <c r="F5730" i="11"/>
  <c r="E5730" i="11"/>
  <c r="C5730" i="11"/>
  <c r="F1334" i="11"/>
  <c r="E1334" i="11"/>
  <c r="C1334" i="11"/>
  <c r="G5729" i="11"/>
  <c r="F5729" i="11"/>
  <c r="E5729" i="11"/>
  <c r="C5729" i="11"/>
  <c r="F1333" i="11"/>
  <c r="E1333" i="11"/>
  <c r="C1333" i="11"/>
  <c r="G5728" i="11"/>
  <c r="F5728" i="11"/>
  <c r="E5728" i="11"/>
  <c r="C5728" i="11"/>
  <c r="F1332" i="11"/>
  <c r="E1332" i="11"/>
  <c r="C1332" i="11"/>
  <c r="G5727" i="11"/>
  <c r="F5727" i="11"/>
  <c r="E5727" i="11"/>
  <c r="C5727" i="11"/>
  <c r="F1331" i="11"/>
  <c r="E1331" i="11"/>
  <c r="C1331" i="11"/>
  <c r="G5726" i="11"/>
  <c r="F5726" i="11"/>
  <c r="E5726" i="11"/>
  <c r="C5726" i="11"/>
  <c r="F1330" i="11"/>
  <c r="E1330" i="11"/>
  <c r="C1330" i="11"/>
  <c r="G5725" i="11"/>
  <c r="F5725" i="11"/>
  <c r="E5725" i="11"/>
  <c r="C5725" i="11"/>
  <c r="F1329" i="11"/>
  <c r="E1329" i="11"/>
  <c r="C1329" i="11"/>
  <c r="F538" i="11"/>
  <c r="E538" i="11"/>
  <c r="C538" i="11"/>
  <c r="G5286" i="11"/>
  <c r="F5286" i="11"/>
  <c r="E5286" i="11"/>
  <c r="C5286" i="11"/>
  <c r="F320" i="11"/>
  <c r="E320" i="11"/>
  <c r="C320" i="11"/>
  <c r="G6234" i="11"/>
  <c r="F6234" i="11"/>
  <c r="E6234" i="11"/>
  <c r="C6234" i="11"/>
  <c r="F1328" i="11"/>
  <c r="E1328" i="11"/>
  <c r="C1328" i="11"/>
  <c r="G5724" i="11"/>
  <c r="F5724" i="11"/>
  <c r="E5724" i="11"/>
  <c r="C5724" i="11"/>
  <c r="F1327" i="11"/>
  <c r="E1327" i="11"/>
  <c r="C1327" i="11"/>
  <c r="G5723" i="11"/>
  <c r="F5723" i="11"/>
  <c r="E5723" i="11"/>
  <c r="C5723" i="11"/>
  <c r="F1326" i="11"/>
  <c r="E1326" i="11"/>
  <c r="C1326" i="11"/>
  <c r="G5722" i="11"/>
  <c r="F5722" i="11"/>
  <c r="E5722" i="11"/>
  <c r="C5722" i="11"/>
  <c r="F1325" i="11"/>
  <c r="E1325" i="11"/>
  <c r="C1325" i="11"/>
  <c r="G5721" i="11"/>
  <c r="F5721" i="11"/>
  <c r="E5721" i="11"/>
  <c r="C5721" i="11"/>
  <c r="F1324" i="11"/>
  <c r="E1324" i="11"/>
  <c r="C1324" i="11"/>
  <c r="G5410" i="11"/>
  <c r="F5410" i="11"/>
  <c r="E5410" i="11"/>
  <c r="C5410" i="11"/>
  <c r="F211" i="11"/>
  <c r="E211" i="11"/>
  <c r="C211" i="11"/>
  <c r="G5720" i="11"/>
  <c r="F5720" i="11"/>
  <c r="E5720" i="11"/>
  <c r="C5720" i="11"/>
  <c r="F1323" i="11"/>
  <c r="E1323" i="11"/>
  <c r="C1323" i="11"/>
  <c r="G5719" i="11"/>
  <c r="F5719" i="11"/>
  <c r="E5719" i="11"/>
  <c r="C5719" i="11"/>
  <c r="F1322" i="11"/>
  <c r="E1322" i="11"/>
  <c r="C1322" i="11"/>
  <c r="G5718" i="11"/>
  <c r="F5718" i="11"/>
  <c r="E5718" i="11"/>
  <c r="C5718" i="11"/>
  <c r="F1321" i="11"/>
  <c r="E1321" i="11"/>
  <c r="C1321" i="11"/>
  <c r="G5717" i="11"/>
  <c r="F5717" i="11"/>
  <c r="E5717" i="11"/>
  <c r="C5717" i="11"/>
  <c r="F1320" i="11"/>
  <c r="E1320" i="11"/>
  <c r="C1320" i="11"/>
  <c r="G5716" i="11"/>
  <c r="F5716" i="11"/>
  <c r="E5716" i="11"/>
  <c r="C5716" i="11"/>
  <c r="F1319" i="11"/>
  <c r="E1319" i="11"/>
  <c r="C1319" i="11"/>
  <c r="G5285" i="11"/>
  <c r="F5285" i="11"/>
  <c r="E5285" i="11"/>
  <c r="C5285" i="11"/>
  <c r="F319" i="11"/>
  <c r="E319" i="11"/>
  <c r="C319" i="11"/>
  <c r="G5284" i="11"/>
  <c r="F5284" i="11"/>
  <c r="E5284" i="11"/>
  <c r="C5284" i="11"/>
  <c r="F318" i="11"/>
  <c r="E318" i="11"/>
  <c r="C318" i="11"/>
  <c r="G5283" i="11"/>
  <c r="F5283" i="11"/>
  <c r="E5283" i="11"/>
  <c r="C5283" i="11"/>
  <c r="F1318" i="11"/>
  <c r="E1318" i="11"/>
  <c r="C1318" i="11"/>
  <c r="G5282" i="11"/>
  <c r="F5282" i="11"/>
  <c r="E5282" i="11"/>
  <c r="C5282" i="11"/>
  <c r="F317" i="11"/>
  <c r="E317" i="11"/>
  <c r="C317" i="11"/>
  <c r="G5281" i="11"/>
  <c r="F5281" i="11"/>
  <c r="E5281" i="11"/>
  <c r="C5281" i="11"/>
  <c r="F316" i="11"/>
  <c r="E316" i="11"/>
  <c r="C316" i="11"/>
  <c r="G6233" i="11"/>
  <c r="F6233" i="11"/>
  <c r="E6233" i="11"/>
  <c r="C6233" i="11"/>
  <c r="F537" i="11"/>
  <c r="E537" i="11"/>
  <c r="C537" i="11"/>
  <c r="G5715" i="11"/>
  <c r="F5715" i="11"/>
  <c r="E5715" i="11"/>
  <c r="C5715" i="11"/>
  <c r="F1317" i="11"/>
  <c r="E1317" i="11"/>
  <c r="C1317" i="11"/>
  <c r="G5409" i="11"/>
  <c r="F5409" i="11"/>
  <c r="E5409" i="11"/>
  <c r="C5409" i="11"/>
  <c r="F210" i="11"/>
  <c r="E210" i="11"/>
  <c r="C210" i="11"/>
  <c r="G5714" i="11"/>
  <c r="F5714" i="11"/>
  <c r="E5714" i="11"/>
  <c r="C5714" i="11"/>
  <c r="F1316" i="11"/>
  <c r="E1316" i="11"/>
  <c r="C1316" i="11"/>
  <c r="G6232" i="11"/>
  <c r="F6232" i="11"/>
  <c r="E6232" i="11"/>
  <c r="C6232" i="11"/>
  <c r="F536" i="11"/>
  <c r="E536" i="11"/>
  <c r="C536" i="11"/>
  <c r="G6231" i="11"/>
  <c r="F6231" i="11"/>
  <c r="E6231" i="11"/>
  <c r="C6231" i="11"/>
  <c r="F535" i="11"/>
  <c r="E535" i="11"/>
  <c r="C535" i="11"/>
  <c r="G6230" i="11"/>
  <c r="F6230" i="11"/>
  <c r="E6230" i="11"/>
  <c r="C6230" i="11"/>
  <c r="F534" i="11"/>
  <c r="E534" i="11"/>
  <c r="C534" i="11"/>
  <c r="G6229" i="11"/>
  <c r="F6229" i="11"/>
  <c r="E6229" i="11"/>
  <c r="C6229" i="11"/>
  <c r="F533" i="11"/>
  <c r="E533" i="11"/>
  <c r="C533" i="11"/>
  <c r="G5713" i="11"/>
  <c r="F5713" i="11"/>
  <c r="E5713" i="11"/>
  <c r="C5713" i="11"/>
  <c r="F1315" i="11"/>
  <c r="E1315" i="11"/>
  <c r="C1315" i="11"/>
  <c r="G5712" i="11"/>
  <c r="F5712" i="11"/>
  <c r="E5712" i="11"/>
  <c r="C5712" i="11"/>
  <c r="F209" i="11"/>
  <c r="E209" i="11"/>
  <c r="C209" i="11"/>
  <c r="G6228" i="11"/>
  <c r="F6228" i="11"/>
  <c r="E6228" i="11"/>
  <c r="C6228" i="11"/>
  <c r="F1314" i="11"/>
  <c r="E1314" i="11"/>
  <c r="C1314" i="11"/>
  <c r="G5711" i="11"/>
  <c r="F5711" i="11"/>
  <c r="E5711" i="11"/>
  <c r="C5711" i="11"/>
  <c r="F1313" i="11"/>
  <c r="E1313" i="11"/>
  <c r="C1313" i="11"/>
  <c r="G6227" i="11"/>
  <c r="F6227" i="11"/>
  <c r="E6227" i="11"/>
  <c r="C6227" i="11"/>
  <c r="F1312" i="11"/>
  <c r="E1312" i="11"/>
  <c r="C1312" i="11"/>
  <c r="G5710" i="11"/>
  <c r="F5710" i="11"/>
  <c r="E5710" i="11"/>
  <c r="C5710" i="11"/>
  <c r="F1311" i="11"/>
  <c r="E1311" i="11"/>
  <c r="C1311" i="11"/>
  <c r="G5709" i="11"/>
  <c r="F5709" i="11"/>
  <c r="E5709" i="11"/>
  <c r="C5709" i="11"/>
  <c r="F1310" i="11"/>
  <c r="E1310" i="11"/>
  <c r="C1310" i="11"/>
  <c r="G6226" i="11"/>
  <c r="F6226" i="11"/>
  <c r="E6226" i="11"/>
  <c r="C6226" i="11"/>
  <c r="F1309" i="11"/>
  <c r="E1309" i="11"/>
  <c r="C1309" i="11"/>
  <c r="G6225" i="11"/>
  <c r="F6225" i="11"/>
  <c r="E6225" i="11"/>
  <c r="C6225" i="11"/>
  <c r="F1308" i="11"/>
  <c r="E1308" i="11"/>
  <c r="C1308" i="11"/>
  <c r="G5708" i="11"/>
  <c r="F5708" i="11"/>
  <c r="E5708" i="11"/>
  <c r="C5708" i="11"/>
  <c r="F1307" i="11"/>
  <c r="E1307" i="11"/>
  <c r="C1307" i="11"/>
  <c r="G6224" i="11"/>
  <c r="F6224" i="11"/>
  <c r="E6224" i="11"/>
  <c r="C6224" i="11"/>
  <c r="F315" i="11"/>
  <c r="E315" i="11"/>
  <c r="C315" i="11"/>
  <c r="G6223" i="11"/>
  <c r="F6223" i="11"/>
  <c r="E6223" i="11"/>
  <c r="C6223" i="11"/>
  <c r="F532" i="11"/>
  <c r="E532" i="11"/>
  <c r="C532" i="11"/>
  <c r="G6222" i="11"/>
  <c r="F6222" i="11"/>
  <c r="E6222" i="11"/>
  <c r="C6222" i="11"/>
  <c r="F531" i="11"/>
  <c r="E531" i="11"/>
  <c r="C531" i="11"/>
  <c r="G5707" i="11"/>
  <c r="F5707" i="11"/>
  <c r="E5707" i="11"/>
  <c r="C5707" i="11"/>
  <c r="F1306" i="11"/>
  <c r="E1306" i="11"/>
  <c r="C1306" i="11"/>
  <c r="G6221" i="11"/>
  <c r="F6221" i="11"/>
  <c r="E6221" i="11"/>
  <c r="C6221" i="11"/>
  <c r="F1305" i="11"/>
  <c r="E1305" i="11"/>
  <c r="C1305" i="11"/>
  <c r="G6220" i="11"/>
  <c r="F6220" i="11"/>
  <c r="E6220" i="11"/>
  <c r="C6220" i="11"/>
  <c r="F530" i="11"/>
  <c r="E530" i="11"/>
  <c r="C530" i="11"/>
  <c r="G5706" i="11"/>
  <c r="F5706" i="11"/>
  <c r="E5706" i="11"/>
  <c r="C5706" i="11"/>
  <c r="F1304" i="11"/>
  <c r="E1304" i="11"/>
  <c r="C1304" i="11"/>
  <c r="G5705" i="11"/>
  <c r="F5705" i="11"/>
  <c r="E5705" i="11"/>
  <c r="C5705" i="11"/>
  <c r="F1303" i="11"/>
  <c r="E1303" i="11"/>
  <c r="C1303" i="11"/>
  <c r="G5704" i="11"/>
  <c r="F5704" i="11"/>
  <c r="E5704" i="11"/>
  <c r="C5704" i="11"/>
  <c r="F1302" i="11"/>
  <c r="E1302" i="11"/>
  <c r="C1302" i="11"/>
  <c r="G6219" i="11"/>
  <c r="F6219" i="11"/>
  <c r="E6219" i="11"/>
  <c r="C6219" i="11"/>
  <c r="F529" i="11"/>
  <c r="E529" i="11"/>
  <c r="C529" i="11"/>
  <c r="G6218" i="11"/>
  <c r="F6218" i="11"/>
  <c r="E6218" i="11"/>
  <c r="C6218" i="11"/>
  <c r="F528" i="11"/>
  <c r="E528" i="11"/>
  <c r="C528" i="11"/>
  <c r="G6217" i="11"/>
  <c r="F6217" i="11"/>
  <c r="E6217" i="11"/>
  <c r="C6217" i="11"/>
  <c r="F527" i="11"/>
  <c r="E527" i="11"/>
  <c r="C527" i="11"/>
  <c r="G6216" i="11"/>
  <c r="F6216" i="11"/>
  <c r="E6216" i="11"/>
  <c r="C6216" i="11"/>
  <c r="F1301" i="11"/>
  <c r="E1301" i="11"/>
  <c r="C1301" i="11"/>
  <c r="G6215" i="11"/>
  <c r="F6215" i="11"/>
  <c r="E6215" i="11"/>
  <c r="C6215" i="11"/>
  <c r="F1300" i="11"/>
  <c r="E1300" i="11"/>
  <c r="C1300" i="11"/>
  <c r="G5280" i="11"/>
  <c r="F5280" i="11"/>
  <c r="E5280" i="11"/>
  <c r="C5280" i="11"/>
  <c r="F314" i="11"/>
  <c r="E314" i="11"/>
  <c r="C314" i="11"/>
  <c r="G6214" i="11"/>
  <c r="F6214" i="11"/>
  <c r="E6214" i="11"/>
  <c r="C6214" i="11"/>
  <c r="F1299" i="11"/>
  <c r="E1299" i="11"/>
  <c r="C1299" i="11"/>
  <c r="F526" i="11"/>
  <c r="E526" i="11"/>
  <c r="C526" i="11"/>
  <c r="G6213" i="11"/>
  <c r="F6213" i="11"/>
  <c r="E6213" i="11"/>
  <c r="C6213" i="11"/>
  <c r="F525" i="11"/>
  <c r="E525" i="11"/>
  <c r="C525" i="11"/>
  <c r="G5279" i="11"/>
  <c r="F5279" i="11"/>
  <c r="E5279" i="11"/>
  <c r="C5279" i="11"/>
  <c r="F313" i="11"/>
  <c r="E313" i="11"/>
  <c r="C313" i="11"/>
  <c r="G5278" i="11"/>
  <c r="F5278" i="11"/>
  <c r="E5278" i="11"/>
  <c r="C5278" i="11"/>
  <c r="F312" i="11"/>
  <c r="E312" i="11"/>
  <c r="C312" i="11"/>
  <c r="G5277" i="11"/>
  <c r="F5277" i="11"/>
  <c r="E5277" i="11"/>
  <c r="C5277" i="11"/>
  <c r="F1298" i="11"/>
  <c r="E1298" i="11"/>
  <c r="C1298" i="11"/>
  <c r="G5276" i="11"/>
  <c r="F5276" i="11"/>
  <c r="E5276" i="11"/>
  <c r="C5276" i="11"/>
  <c r="F1297" i="11"/>
  <c r="E1297" i="11"/>
  <c r="C1297" i="11"/>
  <c r="G6212" i="11"/>
  <c r="F6212" i="11"/>
  <c r="E6212" i="11"/>
  <c r="C6212" i="11"/>
  <c r="F1296" i="11"/>
  <c r="E1296" i="11"/>
  <c r="C1296" i="11"/>
  <c r="G6211" i="11"/>
  <c r="F6211" i="11"/>
  <c r="E6211" i="11"/>
  <c r="C6211" i="11"/>
  <c r="F524" i="11"/>
  <c r="E524" i="11"/>
  <c r="C524" i="11"/>
  <c r="G5703" i="11"/>
  <c r="F5703" i="11"/>
  <c r="E5703" i="11"/>
  <c r="C5703" i="11"/>
  <c r="F1295" i="11"/>
  <c r="E1295" i="11"/>
  <c r="C1295" i="11"/>
  <c r="G5702" i="11"/>
  <c r="F5702" i="11"/>
  <c r="E5702" i="11"/>
  <c r="C5702" i="11"/>
  <c r="F1294" i="11"/>
  <c r="E1294" i="11"/>
  <c r="C1294" i="11"/>
  <c r="G6210" i="11"/>
  <c r="F6210" i="11"/>
  <c r="E6210" i="11"/>
  <c r="C6210" i="11"/>
  <c r="F1293" i="11"/>
  <c r="E1293" i="11"/>
  <c r="C1293" i="11"/>
  <c r="G5408" i="11"/>
  <c r="F5408" i="11"/>
  <c r="E5408" i="11"/>
  <c r="C5408" i="11"/>
  <c r="F208" i="11"/>
  <c r="E208" i="11"/>
  <c r="C208" i="11"/>
  <c r="G5407" i="11"/>
  <c r="F5407" i="11"/>
  <c r="E5407" i="11"/>
  <c r="C5407" i="11"/>
  <c r="F207" i="11"/>
  <c r="E207" i="11"/>
  <c r="C207" i="11"/>
  <c r="G5701" i="11"/>
  <c r="F5701" i="11"/>
  <c r="E5701" i="11"/>
  <c r="C5701" i="11"/>
  <c r="F1292" i="11"/>
  <c r="E1292" i="11"/>
  <c r="C1292" i="11"/>
  <c r="G5700" i="11"/>
  <c r="F5700" i="11"/>
  <c r="E5700" i="11"/>
  <c r="C5700" i="11"/>
  <c r="F1291" i="11"/>
  <c r="E1291" i="11"/>
  <c r="C1291" i="11"/>
  <c r="G6209" i="11"/>
  <c r="F6209" i="11"/>
  <c r="E6209" i="11"/>
  <c r="C6209" i="11"/>
  <c r="F523" i="11"/>
  <c r="E523" i="11"/>
  <c r="C523" i="11"/>
  <c r="G6208" i="11"/>
  <c r="F6208" i="11"/>
  <c r="E6208" i="11"/>
  <c r="C6208" i="11"/>
  <c r="F1290" i="11"/>
  <c r="E1290" i="11"/>
  <c r="C1290" i="11"/>
  <c r="F522" i="11"/>
  <c r="E522" i="11"/>
  <c r="C522" i="11"/>
  <c r="G5699" i="11"/>
  <c r="F5699" i="11"/>
  <c r="E5699" i="11"/>
  <c r="C5699" i="11"/>
  <c r="F1289" i="11"/>
  <c r="E1289" i="11"/>
  <c r="C1289" i="11"/>
  <c r="G5698" i="11"/>
  <c r="F5698" i="11"/>
  <c r="E5698" i="11"/>
  <c r="C5698" i="11"/>
  <c r="F1288" i="11"/>
  <c r="E1288" i="11"/>
  <c r="C1288" i="11"/>
  <c r="G6207" i="11"/>
  <c r="F6207" i="11"/>
  <c r="E6207" i="11"/>
  <c r="C6207" i="11"/>
  <c r="F521" i="11"/>
  <c r="E521" i="11"/>
  <c r="C521" i="11"/>
  <c r="G5697" i="11"/>
  <c r="F5697" i="11"/>
  <c r="E5697" i="11"/>
  <c r="C5697" i="11"/>
  <c r="F1287" i="11"/>
  <c r="E1287" i="11"/>
  <c r="C1287" i="11"/>
  <c r="G6206" i="11"/>
  <c r="F6206" i="11"/>
  <c r="E6206" i="11"/>
  <c r="C6206" i="11"/>
  <c r="F1286" i="11"/>
  <c r="E1286" i="11"/>
  <c r="C1286" i="11"/>
  <c r="G6205" i="11"/>
  <c r="F6205" i="11"/>
  <c r="E6205" i="11"/>
  <c r="C6205" i="11"/>
  <c r="F1285" i="11"/>
  <c r="E1285" i="11"/>
  <c r="C1285" i="11"/>
  <c r="G5275" i="11"/>
  <c r="F5275" i="11"/>
  <c r="E5275" i="11"/>
  <c r="C5275" i="11"/>
  <c r="F311" i="11"/>
  <c r="E311" i="11"/>
  <c r="C311" i="11"/>
  <c r="G6204" i="11"/>
  <c r="F6204" i="11"/>
  <c r="E6204" i="11"/>
  <c r="C6204" i="11"/>
  <c r="F1284" i="11"/>
  <c r="E1284" i="11"/>
  <c r="C1284" i="11"/>
  <c r="G6203" i="11"/>
  <c r="F6203" i="11"/>
  <c r="E6203" i="11"/>
  <c r="C6203" i="11"/>
  <c r="F1283" i="11"/>
  <c r="E1283" i="11"/>
  <c r="C1283" i="11"/>
  <c r="G5696" i="11"/>
  <c r="F5696" i="11"/>
  <c r="E5696" i="11"/>
  <c r="C5696" i="11"/>
  <c r="F1282" i="11"/>
  <c r="E1282" i="11"/>
  <c r="C1282" i="11"/>
  <c r="G5695" i="11"/>
  <c r="F5695" i="11"/>
  <c r="E5695" i="11"/>
  <c r="C5695" i="11"/>
  <c r="F1281" i="11"/>
  <c r="E1281" i="11"/>
  <c r="C1281" i="11"/>
  <c r="G5406" i="11"/>
  <c r="F5406" i="11"/>
  <c r="E5406" i="11"/>
  <c r="C5406" i="11"/>
  <c r="F206" i="11"/>
  <c r="E206" i="11"/>
  <c r="C206" i="11"/>
  <c r="G5694" i="11"/>
  <c r="F5694" i="11"/>
  <c r="E5694" i="11"/>
  <c r="C5694" i="11"/>
  <c r="F1280" i="11"/>
  <c r="E1280" i="11"/>
  <c r="C1280" i="11"/>
  <c r="G6202" i="11"/>
  <c r="F6202" i="11"/>
  <c r="E6202" i="11"/>
  <c r="C6202" i="11"/>
  <c r="F520" i="11"/>
  <c r="E520" i="11"/>
  <c r="C520" i="11"/>
  <c r="G6201" i="11"/>
  <c r="F6201" i="11"/>
  <c r="E6201" i="11"/>
  <c r="C6201" i="11"/>
  <c r="F519" i="11"/>
  <c r="E519" i="11"/>
  <c r="C519" i="11"/>
  <c r="G5693" i="11"/>
  <c r="F5693" i="11"/>
  <c r="E5693" i="11"/>
  <c r="C5693" i="11"/>
  <c r="F1279" i="11"/>
  <c r="E1279" i="11"/>
  <c r="C1279" i="11"/>
  <c r="G5274" i="11"/>
  <c r="F5274" i="11"/>
  <c r="E5274" i="11"/>
  <c r="C5274" i="11"/>
  <c r="F310" i="11"/>
  <c r="E310" i="11"/>
  <c r="C310" i="11"/>
  <c r="G5692" i="11"/>
  <c r="F5692" i="11"/>
  <c r="E5692" i="11"/>
  <c r="C5692" i="11"/>
  <c r="F1278" i="11"/>
  <c r="E1278" i="11"/>
  <c r="C1278" i="11"/>
  <c r="G5691" i="11"/>
  <c r="F5691" i="11"/>
  <c r="E5691" i="11"/>
  <c r="C5691" i="11"/>
  <c r="F1277" i="11"/>
  <c r="E1277" i="11"/>
  <c r="C1277" i="11"/>
  <c r="G5690" i="11"/>
  <c r="F5690" i="11"/>
  <c r="E5690" i="11"/>
  <c r="C5690" i="11"/>
  <c r="F1276" i="11"/>
  <c r="E1276" i="11"/>
  <c r="C1276" i="11"/>
  <c r="G5689" i="11"/>
  <c r="F5689" i="11"/>
  <c r="E5689" i="11"/>
  <c r="C5689" i="11"/>
  <c r="F1275" i="11"/>
  <c r="E1275" i="11"/>
  <c r="C1275" i="11"/>
  <c r="G6200" i="11"/>
  <c r="F6200" i="11"/>
  <c r="E6200" i="11"/>
  <c r="C6200" i="11"/>
  <c r="F518" i="11"/>
  <c r="E518" i="11"/>
  <c r="C518" i="11"/>
  <c r="G5273" i="11"/>
  <c r="F5273" i="11"/>
  <c r="E5273" i="11"/>
  <c r="C5273" i="11"/>
  <c r="F309" i="11"/>
  <c r="E309" i="11"/>
  <c r="C309" i="11"/>
  <c r="G5688" i="11"/>
  <c r="F5688" i="11"/>
  <c r="E5688" i="11"/>
  <c r="C5688" i="11"/>
  <c r="F1274" i="11"/>
  <c r="E1274" i="11"/>
  <c r="C1274" i="11"/>
  <c r="G5687" i="11"/>
  <c r="F5687" i="11"/>
  <c r="E5687" i="11"/>
  <c r="C5687" i="11"/>
  <c r="F1273" i="11"/>
  <c r="E1273" i="11"/>
  <c r="C1273" i="11"/>
  <c r="G6199" i="11"/>
  <c r="F6199" i="11"/>
  <c r="C6199" i="11"/>
  <c r="F517" i="11"/>
  <c r="C517" i="11"/>
  <c r="G6198" i="11"/>
  <c r="F6198" i="11"/>
  <c r="E6198" i="11"/>
  <c r="C6198" i="11"/>
  <c r="F1272" i="11"/>
  <c r="E1272" i="11"/>
  <c r="C1272" i="11"/>
  <c r="F516" i="11"/>
  <c r="E516" i="11"/>
  <c r="C516" i="11"/>
  <c r="G6197" i="11"/>
  <c r="F6197" i="11"/>
  <c r="E6197" i="11"/>
  <c r="C6197" i="11"/>
  <c r="F1271" i="11"/>
  <c r="E1271" i="11"/>
  <c r="C1271" i="11"/>
  <c r="G5686" i="11"/>
  <c r="F5686" i="11"/>
  <c r="E5686" i="11"/>
  <c r="C5686" i="11"/>
  <c r="F1270" i="11"/>
  <c r="E1270" i="11"/>
  <c r="C1270" i="11"/>
  <c r="G5685" i="11"/>
  <c r="F5685" i="11"/>
  <c r="E5685" i="11"/>
  <c r="C5685" i="11"/>
  <c r="F1269" i="11"/>
  <c r="E1269" i="11"/>
  <c r="C1269" i="11"/>
  <c r="G5684" i="11"/>
  <c r="F5684" i="11"/>
  <c r="E5684" i="11"/>
  <c r="C5684" i="11"/>
  <c r="F1268" i="11"/>
  <c r="E1268" i="11"/>
  <c r="C1268" i="11"/>
  <c r="G5683" i="11"/>
  <c r="F5683" i="11"/>
  <c r="E5683" i="11"/>
  <c r="C5683" i="11"/>
  <c r="F1267" i="11"/>
  <c r="E1267" i="11"/>
  <c r="C1267" i="11"/>
  <c r="G5682" i="11"/>
  <c r="F5682" i="11"/>
  <c r="E5682" i="11"/>
  <c r="C5682" i="11"/>
  <c r="F1266" i="11"/>
  <c r="E1266" i="11"/>
  <c r="C1266" i="11"/>
  <c r="G5405" i="11"/>
  <c r="F5405" i="11"/>
  <c r="E5405" i="11"/>
  <c r="C5405" i="11"/>
  <c r="F1265" i="11"/>
  <c r="E1265" i="11"/>
  <c r="C1265" i="11"/>
  <c r="G6196" i="11"/>
  <c r="F6196" i="11"/>
  <c r="E6196" i="11"/>
  <c r="C6196" i="11"/>
  <c r="F1264" i="11"/>
  <c r="E1264" i="11"/>
  <c r="C1264" i="11"/>
  <c r="F515" i="11"/>
  <c r="E515" i="11"/>
  <c r="C515" i="11"/>
  <c r="G6195" i="11"/>
  <c r="F6195" i="11"/>
  <c r="E6195" i="11"/>
  <c r="C6195" i="11"/>
  <c r="F1263" i="11"/>
  <c r="E1263" i="11"/>
  <c r="C1263" i="11"/>
  <c r="G5681" i="11"/>
  <c r="F5681" i="11"/>
  <c r="E5681" i="11"/>
  <c r="C5681" i="11"/>
  <c r="F1262" i="11"/>
  <c r="E1262" i="11"/>
  <c r="C1262" i="11"/>
  <c r="G5404" i="11"/>
  <c r="F5404" i="11"/>
  <c r="E5404" i="11"/>
  <c r="C5404" i="11"/>
  <c r="F205" i="11"/>
  <c r="E205" i="11"/>
  <c r="C205" i="11"/>
  <c r="G5272" i="11"/>
  <c r="F5272" i="11"/>
  <c r="E5272" i="11"/>
  <c r="C5272" i="11"/>
  <c r="F308" i="11"/>
  <c r="E308" i="11"/>
  <c r="C308" i="11"/>
  <c r="G6194" i="11"/>
  <c r="F6194" i="11"/>
  <c r="E6194" i="11"/>
  <c r="C6194" i="11"/>
  <c r="F514" i="11"/>
  <c r="E514" i="11"/>
  <c r="C514" i="11"/>
  <c r="G6193" i="11"/>
  <c r="F6193" i="11"/>
  <c r="E6193" i="11"/>
  <c r="C6193" i="11"/>
  <c r="F513" i="11"/>
  <c r="E513" i="11"/>
  <c r="C513" i="11"/>
  <c r="G6192" i="11"/>
  <c r="F6192" i="11"/>
  <c r="E6192" i="11"/>
  <c r="C6192" i="11"/>
  <c r="F512" i="11"/>
  <c r="E512" i="11"/>
  <c r="C512" i="11"/>
  <c r="G6191" i="11"/>
  <c r="F6191" i="11"/>
  <c r="E6191" i="11"/>
  <c r="C6191" i="11"/>
  <c r="F511" i="11"/>
  <c r="E511" i="11"/>
  <c r="C511" i="11"/>
  <c r="G6190" i="11"/>
  <c r="F6190" i="11"/>
  <c r="E6190" i="11"/>
  <c r="C6190" i="11"/>
  <c r="F510" i="11"/>
  <c r="E510" i="11"/>
  <c r="C510" i="11"/>
  <c r="G6189" i="11"/>
  <c r="F6189" i="11"/>
  <c r="E6189" i="11"/>
  <c r="C6189" i="11"/>
  <c r="F509" i="11"/>
  <c r="E509" i="11"/>
  <c r="C509" i="11"/>
  <c r="G5680" i="11"/>
  <c r="F5680" i="11"/>
  <c r="E5680" i="11"/>
  <c r="C5680" i="11"/>
  <c r="F1261" i="11"/>
  <c r="E1261" i="11"/>
  <c r="C1261" i="11"/>
  <c r="G6188" i="11"/>
  <c r="F6188" i="11"/>
  <c r="E6188" i="11"/>
  <c r="C6188" i="11"/>
  <c r="F1260" i="11"/>
  <c r="E1260" i="11"/>
  <c r="C1260" i="11"/>
  <c r="G5403" i="11"/>
  <c r="F5403" i="11"/>
  <c r="E5403" i="11"/>
  <c r="C5403" i="11"/>
  <c r="F204" i="11"/>
  <c r="E204" i="11"/>
  <c r="C204" i="11"/>
  <c r="G6187" i="11"/>
  <c r="F6187" i="11"/>
  <c r="E6187" i="11"/>
  <c r="C6187" i="11"/>
  <c r="F1259" i="11"/>
  <c r="E1259" i="11"/>
  <c r="C1259" i="11"/>
  <c r="G5679" i="11"/>
  <c r="F5679" i="11"/>
  <c r="E5679" i="11"/>
  <c r="C5679" i="11"/>
  <c r="F1258" i="11"/>
  <c r="E1258" i="11"/>
  <c r="C1258" i="11"/>
  <c r="G5678" i="11"/>
  <c r="F5678" i="11"/>
  <c r="E5678" i="11"/>
  <c r="C5678" i="11"/>
  <c r="F1257" i="11"/>
  <c r="E1257" i="11"/>
  <c r="C1257" i="11"/>
  <c r="G5677" i="11"/>
  <c r="F5677" i="11"/>
  <c r="E5677" i="11"/>
  <c r="C5677" i="11"/>
  <c r="F1256" i="11"/>
  <c r="E1256" i="11"/>
  <c r="C1256" i="11"/>
  <c r="G5676" i="11"/>
  <c r="F5676" i="11"/>
  <c r="E5676" i="11"/>
  <c r="C5676" i="11"/>
  <c r="F1255" i="11"/>
  <c r="E1255" i="11"/>
  <c r="C1255" i="11"/>
  <c r="G5402" i="11"/>
  <c r="F5402" i="11"/>
  <c r="E5402" i="11"/>
  <c r="C5402" i="11"/>
  <c r="F203" i="11"/>
  <c r="E203" i="11"/>
  <c r="C203" i="11"/>
  <c r="G5675" i="11"/>
  <c r="F5675" i="11"/>
  <c r="E5675" i="11"/>
  <c r="C5675" i="11"/>
  <c r="F1254" i="11"/>
  <c r="E1254" i="11"/>
  <c r="C1254" i="11"/>
  <c r="G5674" i="11"/>
  <c r="F5674" i="11"/>
  <c r="E5674" i="11"/>
  <c r="C5674" i="11"/>
  <c r="F1253" i="11"/>
  <c r="E1253" i="11"/>
  <c r="C1253" i="11"/>
  <c r="G5673" i="11"/>
  <c r="F5673" i="11"/>
  <c r="E5673" i="11"/>
  <c r="C5673" i="11"/>
  <c r="F1252" i="11"/>
  <c r="E1252" i="11"/>
  <c r="C1252" i="11"/>
  <c r="G5672" i="11"/>
  <c r="F5672" i="11"/>
  <c r="E5672" i="11"/>
  <c r="C5672" i="11"/>
  <c r="F1251" i="11"/>
  <c r="E1251" i="11"/>
  <c r="C1251" i="11"/>
  <c r="G5671" i="11"/>
  <c r="F5671" i="11"/>
  <c r="E5671" i="11"/>
  <c r="C5671" i="11"/>
  <c r="F1250" i="11"/>
  <c r="E1250" i="11"/>
  <c r="C1250" i="11"/>
  <c r="F508" i="11"/>
  <c r="E508" i="11"/>
  <c r="C508" i="11"/>
  <c r="G5670" i="11"/>
  <c r="F5670" i="11"/>
  <c r="E5670" i="11"/>
  <c r="C5670" i="11"/>
  <c r="F1249" i="11"/>
  <c r="E1249" i="11"/>
  <c r="C1249" i="11"/>
  <c r="G6186" i="11"/>
  <c r="F6186" i="11"/>
  <c r="E6186" i="11"/>
  <c r="C6186" i="11"/>
  <c r="F1248" i="11"/>
  <c r="E1248" i="11"/>
  <c r="C1248" i="11"/>
  <c r="F507" i="11"/>
  <c r="E507" i="11"/>
  <c r="C507" i="11"/>
  <c r="G5669" i="11"/>
  <c r="F5669" i="11"/>
  <c r="E5669" i="11"/>
  <c r="C5669" i="11"/>
  <c r="F1247" i="11"/>
  <c r="E1247" i="11"/>
  <c r="C1247" i="11"/>
  <c r="G5668" i="11"/>
  <c r="F5668" i="11"/>
  <c r="E5668" i="11"/>
  <c r="C5668" i="11"/>
  <c r="F1246" i="11"/>
  <c r="E1246" i="11"/>
  <c r="C1246" i="11"/>
  <c r="G5667" i="11"/>
  <c r="F5667" i="11"/>
  <c r="E5667" i="11"/>
  <c r="C5667" i="11"/>
  <c r="F1245" i="11"/>
  <c r="E1245" i="11"/>
  <c r="C1245" i="11"/>
  <c r="G5666" i="11"/>
  <c r="F5666" i="11"/>
  <c r="C5666" i="11"/>
  <c r="F1244" i="11"/>
  <c r="C1244" i="11"/>
  <c r="G5665" i="11"/>
  <c r="F5665" i="11"/>
  <c r="E5665" i="11"/>
  <c r="C5665" i="11"/>
  <c r="F1243" i="11"/>
  <c r="E1243" i="11"/>
  <c r="C1243" i="11"/>
  <c r="G5664" i="11"/>
  <c r="F5664" i="11"/>
  <c r="E5664" i="11"/>
  <c r="C5664" i="11"/>
  <c r="F1242" i="11"/>
  <c r="E1242" i="11"/>
  <c r="C1242" i="11"/>
  <c r="G5663" i="11"/>
  <c r="F5663" i="11"/>
  <c r="E5663" i="11"/>
  <c r="C5663" i="11"/>
  <c r="F1241" i="11"/>
  <c r="E1241" i="11"/>
  <c r="C1241" i="11"/>
  <c r="G6185" i="11"/>
  <c r="F6185" i="11"/>
  <c r="E6185" i="11"/>
  <c r="C6185" i="11"/>
  <c r="F506" i="11"/>
  <c r="E506" i="11"/>
  <c r="C506" i="11"/>
  <c r="G6184" i="11"/>
  <c r="F6184" i="11"/>
  <c r="E6184" i="11"/>
  <c r="C6184" i="11"/>
  <c r="F1240" i="11"/>
  <c r="E1240" i="11"/>
  <c r="C1240" i="11"/>
  <c r="G5662" i="11"/>
  <c r="F5662" i="11"/>
  <c r="E5662" i="11"/>
  <c r="C5662" i="11"/>
  <c r="F1239" i="11"/>
  <c r="E1239" i="11"/>
  <c r="C1239" i="11"/>
  <c r="G5661" i="11"/>
  <c r="F5661" i="11"/>
  <c r="E5661" i="11"/>
  <c r="C5661" i="11"/>
  <c r="F1238" i="11"/>
  <c r="E1238" i="11"/>
  <c r="C1238" i="11"/>
  <c r="G5660" i="11"/>
  <c r="F5660" i="11"/>
  <c r="E5660" i="11"/>
  <c r="C5660" i="11"/>
  <c r="F1237" i="11"/>
  <c r="E1237" i="11"/>
  <c r="C1237" i="11"/>
  <c r="G5271" i="11"/>
  <c r="F5271" i="11"/>
  <c r="E5271" i="11"/>
  <c r="C5271" i="11"/>
  <c r="F307" i="11"/>
  <c r="E307" i="11"/>
  <c r="C307" i="11"/>
  <c r="G5270" i="11"/>
  <c r="F5270" i="11"/>
  <c r="E5270" i="11"/>
  <c r="C5270" i="11"/>
  <c r="F1236" i="11"/>
  <c r="E1236" i="11"/>
  <c r="C1236" i="11"/>
  <c r="G5269" i="11"/>
  <c r="F5269" i="11"/>
  <c r="E5269" i="11"/>
  <c r="C5269" i="11"/>
  <c r="F1235" i="11"/>
  <c r="E1235" i="11"/>
  <c r="C1235" i="11"/>
  <c r="G5268" i="11"/>
  <c r="F5268" i="11"/>
  <c r="E5268" i="11"/>
  <c r="C5268" i="11"/>
  <c r="F306" i="11"/>
  <c r="E306" i="11"/>
  <c r="C306" i="11"/>
  <c r="G5267" i="11"/>
  <c r="F5267" i="11"/>
  <c r="E5267" i="11"/>
  <c r="C5267" i="11"/>
  <c r="F305" i="11"/>
  <c r="E305" i="11"/>
  <c r="C305" i="11"/>
  <c r="G6183" i="11"/>
  <c r="F6183" i="11"/>
  <c r="E6183" i="11"/>
  <c r="C6183" i="11"/>
  <c r="F1234" i="11"/>
  <c r="E1234" i="11"/>
  <c r="C1234" i="11"/>
  <c r="G5659" i="11"/>
  <c r="F5659" i="11"/>
  <c r="E5659" i="11"/>
  <c r="C5659" i="11"/>
  <c r="F1233" i="11"/>
  <c r="E1233" i="11"/>
  <c r="C1233" i="11"/>
  <c r="G5401" i="11"/>
  <c r="F5401" i="11"/>
  <c r="E5401" i="11"/>
  <c r="C5401" i="11"/>
  <c r="F202" i="11"/>
  <c r="E202" i="11"/>
  <c r="C202" i="11"/>
  <c r="G6182" i="11"/>
  <c r="F6182" i="11"/>
  <c r="E6182" i="11"/>
  <c r="C6182" i="11"/>
  <c r="F1232" i="11"/>
  <c r="E1232" i="11"/>
  <c r="C1232" i="11"/>
  <c r="G5658" i="11"/>
  <c r="F5658" i="11"/>
  <c r="E5658" i="11"/>
  <c r="C5658" i="11"/>
  <c r="F1231" i="11"/>
  <c r="E1231" i="11"/>
  <c r="C1231" i="11"/>
  <c r="G6181" i="11"/>
  <c r="F6181" i="11"/>
  <c r="E6181" i="11"/>
  <c r="C6181" i="11"/>
  <c r="F1230" i="11"/>
  <c r="E1230" i="11"/>
  <c r="C1230" i="11"/>
  <c r="G5657" i="11"/>
  <c r="F5657" i="11"/>
  <c r="E5657" i="11"/>
  <c r="C5657" i="11"/>
  <c r="F1229" i="11"/>
  <c r="E1229" i="11"/>
  <c r="C1229" i="11"/>
  <c r="G5656" i="11"/>
  <c r="F5656" i="11"/>
  <c r="E5656" i="11"/>
  <c r="C5656" i="11"/>
  <c r="F1228" i="11"/>
  <c r="E1228" i="11"/>
  <c r="C1228" i="11"/>
  <c r="G5655" i="11"/>
  <c r="F5655" i="11"/>
  <c r="E5655" i="11"/>
  <c r="C5655" i="11"/>
  <c r="F1227" i="11"/>
  <c r="E1227" i="11"/>
  <c r="C1227" i="11"/>
  <c r="G5654" i="11"/>
  <c r="F5654" i="11"/>
  <c r="E5654" i="11"/>
  <c r="C5654" i="11"/>
  <c r="F1226" i="11"/>
  <c r="E1226" i="11"/>
  <c r="C1226" i="11"/>
  <c r="G5653" i="11"/>
  <c r="F5653" i="11"/>
  <c r="E5653" i="11"/>
  <c r="C5653" i="11"/>
  <c r="F1225" i="11"/>
  <c r="E1225" i="11"/>
  <c r="C1225" i="11"/>
  <c r="G6180" i="11"/>
  <c r="F6180" i="11"/>
  <c r="E6180" i="11"/>
  <c r="C6180" i="11"/>
  <c r="F505" i="11"/>
  <c r="E505" i="11"/>
  <c r="C505" i="11"/>
  <c r="G5266" i="11"/>
  <c r="F5266" i="11"/>
  <c r="E5266" i="11"/>
  <c r="C5266" i="11"/>
  <c r="F304" i="11"/>
  <c r="E304" i="11"/>
  <c r="C304" i="11"/>
  <c r="G5265" i="11"/>
  <c r="F5265" i="11"/>
  <c r="E5265" i="11"/>
  <c r="C5265" i="11"/>
  <c r="F303" i="11"/>
  <c r="E303" i="11"/>
  <c r="C303" i="11"/>
  <c r="G5264" i="11"/>
  <c r="F5264" i="11"/>
  <c r="E5264" i="11"/>
  <c r="C5264" i="11"/>
  <c r="F302" i="11"/>
  <c r="E302" i="11"/>
  <c r="C302" i="11"/>
  <c r="G6179" i="11"/>
  <c r="F6179" i="11"/>
  <c r="E6179" i="11"/>
  <c r="C6179" i="11"/>
  <c r="F504" i="11"/>
  <c r="E504" i="11"/>
  <c r="C504" i="11"/>
  <c r="G5652" i="11"/>
  <c r="F5652" i="11"/>
  <c r="E5652" i="11"/>
  <c r="C5652" i="11"/>
  <c r="F1224" i="11"/>
  <c r="E1224" i="11"/>
  <c r="C1224" i="11"/>
  <c r="G5651" i="11"/>
  <c r="F5651" i="11"/>
  <c r="E5651" i="11"/>
  <c r="C5651" i="11"/>
  <c r="F1223" i="11"/>
  <c r="E1223" i="11"/>
  <c r="C1223" i="11"/>
  <c r="G5650" i="11"/>
  <c r="F5650" i="11"/>
  <c r="E5650" i="11"/>
  <c r="C5650" i="11"/>
  <c r="F1222" i="11"/>
  <c r="E1222" i="11"/>
  <c r="C1222" i="11"/>
  <c r="G5649" i="11"/>
  <c r="F5649" i="11"/>
  <c r="E5649" i="11"/>
  <c r="C5649" i="11"/>
  <c r="F1221" i="11"/>
  <c r="E1221" i="11"/>
  <c r="C1221" i="11"/>
  <c r="G5648" i="11"/>
  <c r="F5648" i="11"/>
  <c r="E5648" i="11"/>
  <c r="C5648" i="11"/>
  <c r="F1220" i="11"/>
  <c r="E1220" i="11"/>
  <c r="C1220" i="11"/>
  <c r="G5647" i="11"/>
  <c r="F5647" i="11"/>
  <c r="E5647" i="11"/>
  <c r="C5647" i="11"/>
  <c r="F1219" i="11"/>
  <c r="E1219" i="11"/>
  <c r="C1219" i="11"/>
  <c r="G5646" i="11"/>
  <c r="F5646" i="11"/>
  <c r="E5646" i="11"/>
  <c r="C5646" i="11"/>
  <c r="F1218" i="11"/>
  <c r="E1218" i="11"/>
  <c r="C1218" i="11"/>
  <c r="G5645" i="11"/>
  <c r="F5645" i="11"/>
  <c r="E5645" i="11"/>
  <c r="C5645" i="11"/>
  <c r="F1217" i="11"/>
  <c r="E1217" i="11"/>
  <c r="C1217" i="11"/>
  <c r="G5644" i="11"/>
  <c r="F5644" i="11"/>
  <c r="E5644" i="11"/>
  <c r="C5644" i="11"/>
  <c r="F1216" i="11"/>
  <c r="E1216" i="11"/>
  <c r="C1216" i="11"/>
  <c r="G5643" i="11"/>
  <c r="F5643" i="11"/>
  <c r="E5643" i="11"/>
  <c r="C5643" i="11"/>
  <c r="F1215" i="11"/>
  <c r="E1215" i="11"/>
  <c r="C1215" i="11"/>
  <c r="G6178" i="11"/>
  <c r="F6178" i="11"/>
  <c r="E6178" i="11"/>
  <c r="C6178" i="11"/>
  <c r="F503" i="11"/>
  <c r="E503" i="11"/>
  <c r="C503" i="11"/>
  <c r="G6177" i="11"/>
  <c r="F6177" i="11"/>
  <c r="E6177" i="11"/>
  <c r="C6177" i="11"/>
  <c r="F502" i="11"/>
  <c r="E502" i="11"/>
  <c r="C502" i="11"/>
  <c r="G6176" i="11"/>
  <c r="F6176" i="11"/>
  <c r="E6176" i="11"/>
  <c r="C6176" i="11"/>
  <c r="F301" i="11"/>
  <c r="E301" i="11"/>
  <c r="C301" i="11"/>
  <c r="G5400" i="11"/>
  <c r="F5400" i="11"/>
  <c r="E5400" i="11"/>
  <c r="C5400" i="11"/>
  <c r="F201" i="11"/>
  <c r="E201" i="11"/>
  <c r="C201" i="11"/>
  <c r="G6175" i="11"/>
  <c r="F6175" i="11"/>
  <c r="E6175" i="11"/>
  <c r="C6175" i="11"/>
  <c r="F300" i="11"/>
  <c r="E300" i="11"/>
  <c r="C300" i="11"/>
  <c r="G6174" i="11"/>
  <c r="F6174" i="11"/>
  <c r="E6174" i="11"/>
  <c r="C6174" i="11"/>
  <c r="F501" i="11"/>
  <c r="E501" i="11"/>
  <c r="C501" i="11"/>
  <c r="G6173" i="11"/>
  <c r="F6173" i="11"/>
  <c r="E6173" i="11"/>
  <c r="C6173" i="11"/>
  <c r="F500" i="11"/>
  <c r="E500" i="11"/>
  <c r="C500" i="11"/>
  <c r="G6172" i="11"/>
  <c r="F6172" i="11"/>
  <c r="E6172" i="11"/>
  <c r="C6172" i="11"/>
  <c r="F499" i="11"/>
  <c r="E499" i="11"/>
  <c r="C499" i="11"/>
  <c r="G6171" i="11"/>
  <c r="F6171" i="11"/>
  <c r="E6171" i="11"/>
  <c r="C6171" i="11"/>
  <c r="F1214" i="11"/>
  <c r="E1214" i="11"/>
  <c r="C1214" i="11"/>
  <c r="G6170" i="11"/>
  <c r="F6170" i="11"/>
  <c r="E6170" i="11"/>
  <c r="C6170" i="11"/>
  <c r="F498" i="11"/>
  <c r="E498" i="11"/>
  <c r="C498" i="11"/>
  <c r="G5642" i="11"/>
  <c r="F5642" i="11"/>
  <c r="E5642" i="11"/>
  <c r="C5642" i="11"/>
  <c r="F1213" i="11"/>
  <c r="E1213" i="11"/>
  <c r="C1213" i="11"/>
  <c r="G5641" i="11"/>
  <c r="F5641" i="11"/>
  <c r="E5641" i="11"/>
  <c r="C5641" i="11"/>
  <c r="F1212" i="11"/>
  <c r="E1212" i="11"/>
  <c r="C1212" i="11"/>
  <c r="G5640" i="11"/>
  <c r="F5640" i="11"/>
  <c r="E5640" i="11"/>
  <c r="C5640" i="11"/>
  <c r="F1211" i="11"/>
  <c r="E1211" i="11"/>
  <c r="C1211" i="11"/>
  <c r="G5639" i="11"/>
  <c r="F5639" i="11"/>
  <c r="E5639" i="11"/>
  <c r="C5639" i="11"/>
  <c r="F1210" i="11"/>
  <c r="E1210" i="11"/>
  <c r="C1210" i="11"/>
  <c r="G5638" i="11"/>
  <c r="F5638" i="11"/>
  <c r="E5638" i="11"/>
  <c r="C5638" i="11"/>
  <c r="F1209" i="11"/>
  <c r="E1209" i="11"/>
  <c r="C1209" i="11"/>
  <c r="G5637" i="11"/>
  <c r="F5637" i="11"/>
  <c r="E5637" i="11"/>
  <c r="C5637" i="11"/>
  <c r="F1208" i="11"/>
  <c r="E1208" i="11"/>
  <c r="C1208" i="11"/>
  <c r="G5636" i="11"/>
  <c r="F5636" i="11"/>
  <c r="E5636" i="11"/>
  <c r="C5636" i="11"/>
  <c r="F1207" i="11"/>
  <c r="E1207" i="11"/>
  <c r="C1207" i="11"/>
  <c r="G5635" i="11"/>
  <c r="F5635" i="11"/>
  <c r="E5635" i="11"/>
  <c r="C5635" i="11"/>
  <c r="F1206" i="11"/>
  <c r="E1206" i="11"/>
  <c r="C1206" i="11"/>
  <c r="G5634" i="11"/>
  <c r="F5634" i="11"/>
  <c r="E5634" i="11"/>
  <c r="C5634" i="11"/>
  <c r="F1205" i="11"/>
  <c r="E1205" i="11"/>
  <c r="C1205" i="11"/>
  <c r="G5633" i="11"/>
  <c r="F5633" i="11"/>
  <c r="E5633" i="11"/>
  <c r="C5633" i="11"/>
  <c r="F1204" i="11"/>
  <c r="E1204" i="11"/>
  <c r="C1204" i="11"/>
  <c r="G5632" i="11"/>
  <c r="F5632" i="11"/>
  <c r="E5632" i="11"/>
  <c r="C5632" i="11"/>
  <c r="F1203" i="11"/>
  <c r="E1203" i="11"/>
  <c r="C1203" i="11"/>
  <c r="G5263" i="11"/>
  <c r="F5263" i="11"/>
  <c r="E5263" i="11"/>
  <c r="C5263" i="11"/>
  <c r="F299" i="11"/>
  <c r="E299" i="11"/>
  <c r="C299" i="11"/>
  <c r="G6169" i="11"/>
  <c r="F6169" i="11"/>
  <c r="E6169" i="11"/>
  <c r="C6169" i="11"/>
  <c r="F1202" i="11"/>
  <c r="E1202" i="11"/>
  <c r="C1202" i="11"/>
  <c r="G6168" i="11"/>
  <c r="F6168" i="11"/>
  <c r="E6168" i="11"/>
  <c r="C6168" i="11"/>
  <c r="F497" i="11"/>
  <c r="E497" i="11"/>
  <c r="C497" i="11"/>
  <c r="G5631" i="11"/>
  <c r="F5631" i="11"/>
  <c r="E5631" i="11"/>
  <c r="C5631" i="11"/>
  <c r="F1201" i="11"/>
  <c r="E1201" i="11"/>
  <c r="C1201" i="11"/>
  <c r="G5399" i="11"/>
  <c r="F5399" i="11"/>
  <c r="E5399" i="11"/>
  <c r="C5399" i="11"/>
  <c r="F200" i="11"/>
  <c r="E200" i="11"/>
  <c r="C200" i="11"/>
  <c r="G5630" i="11"/>
  <c r="F5630" i="11"/>
  <c r="E5630" i="11"/>
  <c r="C5630" i="11"/>
  <c r="F1200" i="11"/>
  <c r="E1200" i="11"/>
  <c r="C1200" i="11"/>
  <c r="G5629" i="11"/>
  <c r="F5629" i="11"/>
  <c r="E5629" i="11"/>
  <c r="C5629" i="11"/>
  <c r="F1199" i="11"/>
  <c r="E1199" i="11"/>
  <c r="C1199" i="11"/>
  <c r="G5628" i="11"/>
  <c r="F5628" i="11"/>
  <c r="E5628" i="11"/>
  <c r="C5628" i="11"/>
  <c r="F1198" i="11"/>
  <c r="E1198" i="11"/>
  <c r="C1198" i="11"/>
  <c r="G5627" i="11"/>
  <c r="F5627" i="11"/>
  <c r="E5627" i="11"/>
  <c r="C5627" i="11"/>
  <c r="F1197" i="11"/>
  <c r="E1197" i="11"/>
  <c r="C1197" i="11"/>
  <c r="G5262" i="11"/>
  <c r="F5262" i="11"/>
  <c r="E5262" i="11"/>
  <c r="C5262" i="11"/>
  <c r="F298" i="11"/>
  <c r="E298" i="11"/>
  <c r="C298" i="11"/>
  <c r="G5626" i="11"/>
  <c r="F5626" i="11"/>
  <c r="E5626" i="11"/>
  <c r="C5626" i="11"/>
  <c r="F1196" i="11"/>
  <c r="E1196" i="11"/>
  <c r="C1196" i="11"/>
  <c r="G6167" i="11"/>
  <c r="F6167" i="11"/>
  <c r="E6167" i="11"/>
  <c r="C6167" i="11"/>
  <c r="F496" i="11"/>
  <c r="E496" i="11"/>
  <c r="C496" i="11"/>
  <c r="G5625" i="11"/>
  <c r="F5625" i="11"/>
  <c r="E5625" i="11"/>
  <c r="C5625" i="11"/>
  <c r="F1195" i="11"/>
  <c r="E1195" i="11"/>
  <c r="C1195" i="11"/>
  <c r="G6166" i="11"/>
  <c r="F6166" i="11"/>
  <c r="E6166" i="11"/>
  <c r="C6166" i="11"/>
  <c r="F495" i="11"/>
  <c r="E495" i="11"/>
  <c r="C495" i="11"/>
  <c r="G6165" i="11"/>
  <c r="F6165" i="11"/>
  <c r="E6165" i="11"/>
  <c r="C6165" i="11"/>
  <c r="F494" i="11"/>
  <c r="E494" i="11"/>
  <c r="C494" i="11"/>
  <c r="G6164" i="11"/>
  <c r="F6164" i="11"/>
  <c r="E6164" i="11"/>
  <c r="C6164" i="11"/>
  <c r="F1194" i="11"/>
  <c r="E1194" i="11"/>
  <c r="C1194" i="11"/>
  <c r="G5624" i="11"/>
  <c r="F5624" i="11"/>
  <c r="E5624" i="11"/>
  <c r="C5624" i="11"/>
  <c r="F1193" i="11"/>
  <c r="E1193" i="11"/>
  <c r="C1193" i="11"/>
  <c r="G5623" i="11"/>
  <c r="F5623" i="11"/>
  <c r="E5623" i="11"/>
  <c r="C5623" i="11"/>
  <c r="F1192" i="11"/>
  <c r="E1192" i="11"/>
  <c r="C1192" i="11"/>
  <c r="G5622" i="11"/>
  <c r="F5622" i="11"/>
  <c r="E5622" i="11"/>
  <c r="C5622" i="11"/>
  <c r="F1191" i="11"/>
  <c r="E1191" i="11"/>
  <c r="C1191" i="11"/>
  <c r="G5621" i="11"/>
  <c r="F5621" i="11"/>
  <c r="E5621" i="11"/>
  <c r="C5621" i="11"/>
  <c r="F1190" i="11"/>
  <c r="E1190" i="11"/>
  <c r="C1190" i="11"/>
  <c r="G6163" i="11"/>
  <c r="F6163" i="11"/>
  <c r="E6163" i="11"/>
  <c r="C6163" i="11"/>
  <c r="F1189" i="11"/>
  <c r="E1189" i="11"/>
  <c r="C1189" i="11"/>
  <c r="G6162" i="11"/>
  <c r="F6162" i="11"/>
  <c r="E6162" i="11"/>
  <c r="C6162" i="11"/>
  <c r="F1188" i="11"/>
  <c r="E1188" i="11"/>
  <c r="C1188" i="11"/>
  <c r="F493" i="11"/>
  <c r="E493" i="11"/>
  <c r="C493" i="11"/>
  <c r="G5620" i="11"/>
  <c r="F5620" i="11"/>
  <c r="E5620" i="11"/>
  <c r="C5620" i="11"/>
  <c r="F1187" i="11"/>
  <c r="E1187" i="11"/>
  <c r="C1187" i="11"/>
  <c r="G5619" i="11"/>
  <c r="F5619" i="11"/>
  <c r="E5619" i="11"/>
  <c r="C5619" i="11"/>
  <c r="F1186" i="11"/>
  <c r="E1186" i="11"/>
  <c r="C1186" i="11"/>
  <c r="G6161" i="11"/>
  <c r="F6161" i="11"/>
  <c r="E6161" i="11"/>
  <c r="C6161" i="11"/>
  <c r="F1185" i="11"/>
  <c r="E1185" i="11"/>
  <c r="C1185" i="11"/>
  <c r="G5618" i="11"/>
  <c r="F5618" i="11"/>
  <c r="E5618" i="11"/>
  <c r="C5618" i="11"/>
  <c r="F1184" i="11"/>
  <c r="E1184" i="11"/>
  <c r="C1184" i="11"/>
  <c r="G5617" i="11"/>
  <c r="F5617" i="11"/>
  <c r="E5617" i="11"/>
  <c r="C5617" i="11"/>
  <c r="F1183" i="11"/>
  <c r="E1183" i="11"/>
  <c r="C1183" i="11"/>
  <c r="G5616" i="11"/>
  <c r="F5616" i="11"/>
  <c r="E5616" i="11"/>
  <c r="C5616" i="11"/>
  <c r="F1182" i="11"/>
  <c r="E1182" i="11"/>
  <c r="C1182" i="11"/>
  <c r="G5615" i="11"/>
  <c r="F5615" i="11"/>
  <c r="E5615" i="11"/>
  <c r="C5615" i="11"/>
  <c r="F1181" i="11"/>
  <c r="E1181" i="11"/>
  <c r="C1181" i="11"/>
  <c r="G5614" i="11"/>
  <c r="F5614" i="11"/>
  <c r="E5614" i="11"/>
  <c r="C5614" i="11"/>
  <c r="F1180" i="11"/>
  <c r="E1180" i="11"/>
  <c r="C1180" i="11"/>
  <c r="G5613" i="11"/>
  <c r="F5613" i="11"/>
  <c r="E5613" i="11"/>
  <c r="C5613" i="11"/>
  <c r="F1179" i="11"/>
  <c r="E1179" i="11"/>
  <c r="C1179" i="11"/>
  <c r="G5612" i="11"/>
  <c r="F5612" i="11"/>
  <c r="E5612" i="11"/>
  <c r="C5612" i="11"/>
  <c r="F1178" i="11"/>
  <c r="E1178" i="11"/>
  <c r="C1178" i="11"/>
  <c r="G5611" i="11"/>
  <c r="F5611" i="11"/>
  <c r="E5611" i="11"/>
  <c r="C5611" i="11"/>
  <c r="F1177" i="11"/>
  <c r="E1177" i="11"/>
  <c r="C1177" i="11"/>
  <c r="G5610" i="11"/>
  <c r="F5610" i="11"/>
  <c r="E5610" i="11"/>
  <c r="C5610" i="11"/>
  <c r="F1176" i="11"/>
  <c r="E1176" i="11"/>
  <c r="C1176" i="11"/>
  <c r="G5609" i="11"/>
  <c r="F5609" i="11"/>
  <c r="E5609" i="11"/>
  <c r="C5609" i="11"/>
  <c r="F1175" i="11"/>
  <c r="E1175" i="11"/>
  <c r="C1175" i="11"/>
  <c r="G5608" i="11"/>
  <c r="F5608" i="11"/>
  <c r="E5608" i="11"/>
  <c r="C5608" i="11"/>
  <c r="F1174" i="11"/>
  <c r="E1174" i="11"/>
  <c r="C1174" i="11"/>
  <c r="G5607" i="11"/>
  <c r="F5607" i="11"/>
  <c r="E5607" i="11"/>
  <c r="C5607" i="11"/>
  <c r="F1173" i="11"/>
  <c r="E1173" i="11"/>
  <c r="C1173" i="11"/>
  <c r="G5606" i="11"/>
  <c r="F5606" i="11"/>
  <c r="E5606" i="11"/>
  <c r="C5606" i="11"/>
  <c r="F1172" i="11"/>
  <c r="E1172" i="11"/>
  <c r="C1172" i="11"/>
  <c r="G5605" i="11"/>
  <c r="F5605" i="11"/>
  <c r="E5605" i="11"/>
  <c r="C5605" i="11"/>
  <c r="F1171" i="11"/>
  <c r="E1171" i="11"/>
  <c r="C1171" i="11"/>
  <c r="G5604" i="11"/>
  <c r="F5604" i="11"/>
  <c r="E5604" i="11"/>
  <c r="C5604" i="11"/>
  <c r="F1170" i="11"/>
  <c r="E1170" i="11"/>
  <c r="C1170" i="11"/>
  <c r="G5603" i="11"/>
  <c r="F5603" i="11"/>
  <c r="E5603" i="11"/>
  <c r="C5603" i="11"/>
  <c r="F1169" i="11"/>
  <c r="E1169" i="11"/>
  <c r="C1169" i="11"/>
  <c r="G6160" i="11"/>
  <c r="F6160" i="11"/>
  <c r="E6160" i="11"/>
  <c r="C6160" i="11"/>
  <c r="F1168" i="11"/>
  <c r="E1168" i="11"/>
  <c r="C1168" i="11"/>
  <c r="G5602" i="11"/>
  <c r="F5602" i="11"/>
  <c r="E5602" i="11"/>
  <c r="C5602" i="11"/>
  <c r="F1167" i="11"/>
  <c r="E1167" i="11"/>
  <c r="C1167" i="11"/>
  <c r="G5601" i="11"/>
  <c r="F5601" i="11"/>
  <c r="E5601" i="11"/>
  <c r="C5601" i="11"/>
  <c r="F1166" i="11"/>
  <c r="E1166" i="11"/>
  <c r="C1166" i="11"/>
  <c r="G5600" i="11"/>
  <c r="F5600" i="11"/>
  <c r="E5600" i="11"/>
  <c r="C5600" i="11"/>
  <c r="F1165" i="11"/>
  <c r="E1165" i="11"/>
  <c r="C1165" i="11"/>
  <c r="G5599" i="11"/>
  <c r="F5599" i="11"/>
  <c r="E5599" i="11"/>
  <c r="C5599" i="11"/>
  <c r="F1164" i="11"/>
  <c r="E1164" i="11"/>
  <c r="C1164" i="11"/>
  <c r="G5598" i="11"/>
  <c r="F5598" i="11"/>
  <c r="E5598" i="11"/>
  <c r="C5598" i="11"/>
  <c r="F1163" i="11"/>
  <c r="E1163" i="11"/>
  <c r="C1163" i="11"/>
  <c r="G5597" i="11"/>
  <c r="F5597" i="11"/>
  <c r="E5597" i="11"/>
  <c r="C5597" i="11"/>
  <c r="F1162" i="11"/>
  <c r="E1162" i="11"/>
  <c r="C1162" i="11"/>
  <c r="G5596" i="11"/>
  <c r="F5596" i="11"/>
  <c r="E5596" i="11"/>
  <c r="C5596" i="11"/>
  <c r="F1161" i="11"/>
  <c r="E1161" i="11"/>
  <c r="C1161" i="11"/>
  <c r="G5595" i="11"/>
  <c r="F5595" i="11"/>
  <c r="E5595" i="11"/>
  <c r="C5595" i="11"/>
  <c r="F1160" i="11"/>
  <c r="E1160" i="11"/>
  <c r="C1160" i="11"/>
  <c r="G5594" i="11"/>
  <c r="F5594" i="11"/>
  <c r="E5594" i="11"/>
  <c r="C5594" i="11"/>
  <c r="F1159" i="11"/>
  <c r="E1159" i="11"/>
  <c r="C1159" i="11"/>
  <c r="G5593" i="11"/>
  <c r="F5593" i="11"/>
  <c r="E5593" i="11"/>
  <c r="C5593" i="11"/>
  <c r="F1158" i="11"/>
  <c r="E1158" i="11"/>
  <c r="C1158" i="11"/>
  <c r="G5592" i="11"/>
  <c r="F5592" i="11"/>
  <c r="E5592" i="11"/>
  <c r="C5592" i="11"/>
  <c r="F1157" i="11"/>
  <c r="E1157" i="11"/>
  <c r="C1157" i="11"/>
  <c r="G5591" i="11"/>
  <c r="F5591" i="11"/>
  <c r="E5591" i="11"/>
  <c r="C5591" i="11"/>
  <c r="F1156" i="11"/>
  <c r="E1156" i="11"/>
  <c r="C1156" i="11"/>
  <c r="G5590" i="11"/>
  <c r="F5590" i="11"/>
  <c r="E5590" i="11"/>
  <c r="C5590" i="11"/>
  <c r="F1155" i="11"/>
  <c r="E1155" i="11"/>
  <c r="C1155" i="11"/>
  <c r="G5589" i="11"/>
  <c r="F5589" i="11"/>
  <c r="E5589" i="11"/>
  <c r="C5589" i="11"/>
  <c r="F1154" i="11"/>
  <c r="E1154" i="11"/>
  <c r="C1154" i="11"/>
  <c r="G5588" i="11"/>
  <c r="F5588" i="11"/>
  <c r="E5588" i="11"/>
  <c r="C5588" i="11"/>
  <c r="F1153" i="11"/>
  <c r="E1153" i="11"/>
  <c r="C1153" i="11"/>
  <c r="G5587" i="11"/>
  <c r="F5587" i="11"/>
  <c r="E5587" i="11"/>
  <c r="C5587" i="11"/>
  <c r="F1152" i="11"/>
  <c r="E1152" i="11"/>
  <c r="C1152" i="11"/>
  <c r="G5586" i="11"/>
  <c r="F5586" i="11"/>
  <c r="E5586" i="11"/>
  <c r="C5586" i="11"/>
  <c r="F1151" i="11"/>
  <c r="E1151" i="11"/>
  <c r="C1151" i="11"/>
  <c r="G5585" i="11"/>
  <c r="F5585" i="11"/>
  <c r="E5585" i="11"/>
  <c r="C5585" i="11"/>
  <c r="F1150" i="11"/>
  <c r="E1150" i="11"/>
  <c r="C1150" i="11"/>
  <c r="G5584" i="11"/>
  <c r="F5584" i="11"/>
  <c r="E5584" i="11"/>
  <c r="C5584" i="11"/>
  <c r="F1149" i="11"/>
  <c r="E1149" i="11"/>
  <c r="C1149" i="11"/>
  <c r="G5583" i="11"/>
  <c r="F5583" i="11"/>
  <c r="E5583" i="11"/>
  <c r="C5583" i="11"/>
  <c r="F1148" i="11"/>
  <c r="E1148" i="11"/>
  <c r="C1148" i="11"/>
  <c r="G5582" i="11"/>
  <c r="F5582" i="11"/>
  <c r="E5582" i="11"/>
  <c r="C5582" i="11"/>
  <c r="F1147" i="11"/>
  <c r="E1147" i="11"/>
  <c r="C1147" i="11"/>
  <c r="G5581" i="11"/>
  <c r="F5581" i="11"/>
  <c r="E5581" i="11"/>
  <c r="C5581" i="11"/>
  <c r="F1146" i="11"/>
  <c r="E1146" i="11"/>
  <c r="C1146" i="11"/>
  <c r="G5580" i="11"/>
  <c r="F5580" i="11"/>
  <c r="E5580" i="11"/>
  <c r="C5580" i="11"/>
  <c r="F1145" i="11"/>
  <c r="E1145" i="11"/>
  <c r="C1145" i="11"/>
  <c r="G5579" i="11"/>
  <c r="F5579" i="11"/>
  <c r="E5579" i="11"/>
  <c r="C5579" i="11"/>
  <c r="F1144" i="11"/>
  <c r="E1144" i="11"/>
  <c r="C1144" i="11"/>
  <c r="G5578" i="11"/>
  <c r="F5578" i="11"/>
  <c r="E5578" i="11"/>
  <c r="C5578" i="11"/>
  <c r="F1143" i="11"/>
  <c r="E1143" i="11"/>
  <c r="C1143" i="11"/>
  <c r="G5577" i="11"/>
  <c r="F5577" i="11"/>
  <c r="E5577" i="11"/>
  <c r="C5577" i="11"/>
  <c r="F1142" i="11"/>
  <c r="E1142" i="11"/>
  <c r="C1142" i="11"/>
  <c r="G6159" i="11"/>
  <c r="F6159" i="11"/>
  <c r="E6159" i="11"/>
  <c r="C6159" i="11"/>
  <c r="F1141" i="11"/>
  <c r="E1141" i="11"/>
  <c r="C1141" i="11"/>
  <c r="G5576" i="11"/>
  <c r="F5576" i="11"/>
  <c r="E5576" i="11"/>
  <c r="C5576" i="11"/>
  <c r="F1140" i="11"/>
  <c r="E1140" i="11"/>
  <c r="C1140" i="11"/>
  <c r="G5575" i="11"/>
  <c r="F5575" i="11"/>
  <c r="E5575" i="11"/>
  <c r="C5575" i="11"/>
  <c r="F1139" i="11"/>
  <c r="E1139" i="11"/>
  <c r="C1139" i="11"/>
  <c r="G5574" i="11"/>
  <c r="F5574" i="11"/>
  <c r="E5574" i="11"/>
  <c r="C5574" i="11"/>
  <c r="F1138" i="11"/>
  <c r="E1138" i="11"/>
  <c r="C1138" i="11"/>
  <c r="G5573" i="11"/>
  <c r="F5573" i="11"/>
  <c r="E5573" i="11"/>
  <c r="C5573" i="11"/>
  <c r="F1137" i="11"/>
  <c r="E1137" i="11"/>
  <c r="C1137" i="11"/>
  <c r="G5572" i="11"/>
  <c r="F5572" i="11"/>
  <c r="E5572" i="11"/>
  <c r="C5572" i="11"/>
  <c r="F1136" i="11"/>
  <c r="E1136" i="11"/>
  <c r="C1136" i="11"/>
  <c r="G5571" i="11"/>
  <c r="F5571" i="11"/>
  <c r="E5571" i="11"/>
  <c r="C5571" i="11"/>
  <c r="F1135" i="11"/>
  <c r="E1135" i="11"/>
  <c r="C1135" i="11"/>
  <c r="G5570" i="11"/>
  <c r="F5570" i="11"/>
  <c r="E5570" i="11"/>
  <c r="C5570" i="11"/>
  <c r="F1134" i="11"/>
  <c r="E1134" i="11"/>
  <c r="C1134" i="11"/>
  <c r="G6158" i="11"/>
  <c r="F6158" i="11"/>
  <c r="E6158" i="11"/>
  <c r="C6158" i="11"/>
  <c r="F1133" i="11"/>
  <c r="E1133" i="11"/>
  <c r="C1133" i="11"/>
  <c r="G5569" i="11"/>
  <c r="F5569" i="11"/>
  <c r="E5569" i="11"/>
  <c r="C5569" i="11"/>
  <c r="F1132" i="11"/>
  <c r="E1132" i="11"/>
  <c r="C1132" i="11"/>
  <c r="G6157" i="11"/>
  <c r="F6157" i="11"/>
  <c r="E6157" i="11"/>
  <c r="C6157" i="11"/>
  <c r="F492" i="11"/>
  <c r="E492" i="11"/>
  <c r="C492" i="11"/>
  <c r="G5568" i="11"/>
  <c r="F5568" i="11"/>
  <c r="E5568" i="11"/>
  <c r="C5568" i="11"/>
  <c r="F1131" i="11"/>
  <c r="E1131" i="11"/>
  <c r="C1131" i="11"/>
  <c r="G5567" i="11"/>
  <c r="F5567" i="11"/>
  <c r="E5567" i="11"/>
  <c r="C5567" i="11"/>
  <c r="F1130" i="11"/>
  <c r="E1130" i="11"/>
  <c r="C1130" i="11"/>
  <c r="G5566" i="11"/>
  <c r="F5566" i="11"/>
  <c r="E5566" i="11"/>
  <c r="C5566" i="11"/>
  <c r="F1129" i="11"/>
  <c r="E1129" i="11"/>
  <c r="C1129" i="11"/>
  <c r="G5565" i="11"/>
  <c r="F5565" i="11"/>
  <c r="E5565" i="11"/>
  <c r="C5565" i="11"/>
  <c r="F1128" i="11"/>
  <c r="E1128" i="11"/>
  <c r="C1128" i="11"/>
  <c r="G6156" i="11"/>
  <c r="F6156" i="11"/>
  <c r="E6156" i="11"/>
  <c r="C6156" i="11"/>
  <c r="F491" i="11"/>
  <c r="E491" i="11"/>
  <c r="C491" i="11"/>
  <c r="G5564" i="11"/>
  <c r="F5564" i="11"/>
  <c r="E5564" i="11"/>
  <c r="C5564" i="11"/>
  <c r="F1127" i="11"/>
  <c r="E1127" i="11"/>
  <c r="C1127" i="11"/>
  <c r="G6155" i="11"/>
  <c r="F6155" i="11"/>
  <c r="E6155" i="11"/>
  <c r="C6155" i="11"/>
  <c r="F490" i="11"/>
  <c r="E490" i="11"/>
  <c r="C490" i="11"/>
  <c r="G5563" i="11"/>
  <c r="F5563" i="11"/>
  <c r="E5563" i="11"/>
  <c r="C5563" i="11"/>
  <c r="F1126" i="11"/>
  <c r="E1126" i="11"/>
  <c r="C1126" i="11"/>
  <c r="G5562" i="11"/>
  <c r="F5562" i="11"/>
  <c r="E5562" i="11"/>
  <c r="C5562" i="11"/>
  <c r="F1125" i="11"/>
  <c r="E1125" i="11"/>
  <c r="C1125" i="11"/>
  <c r="G6154" i="11"/>
  <c r="F6154" i="11"/>
  <c r="E6154" i="11"/>
  <c r="C6154" i="11"/>
  <c r="F489" i="11"/>
  <c r="E489" i="11"/>
  <c r="C489" i="11"/>
  <c r="G6153" i="11"/>
  <c r="F6153" i="11"/>
  <c r="E6153" i="11"/>
  <c r="C6153" i="11"/>
  <c r="F488" i="11"/>
  <c r="E488" i="11"/>
  <c r="C488" i="11"/>
  <c r="G5561" i="11"/>
  <c r="F5561" i="11"/>
  <c r="E5561" i="11"/>
  <c r="C5561" i="11"/>
  <c r="F1124" i="11"/>
  <c r="E1124" i="11"/>
  <c r="C1124" i="11"/>
  <c r="G5560" i="11"/>
  <c r="F5560" i="11"/>
  <c r="E5560" i="11"/>
  <c r="C5560" i="11"/>
  <c r="F1123" i="11"/>
  <c r="E1123" i="11"/>
  <c r="C1123" i="11"/>
  <c r="G5398" i="11"/>
  <c r="F5398" i="11"/>
  <c r="E5398" i="11"/>
  <c r="C5398" i="11"/>
  <c r="F199" i="11"/>
  <c r="E199" i="11"/>
  <c r="C199" i="11"/>
  <c r="G5559" i="11"/>
  <c r="F5559" i="11"/>
  <c r="E5559" i="11"/>
  <c r="C5559" i="11"/>
  <c r="F1122" i="11"/>
  <c r="E1122" i="11"/>
  <c r="C1122" i="11"/>
  <c r="G5261" i="11"/>
  <c r="F5261" i="11"/>
  <c r="E5261" i="11"/>
  <c r="C5261" i="11"/>
  <c r="F1121" i="11"/>
  <c r="E1121" i="11"/>
  <c r="C1121" i="11"/>
  <c r="F487" i="11"/>
  <c r="E487" i="11"/>
  <c r="C487" i="11"/>
  <c r="F297" i="11"/>
  <c r="E297" i="11"/>
  <c r="C297" i="11"/>
  <c r="G6152" i="11"/>
  <c r="F6152" i="11"/>
  <c r="E6152" i="11"/>
  <c r="C6152" i="11"/>
  <c r="F486" i="11"/>
  <c r="E486" i="11"/>
  <c r="C486" i="11"/>
  <c r="G6151" i="11"/>
  <c r="F6151" i="11"/>
  <c r="E6151" i="11"/>
  <c r="C6151" i="11"/>
  <c r="F1120" i="11"/>
  <c r="E1120" i="11"/>
  <c r="C1120" i="11"/>
  <c r="G6150" i="11"/>
  <c r="F6150" i="11"/>
  <c r="E6150" i="11"/>
  <c r="C6150" i="11"/>
  <c r="F1119" i="11"/>
  <c r="E1119" i="11"/>
  <c r="C1119" i="11"/>
  <c r="G5397" i="11"/>
  <c r="F5397" i="11"/>
  <c r="E5397" i="11"/>
  <c r="C5397" i="11"/>
  <c r="F198" i="11"/>
  <c r="E198" i="11"/>
  <c r="C198" i="11"/>
  <c r="G5396" i="11"/>
  <c r="F5396" i="11"/>
  <c r="E5396" i="11"/>
  <c r="C5396" i="11"/>
  <c r="F197" i="11"/>
  <c r="E197" i="11"/>
  <c r="C197" i="11"/>
  <c r="G5558" i="11"/>
  <c r="F5558" i="11"/>
  <c r="E5558" i="11"/>
  <c r="C5558" i="11"/>
  <c r="F1118" i="11"/>
  <c r="E1118" i="11"/>
  <c r="C1118" i="11"/>
  <c r="G6149" i="11"/>
  <c r="F6149" i="11"/>
  <c r="E6149" i="11"/>
  <c r="C6149" i="11"/>
  <c r="F1117" i="11"/>
  <c r="E1117" i="11"/>
  <c r="C1117" i="11"/>
  <c r="G5557" i="11"/>
  <c r="F5557" i="11"/>
  <c r="E5557" i="11"/>
  <c r="C5557" i="11"/>
  <c r="F1116" i="11"/>
  <c r="E1116" i="11"/>
  <c r="C1116" i="11"/>
  <c r="G5556" i="11"/>
  <c r="F5556" i="11"/>
  <c r="E5556" i="11"/>
  <c r="C5556" i="11"/>
  <c r="F1115" i="11"/>
  <c r="E1115" i="11"/>
  <c r="C1115" i="11"/>
  <c r="G5260" i="11"/>
  <c r="F5260" i="11"/>
  <c r="E5260" i="11"/>
  <c r="C5260" i="11"/>
  <c r="F296" i="11"/>
  <c r="E296" i="11"/>
  <c r="C296" i="11"/>
  <c r="G5259" i="11"/>
  <c r="F5259" i="11"/>
  <c r="E5259" i="11"/>
  <c r="C5259" i="11"/>
  <c r="F1114" i="11"/>
  <c r="E1114" i="11"/>
  <c r="C1114" i="11"/>
  <c r="G5258" i="11"/>
  <c r="F5258" i="11"/>
  <c r="E5258" i="11"/>
  <c r="C5258" i="11"/>
  <c r="F485" i="11"/>
  <c r="E485" i="11"/>
  <c r="C485" i="11"/>
  <c r="G6148" i="11"/>
  <c r="F6148" i="11"/>
  <c r="E6148" i="11"/>
  <c r="C6148" i="11"/>
  <c r="F484" i="11"/>
  <c r="E484" i="11"/>
  <c r="C484" i="11"/>
  <c r="G6147" i="11"/>
  <c r="F6147" i="11"/>
  <c r="E6147" i="11"/>
  <c r="C6147" i="11"/>
  <c r="F483" i="11"/>
  <c r="E483" i="11"/>
  <c r="C483" i="11"/>
  <c r="G6146" i="11"/>
  <c r="F6146" i="11"/>
  <c r="E6146" i="11"/>
  <c r="C6146" i="11"/>
  <c r="F482" i="11"/>
  <c r="E482" i="11"/>
  <c r="C482" i="11"/>
  <c r="G6145" i="11"/>
  <c r="F6145" i="11"/>
  <c r="E6145" i="11"/>
  <c r="C6145" i="11"/>
  <c r="F1113" i="11"/>
  <c r="E1113" i="11"/>
  <c r="C1113" i="11"/>
  <c r="F481" i="11"/>
  <c r="E481" i="11"/>
  <c r="C481" i="11"/>
  <c r="G5555" i="11"/>
  <c r="F5555" i="11"/>
  <c r="E5555" i="11"/>
  <c r="C5555" i="11"/>
  <c r="F1112" i="11"/>
  <c r="E1112" i="11"/>
  <c r="C1112" i="11"/>
  <c r="F480" i="11"/>
  <c r="E480" i="11"/>
  <c r="C480" i="11"/>
  <c r="G5554" i="11"/>
  <c r="F5554" i="11"/>
  <c r="E5554" i="11"/>
  <c r="C5554" i="11"/>
  <c r="F1111" i="11"/>
  <c r="E1111" i="11"/>
  <c r="C1111" i="11"/>
  <c r="F479" i="11"/>
  <c r="E479" i="11"/>
  <c r="C479" i="11"/>
  <c r="G5257" i="11"/>
  <c r="F5257" i="11"/>
  <c r="E5257" i="11"/>
  <c r="C5257" i="11"/>
  <c r="F295" i="11"/>
  <c r="E295" i="11"/>
  <c r="C295" i="11"/>
  <c r="G5553" i="11"/>
  <c r="F5553" i="11"/>
  <c r="E5553" i="11"/>
  <c r="C5553" i="11"/>
  <c r="F1110" i="11"/>
  <c r="E1110" i="11"/>
  <c r="C1110" i="11"/>
  <c r="G5256" i="11"/>
  <c r="F5256" i="11"/>
  <c r="E5256" i="11"/>
  <c r="C5256" i="11"/>
  <c r="F1109" i="11"/>
  <c r="E1109" i="11"/>
  <c r="C1109" i="11"/>
  <c r="G5552" i="11"/>
  <c r="F5552" i="11"/>
  <c r="E5552" i="11"/>
  <c r="C5552" i="11"/>
  <c r="F1108" i="11"/>
  <c r="E1108" i="11"/>
  <c r="C1108" i="11"/>
  <c r="G6144" i="11"/>
  <c r="F6144" i="11"/>
  <c r="E6144" i="11"/>
  <c r="C6144" i="11"/>
  <c r="F478" i="11"/>
  <c r="E478" i="11"/>
  <c r="C478" i="11"/>
  <c r="G6143" i="11"/>
  <c r="F6143" i="11"/>
  <c r="E6143" i="11"/>
  <c r="C6143" i="11"/>
  <c r="F477" i="11"/>
  <c r="E477" i="11"/>
  <c r="C477" i="11"/>
  <c r="G5551" i="11"/>
  <c r="F5551" i="11"/>
  <c r="E5551" i="11"/>
  <c r="C5551" i="11"/>
  <c r="F1107" i="11"/>
  <c r="E1107" i="11"/>
  <c r="C1107" i="11"/>
  <c r="G6142" i="11"/>
  <c r="F6142" i="11"/>
  <c r="E6142" i="11"/>
  <c r="C6142" i="11"/>
  <c r="F476" i="11"/>
  <c r="E476" i="11"/>
  <c r="C476" i="11"/>
  <c r="G5395" i="11"/>
  <c r="F5395" i="11"/>
  <c r="E5395" i="11"/>
  <c r="C5395" i="11"/>
  <c r="F196" i="11"/>
  <c r="E196" i="11"/>
  <c r="C196" i="11"/>
  <c r="G6141" i="11"/>
  <c r="F6141" i="11"/>
  <c r="E6141" i="11"/>
  <c r="C6141" i="11"/>
  <c r="F475" i="11"/>
  <c r="E475" i="11"/>
  <c r="C475" i="11"/>
  <c r="G6140" i="11"/>
  <c r="F6140" i="11"/>
  <c r="E6140" i="11"/>
  <c r="C6140" i="11"/>
  <c r="F474" i="11"/>
  <c r="E474" i="11"/>
  <c r="C474" i="11"/>
  <c r="G5394" i="11"/>
  <c r="F5394" i="11"/>
  <c r="E5394" i="11"/>
  <c r="C5394" i="11"/>
  <c r="F195" i="11"/>
  <c r="E195" i="11"/>
  <c r="C195" i="11"/>
  <c r="G5550" i="11"/>
  <c r="F5550" i="11"/>
  <c r="E5550" i="11"/>
  <c r="C5550" i="11"/>
  <c r="F1106" i="11"/>
  <c r="E1106" i="11"/>
  <c r="C1106" i="11"/>
  <c r="G6139" i="11"/>
  <c r="F6139" i="11"/>
  <c r="E6139" i="11"/>
  <c r="C6139" i="11"/>
  <c r="F1105" i="11"/>
  <c r="E1105" i="11"/>
  <c r="C1105" i="11"/>
  <c r="F473" i="11"/>
  <c r="E473" i="11"/>
  <c r="C473" i="11"/>
  <c r="G6138" i="11"/>
  <c r="F6138" i="11"/>
  <c r="E6138" i="11"/>
  <c r="C6138" i="11"/>
  <c r="F1104" i="11"/>
  <c r="E1104" i="11"/>
  <c r="C1104" i="11"/>
  <c r="F472" i="11"/>
  <c r="E472" i="11"/>
  <c r="C472" i="11"/>
  <c r="G5549" i="11"/>
  <c r="F5549" i="11"/>
  <c r="E5549" i="11"/>
  <c r="C5549" i="11"/>
  <c r="F1103" i="11"/>
  <c r="E1103" i="11"/>
  <c r="C1103" i="11"/>
  <c r="G6137" i="11"/>
  <c r="F6137" i="11"/>
  <c r="E6137" i="11"/>
  <c r="C6137" i="11"/>
  <c r="F471" i="11"/>
  <c r="E471" i="11"/>
  <c r="C471" i="11"/>
  <c r="G5548" i="11"/>
  <c r="F5548" i="11"/>
  <c r="E5548" i="11"/>
  <c r="C5548" i="11"/>
  <c r="F1102" i="11"/>
  <c r="E1102" i="11"/>
  <c r="C1102" i="11"/>
  <c r="G6136" i="11"/>
  <c r="F6136" i="11"/>
  <c r="E6136" i="11"/>
  <c r="C6136" i="11"/>
  <c r="F1101" i="11"/>
  <c r="E1101" i="11"/>
  <c r="C1101" i="11"/>
  <c r="G5255" i="11"/>
  <c r="F5255" i="11"/>
  <c r="E5255" i="11"/>
  <c r="C5255" i="11"/>
  <c r="F294" i="11"/>
  <c r="E294" i="11"/>
  <c r="C294" i="11"/>
  <c r="G5254" i="11"/>
  <c r="F5254" i="11"/>
  <c r="E5254" i="11"/>
  <c r="C5254" i="11"/>
  <c r="F293" i="11"/>
  <c r="E293" i="11"/>
  <c r="C293" i="11"/>
  <c r="G5547" i="11"/>
  <c r="F5547" i="11"/>
  <c r="E5547" i="11"/>
  <c r="C5547" i="11"/>
  <c r="F1100" i="11"/>
  <c r="E1100" i="11"/>
  <c r="C1100" i="11"/>
  <c r="G6135" i="11"/>
  <c r="F6135" i="11"/>
  <c r="E6135" i="11"/>
  <c r="C6135" i="11"/>
  <c r="F1099" i="11"/>
  <c r="E1099" i="11"/>
  <c r="C1099" i="11"/>
  <c r="G5546" i="11"/>
  <c r="F5546" i="11"/>
  <c r="E5546" i="11"/>
  <c r="C5546" i="11"/>
  <c r="F1098" i="11"/>
  <c r="E1098" i="11"/>
  <c r="C1098" i="11"/>
  <c r="G5545" i="11"/>
  <c r="F5545" i="11"/>
  <c r="E5545" i="11"/>
  <c r="C5545" i="11"/>
  <c r="F1097" i="11"/>
  <c r="E1097" i="11"/>
  <c r="C1097" i="11"/>
  <c r="G5544" i="11"/>
  <c r="F5544" i="11"/>
  <c r="E5544" i="11"/>
  <c r="C5544" i="11"/>
  <c r="F1096" i="11"/>
  <c r="E1096" i="11"/>
  <c r="C1096" i="11"/>
  <c r="G6134" i="11"/>
  <c r="F6134" i="11"/>
  <c r="E6134" i="11"/>
  <c r="C6134" i="11"/>
  <c r="F1095" i="11"/>
  <c r="E1095" i="11"/>
  <c r="C1095" i="11"/>
  <c r="G5543" i="11"/>
  <c r="F5543" i="11"/>
  <c r="E5543" i="11"/>
  <c r="C5543" i="11"/>
  <c r="F1094" i="11"/>
  <c r="E1094" i="11"/>
  <c r="C1094" i="11"/>
  <c r="G5542" i="11"/>
  <c r="F5542" i="11"/>
  <c r="E5542" i="11"/>
  <c r="C5542" i="11"/>
  <c r="F1093" i="11"/>
  <c r="E1093" i="11"/>
  <c r="C1093" i="11"/>
  <c r="G5541" i="11"/>
  <c r="F5541" i="11"/>
  <c r="E5541" i="11"/>
  <c r="C5541" i="11"/>
  <c r="F1092" i="11"/>
  <c r="E1092" i="11"/>
  <c r="C1092" i="11"/>
  <c r="G6133" i="11"/>
  <c r="F6133" i="11"/>
  <c r="E6133" i="11"/>
  <c r="C6133" i="11"/>
  <c r="F1091" i="11"/>
  <c r="E1091" i="11"/>
  <c r="C1091" i="11"/>
  <c r="G5540" i="11"/>
  <c r="F5540" i="11"/>
  <c r="E5540" i="11"/>
  <c r="C5540" i="11"/>
  <c r="F1090" i="11"/>
  <c r="E1090" i="11"/>
  <c r="C1090" i="11"/>
  <c r="G6132" i="11"/>
  <c r="F6132" i="11"/>
  <c r="E6132" i="11"/>
  <c r="C6132" i="11"/>
  <c r="F470" i="11"/>
  <c r="E470" i="11"/>
  <c r="C470" i="11"/>
  <c r="G6131" i="11"/>
  <c r="F6131" i="11"/>
  <c r="E6131" i="11"/>
  <c r="C6131" i="11"/>
  <c r="F1089" i="11"/>
  <c r="E1089" i="11"/>
  <c r="C1089" i="11"/>
  <c r="G6130" i="11"/>
  <c r="F6130" i="11"/>
  <c r="E6130" i="11"/>
  <c r="C6130" i="11"/>
  <c r="F1088" i="11"/>
  <c r="E1088" i="11"/>
  <c r="C1088" i="11"/>
  <c r="G5393" i="11"/>
  <c r="F5393" i="11"/>
  <c r="E5393" i="11"/>
  <c r="C5393" i="11"/>
  <c r="F194" i="11"/>
  <c r="E194" i="11"/>
  <c r="C194" i="11"/>
  <c r="G6129" i="11"/>
  <c r="F6129" i="11"/>
  <c r="E6129" i="11"/>
  <c r="C6129" i="11"/>
  <c r="F1087" i="11"/>
  <c r="E1087" i="11"/>
  <c r="C1087" i="11"/>
  <c r="G6128" i="11"/>
  <c r="F6128" i="11"/>
  <c r="E6128" i="11"/>
  <c r="C6128" i="11"/>
  <c r="F1086" i="11"/>
  <c r="E1086" i="11"/>
  <c r="C1086" i="11"/>
  <c r="F469" i="11"/>
  <c r="E469" i="11"/>
  <c r="C469" i="11"/>
  <c r="G5392" i="11"/>
  <c r="F5392" i="11"/>
  <c r="E5392" i="11"/>
  <c r="C5392" i="11"/>
  <c r="F193" i="11"/>
  <c r="E193" i="11"/>
  <c r="C193" i="11"/>
  <c r="G5539" i="11"/>
  <c r="F5539" i="11"/>
  <c r="E5539" i="11"/>
  <c r="C5539" i="11"/>
  <c r="F1085" i="11"/>
  <c r="E1085" i="11"/>
  <c r="C1085" i="11"/>
  <c r="G5538" i="11"/>
  <c r="F5538" i="11"/>
  <c r="E5538" i="11"/>
  <c r="C5538" i="11"/>
  <c r="F1084" i="11"/>
  <c r="E1084" i="11"/>
  <c r="C1084" i="11"/>
  <c r="G6127" i="11"/>
  <c r="F6127" i="11"/>
  <c r="E6127" i="11"/>
  <c r="C6127" i="11"/>
  <c r="F1083" i="11"/>
  <c r="E1083" i="11"/>
  <c r="C1083" i="11"/>
  <c r="G5537" i="11"/>
  <c r="F5537" i="11"/>
  <c r="E5537" i="11"/>
  <c r="C5537" i="11"/>
  <c r="F1082" i="11"/>
  <c r="E1082" i="11"/>
  <c r="C1082" i="11"/>
  <c r="G6126" i="11"/>
  <c r="F6126" i="11"/>
  <c r="E6126" i="11"/>
  <c r="C6126" i="11"/>
  <c r="F1081" i="11"/>
  <c r="E1081" i="11"/>
  <c r="C1081" i="11"/>
  <c r="G5536" i="11"/>
  <c r="F5536" i="11"/>
  <c r="E5536" i="11"/>
  <c r="C5536" i="11"/>
  <c r="F1080" i="11"/>
  <c r="E1080" i="11"/>
  <c r="C1080" i="11"/>
  <c r="G5535" i="11"/>
  <c r="F5535" i="11"/>
  <c r="E5535" i="11"/>
  <c r="C5535" i="11"/>
  <c r="F1079" i="11"/>
  <c r="E1079" i="11"/>
  <c r="C1079" i="11"/>
  <c r="G5534" i="11"/>
  <c r="F5534" i="11"/>
  <c r="E5534" i="11"/>
  <c r="C5534" i="11"/>
  <c r="F1078" i="11"/>
  <c r="E1078" i="11"/>
  <c r="C1078" i="11"/>
  <c r="G5533" i="11"/>
  <c r="F5533" i="11"/>
  <c r="E5533" i="11"/>
  <c r="C5533" i="11"/>
  <c r="F1077" i="11"/>
  <c r="E1077" i="11"/>
  <c r="C1077" i="11"/>
  <c r="G5532" i="11"/>
  <c r="F5532" i="11"/>
  <c r="E5532" i="11"/>
  <c r="C5532" i="11"/>
  <c r="F1076" i="11"/>
  <c r="E1076" i="11"/>
  <c r="C1076" i="11"/>
  <c r="G5531" i="11"/>
  <c r="F5531" i="11"/>
  <c r="E5531" i="11"/>
  <c r="C5531" i="11"/>
  <c r="F468" i="11"/>
  <c r="E468" i="11"/>
  <c r="C468" i="11"/>
  <c r="G5253" i="11"/>
  <c r="F5253" i="11"/>
  <c r="E5253" i="11"/>
  <c r="C5253" i="11"/>
  <c r="F292" i="11"/>
  <c r="E292" i="11"/>
  <c r="C292" i="11"/>
  <c r="G5252" i="11"/>
  <c r="F5252" i="11"/>
  <c r="E5252" i="11"/>
  <c r="C5252" i="11"/>
  <c r="F291" i="11"/>
  <c r="E291" i="11"/>
  <c r="C291" i="11"/>
  <c r="G6125" i="11"/>
  <c r="F6125" i="11"/>
  <c r="E6125" i="11"/>
  <c r="C6125" i="11"/>
  <c r="F467" i="11"/>
  <c r="E467" i="11"/>
  <c r="C467" i="11"/>
  <c r="G5530" i="11"/>
  <c r="F5530" i="11"/>
  <c r="E5530" i="11"/>
  <c r="C5530" i="11"/>
  <c r="F1075" i="11"/>
  <c r="E1075" i="11"/>
  <c r="C1075" i="11"/>
  <c r="G6124" i="11"/>
  <c r="F6124" i="11"/>
  <c r="E6124" i="11"/>
  <c r="C6124" i="11"/>
  <c r="F1074" i="11"/>
  <c r="E1074" i="11"/>
  <c r="C1074" i="11"/>
  <c r="F466" i="11"/>
  <c r="E466" i="11"/>
  <c r="C466" i="11"/>
  <c r="G6123" i="11"/>
  <c r="F6123" i="11"/>
  <c r="E6123" i="11"/>
  <c r="C6123" i="11"/>
  <c r="F465" i="11"/>
  <c r="E465" i="11"/>
  <c r="C465" i="11"/>
  <c r="G5391" i="11"/>
  <c r="F5391" i="11"/>
  <c r="E5391" i="11"/>
  <c r="C5391" i="11"/>
  <c r="F192" i="11"/>
  <c r="E192" i="11"/>
  <c r="C192" i="11"/>
  <c r="G5529" i="11"/>
  <c r="F5529" i="11"/>
  <c r="E5529" i="11"/>
  <c r="C5529" i="11"/>
  <c r="F1073" i="11"/>
  <c r="E1073" i="11"/>
  <c r="C1073" i="11"/>
  <c r="G5528" i="11"/>
  <c r="F5528" i="11"/>
  <c r="E5528" i="11"/>
  <c r="C5528" i="11"/>
  <c r="F1072" i="11"/>
  <c r="E1072" i="11"/>
  <c r="C1072" i="11"/>
  <c r="G5390" i="11"/>
  <c r="F5390" i="11"/>
  <c r="E5390" i="11"/>
  <c r="C5390" i="11"/>
  <c r="F191" i="11"/>
  <c r="E191" i="11"/>
  <c r="C191" i="11"/>
  <c r="G5389" i="11"/>
  <c r="F5389" i="11"/>
  <c r="E5389" i="11"/>
  <c r="C5389" i="11"/>
  <c r="F190" i="11"/>
  <c r="E190" i="11"/>
  <c r="C190" i="11"/>
  <c r="G5527" i="11"/>
  <c r="F5527" i="11"/>
  <c r="E5527" i="11"/>
  <c r="C5527" i="11"/>
  <c r="F1071" i="11"/>
  <c r="E1071" i="11"/>
  <c r="C1071" i="11"/>
  <c r="G5526" i="11"/>
  <c r="F5526" i="11"/>
  <c r="E5526" i="11"/>
  <c r="C5526" i="11"/>
  <c r="F1070" i="11"/>
  <c r="E1070" i="11"/>
  <c r="C1070" i="11"/>
  <c r="F189" i="11"/>
  <c r="E189" i="11"/>
  <c r="C189" i="11"/>
  <c r="G6122" i="11"/>
  <c r="F6122" i="11"/>
  <c r="E6122" i="11"/>
  <c r="C6122" i="11"/>
  <c r="F464" i="11"/>
  <c r="E464" i="11"/>
  <c r="C464" i="11"/>
  <c r="G6121" i="11"/>
  <c r="F6121" i="11"/>
  <c r="E6121" i="11"/>
  <c r="C6121" i="11"/>
  <c r="F1069" i="11"/>
  <c r="E1069" i="11"/>
  <c r="C1069" i="11"/>
  <c r="F463" i="11"/>
  <c r="E463" i="11"/>
  <c r="C463" i="11"/>
  <c r="G6120" i="11"/>
  <c r="F6120" i="11"/>
  <c r="E6120" i="11"/>
  <c r="C6120" i="11"/>
  <c r="F1068" i="11"/>
  <c r="E1068" i="11"/>
  <c r="C1068" i="11"/>
  <c r="G6119" i="11"/>
  <c r="F6119" i="11"/>
  <c r="E6119" i="11"/>
  <c r="C6119" i="11"/>
  <c r="F1067" i="11"/>
  <c r="E1067" i="11"/>
  <c r="C1067" i="11"/>
  <c r="G5251" i="11"/>
  <c r="F5251" i="11"/>
  <c r="E5251" i="11"/>
  <c r="C5251" i="11"/>
  <c r="F1066" i="11"/>
  <c r="E1066" i="11"/>
  <c r="C1066" i="11"/>
  <c r="G5388" i="11"/>
  <c r="F5388" i="11"/>
  <c r="E5388" i="11"/>
  <c r="C5388" i="11"/>
  <c r="F188" i="11"/>
  <c r="E188" i="11"/>
  <c r="C188" i="11"/>
  <c r="G5250" i="11"/>
  <c r="F5250" i="11"/>
  <c r="E5250" i="11"/>
  <c r="C5250" i="11"/>
  <c r="F290" i="11"/>
  <c r="E290" i="11"/>
  <c r="C290" i="11"/>
  <c r="G5525" i="11"/>
  <c r="F5525" i="11"/>
  <c r="E5525" i="11"/>
  <c r="C5525" i="11"/>
  <c r="F1065" i="11"/>
  <c r="E1065" i="11"/>
  <c r="C1065" i="11"/>
  <c r="G6118" i="11"/>
  <c r="F6118" i="11"/>
  <c r="E6118" i="11"/>
  <c r="C6118" i="11"/>
  <c r="F1064" i="11"/>
  <c r="E1064" i="11"/>
  <c r="C1064" i="11"/>
  <c r="G6117" i="11"/>
  <c r="F6117" i="11"/>
  <c r="E6117" i="11"/>
  <c r="C6117" i="11"/>
  <c r="F1063" i="11"/>
  <c r="E1063" i="11"/>
  <c r="C1063" i="11"/>
  <c r="G5524" i="11"/>
  <c r="F5524" i="11"/>
  <c r="E5524" i="11"/>
  <c r="C5524" i="11"/>
  <c r="F1062" i="11"/>
  <c r="E1062" i="11"/>
  <c r="C1062" i="11"/>
  <c r="G5523" i="11"/>
  <c r="F5523" i="11"/>
  <c r="E5523" i="11"/>
  <c r="C5523" i="11"/>
  <c r="F1061" i="11"/>
  <c r="E1061" i="11"/>
  <c r="C1061" i="11"/>
  <c r="G5522" i="11"/>
  <c r="F5522" i="11"/>
  <c r="E5522" i="11"/>
  <c r="C5522" i="11"/>
  <c r="F1060" i="11"/>
  <c r="E1060" i="11"/>
  <c r="C1060" i="11"/>
  <c r="G5521" i="11"/>
  <c r="F5521" i="11"/>
  <c r="E5521" i="11"/>
  <c r="C5521" i="11"/>
  <c r="F1059" i="11"/>
  <c r="E1059" i="11"/>
  <c r="C1059" i="11"/>
  <c r="G6116" i="11"/>
  <c r="F6116" i="11"/>
  <c r="E6116" i="11"/>
  <c r="C6116" i="11"/>
  <c r="F1058" i="11"/>
  <c r="E1058" i="11"/>
  <c r="C1058" i="11"/>
  <c r="G5520" i="11"/>
  <c r="F5520" i="11"/>
  <c r="E5520" i="11"/>
  <c r="C5520" i="11"/>
  <c r="F1057" i="11"/>
  <c r="E1057" i="11"/>
  <c r="C1057" i="11"/>
  <c r="G5519" i="11"/>
  <c r="F5519" i="11"/>
  <c r="E5519" i="11"/>
  <c r="C5519" i="11"/>
  <c r="F1056" i="11"/>
  <c r="E1056" i="11"/>
  <c r="C1056" i="11"/>
  <c r="G5518" i="11"/>
  <c r="F5518" i="11"/>
  <c r="E5518" i="11"/>
  <c r="C5518" i="11"/>
  <c r="F1055" i="11"/>
  <c r="E1055" i="11"/>
  <c r="C1055" i="11"/>
  <c r="G5517" i="11"/>
  <c r="F5517" i="11"/>
  <c r="E5517" i="11"/>
  <c r="C5517" i="11"/>
  <c r="F1054" i="11"/>
  <c r="E1054" i="11"/>
  <c r="C1054" i="11"/>
  <c r="G5516" i="11"/>
  <c r="F5516" i="11"/>
  <c r="E5516" i="11"/>
  <c r="C5516" i="11"/>
  <c r="F1053" i="11"/>
  <c r="E1053" i="11"/>
  <c r="C1053" i="11"/>
  <c r="G5515" i="11"/>
  <c r="F5515" i="11"/>
  <c r="E5515" i="11"/>
  <c r="C5515" i="11"/>
  <c r="F1052" i="11"/>
  <c r="E1052" i="11"/>
  <c r="C1052" i="11"/>
  <c r="G6115" i="11"/>
  <c r="F6115" i="11"/>
  <c r="E6115" i="11"/>
  <c r="C6115" i="11"/>
  <c r="F1051" i="11"/>
  <c r="E1051" i="11"/>
  <c r="C1051" i="11"/>
  <c r="G5514" i="11"/>
  <c r="F5514" i="11"/>
  <c r="E5514" i="11"/>
  <c r="C5514" i="11"/>
  <c r="F1050" i="11"/>
  <c r="E1050" i="11"/>
  <c r="C1050" i="11"/>
  <c r="G6114" i="11"/>
  <c r="F6114" i="11"/>
  <c r="E6114" i="11"/>
  <c r="C6114" i="11"/>
  <c r="F1049" i="11"/>
  <c r="E1049" i="11"/>
  <c r="C1049" i="11"/>
  <c r="F462" i="11"/>
  <c r="E462" i="11"/>
  <c r="C462" i="11"/>
  <c r="G5513" i="11"/>
  <c r="F5513" i="11"/>
  <c r="E5513" i="11"/>
  <c r="C5513" i="11"/>
  <c r="F1048" i="11"/>
  <c r="E1048" i="11"/>
  <c r="C1048" i="11"/>
  <c r="G5512" i="11"/>
  <c r="F5512" i="11"/>
  <c r="E5512" i="11"/>
  <c r="C5512" i="11"/>
  <c r="F1047" i="11"/>
  <c r="E1047" i="11"/>
  <c r="C1047" i="11"/>
  <c r="G5511" i="11"/>
  <c r="F5511" i="11"/>
  <c r="E5511" i="11"/>
  <c r="C5511" i="11"/>
  <c r="F1046" i="11"/>
  <c r="E1046" i="11"/>
  <c r="C1046" i="11"/>
  <c r="G6113" i="11"/>
  <c r="F6113" i="11"/>
  <c r="E6113" i="11"/>
  <c r="C6113" i="11"/>
  <c r="F461" i="11"/>
  <c r="E461" i="11"/>
  <c r="C461" i="11"/>
  <c r="G5510" i="11"/>
  <c r="F5510" i="11"/>
  <c r="E5510" i="11"/>
  <c r="C5510" i="11"/>
  <c r="F1045" i="11"/>
  <c r="E1045" i="11"/>
  <c r="C1045" i="11"/>
  <c r="G5509" i="11"/>
  <c r="F5509" i="11"/>
  <c r="E5509" i="11"/>
  <c r="C5509" i="11"/>
  <c r="F1044" i="11"/>
  <c r="E1044" i="11"/>
  <c r="C1044" i="11"/>
  <c r="G6112" i="11"/>
  <c r="F6112" i="11"/>
  <c r="E6112" i="11"/>
  <c r="C6112" i="11"/>
  <c r="F1043" i="11"/>
  <c r="E1043" i="11"/>
  <c r="C1043" i="11"/>
  <c r="G5508" i="11"/>
  <c r="F5508" i="11"/>
  <c r="C5508" i="11"/>
  <c r="F1042" i="11"/>
  <c r="C1042" i="11"/>
  <c r="G5507" i="11"/>
  <c r="F5507" i="11"/>
  <c r="E5507" i="11"/>
  <c r="C5507" i="11"/>
  <c r="F1041" i="11"/>
  <c r="E1041" i="11"/>
  <c r="C1041" i="11"/>
  <c r="G6111" i="11"/>
  <c r="F6111" i="11"/>
  <c r="E6111" i="11"/>
  <c r="C6111" i="11"/>
  <c r="F1040" i="11"/>
  <c r="E1040" i="11"/>
  <c r="C1040" i="11"/>
  <c r="G5506" i="11"/>
  <c r="F5506" i="11"/>
  <c r="E5506" i="11"/>
  <c r="C5506" i="11"/>
  <c r="F1039" i="11"/>
  <c r="E1039" i="11"/>
  <c r="C1039" i="11"/>
  <c r="G6110" i="11"/>
  <c r="F6110" i="11"/>
  <c r="E6110" i="11"/>
  <c r="C6110" i="11"/>
  <c r="F1038" i="11"/>
  <c r="E1038" i="11"/>
  <c r="C1038" i="11"/>
  <c r="F460" i="11"/>
  <c r="E460" i="11"/>
  <c r="C460" i="11"/>
  <c r="G5505" i="11"/>
  <c r="F5505" i="11"/>
  <c r="E5505" i="11"/>
  <c r="C5505" i="11"/>
  <c r="F1037" i="11"/>
  <c r="E1037" i="11"/>
  <c r="C1037" i="11"/>
  <c r="F459" i="11"/>
  <c r="E459" i="11"/>
  <c r="C459" i="11"/>
  <c r="G5504" i="11"/>
  <c r="F5504" i="11"/>
  <c r="E5504" i="11"/>
  <c r="C5504" i="11"/>
  <c r="F1036" i="11"/>
  <c r="E1036" i="11"/>
  <c r="C1036" i="11"/>
  <c r="G5503" i="11"/>
  <c r="F5503" i="11"/>
  <c r="E5503" i="11"/>
  <c r="C5503" i="11"/>
  <c r="F1035" i="11"/>
  <c r="E1035" i="11"/>
  <c r="C1035" i="11"/>
  <c r="G5502" i="11"/>
  <c r="F5502" i="11"/>
  <c r="E5502" i="11"/>
  <c r="C5502" i="11"/>
  <c r="F1034" i="11"/>
  <c r="E1034" i="11"/>
  <c r="C1034" i="11"/>
  <c r="G6109" i="11"/>
  <c r="F6109" i="11"/>
  <c r="E6109" i="11"/>
  <c r="C6109" i="11"/>
  <c r="F458" i="11"/>
  <c r="E458" i="11"/>
  <c r="C458" i="11"/>
  <c r="G6108" i="11"/>
  <c r="F6108" i="11"/>
  <c r="E6108" i="11"/>
  <c r="C6108" i="11"/>
  <c r="F457" i="11"/>
  <c r="E457" i="11"/>
  <c r="C457" i="11"/>
  <c r="G6107" i="11"/>
  <c r="F6107" i="11"/>
  <c r="E6107" i="11"/>
  <c r="C6107" i="11"/>
  <c r="F1033" i="11"/>
  <c r="E1033" i="11"/>
  <c r="C1033" i="11"/>
  <c r="G6106" i="11"/>
  <c r="F6106" i="11"/>
  <c r="E6106" i="11"/>
  <c r="C6106" i="11"/>
  <c r="F1032" i="11"/>
  <c r="E1032" i="11"/>
  <c r="C1032" i="11"/>
  <c r="F456" i="11"/>
  <c r="E456" i="11"/>
  <c r="C456" i="11"/>
  <c r="G6105" i="11"/>
  <c r="F6105" i="11"/>
  <c r="E6105" i="11"/>
  <c r="C6105" i="11"/>
  <c r="F1031" i="11"/>
  <c r="E1031" i="11"/>
  <c r="C1031" i="11"/>
  <c r="G6104" i="11"/>
  <c r="F6104" i="11"/>
  <c r="E6104" i="11"/>
  <c r="C6104" i="11"/>
  <c r="F1030" i="11"/>
  <c r="E1030" i="11"/>
  <c r="C1030" i="11"/>
  <c r="G5501" i="11"/>
  <c r="F5501" i="11"/>
  <c r="E5501" i="11"/>
  <c r="C5501" i="11"/>
  <c r="F1029" i="11"/>
  <c r="E1029" i="11"/>
  <c r="C1029" i="11"/>
  <c r="G5500" i="11"/>
  <c r="F5500" i="11"/>
  <c r="E5500" i="11"/>
  <c r="C5500" i="11"/>
  <c r="F1028" i="11"/>
  <c r="E1028" i="11"/>
  <c r="C1028" i="11"/>
  <c r="G5499" i="11"/>
  <c r="F5499" i="11"/>
  <c r="E5499" i="11"/>
  <c r="C5499" i="11"/>
  <c r="F1027" i="11"/>
  <c r="E1027" i="11"/>
  <c r="C1027" i="11"/>
  <c r="G6103" i="11"/>
  <c r="F6103" i="11"/>
  <c r="E6103" i="11"/>
  <c r="C6103" i="11"/>
  <c r="F1026" i="11"/>
  <c r="E1026" i="11"/>
  <c r="C1026" i="11"/>
  <c r="G6102" i="11"/>
  <c r="F6102" i="11"/>
  <c r="E6102" i="11"/>
  <c r="C6102" i="11"/>
  <c r="F1025" i="11"/>
  <c r="E1025" i="11"/>
  <c r="C1025" i="11"/>
  <c r="F455" i="11"/>
  <c r="E455" i="11"/>
  <c r="C455" i="11"/>
  <c r="G6101" i="11"/>
  <c r="F6101" i="11"/>
  <c r="E6101" i="11"/>
  <c r="C6101" i="11"/>
  <c r="F1024" i="11"/>
  <c r="E1024" i="11"/>
  <c r="C1024" i="11"/>
  <c r="G5498" i="11"/>
  <c r="F5498" i="11"/>
  <c r="E5498" i="11"/>
  <c r="C5498" i="11"/>
  <c r="F1023" i="11"/>
  <c r="E1023" i="11"/>
  <c r="C1023" i="11"/>
  <c r="G6100" i="11"/>
  <c r="F6100" i="11"/>
  <c r="E6100" i="11"/>
  <c r="C6100" i="11"/>
  <c r="F1022" i="11"/>
  <c r="E1022" i="11"/>
  <c r="C1022" i="11"/>
  <c r="G5497" i="11"/>
  <c r="F5497" i="11"/>
  <c r="E5497" i="11"/>
  <c r="C5497" i="11"/>
  <c r="F1021" i="11"/>
  <c r="E1021" i="11"/>
  <c r="C1021" i="11"/>
  <c r="G6099" i="11"/>
  <c r="F6099" i="11"/>
  <c r="E6099" i="11"/>
  <c r="C6099" i="11"/>
  <c r="F1020" i="11"/>
  <c r="E1020" i="11"/>
  <c r="C1020" i="11"/>
  <c r="G5249" i="11"/>
  <c r="F5249" i="11"/>
  <c r="E5249" i="11"/>
  <c r="C5249" i="11"/>
  <c r="F289" i="11"/>
  <c r="E289" i="11"/>
  <c r="C289" i="11"/>
  <c r="G6098" i="11"/>
  <c r="F6098" i="11"/>
  <c r="E6098" i="11"/>
  <c r="C6098" i="11"/>
  <c r="F1019" i="11"/>
  <c r="E1019" i="11"/>
  <c r="C1019" i="11"/>
  <c r="G5248" i="11"/>
  <c r="F5248" i="11"/>
  <c r="E5248" i="11"/>
  <c r="C5248" i="11"/>
  <c r="F288" i="11"/>
  <c r="E288" i="11"/>
  <c r="C288" i="11"/>
  <c r="G6097" i="11"/>
  <c r="F6097" i="11"/>
  <c r="E6097" i="11"/>
  <c r="C6097" i="11"/>
  <c r="F1018" i="11"/>
  <c r="E1018" i="11"/>
  <c r="C1018" i="11"/>
  <c r="F454" i="11"/>
  <c r="E454" i="11"/>
  <c r="C454" i="11"/>
  <c r="G5496" i="11"/>
  <c r="F5496" i="11"/>
  <c r="E5496" i="11"/>
  <c r="C5496" i="11"/>
  <c r="F1017" i="11"/>
  <c r="E1017" i="11"/>
  <c r="C1017" i="11"/>
  <c r="G5247" i="11"/>
  <c r="F5247" i="11"/>
  <c r="E5247" i="11"/>
  <c r="C5247" i="11"/>
  <c r="F287" i="11"/>
  <c r="E287" i="11"/>
  <c r="C287" i="11"/>
  <c r="G6096" i="11"/>
  <c r="F6096" i="11"/>
  <c r="E6096" i="11"/>
  <c r="C6096" i="11"/>
  <c r="F1016" i="11"/>
  <c r="E1016" i="11"/>
  <c r="C1016" i="11"/>
  <c r="F453" i="11"/>
  <c r="E453" i="11"/>
  <c r="C453" i="11"/>
  <c r="G5246" i="11"/>
  <c r="F5246" i="11"/>
  <c r="E5246" i="11"/>
  <c r="C5246" i="11"/>
  <c r="F286" i="11"/>
  <c r="E286" i="11"/>
  <c r="C286" i="11"/>
  <c r="G5245" i="11"/>
  <c r="F5245" i="11"/>
  <c r="E5245" i="11"/>
  <c r="C5245" i="11"/>
  <c r="F285" i="11"/>
  <c r="E285" i="11"/>
  <c r="C285" i="11"/>
  <c r="G6095" i="11"/>
  <c r="F6095" i="11"/>
  <c r="E6095" i="11"/>
  <c r="C6095" i="11"/>
  <c r="F1015" i="11"/>
  <c r="E1015" i="11"/>
  <c r="C1015" i="11"/>
  <c r="F452" i="11"/>
  <c r="E452" i="11"/>
  <c r="C452" i="11"/>
  <c r="G5244" i="11"/>
  <c r="F5244" i="11"/>
  <c r="E5244" i="11"/>
  <c r="C5244" i="11"/>
  <c r="F284" i="11"/>
  <c r="E284" i="11"/>
  <c r="C284" i="11"/>
  <c r="G5243" i="11"/>
  <c r="F5243" i="11"/>
  <c r="E5243" i="11"/>
  <c r="C5243" i="11"/>
  <c r="F283" i="11"/>
  <c r="E283" i="11"/>
  <c r="C283" i="11"/>
  <c r="G5495" i="11"/>
  <c r="F5495" i="11"/>
  <c r="E5495" i="11"/>
  <c r="C5495" i="11"/>
  <c r="F1014" i="11"/>
  <c r="E1014" i="11"/>
  <c r="C1014" i="11"/>
  <c r="G5494" i="11"/>
  <c r="F5494" i="11"/>
  <c r="E5494" i="11"/>
  <c r="C5494" i="11"/>
  <c r="F1013" i="11"/>
  <c r="E1013" i="11"/>
  <c r="C1013" i="11"/>
  <c r="G6094" i="11"/>
  <c r="F6094" i="11"/>
  <c r="E6094" i="11"/>
  <c r="C6094" i="11"/>
  <c r="F451" i="11"/>
  <c r="E451" i="11"/>
  <c r="C451" i="11"/>
  <c r="G5242" i="11"/>
  <c r="F5242" i="11"/>
  <c r="E5242" i="11"/>
  <c r="C5242" i="11"/>
  <c r="F282" i="11"/>
  <c r="E282" i="11"/>
  <c r="C282" i="11"/>
  <c r="G5241" i="11"/>
  <c r="F5241" i="11"/>
  <c r="E5241" i="11"/>
  <c r="C5241" i="11"/>
  <c r="F1012" i="11"/>
  <c r="E1012" i="11"/>
  <c r="C1012" i="11"/>
  <c r="G5493" i="11"/>
  <c r="F5493" i="11"/>
  <c r="E5493" i="11"/>
  <c r="C5493" i="11"/>
  <c r="F1011" i="11"/>
  <c r="E1011" i="11"/>
  <c r="C1011" i="11"/>
  <c r="G6093" i="11"/>
  <c r="F6093" i="11"/>
  <c r="E6093" i="11"/>
  <c r="C6093" i="11"/>
  <c r="F450" i="11"/>
  <c r="E450" i="11"/>
  <c r="C450" i="11"/>
  <c r="G6092" i="11"/>
  <c r="F6092" i="11"/>
  <c r="E6092" i="11"/>
  <c r="C6092" i="11"/>
  <c r="F449" i="11"/>
  <c r="E449" i="11"/>
  <c r="C449" i="11"/>
  <c r="G6091" i="11"/>
  <c r="F6091" i="11"/>
  <c r="E6091" i="11"/>
  <c r="C6091" i="11"/>
  <c r="F448" i="11"/>
  <c r="E448" i="11"/>
  <c r="C448" i="11"/>
  <c r="G6090" i="11"/>
  <c r="F6090" i="11"/>
  <c r="E6090" i="11"/>
  <c r="C6090" i="11"/>
  <c r="F447" i="11"/>
  <c r="E447" i="11"/>
  <c r="C447" i="11"/>
  <c r="G5387" i="11"/>
  <c r="F5387" i="11"/>
  <c r="E5387" i="11"/>
  <c r="C5387" i="11"/>
  <c r="F187" i="11"/>
  <c r="E187" i="11"/>
  <c r="C187" i="11"/>
  <c r="G6089" i="11"/>
  <c r="F6089" i="11"/>
  <c r="E6089" i="11"/>
  <c r="C6089" i="11"/>
  <c r="F446" i="11"/>
  <c r="E446" i="11"/>
  <c r="C446" i="11"/>
  <c r="G5386" i="11"/>
  <c r="F5386" i="11"/>
  <c r="E5386" i="11"/>
  <c r="C5386" i="11"/>
  <c r="F186" i="11"/>
  <c r="E186" i="11"/>
  <c r="C186" i="11"/>
  <c r="G5492" i="11"/>
  <c r="F5492" i="11"/>
  <c r="E5492" i="11"/>
  <c r="C5492" i="11"/>
  <c r="F1010" i="11"/>
  <c r="E1010" i="11"/>
  <c r="C1010" i="11"/>
  <c r="G6088" i="11"/>
  <c r="F6088" i="11"/>
  <c r="E6088" i="11"/>
  <c r="C6088" i="11"/>
  <c r="F1009" i="11"/>
  <c r="E1009" i="11"/>
  <c r="C1009" i="11"/>
  <c r="G5491" i="11"/>
  <c r="F5491" i="11"/>
  <c r="E5491" i="11"/>
  <c r="C5491" i="11"/>
  <c r="F1008" i="11"/>
  <c r="E1008" i="11"/>
  <c r="C1008" i="11"/>
  <c r="G6087" i="11"/>
  <c r="F6087" i="11"/>
  <c r="E6087" i="11"/>
  <c r="C6087" i="11"/>
  <c r="F445" i="11"/>
  <c r="E445" i="11"/>
  <c r="C445" i="11"/>
  <c r="G5490" i="11"/>
  <c r="F5490" i="11"/>
  <c r="E5490" i="11"/>
  <c r="C5490" i="11"/>
  <c r="F1007" i="11"/>
  <c r="E1007" i="11"/>
  <c r="C1007" i="11"/>
  <c r="G5489" i="11"/>
  <c r="F5489" i="11"/>
  <c r="E5489" i="11"/>
  <c r="C5489" i="11"/>
  <c r="F1006" i="11"/>
  <c r="E1006" i="11"/>
  <c r="C1006" i="11"/>
  <c r="G6086" i="11"/>
  <c r="F6086" i="11"/>
  <c r="E6086" i="11"/>
  <c r="C6086" i="11"/>
  <c r="F444" i="11"/>
  <c r="E444" i="11"/>
  <c r="C444" i="11"/>
  <c r="G5488" i="11"/>
  <c r="F5488" i="11"/>
  <c r="E5488" i="11"/>
  <c r="C5488" i="11"/>
  <c r="F1005" i="11"/>
  <c r="E1005" i="11"/>
  <c r="C1005" i="11"/>
  <c r="G6085" i="11"/>
  <c r="F6085" i="11"/>
  <c r="E6085" i="11"/>
  <c r="C6085" i="11"/>
  <c r="F1004" i="11"/>
  <c r="E1004" i="11"/>
  <c r="C1004" i="11"/>
  <c r="F443" i="11"/>
  <c r="E443" i="11"/>
  <c r="C443" i="11"/>
  <c r="G5487" i="11"/>
  <c r="F5487" i="11"/>
  <c r="E5487" i="11"/>
  <c r="C5487" i="11"/>
  <c r="F1003" i="11"/>
  <c r="E1003" i="11"/>
  <c r="C1003" i="11"/>
  <c r="G5486" i="11"/>
  <c r="F5486" i="11"/>
  <c r="E5486" i="11"/>
  <c r="C5486" i="11"/>
  <c r="F1002" i="11"/>
  <c r="E1002" i="11"/>
  <c r="C1002" i="11"/>
  <c r="G5485" i="11"/>
  <c r="F5485" i="11"/>
  <c r="E5485" i="11"/>
  <c r="C5485" i="11"/>
  <c r="F1001" i="11"/>
  <c r="E1001" i="11"/>
  <c r="C1001" i="11"/>
  <c r="G5484" i="11"/>
  <c r="F5484" i="11"/>
  <c r="E5484" i="11"/>
  <c r="C5484" i="11"/>
  <c r="F1000" i="11"/>
  <c r="E1000" i="11"/>
  <c r="C1000" i="11"/>
  <c r="G6084" i="11"/>
  <c r="F6084" i="11"/>
  <c r="E6084" i="11"/>
  <c r="C6084" i="11"/>
  <c r="F442" i="11"/>
  <c r="E442" i="11"/>
  <c r="C442" i="11"/>
  <c r="G5483" i="11"/>
  <c r="F5483" i="11"/>
  <c r="E5483" i="11"/>
  <c r="C5483" i="11"/>
  <c r="F999" i="11"/>
  <c r="E999" i="11"/>
  <c r="C999" i="11"/>
  <c r="G5240" i="11"/>
  <c r="F5240" i="11"/>
  <c r="E5240" i="11"/>
  <c r="C5240" i="11"/>
  <c r="F281" i="11"/>
  <c r="E281" i="11"/>
  <c r="C281" i="11"/>
  <c r="G5385" i="11"/>
  <c r="F5385" i="11"/>
  <c r="E5385" i="11"/>
  <c r="C5385" i="11"/>
  <c r="F185" i="11"/>
  <c r="E185" i="11"/>
  <c r="C185" i="11"/>
  <c r="G5384" i="11"/>
  <c r="F5384" i="11"/>
  <c r="E5384" i="11"/>
  <c r="C5384" i="11"/>
  <c r="F184" i="11"/>
  <c r="E184" i="11"/>
  <c r="C184" i="11"/>
  <c r="G6083" i="11"/>
  <c r="F6083" i="11"/>
  <c r="E6083" i="11"/>
  <c r="C6083" i="11"/>
  <c r="F998" i="11"/>
  <c r="E998" i="11"/>
  <c r="C998" i="11"/>
  <c r="G5482" i="11"/>
  <c r="F5482" i="11"/>
  <c r="E5482" i="11"/>
  <c r="C5482" i="11"/>
  <c r="F997" i="11"/>
  <c r="E997" i="11"/>
  <c r="C997" i="11"/>
  <c r="G6082" i="11"/>
  <c r="F6082" i="11"/>
  <c r="E6082" i="11"/>
  <c r="C6082" i="11"/>
  <c r="F441" i="11"/>
  <c r="E441" i="11"/>
  <c r="C441" i="11"/>
  <c r="G5481" i="11"/>
  <c r="F5481" i="11"/>
  <c r="E5481" i="11"/>
  <c r="C5481" i="11"/>
  <c r="F996" i="11"/>
  <c r="E996" i="11"/>
  <c r="C996" i="11"/>
  <c r="G6081" i="11"/>
  <c r="F6081" i="11"/>
  <c r="E6081" i="11"/>
  <c r="C6081" i="11"/>
  <c r="F995" i="11"/>
  <c r="E995" i="11"/>
  <c r="C995" i="11"/>
  <c r="G5383" i="11"/>
  <c r="F5383" i="11"/>
  <c r="E5383" i="11"/>
  <c r="C5383" i="11"/>
  <c r="F183" i="11"/>
  <c r="E183" i="11"/>
  <c r="C183" i="11"/>
  <c r="G6080" i="11"/>
  <c r="F6080" i="11"/>
  <c r="E6080" i="11"/>
  <c r="C6080" i="11"/>
  <c r="F440" i="11"/>
  <c r="E440" i="11"/>
  <c r="C440" i="11"/>
  <c r="G6079" i="11"/>
  <c r="F6079" i="11"/>
  <c r="E6079" i="11"/>
  <c r="C6079" i="11"/>
  <c r="F994" i="11"/>
  <c r="E994" i="11"/>
  <c r="C994" i="11"/>
  <c r="F439" i="11"/>
  <c r="E439" i="11"/>
  <c r="C439" i="11"/>
  <c r="G6078" i="11"/>
  <c r="F6078" i="11"/>
  <c r="E6078" i="11"/>
  <c r="C6078" i="11"/>
  <c r="F993" i="11"/>
  <c r="E993" i="11"/>
  <c r="C993" i="11"/>
  <c r="G5480" i="11"/>
  <c r="F5480" i="11"/>
  <c r="E5480" i="11"/>
  <c r="C5480" i="11"/>
  <c r="F992" i="11"/>
  <c r="E992" i="11"/>
  <c r="C992" i="11"/>
  <c r="G5479" i="11"/>
  <c r="F5479" i="11"/>
  <c r="E5479" i="11"/>
  <c r="C5479" i="11"/>
  <c r="F991" i="11"/>
  <c r="E991" i="11"/>
  <c r="C991" i="11"/>
  <c r="G6077" i="11"/>
  <c r="F6077" i="11"/>
  <c r="E6077" i="11"/>
  <c r="C6077" i="11"/>
  <c r="F438" i="11"/>
  <c r="E438" i="11"/>
  <c r="C438" i="11"/>
  <c r="G6076" i="11"/>
  <c r="F6076" i="11"/>
  <c r="E6076" i="11"/>
  <c r="C6076" i="11"/>
  <c r="F437" i="11"/>
  <c r="E437" i="11"/>
  <c r="C437" i="11"/>
  <c r="G6075" i="11"/>
  <c r="F6075" i="11"/>
  <c r="E6075" i="11"/>
  <c r="C6075" i="11"/>
  <c r="F436" i="11"/>
  <c r="E436" i="11"/>
  <c r="C436" i="11"/>
  <c r="G5382" i="11"/>
  <c r="F5382" i="11"/>
  <c r="E5382" i="11"/>
  <c r="C5382" i="11"/>
  <c r="F182" i="11"/>
  <c r="E182" i="11"/>
  <c r="C182" i="11"/>
  <c r="G6074" i="11"/>
  <c r="F6074" i="11"/>
  <c r="E6074" i="11"/>
  <c r="C6074" i="11"/>
  <c r="F435" i="11"/>
  <c r="E435" i="11"/>
  <c r="C435" i="11"/>
  <c r="G5239" i="11"/>
  <c r="F5239" i="11"/>
  <c r="E5239" i="11"/>
  <c r="C5239" i="11"/>
  <c r="F990" i="11"/>
  <c r="E990" i="11"/>
  <c r="C990" i="11"/>
  <c r="G6073" i="11"/>
  <c r="F6073" i="11"/>
  <c r="E6073" i="11"/>
  <c r="C6073" i="11"/>
  <c r="F989" i="11"/>
  <c r="E989" i="11"/>
  <c r="C989" i="11"/>
  <c r="F434" i="11"/>
  <c r="E434" i="11"/>
  <c r="C434" i="11"/>
  <c r="G5478" i="11"/>
  <c r="F5478" i="11"/>
  <c r="E5478" i="11"/>
  <c r="C5478" i="11"/>
  <c r="F988" i="11"/>
  <c r="E988" i="11"/>
  <c r="C988" i="11"/>
  <c r="G6072" i="11"/>
  <c r="F6072" i="11"/>
  <c r="E6072" i="11"/>
  <c r="C6072" i="11"/>
  <c r="F433" i="11"/>
  <c r="E433" i="11"/>
  <c r="C433" i="11"/>
  <c r="G5477" i="11"/>
  <c r="F5477" i="11"/>
  <c r="E5477" i="11"/>
  <c r="C5477" i="11"/>
  <c r="F987" i="11"/>
  <c r="E987" i="11"/>
  <c r="C987" i="11"/>
  <c r="G5476" i="11"/>
  <c r="F5476" i="11"/>
  <c r="E5476" i="11"/>
  <c r="C5476" i="11"/>
  <c r="F986" i="11"/>
  <c r="E986" i="11"/>
  <c r="C986" i="11"/>
  <c r="G5381" i="11"/>
  <c r="F5381" i="11"/>
  <c r="E5381" i="11"/>
  <c r="C5381" i="11"/>
  <c r="F181" i="11"/>
  <c r="E181" i="11"/>
  <c r="C181" i="11"/>
  <c r="G5380" i="11"/>
  <c r="F5380" i="11"/>
  <c r="E5380" i="11"/>
  <c r="C5380" i="11"/>
  <c r="F180" i="11"/>
  <c r="E180" i="11"/>
  <c r="C180" i="11"/>
  <c r="G5379" i="11"/>
  <c r="F5379" i="11"/>
  <c r="E5379" i="11"/>
  <c r="C5379" i="11"/>
  <c r="F179" i="11"/>
  <c r="E179" i="11"/>
  <c r="C179" i="11"/>
  <c r="G5238" i="11"/>
  <c r="F5238" i="11"/>
  <c r="E5238" i="11"/>
  <c r="C5238" i="11"/>
  <c r="F280" i="11"/>
  <c r="E280" i="11"/>
  <c r="C280" i="11"/>
  <c r="G5475" i="11"/>
  <c r="F5475" i="11"/>
  <c r="E5475" i="11"/>
  <c r="C5475" i="11"/>
  <c r="F985" i="11"/>
  <c r="E985" i="11"/>
  <c r="C985" i="11"/>
  <c r="G5378" i="11"/>
  <c r="F5378" i="11"/>
  <c r="E5378" i="11"/>
  <c r="C5378" i="11"/>
  <c r="F178" i="11"/>
  <c r="E178" i="11"/>
  <c r="C178" i="11"/>
  <c r="G5474" i="11"/>
  <c r="F5474" i="11"/>
  <c r="E5474" i="11"/>
  <c r="C5474" i="11"/>
  <c r="F984" i="11"/>
  <c r="E984" i="11"/>
  <c r="C984" i="11"/>
  <c r="G5473" i="11"/>
  <c r="F5473" i="11"/>
  <c r="E5473" i="11"/>
  <c r="C5473" i="11"/>
  <c r="F983" i="11"/>
  <c r="E983" i="11"/>
  <c r="C983" i="11"/>
  <c r="G5472" i="11"/>
  <c r="F5472" i="11"/>
  <c r="E5472" i="11"/>
  <c r="C5472" i="11"/>
  <c r="F982" i="11"/>
  <c r="E982" i="11"/>
  <c r="C982" i="11"/>
  <c r="G6071" i="11"/>
  <c r="F6071" i="11"/>
  <c r="E6071" i="11"/>
  <c r="C6071" i="11"/>
  <c r="F432" i="11"/>
  <c r="E432" i="11"/>
  <c r="C432" i="11"/>
  <c r="G5471" i="11"/>
  <c r="F5471" i="11"/>
  <c r="E5471" i="11"/>
  <c r="C5471" i="11"/>
  <c r="F981" i="11"/>
  <c r="E981" i="11"/>
  <c r="C981" i="11"/>
  <c r="G5470" i="11"/>
  <c r="F5470" i="11"/>
  <c r="E5470" i="11"/>
  <c r="C5470" i="11"/>
  <c r="F980" i="11"/>
  <c r="E980" i="11"/>
  <c r="C980" i="11"/>
  <c r="G5469" i="11"/>
  <c r="F5469" i="11"/>
  <c r="E5469" i="11"/>
  <c r="C5469" i="11"/>
  <c r="F979" i="11"/>
  <c r="E979" i="11"/>
  <c r="C979" i="11"/>
  <c r="G5468" i="11"/>
  <c r="F5468" i="11"/>
  <c r="E5468" i="11"/>
  <c r="C5468" i="11"/>
  <c r="F978" i="11"/>
  <c r="E978" i="11"/>
  <c r="C978" i="11"/>
  <c r="G5467" i="11"/>
  <c r="F5467" i="11"/>
  <c r="E5467" i="11"/>
  <c r="C5467" i="11"/>
  <c r="F977" i="11"/>
  <c r="E977" i="11"/>
  <c r="C977" i="11"/>
  <c r="G5466" i="11"/>
  <c r="F5466" i="11"/>
  <c r="E5466" i="11"/>
  <c r="C5466" i="11"/>
  <c r="F976" i="11"/>
  <c r="E976" i="11"/>
  <c r="C976" i="11"/>
  <c r="G5377" i="11"/>
  <c r="F5377" i="11"/>
  <c r="E5377" i="11"/>
  <c r="C5377" i="11"/>
  <c r="F177" i="11"/>
  <c r="E177" i="11"/>
  <c r="C177" i="11"/>
  <c r="G5465" i="11"/>
  <c r="F5465" i="11"/>
  <c r="E5465" i="11"/>
  <c r="C5465" i="11"/>
  <c r="F975" i="11"/>
  <c r="E975" i="11"/>
  <c r="C975" i="11"/>
  <c r="G5376" i="11"/>
  <c r="F5376" i="11"/>
  <c r="E5376" i="11"/>
  <c r="C5376" i="11"/>
  <c r="F176" i="11"/>
  <c r="E176" i="11"/>
  <c r="C176" i="11"/>
  <c r="G6070" i="11"/>
  <c r="F6070" i="11"/>
  <c r="E6070" i="11"/>
  <c r="C6070" i="11"/>
  <c r="F974" i="11"/>
  <c r="E974" i="11"/>
  <c r="C974" i="11"/>
  <c r="F279" i="11"/>
  <c r="E279" i="11"/>
  <c r="C279" i="11"/>
  <c r="G5464" i="11"/>
  <c r="F5464" i="11"/>
  <c r="E5464" i="11"/>
  <c r="C5464" i="11"/>
  <c r="F973" i="11"/>
  <c r="E973" i="11"/>
  <c r="C973" i="11"/>
  <c r="F972" i="11"/>
  <c r="E972" i="11"/>
  <c r="C972" i="11"/>
  <c r="G5375" i="11"/>
  <c r="F5375" i="11"/>
  <c r="E5375" i="11"/>
  <c r="C5375" i="11"/>
  <c r="F175" i="11"/>
  <c r="E175" i="11"/>
  <c r="C175" i="11"/>
  <c r="G5463" i="11"/>
  <c r="F5463" i="11"/>
  <c r="E5463" i="11"/>
  <c r="C5463" i="11"/>
  <c r="F971" i="11"/>
  <c r="E971" i="11"/>
  <c r="C971" i="11"/>
  <c r="F970" i="11"/>
  <c r="E970" i="11"/>
  <c r="C970" i="11"/>
  <c r="G5462" i="11"/>
  <c r="F5462" i="11"/>
  <c r="E5462" i="11"/>
  <c r="C5462" i="11"/>
  <c r="F969" i="11"/>
  <c r="E969" i="11"/>
  <c r="C969" i="11"/>
  <c r="F431" i="11"/>
  <c r="E431" i="11"/>
  <c r="C431" i="11"/>
  <c r="G6069" i="11"/>
  <c r="F6069" i="11"/>
  <c r="E6069" i="11"/>
  <c r="C6069" i="11"/>
  <c r="F430" i="11"/>
  <c r="E430" i="11"/>
  <c r="C430" i="11"/>
  <c r="G6068" i="11"/>
  <c r="F6068" i="11"/>
  <c r="E6068" i="11"/>
  <c r="C6068" i="11"/>
  <c r="F968" i="11"/>
  <c r="E968" i="11"/>
  <c r="C968" i="11"/>
  <c r="G5461" i="11"/>
  <c r="F5461" i="11"/>
  <c r="E5461" i="11"/>
  <c r="C5461" i="11"/>
  <c r="F967" i="11"/>
  <c r="E967" i="11"/>
  <c r="C967" i="11"/>
  <c r="G5460" i="11"/>
  <c r="F5460" i="11"/>
  <c r="E5460" i="11"/>
  <c r="C5460" i="11"/>
  <c r="F966" i="11"/>
  <c r="E966" i="11"/>
  <c r="C966" i="11"/>
  <c r="G6067" i="11"/>
  <c r="F6067" i="11"/>
  <c r="E6067" i="11"/>
  <c r="C6067" i="11"/>
  <c r="F965" i="11"/>
  <c r="E965" i="11"/>
  <c r="C965" i="11"/>
  <c r="G5459" i="11"/>
  <c r="F5459" i="11"/>
  <c r="E5459" i="11"/>
  <c r="C5459" i="11"/>
  <c r="F964" i="11"/>
  <c r="E964" i="11"/>
  <c r="C964" i="11"/>
  <c r="G6066" i="11"/>
  <c r="F6066" i="11"/>
  <c r="E6066" i="11"/>
  <c r="C6066" i="11"/>
  <c r="F963" i="11"/>
  <c r="E963" i="11"/>
  <c r="C963" i="11"/>
  <c r="G6065" i="11"/>
  <c r="F6065" i="11"/>
  <c r="E6065" i="11"/>
  <c r="C6065" i="11"/>
  <c r="F962" i="11"/>
  <c r="E962" i="11"/>
  <c r="C962" i="11"/>
  <c r="G6064" i="11"/>
  <c r="F6064" i="11"/>
  <c r="E6064" i="11"/>
  <c r="C6064" i="11"/>
  <c r="F961" i="11"/>
  <c r="E961" i="11"/>
  <c r="C961" i="11"/>
  <c r="G5458" i="11"/>
  <c r="F5458" i="11"/>
  <c r="E5458" i="11"/>
  <c r="C5458" i="11"/>
  <c r="F960" i="11"/>
  <c r="E960" i="11"/>
  <c r="C960" i="11"/>
  <c r="G5457" i="11"/>
  <c r="F5457" i="11"/>
  <c r="E5457" i="11"/>
  <c r="C5457" i="11"/>
  <c r="F959" i="11"/>
  <c r="E959" i="11"/>
  <c r="C959" i="11"/>
  <c r="G6063" i="11"/>
  <c r="F6063" i="11"/>
  <c r="E6063" i="11"/>
  <c r="C6063" i="11"/>
  <c r="F958" i="11"/>
  <c r="E958" i="11"/>
  <c r="C958" i="11"/>
  <c r="G6062" i="11"/>
  <c r="F6062" i="11"/>
  <c r="E6062" i="11"/>
  <c r="C6062" i="11"/>
  <c r="F429" i="11"/>
  <c r="E429" i="11"/>
  <c r="C429" i="11"/>
  <c r="G5456" i="11"/>
  <c r="F5456" i="11"/>
  <c r="E5456" i="11"/>
  <c r="C5456" i="11"/>
  <c r="F957" i="11"/>
  <c r="E957" i="11"/>
  <c r="C957" i="11"/>
  <c r="G5374" i="11"/>
  <c r="F5374" i="11"/>
  <c r="E5374" i="11"/>
  <c r="C5374" i="11"/>
  <c r="F174" i="11"/>
  <c r="E174" i="11"/>
  <c r="C174" i="11"/>
  <c r="G5455" i="11"/>
  <c r="F5455" i="11"/>
  <c r="E5455" i="11"/>
  <c r="C5455" i="11"/>
  <c r="F956" i="11"/>
  <c r="E956" i="11"/>
  <c r="C956" i="11"/>
  <c r="G5237" i="11"/>
  <c r="F5237" i="11"/>
  <c r="E5237" i="11"/>
  <c r="C5237" i="11"/>
  <c r="F278" i="11"/>
  <c r="E278" i="11"/>
  <c r="C278" i="11"/>
  <c r="G5373" i="11"/>
  <c r="F5373" i="11"/>
  <c r="E5373" i="11"/>
  <c r="C5373" i="11"/>
  <c r="F173" i="11"/>
  <c r="E173" i="11"/>
  <c r="C173" i="11"/>
  <c r="G5454" i="11"/>
  <c r="F5454" i="11"/>
  <c r="E5454" i="11"/>
  <c r="C5454" i="11"/>
  <c r="F955" i="11"/>
  <c r="E955" i="11"/>
  <c r="C955" i="11"/>
  <c r="G5453" i="11"/>
  <c r="F5453" i="11"/>
  <c r="E5453" i="11"/>
  <c r="C5453" i="11"/>
  <c r="F954" i="11"/>
  <c r="E954" i="11"/>
  <c r="C954" i="11"/>
  <c r="G5452" i="11"/>
  <c r="F5452" i="11"/>
  <c r="E5452" i="11"/>
  <c r="C5452" i="11"/>
  <c r="F953" i="11"/>
  <c r="E953" i="11"/>
  <c r="C953" i="11"/>
  <c r="G5372" i="11"/>
  <c r="F5372" i="11"/>
  <c r="E5372" i="11"/>
  <c r="C5372" i="11"/>
  <c r="F172" i="11"/>
  <c r="E172" i="11"/>
  <c r="C172" i="11"/>
  <c r="G5371" i="11"/>
  <c r="F5371" i="11"/>
  <c r="E5371" i="11"/>
  <c r="C5371" i="11"/>
  <c r="F171" i="11"/>
  <c r="E171" i="11"/>
  <c r="C171" i="11"/>
  <c r="G5236" i="11"/>
  <c r="F5236" i="11"/>
  <c r="E5236" i="11"/>
  <c r="C5236" i="11"/>
  <c r="F277" i="11"/>
  <c r="E277" i="11"/>
  <c r="C277" i="11"/>
  <c r="G6061" i="11"/>
  <c r="F6061" i="11"/>
  <c r="E6061" i="11"/>
  <c r="C6061" i="11"/>
  <c r="F952" i="11"/>
  <c r="E952" i="11"/>
  <c r="C952" i="11"/>
  <c r="G6060" i="11"/>
  <c r="F6060" i="11"/>
  <c r="E6060" i="11"/>
  <c r="C6060" i="11"/>
  <c r="F951" i="11"/>
  <c r="E951" i="11"/>
  <c r="C951" i="11"/>
  <c r="G5235" i="11"/>
  <c r="F5235" i="11"/>
  <c r="E5235" i="11"/>
  <c r="C5235" i="11"/>
  <c r="F428" i="11"/>
  <c r="E428" i="11"/>
  <c r="C428" i="11"/>
  <c r="G6059" i="11"/>
  <c r="F6059" i="11"/>
  <c r="E6059" i="11"/>
  <c r="C6059" i="11"/>
  <c r="F427" i="11"/>
  <c r="E427" i="11"/>
  <c r="C427" i="11"/>
  <c r="G5451" i="11"/>
  <c r="F5451" i="11"/>
  <c r="E5451" i="11"/>
  <c r="C5451" i="11"/>
  <c r="F950" i="11"/>
  <c r="E950" i="11"/>
  <c r="C950" i="11"/>
  <c r="G5450" i="11"/>
  <c r="F5450" i="11"/>
  <c r="E5450" i="11"/>
  <c r="C5450" i="11"/>
  <c r="F949" i="11"/>
  <c r="E949" i="11"/>
  <c r="C949" i="11"/>
  <c r="G5449" i="11"/>
  <c r="F5449" i="11"/>
  <c r="E5449" i="11"/>
  <c r="C5449" i="11"/>
  <c r="F948" i="11"/>
  <c r="E948" i="11"/>
  <c r="C948" i="11"/>
  <c r="G5448" i="11"/>
  <c r="F5448" i="11"/>
  <c r="E5448" i="11"/>
  <c r="C5448" i="11"/>
  <c r="F947" i="11"/>
  <c r="E947" i="11"/>
  <c r="C947" i="11"/>
  <c r="G5447" i="11"/>
  <c r="F5447" i="11"/>
  <c r="E5447" i="11"/>
  <c r="C5447" i="11"/>
  <c r="F946" i="11"/>
  <c r="E946" i="11"/>
  <c r="C946" i="11"/>
  <c r="G5446" i="11"/>
  <c r="F5446" i="11"/>
  <c r="E5446" i="11"/>
  <c r="C5446" i="11"/>
  <c r="F945" i="11"/>
  <c r="E945" i="11"/>
  <c r="C945" i="11"/>
  <c r="G5445" i="11"/>
  <c r="F5445" i="11"/>
  <c r="E5445" i="11"/>
  <c r="C5445" i="11"/>
  <c r="F944" i="11"/>
  <c r="E944" i="11"/>
  <c r="C944" i="11"/>
  <c r="G5444" i="11"/>
  <c r="F5444" i="11"/>
  <c r="E5444" i="11"/>
  <c r="C5444" i="11"/>
  <c r="F943" i="11"/>
  <c r="E943" i="11"/>
  <c r="C943" i="11"/>
  <c r="G5443" i="11"/>
  <c r="F5443" i="11"/>
  <c r="E5443" i="11"/>
  <c r="C5443" i="11"/>
  <c r="F942" i="11"/>
  <c r="E942" i="11"/>
  <c r="C942" i="11"/>
  <c r="F5232" i="11"/>
  <c r="C5232" i="11"/>
  <c r="F4635" i="11"/>
  <c r="C4635" i="11"/>
  <c r="F4634" i="11"/>
  <c r="C4634" i="11"/>
  <c r="F3864" i="11"/>
  <c r="C3864" i="11"/>
  <c r="F4633" i="11"/>
  <c r="C4633" i="11"/>
  <c r="G3813" i="11"/>
  <c r="F3813" i="11"/>
  <c r="C3813" i="11"/>
  <c r="F7591" i="11"/>
  <c r="C7591" i="11"/>
  <c r="F7200" i="11"/>
  <c r="C7200" i="11"/>
  <c r="F4632" i="11"/>
  <c r="C4632" i="11"/>
  <c r="F7199" i="11"/>
  <c r="C7199" i="11"/>
  <c r="F4631" i="11"/>
  <c r="C4631" i="11"/>
  <c r="F3013" i="11"/>
  <c r="C3013" i="11"/>
  <c r="F7488" i="11"/>
  <c r="C7488" i="11"/>
  <c r="F7198" i="11"/>
  <c r="C7198" i="11"/>
  <c r="F4630" i="11"/>
  <c r="C4630" i="11"/>
  <c r="F7197" i="11"/>
  <c r="C7197" i="11"/>
  <c r="F6746" i="11"/>
  <c r="C6746" i="11"/>
  <c r="F4629" i="11"/>
  <c r="C4629" i="11"/>
  <c r="F7196" i="11"/>
  <c r="C7196" i="11"/>
  <c r="F5231" i="11"/>
  <c r="C5231" i="11"/>
  <c r="F4628" i="11"/>
  <c r="C4628" i="11"/>
  <c r="F7509" i="11"/>
  <c r="C7509" i="11"/>
  <c r="F7406" i="11"/>
  <c r="C7406" i="11"/>
  <c r="F7195" i="11"/>
  <c r="C7195" i="11"/>
  <c r="F7060" i="11"/>
  <c r="C7060" i="11"/>
  <c r="F7056" i="11"/>
  <c r="C7056" i="11"/>
  <c r="F6870" i="11"/>
  <c r="C6870" i="11"/>
  <c r="F4627" i="11"/>
  <c r="C4627" i="11"/>
  <c r="F4626" i="11"/>
  <c r="E4626" i="11"/>
  <c r="C4626" i="11"/>
  <c r="F3863" i="11"/>
  <c r="E3863" i="11"/>
  <c r="C3863" i="11"/>
  <c r="F7194" i="11"/>
  <c r="C7194" i="11"/>
  <c r="F4625" i="11"/>
  <c r="C4625" i="11"/>
  <c r="F2960" i="11"/>
  <c r="C2960" i="11"/>
  <c r="F7193" i="11"/>
  <c r="C7193" i="11"/>
  <c r="F6745" i="11"/>
  <c r="C6745" i="11"/>
  <c r="F4624" i="11"/>
  <c r="C4624" i="11"/>
  <c r="F7192" i="11"/>
  <c r="C7192" i="11"/>
  <c r="F6744" i="11"/>
  <c r="C6744" i="11"/>
  <c r="F4623" i="11"/>
  <c r="C4623" i="11"/>
  <c r="F7191" i="11"/>
  <c r="C7191" i="11"/>
  <c r="F6869" i="11"/>
  <c r="C6869" i="11"/>
  <c r="F6541" i="11"/>
  <c r="C6541" i="11"/>
  <c r="F4622" i="11"/>
  <c r="C4622" i="11"/>
  <c r="F4621" i="11"/>
  <c r="C4621" i="11"/>
  <c r="F3891" i="11"/>
  <c r="C3891" i="11"/>
  <c r="F7190" i="11"/>
  <c r="C7190" i="11"/>
  <c r="F4620" i="11"/>
  <c r="C4620" i="11"/>
  <c r="G2421" i="11"/>
  <c r="F2421" i="11"/>
  <c r="C2421" i="11"/>
  <c r="F4619" i="11"/>
  <c r="E4619" i="11"/>
  <c r="C4619" i="11"/>
  <c r="F3862" i="11"/>
  <c r="E3862" i="11"/>
  <c r="C3862" i="11"/>
  <c r="F7189" i="11"/>
  <c r="C7189" i="11"/>
  <c r="F4618" i="11"/>
  <c r="C4618" i="11"/>
  <c r="F3020" i="11"/>
  <c r="C3020" i="11"/>
  <c r="F7188" i="11"/>
  <c r="C7188" i="11"/>
  <c r="F5230" i="11"/>
  <c r="C5230" i="11"/>
  <c r="F4617" i="11"/>
  <c r="C4617" i="11"/>
  <c r="F7187" i="11"/>
  <c r="C7187" i="11"/>
  <c r="F6743" i="11"/>
  <c r="C6743" i="11"/>
  <c r="F4616" i="11"/>
  <c r="C4616" i="11"/>
  <c r="F4615" i="11"/>
  <c r="C4615" i="11"/>
  <c r="F3861" i="11"/>
  <c r="C3861" i="11"/>
  <c r="F7186" i="11"/>
  <c r="C7186" i="11"/>
  <c r="F6540" i="11"/>
  <c r="C6540" i="11"/>
  <c r="F4614" i="11"/>
  <c r="C4614" i="11"/>
  <c r="F7185" i="11"/>
  <c r="C7185" i="11"/>
  <c r="F6539" i="11"/>
  <c r="C6539" i="11"/>
  <c r="F4613" i="11"/>
  <c r="C4613" i="11"/>
  <c r="F7184" i="11"/>
  <c r="C7184" i="11"/>
  <c r="F6538" i="11"/>
  <c r="C6538" i="11"/>
  <c r="F4612" i="11"/>
  <c r="C4612" i="11"/>
  <c r="F7183" i="11"/>
  <c r="C7183" i="11"/>
  <c r="F6742" i="11"/>
  <c r="C6742" i="11"/>
  <c r="F4611" i="11"/>
  <c r="C4611" i="11"/>
  <c r="F7182" i="11"/>
  <c r="C7182" i="11"/>
  <c r="F6537" i="11"/>
  <c r="C6537" i="11"/>
  <c r="F4610" i="11"/>
  <c r="C4610" i="11"/>
  <c r="F4609" i="11"/>
  <c r="E4609" i="11"/>
  <c r="C4609" i="11"/>
  <c r="F3860" i="11"/>
  <c r="E3860" i="11"/>
  <c r="C3860" i="11"/>
  <c r="F4608" i="11"/>
  <c r="E4608" i="11"/>
  <c r="C4608" i="11"/>
  <c r="F3859" i="11"/>
  <c r="E3859" i="11"/>
  <c r="C3859" i="11"/>
  <c r="F7181" i="11"/>
  <c r="C7181" i="11"/>
  <c r="F5229" i="11"/>
  <c r="C5229" i="11"/>
  <c r="F4607" i="11"/>
  <c r="C4607" i="11"/>
  <c r="F7180" i="11"/>
  <c r="C7180" i="11"/>
  <c r="F5228" i="11"/>
  <c r="C5228" i="11"/>
  <c r="F4606" i="11"/>
  <c r="C4606" i="11"/>
  <c r="F7179" i="11"/>
  <c r="C7179" i="11"/>
  <c r="F4605" i="11"/>
  <c r="C4605" i="11"/>
  <c r="F2959" i="11"/>
  <c r="C2959" i="11"/>
  <c r="F7178" i="11"/>
  <c r="C7178" i="11"/>
  <c r="F6536" i="11"/>
  <c r="C6536" i="11"/>
  <c r="F4604" i="11"/>
  <c r="C4604" i="11"/>
  <c r="F7177" i="11"/>
  <c r="C7177" i="11"/>
  <c r="F6535" i="11"/>
  <c r="C6535" i="11"/>
  <c r="F4603" i="11"/>
  <c r="C4603" i="11"/>
  <c r="F7176" i="11"/>
  <c r="C7176" i="11"/>
  <c r="F6534" i="11"/>
  <c r="C6534" i="11"/>
  <c r="F4602" i="11"/>
  <c r="C4602" i="11"/>
  <c r="F7175" i="11"/>
  <c r="C7175" i="11"/>
  <c r="F6533" i="11"/>
  <c r="C6533" i="11"/>
  <c r="F4601" i="11"/>
  <c r="C4601" i="11"/>
  <c r="F4600" i="11"/>
  <c r="E4600" i="11"/>
  <c r="C4600" i="11"/>
  <c r="F3858" i="11"/>
  <c r="E3858" i="11"/>
  <c r="C3858" i="11"/>
  <c r="F7174" i="11"/>
  <c r="C7174" i="11"/>
  <c r="F6532" i="11"/>
  <c r="C6532" i="11"/>
  <c r="F4599" i="11"/>
  <c r="C4599" i="11"/>
  <c r="F7173" i="11"/>
  <c r="C7173" i="11"/>
  <c r="F6868" i="11"/>
  <c r="C6868" i="11"/>
  <c r="F4598" i="11"/>
  <c r="C4598" i="11"/>
  <c r="F7172" i="11"/>
  <c r="C7172" i="11"/>
  <c r="F6741" i="11"/>
  <c r="C6741" i="11"/>
  <c r="F4597" i="11"/>
  <c r="C4597" i="11"/>
  <c r="F7590" i="11"/>
  <c r="C7590" i="11"/>
  <c r="F7171" i="11"/>
  <c r="C7171" i="11"/>
  <c r="F4596" i="11"/>
  <c r="C4596" i="11"/>
  <c r="F7170" i="11"/>
  <c r="C7170" i="11"/>
  <c r="F6531" i="11"/>
  <c r="C6531" i="11"/>
  <c r="F4595" i="11"/>
  <c r="C4595" i="11"/>
  <c r="F4594" i="11"/>
  <c r="E4594" i="11"/>
  <c r="C4594" i="11"/>
  <c r="F3857" i="11"/>
  <c r="E3857" i="11"/>
  <c r="C3857" i="11"/>
  <c r="F7169" i="11"/>
  <c r="C7169" i="11"/>
  <c r="F4593" i="11"/>
  <c r="C4593" i="11"/>
  <c r="F3019" i="11"/>
  <c r="C3019" i="11"/>
  <c r="F7168" i="11"/>
  <c r="C7168" i="11"/>
  <c r="F4592" i="11"/>
  <c r="C4592" i="11"/>
  <c r="F3890" i="11"/>
  <c r="C3890" i="11"/>
  <c r="F7167" i="11"/>
  <c r="C7167" i="11"/>
  <c r="F5227" i="11"/>
  <c r="C5227" i="11"/>
  <c r="F4591" i="11"/>
  <c r="C4591" i="11"/>
  <c r="F7166" i="11"/>
  <c r="C7166" i="11"/>
  <c r="F5226" i="11"/>
  <c r="C5226" i="11"/>
  <c r="F4590" i="11"/>
  <c r="C4590" i="11"/>
  <c r="F5225" i="11"/>
  <c r="C5225" i="11"/>
  <c r="F4589" i="11"/>
  <c r="C4589" i="11"/>
  <c r="F4588" i="11"/>
  <c r="C4588" i="11"/>
  <c r="G3812" i="11"/>
  <c r="F3812" i="11"/>
  <c r="C3812" i="11"/>
  <c r="F4587" i="11"/>
  <c r="E4587" i="11"/>
  <c r="C4587" i="11"/>
  <c r="F3856" i="11"/>
  <c r="E3856" i="11"/>
  <c r="C3856" i="11"/>
  <c r="F4586" i="11"/>
  <c r="E4586" i="11"/>
  <c r="C4586" i="11"/>
  <c r="F3855" i="11"/>
  <c r="E3855" i="11"/>
  <c r="C3855" i="11"/>
  <c r="F7165" i="11"/>
  <c r="C7165" i="11"/>
  <c r="F6530" i="11"/>
  <c r="C6530" i="11"/>
  <c r="F4585" i="11"/>
  <c r="C4585" i="11"/>
  <c r="F7164" i="11"/>
  <c r="C7164" i="11"/>
  <c r="F6740" i="11"/>
  <c r="C6740" i="11"/>
  <c r="F4584" i="11"/>
  <c r="C4584" i="11"/>
  <c r="F7163" i="11"/>
  <c r="C7163" i="11"/>
  <c r="F4583" i="11"/>
  <c r="C4583" i="11"/>
  <c r="F3889" i="11"/>
  <c r="C3889" i="11"/>
  <c r="F4582" i="11"/>
  <c r="E4582" i="11"/>
  <c r="C4582" i="11"/>
  <c r="F3854" i="11"/>
  <c r="E3854" i="11"/>
  <c r="C3854" i="11"/>
  <c r="F7162" i="11"/>
  <c r="C7162" i="11"/>
  <c r="F6739" i="11"/>
  <c r="C6739" i="11"/>
  <c r="F4581" i="11"/>
  <c r="C4581" i="11"/>
  <c r="F7161" i="11"/>
  <c r="C7161" i="11"/>
  <c r="F7114" i="11"/>
  <c r="C7114" i="11"/>
  <c r="F6867" i="11"/>
  <c r="C6867" i="11"/>
  <c r="F4580" i="11"/>
  <c r="C4580" i="11"/>
  <c r="F7160" i="11"/>
  <c r="C7160" i="11"/>
  <c r="F4579" i="11"/>
  <c r="C4579" i="11"/>
  <c r="G2420" i="11"/>
  <c r="F2420" i="11"/>
  <c r="C2420" i="11"/>
  <c r="F7159" i="11"/>
  <c r="C7159" i="11"/>
  <c r="F4578" i="11"/>
  <c r="C4578" i="11"/>
  <c r="F2419" i="11"/>
  <c r="C2419" i="11"/>
  <c r="F7589" i="11"/>
  <c r="C7589" i="11"/>
  <c r="F7158" i="11"/>
  <c r="C7158" i="11"/>
  <c r="F4577" i="11"/>
  <c r="C4577" i="11"/>
  <c r="F7157" i="11"/>
  <c r="C7157" i="11"/>
  <c r="F4576" i="11"/>
  <c r="C4576" i="11"/>
  <c r="F3018" i="11"/>
  <c r="C3018" i="11"/>
  <c r="F7313" i="11"/>
  <c r="C7313" i="11"/>
  <c r="F7156" i="11"/>
  <c r="C7156" i="11"/>
  <c r="F4575" i="11"/>
  <c r="C4575" i="11"/>
  <c r="F6529" i="11"/>
  <c r="C6529" i="11"/>
  <c r="F4659" i="11"/>
  <c r="C4659" i="11"/>
  <c r="F7264" i="11"/>
  <c r="C7264" i="11"/>
  <c r="F4658" i="11"/>
  <c r="C4658" i="11"/>
  <c r="F6528" i="11"/>
  <c r="C6528" i="11"/>
  <c r="F4657" i="11"/>
  <c r="C4657" i="11"/>
  <c r="F7263" i="11"/>
  <c r="C7263" i="11"/>
  <c r="F4656" i="11"/>
  <c r="C4656" i="11"/>
  <c r="F7312" i="11"/>
  <c r="C7312" i="11"/>
  <c r="F4655" i="11"/>
  <c r="C4655" i="11"/>
  <c r="F7262" i="11"/>
  <c r="C7262" i="11"/>
  <c r="F4654" i="11"/>
  <c r="C4654" i="11"/>
  <c r="F4653" i="11"/>
  <c r="C4653" i="11"/>
  <c r="F2418" i="11"/>
  <c r="C2418" i="11"/>
  <c r="F7261" i="11"/>
  <c r="C7261" i="11"/>
  <c r="F4652" i="11"/>
  <c r="C4652" i="11"/>
  <c r="F4651" i="11"/>
  <c r="C4651" i="11"/>
  <c r="F2417" i="11"/>
  <c r="C2417" i="11"/>
  <c r="F7260" i="11"/>
  <c r="C7260" i="11"/>
  <c r="F4650" i="11"/>
  <c r="C4650" i="11"/>
  <c r="F4649" i="11"/>
  <c r="C4649" i="11"/>
  <c r="F2416" i="11"/>
  <c r="C2416" i="11"/>
  <c r="F7259" i="11"/>
  <c r="C7259" i="11"/>
  <c r="F4648" i="11"/>
  <c r="C4648" i="11"/>
  <c r="F4647" i="11"/>
  <c r="C4647" i="11"/>
  <c r="F2415" i="11"/>
  <c r="C2415" i="11"/>
  <c r="F7258" i="11"/>
  <c r="C7258" i="11"/>
  <c r="F4646" i="11"/>
  <c r="C4646" i="11"/>
  <c r="F4645" i="11"/>
  <c r="C4645" i="11"/>
  <c r="F2414" i="11"/>
  <c r="C2414" i="11"/>
  <c r="F7257" i="11"/>
  <c r="C7257" i="11"/>
  <c r="F4644" i="11"/>
  <c r="C4644" i="11"/>
  <c r="F4643" i="11"/>
  <c r="C4643" i="11"/>
  <c r="F2413" i="11"/>
  <c r="C2413" i="11"/>
  <c r="F7256" i="11"/>
  <c r="C7256" i="11"/>
  <c r="F4642" i="11"/>
  <c r="C4642" i="11"/>
  <c r="F4641" i="11"/>
  <c r="C4641" i="11"/>
  <c r="F2412" i="11"/>
  <c r="C2412" i="11"/>
  <c r="F7255" i="11"/>
  <c r="C7255" i="11"/>
  <c r="F4640" i="11"/>
  <c r="C4640" i="11"/>
  <c r="F4639" i="11"/>
  <c r="C4639" i="11"/>
  <c r="F2411" i="11"/>
  <c r="C2411" i="11"/>
  <c r="F7254" i="11"/>
  <c r="C7254" i="11"/>
  <c r="F4638" i="11"/>
  <c r="C4638" i="11"/>
  <c r="F4637" i="11"/>
  <c r="C4637" i="11"/>
  <c r="F2410" i="11"/>
  <c r="C2410" i="11"/>
  <c r="F7595" i="11"/>
  <c r="C7595" i="11"/>
  <c r="F3017" i="11"/>
  <c r="C3017" i="11"/>
  <c r="F7594" i="11"/>
  <c r="C7594" i="11"/>
  <c r="F3016" i="11"/>
  <c r="C3016" i="11"/>
  <c r="F7593" i="11"/>
  <c r="C7593" i="11"/>
  <c r="F3015" i="11"/>
  <c r="C3015" i="11"/>
  <c r="F7632" i="11"/>
  <c r="F7631" i="11"/>
  <c r="F7630" i="11"/>
  <c r="F7629" i="11"/>
  <c r="F7628" i="11"/>
  <c r="F7626" i="11"/>
  <c r="F7625" i="11"/>
  <c r="F7624" i="11"/>
  <c r="F7623" i="11"/>
  <c r="F7622" i="11"/>
  <c r="F7620" i="11"/>
  <c r="F7619" i="11"/>
  <c r="F7618" i="11"/>
  <c r="F7617" i="11"/>
  <c r="F7616" i="11"/>
  <c r="F7604" i="11"/>
  <c r="F7603" i="11"/>
  <c r="F7601" i="11"/>
  <c r="F7587" i="11"/>
  <c r="F7586" i="11"/>
  <c r="F7585" i="11"/>
  <c r="F7583" i="11"/>
  <c r="F7582" i="11"/>
  <c r="F7580" i="11"/>
  <c r="F7579" i="11"/>
  <c r="F7577" i="11"/>
  <c r="F7575" i="11"/>
  <c r="F7574" i="11"/>
  <c r="F7572" i="11"/>
  <c r="F7570" i="11"/>
  <c r="F7569" i="11"/>
  <c r="F7567" i="11"/>
  <c r="F7566" i="11"/>
  <c r="F7427" i="11"/>
  <c r="F7426" i="11"/>
  <c r="F7424" i="11"/>
  <c r="F7423" i="11"/>
  <c r="F7421" i="11"/>
  <c r="F7420" i="11"/>
  <c r="F3729" i="11"/>
  <c r="F3728" i="11"/>
  <c r="F3726" i="11"/>
  <c r="F3725" i="11"/>
  <c r="F3721" i="11"/>
  <c r="F3720" i="11"/>
  <c r="F3719" i="11"/>
  <c r="F3718" i="11"/>
  <c r="F3035" i="11"/>
  <c r="F3028" i="11"/>
  <c r="F3027" i="11"/>
  <c r="F3026" i="11"/>
  <c r="F3025" i="11"/>
  <c r="F3012" i="11"/>
  <c r="F3011" i="11"/>
  <c r="F2972" i="11"/>
  <c r="F2967" i="11"/>
  <c r="F2962" i="11"/>
  <c r="F2958" i="11"/>
  <c r="F6738" i="11"/>
  <c r="C6738" i="11"/>
  <c r="F3824" i="11"/>
  <c r="C3824" i="11"/>
  <c r="F7704" i="11"/>
  <c r="C7704" i="11"/>
  <c r="F7700" i="11"/>
  <c r="C7700" i="11"/>
  <c r="F158" i="11"/>
  <c r="C158" i="11"/>
  <c r="F154" i="11"/>
  <c r="C154" i="11"/>
  <c r="F150" i="11"/>
  <c r="C150" i="11"/>
  <c r="F146" i="11"/>
  <c r="C146" i="11"/>
  <c r="F142" i="11"/>
  <c r="C142" i="11"/>
  <c r="F138" i="11"/>
  <c r="C138" i="11"/>
  <c r="F134" i="11"/>
  <c r="C134" i="11"/>
  <c r="F130" i="11"/>
  <c r="C130" i="11"/>
  <c r="F126" i="11"/>
  <c r="C126" i="11"/>
  <c r="F122" i="11"/>
  <c r="C122" i="11"/>
  <c r="F118" i="11"/>
  <c r="C118" i="11"/>
  <c r="F114" i="11"/>
  <c r="C114" i="11"/>
  <c r="F110" i="11"/>
  <c r="C110" i="11"/>
  <c r="F106" i="11"/>
  <c r="C106" i="11"/>
  <c r="F102" i="11"/>
  <c r="C102" i="11"/>
  <c r="F98" i="11"/>
  <c r="C98" i="11"/>
  <c r="F94" i="11"/>
  <c r="C94" i="11"/>
  <c r="F7559" i="11"/>
  <c r="C7559" i="11"/>
  <c r="G2409" i="11"/>
  <c r="F2409" i="11"/>
  <c r="C2409" i="11"/>
  <c r="F7055" i="11"/>
  <c r="C7055" i="11"/>
  <c r="G2483" i="11"/>
  <c r="F2483" i="11"/>
  <c r="C2483" i="11"/>
  <c r="G2482" i="11"/>
  <c r="F2482" i="11"/>
  <c r="C2482" i="11"/>
  <c r="G2481" i="11"/>
  <c r="F2481" i="11"/>
  <c r="C2481" i="11"/>
  <c r="G2480" i="11"/>
  <c r="F2480" i="11"/>
  <c r="C2480" i="11"/>
  <c r="G2479" i="11"/>
  <c r="F2479" i="11"/>
  <c r="C2479" i="11"/>
  <c r="G2478" i="11"/>
  <c r="F2478" i="11"/>
  <c r="C2478" i="11"/>
  <c r="G2477" i="11"/>
  <c r="F2477" i="11"/>
  <c r="C2477" i="11"/>
  <c r="G2476" i="11"/>
  <c r="F2476" i="11"/>
  <c r="C2476" i="11"/>
  <c r="G2475" i="11"/>
  <c r="F2475" i="11"/>
  <c r="C2475" i="11"/>
  <c r="G2474" i="11"/>
  <c r="F2474" i="11"/>
  <c r="C2474" i="11"/>
  <c r="G2473" i="11"/>
  <c r="F2473" i="11"/>
  <c r="C2473" i="11"/>
  <c r="G2472" i="11"/>
  <c r="F2472" i="11"/>
  <c r="C2472" i="11"/>
  <c r="G2471" i="11"/>
  <c r="F2471" i="11"/>
  <c r="C2471" i="11"/>
  <c r="G2470" i="11"/>
  <c r="F2470" i="11"/>
  <c r="C2470" i="11"/>
  <c r="G2469" i="11"/>
  <c r="F2469" i="11"/>
  <c r="C2469" i="11"/>
  <c r="F941" i="11"/>
  <c r="C941" i="11"/>
  <c r="F426" i="11"/>
  <c r="C426" i="11"/>
  <c r="F276" i="11"/>
  <c r="C276" i="11"/>
  <c r="F6490" i="11"/>
  <c r="C6490" i="11"/>
  <c r="G2468" i="11"/>
  <c r="F2468" i="11"/>
  <c r="C2468" i="11"/>
  <c r="F7015" i="11"/>
  <c r="C7015" i="11"/>
  <c r="G3811" i="11"/>
  <c r="F3811" i="11"/>
  <c r="C3811" i="11"/>
  <c r="F3059" i="11"/>
  <c r="C3059" i="11"/>
  <c r="F7014" i="11"/>
  <c r="C7014" i="11"/>
  <c r="G3810" i="11"/>
  <c r="F3810" i="11"/>
  <c r="C3810" i="11"/>
  <c r="F3058" i="11"/>
  <c r="C3058" i="11"/>
  <c r="F6919" i="11"/>
  <c r="C6919" i="11"/>
  <c r="G3809" i="11"/>
  <c r="F3809" i="11"/>
  <c r="C3809" i="11"/>
  <c r="F3057" i="11"/>
  <c r="C3057" i="11"/>
  <c r="F6918" i="11"/>
  <c r="C6918" i="11"/>
  <c r="G3808" i="11"/>
  <c r="F3808" i="11"/>
  <c r="C3808" i="11"/>
  <c r="F3056" i="11"/>
  <c r="C3056" i="11"/>
  <c r="F6478" i="11"/>
  <c r="C6478" i="11"/>
  <c r="G3807" i="11"/>
  <c r="F3807" i="11"/>
  <c r="C3807" i="11"/>
  <c r="F3055" i="11"/>
  <c r="C3055" i="11"/>
  <c r="F6489" i="11"/>
  <c r="C6489" i="11"/>
  <c r="G3806" i="11"/>
  <c r="F3806" i="11"/>
  <c r="C3806" i="11"/>
  <c r="F3054" i="11"/>
  <c r="C3054" i="11"/>
  <c r="F6488" i="11"/>
  <c r="C6488" i="11"/>
  <c r="G3805" i="11"/>
  <c r="F3805" i="11"/>
  <c r="C3805" i="11"/>
  <c r="F3053" i="11"/>
  <c r="C3053" i="11"/>
  <c r="F3755" i="11"/>
  <c r="C3755" i="11"/>
  <c r="F3714" i="11"/>
  <c r="C3714" i="11"/>
  <c r="F3624" i="11"/>
  <c r="C3624" i="11"/>
  <c r="F3429" i="11"/>
  <c r="C3429" i="11"/>
  <c r="F3425" i="11"/>
  <c r="C3425" i="11"/>
  <c r="F3421" i="11"/>
  <c r="C3421" i="11"/>
  <c r="F3412" i="11"/>
  <c r="C3412" i="11"/>
  <c r="F3065" i="11"/>
  <c r="C3065" i="11"/>
  <c r="F8163" i="11"/>
  <c r="C8163" i="11"/>
  <c r="F8151" i="11"/>
  <c r="C8151" i="11"/>
  <c r="F8146" i="11"/>
  <c r="C8146" i="11"/>
  <c r="F8145" i="11"/>
  <c r="C8145" i="11"/>
  <c r="F8144" i="11"/>
  <c r="C8144" i="11"/>
  <c r="F8143" i="11"/>
  <c r="C8143" i="11"/>
  <c r="F8128" i="11"/>
  <c r="C8128" i="11"/>
  <c r="F8121" i="11"/>
  <c r="C8121" i="11"/>
  <c r="F8087" i="11"/>
  <c r="C8087" i="11"/>
  <c r="F7723" i="11"/>
  <c r="C7723" i="11"/>
  <c r="F7722" i="11"/>
  <c r="C7722" i="11"/>
  <c r="F7721" i="11"/>
  <c r="C7721" i="11"/>
  <c r="F7720" i="11"/>
  <c r="C7720" i="11"/>
  <c r="F7719" i="11"/>
  <c r="C7719" i="11"/>
  <c r="F7718" i="11"/>
  <c r="C7718" i="11"/>
  <c r="F7717" i="11"/>
  <c r="C7717" i="11"/>
  <c r="F7716" i="11"/>
  <c r="C7716" i="11"/>
  <c r="F2952" i="11"/>
  <c r="C2952" i="11"/>
  <c r="F7703" i="11"/>
  <c r="C7703" i="11"/>
  <c r="F7699" i="11"/>
  <c r="C7699" i="11"/>
  <c r="F157" i="11"/>
  <c r="C157" i="11"/>
  <c r="F153" i="11"/>
  <c r="C153" i="11"/>
  <c r="F149" i="11"/>
  <c r="C149" i="11"/>
  <c r="F145" i="11"/>
  <c r="C145" i="11"/>
  <c r="F141" i="11"/>
  <c r="C141" i="11"/>
  <c r="F137" i="11"/>
  <c r="C137" i="11"/>
  <c r="F133" i="11"/>
  <c r="C133" i="11"/>
  <c r="F129" i="11"/>
  <c r="C129" i="11"/>
  <c r="F125" i="11"/>
  <c r="C125" i="11"/>
  <c r="F121" i="11"/>
  <c r="C121" i="11"/>
  <c r="F117" i="11"/>
  <c r="C117" i="11"/>
  <c r="F113" i="11"/>
  <c r="C113" i="11"/>
  <c r="F109" i="11"/>
  <c r="C109" i="11"/>
  <c r="F105" i="11"/>
  <c r="C105" i="11"/>
  <c r="F101" i="11"/>
  <c r="C101" i="11"/>
  <c r="F97" i="11"/>
  <c r="C97" i="11"/>
  <c r="F93" i="11"/>
  <c r="C93" i="11"/>
  <c r="G2945" i="11"/>
  <c r="F2945" i="11"/>
  <c r="C2945" i="11"/>
  <c r="G2408" i="11"/>
  <c r="F2408" i="11"/>
  <c r="C2408" i="11"/>
  <c r="G2467" i="11"/>
  <c r="F2467" i="11"/>
  <c r="C2467" i="11"/>
  <c r="F166" i="11"/>
  <c r="C166" i="11"/>
  <c r="F6519" i="11"/>
  <c r="C6519" i="11"/>
  <c r="F2966" i="11"/>
  <c r="C2966" i="11"/>
  <c r="F2466" i="11"/>
  <c r="C2466" i="11"/>
  <c r="G2443" i="11"/>
  <c r="F2443" i="11"/>
  <c r="C2443" i="11"/>
  <c r="G2407" i="11"/>
  <c r="F2407" i="11"/>
  <c r="C2407" i="11"/>
  <c r="G2971" i="11"/>
  <c r="F2971" i="11"/>
  <c r="C2971" i="11"/>
  <c r="G2406" i="11"/>
  <c r="F2406" i="11"/>
  <c r="C2406" i="11"/>
  <c r="G2405" i="11"/>
  <c r="F2405" i="11"/>
  <c r="C2405" i="11"/>
  <c r="G2404" i="11"/>
  <c r="F2404" i="11"/>
  <c r="C2404" i="11"/>
  <c r="G2403" i="11"/>
  <c r="F2403" i="11"/>
  <c r="C2403" i="11"/>
  <c r="G2402" i="11"/>
  <c r="F2402" i="11"/>
  <c r="C2402" i="11"/>
  <c r="F7691" i="11"/>
  <c r="C7691" i="11"/>
  <c r="F6962" i="11"/>
  <c r="C6962" i="11"/>
  <c r="F24" i="11"/>
  <c r="C24" i="11"/>
  <c r="G3910" i="11"/>
  <c r="F3910" i="11"/>
  <c r="C3910" i="11"/>
  <c r="G3909" i="11"/>
  <c r="F3909" i="11"/>
  <c r="C3909" i="11"/>
  <c r="G3908" i="11"/>
  <c r="F3908" i="11"/>
  <c r="C3908" i="11"/>
  <c r="G2767" i="11"/>
  <c r="F2767" i="11"/>
  <c r="C2767" i="11"/>
  <c r="F7564" i="11"/>
  <c r="C7564" i="11"/>
  <c r="F4246" i="11"/>
  <c r="C4246" i="11"/>
  <c r="G2949" i="11"/>
  <c r="F2949" i="11"/>
  <c r="C2949" i="11"/>
  <c r="G2520" i="11"/>
  <c r="F2520" i="11"/>
  <c r="C2520" i="11"/>
  <c r="F8167" i="11"/>
  <c r="C8167" i="11"/>
  <c r="F4245" i="11"/>
  <c r="C4245" i="11"/>
  <c r="F7271" i="11"/>
  <c r="C7271" i="11"/>
  <c r="F4242" i="11"/>
  <c r="C4242" i="11"/>
  <c r="F6527" i="11"/>
  <c r="C6527" i="11"/>
  <c r="F6492" i="11"/>
  <c r="C6492" i="11"/>
  <c r="F5369" i="11"/>
  <c r="C5369" i="11"/>
  <c r="F5368" i="11"/>
  <c r="C5368" i="11"/>
  <c r="F4190" i="11"/>
  <c r="C4190" i="11"/>
  <c r="F4189" i="11"/>
  <c r="C4189" i="11"/>
  <c r="G4188" i="11"/>
  <c r="F4188" i="11"/>
  <c r="C4188" i="11"/>
  <c r="G4187" i="11"/>
  <c r="F4187" i="11"/>
  <c r="C4187" i="11"/>
  <c r="G4186" i="11"/>
  <c r="F4186" i="11"/>
  <c r="C4186" i="11"/>
  <c r="G4185" i="11"/>
  <c r="F4185" i="11"/>
  <c r="C4185" i="11"/>
  <c r="F3888" i="11"/>
  <c r="C3888" i="11"/>
  <c r="G3804" i="11"/>
  <c r="F3804" i="11"/>
  <c r="C3804" i="11"/>
  <c r="F3754" i="11"/>
  <c r="C3754" i="11"/>
  <c r="F3753" i="11"/>
  <c r="C3753" i="11"/>
  <c r="F3752" i="11"/>
  <c r="C3752" i="11"/>
  <c r="F3751" i="11"/>
  <c r="C3751" i="11"/>
  <c r="F165" i="11"/>
  <c r="C165" i="11"/>
  <c r="F7113" i="11"/>
  <c r="C7113" i="11"/>
  <c r="G4184" i="11"/>
  <c r="F4184" i="11"/>
  <c r="C4184" i="11"/>
  <c r="F3887" i="11"/>
  <c r="C3887" i="11"/>
  <c r="F3886" i="11"/>
  <c r="C3886" i="11"/>
  <c r="F7614" i="11"/>
  <c r="C7614" i="11"/>
  <c r="F3034" i="11"/>
  <c r="C3034" i="11"/>
  <c r="F3048" i="11"/>
  <c r="C3048" i="11"/>
  <c r="G2766" i="11"/>
  <c r="F2766" i="11"/>
  <c r="C2766" i="11"/>
  <c r="F7693" i="11"/>
  <c r="C7693" i="11"/>
  <c r="F12" i="11"/>
  <c r="C12" i="11"/>
  <c r="F7662" i="11"/>
  <c r="C7662" i="11"/>
  <c r="F3746" i="11"/>
  <c r="C3746" i="11"/>
  <c r="F7702" i="11"/>
  <c r="C7702" i="11"/>
  <c r="F7698" i="11"/>
  <c r="C7698" i="11"/>
  <c r="F156" i="11"/>
  <c r="C156" i="11"/>
  <c r="F152" i="11"/>
  <c r="C152" i="11"/>
  <c r="F148" i="11"/>
  <c r="C148" i="11"/>
  <c r="F144" i="11"/>
  <c r="C144" i="11"/>
  <c r="F140" i="11"/>
  <c r="C140" i="11"/>
  <c r="F136" i="11"/>
  <c r="C136" i="11"/>
  <c r="F132" i="11"/>
  <c r="C132" i="11"/>
  <c r="F128" i="11"/>
  <c r="C128" i="11"/>
  <c r="F124" i="11"/>
  <c r="C124" i="11"/>
  <c r="F120" i="11"/>
  <c r="C120" i="11"/>
  <c r="F116" i="11"/>
  <c r="C116" i="11"/>
  <c r="F112" i="11"/>
  <c r="C112" i="11"/>
  <c r="F108" i="11"/>
  <c r="C108" i="11"/>
  <c r="F104" i="11"/>
  <c r="C104" i="11"/>
  <c r="F100" i="11"/>
  <c r="C100" i="11"/>
  <c r="F96" i="11"/>
  <c r="C96" i="11"/>
  <c r="F92" i="11"/>
  <c r="C92" i="11"/>
  <c r="F5234" i="11"/>
  <c r="C5234" i="11"/>
  <c r="F4241" i="11"/>
  <c r="C4241" i="11"/>
  <c r="F7690" i="11"/>
  <c r="C7690" i="11"/>
  <c r="F6981" i="11"/>
  <c r="C6981" i="11"/>
  <c r="F16" i="11"/>
  <c r="C16" i="11"/>
  <c r="F7689" i="11"/>
  <c r="C7689" i="11"/>
  <c r="F6980" i="11"/>
  <c r="C6980" i="11"/>
  <c r="F14" i="11"/>
  <c r="C14" i="11"/>
  <c r="F7429" i="11"/>
  <c r="C7429" i="11"/>
  <c r="F3716" i="11"/>
  <c r="C3716" i="11"/>
  <c r="F3064" i="11"/>
  <c r="C3064" i="11"/>
  <c r="G2519" i="11"/>
  <c r="F2519" i="11"/>
  <c r="C2519" i="11"/>
  <c r="F7563" i="11"/>
  <c r="C7563" i="11"/>
  <c r="F4244" i="11"/>
  <c r="C4244" i="11"/>
  <c r="G2948" i="11"/>
  <c r="F2948" i="11"/>
  <c r="C2948" i="11"/>
  <c r="G2518" i="11"/>
  <c r="F2518" i="11"/>
  <c r="C2518" i="11"/>
  <c r="F3063" i="11"/>
  <c r="C3063" i="11"/>
  <c r="F2517" i="11"/>
  <c r="C2517" i="11"/>
  <c r="G2947" i="11"/>
  <c r="F2947" i="11"/>
  <c r="C2947" i="11"/>
  <c r="G2516" i="11"/>
  <c r="F2516" i="11"/>
  <c r="C2516" i="11"/>
  <c r="G2515" i="11"/>
  <c r="F2515" i="11"/>
  <c r="C2515" i="11"/>
  <c r="G2514" i="11"/>
  <c r="F2514" i="11"/>
  <c r="C2514" i="11"/>
  <c r="G2513" i="11"/>
  <c r="F2513" i="11"/>
  <c r="C2513" i="11"/>
  <c r="G2512" i="11"/>
  <c r="F2512" i="11"/>
  <c r="C2512" i="11"/>
  <c r="G2511" i="11"/>
  <c r="F2511" i="11"/>
  <c r="C2511" i="11"/>
  <c r="G2510" i="11"/>
  <c r="F2510" i="11"/>
  <c r="C2510" i="11"/>
  <c r="G2509" i="11"/>
  <c r="F2509" i="11"/>
  <c r="C2509" i="11"/>
  <c r="G2508" i="11"/>
  <c r="F2508" i="11"/>
  <c r="C2508" i="11"/>
  <c r="F7688" i="11"/>
  <c r="C7688" i="11"/>
  <c r="F6979" i="11"/>
  <c r="C6979" i="11"/>
  <c r="F68" i="11"/>
  <c r="C68" i="11"/>
  <c r="F7687" i="11"/>
  <c r="C7687" i="11"/>
  <c r="F6978" i="11"/>
  <c r="C6978" i="11"/>
  <c r="F66" i="11"/>
  <c r="C66" i="11"/>
  <c r="F7686" i="11"/>
  <c r="C7686" i="11"/>
  <c r="F6977" i="11"/>
  <c r="C6977" i="11"/>
  <c r="F64" i="11"/>
  <c r="C64" i="11"/>
  <c r="F7685" i="11"/>
  <c r="C7685" i="11"/>
  <c r="F6961" i="11"/>
  <c r="C6961" i="11"/>
  <c r="F44" i="11"/>
  <c r="C44" i="11"/>
  <c r="F7684" i="11"/>
  <c r="C7684" i="11"/>
  <c r="F6960" i="11"/>
  <c r="C6960" i="11"/>
  <c r="F36" i="11"/>
  <c r="C36" i="11"/>
  <c r="F7683" i="11"/>
  <c r="C7683" i="11"/>
  <c r="F6959" i="11"/>
  <c r="C6959" i="11"/>
  <c r="F34" i="11"/>
  <c r="C34" i="11"/>
  <c r="F7682" i="11"/>
  <c r="C7682" i="11"/>
  <c r="F6958" i="11"/>
  <c r="C6958" i="11"/>
  <c r="F30" i="11"/>
  <c r="C30" i="11"/>
  <c r="F7681" i="11"/>
  <c r="C7681" i="11"/>
  <c r="F6957" i="11"/>
  <c r="C6957" i="11"/>
  <c r="F28" i="11"/>
  <c r="C28" i="11"/>
  <c r="F7680" i="11"/>
  <c r="C7680" i="11"/>
  <c r="F6956" i="11"/>
  <c r="C6956" i="11"/>
  <c r="F26" i="11"/>
  <c r="C26" i="11"/>
  <c r="F7679" i="11"/>
  <c r="C7679" i="11"/>
  <c r="F6955" i="11"/>
  <c r="C6955" i="11"/>
  <c r="F40" i="11"/>
  <c r="C40" i="11"/>
  <c r="F7678" i="11"/>
  <c r="C7678" i="11"/>
  <c r="F6954" i="11"/>
  <c r="C6954" i="11"/>
  <c r="F38" i="11"/>
  <c r="C38" i="11"/>
  <c r="F7677" i="11"/>
  <c r="C7677" i="11"/>
  <c r="F6953" i="11"/>
  <c r="C6953" i="11"/>
  <c r="F42" i="11"/>
  <c r="C42" i="11"/>
  <c r="F7676" i="11"/>
  <c r="C7676" i="11"/>
  <c r="F6976" i="11"/>
  <c r="C6976" i="11"/>
  <c r="F62" i="11"/>
  <c r="C62" i="11"/>
  <c r="F7675" i="11"/>
  <c r="C7675" i="11"/>
  <c r="F6975" i="11"/>
  <c r="C6975" i="11"/>
  <c r="F60" i="11"/>
  <c r="C60" i="11"/>
  <c r="F7674" i="11"/>
  <c r="C7674" i="11"/>
  <c r="F6974" i="11"/>
  <c r="C6974" i="11"/>
  <c r="F58" i="11"/>
  <c r="C58" i="11"/>
  <c r="F7673" i="11"/>
  <c r="C7673" i="11"/>
  <c r="F6973" i="11"/>
  <c r="C6973" i="11"/>
  <c r="F46" i="11"/>
  <c r="C46" i="11"/>
  <c r="F7672" i="11"/>
  <c r="C7672" i="11"/>
  <c r="F6952" i="11"/>
  <c r="C6952" i="11"/>
  <c r="F48" i="11"/>
  <c r="C48" i="11"/>
  <c r="F7671" i="11"/>
  <c r="C7671" i="11"/>
  <c r="F6951" i="11"/>
  <c r="C6951" i="11"/>
  <c r="F50" i="11"/>
  <c r="C50" i="11"/>
  <c r="F7670" i="11"/>
  <c r="C7670" i="11"/>
  <c r="F6950" i="11"/>
  <c r="C6950" i="11"/>
  <c r="F52" i="11"/>
  <c r="C52" i="11"/>
  <c r="F7669" i="11"/>
  <c r="C7669" i="11"/>
  <c r="F6949" i="11"/>
  <c r="C6949" i="11"/>
  <c r="F54" i="11"/>
  <c r="C54" i="11"/>
  <c r="F7668" i="11"/>
  <c r="C7668" i="11"/>
  <c r="F6948" i="11"/>
  <c r="C6948" i="11"/>
  <c r="F56" i="11"/>
  <c r="C56" i="11"/>
  <c r="F7667" i="11"/>
  <c r="C7667" i="11"/>
  <c r="F6947" i="11"/>
  <c r="C6947" i="11"/>
  <c r="F32" i="11"/>
  <c r="C32" i="11"/>
  <c r="F7666" i="11"/>
  <c r="C7666" i="11"/>
  <c r="F6946" i="11"/>
  <c r="C6946" i="11"/>
  <c r="F22" i="11"/>
  <c r="C22" i="11"/>
  <c r="F7665" i="11"/>
  <c r="C7665" i="11"/>
  <c r="F6945" i="11"/>
  <c r="C6945" i="11"/>
  <c r="F20" i="11"/>
  <c r="C20" i="11"/>
  <c r="F7664" i="11"/>
  <c r="C7664" i="11"/>
  <c r="F6944" i="11"/>
  <c r="C6944" i="11"/>
  <c r="F18" i="11"/>
  <c r="C18" i="11"/>
  <c r="F7551" i="11"/>
  <c r="C7551" i="11"/>
  <c r="F3818" i="11"/>
  <c r="C3818" i="11"/>
  <c r="G3803" i="11"/>
  <c r="F3803" i="11"/>
  <c r="C3803" i="11"/>
  <c r="F7550" i="11"/>
  <c r="C7550" i="11"/>
  <c r="F3817" i="11"/>
  <c r="C3817" i="11"/>
  <c r="G3802" i="11"/>
  <c r="F3802" i="11"/>
  <c r="C3802" i="11"/>
  <c r="F6917" i="11"/>
  <c r="C6917" i="11"/>
  <c r="G3801" i="11"/>
  <c r="F3801" i="11"/>
  <c r="C3801" i="11"/>
  <c r="F3052" i="11"/>
  <c r="C3052" i="11"/>
  <c r="F8162" i="11"/>
  <c r="C8162" i="11"/>
  <c r="F8150" i="11"/>
  <c r="C8150" i="11"/>
  <c r="F8142" i="11"/>
  <c r="C8142" i="11"/>
  <c r="F8141" i="11"/>
  <c r="C8141" i="11"/>
  <c r="F8140" i="11"/>
  <c r="C8140" i="11"/>
  <c r="F8139" i="11"/>
  <c r="C8139" i="11"/>
  <c r="F8127" i="11"/>
  <c r="C8127" i="11"/>
  <c r="F8120" i="11"/>
  <c r="C8120" i="11"/>
  <c r="F8086" i="11"/>
  <c r="C8086" i="11"/>
  <c r="F7715" i="11"/>
  <c r="C7715" i="11"/>
  <c r="F7714" i="11"/>
  <c r="C7714" i="11"/>
  <c r="F7713" i="11"/>
  <c r="C7713" i="11"/>
  <c r="F7712" i="11"/>
  <c r="C7712" i="11"/>
  <c r="F7711" i="11"/>
  <c r="C7711" i="11"/>
  <c r="F7710" i="11"/>
  <c r="C7710" i="11"/>
  <c r="F7709" i="11"/>
  <c r="C7709" i="11"/>
  <c r="F7708" i="11"/>
  <c r="C7708" i="11"/>
  <c r="F2951" i="11"/>
  <c r="C2951" i="11"/>
  <c r="F4240" i="11"/>
  <c r="C4240" i="11"/>
  <c r="F3896" i="11"/>
  <c r="C3896" i="11"/>
  <c r="F4239" i="11"/>
  <c r="C4239" i="11"/>
  <c r="G4179" i="11"/>
  <c r="F4179" i="11"/>
  <c r="C4179" i="11"/>
  <c r="F3750" i="11"/>
  <c r="C3750" i="11"/>
  <c r="F3713" i="11"/>
  <c r="C3713" i="11"/>
  <c r="F3623" i="11"/>
  <c r="C3623" i="11"/>
  <c r="F3428" i="11"/>
  <c r="C3428" i="11"/>
  <c r="F3424" i="11"/>
  <c r="C3424" i="11"/>
  <c r="F3420" i="11"/>
  <c r="C3420" i="11"/>
  <c r="F3411" i="11"/>
  <c r="C3411" i="11"/>
  <c r="F3062" i="11"/>
  <c r="C3062" i="11"/>
  <c r="F3749" i="11"/>
  <c r="C3749" i="11"/>
  <c r="F3712" i="11"/>
  <c r="C3712" i="11"/>
  <c r="F3622" i="11"/>
  <c r="C3622" i="11"/>
  <c r="F3427" i="11"/>
  <c r="C3427" i="11"/>
  <c r="F3423" i="11"/>
  <c r="C3423" i="11"/>
  <c r="F3410" i="11"/>
  <c r="C3410" i="11"/>
  <c r="F3061" i="11"/>
  <c r="C3061" i="11"/>
  <c r="F940" i="11"/>
  <c r="C940" i="11"/>
  <c r="F164" i="11"/>
  <c r="C164" i="11"/>
  <c r="G2465" i="11"/>
  <c r="F2465" i="11"/>
  <c r="C2465" i="11"/>
  <c r="F163" i="11"/>
  <c r="C163" i="11"/>
  <c r="F939" i="11"/>
  <c r="C939" i="11"/>
  <c r="F275" i="11"/>
  <c r="C275" i="11"/>
  <c r="F6880" i="11"/>
  <c r="C6880" i="11"/>
  <c r="G2464" i="11"/>
  <c r="F2464" i="11"/>
  <c r="C2464" i="11"/>
  <c r="F7706" i="11"/>
  <c r="C7706" i="11"/>
  <c r="F70" i="11"/>
  <c r="C70" i="11"/>
  <c r="F6518" i="11"/>
  <c r="C6518" i="11"/>
  <c r="F2965" i="11"/>
  <c r="C2965" i="11"/>
  <c r="F2463" i="11"/>
  <c r="C2463" i="11"/>
  <c r="F7054" i="11"/>
  <c r="C7054" i="11"/>
  <c r="G2462" i="11"/>
  <c r="F2462" i="11"/>
  <c r="C2462" i="11"/>
  <c r="G2461" i="11"/>
  <c r="F2461" i="11"/>
  <c r="C2461" i="11"/>
  <c r="G2460" i="11"/>
  <c r="F2460" i="11"/>
  <c r="C2460" i="11"/>
  <c r="G2459" i="11"/>
  <c r="F2459" i="11"/>
  <c r="C2459" i="11"/>
  <c r="G2458" i="11"/>
  <c r="F2458" i="11"/>
  <c r="C2458" i="11"/>
  <c r="G2457" i="11"/>
  <c r="F2457" i="11"/>
  <c r="C2457" i="11"/>
  <c r="G2456" i="11"/>
  <c r="F2456" i="11"/>
  <c r="C2456" i="11"/>
  <c r="G2455" i="11"/>
  <c r="F2455" i="11"/>
  <c r="C2455" i="11"/>
  <c r="G2454" i="11"/>
  <c r="F2454" i="11"/>
  <c r="C2454" i="11"/>
  <c r="G2453" i="11"/>
  <c r="F2453" i="11"/>
  <c r="C2453" i="11"/>
  <c r="G2452" i="11"/>
  <c r="F2452" i="11"/>
  <c r="C2452" i="11"/>
  <c r="G2451" i="11"/>
  <c r="F2451" i="11"/>
  <c r="C2451" i="11"/>
  <c r="G2450" i="11"/>
  <c r="F2450" i="11"/>
  <c r="C2450" i="11"/>
  <c r="G2449" i="11"/>
  <c r="F2449" i="11"/>
  <c r="C2449" i="11"/>
  <c r="G2448" i="11"/>
  <c r="F2448" i="11"/>
  <c r="C2448" i="11"/>
  <c r="G2447" i="11"/>
  <c r="F2447" i="11"/>
  <c r="C2447" i="11"/>
  <c r="G2446" i="11"/>
  <c r="F2446" i="11"/>
  <c r="C2446" i="11"/>
  <c r="G2445" i="11"/>
  <c r="F2445" i="11"/>
  <c r="C2445" i="11"/>
  <c r="F938" i="11"/>
  <c r="C938" i="11"/>
  <c r="F425" i="11"/>
  <c r="C425" i="11"/>
  <c r="F274" i="11"/>
  <c r="C274" i="11"/>
  <c r="G3800" i="11"/>
  <c r="F3800" i="11"/>
  <c r="C3800" i="11"/>
  <c r="F3010" i="11"/>
  <c r="C3010" i="11"/>
  <c r="F7558" i="11"/>
  <c r="C7558" i="11"/>
  <c r="F3853" i="11"/>
  <c r="C3853" i="11"/>
  <c r="F3852" i="11"/>
  <c r="C3852" i="11"/>
  <c r="F3744" i="11"/>
  <c r="C3744" i="11"/>
  <c r="G2442" i="11"/>
  <c r="F2442" i="11"/>
  <c r="C2442" i="11"/>
  <c r="G2401" i="11"/>
  <c r="F2401" i="11"/>
  <c r="C2401" i="11"/>
  <c r="F3799" i="11"/>
  <c r="C3799" i="11"/>
  <c r="G3798" i="11"/>
  <c r="F3798" i="11"/>
  <c r="C3798" i="11"/>
  <c r="F3851" i="11"/>
  <c r="C3851" i="11"/>
  <c r="G2400" i="11"/>
  <c r="F2400" i="11"/>
  <c r="C2400" i="11"/>
  <c r="F3850" i="11"/>
  <c r="C3850" i="11"/>
  <c r="G2399" i="11"/>
  <c r="F2399" i="11"/>
  <c r="C2399" i="11"/>
  <c r="F3849" i="11"/>
  <c r="C3849" i="11"/>
  <c r="G2398" i="11"/>
  <c r="F2398" i="11"/>
  <c r="C2398" i="11"/>
  <c r="F3848" i="11"/>
  <c r="C3848" i="11"/>
  <c r="G2397" i="11"/>
  <c r="F2397" i="11"/>
  <c r="C2397" i="11"/>
  <c r="F3847" i="11"/>
  <c r="C3847" i="11"/>
  <c r="G2396" i="11"/>
  <c r="F2396" i="11"/>
  <c r="C2396" i="11"/>
  <c r="F3846" i="11"/>
  <c r="C3846" i="11"/>
  <c r="F3743" i="11"/>
  <c r="C3743" i="11"/>
  <c r="G2395" i="11"/>
  <c r="F2395" i="11"/>
  <c r="C2395" i="11"/>
  <c r="F3845" i="11"/>
  <c r="C3845" i="11"/>
  <c r="G2394" i="11"/>
  <c r="F2394" i="11"/>
  <c r="C2394" i="11"/>
  <c r="F3844" i="11"/>
  <c r="C3844" i="11"/>
  <c r="F2441" i="11"/>
  <c r="C2441" i="11"/>
  <c r="F3843" i="11"/>
  <c r="C3843" i="11"/>
  <c r="G2393" i="11"/>
  <c r="F2393" i="11"/>
  <c r="C2393" i="11"/>
  <c r="F3419" i="11"/>
  <c r="D3419" i="11"/>
  <c r="C3419" i="11"/>
  <c r="G2440" i="11"/>
  <c r="F2440" i="11"/>
  <c r="D2440" i="11"/>
  <c r="C2440" i="11"/>
  <c r="F76" i="11"/>
  <c r="D76" i="11"/>
  <c r="C76" i="11"/>
  <c r="G2439" i="11"/>
  <c r="F2439" i="11"/>
  <c r="D2439" i="11"/>
  <c r="C2439" i="11"/>
  <c r="F79" i="11"/>
  <c r="D79" i="11"/>
  <c r="C79" i="11"/>
  <c r="F3418" i="11"/>
  <c r="D3418" i="11"/>
  <c r="C3418" i="11"/>
  <c r="G2438" i="11"/>
  <c r="F2438" i="11"/>
  <c r="D2438" i="11"/>
  <c r="C2438" i="11"/>
  <c r="F84" i="11"/>
  <c r="D84" i="11"/>
  <c r="C84" i="11"/>
  <c r="G2437" i="11"/>
  <c r="F2437" i="11"/>
  <c r="C2437" i="11"/>
  <c r="F72" i="11"/>
  <c r="C72" i="11"/>
  <c r="F3417" i="11"/>
  <c r="D3417" i="11"/>
  <c r="C3417" i="11"/>
  <c r="G2436" i="11"/>
  <c r="F2436" i="11"/>
  <c r="D2436" i="11"/>
  <c r="C2436" i="11"/>
  <c r="F83" i="11"/>
  <c r="D83" i="11"/>
  <c r="C83" i="11"/>
  <c r="F3416" i="11"/>
  <c r="D3416" i="11"/>
  <c r="C3416" i="11"/>
  <c r="G2435" i="11"/>
  <c r="F2435" i="11"/>
  <c r="D2435" i="11"/>
  <c r="C2435" i="11"/>
  <c r="F78" i="11"/>
  <c r="D78" i="11"/>
  <c r="C78" i="11"/>
  <c r="F7153" i="11"/>
  <c r="D7153" i="11"/>
  <c r="C7153" i="11"/>
  <c r="F3711" i="11"/>
  <c r="D3711" i="11"/>
  <c r="C3711" i="11"/>
  <c r="F3415" i="11"/>
  <c r="D3415" i="11"/>
  <c r="C3415" i="11"/>
  <c r="G2434" i="11"/>
  <c r="F2434" i="11"/>
  <c r="D2434" i="11"/>
  <c r="C2434" i="11"/>
  <c r="F82" i="11"/>
  <c r="D82" i="11"/>
  <c r="C82" i="11"/>
  <c r="G2433" i="11"/>
  <c r="F2433" i="11"/>
  <c r="D2433" i="11"/>
  <c r="C2433" i="11"/>
  <c r="F74" i="11"/>
  <c r="D74" i="11"/>
  <c r="C74" i="11"/>
  <c r="F7062" i="11"/>
  <c r="C7062" i="11"/>
  <c r="F3414" i="11"/>
  <c r="C3414" i="11"/>
  <c r="G2432" i="11"/>
  <c r="F2432" i="11"/>
  <c r="C2432" i="11"/>
  <c r="F81" i="11"/>
  <c r="C81" i="11"/>
  <c r="F4663" i="11"/>
  <c r="C4663" i="11"/>
  <c r="G3907" i="11"/>
  <c r="F3907" i="11"/>
  <c r="C3907" i="11"/>
  <c r="F4662" i="11"/>
  <c r="C4662" i="11"/>
  <c r="G3906" i="11"/>
  <c r="F3906" i="11"/>
  <c r="C3906" i="11"/>
  <c r="F4661" i="11"/>
  <c r="C4661" i="11"/>
  <c r="G3905" i="11"/>
  <c r="F3905" i="11"/>
  <c r="C3905" i="11"/>
  <c r="F4253" i="11"/>
  <c r="C4253" i="11"/>
  <c r="G2765" i="11"/>
  <c r="F2765" i="11"/>
  <c r="C2765" i="11"/>
  <c r="F4262" i="11"/>
  <c r="C4262" i="11"/>
  <c r="G2764" i="11"/>
  <c r="F2764" i="11"/>
  <c r="C2764" i="11"/>
  <c r="F4261" i="11"/>
  <c r="C4261" i="11"/>
  <c r="G2763" i="11"/>
  <c r="F2763" i="11"/>
  <c r="C2763" i="11"/>
  <c r="F4281" i="11"/>
  <c r="C4281" i="11"/>
  <c r="G2507" i="11"/>
  <c r="F2507" i="11"/>
  <c r="C2507" i="11"/>
  <c r="F4280" i="11"/>
  <c r="C4280" i="11"/>
  <c r="G2506" i="11"/>
  <c r="F2506" i="11"/>
  <c r="C2506" i="11"/>
  <c r="F4256" i="11"/>
  <c r="C4256" i="11"/>
  <c r="G2505" i="11"/>
  <c r="F2505" i="11"/>
  <c r="C2505" i="11"/>
  <c r="F4275" i="11"/>
  <c r="C4275" i="11"/>
  <c r="G2762" i="11"/>
  <c r="F2762" i="11"/>
  <c r="C2762" i="11"/>
  <c r="F4274" i="11"/>
  <c r="C4274" i="11"/>
  <c r="G2504" i="11"/>
  <c r="F2504" i="11"/>
  <c r="C2504" i="11"/>
  <c r="F4273" i="11"/>
  <c r="C4273" i="11"/>
  <c r="G2503" i="11"/>
  <c r="F2503" i="11"/>
  <c r="C2503" i="11"/>
  <c r="F4272" i="11"/>
  <c r="C4272" i="11"/>
  <c r="G2502" i="11"/>
  <c r="F2502" i="11"/>
  <c r="C2502" i="11"/>
  <c r="F4252" i="11"/>
  <c r="C4252" i="11"/>
  <c r="G2501" i="11"/>
  <c r="F2501" i="11"/>
  <c r="C2501" i="11"/>
  <c r="F4251" i="11"/>
  <c r="C4251" i="11"/>
  <c r="G2500" i="11"/>
  <c r="F2500" i="11"/>
  <c r="C2500" i="11"/>
  <c r="F4271" i="11"/>
  <c r="C4271" i="11"/>
  <c r="G2761" i="11"/>
  <c r="F2761" i="11"/>
  <c r="C2761" i="11"/>
  <c r="F4270" i="11"/>
  <c r="C4270" i="11"/>
  <c r="G2499" i="11"/>
  <c r="F2499" i="11"/>
  <c r="C2499" i="11"/>
  <c r="F4260" i="11"/>
  <c r="C4260" i="11"/>
  <c r="G2498" i="11"/>
  <c r="F2498" i="11"/>
  <c r="C2498" i="11"/>
  <c r="F4907" i="11"/>
  <c r="E4907" i="11"/>
  <c r="C4907" i="11"/>
  <c r="G2975" i="11"/>
  <c r="F2975" i="11"/>
  <c r="E2975" i="11"/>
  <c r="C2975" i="11"/>
  <c r="F6866" i="11"/>
  <c r="E6866" i="11"/>
  <c r="C6866" i="11"/>
  <c r="F4906" i="11"/>
  <c r="E4906" i="11"/>
  <c r="C4906" i="11"/>
  <c r="F7405" i="11"/>
  <c r="E7405" i="11"/>
  <c r="C7405" i="11"/>
  <c r="F6737" i="11"/>
  <c r="E6737" i="11"/>
  <c r="C6737" i="11"/>
  <c r="F4905" i="11"/>
  <c r="E4905" i="11"/>
  <c r="C4905" i="11"/>
  <c r="F7311" i="11"/>
  <c r="E7311" i="11"/>
  <c r="C7311" i="11"/>
  <c r="F4904" i="11"/>
  <c r="E4904" i="11"/>
  <c r="C4904" i="11"/>
  <c r="F7555" i="11"/>
  <c r="E7555" i="11"/>
  <c r="C7555" i="11"/>
  <c r="F4903" i="11"/>
  <c r="E4903" i="11"/>
  <c r="C4903" i="11"/>
  <c r="F7508" i="11"/>
  <c r="E7508" i="11"/>
  <c r="C7508" i="11"/>
  <c r="F6865" i="11"/>
  <c r="E6865" i="11"/>
  <c r="C6865" i="11"/>
  <c r="F4902" i="11"/>
  <c r="E4902" i="11"/>
  <c r="C4902" i="11"/>
  <c r="F7507" i="11"/>
  <c r="E7507" i="11"/>
  <c r="C7507" i="11"/>
  <c r="F7487" i="11"/>
  <c r="E7487" i="11"/>
  <c r="C7487" i="11"/>
  <c r="F7404" i="11"/>
  <c r="E7404" i="11"/>
  <c r="C7404" i="11"/>
  <c r="F6916" i="11"/>
  <c r="E6916" i="11"/>
  <c r="C6916" i="11"/>
  <c r="F6736" i="11"/>
  <c r="E6736" i="11"/>
  <c r="C6736" i="11"/>
  <c r="F4901" i="11"/>
  <c r="E4901" i="11"/>
  <c r="C4901" i="11"/>
  <c r="F6864" i="11"/>
  <c r="E6864" i="11"/>
  <c r="C6864" i="11"/>
  <c r="F4900" i="11"/>
  <c r="E4900" i="11"/>
  <c r="C4900" i="11"/>
  <c r="F7486" i="11"/>
  <c r="E7486" i="11"/>
  <c r="C7486" i="11"/>
  <c r="F7403" i="11"/>
  <c r="E7403" i="11"/>
  <c r="C7403" i="11"/>
  <c r="F6735" i="11"/>
  <c r="E6735" i="11"/>
  <c r="C6735" i="11"/>
  <c r="F4899" i="11"/>
  <c r="E4899" i="11"/>
  <c r="C4899" i="11"/>
  <c r="F6863" i="11"/>
  <c r="E6863" i="11"/>
  <c r="C6863" i="11"/>
  <c r="F4898" i="11"/>
  <c r="E4898" i="11"/>
  <c r="C4898" i="11"/>
  <c r="F6862" i="11"/>
  <c r="E6862" i="11"/>
  <c r="C6862" i="11"/>
  <c r="F4897" i="11"/>
  <c r="E4897" i="11"/>
  <c r="C4897" i="11"/>
  <c r="F6861" i="11"/>
  <c r="E6861" i="11"/>
  <c r="C6861" i="11"/>
  <c r="F4896" i="11"/>
  <c r="E4896" i="11"/>
  <c r="C4896" i="11"/>
  <c r="F7013" i="11"/>
  <c r="E7013" i="11"/>
  <c r="C7013" i="11"/>
  <c r="F4895" i="11"/>
  <c r="E4895" i="11"/>
  <c r="C4895" i="11"/>
  <c r="F6860" i="11"/>
  <c r="E6860" i="11"/>
  <c r="C6860" i="11"/>
  <c r="F4894" i="11"/>
  <c r="E4894" i="11"/>
  <c r="C4894" i="11"/>
  <c r="F7287" i="11"/>
  <c r="E7287" i="11"/>
  <c r="C7287" i="11"/>
  <c r="F6859" i="11"/>
  <c r="E6859" i="11"/>
  <c r="C6859" i="11"/>
  <c r="F4893" i="11"/>
  <c r="E4893" i="11"/>
  <c r="C4893" i="11"/>
  <c r="F4892" i="11"/>
  <c r="E4892" i="11"/>
  <c r="C4892" i="11"/>
  <c r="G2392" i="11"/>
  <c r="F2392" i="11"/>
  <c r="E2392" i="11"/>
  <c r="C2392" i="11"/>
  <c r="F4891" i="11"/>
  <c r="E4891" i="11"/>
  <c r="C4891" i="11"/>
  <c r="G2391" i="11"/>
  <c r="F2391" i="11"/>
  <c r="E2391" i="11"/>
  <c r="C2391" i="11"/>
  <c r="F4890" i="11"/>
  <c r="E4890" i="11"/>
  <c r="C4890" i="11"/>
  <c r="F3842" i="11"/>
  <c r="E3842" i="11"/>
  <c r="C3842" i="11"/>
  <c r="F7402" i="11"/>
  <c r="E7402" i="11"/>
  <c r="C7402" i="11"/>
  <c r="F6734" i="11"/>
  <c r="E6734" i="11"/>
  <c r="C6734" i="11"/>
  <c r="F4889" i="11"/>
  <c r="E4889" i="11"/>
  <c r="C4889" i="11"/>
  <c r="F6858" i="11"/>
  <c r="E6858" i="11"/>
  <c r="C6858" i="11"/>
  <c r="F4888" i="11"/>
  <c r="E4888" i="11"/>
  <c r="C4888" i="11"/>
  <c r="F6857" i="11"/>
  <c r="E6857" i="11"/>
  <c r="C6857" i="11"/>
  <c r="F4887" i="11"/>
  <c r="E4887" i="11"/>
  <c r="C4887" i="11"/>
  <c r="F6856" i="11"/>
  <c r="E6856" i="11"/>
  <c r="C6856" i="11"/>
  <c r="F4886" i="11"/>
  <c r="E4886" i="11"/>
  <c r="C4886" i="11"/>
  <c r="F7310" i="11"/>
  <c r="E7310" i="11"/>
  <c r="C7310" i="11"/>
  <c r="F4885" i="11"/>
  <c r="E4885" i="11"/>
  <c r="C4885" i="11"/>
  <c r="F4884" i="11"/>
  <c r="E4884" i="11"/>
  <c r="C4884" i="11"/>
  <c r="G3797" i="11"/>
  <c r="F3797" i="11"/>
  <c r="E3797" i="11"/>
  <c r="C3797" i="11"/>
  <c r="F6512" i="11"/>
  <c r="E6512" i="11"/>
  <c r="C6512" i="11"/>
  <c r="F4883" i="11"/>
  <c r="E4883" i="11"/>
  <c r="C4883" i="11"/>
  <c r="F6511" i="11"/>
  <c r="E6511" i="11"/>
  <c r="C6511" i="11"/>
  <c r="F4882" i="11"/>
  <c r="E4882" i="11"/>
  <c r="C4882" i="11"/>
  <c r="F4881" i="11"/>
  <c r="E4881" i="11"/>
  <c r="C4881" i="11"/>
  <c r="F3871" i="11"/>
  <c r="E3871" i="11"/>
  <c r="C3871" i="11"/>
  <c r="F4880" i="11"/>
  <c r="C4880" i="11"/>
  <c r="F3841" i="11"/>
  <c r="C3841" i="11"/>
  <c r="F7107" i="11"/>
  <c r="E7107" i="11"/>
  <c r="C7107" i="11"/>
  <c r="F4879" i="11"/>
  <c r="E4879" i="11"/>
  <c r="C4879" i="11"/>
  <c r="F7059" i="11"/>
  <c r="E7059" i="11"/>
  <c r="C7059" i="11"/>
  <c r="F4878" i="11"/>
  <c r="E4878" i="11"/>
  <c r="C4878" i="11"/>
  <c r="F7074" i="11"/>
  <c r="E7074" i="11"/>
  <c r="C7074" i="11"/>
  <c r="F4877" i="11"/>
  <c r="E4877" i="11"/>
  <c r="C4877" i="11"/>
  <c r="F6855" i="11"/>
  <c r="E6855" i="11"/>
  <c r="C6855" i="11"/>
  <c r="F4876" i="11"/>
  <c r="E4876" i="11"/>
  <c r="C4876" i="11"/>
  <c r="F6854" i="11"/>
  <c r="E6854" i="11"/>
  <c r="C6854" i="11"/>
  <c r="F4875" i="11"/>
  <c r="E4875" i="11"/>
  <c r="C4875" i="11"/>
  <c r="F6052" i="11"/>
  <c r="E6052" i="11"/>
  <c r="C6052" i="11"/>
  <c r="F4874" i="11"/>
  <c r="E4874" i="11"/>
  <c r="C4874" i="11"/>
  <c r="F7309" i="11"/>
  <c r="E7309" i="11"/>
  <c r="C7309" i="11"/>
  <c r="F4873" i="11"/>
  <c r="E4873" i="11"/>
  <c r="C4873" i="11"/>
  <c r="F6853" i="11"/>
  <c r="E6853" i="11"/>
  <c r="C6853" i="11"/>
  <c r="F4872" i="11"/>
  <c r="E4872" i="11"/>
  <c r="C4872" i="11"/>
  <c r="F4871" i="11"/>
  <c r="E4871" i="11"/>
  <c r="C4871" i="11"/>
  <c r="F3840" i="11"/>
  <c r="E3840" i="11"/>
  <c r="C3840" i="11"/>
  <c r="F7506" i="11"/>
  <c r="E7506" i="11"/>
  <c r="C7506" i="11"/>
  <c r="F7053" i="11"/>
  <c r="E7053" i="11"/>
  <c r="C7053" i="11"/>
  <c r="F4870" i="11"/>
  <c r="E4870" i="11"/>
  <c r="C4870" i="11"/>
  <c r="F6852" i="11"/>
  <c r="E6852" i="11"/>
  <c r="C6852" i="11"/>
  <c r="F4869" i="11"/>
  <c r="E4869" i="11"/>
  <c r="C4869" i="11"/>
  <c r="F6851" i="11"/>
  <c r="E6851" i="11"/>
  <c r="C6851" i="11"/>
  <c r="F4868" i="11"/>
  <c r="E4868" i="11"/>
  <c r="C4868" i="11"/>
  <c r="F7052" i="11"/>
  <c r="E7052" i="11"/>
  <c r="C7052" i="11"/>
  <c r="F4867" i="11"/>
  <c r="E4867" i="11"/>
  <c r="C4867" i="11"/>
  <c r="F7012" i="11"/>
  <c r="E7012" i="11"/>
  <c r="C7012" i="11"/>
  <c r="F4866" i="11"/>
  <c r="E4866" i="11"/>
  <c r="C4866" i="11"/>
  <c r="F6850" i="11"/>
  <c r="E6850" i="11"/>
  <c r="C6850" i="11"/>
  <c r="F4865" i="11"/>
  <c r="E4865" i="11"/>
  <c r="C4865" i="11"/>
  <c r="F6849" i="11"/>
  <c r="E6849" i="11"/>
  <c r="C6849" i="11"/>
  <c r="F4864" i="11"/>
  <c r="E4864" i="11"/>
  <c r="C4864" i="11"/>
  <c r="F6848" i="11"/>
  <c r="E6848" i="11"/>
  <c r="C6848" i="11"/>
  <c r="F4863" i="11"/>
  <c r="E4863" i="11"/>
  <c r="C4863" i="11"/>
  <c r="F6847" i="11"/>
  <c r="E6847" i="11"/>
  <c r="C6847" i="11"/>
  <c r="F4862" i="11"/>
  <c r="E4862" i="11"/>
  <c r="C4862" i="11"/>
  <c r="F6510" i="11"/>
  <c r="E6510" i="11"/>
  <c r="C6510" i="11"/>
  <c r="F4861" i="11"/>
  <c r="E4861" i="11"/>
  <c r="C4861" i="11"/>
  <c r="F3742" i="11"/>
  <c r="E3742" i="11"/>
  <c r="C3742" i="11"/>
  <c r="F7133" i="11"/>
  <c r="E7133" i="11"/>
  <c r="C7133" i="11"/>
  <c r="F4860" i="11"/>
  <c r="E4860" i="11"/>
  <c r="C4860" i="11"/>
  <c r="F4859" i="11"/>
  <c r="E4859" i="11"/>
  <c r="C4859" i="11"/>
  <c r="G3796" i="11"/>
  <c r="F3796" i="11"/>
  <c r="E3796" i="11"/>
  <c r="C3796" i="11"/>
  <c r="F6466" i="11"/>
  <c r="E6466" i="11"/>
  <c r="C6466" i="11"/>
  <c r="F4858" i="11"/>
  <c r="E4858" i="11"/>
  <c r="C4858" i="11"/>
  <c r="F6846" i="11"/>
  <c r="E6846" i="11"/>
  <c r="C6846" i="11"/>
  <c r="F4857" i="11"/>
  <c r="E4857" i="11"/>
  <c r="C4857" i="11"/>
  <c r="F6845" i="11"/>
  <c r="E6845" i="11"/>
  <c r="C6845" i="11"/>
  <c r="F4856" i="11"/>
  <c r="E4856" i="11"/>
  <c r="C4856" i="11"/>
  <c r="F7073" i="11"/>
  <c r="E7073" i="11"/>
  <c r="C7073" i="11"/>
  <c r="F4855" i="11"/>
  <c r="E4855" i="11"/>
  <c r="C4855" i="11"/>
  <c r="F4854" i="11"/>
  <c r="E4854" i="11"/>
  <c r="C4854" i="11"/>
  <c r="G2957" i="11"/>
  <c r="F2957" i="11"/>
  <c r="E2957" i="11"/>
  <c r="C2957" i="11"/>
  <c r="F6733" i="11"/>
  <c r="E6733" i="11"/>
  <c r="C6733" i="11"/>
  <c r="F4853" i="11"/>
  <c r="E4853" i="11"/>
  <c r="C4853" i="11"/>
  <c r="F6844" i="11"/>
  <c r="E6844" i="11"/>
  <c r="C6844" i="11"/>
  <c r="F4852" i="11"/>
  <c r="E4852" i="11"/>
  <c r="C4852" i="11"/>
  <c r="F7051" i="11"/>
  <c r="E7051" i="11"/>
  <c r="C7051" i="11"/>
  <c r="F4851" i="11"/>
  <c r="E4851" i="11"/>
  <c r="C4851" i="11"/>
  <c r="F6843" i="11"/>
  <c r="E6843" i="11"/>
  <c r="C6843" i="11"/>
  <c r="F4850" i="11"/>
  <c r="E4850" i="11"/>
  <c r="C4850" i="11"/>
  <c r="F7011" i="11"/>
  <c r="E7011" i="11"/>
  <c r="C7011" i="11"/>
  <c r="F4849" i="11"/>
  <c r="E4849" i="11"/>
  <c r="C4849" i="11"/>
  <c r="F6842" i="11"/>
  <c r="E6842" i="11"/>
  <c r="C6842" i="11"/>
  <c r="F4848" i="11"/>
  <c r="E4848" i="11"/>
  <c r="C4848" i="11"/>
  <c r="F6841" i="11"/>
  <c r="E6841" i="11"/>
  <c r="C6841" i="11"/>
  <c r="F4847" i="11"/>
  <c r="E4847" i="11"/>
  <c r="C4847" i="11"/>
  <c r="F6840" i="11"/>
  <c r="E6840" i="11"/>
  <c r="C6840" i="11"/>
  <c r="F4846" i="11"/>
  <c r="E4846" i="11"/>
  <c r="C4846" i="11"/>
  <c r="F7401" i="11"/>
  <c r="E7401" i="11"/>
  <c r="C7401" i="11"/>
  <c r="F6732" i="11"/>
  <c r="E6732" i="11"/>
  <c r="C6732" i="11"/>
  <c r="F5367" i="11"/>
  <c r="E5367" i="11"/>
  <c r="C5367" i="11"/>
  <c r="F4845" i="11"/>
  <c r="E4845" i="11"/>
  <c r="C4845" i="11"/>
  <c r="F7505" i="11"/>
  <c r="E7505" i="11"/>
  <c r="C7505" i="11"/>
  <c r="F7485" i="11"/>
  <c r="E7485" i="11"/>
  <c r="C7485" i="11"/>
  <c r="F4844" i="11"/>
  <c r="E4844" i="11"/>
  <c r="C4844" i="11"/>
  <c r="F7010" i="11"/>
  <c r="E7010" i="11"/>
  <c r="C7010" i="11"/>
  <c r="F4843" i="11"/>
  <c r="E4843" i="11"/>
  <c r="C4843" i="11"/>
  <c r="F7504" i="11"/>
  <c r="E7504" i="11"/>
  <c r="C7504" i="11"/>
  <c r="F7400" i="11"/>
  <c r="E7400" i="11"/>
  <c r="C7400" i="11"/>
  <c r="F7286" i="11"/>
  <c r="E7286" i="11"/>
  <c r="C7286" i="11"/>
  <c r="F6839" i="11"/>
  <c r="E6839" i="11"/>
  <c r="C6839" i="11"/>
  <c r="F6838" i="11"/>
  <c r="E6838" i="11"/>
  <c r="C6838" i="11"/>
  <c r="F4842" i="11"/>
  <c r="E4842" i="11"/>
  <c r="C4842" i="11"/>
  <c r="F4841" i="11"/>
  <c r="E4841" i="11"/>
  <c r="C4841" i="11"/>
  <c r="F2390" i="11"/>
  <c r="E2390" i="11"/>
  <c r="C2390" i="11"/>
  <c r="F7399" i="11"/>
  <c r="E7399" i="11"/>
  <c r="C7399" i="11"/>
  <c r="F6837" i="11"/>
  <c r="E6837" i="11"/>
  <c r="C6837" i="11"/>
  <c r="F4840" i="11"/>
  <c r="E4840" i="11"/>
  <c r="C4840" i="11"/>
  <c r="F6836" i="11"/>
  <c r="E6836" i="11"/>
  <c r="C6836" i="11"/>
  <c r="F4839" i="11"/>
  <c r="E4839" i="11"/>
  <c r="C4839" i="11"/>
  <c r="F7398" i="11"/>
  <c r="E7398" i="11"/>
  <c r="C7398" i="11"/>
  <c r="F6835" i="11"/>
  <c r="E6835" i="11"/>
  <c r="C6835" i="11"/>
  <c r="F6731" i="11"/>
  <c r="E6731" i="11"/>
  <c r="C6731" i="11"/>
  <c r="F5366" i="11"/>
  <c r="E5366" i="11"/>
  <c r="C5366" i="11"/>
  <c r="F4838" i="11"/>
  <c r="E4838" i="11"/>
  <c r="C4838" i="11"/>
  <c r="F7072" i="11"/>
  <c r="E7072" i="11"/>
  <c r="C7072" i="11"/>
  <c r="F4837" i="11"/>
  <c r="E4837" i="11"/>
  <c r="C4837" i="11"/>
  <c r="F4836" i="11"/>
  <c r="E4836" i="11"/>
  <c r="C4836" i="11"/>
  <c r="G2389" i="11"/>
  <c r="F2389" i="11"/>
  <c r="E2389" i="11"/>
  <c r="C2389" i="11"/>
  <c r="F7308" i="11"/>
  <c r="E7308" i="11"/>
  <c r="C7308" i="11"/>
  <c r="F4835" i="11"/>
  <c r="E4835" i="11"/>
  <c r="C4835" i="11"/>
  <c r="F6834" i="11"/>
  <c r="E6834" i="11"/>
  <c r="C6834" i="11"/>
  <c r="F4834" i="11"/>
  <c r="E4834" i="11"/>
  <c r="C4834" i="11"/>
  <c r="F6833" i="11"/>
  <c r="E6833" i="11"/>
  <c r="C6833" i="11"/>
  <c r="F4833" i="11"/>
  <c r="E4833" i="11"/>
  <c r="C4833" i="11"/>
  <c r="F7307" i="11"/>
  <c r="E7307" i="11"/>
  <c r="C7307" i="11"/>
  <c r="F4832" i="11"/>
  <c r="E4832" i="11"/>
  <c r="C4832" i="11"/>
  <c r="F6509" i="11"/>
  <c r="E6509" i="11"/>
  <c r="C6509" i="11"/>
  <c r="F4831" i="11"/>
  <c r="E4831" i="11"/>
  <c r="C4831" i="11"/>
  <c r="F6508" i="11"/>
  <c r="E6508" i="11"/>
  <c r="C6508" i="11"/>
  <c r="F4830" i="11"/>
  <c r="E4830" i="11"/>
  <c r="C4830" i="11"/>
  <c r="F6832" i="11"/>
  <c r="E6832" i="11"/>
  <c r="C6832" i="11"/>
  <c r="F4829" i="11"/>
  <c r="E4829" i="11"/>
  <c r="C4829" i="11"/>
  <c r="F7276" i="11"/>
  <c r="E7276" i="11"/>
  <c r="C7276" i="11"/>
  <c r="F6831" i="11"/>
  <c r="E6831" i="11"/>
  <c r="C6831" i="11"/>
  <c r="F4828" i="11"/>
  <c r="E4828" i="11"/>
  <c r="C4828" i="11"/>
  <c r="F4827" i="11"/>
  <c r="E4827" i="11"/>
  <c r="C4827" i="11"/>
  <c r="F3741" i="11"/>
  <c r="E3741" i="11"/>
  <c r="C3741" i="11"/>
  <c r="G2388" i="11"/>
  <c r="F2388" i="11"/>
  <c r="E2388" i="11"/>
  <c r="C2388" i="11"/>
  <c r="F4826" i="11"/>
  <c r="E4826" i="11"/>
  <c r="C4826" i="11"/>
  <c r="F3740" i="11"/>
  <c r="E3740" i="11"/>
  <c r="C3740" i="11"/>
  <c r="G2387" i="11"/>
  <c r="F2387" i="11"/>
  <c r="E2387" i="11"/>
  <c r="C2387" i="11"/>
  <c r="F6507" i="11"/>
  <c r="E6507" i="11"/>
  <c r="C6507" i="11"/>
  <c r="F4825" i="11"/>
  <c r="E4825" i="11"/>
  <c r="C4825" i="11"/>
  <c r="F7397" i="11"/>
  <c r="E7397" i="11"/>
  <c r="C7397" i="11"/>
  <c r="F6730" i="11"/>
  <c r="E6730" i="11"/>
  <c r="C6730" i="11"/>
  <c r="F4824" i="11"/>
  <c r="E4824" i="11"/>
  <c r="C4824" i="11"/>
  <c r="F7503" i="11"/>
  <c r="E7503" i="11"/>
  <c r="C7503" i="11"/>
  <c r="F7396" i="11"/>
  <c r="E7396" i="11"/>
  <c r="C7396" i="11"/>
  <c r="F6729" i="11"/>
  <c r="E6729" i="11"/>
  <c r="C6729" i="11"/>
  <c r="F4823" i="11"/>
  <c r="E4823" i="11"/>
  <c r="C4823" i="11"/>
  <c r="F7253" i="11"/>
  <c r="E7253" i="11"/>
  <c r="C7253" i="11"/>
  <c r="F4822" i="11"/>
  <c r="E4822" i="11"/>
  <c r="C4822" i="11"/>
  <c r="F3032" i="11"/>
  <c r="E3032" i="11"/>
  <c r="C3032" i="11"/>
  <c r="F6465" i="11"/>
  <c r="E6465" i="11"/>
  <c r="C6465" i="11"/>
  <c r="F4821" i="11"/>
  <c r="E4821" i="11"/>
  <c r="C4821" i="11"/>
  <c r="F6830" i="11"/>
  <c r="E6830" i="11"/>
  <c r="C6830" i="11"/>
  <c r="F4820" i="11"/>
  <c r="E4820" i="11"/>
  <c r="C4820" i="11"/>
  <c r="F4819" i="11"/>
  <c r="E4819" i="11"/>
  <c r="C4819" i="11"/>
  <c r="F3839" i="11"/>
  <c r="E3839" i="11"/>
  <c r="C3839" i="11"/>
  <c r="F7106" i="11"/>
  <c r="E7106" i="11"/>
  <c r="C7106" i="11"/>
  <c r="F4818" i="11"/>
  <c r="E4818" i="11"/>
  <c r="C4818" i="11"/>
  <c r="F6464" i="11"/>
  <c r="E6464" i="11"/>
  <c r="C6464" i="11"/>
  <c r="F4817" i="11"/>
  <c r="E4817" i="11"/>
  <c r="C4817" i="11"/>
  <c r="F6829" i="11"/>
  <c r="E6829" i="11"/>
  <c r="C6829" i="11"/>
  <c r="F4816" i="11"/>
  <c r="E4816" i="11"/>
  <c r="C4816" i="11"/>
  <c r="F6828" i="11"/>
  <c r="E6828" i="11"/>
  <c r="C6828" i="11"/>
  <c r="F4815" i="11"/>
  <c r="E4815" i="11"/>
  <c r="C4815" i="11"/>
  <c r="F6827" i="11"/>
  <c r="E6827" i="11"/>
  <c r="C6827" i="11"/>
  <c r="F4814" i="11"/>
  <c r="E4814" i="11"/>
  <c r="C4814" i="11"/>
  <c r="F6826" i="11"/>
  <c r="E6826" i="11"/>
  <c r="C6826" i="11"/>
  <c r="F4813" i="11"/>
  <c r="E4813" i="11"/>
  <c r="C4813" i="11"/>
  <c r="F6825" i="11"/>
  <c r="E6825" i="11"/>
  <c r="C6825" i="11"/>
  <c r="F4812" i="11"/>
  <c r="E4812" i="11"/>
  <c r="C4812" i="11"/>
  <c r="F6463" i="11"/>
  <c r="E6463" i="11"/>
  <c r="C6463" i="11"/>
  <c r="F4811" i="11"/>
  <c r="E4811" i="11"/>
  <c r="C4811" i="11"/>
  <c r="F3885" i="11"/>
  <c r="E3885" i="11"/>
  <c r="C3885" i="11"/>
  <c r="F4810" i="11"/>
  <c r="E4810" i="11"/>
  <c r="C4810" i="11"/>
  <c r="G3795" i="11"/>
  <c r="F3795" i="11"/>
  <c r="E3795" i="11"/>
  <c r="C3795" i="11"/>
  <c r="F7132" i="11"/>
  <c r="E7132" i="11"/>
  <c r="C7132" i="11"/>
  <c r="F4809" i="11"/>
  <c r="E4809" i="11"/>
  <c r="C4809" i="11"/>
  <c r="F4808" i="11"/>
  <c r="E4808" i="11"/>
  <c r="C4808" i="11"/>
  <c r="F3838" i="11"/>
  <c r="E3838" i="11"/>
  <c r="C3838" i="11"/>
  <c r="F4807" i="11"/>
  <c r="E4807" i="11"/>
  <c r="C4807" i="11"/>
  <c r="F3837" i="11"/>
  <c r="E3837" i="11"/>
  <c r="C3837" i="11"/>
  <c r="F4806" i="11"/>
  <c r="E4806" i="11"/>
  <c r="C4806" i="11"/>
  <c r="F3836" i="11"/>
  <c r="E3836" i="11"/>
  <c r="C3836" i="11"/>
  <c r="F4805" i="11"/>
  <c r="E4805" i="11"/>
  <c r="C4805" i="11"/>
  <c r="F3835" i="11"/>
  <c r="E3835" i="11"/>
  <c r="C3835" i="11"/>
  <c r="F4804" i="11"/>
  <c r="E4804" i="11"/>
  <c r="C4804" i="11"/>
  <c r="F3834" i="11"/>
  <c r="E3834" i="11"/>
  <c r="C3834" i="11"/>
  <c r="F4803" i="11"/>
  <c r="E4803" i="11"/>
  <c r="C4803" i="11"/>
  <c r="F3833" i="11"/>
  <c r="E3833" i="11"/>
  <c r="C3833" i="11"/>
  <c r="F4802" i="11"/>
  <c r="E4802" i="11"/>
  <c r="C4802" i="11"/>
  <c r="F3832" i="11"/>
  <c r="E3832" i="11"/>
  <c r="C3832" i="11"/>
  <c r="F4801" i="11"/>
  <c r="E4801" i="11"/>
  <c r="C4801" i="11"/>
  <c r="F3831" i="11"/>
  <c r="E3831" i="11"/>
  <c r="C3831" i="11"/>
  <c r="F4800" i="11"/>
  <c r="E4800" i="11"/>
  <c r="C4800" i="11"/>
  <c r="F3830" i="11"/>
  <c r="E3830" i="11"/>
  <c r="C3830" i="11"/>
  <c r="F4799" i="11"/>
  <c r="E4799" i="11"/>
  <c r="C4799" i="11"/>
  <c r="F3829" i="11"/>
  <c r="E3829" i="11"/>
  <c r="C3829" i="11"/>
  <c r="F4798" i="11"/>
  <c r="E4798" i="11"/>
  <c r="C4798" i="11"/>
  <c r="F3828" i="11"/>
  <c r="E3828" i="11"/>
  <c r="C3828" i="11"/>
  <c r="F4797" i="11"/>
  <c r="E4797" i="11"/>
  <c r="C4797" i="11"/>
  <c r="F3827" i="11"/>
  <c r="E3827" i="11"/>
  <c r="C3827" i="11"/>
  <c r="F6824" i="11"/>
  <c r="E6824" i="11"/>
  <c r="C6824" i="11"/>
  <c r="F4796" i="11"/>
  <c r="E4796" i="11"/>
  <c r="C4796" i="11"/>
  <c r="F7395" i="11"/>
  <c r="E7395" i="11"/>
  <c r="C7395" i="11"/>
  <c r="F6728" i="11"/>
  <c r="E6728" i="11"/>
  <c r="C6728" i="11"/>
  <c r="F4795" i="11"/>
  <c r="E4795" i="11"/>
  <c r="C4795" i="11"/>
  <c r="F6823" i="11"/>
  <c r="E6823" i="11"/>
  <c r="C6823" i="11"/>
  <c r="F4794" i="11"/>
  <c r="E4794" i="11"/>
  <c r="C4794" i="11"/>
  <c r="F6822" i="11"/>
  <c r="E6822" i="11"/>
  <c r="C6822" i="11"/>
  <c r="F4793" i="11"/>
  <c r="E4793" i="11"/>
  <c r="C4793" i="11"/>
  <c r="F7050" i="11"/>
  <c r="E7050" i="11"/>
  <c r="C7050" i="11"/>
  <c r="F4792" i="11"/>
  <c r="E4792" i="11"/>
  <c r="C4792" i="11"/>
  <c r="F6821" i="11"/>
  <c r="E6821" i="11"/>
  <c r="C6821" i="11"/>
  <c r="F4791" i="11"/>
  <c r="E4791" i="11"/>
  <c r="C4791" i="11"/>
  <c r="F6820" i="11"/>
  <c r="E6820" i="11"/>
  <c r="C6820" i="11"/>
  <c r="F4790" i="11"/>
  <c r="E4790" i="11"/>
  <c r="C4790" i="11"/>
  <c r="F6819" i="11"/>
  <c r="E6819" i="11"/>
  <c r="C6819" i="11"/>
  <c r="F4789" i="11"/>
  <c r="E4789" i="11"/>
  <c r="C4789" i="11"/>
  <c r="F7394" i="11"/>
  <c r="E7394" i="11"/>
  <c r="C7394" i="11"/>
  <c r="F6727" i="11"/>
  <c r="E6727" i="11"/>
  <c r="C6727" i="11"/>
  <c r="F4788" i="11"/>
  <c r="E4788" i="11"/>
  <c r="C4788" i="11"/>
  <c r="F4787" i="11"/>
  <c r="E4787" i="11"/>
  <c r="C4787" i="11"/>
  <c r="G2386" i="11"/>
  <c r="F2386" i="11"/>
  <c r="E2386" i="11"/>
  <c r="C2386" i="11"/>
  <c r="F4786" i="11"/>
  <c r="E4786" i="11"/>
  <c r="C4786" i="11"/>
  <c r="G2385" i="11"/>
  <c r="F2385" i="11"/>
  <c r="E2385" i="11"/>
  <c r="C2385" i="11"/>
  <c r="F7009" i="11"/>
  <c r="E7009" i="11"/>
  <c r="C7009" i="11"/>
  <c r="F4785" i="11"/>
  <c r="E4785" i="11"/>
  <c r="C4785" i="11"/>
  <c r="F7502" i="11"/>
  <c r="E7502" i="11"/>
  <c r="C7502" i="11"/>
  <c r="F7484" i="11"/>
  <c r="E7484" i="11"/>
  <c r="C7484" i="11"/>
  <c r="F7483" i="11"/>
  <c r="E7483" i="11"/>
  <c r="C7483" i="11"/>
  <c r="F7482" i="11"/>
  <c r="E7482" i="11"/>
  <c r="C7482" i="11"/>
  <c r="F4784" i="11"/>
  <c r="E4784" i="11"/>
  <c r="C4784" i="11"/>
  <c r="F6818" i="11"/>
  <c r="E6818" i="11"/>
  <c r="C6818" i="11"/>
  <c r="F4783" i="11"/>
  <c r="E4783" i="11"/>
  <c r="C4783" i="11"/>
  <c r="F7008" i="11"/>
  <c r="E7008" i="11"/>
  <c r="C7008" i="11"/>
  <c r="F4782" i="11"/>
  <c r="E4782" i="11"/>
  <c r="C4782" i="11"/>
  <c r="F6817" i="11"/>
  <c r="E6817" i="11"/>
  <c r="C6817" i="11"/>
  <c r="F4781" i="11"/>
  <c r="E4781" i="11"/>
  <c r="C4781" i="11"/>
  <c r="F7306" i="11"/>
  <c r="E7306" i="11"/>
  <c r="C7306" i="11"/>
  <c r="F4780" i="11"/>
  <c r="E4780" i="11"/>
  <c r="C4780" i="11"/>
  <c r="F6816" i="11"/>
  <c r="E6816" i="11"/>
  <c r="C6816" i="11"/>
  <c r="F4779" i="11"/>
  <c r="E4779" i="11"/>
  <c r="C4779" i="11"/>
  <c r="F6815" i="11"/>
  <c r="E6815" i="11"/>
  <c r="C6815" i="11"/>
  <c r="F4778" i="11"/>
  <c r="E4778" i="11"/>
  <c r="C4778" i="11"/>
  <c r="F6985" i="11"/>
  <c r="E6985" i="11"/>
  <c r="C6985" i="11"/>
  <c r="F4777" i="11"/>
  <c r="E4777" i="11"/>
  <c r="C4777" i="11"/>
  <c r="F7071" i="11"/>
  <c r="E7071" i="11"/>
  <c r="C7071" i="11"/>
  <c r="F6814" i="11"/>
  <c r="E6814" i="11"/>
  <c r="C6814" i="11"/>
  <c r="F4776" i="11"/>
  <c r="E4776" i="11"/>
  <c r="C4776" i="11"/>
  <c r="F7109" i="11"/>
  <c r="E7109" i="11"/>
  <c r="C7109" i="11"/>
  <c r="F4775" i="11"/>
  <c r="E4775" i="11"/>
  <c r="C4775" i="11"/>
  <c r="F4774" i="11"/>
  <c r="E4774" i="11"/>
  <c r="C4774" i="11"/>
  <c r="F3884" i="11"/>
  <c r="E3884" i="11"/>
  <c r="C3884" i="11"/>
  <c r="F4773" i="11"/>
  <c r="E4773" i="11"/>
  <c r="C4773" i="11"/>
  <c r="G2956" i="11"/>
  <c r="F2956" i="11"/>
  <c r="E2956" i="11"/>
  <c r="C2956" i="11"/>
  <c r="F4772" i="11"/>
  <c r="E4772" i="11"/>
  <c r="C4772" i="11"/>
  <c r="F3883" i="11"/>
  <c r="E3883" i="11"/>
  <c r="C3883" i="11"/>
  <c r="F7305" i="11"/>
  <c r="E7305" i="11"/>
  <c r="C7305" i="11"/>
  <c r="F4771" i="11"/>
  <c r="E4771" i="11"/>
  <c r="C4771" i="11"/>
  <c r="F4770" i="11"/>
  <c r="E4770" i="11"/>
  <c r="C4770" i="11"/>
  <c r="G2384" i="11"/>
  <c r="F2384" i="11"/>
  <c r="E2384" i="11"/>
  <c r="C2384" i="11"/>
  <c r="F6813" i="11"/>
  <c r="E6813" i="11"/>
  <c r="C6813" i="11"/>
  <c r="F4769" i="11"/>
  <c r="E4769" i="11"/>
  <c r="C4769" i="11"/>
  <c r="F7481" i="11"/>
  <c r="E7481" i="11"/>
  <c r="C7481" i="11"/>
  <c r="F7393" i="11"/>
  <c r="E7393" i="11"/>
  <c r="C7393" i="11"/>
  <c r="F6726" i="11"/>
  <c r="E6726" i="11"/>
  <c r="C6726" i="11"/>
  <c r="F4768" i="11"/>
  <c r="E4768" i="11"/>
  <c r="C4768" i="11"/>
  <c r="F7392" i="11"/>
  <c r="E7392" i="11"/>
  <c r="C7392" i="11"/>
  <c r="F6725" i="11"/>
  <c r="E6725" i="11"/>
  <c r="C6725" i="11"/>
  <c r="F4767" i="11"/>
  <c r="E4767" i="11"/>
  <c r="C4767" i="11"/>
  <c r="F6057" i="11"/>
  <c r="E6057" i="11"/>
  <c r="C6057" i="11"/>
  <c r="F4766" i="11"/>
  <c r="E4766" i="11"/>
  <c r="C4766" i="11"/>
  <c r="F4765" i="11"/>
  <c r="E4765" i="11"/>
  <c r="C4765" i="11"/>
  <c r="F3870" i="11"/>
  <c r="E3870" i="11"/>
  <c r="C3870" i="11"/>
  <c r="F6462" i="11"/>
  <c r="E6462" i="11"/>
  <c r="C6462" i="11"/>
  <c r="F4764" i="11"/>
  <c r="E4764" i="11"/>
  <c r="C4764" i="11"/>
  <c r="F6812" i="11"/>
  <c r="E6812" i="11"/>
  <c r="C6812" i="11"/>
  <c r="F4763" i="11"/>
  <c r="E4763" i="11"/>
  <c r="C4763" i="11"/>
  <c r="F6724" i="11"/>
  <c r="E6724" i="11"/>
  <c r="C6724" i="11"/>
  <c r="F4762" i="11"/>
  <c r="E4762" i="11"/>
  <c r="C4762" i="11"/>
  <c r="F7391" i="11"/>
  <c r="E7391" i="11"/>
  <c r="C7391" i="11"/>
  <c r="F6723" i="11"/>
  <c r="E6723" i="11"/>
  <c r="C6723" i="11"/>
  <c r="F4761" i="11"/>
  <c r="E4761" i="11"/>
  <c r="C4761" i="11"/>
  <c r="F7480" i="11"/>
  <c r="E7480" i="11"/>
  <c r="C7480" i="11"/>
  <c r="F7390" i="11"/>
  <c r="E7390" i="11"/>
  <c r="C7390" i="11"/>
  <c r="F4760" i="11"/>
  <c r="E4760" i="11"/>
  <c r="C4760" i="11"/>
  <c r="F7479" i="11"/>
  <c r="E7479" i="11"/>
  <c r="C7479" i="11"/>
  <c r="F7389" i="11"/>
  <c r="E7389" i="11"/>
  <c r="C7389" i="11"/>
  <c r="F7304" i="11"/>
  <c r="E7304" i="11"/>
  <c r="C7304" i="11"/>
  <c r="F6722" i="11"/>
  <c r="E6722" i="11"/>
  <c r="C6722" i="11"/>
  <c r="F4759" i="11"/>
  <c r="E4759" i="11"/>
  <c r="C4759" i="11"/>
  <c r="F5365" i="11"/>
  <c r="E5365" i="11"/>
  <c r="C5365" i="11"/>
  <c r="F4758" i="11"/>
  <c r="E4758" i="11"/>
  <c r="C4758" i="11"/>
  <c r="F7131" i="11"/>
  <c r="E7131" i="11"/>
  <c r="C7131" i="11"/>
  <c r="F4757" i="11"/>
  <c r="E4757" i="11"/>
  <c r="C4757" i="11"/>
  <c r="F4756" i="11"/>
  <c r="E4756" i="11"/>
  <c r="C4756" i="11"/>
  <c r="G2383" i="11"/>
  <c r="F2383" i="11"/>
  <c r="E2383" i="11"/>
  <c r="C2383" i="11"/>
  <c r="F7049" i="11"/>
  <c r="E7049" i="11"/>
  <c r="C7049" i="11"/>
  <c r="F4755" i="11"/>
  <c r="E4755" i="11"/>
  <c r="C4755" i="11"/>
  <c r="F7478" i="11"/>
  <c r="E7478" i="11"/>
  <c r="C7478" i="11"/>
  <c r="F7285" i="11"/>
  <c r="E7285" i="11"/>
  <c r="C7285" i="11"/>
  <c r="F7058" i="11"/>
  <c r="E7058" i="11"/>
  <c r="C7058" i="11"/>
  <c r="F6811" i="11"/>
  <c r="E6811" i="11"/>
  <c r="C6811" i="11"/>
  <c r="F4754" i="11"/>
  <c r="E4754" i="11"/>
  <c r="C4754" i="11"/>
  <c r="F6810" i="11"/>
  <c r="E6810" i="11"/>
  <c r="C6810" i="11"/>
  <c r="F6498" i="11"/>
  <c r="E6498" i="11"/>
  <c r="C6498" i="11"/>
  <c r="F4753" i="11"/>
  <c r="E4753" i="11"/>
  <c r="C4753" i="11"/>
  <c r="F6526" i="11"/>
  <c r="E6526" i="11"/>
  <c r="C6526" i="11"/>
  <c r="F4752" i="11"/>
  <c r="E4752" i="11"/>
  <c r="C4752" i="11"/>
  <c r="F6809" i="11"/>
  <c r="E6809" i="11"/>
  <c r="C6809" i="11"/>
  <c r="F4751" i="11"/>
  <c r="E4751" i="11"/>
  <c r="C4751" i="11"/>
  <c r="F4750" i="11"/>
  <c r="E4750" i="11"/>
  <c r="C4750" i="11"/>
  <c r="F3869" i="11"/>
  <c r="E3869" i="11"/>
  <c r="C3869" i="11"/>
  <c r="F4749" i="11"/>
  <c r="E4749" i="11"/>
  <c r="C4749" i="11"/>
  <c r="G2382" i="11"/>
  <c r="F2382" i="11"/>
  <c r="E2382" i="11"/>
  <c r="C2382" i="11"/>
  <c r="F7130" i="11"/>
  <c r="E7130" i="11"/>
  <c r="C7130" i="11"/>
  <c r="F4748" i="11"/>
  <c r="E4748" i="11"/>
  <c r="C4748" i="11"/>
  <c r="F6470" i="11"/>
  <c r="E6470" i="11"/>
  <c r="C6470" i="11"/>
  <c r="F4747" i="11"/>
  <c r="E4747" i="11"/>
  <c r="C4747" i="11"/>
  <c r="F6808" i="11"/>
  <c r="E6808" i="11"/>
  <c r="C6808" i="11"/>
  <c r="F4746" i="11"/>
  <c r="E4746" i="11"/>
  <c r="C4746" i="11"/>
  <c r="F6807" i="11"/>
  <c r="E6807" i="11"/>
  <c r="C6807" i="11"/>
  <c r="F4745" i="11"/>
  <c r="E4745" i="11"/>
  <c r="C4745" i="11"/>
  <c r="F6806" i="11"/>
  <c r="E6806" i="11"/>
  <c r="C6806" i="11"/>
  <c r="F4744" i="11"/>
  <c r="E4744" i="11"/>
  <c r="C4744" i="11"/>
  <c r="F7557" i="11"/>
  <c r="E7557" i="11"/>
  <c r="C7557" i="11"/>
  <c r="F4743" i="11"/>
  <c r="E4743" i="11"/>
  <c r="C4743" i="11"/>
  <c r="F6805" i="11"/>
  <c r="E6805" i="11"/>
  <c r="C6805" i="11"/>
  <c r="F4742" i="11"/>
  <c r="E4742" i="11"/>
  <c r="C4742" i="11"/>
  <c r="F6804" i="11"/>
  <c r="E6804" i="11"/>
  <c r="C6804" i="11"/>
  <c r="F4741" i="11"/>
  <c r="E4741" i="11"/>
  <c r="C4741" i="11"/>
  <c r="F6721" i="11"/>
  <c r="E6721" i="11"/>
  <c r="C6721" i="11"/>
  <c r="F4740" i="11"/>
  <c r="E4740" i="11"/>
  <c r="C4740" i="11"/>
  <c r="F7636" i="11"/>
  <c r="E7636" i="11"/>
  <c r="C7636" i="11"/>
  <c r="F4739" i="11"/>
  <c r="E4739" i="11"/>
  <c r="C4739" i="11"/>
  <c r="F7635" i="11"/>
  <c r="E7635" i="11"/>
  <c r="C7635" i="11"/>
  <c r="F4738" i="11"/>
  <c r="E4738" i="11"/>
  <c r="C4738" i="11"/>
  <c r="F7634" i="11"/>
  <c r="E7634" i="11"/>
  <c r="C7634" i="11"/>
  <c r="F4737" i="11"/>
  <c r="E4737" i="11"/>
  <c r="C4737" i="11"/>
  <c r="F7501" i="11"/>
  <c r="E7501" i="11"/>
  <c r="C7501" i="11"/>
  <c r="F7388" i="11"/>
  <c r="E7388" i="11"/>
  <c r="C7388" i="11"/>
  <c r="F6720" i="11"/>
  <c r="E6720" i="11"/>
  <c r="C6720" i="11"/>
  <c r="F4736" i="11"/>
  <c r="E4736" i="11"/>
  <c r="C4736" i="11"/>
  <c r="F6803" i="11"/>
  <c r="E6803" i="11"/>
  <c r="C6803" i="11"/>
  <c r="F4735" i="11"/>
  <c r="E4735" i="11"/>
  <c r="C4735" i="11"/>
  <c r="F6984" i="11"/>
  <c r="E6984" i="11"/>
  <c r="C6984" i="11"/>
  <c r="F6802" i="11"/>
  <c r="E6802" i="11"/>
  <c r="C6802" i="11"/>
  <c r="F6051" i="11"/>
  <c r="E6051" i="11"/>
  <c r="C6051" i="11"/>
  <c r="F4734" i="11"/>
  <c r="E4734" i="11"/>
  <c r="C4734" i="11"/>
  <c r="F6506" i="11"/>
  <c r="E6506" i="11"/>
  <c r="C6506" i="11"/>
  <c r="F4733" i="11"/>
  <c r="E4733" i="11"/>
  <c r="C4733" i="11"/>
  <c r="F7387" i="11"/>
  <c r="E7387" i="11"/>
  <c r="C7387" i="11"/>
  <c r="F6719" i="11"/>
  <c r="E6719" i="11"/>
  <c r="C6719" i="11"/>
  <c r="F4732" i="11"/>
  <c r="E4732" i="11"/>
  <c r="C4732" i="11"/>
  <c r="F6801" i="11"/>
  <c r="E6801" i="11"/>
  <c r="C6801" i="11"/>
  <c r="F4731" i="11"/>
  <c r="E4731" i="11"/>
  <c r="C4731" i="11"/>
  <c r="F6800" i="11"/>
  <c r="E6800" i="11"/>
  <c r="C6800" i="11"/>
  <c r="F4730" i="11"/>
  <c r="E4730" i="11"/>
  <c r="C4730" i="11"/>
  <c r="F6799" i="11"/>
  <c r="E6799" i="11"/>
  <c r="C6799" i="11"/>
  <c r="F4729" i="11"/>
  <c r="E4729" i="11"/>
  <c r="C4729" i="11"/>
  <c r="F6798" i="11"/>
  <c r="E6798" i="11"/>
  <c r="C6798" i="11"/>
  <c r="F4728" i="11"/>
  <c r="E4728" i="11"/>
  <c r="C4728" i="11"/>
  <c r="F6797" i="11"/>
  <c r="E6797" i="11"/>
  <c r="C6797" i="11"/>
  <c r="F4727" i="11"/>
  <c r="E4727" i="11"/>
  <c r="C4727" i="11"/>
  <c r="F4726" i="11"/>
  <c r="E4726" i="11"/>
  <c r="C4726" i="11"/>
  <c r="G2974" i="11"/>
  <c r="F2974" i="11"/>
  <c r="E2974" i="11"/>
  <c r="C2974" i="11"/>
  <c r="F6796" i="11"/>
  <c r="E6796" i="11"/>
  <c r="C6796" i="11"/>
  <c r="F4725" i="11"/>
  <c r="E4725" i="11"/>
  <c r="C4725" i="11"/>
  <c r="F7048" i="11"/>
  <c r="E7048" i="11"/>
  <c r="C7048" i="11"/>
  <c r="F4724" i="11"/>
  <c r="E4724" i="11"/>
  <c r="C4724" i="11"/>
  <c r="F6795" i="11"/>
  <c r="E6795" i="11"/>
  <c r="C6795" i="11"/>
  <c r="F4723" i="11"/>
  <c r="E4723" i="11"/>
  <c r="C4723" i="11"/>
  <c r="F6794" i="11"/>
  <c r="E6794" i="11"/>
  <c r="C6794" i="11"/>
  <c r="F4722" i="11"/>
  <c r="E4722" i="11"/>
  <c r="C4722" i="11"/>
  <c r="F4721" i="11"/>
  <c r="E4721" i="11"/>
  <c r="C4721" i="11"/>
  <c r="G2381" i="11"/>
  <c r="F2381" i="11"/>
  <c r="E2381" i="11"/>
  <c r="C2381" i="11"/>
  <c r="F6793" i="11"/>
  <c r="E6793" i="11"/>
  <c r="C6793" i="11"/>
  <c r="F4720" i="11"/>
  <c r="E4720" i="11"/>
  <c r="C4720" i="11"/>
  <c r="F4719" i="11"/>
  <c r="E4719" i="11"/>
  <c r="C4719" i="11"/>
  <c r="G2380" i="11"/>
  <c r="F2380" i="11"/>
  <c r="E2380" i="11"/>
  <c r="C2380" i="11"/>
  <c r="F4718" i="11"/>
  <c r="E4718" i="11"/>
  <c r="C4718" i="11"/>
  <c r="F3009" i="11"/>
  <c r="E3009" i="11"/>
  <c r="C3009" i="11"/>
  <c r="F7007" i="11"/>
  <c r="E7007" i="11"/>
  <c r="C7007" i="11"/>
  <c r="F4717" i="11"/>
  <c r="E4717" i="11"/>
  <c r="C4717" i="11"/>
  <c r="F4716" i="11"/>
  <c r="E4716" i="11"/>
  <c r="C4716" i="11"/>
  <c r="F2379" i="11"/>
  <c r="E2379" i="11"/>
  <c r="C2379" i="11"/>
  <c r="F7047" i="11"/>
  <c r="E7047" i="11"/>
  <c r="C7047" i="11"/>
  <c r="F4715" i="11"/>
  <c r="E4715" i="11"/>
  <c r="C4715" i="11"/>
  <c r="F6525" i="11"/>
  <c r="E6525" i="11"/>
  <c r="C6525" i="11"/>
  <c r="F4714" i="11"/>
  <c r="E4714" i="11"/>
  <c r="C4714" i="11"/>
  <c r="F7006" i="11"/>
  <c r="E7006" i="11"/>
  <c r="C7006" i="11"/>
  <c r="F4713" i="11"/>
  <c r="E4713" i="11"/>
  <c r="C4713" i="11"/>
  <c r="F7046" i="11"/>
  <c r="E7046" i="11"/>
  <c r="C7046" i="11"/>
  <c r="F6524" i="11"/>
  <c r="E6524" i="11"/>
  <c r="C6524" i="11"/>
  <c r="F4712" i="11"/>
  <c r="E4712" i="11"/>
  <c r="C4712" i="11"/>
  <c r="F7386" i="11"/>
  <c r="E7386" i="11"/>
  <c r="C7386" i="11"/>
  <c r="F6718" i="11"/>
  <c r="E6718" i="11"/>
  <c r="C6718" i="11"/>
  <c r="F4711" i="11"/>
  <c r="E4711" i="11"/>
  <c r="C4711" i="11"/>
  <c r="F4710" i="11"/>
  <c r="E4710" i="11"/>
  <c r="C4710" i="11"/>
  <c r="F3882" i="11"/>
  <c r="E3882" i="11"/>
  <c r="C3882" i="11"/>
  <c r="F6792" i="11"/>
  <c r="E6792" i="11"/>
  <c r="C6792" i="11"/>
  <c r="F4709" i="11"/>
  <c r="E4709" i="11"/>
  <c r="C4709" i="11"/>
  <c r="F7129" i="11"/>
  <c r="E7129" i="11"/>
  <c r="C7129" i="11"/>
  <c r="F4708" i="11"/>
  <c r="E4708" i="11"/>
  <c r="C4708" i="11"/>
  <c r="F6791" i="11"/>
  <c r="E6791" i="11"/>
  <c r="C6791" i="11"/>
  <c r="F4707" i="11"/>
  <c r="E4707" i="11"/>
  <c r="C4707" i="11"/>
  <c r="F4706" i="11"/>
  <c r="E4706" i="11"/>
  <c r="C4706" i="11"/>
  <c r="F3826" i="11"/>
  <c r="E3826" i="11"/>
  <c r="C3826" i="11"/>
  <c r="F7500" i="11"/>
  <c r="E7500" i="11"/>
  <c r="C7500" i="11"/>
  <c r="F7477" i="11"/>
  <c r="E7477" i="11"/>
  <c r="C7477" i="11"/>
  <c r="F4705" i="11"/>
  <c r="E4705" i="11"/>
  <c r="C4705" i="11"/>
  <c r="F7128" i="11"/>
  <c r="E7128" i="11"/>
  <c r="C7128" i="11"/>
  <c r="F4704" i="11"/>
  <c r="E4704" i="11"/>
  <c r="C4704" i="11"/>
  <c r="F7112" i="11"/>
  <c r="E7112" i="11"/>
  <c r="C7112" i="11"/>
  <c r="F6790" i="11"/>
  <c r="E6790" i="11"/>
  <c r="C6790" i="11"/>
  <c r="F4703" i="11"/>
  <c r="E4703" i="11"/>
  <c r="C4703" i="11"/>
  <c r="F7385" i="11"/>
  <c r="E7385" i="11"/>
  <c r="C7385" i="11"/>
  <c r="F6915" i="11"/>
  <c r="E6915" i="11"/>
  <c r="C6915" i="11"/>
  <c r="F6717" i="11"/>
  <c r="E6717" i="11"/>
  <c r="C6717" i="11"/>
  <c r="F4702" i="11"/>
  <c r="E4702" i="11"/>
  <c r="C4702" i="11"/>
  <c r="F6789" i="11"/>
  <c r="E6789" i="11"/>
  <c r="C6789" i="11"/>
  <c r="F4701" i="11"/>
  <c r="E4701" i="11"/>
  <c r="C4701" i="11"/>
  <c r="F6050" i="11"/>
  <c r="E6050" i="11"/>
  <c r="C6050" i="11"/>
  <c r="F4700" i="11"/>
  <c r="E4700" i="11"/>
  <c r="C4700" i="11"/>
  <c r="F7127" i="11"/>
  <c r="E7127" i="11"/>
  <c r="C7127" i="11"/>
  <c r="F4699" i="11"/>
  <c r="E4699" i="11"/>
  <c r="C4699" i="11"/>
  <c r="F7499" i="11"/>
  <c r="E7499" i="11"/>
  <c r="C7499" i="11"/>
  <c r="F4698" i="11"/>
  <c r="E4698" i="11"/>
  <c r="C4698" i="11"/>
  <c r="F7498" i="11"/>
  <c r="E7498" i="11"/>
  <c r="C7498" i="11"/>
  <c r="F7497" i="11"/>
  <c r="E7497" i="11"/>
  <c r="C7497" i="11"/>
  <c r="F7384" i="11"/>
  <c r="E7384" i="11"/>
  <c r="C7384" i="11"/>
  <c r="F7045" i="11"/>
  <c r="E7045" i="11"/>
  <c r="C7045" i="11"/>
  <c r="F6788" i="11"/>
  <c r="E6788" i="11"/>
  <c r="C6788" i="11"/>
  <c r="F6787" i="11"/>
  <c r="E6787" i="11"/>
  <c r="C6787" i="11"/>
  <c r="F4697" i="11"/>
  <c r="E4697" i="11"/>
  <c r="C4697" i="11"/>
  <c r="F6786" i="11"/>
  <c r="E6786" i="11"/>
  <c r="C6786" i="11"/>
  <c r="F4696" i="11"/>
  <c r="E4696" i="11"/>
  <c r="C4696" i="11"/>
  <c r="F6785" i="11"/>
  <c r="E6785" i="11"/>
  <c r="C6785" i="11"/>
  <c r="F4695" i="11"/>
  <c r="E4695" i="11"/>
  <c r="C4695" i="11"/>
  <c r="F6784" i="11"/>
  <c r="E6784" i="11"/>
  <c r="C6784" i="11"/>
  <c r="F6716" i="11"/>
  <c r="E6716" i="11"/>
  <c r="C6716" i="11"/>
  <c r="F4694" i="11"/>
  <c r="E4694" i="11"/>
  <c r="C4694" i="11"/>
  <c r="F7646" i="11"/>
  <c r="E7646" i="11"/>
  <c r="C7646" i="11"/>
  <c r="F4693" i="11"/>
  <c r="E4693" i="11"/>
  <c r="C4693" i="11"/>
  <c r="F4692" i="11"/>
  <c r="E4692" i="11"/>
  <c r="C4692" i="11"/>
  <c r="F3868" i="11"/>
  <c r="E3868" i="11"/>
  <c r="C3868" i="11"/>
  <c r="F3739" i="11"/>
  <c r="E3739" i="11"/>
  <c r="C3739" i="11"/>
  <c r="F6783" i="11"/>
  <c r="E6783" i="11"/>
  <c r="C6783" i="11"/>
  <c r="F4691" i="11"/>
  <c r="E4691" i="11"/>
  <c r="C4691" i="11"/>
  <c r="F4690" i="11"/>
  <c r="E4690" i="11"/>
  <c r="C4690" i="11"/>
  <c r="G2378" i="11"/>
  <c r="F2378" i="11"/>
  <c r="E2378" i="11"/>
  <c r="C2378" i="11"/>
  <c r="F4689" i="11"/>
  <c r="E4689" i="11"/>
  <c r="C4689" i="11"/>
  <c r="G2377" i="11"/>
  <c r="F2377" i="11"/>
  <c r="E2377" i="11"/>
  <c r="C2377" i="11"/>
  <c r="F6505" i="11"/>
  <c r="E6505" i="11"/>
  <c r="C6505" i="11"/>
  <c r="F4688" i="11"/>
  <c r="E4688" i="11"/>
  <c r="C4688" i="11"/>
  <c r="F7252" i="11"/>
  <c r="E7252" i="11"/>
  <c r="C7252" i="11"/>
  <c r="F4687" i="11"/>
  <c r="E4687" i="11"/>
  <c r="C4687" i="11"/>
  <c r="F6782" i="11"/>
  <c r="E6782" i="11"/>
  <c r="C6782" i="11"/>
  <c r="F4686" i="11"/>
  <c r="E4686" i="11"/>
  <c r="C4686" i="11"/>
  <c r="F7383" i="11"/>
  <c r="E7383" i="11"/>
  <c r="C7383" i="11"/>
  <c r="F6715" i="11"/>
  <c r="E6715" i="11"/>
  <c r="C6715" i="11"/>
  <c r="F4685" i="11"/>
  <c r="E4685" i="11"/>
  <c r="C4685" i="11"/>
  <c r="F7382" i="11"/>
  <c r="E7382" i="11"/>
  <c r="C7382" i="11"/>
  <c r="F6714" i="11"/>
  <c r="E6714" i="11"/>
  <c r="C6714" i="11"/>
  <c r="F4684" i="11"/>
  <c r="E4684" i="11"/>
  <c r="C4684" i="11"/>
  <c r="F6781" i="11"/>
  <c r="E6781" i="11"/>
  <c r="C6781" i="11"/>
  <c r="F4683" i="11"/>
  <c r="E4683" i="11"/>
  <c r="C4683" i="11"/>
  <c r="F6780" i="11"/>
  <c r="E6780" i="11"/>
  <c r="C6780" i="11"/>
  <c r="F6713" i="11"/>
  <c r="E6713" i="11"/>
  <c r="C6713" i="11"/>
  <c r="F4682" i="11"/>
  <c r="E4682" i="11"/>
  <c r="C4682" i="11"/>
  <c r="F7111" i="11"/>
  <c r="E7111" i="11"/>
  <c r="C7111" i="11"/>
  <c r="F6779" i="11"/>
  <c r="E6779" i="11"/>
  <c r="C6779" i="11"/>
  <c r="F4681" i="11"/>
  <c r="E4681" i="11"/>
  <c r="C4681" i="11"/>
  <c r="F7303" i="11"/>
  <c r="E7303" i="11"/>
  <c r="C7303" i="11"/>
  <c r="F4680" i="11"/>
  <c r="E4680" i="11"/>
  <c r="C4680" i="11"/>
  <c r="F6778" i="11"/>
  <c r="E6778" i="11"/>
  <c r="C6778" i="11"/>
  <c r="F6461" i="11"/>
  <c r="E6461" i="11"/>
  <c r="C6461" i="11"/>
  <c r="F5364" i="11"/>
  <c r="E5364" i="11"/>
  <c r="C5364" i="11"/>
  <c r="F4679" i="11"/>
  <c r="E4679" i="11"/>
  <c r="C4679" i="11"/>
  <c r="F4678" i="11"/>
  <c r="E4678" i="11"/>
  <c r="C4678" i="11"/>
  <c r="F3738" i="11"/>
  <c r="E3738" i="11"/>
  <c r="C3738" i="11"/>
  <c r="G2376" i="11"/>
  <c r="F2376" i="11"/>
  <c r="E2376" i="11"/>
  <c r="C2376" i="11"/>
  <c r="F6777" i="11"/>
  <c r="E6777" i="11"/>
  <c r="C6777" i="11"/>
  <c r="F4677" i="11"/>
  <c r="E4677" i="11"/>
  <c r="C4677" i="11"/>
  <c r="F7645" i="11"/>
  <c r="E7645" i="11"/>
  <c r="C7645" i="11"/>
  <c r="F4676" i="11"/>
  <c r="E4676" i="11"/>
  <c r="C4676" i="11"/>
  <c r="F7302" i="11"/>
  <c r="E7302" i="11"/>
  <c r="C7302" i="11"/>
  <c r="F4675" i="11"/>
  <c r="E4675" i="11"/>
  <c r="C4675" i="11"/>
  <c r="F6776" i="11"/>
  <c r="E6776" i="11"/>
  <c r="C6776" i="11"/>
  <c r="F4674" i="11"/>
  <c r="E4674" i="11"/>
  <c r="C4674" i="11"/>
  <c r="F6775" i="11"/>
  <c r="E6775" i="11"/>
  <c r="C6775" i="11"/>
  <c r="F4673" i="11"/>
  <c r="E4673" i="11"/>
  <c r="C4673" i="11"/>
  <c r="F6774" i="11"/>
  <c r="E6774" i="11"/>
  <c r="C6774" i="11"/>
  <c r="F4672" i="11"/>
  <c r="E4672" i="11"/>
  <c r="C4672" i="11"/>
  <c r="F7005" i="11"/>
  <c r="E7005" i="11"/>
  <c r="C7005" i="11"/>
  <c r="F4671" i="11"/>
  <c r="E4671" i="11"/>
  <c r="C4671" i="11"/>
  <c r="F6773" i="11"/>
  <c r="E6773" i="11"/>
  <c r="C6773" i="11"/>
  <c r="F4670" i="11"/>
  <c r="E4670" i="11"/>
  <c r="C4670" i="11"/>
  <c r="F6772" i="11"/>
  <c r="E6772" i="11"/>
  <c r="C6772" i="11"/>
  <c r="F4669" i="11"/>
  <c r="E4669" i="11"/>
  <c r="C4669" i="11"/>
  <c r="F6771" i="11"/>
  <c r="E6771" i="11"/>
  <c r="C6771" i="11"/>
  <c r="F4668" i="11"/>
  <c r="E4668" i="11"/>
  <c r="C4668" i="11"/>
  <c r="F6770" i="11"/>
  <c r="E6770" i="11"/>
  <c r="C6770" i="11"/>
  <c r="F4667" i="11"/>
  <c r="E4667" i="11"/>
  <c r="C4667" i="11"/>
  <c r="F6769" i="11"/>
  <c r="E6769" i="11"/>
  <c r="C6769" i="11"/>
  <c r="F4666" i="11"/>
  <c r="E4666" i="11"/>
  <c r="C4666" i="11"/>
  <c r="F6768" i="11"/>
  <c r="E6768" i="11"/>
  <c r="C6768" i="11"/>
  <c r="F4665" i="11"/>
  <c r="E4665" i="11"/>
  <c r="C4665" i="11"/>
  <c r="F7644" i="11"/>
  <c r="C7644" i="11"/>
  <c r="F5054" i="11"/>
  <c r="C5054" i="11"/>
  <c r="F7155" i="11"/>
  <c r="C7155" i="11"/>
  <c r="F5053" i="11"/>
  <c r="C5053" i="11"/>
  <c r="F5052" i="11"/>
  <c r="C5052" i="11"/>
  <c r="F3008" i="11"/>
  <c r="C3008" i="11"/>
  <c r="F5224" i="11"/>
  <c r="C5224" i="11"/>
  <c r="F5051" i="11"/>
  <c r="C5051" i="11"/>
  <c r="F6497" i="11"/>
  <c r="C6497" i="11"/>
  <c r="F5050" i="11"/>
  <c r="C5050" i="11"/>
  <c r="F5363" i="11"/>
  <c r="C5363" i="11"/>
  <c r="F5049" i="11"/>
  <c r="C5049" i="11"/>
  <c r="F6469" i="11"/>
  <c r="C6469" i="11"/>
  <c r="F5048" i="11"/>
  <c r="C5048" i="11"/>
  <c r="F6496" i="11"/>
  <c r="C6496" i="11"/>
  <c r="F5047" i="11"/>
  <c r="C5047" i="11"/>
  <c r="F6504" i="11"/>
  <c r="C6504" i="11"/>
  <c r="F5046" i="11"/>
  <c r="C5046" i="11"/>
  <c r="F5045" i="11"/>
  <c r="C5045" i="11"/>
  <c r="G2760" i="11"/>
  <c r="F2760" i="11"/>
  <c r="C2760" i="11"/>
  <c r="F7643" i="11"/>
  <c r="C7643" i="11"/>
  <c r="F5044" i="11"/>
  <c r="C5044" i="11"/>
  <c r="F6503" i="11"/>
  <c r="C6503" i="11"/>
  <c r="F5043" i="11"/>
  <c r="C5043" i="11"/>
  <c r="F7044" i="11"/>
  <c r="C7044" i="11"/>
  <c r="F5042" i="11"/>
  <c r="C5042" i="11"/>
  <c r="F7642" i="11"/>
  <c r="C7642" i="11"/>
  <c r="F5041" i="11"/>
  <c r="C5041" i="11"/>
  <c r="F7641" i="11"/>
  <c r="C7641" i="11"/>
  <c r="F5040" i="11"/>
  <c r="C5040" i="11"/>
  <c r="F7640" i="11"/>
  <c r="C7640" i="11"/>
  <c r="F5039" i="11"/>
  <c r="C5039" i="11"/>
  <c r="F6502" i="11"/>
  <c r="C6502" i="11"/>
  <c r="F5038" i="11"/>
  <c r="C5038" i="11"/>
  <c r="F6501" i="11"/>
  <c r="C6501" i="11"/>
  <c r="F5037" i="11"/>
  <c r="C5037" i="11"/>
  <c r="F7043" i="11"/>
  <c r="C7043" i="11"/>
  <c r="F5035" i="11"/>
  <c r="C5035" i="11"/>
  <c r="F6712" i="11"/>
  <c r="C6712" i="11"/>
  <c r="F5034" i="11"/>
  <c r="C5034" i="11"/>
  <c r="F6711" i="11"/>
  <c r="C6711" i="11"/>
  <c r="F5033" i="11"/>
  <c r="C5033" i="11"/>
  <c r="F6710" i="11"/>
  <c r="C6710" i="11"/>
  <c r="F5032" i="11"/>
  <c r="C5032" i="11"/>
  <c r="F6709" i="11"/>
  <c r="C6709" i="11"/>
  <c r="F5031" i="11"/>
  <c r="C5031" i="11"/>
  <c r="F6708" i="11"/>
  <c r="C6708" i="11"/>
  <c r="F5030" i="11"/>
  <c r="C5030" i="11"/>
  <c r="F7468" i="11"/>
  <c r="C7468" i="11"/>
  <c r="F5029" i="11"/>
  <c r="C5029" i="11"/>
  <c r="F6707" i="11"/>
  <c r="C6707" i="11"/>
  <c r="F5028" i="11"/>
  <c r="C5028" i="11"/>
  <c r="F6706" i="11"/>
  <c r="C6706" i="11"/>
  <c r="F5027" i="11"/>
  <c r="C5027" i="11"/>
  <c r="F6705" i="11"/>
  <c r="C6705" i="11"/>
  <c r="F5026" i="11"/>
  <c r="C5026" i="11"/>
  <c r="F6704" i="11"/>
  <c r="C6704" i="11"/>
  <c r="F5025" i="11"/>
  <c r="C5025" i="11"/>
  <c r="F6703" i="11"/>
  <c r="C6703" i="11"/>
  <c r="F5024" i="11"/>
  <c r="C5024" i="11"/>
  <c r="F6702" i="11"/>
  <c r="C6702" i="11"/>
  <c r="F5023" i="11"/>
  <c r="C5023" i="11"/>
  <c r="F6701" i="11"/>
  <c r="C6701" i="11"/>
  <c r="F5022" i="11"/>
  <c r="C5022" i="11"/>
  <c r="F7467" i="11"/>
  <c r="C7467" i="11"/>
  <c r="F5021" i="11"/>
  <c r="C5021" i="11"/>
  <c r="F6700" i="11"/>
  <c r="C6700" i="11"/>
  <c r="F5020" i="11"/>
  <c r="C5020" i="11"/>
  <c r="F6699" i="11"/>
  <c r="C6699" i="11"/>
  <c r="F5019" i="11"/>
  <c r="C5019" i="11"/>
  <c r="F7042" i="11"/>
  <c r="C7042" i="11"/>
  <c r="F5018" i="11"/>
  <c r="C5018" i="11"/>
  <c r="F7466" i="11"/>
  <c r="C7466" i="11"/>
  <c r="F5017" i="11"/>
  <c r="C5017" i="11"/>
  <c r="F6698" i="11"/>
  <c r="C6698" i="11"/>
  <c r="F5016" i="11"/>
  <c r="C5016" i="11"/>
  <c r="F6697" i="11"/>
  <c r="C6697" i="11"/>
  <c r="F5015" i="11"/>
  <c r="C5015" i="11"/>
  <c r="F6696" i="11"/>
  <c r="C6696" i="11"/>
  <c r="F5014" i="11"/>
  <c r="C5014" i="11"/>
  <c r="F7004" i="11"/>
  <c r="C7004" i="11"/>
  <c r="F5013" i="11"/>
  <c r="C5013" i="11"/>
  <c r="F7465" i="11"/>
  <c r="C7465" i="11"/>
  <c r="F5012" i="11"/>
  <c r="C5012" i="11"/>
  <c r="F6695" i="11"/>
  <c r="C6695" i="11"/>
  <c r="F5011" i="11"/>
  <c r="C5011" i="11"/>
  <c r="F6694" i="11"/>
  <c r="C6694" i="11"/>
  <c r="F5010" i="11"/>
  <c r="C5010" i="11"/>
  <c r="F7464" i="11"/>
  <c r="C7464" i="11"/>
  <c r="F5009" i="11"/>
  <c r="C5009" i="11"/>
  <c r="F7041" i="11"/>
  <c r="C7041" i="11"/>
  <c r="F5008" i="11"/>
  <c r="C5008" i="11"/>
  <c r="F6693" i="11"/>
  <c r="C6693" i="11"/>
  <c r="F5007" i="11"/>
  <c r="C5007" i="11"/>
  <c r="F6692" i="11"/>
  <c r="C6692" i="11"/>
  <c r="F5006" i="11"/>
  <c r="C5006" i="11"/>
  <c r="F6691" i="11"/>
  <c r="C6691" i="11"/>
  <c r="F5005" i="11"/>
  <c r="C5005" i="11"/>
  <c r="F6690" i="11"/>
  <c r="C6690" i="11"/>
  <c r="F5004" i="11"/>
  <c r="C5004" i="11"/>
  <c r="F6689" i="11"/>
  <c r="C6689" i="11"/>
  <c r="F5003" i="11"/>
  <c r="C5003" i="11"/>
  <c r="F7463" i="11"/>
  <c r="C7463" i="11"/>
  <c r="F5002" i="11"/>
  <c r="C5002" i="11"/>
  <c r="F6688" i="11"/>
  <c r="C6688" i="11"/>
  <c r="F5001" i="11"/>
  <c r="C5001" i="11"/>
  <c r="F6687" i="11"/>
  <c r="C6687" i="11"/>
  <c r="F5000" i="11"/>
  <c r="C5000" i="11"/>
  <c r="F7462" i="11"/>
  <c r="C7462" i="11"/>
  <c r="F4999" i="11"/>
  <c r="C4999" i="11"/>
  <c r="F5223" i="11"/>
  <c r="C5223" i="11"/>
  <c r="F4998" i="11"/>
  <c r="C4998" i="11"/>
  <c r="F6686" i="11"/>
  <c r="C6686" i="11"/>
  <c r="F4997" i="11"/>
  <c r="C4997" i="11"/>
  <c r="F6685" i="11"/>
  <c r="C6685" i="11"/>
  <c r="F4996" i="11"/>
  <c r="C4996" i="11"/>
  <c r="F6684" i="11"/>
  <c r="C6684" i="11"/>
  <c r="F4995" i="11"/>
  <c r="C4995" i="11"/>
  <c r="F6683" i="11"/>
  <c r="C6683" i="11"/>
  <c r="F4994" i="11"/>
  <c r="C4994" i="11"/>
  <c r="F7461" i="11"/>
  <c r="C7461" i="11"/>
  <c r="F4993" i="11"/>
  <c r="C4993" i="11"/>
  <c r="F6682" i="11"/>
  <c r="C6682" i="11"/>
  <c r="F4992" i="11"/>
  <c r="C4992" i="11"/>
  <c r="F6681" i="11"/>
  <c r="C6681" i="11"/>
  <c r="F4991" i="11"/>
  <c r="C4991" i="11"/>
  <c r="F6680" i="11"/>
  <c r="C6680" i="11"/>
  <c r="F4990" i="11"/>
  <c r="C4990" i="11"/>
  <c r="F6767" i="11"/>
  <c r="C6767" i="11"/>
  <c r="F4989" i="11"/>
  <c r="C4989" i="11"/>
  <c r="F7460" i="11"/>
  <c r="C7460" i="11"/>
  <c r="F4988" i="11"/>
  <c r="C4988" i="11"/>
  <c r="F6679" i="11"/>
  <c r="C6679" i="11"/>
  <c r="F4987" i="11"/>
  <c r="C4987" i="11"/>
  <c r="F6678" i="11"/>
  <c r="C6678" i="11"/>
  <c r="F4986" i="11"/>
  <c r="C4986" i="11"/>
  <c r="F6677" i="11"/>
  <c r="C6677" i="11"/>
  <c r="F4985" i="11"/>
  <c r="C4985" i="11"/>
  <c r="F7459" i="11"/>
  <c r="C7459" i="11"/>
  <c r="F4984" i="11"/>
  <c r="C4984" i="11"/>
  <c r="F6676" i="11"/>
  <c r="C6676" i="11"/>
  <c r="F4983" i="11"/>
  <c r="C4983" i="11"/>
  <c r="F6675" i="11"/>
  <c r="C6675" i="11"/>
  <c r="F4982" i="11"/>
  <c r="C4982" i="11"/>
  <c r="F6674" i="11"/>
  <c r="C6674" i="11"/>
  <c r="F4981" i="11"/>
  <c r="C4981" i="11"/>
  <c r="F7381" i="11"/>
  <c r="C7381" i="11"/>
  <c r="F4980" i="11"/>
  <c r="C4980" i="11"/>
  <c r="F7458" i="11"/>
  <c r="C7458" i="11"/>
  <c r="F4979" i="11"/>
  <c r="C4979" i="11"/>
  <c r="F7476" i="11"/>
  <c r="C7476" i="11"/>
  <c r="F4978" i="11"/>
  <c r="C4978" i="11"/>
  <c r="F6487" i="11"/>
  <c r="C6487" i="11"/>
  <c r="F4977" i="11"/>
  <c r="C4977" i="11"/>
  <c r="F7040" i="11"/>
  <c r="C7040" i="11"/>
  <c r="F4976" i="11"/>
  <c r="C4976" i="11"/>
  <c r="F6673" i="11"/>
  <c r="C6673" i="11"/>
  <c r="F4975" i="11"/>
  <c r="C4975" i="11"/>
  <c r="F6672" i="11"/>
  <c r="C6672" i="11"/>
  <c r="F4974" i="11"/>
  <c r="C4974" i="11"/>
  <c r="F6671" i="11"/>
  <c r="C6671" i="11"/>
  <c r="F4973" i="11"/>
  <c r="C4973" i="11"/>
  <c r="F7070" i="11"/>
  <c r="C7070" i="11"/>
  <c r="F4972" i="11"/>
  <c r="C4972" i="11"/>
  <c r="F7457" i="11"/>
  <c r="C7457" i="11"/>
  <c r="F4971" i="11"/>
  <c r="C4971" i="11"/>
  <c r="F6670" i="11"/>
  <c r="C6670" i="11"/>
  <c r="F4970" i="11"/>
  <c r="C4970" i="11"/>
  <c r="F6669" i="11"/>
  <c r="C6669" i="11"/>
  <c r="F4969" i="11"/>
  <c r="C4969" i="11"/>
  <c r="F6668" i="11"/>
  <c r="C6668" i="11"/>
  <c r="F4968" i="11"/>
  <c r="C4968" i="11"/>
  <c r="F6667" i="11"/>
  <c r="C6667" i="11"/>
  <c r="F4967" i="11"/>
  <c r="C4967" i="11"/>
  <c r="F7456" i="11"/>
  <c r="C7456" i="11"/>
  <c r="F4966" i="11"/>
  <c r="C4966" i="11"/>
  <c r="F6911" i="11"/>
  <c r="C6911" i="11"/>
  <c r="F4965" i="11"/>
  <c r="C4965" i="11"/>
  <c r="F6910" i="11"/>
  <c r="C6910" i="11"/>
  <c r="F4964" i="11"/>
  <c r="C4964" i="11"/>
  <c r="F7380" i="11"/>
  <c r="C7380" i="11"/>
  <c r="F4963" i="11"/>
  <c r="C4963" i="11"/>
  <c r="F6666" i="11"/>
  <c r="C6666" i="11"/>
  <c r="F4962" i="11"/>
  <c r="C4962" i="11"/>
  <c r="F6665" i="11"/>
  <c r="C6665" i="11"/>
  <c r="F4961" i="11"/>
  <c r="C4961" i="11"/>
  <c r="F6664" i="11"/>
  <c r="C6664" i="11"/>
  <c r="F4960" i="11"/>
  <c r="C4960" i="11"/>
  <c r="F7455" i="11"/>
  <c r="C7455" i="11"/>
  <c r="F4959" i="11"/>
  <c r="C4959" i="11"/>
  <c r="F5222" i="11"/>
  <c r="C5222" i="11"/>
  <c r="F4958" i="11"/>
  <c r="C4958" i="11"/>
  <c r="F6766" i="11"/>
  <c r="C6766" i="11"/>
  <c r="F4957" i="11"/>
  <c r="C4957" i="11"/>
  <c r="F6663" i="11"/>
  <c r="C6663" i="11"/>
  <c r="F4956" i="11"/>
  <c r="C4956" i="11"/>
  <c r="F6662" i="11"/>
  <c r="C6662" i="11"/>
  <c r="F4955" i="11"/>
  <c r="C4955" i="11"/>
  <c r="F7454" i="11"/>
  <c r="C7454" i="11"/>
  <c r="F4954" i="11"/>
  <c r="C4954" i="11"/>
  <c r="F6661" i="11"/>
  <c r="C6661" i="11"/>
  <c r="F4953" i="11"/>
  <c r="C4953" i="11"/>
  <c r="F6660" i="11"/>
  <c r="C6660" i="11"/>
  <c r="F4952" i="11"/>
  <c r="C4952" i="11"/>
  <c r="F6659" i="11"/>
  <c r="C6659" i="11"/>
  <c r="F4951" i="11"/>
  <c r="C4951" i="11"/>
  <c r="F7453" i="11"/>
  <c r="C7453" i="11"/>
  <c r="F4950" i="11"/>
  <c r="C4950" i="11"/>
  <c r="F7475" i="11"/>
  <c r="C7475" i="11"/>
  <c r="F4949" i="11"/>
  <c r="C4949" i="11"/>
  <c r="F7474" i="11"/>
  <c r="C7474" i="11"/>
  <c r="F4948" i="11"/>
  <c r="C4948" i="11"/>
  <c r="F6486" i="11"/>
  <c r="C6486" i="11"/>
  <c r="F4947" i="11"/>
  <c r="C4947" i="11"/>
  <c r="F6658" i="11"/>
  <c r="C6658" i="11"/>
  <c r="F4946" i="11"/>
  <c r="C4946" i="11"/>
  <c r="F6657" i="11"/>
  <c r="C6657" i="11"/>
  <c r="F4945" i="11"/>
  <c r="C4945" i="11"/>
  <c r="F6656" i="11"/>
  <c r="C6656" i="11"/>
  <c r="F4944" i="11"/>
  <c r="C4944" i="11"/>
  <c r="F6655" i="11"/>
  <c r="C6655" i="11"/>
  <c r="F4943" i="11"/>
  <c r="C4943" i="11"/>
  <c r="F6654" i="11"/>
  <c r="C6654" i="11"/>
  <c r="F4942" i="11"/>
  <c r="C4942" i="11"/>
  <c r="F7452" i="11"/>
  <c r="C7452" i="11"/>
  <c r="F4941" i="11"/>
  <c r="C4941" i="11"/>
  <c r="F7039" i="11"/>
  <c r="C7039" i="11"/>
  <c r="F4940" i="11"/>
  <c r="C4940" i="11"/>
  <c r="F6653" i="11"/>
  <c r="C6653" i="11"/>
  <c r="F4939" i="11"/>
  <c r="C4939" i="11"/>
  <c r="F6652" i="11"/>
  <c r="C6652" i="11"/>
  <c r="F4938" i="11"/>
  <c r="C4938" i="11"/>
  <c r="F6651" i="11"/>
  <c r="C6651" i="11"/>
  <c r="F4937" i="11"/>
  <c r="C4937" i="11"/>
  <c r="F6650" i="11"/>
  <c r="C6650" i="11"/>
  <c r="F4936" i="11"/>
  <c r="C4936" i="11"/>
  <c r="F6649" i="11"/>
  <c r="C6649" i="11"/>
  <c r="F4935" i="11"/>
  <c r="C4935" i="11"/>
  <c r="F7451" i="11"/>
  <c r="C7451" i="11"/>
  <c r="F4934" i="11"/>
  <c r="C4934" i="11"/>
  <c r="F7379" i="11"/>
  <c r="C7379" i="11"/>
  <c r="F4933" i="11"/>
  <c r="C4933" i="11"/>
  <c r="F7378" i="11"/>
  <c r="C7378" i="11"/>
  <c r="F4932" i="11"/>
  <c r="C4932" i="11"/>
  <c r="F6648" i="11"/>
  <c r="C6648" i="11"/>
  <c r="F4931" i="11"/>
  <c r="C4931" i="11"/>
  <c r="F6647" i="11"/>
  <c r="C6647" i="11"/>
  <c r="F4930" i="11"/>
  <c r="C4930" i="11"/>
  <c r="F6646" i="11"/>
  <c r="C6646" i="11"/>
  <c r="F4929" i="11"/>
  <c r="C4929" i="11"/>
  <c r="F7450" i="11"/>
  <c r="C7450" i="11"/>
  <c r="F4928" i="11"/>
  <c r="C4928" i="11"/>
  <c r="F6477" i="11"/>
  <c r="C6477" i="11"/>
  <c r="F4927" i="11"/>
  <c r="C4927" i="11"/>
  <c r="F6476" i="11"/>
  <c r="C6476" i="11"/>
  <c r="F4926" i="11"/>
  <c r="C4926" i="11"/>
  <c r="F7377" i="11"/>
  <c r="C7377" i="11"/>
  <c r="F4925" i="11"/>
  <c r="C4925" i="11"/>
  <c r="F7376" i="11"/>
  <c r="C7376" i="11"/>
  <c r="F4924" i="11"/>
  <c r="C4924" i="11"/>
  <c r="F7375" i="11"/>
  <c r="C7375" i="11"/>
  <c r="F4923" i="11"/>
  <c r="C4923" i="11"/>
  <c r="F7374" i="11"/>
  <c r="C7374" i="11"/>
  <c r="F4922" i="11"/>
  <c r="C4922" i="11"/>
  <c r="F7373" i="11"/>
  <c r="C7373" i="11"/>
  <c r="F4921" i="11"/>
  <c r="C4921" i="11"/>
  <c r="F6645" i="11"/>
  <c r="C6645" i="11"/>
  <c r="F4920" i="11"/>
  <c r="C4920" i="11"/>
  <c r="F6644" i="11"/>
  <c r="C6644" i="11"/>
  <c r="F4919" i="11"/>
  <c r="C4919" i="11"/>
  <c r="F7449" i="11"/>
  <c r="C7449" i="11"/>
  <c r="F4918" i="11"/>
  <c r="C4918" i="11"/>
  <c r="F7372" i="11"/>
  <c r="C7372" i="11"/>
  <c r="F4917" i="11"/>
  <c r="C4917" i="11"/>
  <c r="F7371" i="11"/>
  <c r="C7371" i="11"/>
  <c r="F4916" i="11"/>
  <c r="C4916" i="11"/>
  <c r="F7370" i="11"/>
  <c r="C7370" i="11"/>
  <c r="F4915" i="11"/>
  <c r="C4915" i="11"/>
  <c r="F7369" i="11"/>
  <c r="C7369" i="11"/>
  <c r="F4914" i="11"/>
  <c r="C4914" i="11"/>
  <c r="F7368" i="11"/>
  <c r="C7368" i="11"/>
  <c r="F4913" i="11"/>
  <c r="C4913" i="11"/>
  <c r="F6765" i="11"/>
  <c r="C6765" i="11"/>
  <c r="F4912" i="11"/>
  <c r="C4912" i="11"/>
  <c r="F6643" i="11"/>
  <c r="C6643" i="11"/>
  <c r="F4911" i="11"/>
  <c r="C4911" i="11"/>
  <c r="F7038" i="11"/>
  <c r="C7038" i="11"/>
  <c r="F5200" i="11"/>
  <c r="C5200" i="11"/>
  <c r="F6764" i="11"/>
  <c r="C6764" i="11"/>
  <c r="F5199" i="11"/>
  <c r="C5199" i="11"/>
  <c r="F6642" i="11"/>
  <c r="C6642" i="11"/>
  <c r="F5362" i="11"/>
  <c r="C5362" i="11"/>
  <c r="F5198" i="11"/>
  <c r="C5198" i="11"/>
  <c r="F5221" i="11"/>
  <c r="C5221" i="11"/>
  <c r="F5197" i="11"/>
  <c r="C5197" i="11"/>
  <c r="F6641" i="11"/>
  <c r="C6641" i="11"/>
  <c r="F5196" i="11"/>
  <c r="C5196" i="11"/>
  <c r="F7448" i="11"/>
  <c r="C7448" i="11"/>
  <c r="F5195" i="11"/>
  <c r="C5195" i="11"/>
  <c r="F6640" i="11"/>
  <c r="C6640" i="11"/>
  <c r="F5194" i="11"/>
  <c r="C5194" i="11"/>
  <c r="F6639" i="11"/>
  <c r="C6639" i="11"/>
  <c r="F5193" i="11"/>
  <c r="C5193" i="11"/>
  <c r="F6638" i="11"/>
  <c r="C6638" i="11"/>
  <c r="F5192" i="11"/>
  <c r="C5192" i="11"/>
  <c r="F6763" i="11"/>
  <c r="C6763" i="11"/>
  <c r="F5191" i="11"/>
  <c r="C5191" i="11"/>
  <c r="F6762" i="11"/>
  <c r="C6762" i="11"/>
  <c r="F5190" i="11"/>
  <c r="C5190" i="11"/>
  <c r="F6761" i="11"/>
  <c r="C6761" i="11"/>
  <c r="F5189" i="11"/>
  <c r="C5189" i="11"/>
  <c r="F6760" i="11"/>
  <c r="C6760" i="11"/>
  <c r="F5188" i="11"/>
  <c r="C5188" i="11"/>
  <c r="F6759" i="11"/>
  <c r="C6759" i="11"/>
  <c r="F5187" i="11"/>
  <c r="C5187" i="11"/>
  <c r="F7367" i="11"/>
  <c r="C7367" i="11"/>
  <c r="F6637" i="11"/>
  <c r="C6637" i="11"/>
  <c r="F5186" i="11"/>
  <c r="C5186" i="11"/>
  <c r="F7366" i="11"/>
  <c r="C7366" i="11"/>
  <c r="F6636" i="11"/>
  <c r="C6636" i="11"/>
  <c r="F5185" i="11"/>
  <c r="C5185" i="11"/>
  <c r="F7365" i="11"/>
  <c r="C7365" i="11"/>
  <c r="F6635" i="11"/>
  <c r="C6635" i="11"/>
  <c r="F5184" i="11"/>
  <c r="C5184" i="11"/>
  <c r="F6634" i="11"/>
  <c r="C6634" i="11"/>
  <c r="F5361" i="11"/>
  <c r="C5361" i="11"/>
  <c r="F5183" i="11"/>
  <c r="C5183" i="11"/>
  <c r="F5220" i="11"/>
  <c r="C5220" i="11"/>
  <c r="F5182" i="11"/>
  <c r="C5182" i="11"/>
  <c r="F6758" i="11"/>
  <c r="C6758" i="11"/>
  <c r="F5181" i="11"/>
  <c r="C5181" i="11"/>
  <c r="F7432" i="11"/>
  <c r="C7432" i="11"/>
  <c r="F5180" i="11"/>
  <c r="C5180" i="11"/>
  <c r="F7364" i="11"/>
  <c r="C7364" i="11"/>
  <c r="F6633" i="11"/>
  <c r="C6633" i="11"/>
  <c r="F5179" i="11"/>
  <c r="C5179" i="11"/>
  <c r="F7496" i="11"/>
  <c r="C7496" i="11"/>
  <c r="F6632" i="11"/>
  <c r="C6632" i="11"/>
  <c r="F5178" i="11"/>
  <c r="C5178" i="11"/>
  <c r="F7363" i="11"/>
  <c r="C7363" i="11"/>
  <c r="F6631" i="11"/>
  <c r="C6631" i="11"/>
  <c r="F5177" i="11"/>
  <c r="C5177" i="11"/>
  <c r="F7362" i="11"/>
  <c r="C7362" i="11"/>
  <c r="F6630" i="11"/>
  <c r="C6630" i="11"/>
  <c r="F5176" i="11"/>
  <c r="C5176" i="11"/>
  <c r="F7361" i="11"/>
  <c r="C7361" i="11"/>
  <c r="F6629" i="11"/>
  <c r="C6629" i="11"/>
  <c r="F5175" i="11"/>
  <c r="C5175" i="11"/>
  <c r="F7360" i="11"/>
  <c r="C7360" i="11"/>
  <c r="F6628" i="11"/>
  <c r="C6628" i="11"/>
  <c r="F5174" i="11"/>
  <c r="C5174" i="11"/>
  <c r="F7359" i="11"/>
  <c r="C7359" i="11"/>
  <c r="F6627" i="11"/>
  <c r="C6627" i="11"/>
  <c r="F5173" i="11"/>
  <c r="C5173" i="11"/>
  <c r="F7358" i="11"/>
  <c r="C7358" i="11"/>
  <c r="F6626" i="11"/>
  <c r="C6626" i="11"/>
  <c r="F5172" i="11"/>
  <c r="C5172" i="11"/>
  <c r="F7357" i="11"/>
  <c r="C7357" i="11"/>
  <c r="F6625" i="11"/>
  <c r="C6625" i="11"/>
  <c r="F5360" i="11"/>
  <c r="C5360" i="11"/>
  <c r="F5171" i="11"/>
  <c r="C5171" i="11"/>
  <c r="F7356" i="11"/>
  <c r="C7356" i="11"/>
  <c r="F7355" i="11"/>
  <c r="C7355" i="11"/>
  <c r="F6624" i="11"/>
  <c r="C6624" i="11"/>
  <c r="F5170" i="11"/>
  <c r="C5170" i="11"/>
  <c r="F7354" i="11"/>
  <c r="C7354" i="11"/>
  <c r="F6623" i="11"/>
  <c r="C6623" i="11"/>
  <c r="F5169" i="11"/>
  <c r="C5169" i="11"/>
  <c r="F7353" i="11"/>
  <c r="C7353" i="11"/>
  <c r="F6622" i="11"/>
  <c r="C6622" i="11"/>
  <c r="F5168" i="11"/>
  <c r="C5168" i="11"/>
  <c r="F7447" i="11"/>
  <c r="C7447" i="11"/>
  <c r="F5167" i="11"/>
  <c r="C5167" i="11"/>
  <c r="F6757" i="11"/>
  <c r="C6757" i="11"/>
  <c r="F5166" i="11"/>
  <c r="C5166" i="11"/>
  <c r="F6756" i="11"/>
  <c r="C6756" i="11"/>
  <c r="F5165" i="11"/>
  <c r="C5165" i="11"/>
  <c r="F6621" i="11"/>
  <c r="C6621" i="11"/>
  <c r="F5359" i="11"/>
  <c r="C5359" i="11"/>
  <c r="F5164" i="11"/>
  <c r="C5164" i="11"/>
  <c r="F7352" i="11"/>
  <c r="C7352" i="11"/>
  <c r="F6620" i="11"/>
  <c r="C6620" i="11"/>
  <c r="F5163" i="11"/>
  <c r="C5163" i="11"/>
  <c r="F7351" i="11"/>
  <c r="C7351" i="11"/>
  <c r="F6619" i="11"/>
  <c r="C6619" i="11"/>
  <c r="F5162" i="11"/>
  <c r="C5162" i="11"/>
  <c r="F6618" i="11"/>
  <c r="C6618" i="11"/>
  <c r="F5161" i="11"/>
  <c r="C5161" i="11"/>
  <c r="F6617" i="11"/>
  <c r="C6617" i="11"/>
  <c r="F5160" i="11"/>
  <c r="C5160" i="11"/>
  <c r="F6616" i="11"/>
  <c r="C6616" i="11"/>
  <c r="F5159" i="11"/>
  <c r="C5159" i="11"/>
  <c r="F6615" i="11"/>
  <c r="C6615" i="11"/>
  <c r="F5158" i="11"/>
  <c r="C5158" i="11"/>
  <c r="F6614" i="11"/>
  <c r="C6614" i="11"/>
  <c r="F5157" i="11"/>
  <c r="C5157" i="11"/>
  <c r="F6613" i="11"/>
  <c r="C6613" i="11"/>
  <c r="F5156" i="11"/>
  <c r="C5156" i="11"/>
  <c r="F7350" i="11"/>
  <c r="C7350" i="11"/>
  <c r="F6612" i="11"/>
  <c r="C6612" i="11"/>
  <c r="F5155" i="11"/>
  <c r="C5155" i="11"/>
  <c r="F7349" i="11"/>
  <c r="C7349" i="11"/>
  <c r="F6611" i="11"/>
  <c r="C6611" i="11"/>
  <c r="F5154" i="11"/>
  <c r="C5154" i="11"/>
  <c r="F6610" i="11"/>
  <c r="C6610" i="11"/>
  <c r="F5358" i="11"/>
  <c r="C5358" i="11"/>
  <c r="F5153" i="11"/>
  <c r="C5153" i="11"/>
  <c r="F6609" i="11"/>
  <c r="C6609" i="11"/>
  <c r="F5152" i="11"/>
  <c r="C5152" i="11"/>
  <c r="F7348" i="11"/>
  <c r="C7348" i="11"/>
  <c r="F6608" i="11"/>
  <c r="C6608" i="11"/>
  <c r="F5151" i="11"/>
  <c r="C5151" i="11"/>
  <c r="F5219" i="11"/>
  <c r="C5219" i="11"/>
  <c r="F5150" i="11"/>
  <c r="C5150" i="11"/>
  <c r="F6607" i="11"/>
  <c r="C6607" i="11"/>
  <c r="F5357" i="11"/>
  <c r="C5357" i="11"/>
  <c r="F5149" i="11"/>
  <c r="C5149" i="11"/>
  <c r="F7347" i="11"/>
  <c r="C7347" i="11"/>
  <c r="F6606" i="11"/>
  <c r="C6606" i="11"/>
  <c r="F5148" i="11"/>
  <c r="C5148" i="11"/>
  <c r="F6755" i="11"/>
  <c r="C6755" i="11"/>
  <c r="F5147" i="11"/>
  <c r="C5147" i="11"/>
  <c r="F7446" i="11"/>
  <c r="C7446" i="11"/>
  <c r="F5146" i="11"/>
  <c r="C5146" i="11"/>
  <c r="F6605" i="11"/>
  <c r="C6605" i="11"/>
  <c r="F5145" i="11"/>
  <c r="C5145" i="11"/>
  <c r="F6604" i="11"/>
  <c r="C6604" i="11"/>
  <c r="F5356" i="11"/>
  <c r="C5356" i="11"/>
  <c r="F5144" i="11"/>
  <c r="C5144" i="11"/>
  <c r="F7346" i="11"/>
  <c r="C7346" i="11"/>
  <c r="F6603" i="11"/>
  <c r="C6603" i="11"/>
  <c r="F5143" i="11"/>
  <c r="C5143" i="11"/>
  <c r="F6602" i="11"/>
  <c r="C6602" i="11"/>
  <c r="F5355" i="11"/>
  <c r="C5355" i="11"/>
  <c r="F5142" i="11"/>
  <c r="C5142" i="11"/>
  <c r="F7037" i="11"/>
  <c r="C7037" i="11"/>
  <c r="F5141" i="11"/>
  <c r="C5141" i="11"/>
  <c r="F7445" i="11"/>
  <c r="C7445" i="11"/>
  <c r="F5140" i="11"/>
  <c r="C5140" i="11"/>
  <c r="F5218" i="11"/>
  <c r="C5218" i="11"/>
  <c r="F5139" i="11"/>
  <c r="C5139" i="11"/>
  <c r="F7345" i="11"/>
  <c r="C7345" i="11"/>
  <c r="F6601" i="11"/>
  <c r="C6601" i="11"/>
  <c r="F5138" i="11"/>
  <c r="C5138" i="11"/>
  <c r="F6600" i="11"/>
  <c r="C6600" i="11"/>
  <c r="F5137" i="11"/>
  <c r="C5137" i="11"/>
  <c r="F6599" i="11"/>
  <c r="C6599" i="11"/>
  <c r="F5136" i="11"/>
  <c r="C5136" i="11"/>
  <c r="F7344" i="11"/>
  <c r="C7344" i="11"/>
  <c r="F6598" i="11"/>
  <c r="C6598" i="11"/>
  <c r="F5135" i="11"/>
  <c r="C5135" i="11"/>
  <c r="F6597" i="11"/>
  <c r="C6597" i="11"/>
  <c r="F5134" i="11"/>
  <c r="C5134" i="11"/>
  <c r="F7343" i="11"/>
  <c r="C7343" i="11"/>
  <c r="F6596" i="11"/>
  <c r="C6596" i="11"/>
  <c r="F5133" i="11"/>
  <c r="C5133" i="11"/>
  <c r="F7342" i="11"/>
  <c r="C7342" i="11"/>
  <c r="F6595" i="11"/>
  <c r="C6595" i="11"/>
  <c r="F5132" i="11"/>
  <c r="C5132" i="11"/>
  <c r="F6500" i="11"/>
  <c r="C6500" i="11"/>
  <c r="F5131" i="11"/>
  <c r="C5131" i="11"/>
  <c r="F7036" i="11"/>
  <c r="C7036" i="11"/>
  <c r="F5130" i="11"/>
  <c r="C5130" i="11"/>
  <c r="F6754" i="11"/>
  <c r="C6754" i="11"/>
  <c r="F5129" i="11"/>
  <c r="C5129" i="11"/>
  <c r="F6594" i="11"/>
  <c r="C6594" i="11"/>
  <c r="F5128" i="11"/>
  <c r="C5128" i="11"/>
  <c r="F7003" i="11"/>
  <c r="C7003" i="11"/>
  <c r="F5127" i="11"/>
  <c r="C5127" i="11"/>
  <c r="F7341" i="11"/>
  <c r="C7341" i="11"/>
  <c r="F6593" i="11"/>
  <c r="C6593" i="11"/>
  <c r="F5126" i="11"/>
  <c r="C5126" i="11"/>
  <c r="F7340" i="11"/>
  <c r="C7340" i="11"/>
  <c r="F6592" i="11"/>
  <c r="C6592" i="11"/>
  <c r="F5125" i="11"/>
  <c r="C5125" i="11"/>
  <c r="F6495" i="11"/>
  <c r="C6495" i="11"/>
  <c r="F5124" i="11"/>
  <c r="C5124" i="11"/>
  <c r="F6753" i="11"/>
  <c r="C6753" i="11"/>
  <c r="F5123" i="11"/>
  <c r="C5123" i="11"/>
  <c r="F6752" i="11"/>
  <c r="C6752" i="11"/>
  <c r="F5122" i="11"/>
  <c r="C5122" i="11"/>
  <c r="F6751" i="11"/>
  <c r="C6751" i="11"/>
  <c r="F5121" i="11"/>
  <c r="C5121" i="11"/>
  <c r="F6591" i="11"/>
  <c r="C6591" i="11"/>
  <c r="F5354" i="11"/>
  <c r="C5354" i="11"/>
  <c r="F5120" i="11"/>
  <c r="C5120" i="11"/>
  <c r="F6590" i="11"/>
  <c r="C6590" i="11"/>
  <c r="F5353" i="11"/>
  <c r="C5353" i="11"/>
  <c r="F5119" i="11"/>
  <c r="C5119" i="11"/>
  <c r="F6589" i="11"/>
  <c r="C6589" i="11"/>
  <c r="F5118" i="11"/>
  <c r="C5118" i="11"/>
  <c r="F6588" i="11"/>
  <c r="C6588" i="11"/>
  <c r="F5117" i="11"/>
  <c r="C5117" i="11"/>
  <c r="F6587" i="11"/>
  <c r="C6587" i="11"/>
  <c r="F5116" i="11"/>
  <c r="C5116" i="11"/>
  <c r="F6586" i="11"/>
  <c r="C6586" i="11"/>
  <c r="F5115" i="11"/>
  <c r="C5115" i="11"/>
  <c r="F6585" i="11"/>
  <c r="C6585" i="11"/>
  <c r="F5114" i="11"/>
  <c r="C5114" i="11"/>
  <c r="F6584" i="11"/>
  <c r="C6584" i="11"/>
  <c r="F5113" i="11"/>
  <c r="C5113" i="11"/>
  <c r="F7444" i="11"/>
  <c r="C7444" i="11"/>
  <c r="F5112" i="11"/>
  <c r="C5112" i="11"/>
  <c r="F7339" i="11"/>
  <c r="C7339" i="11"/>
  <c r="F6583" i="11"/>
  <c r="C6583" i="11"/>
  <c r="F5111" i="11"/>
  <c r="C5111" i="11"/>
  <c r="F7338" i="11"/>
  <c r="C7338" i="11"/>
  <c r="F6582" i="11"/>
  <c r="C6582" i="11"/>
  <c r="F5110" i="11"/>
  <c r="C5110" i="11"/>
  <c r="F6581" i="11"/>
  <c r="C6581" i="11"/>
  <c r="F5109" i="11"/>
  <c r="C5109" i="11"/>
  <c r="F6580" i="11"/>
  <c r="C6580" i="11"/>
  <c r="F5108" i="11"/>
  <c r="C5108" i="11"/>
  <c r="F7337" i="11"/>
  <c r="C7337" i="11"/>
  <c r="F6579" i="11"/>
  <c r="C6579" i="11"/>
  <c r="F5107" i="11"/>
  <c r="C5107" i="11"/>
  <c r="F7336" i="11"/>
  <c r="C7336" i="11"/>
  <c r="F6578" i="11"/>
  <c r="C6578" i="11"/>
  <c r="F5106" i="11"/>
  <c r="C5106" i="11"/>
  <c r="F7335" i="11"/>
  <c r="C7335" i="11"/>
  <c r="F6577" i="11"/>
  <c r="C6577" i="11"/>
  <c r="F5105" i="11"/>
  <c r="C5105" i="11"/>
  <c r="F7334" i="11"/>
  <c r="C7334" i="11"/>
  <c r="F6576" i="11"/>
  <c r="C6576" i="11"/>
  <c r="F5104" i="11"/>
  <c r="C5104" i="11"/>
  <c r="F7333" i="11"/>
  <c r="C7333" i="11"/>
  <c r="F6575" i="11"/>
  <c r="C6575" i="11"/>
  <c r="F5103" i="11"/>
  <c r="C5103" i="11"/>
  <c r="F7332" i="11"/>
  <c r="C7332" i="11"/>
  <c r="F6574" i="11"/>
  <c r="C6574" i="11"/>
  <c r="F5102" i="11"/>
  <c r="C5102" i="11"/>
  <c r="F7331" i="11"/>
  <c r="C7331" i="11"/>
  <c r="F6573" i="11"/>
  <c r="C6573" i="11"/>
  <c r="F5101" i="11"/>
  <c r="C5101" i="11"/>
  <c r="F6572" i="11"/>
  <c r="C6572" i="11"/>
  <c r="F5100" i="11"/>
  <c r="C5100" i="11"/>
  <c r="F7330" i="11"/>
  <c r="C7330" i="11"/>
  <c r="F6571" i="11"/>
  <c r="C6571" i="11"/>
  <c r="F5099" i="11"/>
  <c r="C5099" i="11"/>
  <c r="F6570" i="11"/>
  <c r="C6570" i="11"/>
  <c r="F5098" i="11"/>
  <c r="C5098" i="11"/>
  <c r="F6569" i="11"/>
  <c r="C6569" i="11"/>
  <c r="F5097" i="11"/>
  <c r="C5097" i="11"/>
  <c r="F7443" i="11"/>
  <c r="C7443" i="11"/>
  <c r="F5096" i="11"/>
  <c r="C5096" i="11"/>
  <c r="F7495" i="11"/>
  <c r="C7495" i="11"/>
  <c r="F5095" i="11"/>
  <c r="C5095" i="11"/>
  <c r="F6568" i="11"/>
  <c r="C6568" i="11"/>
  <c r="F5094" i="11"/>
  <c r="C5094" i="11"/>
  <c r="F7329" i="11"/>
  <c r="C7329" i="11"/>
  <c r="F6567" i="11"/>
  <c r="C6567" i="11"/>
  <c r="F5093" i="11"/>
  <c r="C5093" i="11"/>
  <c r="F7328" i="11"/>
  <c r="C7328" i="11"/>
  <c r="F6566" i="11"/>
  <c r="C6566" i="11"/>
  <c r="F5092" i="11"/>
  <c r="C5092" i="11"/>
  <c r="F7327" i="11"/>
  <c r="C7327" i="11"/>
  <c r="F6565" i="11"/>
  <c r="C6565" i="11"/>
  <c r="F5091" i="11"/>
  <c r="C5091" i="11"/>
  <c r="F7326" i="11"/>
  <c r="C7326" i="11"/>
  <c r="F6564" i="11"/>
  <c r="C6564" i="11"/>
  <c r="F5090" i="11"/>
  <c r="C5090" i="11"/>
  <c r="F6460" i="11"/>
  <c r="C6460" i="11"/>
  <c r="F5089" i="11"/>
  <c r="C5089" i="11"/>
  <c r="F6750" i="11"/>
  <c r="C6750" i="11"/>
  <c r="F5088" i="11"/>
  <c r="C5088" i="11"/>
  <c r="F7325" i="11"/>
  <c r="C7325" i="11"/>
  <c r="F6563" i="11"/>
  <c r="C6563" i="11"/>
  <c r="F5087" i="11"/>
  <c r="C5087" i="11"/>
  <c r="F6562" i="11"/>
  <c r="C6562" i="11"/>
  <c r="F5086" i="11"/>
  <c r="C5086" i="11"/>
  <c r="F7324" i="11"/>
  <c r="C7324" i="11"/>
  <c r="F6561" i="11"/>
  <c r="C6561" i="11"/>
  <c r="F5085" i="11"/>
  <c r="C5085" i="11"/>
  <c r="F6475" i="11"/>
  <c r="C6475" i="11"/>
  <c r="F5084" i="11"/>
  <c r="C5084" i="11"/>
  <c r="F7494" i="11"/>
  <c r="C7494" i="11"/>
  <c r="F5083" i="11"/>
  <c r="C5083" i="11"/>
  <c r="F7323" i="11"/>
  <c r="C7323" i="11"/>
  <c r="F6560" i="11"/>
  <c r="C6560" i="11"/>
  <c r="F5082" i="11"/>
  <c r="C5082" i="11"/>
  <c r="F6749" i="11"/>
  <c r="C6749" i="11"/>
  <c r="F5081" i="11"/>
  <c r="C5081" i="11"/>
  <c r="F6559" i="11"/>
  <c r="C6559" i="11"/>
  <c r="F5080" i="11"/>
  <c r="C5080" i="11"/>
  <c r="F7442" i="11"/>
  <c r="C7442" i="11"/>
  <c r="F5079" i="11"/>
  <c r="C5079" i="11"/>
  <c r="F6748" i="11"/>
  <c r="C6748" i="11"/>
  <c r="F5078" i="11"/>
  <c r="C5078" i="11"/>
  <c r="F5217" i="11"/>
  <c r="C5217" i="11"/>
  <c r="F5077" i="11"/>
  <c r="C5077" i="11"/>
  <c r="F6558" i="11"/>
  <c r="C6558" i="11"/>
  <c r="F5076" i="11"/>
  <c r="C5076" i="11"/>
  <c r="F7322" i="11"/>
  <c r="C7322" i="11"/>
  <c r="F6557" i="11"/>
  <c r="C6557" i="11"/>
  <c r="F5075" i="11"/>
  <c r="C5075" i="11"/>
  <c r="F6556" i="11"/>
  <c r="C6556" i="11"/>
  <c r="F5074" i="11"/>
  <c r="C5074" i="11"/>
  <c r="F6555" i="11"/>
  <c r="C6555" i="11"/>
  <c r="F5073" i="11"/>
  <c r="C5073" i="11"/>
  <c r="F6554" i="11"/>
  <c r="C6554" i="11"/>
  <c r="F5072" i="11"/>
  <c r="C5072" i="11"/>
  <c r="F6553" i="11"/>
  <c r="C6553" i="11"/>
  <c r="F5071" i="11"/>
  <c r="C5071" i="11"/>
  <c r="F7441" i="11"/>
  <c r="C7441" i="11"/>
  <c r="F5070" i="11"/>
  <c r="C5070" i="11"/>
  <c r="F7321" i="11"/>
  <c r="C7321" i="11"/>
  <c r="F6552" i="11"/>
  <c r="C6552" i="11"/>
  <c r="F5069" i="11"/>
  <c r="C5069" i="11"/>
  <c r="F7320" i="11"/>
  <c r="C7320" i="11"/>
  <c r="F6551" i="11"/>
  <c r="C6551" i="11"/>
  <c r="F5068" i="11"/>
  <c r="C5068" i="11"/>
  <c r="F7319" i="11"/>
  <c r="C7319" i="11"/>
  <c r="F6550" i="11"/>
  <c r="C6550" i="11"/>
  <c r="F5067" i="11"/>
  <c r="C5067" i="11"/>
  <c r="F7318" i="11"/>
  <c r="C7318" i="11"/>
  <c r="F6549" i="11"/>
  <c r="C6549" i="11"/>
  <c r="F5066" i="11"/>
  <c r="C5066" i="11"/>
  <c r="F6459" i="11"/>
  <c r="C6459" i="11"/>
  <c r="F5065" i="11"/>
  <c r="C5065" i="11"/>
  <c r="F7035" i="11"/>
  <c r="C7035" i="11"/>
  <c r="F5064" i="11"/>
  <c r="C5064" i="11"/>
  <c r="F7317" i="11"/>
  <c r="C7317" i="11"/>
  <c r="F6548" i="11"/>
  <c r="C6548" i="11"/>
  <c r="F5063" i="11"/>
  <c r="C5063" i="11"/>
  <c r="F6547" i="11"/>
  <c r="C6547" i="11"/>
  <c r="F5062" i="11"/>
  <c r="C5062" i="11"/>
  <c r="F7316" i="11"/>
  <c r="C7316" i="11"/>
  <c r="F6546" i="11"/>
  <c r="C6546" i="11"/>
  <c r="F5061" i="11"/>
  <c r="C5061" i="11"/>
  <c r="F7315" i="11"/>
  <c r="C7315" i="11"/>
  <c r="F6545" i="11"/>
  <c r="C6545" i="11"/>
  <c r="F5060" i="11"/>
  <c r="C5060" i="11"/>
  <c r="F6544" i="11"/>
  <c r="C6544" i="11"/>
  <c r="F5059" i="11"/>
  <c r="C5059" i="11"/>
  <c r="F6543" i="11"/>
  <c r="C6543" i="11"/>
  <c r="F5058" i="11"/>
  <c r="C5058" i="11"/>
  <c r="F6485" i="11"/>
  <c r="C6485" i="11"/>
  <c r="F5057" i="11"/>
  <c r="C5057" i="11"/>
  <c r="F5352" i="11"/>
  <c r="C5352" i="11"/>
  <c r="F5056" i="11"/>
  <c r="C5056" i="11"/>
  <c r="F6474" i="11"/>
  <c r="C6474" i="11"/>
  <c r="F4909" i="11"/>
  <c r="C4909" i="11"/>
  <c r="F7251" i="11"/>
  <c r="C7251" i="11"/>
  <c r="F4573" i="11"/>
  <c r="C4573" i="11"/>
  <c r="F7250" i="11"/>
  <c r="C7250" i="11"/>
  <c r="F4572" i="11"/>
  <c r="C4572" i="11"/>
  <c r="F7249" i="11"/>
  <c r="C7249" i="11"/>
  <c r="F4571" i="11"/>
  <c r="C4571" i="11"/>
  <c r="F7248" i="11"/>
  <c r="C7248" i="11"/>
  <c r="F4570" i="11"/>
  <c r="C4570" i="11"/>
  <c r="F4569" i="11"/>
  <c r="C4569" i="11"/>
  <c r="F4279" i="11"/>
  <c r="C4279" i="11"/>
  <c r="F4568" i="11"/>
  <c r="C4568" i="11"/>
  <c r="F4278" i="11"/>
  <c r="C4278" i="11"/>
  <c r="F4567" i="11"/>
  <c r="C4567" i="11"/>
  <c r="F88" i="11"/>
  <c r="C88" i="11"/>
  <c r="F7660" i="11"/>
  <c r="C7660" i="11"/>
  <c r="F4566" i="11"/>
  <c r="C4566" i="11"/>
  <c r="F3710" i="11"/>
  <c r="C3710" i="11"/>
  <c r="F10" i="11"/>
  <c r="C10" i="11"/>
  <c r="F4565" i="11"/>
  <c r="C4565" i="11"/>
  <c r="F3893" i="11"/>
  <c r="C3893" i="11"/>
  <c r="F4564" i="11"/>
  <c r="C4564" i="11"/>
  <c r="G2375" i="11"/>
  <c r="F2375" i="11"/>
  <c r="C2375" i="11"/>
  <c r="F4563" i="11"/>
  <c r="C4563" i="11"/>
  <c r="G2374" i="11"/>
  <c r="F2374" i="11"/>
  <c r="C2374" i="11"/>
  <c r="F4562" i="11"/>
  <c r="C4562" i="11"/>
  <c r="G2373" i="11"/>
  <c r="F2373" i="11"/>
  <c r="C2373" i="11"/>
  <c r="F7247" i="11"/>
  <c r="C7247" i="11"/>
  <c r="F4561" i="11"/>
  <c r="C4561" i="11"/>
  <c r="F7246" i="11"/>
  <c r="C7246" i="11"/>
  <c r="F4560" i="11"/>
  <c r="C4560" i="11"/>
  <c r="F5216" i="11"/>
  <c r="C5216" i="11"/>
  <c r="F4559" i="11"/>
  <c r="C4559" i="11"/>
  <c r="F7245" i="11"/>
  <c r="C7245" i="11"/>
  <c r="F4558" i="11"/>
  <c r="C4558" i="11"/>
  <c r="F7244" i="11"/>
  <c r="C7244" i="11"/>
  <c r="F4557" i="11"/>
  <c r="C4557" i="11"/>
  <c r="F7243" i="11"/>
  <c r="C7243" i="11"/>
  <c r="F4556" i="11"/>
  <c r="C4556" i="11"/>
  <c r="F4555" i="11"/>
  <c r="C4555" i="11"/>
  <c r="G2497" i="11"/>
  <c r="F2497" i="11"/>
  <c r="C2497" i="11"/>
  <c r="F7242" i="11"/>
  <c r="C7242" i="11"/>
  <c r="F4554" i="11"/>
  <c r="C4554" i="11"/>
  <c r="F4553" i="11"/>
  <c r="C4553" i="11"/>
  <c r="F2372" i="11"/>
  <c r="C2372" i="11"/>
  <c r="F4552" i="11"/>
  <c r="C4552" i="11"/>
  <c r="F3823" i="11"/>
  <c r="C3823" i="11"/>
  <c r="F4551" i="11"/>
  <c r="C4551" i="11"/>
  <c r="G2371" i="11"/>
  <c r="F2371" i="11"/>
  <c r="C2371" i="11"/>
  <c r="F4550" i="11"/>
  <c r="C4550" i="11"/>
  <c r="F3822" i="11"/>
  <c r="C3822" i="11"/>
  <c r="F4549" i="11"/>
  <c r="C4549" i="11"/>
  <c r="F4238" i="11"/>
  <c r="C4238" i="11"/>
  <c r="F4548" i="11"/>
  <c r="C4548" i="11"/>
  <c r="F4237" i="11"/>
  <c r="C4237" i="11"/>
  <c r="F4547" i="11"/>
  <c r="C4547" i="11"/>
  <c r="F3737" i="11"/>
  <c r="C3737" i="11"/>
  <c r="G2431" i="11"/>
  <c r="F2431" i="11"/>
  <c r="C2431" i="11"/>
  <c r="F4546" i="11"/>
  <c r="C4546" i="11"/>
  <c r="G2370" i="11"/>
  <c r="F2370" i="11"/>
  <c r="C2370" i="11"/>
  <c r="F4545" i="11"/>
  <c r="C4545" i="11"/>
  <c r="G2369" i="11"/>
  <c r="F2369" i="11"/>
  <c r="C2369" i="11"/>
  <c r="F4544" i="11"/>
  <c r="C4544" i="11"/>
  <c r="G2430" i="11"/>
  <c r="F2430" i="11"/>
  <c r="C2430" i="11"/>
  <c r="F4543" i="11"/>
  <c r="C4543" i="11"/>
  <c r="G2368" i="11"/>
  <c r="F2368" i="11"/>
  <c r="C2368" i="11"/>
  <c r="F4542" i="11"/>
  <c r="C4542" i="11"/>
  <c r="F2367" i="11"/>
  <c r="C2367" i="11"/>
  <c r="F4541" i="11"/>
  <c r="C4541" i="11"/>
  <c r="G2366" i="11"/>
  <c r="F2366" i="11"/>
  <c r="C2366" i="11"/>
  <c r="F4540" i="11"/>
  <c r="C4540" i="11"/>
  <c r="F4277" i="11"/>
  <c r="C4277" i="11"/>
  <c r="F4539" i="11"/>
  <c r="C4539" i="11"/>
  <c r="F3031" i="11"/>
  <c r="C3031" i="11"/>
  <c r="F4538" i="11"/>
  <c r="C4538" i="11"/>
  <c r="G2365" i="11"/>
  <c r="F2365" i="11"/>
  <c r="C2365" i="11"/>
  <c r="F4537" i="11"/>
  <c r="C4537" i="11"/>
  <c r="F4236" i="11"/>
  <c r="C4236" i="11"/>
  <c r="F4535" i="11"/>
  <c r="C4535" i="11"/>
  <c r="F3709" i="11"/>
  <c r="C3709" i="11"/>
  <c r="F7241" i="11"/>
  <c r="C7241" i="11"/>
  <c r="F7240" i="11"/>
  <c r="C7240" i="11"/>
  <c r="F4534" i="11"/>
  <c r="C4534" i="11"/>
  <c r="F3708" i="11"/>
  <c r="C3708" i="11"/>
  <c r="F5215" i="11"/>
  <c r="C5215" i="11"/>
  <c r="F4533" i="11"/>
  <c r="C4533" i="11"/>
  <c r="F5214" i="11"/>
  <c r="C5214" i="11"/>
  <c r="F4532" i="11"/>
  <c r="C4532" i="11"/>
  <c r="F5213" i="11"/>
  <c r="C5213" i="11"/>
  <c r="F4531" i="11"/>
  <c r="C4531" i="11"/>
  <c r="F4530" i="11"/>
  <c r="C4530" i="11"/>
  <c r="G2496" i="11"/>
  <c r="F2496" i="11"/>
  <c r="C2496" i="11"/>
  <c r="F4529" i="11"/>
  <c r="C4529" i="11"/>
  <c r="F2364" i="11"/>
  <c r="C2364" i="11"/>
  <c r="F5212" i="11"/>
  <c r="C5212" i="11"/>
  <c r="F4528" i="11"/>
  <c r="C4528" i="11"/>
  <c r="F4527" i="11"/>
  <c r="C4527" i="11"/>
  <c r="F2363" i="11"/>
  <c r="C2363" i="11"/>
  <c r="F4526" i="11"/>
  <c r="C4526" i="11"/>
  <c r="G2362" i="11"/>
  <c r="F2362" i="11"/>
  <c r="C2362" i="11"/>
  <c r="F4525" i="11"/>
  <c r="C4525" i="11"/>
  <c r="G2361" i="11"/>
  <c r="F2361" i="11"/>
  <c r="C2361" i="11"/>
  <c r="F4524" i="11"/>
  <c r="C4524" i="11"/>
  <c r="G2360" i="11"/>
  <c r="F2360" i="11"/>
  <c r="C2360" i="11"/>
  <c r="F7659" i="11"/>
  <c r="C7659" i="11"/>
  <c r="F4523" i="11"/>
  <c r="C4523" i="11"/>
  <c r="F3707" i="11"/>
  <c r="C3707" i="11"/>
  <c r="F8" i="11"/>
  <c r="C8" i="11"/>
  <c r="F4522" i="11"/>
  <c r="C4522" i="11"/>
  <c r="F2359" i="11"/>
  <c r="C2359" i="11"/>
  <c r="F4521" i="11"/>
  <c r="C4521" i="11"/>
  <c r="F3007" i="11"/>
  <c r="C3007" i="11"/>
  <c r="F4520" i="11"/>
  <c r="C4520" i="11"/>
  <c r="F3006" i="11"/>
  <c r="C3006" i="11"/>
  <c r="F4519" i="11"/>
  <c r="C4519" i="11"/>
  <c r="F3005" i="11"/>
  <c r="C3005" i="11"/>
  <c r="F4518" i="11"/>
  <c r="C4518" i="11"/>
  <c r="F3004" i="11"/>
  <c r="C3004" i="11"/>
  <c r="F4517" i="11"/>
  <c r="C4517" i="11"/>
  <c r="F3003" i="11"/>
  <c r="C3003" i="11"/>
  <c r="F4516" i="11"/>
  <c r="C4516" i="11"/>
  <c r="F3002" i="11"/>
  <c r="C3002" i="11"/>
  <c r="F4515" i="11"/>
  <c r="C4515" i="11"/>
  <c r="F3001" i="11"/>
  <c r="C3001" i="11"/>
  <c r="F4514" i="11"/>
  <c r="C4514" i="11"/>
  <c r="F3000" i="11"/>
  <c r="C3000" i="11"/>
  <c r="F4513" i="11"/>
  <c r="C4513" i="11"/>
  <c r="F2999" i="11"/>
  <c r="C2999" i="11"/>
  <c r="F4512" i="11"/>
  <c r="C4512" i="11"/>
  <c r="F2998" i="11"/>
  <c r="C2998" i="11"/>
  <c r="F4511" i="11"/>
  <c r="C4511" i="11"/>
  <c r="F2997" i="11"/>
  <c r="C2997" i="11"/>
  <c r="F4510" i="11"/>
  <c r="C4510" i="11"/>
  <c r="F2996" i="11"/>
  <c r="C2996" i="11"/>
  <c r="F4509" i="11"/>
  <c r="C4509" i="11"/>
  <c r="F2995" i="11"/>
  <c r="C2995" i="11"/>
  <c r="F4508" i="11"/>
  <c r="C4508" i="11"/>
  <c r="F2994" i="11"/>
  <c r="C2994" i="11"/>
  <c r="F4507" i="11"/>
  <c r="C4507" i="11"/>
  <c r="F2993" i="11"/>
  <c r="C2993" i="11"/>
  <c r="F4506" i="11"/>
  <c r="C4506" i="11"/>
  <c r="F2992" i="11"/>
  <c r="C2992" i="11"/>
  <c r="F4505" i="11"/>
  <c r="C4505" i="11"/>
  <c r="F2991" i="11"/>
  <c r="C2991" i="11"/>
  <c r="F4504" i="11"/>
  <c r="C4504" i="11"/>
  <c r="F2990" i="11"/>
  <c r="C2990" i="11"/>
  <c r="F4503" i="11"/>
  <c r="C4503" i="11"/>
  <c r="F2989" i="11"/>
  <c r="C2989" i="11"/>
  <c r="F4502" i="11"/>
  <c r="C4502" i="11"/>
  <c r="F2988" i="11"/>
  <c r="C2988" i="11"/>
  <c r="F4501" i="11"/>
  <c r="C4501" i="11"/>
  <c r="F2987" i="11"/>
  <c r="C2987" i="11"/>
  <c r="F4500" i="11"/>
  <c r="C4500" i="11"/>
  <c r="F2986" i="11"/>
  <c r="C2986" i="11"/>
  <c r="F4499" i="11"/>
  <c r="C4499" i="11"/>
  <c r="F2985" i="11"/>
  <c r="C2985" i="11"/>
  <c r="F4498" i="11"/>
  <c r="C4498" i="11"/>
  <c r="F2984" i="11"/>
  <c r="C2984" i="11"/>
  <c r="F4497" i="11"/>
  <c r="C4497" i="11"/>
  <c r="F2983" i="11"/>
  <c r="C2983" i="11"/>
  <c r="F4496" i="11"/>
  <c r="C4496" i="11"/>
  <c r="F2982" i="11"/>
  <c r="C2982" i="11"/>
  <c r="F4495" i="11"/>
  <c r="C4495" i="11"/>
  <c r="F2981" i="11"/>
  <c r="C2981" i="11"/>
  <c r="F4494" i="11"/>
  <c r="C4494" i="11"/>
  <c r="F2980" i="11"/>
  <c r="C2980" i="11"/>
  <c r="F4493" i="11"/>
  <c r="C4493" i="11"/>
  <c r="F2979" i="11"/>
  <c r="C2979" i="11"/>
  <c r="F4492" i="11"/>
  <c r="C4492" i="11"/>
  <c r="F2358" i="11"/>
  <c r="C2358" i="11"/>
  <c r="F4491" i="11"/>
  <c r="C4491" i="11"/>
  <c r="G2495" i="11"/>
  <c r="F2495" i="11"/>
  <c r="C2495" i="11"/>
  <c r="F4490" i="11"/>
  <c r="C4490" i="11"/>
  <c r="G2759" i="11"/>
  <c r="F2759" i="11"/>
  <c r="C2759" i="11"/>
  <c r="F4489" i="11"/>
  <c r="C4489" i="11"/>
  <c r="G3794" i="11"/>
  <c r="F3794" i="11"/>
  <c r="C3794" i="11"/>
  <c r="F4488" i="11"/>
  <c r="C4488" i="11"/>
  <c r="G2758" i="11"/>
  <c r="F2758" i="11"/>
  <c r="C2758" i="11"/>
  <c r="F4487" i="11"/>
  <c r="C4487" i="11"/>
  <c r="F3881" i="11"/>
  <c r="C3881" i="11"/>
  <c r="F4486" i="11"/>
  <c r="C4486" i="11"/>
  <c r="G2494" i="11"/>
  <c r="F2494" i="11"/>
  <c r="C2494" i="11"/>
  <c r="F4485" i="11"/>
  <c r="C4485" i="11"/>
  <c r="G2357" i="11"/>
  <c r="F2357" i="11"/>
  <c r="C2357" i="11"/>
  <c r="F7658" i="11"/>
  <c r="C7658" i="11"/>
  <c r="F4484" i="11"/>
  <c r="C4484" i="11"/>
  <c r="F3706" i="11"/>
  <c r="C3706" i="11"/>
  <c r="F6" i="11"/>
  <c r="C6" i="11"/>
  <c r="F4483" i="11"/>
  <c r="C4483" i="11"/>
  <c r="G2356" i="11"/>
  <c r="F2356" i="11"/>
  <c r="C2356" i="11"/>
  <c r="F4482" i="11"/>
  <c r="C4482" i="11"/>
  <c r="F2355" i="11"/>
  <c r="C2355" i="11"/>
  <c r="F4481" i="11"/>
  <c r="C4481" i="11"/>
  <c r="F2354" i="11"/>
  <c r="C2354" i="11"/>
  <c r="F4480" i="11"/>
  <c r="C4480" i="11"/>
  <c r="G2353" i="11"/>
  <c r="F2353" i="11"/>
  <c r="C2353" i="11"/>
  <c r="F4479" i="11"/>
  <c r="C4479" i="11"/>
  <c r="G2493" i="11"/>
  <c r="F2493" i="11"/>
  <c r="C2493" i="11"/>
  <c r="F4478" i="11"/>
  <c r="C4478" i="11"/>
  <c r="G2352" i="11"/>
  <c r="F2352" i="11"/>
  <c r="C2352" i="11"/>
  <c r="F4477" i="11"/>
  <c r="C4477" i="11"/>
  <c r="F86" i="11"/>
  <c r="C86" i="11"/>
  <c r="F4476" i="11"/>
  <c r="C4476" i="11"/>
  <c r="G2757" i="11"/>
  <c r="F2757" i="11"/>
  <c r="C2757" i="11"/>
  <c r="F4475" i="11"/>
  <c r="C4475" i="11"/>
  <c r="G2756" i="11"/>
  <c r="F2756" i="11"/>
  <c r="C2756" i="11"/>
  <c r="F4474" i="11"/>
  <c r="C4474" i="11"/>
  <c r="F3024" i="11"/>
  <c r="C3024" i="11"/>
  <c r="F4473" i="11"/>
  <c r="C4473" i="11"/>
  <c r="F3030" i="11"/>
  <c r="C3030" i="11"/>
  <c r="F4472" i="11"/>
  <c r="C4472" i="11"/>
  <c r="F2955" i="11"/>
  <c r="C2955" i="11"/>
  <c r="F4471" i="11"/>
  <c r="C4471" i="11"/>
  <c r="G2492" i="11"/>
  <c r="F2492" i="11"/>
  <c r="C2492" i="11"/>
  <c r="F5211" i="11"/>
  <c r="C5211" i="11"/>
  <c r="F4470" i="11"/>
  <c r="C4470" i="11"/>
  <c r="F4469" i="11"/>
  <c r="C4469" i="11"/>
  <c r="G3793" i="11"/>
  <c r="F3793" i="11"/>
  <c r="C3793" i="11"/>
  <c r="F7561" i="11"/>
  <c r="C7561" i="11"/>
  <c r="F4468" i="11"/>
  <c r="C4468" i="11"/>
  <c r="F3867" i="11"/>
  <c r="C3867" i="11"/>
  <c r="F3736" i="11"/>
  <c r="C3736" i="11"/>
  <c r="G2351" i="11"/>
  <c r="F2351" i="11"/>
  <c r="C2351" i="11"/>
  <c r="F4467" i="11"/>
  <c r="C4467" i="11"/>
  <c r="F2350" i="11"/>
  <c r="C2350" i="11"/>
  <c r="F4466" i="11"/>
  <c r="C4466" i="11"/>
  <c r="G2491" i="11"/>
  <c r="F2491" i="11"/>
  <c r="C2491" i="11"/>
  <c r="F4465" i="11"/>
  <c r="C4465" i="11"/>
  <c r="G2349" i="11"/>
  <c r="F2349" i="11"/>
  <c r="C2349" i="11"/>
  <c r="F7599" i="11"/>
  <c r="C7599" i="11"/>
  <c r="F4464" i="11"/>
  <c r="C4464" i="11"/>
  <c r="F5210" i="11"/>
  <c r="C5210" i="11"/>
  <c r="F4463" i="11"/>
  <c r="C4463" i="11"/>
  <c r="F4462" i="11"/>
  <c r="C4462" i="11"/>
  <c r="G2755" i="11"/>
  <c r="F2755" i="11"/>
  <c r="C2755" i="11"/>
  <c r="F7440" i="11"/>
  <c r="C7440" i="11"/>
  <c r="F4461" i="11"/>
  <c r="C4461" i="11"/>
  <c r="F4460" i="11"/>
  <c r="C4460" i="11"/>
  <c r="F3866" i="11"/>
  <c r="C3866" i="11"/>
  <c r="G2348" i="11"/>
  <c r="F2348" i="11"/>
  <c r="C2348" i="11"/>
  <c r="F4459" i="11"/>
  <c r="C4459" i="11"/>
  <c r="G2347" i="11"/>
  <c r="F2347" i="11"/>
  <c r="C2347" i="11"/>
  <c r="F4458" i="11"/>
  <c r="C4458" i="11"/>
  <c r="G2429" i="11"/>
  <c r="F2429" i="11"/>
  <c r="C2429" i="11"/>
  <c r="G2346" i="11"/>
  <c r="F2346" i="11"/>
  <c r="C2346" i="11"/>
  <c r="F4457" i="11"/>
  <c r="C4457" i="11"/>
  <c r="F2345" i="11"/>
  <c r="C2345" i="11"/>
  <c r="F4456" i="11"/>
  <c r="C4456" i="11"/>
  <c r="F2954" i="11"/>
  <c r="C2954" i="11"/>
  <c r="F4455" i="11"/>
  <c r="C4455" i="11"/>
  <c r="F3748" i="11"/>
  <c r="C3748" i="11"/>
  <c r="F4454" i="11"/>
  <c r="C4454" i="11"/>
  <c r="G2344" i="11"/>
  <c r="F2344" i="11"/>
  <c r="C2344" i="11"/>
  <c r="F7239" i="11"/>
  <c r="C7239" i="11"/>
  <c r="F4452" i="11"/>
  <c r="C4452" i="11"/>
  <c r="F3705" i="11"/>
  <c r="C3705" i="11"/>
  <c r="F7238" i="11"/>
  <c r="C7238" i="11"/>
  <c r="F4451" i="11"/>
  <c r="C4451" i="11"/>
  <c r="F3704" i="11"/>
  <c r="C3704" i="11"/>
  <c r="F7237" i="11"/>
  <c r="C7237" i="11"/>
  <c r="F4450" i="11"/>
  <c r="C4450" i="11"/>
  <c r="F3703" i="11"/>
  <c r="C3703" i="11"/>
  <c r="F7236" i="11"/>
  <c r="C7236" i="11"/>
  <c r="F4449" i="11"/>
  <c r="C4449" i="11"/>
  <c r="F3702" i="11"/>
  <c r="C3702" i="11"/>
  <c r="F4448" i="11"/>
  <c r="C4448" i="11"/>
  <c r="G2343" i="11"/>
  <c r="F2343" i="11"/>
  <c r="C2343" i="11"/>
  <c r="F4447" i="11"/>
  <c r="C4447" i="11"/>
  <c r="G2428" i="11"/>
  <c r="F2428" i="11"/>
  <c r="C2428" i="11"/>
  <c r="F7275" i="11"/>
  <c r="C7275" i="11"/>
  <c r="F4446" i="11"/>
  <c r="C4446" i="11"/>
  <c r="F4445" i="11"/>
  <c r="C4445" i="11"/>
  <c r="G2342" i="11"/>
  <c r="F2342" i="11"/>
  <c r="C2342" i="11"/>
  <c r="F4444" i="11"/>
  <c r="C4444" i="11"/>
  <c r="F3735" i="11"/>
  <c r="C3735" i="11"/>
  <c r="G2341" i="11"/>
  <c r="F2341" i="11"/>
  <c r="C2341" i="11"/>
  <c r="F4443" i="11"/>
  <c r="C4443" i="11"/>
  <c r="F4269" i="11"/>
  <c r="C4269" i="11"/>
  <c r="F4442" i="11"/>
  <c r="C4442" i="11"/>
  <c r="F4268" i="11"/>
  <c r="C4268" i="11"/>
  <c r="F7235" i="11"/>
  <c r="C7235" i="11"/>
  <c r="F4441" i="11"/>
  <c r="C4441" i="11"/>
  <c r="F3701" i="11"/>
  <c r="C3701" i="11"/>
  <c r="F7234" i="11"/>
  <c r="C7234" i="11"/>
  <c r="F4440" i="11"/>
  <c r="C4440" i="11"/>
  <c r="F5209" i="11"/>
  <c r="C5209" i="11"/>
  <c r="F4439" i="11"/>
  <c r="C4439" i="11"/>
  <c r="F4438" i="11"/>
  <c r="C4438" i="11"/>
  <c r="F4267" i="11"/>
  <c r="C4267" i="11"/>
  <c r="F4437" i="11"/>
  <c r="C4437" i="11"/>
  <c r="G2490" i="11"/>
  <c r="F2490" i="11"/>
  <c r="C2490" i="11"/>
  <c r="F7233" i="11"/>
  <c r="C7233" i="11"/>
  <c r="F4436" i="11"/>
  <c r="C4436" i="11"/>
  <c r="F7232" i="11"/>
  <c r="C7232" i="11"/>
  <c r="F4435" i="11"/>
  <c r="C4435" i="11"/>
  <c r="F7231" i="11"/>
  <c r="C7231" i="11"/>
  <c r="F4434" i="11"/>
  <c r="C4434" i="11"/>
  <c r="F3700" i="11"/>
  <c r="C3700" i="11"/>
  <c r="F7230" i="11"/>
  <c r="C7230" i="11"/>
  <c r="F4433" i="11"/>
  <c r="C4433" i="11"/>
  <c r="F7657" i="11"/>
  <c r="C7657" i="11"/>
  <c r="F4432" i="11"/>
  <c r="C4432" i="11"/>
  <c r="F3699" i="11"/>
  <c r="C3699" i="11"/>
  <c r="F4" i="11"/>
  <c r="C4" i="11"/>
  <c r="F4431" i="11"/>
  <c r="C4431" i="11"/>
  <c r="F4266" i="11"/>
  <c r="C4266" i="11"/>
  <c r="F5208" i="11"/>
  <c r="C5208" i="11"/>
  <c r="F4430" i="11"/>
  <c r="C4430" i="11"/>
  <c r="F5207" i="11"/>
  <c r="C5207" i="11"/>
  <c r="F4429" i="11"/>
  <c r="C4429" i="11"/>
  <c r="F4428" i="11"/>
  <c r="C4428" i="11"/>
  <c r="F4265" i="11"/>
  <c r="C4265" i="11"/>
  <c r="F4427" i="11"/>
  <c r="C4427" i="11"/>
  <c r="F4264" i="11"/>
  <c r="C4264" i="11"/>
  <c r="F4426" i="11"/>
  <c r="C4426" i="11"/>
  <c r="G3792" i="11"/>
  <c r="F3792" i="11"/>
  <c r="C3792" i="11"/>
  <c r="F4425" i="11"/>
  <c r="C4425" i="11"/>
  <c r="G2340" i="11"/>
  <c r="F2340" i="11"/>
  <c r="C2340" i="11"/>
  <c r="F7229" i="11"/>
  <c r="C7229" i="11"/>
  <c r="F4423" i="11"/>
  <c r="C4423" i="11"/>
  <c r="F3698" i="11"/>
  <c r="C3698" i="11"/>
  <c r="F7228" i="11"/>
  <c r="C7228" i="11"/>
  <c r="F4422" i="11"/>
  <c r="C4422" i="11"/>
  <c r="F7227" i="11"/>
  <c r="C7227" i="11"/>
  <c r="F4421" i="11"/>
  <c r="C4421" i="11"/>
  <c r="F7226" i="11"/>
  <c r="C7226" i="11"/>
  <c r="F4420" i="11"/>
  <c r="C4420" i="11"/>
  <c r="F4419" i="11"/>
  <c r="C4419" i="11"/>
  <c r="F2339" i="11"/>
  <c r="C2339" i="11"/>
  <c r="F4418" i="11"/>
  <c r="C4418" i="11"/>
  <c r="G2338" i="11"/>
  <c r="F2338" i="11"/>
  <c r="C2338" i="11"/>
  <c r="F4417" i="11"/>
  <c r="C4417" i="11"/>
  <c r="G2427" i="11"/>
  <c r="F2427" i="11"/>
  <c r="C2427" i="11"/>
  <c r="F7225" i="11"/>
  <c r="C7225" i="11"/>
  <c r="F4416" i="11"/>
  <c r="C4416" i="11"/>
  <c r="F7439" i="11"/>
  <c r="C7439" i="11"/>
  <c r="F4415" i="11"/>
  <c r="C4415" i="11"/>
  <c r="F4414" i="11"/>
  <c r="C4414" i="11"/>
  <c r="F2337" i="11"/>
  <c r="C2337" i="11"/>
  <c r="F5206" i="11"/>
  <c r="C5206" i="11"/>
  <c r="F4413" i="11"/>
  <c r="C4413" i="11"/>
  <c r="F4412" i="11"/>
  <c r="C4412" i="11"/>
  <c r="F4259" i="11"/>
  <c r="C4259" i="11"/>
  <c r="F4411" i="11"/>
  <c r="C4411" i="11"/>
  <c r="G2336" i="11"/>
  <c r="F2336" i="11"/>
  <c r="C2336" i="11"/>
  <c r="F4410" i="11"/>
  <c r="C4410" i="11"/>
  <c r="F4258" i="11"/>
  <c r="C4258" i="11"/>
  <c r="F4409" i="11"/>
  <c r="C4409" i="11"/>
  <c r="G2335" i="11"/>
  <c r="F2335" i="11"/>
  <c r="C2335" i="11"/>
  <c r="F4408" i="11"/>
  <c r="C4408" i="11"/>
  <c r="G2334" i="11"/>
  <c r="F2334" i="11"/>
  <c r="C2334" i="11"/>
  <c r="F4407" i="11"/>
  <c r="C4407" i="11"/>
  <c r="G2333" i="11"/>
  <c r="F2333" i="11"/>
  <c r="C2333" i="11"/>
  <c r="F4406" i="11"/>
  <c r="C4406" i="11"/>
  <c r="F3734" i="11"/>
  <c r="C3734" i="11"/>
  <c r="G2332" i="11"/>
  <c r="F2332" i="11"/>
  <c r="C2332" i="11"/>
  <c r="F4405" i="11"/>
  <c r="C4405" i="11"/>
  <c r="G2331" i="11"/>
  <c r="F2331" i="11"/>
  <c r="C2331" i="11"/>
  <c r="F4404" i="11"/>
  <c r="C4404" i="11"/>
  <c r="G2330" i="11"/>
  <c r="F2330" i="11"/>
  <c r="C2330" i="11"/>
  <c r="F4403" i="11"/>
  <c r="C4403" i="11"/>
  <c r="G2425" i="11"/>
  <c r="F2425" i="11"/>
  <c r="C2425" i="11"/>
  <c r="F4402" i="11"/>
  <c r="C4402" i="11"/>
  <c r="G2424" i="11"/>
  <c r="F2424" i="11"/>
  <c r="C2424" i="11"/>
  <c r="F4401" i="11"/>
  <c r="C4401" i="11"/>
  <c r="G2423" i="11"/>
  <c r="F2423" i="11"/>
  <c r="C2423" i="11"/>
  <c r="F4399" i="11"/>
  <c r="C4399" i="11"/>
  <c r="G2489" i="11"/>
  <c r="F2489" i="11"/>
  <c r="C2489" i="11"/>
  <c r="F7224" i="11"/>
  <c r="C7224" i="11"/>
  <c r="F4398" i="11"/>
  <c r="C4398" i="11"/>
  <c r="F7223" i="11"/>
  <c r="C7223" i="11"/>
  <c r="F4397" i="11"/>
  <c r="C4397" i="11"/>
  <c r="F7222" i="11"/>
  <c r="C7222" i="11"/>
  <c r="F4396" i="11"/>
  <c r="C4396" i="11"/>
  <c r="F4395" i="11"/>
  <c r="C4395" i="11"/>
  <c r="G2488" i="11"/>
  <c r="F2488" i="11"/>
  <c r="C2488" i="11"/>
  <c r="F7221" i="11"/>
  <c r="C7221" i="11"/>
  <c r="F4394" i="11"/>
  <c r="C4394" i="11"/>
  <c r="F4393" i="11"/>
  <c r="C4393" i="11"/>
  <c r="G2329" i="11"/>
  <c r="F2329" i="11"/>
  <c r="C2329" i="11"/>
  <c r="F4392" i="11"/>
  <c r="C4392" i="11"/>
  <c r="G2328" i="11"/>
  <c r="F2328" i="11"/>
  <c r="C2328" i="11"/>
  <c r="F4391" i="11"/>
  <c r="C4391" i="11"/>
  <c r="G2327" i="11"/>
  <c r="F2327" i="11"/>
  <c r="C2327" i="11"/>
  <c r="F4390" i="11"/>
  <c r="C4390" i="11"/>
  <c r="G2487" i="11"/>
  <c r="F2487" i="11"/>
  <c r="C2487" i="11"/>
  <c r="F4389" i="11"/>
  <c r="C4389" i="11"/>
  <c r="G2326" i="11"/>
  <c r="F2326" i="11"/>
  <c r="C2326" i="11"/>
  <c r="F4388" i="11"/>
  <c r="C4388" i="11"/>
  <c r="F4387" i="11"/>
  <c r="C4387" i="11"/>
  <c r="F4386" i="11"/>
  <c r="C4386" i="11"/>
  <c r="G2325" i="11"/>
  <c r="F2325" i="11"/>
  <c r="C2325" i="11"/>
  <c r="G2324" i="11"/>
  <c r="F2324" i="11"/>
  <c r="C2324" i="11"/>
  <c r="G2323" i="11"/>
  <c r="F2323" i="11"/>
  <c r="C2323" i="11"/>
  <c r="F4385" i="11"/>
  <c r="C4385" i="11"/>
  <c r="G2322" i="11"/>
  <c r="F2322" i="11"/>
  <c r="C2322" i="11"/>
  <c r="F4384" i="11"/>
  <c r="C4384" i="11"/>
  <c r="F4383" i="11"/>
  <c r="C4383" i="11"/>
  <c r="F4382" i="11"/>
  <c r="C4382" i="11"/>
  <c r="G2321" i="11"/>
  <c r="F2321" i="11"/>
  <c r="C2321" i="11"/>
  <c r="G2320" i="11"/>
  <c r="F2320" i="11"/>
  <c r="C2320" i="11"/>
  <c r="G2319" i="11"/>
  <c r="F2319" i="11"/>
  <c r="C2319" i="11"/>
  <c r="F4381" i="11"/>
  <c r="C4381" i="11"/>
  <c r="F4380" i="11"/>
  <c r="C4380" i="11"/>
  <c r="G2318" i="11"/>
  <c r="F2318" i="11"/>
  <c r="C2318" i="11"/>
  <c r="G2317" i="11"/>
  <c r="F2317" i="11"/>
  <c r="C2317" i="11"/>
  <c r="F4379" i="11"/>
  <c r="C4379" i="11"/>
  <c r="F4378" i="11"/>
  <c r="C4378" i="11"/>
  <c r="G2316" i="11"/>
  <c r="F2316" i="11"/>
  <c r="C2316" i="11"/>
  <c r="G2315" i="11"/>
  <c r="F2315" i="11"/>
  <c r="C2315" i="11"/>
  <c r="F4377" i="11"/>
  <c r="C4377" i="11"/>
  <c r="G2314" i="11"/>
  <c r="F2314" i="11"/>
  <c r="C2314" i="11"/>
  <c r="F4376" i="11"/>
  <c r="C4376" i="11"/>
  <c r="G2313" i="11"/>
  <c r="F2313" i="11"/>
  <c r="C2313" i="11"/>
  <c r="G2312" i="11"/>
  <c r="F2312" i="11"/>
  <c r="C2312" i="11"/>
  <c r="F7220" i="11"/>
  <c r="C7220" i="11"/>
  <c r="F4375" i="11"/>
  <c r="C4375" i="11"/>
  <c r="F7219" i="11"/>
  <c r="C7219" i="11"/>
  <c r="F4374" i="11"/>
  <c r="C4374" i="11"/>
  <c r="F4373" i="11"/>
  <c r="C4373" i="11"/>
  <c r="F4255" i="11"/>
  <c r="C4255" i="11"/>
  <c r="F4372" i="11"/>
  <c r="C4372" i="11"/>
  <c r="G2311" i="11"/>
  <c r="F2311" i="11"/>
  <c r="C2311" i="11"/>
  <c r="F4371" i="11"/>
  <c r="C4371" i="11"/>
  <c r="G2310" i="11"/>
  <c r="F2310" i="11"/>
  <c r="C2310" i="11"/>
  <c r="F4370" i="11"/>
  <c r="C4370" i="11"/>
  <c r="G2309" i="11"/>
  <c r="F2309" i="11"/>
  <c r="C2309" i="11"/>
  <c r="F7438" i="11"/>
  <c r="C7438" i="11"/>
  <c r="F4369" i="11"/>
  <c r="C4369" i="11"/>
  <c r="F7639" i="11"/>
  <c r="C7639" i="11"/>
  <c r="F4368" i="11"/>
  <c r="C4368" i="11"/>
  <c r="F4367" i="11"/>
  <c r="C4367" i="11"/>
  <c r="F3050" i="11"/>
  <c r="C3050" i="11"/>
  <c r="F6517" i="11"/>
  <c r="C6517" i="11"/>
  <c r="F4366" i="11"/>
  <c r="C4366" i="11"/>
  <c r="F4365" i="11"/>
  <c r="C4365" i="11"/>
  <c r="G2308" i="11"/>
  <c r="F2308" i="11"/>
  <c r="C2308" i="11"/>
  <c r="F4364" i="11"/>
  <c r="C4364" i="11"/>
  <c r="G2307" i="11"/>
  <c r="F2307" i="11"/>
  <c r="C2307" i="11"/>
  <c r="F4363" i="11"/>
  <c r="C4363" i="11"/>
  <c r="G2306" i="11"/>
  <c r="F2306" i="11"/>
  <c r="C2306" i="11"/>
  <c r="F4362" i="11"/>
  <c r="C4362" i="11"/>
  <c r="G2305" i="11"/>
  <c r="F2305" i="11"/>
  <c r="C2305" i="11"/>
  <c r="F4361" i="11"/>
  <c r="C4361" i="11"/>
  <c r="G2304" i="11"/>
  <c r="F2304" i="11"/>
  <c r="C2304" i="11"/>
  <c r="F4360" i="11"/>
  <c r="C4360" i="11"/>
  <c r="G2303" i="11"/>
  <c r="F2303" i="11"/>
  <c r="C2303" i="11"/>
  <c r="F4359" i="11"/>
  <c r="C4359" i="11"/>
  <c r="F2302" i="11"/>
  <c r="C2302" i="11"/>
  <c r="F4358" i="11"/>
  <c r="C4358" i="11"/>
  <c r="F2301" i="11"/>
  <c r="C2301" i="11"/>
  <c r="F4357" i="11"/>
  <c r="C4357" i="11"/>
  <c r="F90" i="11"/>
  <c r="C90" i="11"/>
  <c r="F7696" i="11"/>
  <c r="C7696" i="11"/>
  <c r="F4355" i="11"/>
  <c r="C4355" i="11"/>
  <c r="F7218" i="11"/>
  <c r="C7218" i="11"/>
  <c r="F4354" i="11"/>
  <c r="C4354" i="11"/>
  <c r="F4353" i="11"/>
  <c r="C4353" i="11"/>
  <c r="F2978" i="11"/>
  <c r="C2978" i="11"/>
  <c r="F7217" i="11"/>
  <c r="C7217" i="11"/>
  <c r="F4352" i="11"/>
  <c r="C4352" i="11"/>
  <c r="F7216" i="11"/>
  <c r="C7216" i="11"/>
  <c r="F4351" i="11"/>
  <c r="C4351" i="11"/>
  <c r="F4350" i="11"/>
  <c r="C4350" i="11"/>
  <c r="F2977" i="11"/>
  <c r="C2977" i="11"/>
  <c r="F4349" i="11"/>
  <c r="C4349" i="11"/>
  <c r="F2300" i="11"/>
  <c r="C2300" i="11"/>
  <c r="F4348" i="11"/>
  <c r="C4348" i="11"/>
  <c r="F2299" i="11"/>
  <c r="C2299" i="11"/>
  <c r="F4347" i="11"/>
  <c r="C4347" i="11"/>
  <c r="G2298" i="11"/>
  <c r="F2298" i="11"/>
  <c r="C2298" i="11"/>
  <c r="F4346" i="11"/>
  <c r="C4346" i="11"/>
  <c r="G2754" i="11"/>
  <c r="F2754" i="11"/>
  <c r="C2754" i="11"/>
  <c r="F4345" i="11"/>
  <c r="C4345" i="11"/>
  <c r="F3047" i="11"/>
  <c r="C3047" i="11"/>
  <c r="F4344" i="11"/>
  <c r="C4344" i="11"/>
  <c r="F3046" i="11"/>
  <c r="C3046" i="11"/>
  <c r="F4343" i="11"/>
  <c r="C4343" i="11"/>
  <c r="F3045" i="11"/>
  <c r="C3045" i="11"/>
  <c r="F4342" i="11"/>
  <c r="C4342" i="11"/>
  <c r="F3044" i="11"/>
  <c r="C3044" i="11"/>
  <c r="F4341" i="11"/>
  <c r="C4341" i="11"/>
  <c r="F3043" i="11"/>
  <c r="C3043" i="11"/>
  <c r="F5205" i="11"/>
  <c r="C5205" i="11"/>
  <c r="F4340" i="11"/>
  <c r="C4340" i="11"/>
  <c r="F4339" i="11"/>
  <c r="C4339" i="11"/>
  <c r="G2297" i="11"/>
  <c r="F2297" i="11"/>
  <c r="C2297" i="11"/>
  <c r="F7215" i="11"/>
  <c r="C7215" i="11"/>
  <c r="F4338" i="11"/>
  <c r="C4338" i="11"/>
  <c r="F7214" i="11"/>
  <c r="C7214" i="11"/>
  <c r="F4337" i="11"/>
  <c r="C4337" i="11"/>
  <c r="F4336" i="11"/>
  <c r="C4336" i="11"/>
  <c r="F3880" i="11"/>
  <c r="C3880" i="11"/>
  <c r="F4335" i="11"/>
  <c r="C4335" i="11"/>
  <c r="G3791" i="11"/>
  <c r="F3791" i="11"/>
  <c r="C3791" i="11"/>
  <c r="F4334" i="11"/>
  <c r="C4334" i="11"/>
  <c r="F3879" i="11"/>
  <c r="C3879" i="11"/>
  <c r="F4333" i="11"/>
  <c r="C4333" i="11"/>
  <c r="G2296" i="11"/>
  <c r="F2296" i="11"/>
  <c r="C2296" i="11"/>
  <c r="F7213" i="11"/>
  <c r="C7213" i="11"/>
  <c r="F4332" i="11"/>
  <c r="C4332" i="11"/>
  <c r="F7212" i="11"/>
  <c r="C7212" i="11"/>
  <c r="F4331" i="11"/>
  <c r="C4331" i="11"/>
  <c r="F4330" i="11"/>
  <c r="C4330" i="11"/>
  <c r="F3409" i="11"/>
  <c r="C3409" i="11"/>
  <c r="F4329" i="11"/>
  <c r="C4329" i="11"/>
  <c r="G2486" i="11"/>
  <c r="F2486" i="11"/>
  <c r="C2486" i="11"/>
  <c r="F4328" i="11"/>
  <c r="C4328" i="11"/>
  <c r="G2753" i="11"/>
  <c r="F2753" i="11"/>
  <c r="C2753" i="11"/>
  <c r="F5204" i="11"/>
  <c r="C5204" i="11"/>
  <c r="F4327" i="11"/>
  <c r="C4327" i="11"/>
  <c r="F4326" i="11"/>
  <c r="C4326" i="11"/>
  <c r="G2295" i="11"/>
  <c r="F2295" i="11"/>
  <c r="C2295" i="11"/>
  <c r="F4325" i="11"/>
  <c r="C4325" i="11"/>
  <c r="F4324" i="11"/>
  <c r="C4324" i="11"/>
  <c r="F4323" i="11"/>
  <c r="C4323" i="11"/>
  <c r="F4322" i="11"/>
  <c r="C4322" i="11"/>
  <c r="F4321" i="11"/>
  <c r="C4321" i="11"/>
  <c r="F4320" i="11"/>
  <c r="C4320" i="11"/>
  <c r="F4319" i="11"/>
  <c r="C4319" i="11"/>
  <c r="F4318" i="11"/>
  <c r="C4318" i="11"/>
  <c r="F4317" i="11"/>
  <c r="C4317" i="11"/>
  <c r="F4316" i="11"/>
  <c r="C4316" i="11"/>
  <c r="F4315" i="11"/>
  <c r="C4315" i="11"/>
  <c r="F4314" i="11"/>
  <c r="C4314" i="11"/>
  <c r="F4313" i="11"/>
  <c r="C4313" i="11"/>
  <c r="F4312" i="11"/>
  <c r="C4312" i="11"/>
  <c r="F4311" i="11"/>
  <c r="C4311" i="11"/>
  <c r="F4310" i="11"/>
  <c r="C4310" i="11"/>
  <c r="G2294" i="11"/>
  <c r="F2294" i="11"/>
  <c r="C2294" i="11"/>
  <c r="G2293" i="11"/>
  <c r="F2293" i="11"/>
  <c r="C2293" i="11"/>
  <c r="G2292" i="11"/>
  <c r="F2292" i="11"/>
  <c r="C2292" i="11"/>
  <c r="G2291" i="11"/>
  <c r="F2291" i="11"/>
  <c r="C2291" i="11"/>
  <c r="G2290" i="11"/>
  <c r="F2290" i="11"/>
  <c r="C2290" i="11"/>
  <c r="G2289" i="11"/>
  <c r="F2289" i="11"/>
  <c r="C2289" i="11"/>
  <c r="G2288" i="11"/>
  <c r="F2288" i="11"/>
  <c r="C2288" i="11"/>
  <c r="G2287" i="11"/>
  <c r="F2287" i="11"/>
  <c r="C2287" i="11"/>
  <c r="G2286" i="11"/>
  <c r="F2286" i="11"/>
  <c r="C2286" i="11"/>
  <c r="G2285" i="11"/>
  <c r="F2285" i="11"/>
  <c r="C2285" i="11"/>
  <c r="G2284" i="11"/>
  <c r="F2284" i="11"/>
  <c r="C2284" i="11"/>
  <c r="G2283" i="11"/>
  <c r="F2283" i="11"/>
  <c r="C2283" i="11"/>
  <c r="G2282" i="11"/>
  <c r="F2282" i="11"/>
  <c r="C2282" i="11"/>
  <c r="G2281" i="11"/>
  <c r="F2281" i="11"/>
  <c r="C2281" i="11"/>
  <c r="G2280" i="11"/>
  <c r="F2280" i="11"/>
  <c r="C2280" i="11"/>
  <c r="G2279" i="11"/>
  <c r="F2279" i="11"/>
  <c r="C2279" i="11"/>
  <c r="F7656" i="11"/>
  <c r="C7656" i="11"/>
  <c r="F4309" i="11"/>
  <c r="C4309" i="11"/>
  <c r="F3697" i="11"/>
  <c r="C3697" i="11"/>
  <c r="F2" i="11"/>
  <c r="C2" i="11"/>
  <c r="F5203" i="11"/>
  <c r="C5203" i="11"/>
  <c r="F4308" i="11"/>
  <c r="C4308" i="11"/>
  <c r="F4307" i="11"/>
  <c r="C4307" i="11"/>
  <c r="F3878" i="11"/>
  <c r="C3878" i="11"/>
  <c r="F7211" i="11"/>
  <c r="C7211" i="11"/>
  <c r="F4306" i="11"/>
  <c r="C4306" i="11"/>
  <c r="F4305" i="11"/>
  <c r="C4305" i="11"/>
  <c r="G2278" i="11"/>
  <c r="F2278" i="11"/>
  <c r="C2278" i="11"/>
  <c r="F4304" i="11"/>
  <c r="C4304" i="11"/>
  <c r="F4250" i="11"/>
  <c r="C4250" i="11"/>
  <c r="F4303" i="11"/>
  <c r="C4303" i="11"/>
  <c r="G3790" i="11"/>
  <c r="F3790" i="11"/>
  <c r="C3790" i="11"/>
  <c r="F4302" i="11"/>
  <c r="C4302" i="11"/>
  <c r="G2485" i="11"/>
  <c r="F2485" i="11"/>
  <c r="C2485" i="11"/>
  <c r="F4301" i="11"/>
  <c r="C4301" i="11"/>
  <c r="F4249" i="11"/>
  <c r="C4249" i="11"/>
  <c r="F4300" i="11"/>
  <c r="C4300" i="11"/>
  <c r="G3789" i="11"/>
  <c r="F3789" i="11"/>
  <c r="C3789" i="11"/>
  <c r="F7210" i="11"/>
  <c r="C7210" i="11"/>
  <c r="F4299" i="11"/>
  <c r="C4299" i="11"/>
  <c r="F7209" i="11"/>
  <c r="C7209" i="11"/>
  <c r="F4298" i="11"/>
  <c r="C4298" i="11"/>
  <c r="F4297" i="11"/>
  <c r="C4297" i="11"/>
  <c r="F4248" i="11"/>
  <c r="C4248" i="11"/>
  <c r="F7208" i="11"/>
  <c r="C7208" i="11"/>
  <c r="F4296" i="11"/>
  <c r="C4296" i="11"/>
  <c r="F7207" i="11"/>
  <c r="C7207" i="11"/>
  <c r="F4295" i="11"/>
  <c r="C4295" i="11"/>
  <c r="F5202" i="11"/>
  <c r="C5202" i="11"/>
  <c r="F4294" i="11"/>
  <c r="C4294" i="11"/>
  <c r="F7206" i="11"/>
  <c r="C7206" i="11"/>
  <c r="F4293" i="11"/>
  <c r="C4293" i="11"/>
  <c r="F7205" i="11"/>
  <c r="C7205" i="11"/>
  <c r="F4292" i="11"/>
  <c r="C4292" i="11"/>
  <c r="F7204" i="11"/>
  <c r="C7204" i="11"/>
  <c r="F4291" i="11"/>
  <c r="C4291" i="11"/>
  <c r="F7203" i="11"/>
  <c r="C7203" i="11"/>
  <c r="F4290" i="11"/>
  <c r="C4290" i="11"/>
  <c r="F7202" i="11"/>
  <c r="C7202" i="11"/>
  <c r="F4289" i="11"/>
  <c r="C4289" i="11"/>
  <c r="F4288" i="11"/>
  <c r="C4288" i="11"/>
  <c r="F3877" i="11"/>
  <c r="C3877" i="11"/>
  <c r="F4287" i="11"/>
  <c r="C4287" i="11"/>
  <c r="F2277" i="11"/>
  <c r="C2277" i="11"/>
  <c r="F4286" i="11"/>
  <c r="C4286" i="11"/>
  <c r="F2276" i="11"/>
  <c r="C2276" i="11"/>
  <c r="F4285" i="11"/>
  <c r="C4285" i="11"/>
  <c r="G3788" i="11"/>
  <c r="F3788" i="11"/>
  <c r="C3788" i="11"/>
  <c r="F4284" i="11"/>
  <c r="C4284" i="11"/>
  <c r="G2275" i="11"/>
  <c r="F2275" i="11"/>
  <c r="C2275" i="11"/>
  <c r="F4283" i="11"/>
  <c r="C4283" i="11"/>
  <c r="F3037" i="11"/>
  <c r="C3037" i="11"/>
  <c r="G3904" i="11"/>
  <c r="F3904" i="11"/>
  <c r="G2752" i="11"/>
  <c r="F2752" i="11"/>
  <c r="G3903" i="11"/>
  <c r="F3903" i="11"/>
  <c r="G2751" i="11"/>
  <c r="F2751" i="11"/>
  <c r="G3902" i="11"/>
  <c r="F3902" i="11"/>
  <c r="G2750" i="11"/>
  <c r="F2750" i="11"/>
  <c r="G3901" i="11"/>
  <c r="F3901" i="11"/>
  <c r="G2749" i="11"/>
  <c r="F2749" i="11"/>
  <c r="G3900" i="11"/>
  <c r="F3900" i="11"/>
  <c r="G2748" i="11"/>
  <c r="F2748" i="11"/>
  <c r="G3899" i="11"/>
  <c r="F3899" i="11"/>
  <c r="G2747" i="11"/>
  <c r="F2747" i="11"/>
  <c r="G3898" i="11"/>
  <c r="F3898" i="11"/>
  <c r="G2746" i="11"/>
  <c r="F2746" i="11"/>
  <c r="F6909" i="11"/>
  <c r="C6909" i="11"/>
  <c r="G2274" i="11"/>
  <c r="F2274" i="11"/>
  <c r="C2274" i="11"/>
  <c r="F6900" i="11"/>
  <c r="E6900" i="11"/>
  <c r="C6900" i="11"/>
  <c r="F2273" i="11"/>
  <c r="E2273" i="11"/>
  <c r="C2273" i="11"/>
  <c r="F6899" i="11"/>
  <c r="E6899" i="11"/>
  <c r="C6899" i="11"/>
  <c r="F2272" i="11"/>
  <c r="E2272" i="11"/>
  <c r="C2272" i="11"/>
  <c r="F6898" i="11"/>
  <c r="E6898" i="11"/>
  <c r="C6898" i="11"/>
  <c r="F2271" i="11"/>
  <c r="E2271" i="11"/>
  <c r="C2271" i="11"/>
  <c r="F6897" i="11"/>
  <c r="E6897" i="11"/>
  <c r="C6897" i="11"/>
  <c r="F2270" i="11"/>
  <c r="E2270" i="11"/>
  <c r="C2270" i="11"/>
  <c r="F6896" i="11"/>
  <c r="E6896" i="11"/>
  <c r="C6896" i="11"/>
  <c r="F2269" i="11"/>
  <c r="E2269" i="11"/>
  <c r="C2269" i="11"/>
  <c r="F6895" i="11"/>
  <c r="E6895" i="11"/>
  <c r="C6895" i="11"/>
  <c r="F2268" i="11"/>
  <c r="E2268" i="11"/>
  <c r="C2268" i="11"/>
  <c r="F6894" i="11"/>
  <c r="E6894" i="11"/>
  <c r="C6894" i="11"/>
  <c r="F2267" i="11"/>
  <c r="E2267" i="11"/>
  <c r="C2267" i="11"/>
  <c r="F7549" i="11"/>
  <c r="C7549" i="11"/>
  <c r="G3787" i="11"/>
  <c r="F3787" i="11"/>
  <c r="C3787" i="11"/>
  <c r="F7548" i="11"/>
  <c r="C7548" i="11"/>
  <c r="G3786" i="11"/>
  <c r="F3786" i="11"/>
  <c r="C3786" i="11"/>
  <c r="F7547" i="11"/>
  <c r="C7547" i="11"/>
  <c r="G3785" i="11"/>
  <c r="F3785" i="11"/>
  <c r="C3785" i="11"/>
  <c r="F7546" i="11"/>
  <c r="C7546" i="11"/>
  <c r="G3784" i="11"/>
  <c r="F3784" i="11"/>
  <c r="C3784" i="11"/>
  <c r="F7002" i="11"/>
  <c r="E7002" i="11"/>
  <c r="C7002" i="11"/>
  <c r="G2266" i="11"/>
  <c r="F2266" i="11"/>
  <c r="E2266" i="11"/>
  <c r="C2266" i="11"/>
  <c r="F7001" i="11"/>
  <c r="E7001" i="11"/>
  <c r="C7001" i="11"/>
  <c r="G2265" i="11"/>
  <c r="F2265" i="11"/>
  <c r="E2265" i="11"/>
  <c r="C2265" i="11"/>
  <c r="F7000" i="11"/>
  <c r="C7000" i="11"/>
  <c r="G2264" i="11"/>
  <c r="F2264" i="11"/>
  <c r="C2264" i="11"/>
  <c r="F7611" i="11"/>
  <c r="E7611" i="11"/>
  <c r="C7611" i="11"/>
  <c r="G2263" i="11"/>
  <c r="F2263" i="11"/>
  <c r="E2263" i="11"/>
  <c r="C2263" i="11"/>
  <c r="F6999" i="11"/>
  <c r="E6999" i="11"/>
  <c r="C6999" i="11"/>
  <c r="G2262" i="11"/>
  <c r="F2262" i="11"/>
  <c r="E2262" i="11"/>
  <c r="C2262" i="11"/>
  <c r="F7545" i="11"/>
  <c r="C7545" i="11"/>
  <c r="G3783" i="11"/>
  <c r="F3783" i="11"/>
  <c r="C3783" i="11"/>
  <c r="F3821" i="11"/>
  <c r="C3821" i="11"/>
  <c r="F2261" i="11"/>
  <c r="C2261" i="11"/>
  <c r="F7095" i="11"/>
  <c r="C7095" i="11"/>
  <c r="F4235" i="11"/>
  <c r="C4235" i="11"/>
  <c r="G2260" i="11"/>
  <c r="F2260" i="11"/>
  <c r="C2260" i="11"/>
  <c r="F6914" i="11"/>
  <c r="E6914" i="11"/>
  <c r="C6914" i="11"/>
  <c r="F3696" i="11"/>
  <c r="E3696" i="11"/>
  <c r="C3696" i="11"/>
  <c r="F2259" i="11"/>
  <c r="E2259" i="11"/>
  <c r="C2259" i="11"/>
  <c r="F6913" i="11"/>
  <c r="E6913" i="11"/>
  <c r="C6913" i="11"/>
  <c r="F3695" i="11"/>
  <c r="E3695" i="11"/>
  <c r="C3695" i="11"/>
  <c r="F2258" i="11"/>
  <c r="E2258" i="11"/>
  <c r="C2258" i="11"/>
  <c r="G4178" i="11"/>
  <c r="F4178" i="11"/>
  <c r="C4178" i="11"/>
  <c r="G2257" i="11"/>
  <c r="F2257" i="11"/>
  <c r="C2257" i="11"/>
  <c r="F6468" i="11"/>
  <c r="E6468" i="11"/>
  <c r="C6468" i="11"/>
  <c r="F3621" i="11"/>
  <c r="E3621" i="11"/>
  <c r="C3621" i="11"/>
  <c r="G2256" i="11"/>
  <c r="F2256" i="11"/>
  <c r="E2256" i="11"/>
  <c r="C2256" i="11"/>
  <c r="G4177" i="11"/>
  <c r="F4177" i="11"/>
  <c r="E4177" i="11"/>
  <c r="C4177" i="11"/>
  <c r="F3694" i="11"/>
  <c r="E3694" i="11"/>
  <c r="C3694" i="11"/>
  <c r="G2255" i="11"/>
  <c r="F2255" i="11"/>
  <c r="E2255" i="11"/>
  <c r="C2255" i="11"/>
  <c r="F6998" i="11"/>
  <c r="E6998" i="11"/>
  <c r="C6998" i="11"/>
  <c r="G2254" i="11"/>
  <c r="F2254" i="11"/>
  <c r="E2254" i="11"/>
  <c r="C2254" i="11"/>
  <c r="F7544" i="11"/>
  <c r="E7544" i="11"/>
  <c r="C7544" i="11"/>
  <c r="G3782" i="11"/>
  <c r="F3782" i="11"/>
  <c r="E3782" i="11"/>
  <c r="C3782" i="11"/>
  <c r="F7543" i="11"/>
  <c r="E7543" i="11"/>
  <c r="C7543" i="11"/>
  <c r="G3781" i="11"/>
  <c r="F3781" i="11"/>
  <c r="E3781" i="11"/>
  <c r="C3781" i="11"/>
  <c r="F7069" i="11"/>
  <c r="C7069" i="11"/>
  <c r="F3693" i="11"/>
  <c r="C3693" i="11"/>
  <c r="G2253" i="11"/>
  <c r="F2253" i="11"/>
  <c r="C2253" i="11"/>
  <c r="F7152" i="11"/>
  <c r="C7152" i="11"/>
  <c r="F3692" i="11"/>
  <c r="C3692" i="11"/>
  <c r="G2252" i="11"/>
  <c r="F2252" i="11"/>
  <c r="C2252" i="11"/>
  <c r="F6997" i="11"/>
  <c r="E6997" i="11"/>
  <c r="C6997" i="11"/>
  <c r="G2251" i="11"/>
  <c r="F2251" i="11"/>
  <c r="E2251" i="11"/>
  <c r="C2251" i="11"/>
  <c r="F6996" i="11"/>
  <c r="E6996" i="11"/>
  <c r="C6996" i="11"/>
  <c r="G2250" i="11"/>
  <c r="F2250" i="11"/>
  <c r="E2250" i="11"/>
  <c r="C2250" i="11"/>
  <c r="F6995" i="11"/>
  <c r="E6995" i="11"/>
  <c r="C6995" i="11"/>
  <c r="G2249" i="11"/>
  <c r="F2249" i="11"/>
  <c r="E2249" i="11"/>
  <c r="C2249" i="11"/>
  <c r="F6994" i="11"/>
  <c r="E6994" i="11"/>
  <c r="C6994" i="11"/>
  <c r="G2248" i="11"/>
  <c r="F2248" i="11"/>
  <c r="E2248" i="11"/>
  <c r="C2248" i="11"/>
  <c r="F6993" i="11"/>
  <c r="E6993" i="11"/>
  <c r="C6993" i="11"/>
  <c r="G2247" i="11"/>
  <c r="F2247" i="11"/>
  <c r="E2247" i="11"/>
  <c r="C2247" i="11"/>
  <c r="F3620" i="11"/>
  <c r="C3620" i="11"/>
  <c r="G2246" i="11"/>
  <c r="F2246" i="11"/>
  <c r="C2246" i="11"/>
  <c r="F162" i="11"/>
  <c r="C162" i="11"/>
  <c r="F6983" i="11"/>
  <c r="E6983" i="11"/>
  <c r="C6983" i="11"/>
  <c r="F3691" i="11"/>
  <c r="E3691" i="11"/>
  <c r="C3691" i="11"/>
  <c r="G2245" i="11"/>
  <c r="F2245" i="11"/>
  <c r="E2245" i="11"/>
  <c r="C2245" i="11"/>
  <c r="F6522" i="11"/>
  <c r="C6522" i="11"/>
  <c r="F3690" i="11"/>
  <c r="C3690" i="11"/>
  <c r="G2244" i="11"/>
  <c r="F2244" i="11"/>
  <c r="C2244" i="11"/>
  <c r="F6521" i="11"/>
  <c r="C6521" i="11"/>
  <c r="F3689" i="11"/>
  <c r="C3689" i="11"/>
  <c r="G2243" i="11"/>
  <c r="F2243" i="11"/>
  <c r="C2243" i="11"/>
  <c r="F7126" i="11"/>
  <c r="C7126" i="11"/>
  <c r="F6879" i="11"/>
  <c r="E6879" i="11"/>
  <c r="C6879" i="11"/>
  <c r="F2242" i="11"/>
  <c r="E2242" i="11"/>
  <c r="C2242" i="11"/>
  <c r="F6893" i="11"/>
  <c r="E6893" i="11"/>
  <c r="C6893" i="11"/>
  <c r="F2241" i="11"/>
  <c r="E2241" i="11"/>
  <c r="C2241" i="11"/>
  <c r="F6892" i="11"/>
  <c r="E6892" i="11"/>
  <c r="C6892" i="11"/>
  <c r="F2240" i="11"/>
  <c r="E2240" i="11"/>
  <c r="C2240" i="11"/>
  <c r="F4234" i="11"/>
  <c r="C4234" i="11"/>
  <c r="F3042" i="11"/>
  <c r="C3042" i="11"/>
  <c r="F6457" i="11"/>
  <c r="C6457" i="11"/>
  <c r="F3619" i="11"/>
  <c r="C3619" i="11"/>
  <c r="G2239" i="11"/>
  <c r="F2239" i="11"/>
  <c r="C2239" i="11"/>
  <c r="F6456" i="11"/>
  <c r="C6456" i="11"/>
  <c r="F3618" i="11"/>
  <c r="C3618" i="11"/>
  <c r="G2238" i="11"/>
  <c r="F2238" i="11"/>
  <c r="C2238" i="11"/>
  <c r="F7151" i="11"/>
  <c r="E7151" i="11"/>
  <c r="C7151" i="11"/>
  <c r="G4176" i="11"/>
  <c r="F4176" i="11"/>
  <c r="E4176" i="11"/>
  <c r="C4176" i="11"/>
  <c r="F3688" i="11"/>
  <c r="E3688" i="11"/>
  <c r="C3688" i="11"/>
  <c r="G2237" i="11"/>
  <c r="F2237" i="11"/>
  <c r="E2237" i="11"/>
  <c r="C2237" i="11"/>
  <c r="G4175" i="11"/>
  <c r="F4175" i="11"/>
  <c r="E4175" i="11"/>
  <c r="C4175" i="11"/>
  <c r="F3687" i="11"/>
  <c r="E3687" i="11"/>
  <c r="C3687" i="11"/>
  <c r="G2236" i="11"/>
  <c r="F2236" i="11"/>
  <c r="E2236" i="11"/>
  <c r="C2236" i="11"/>
  <c r="F6878" i="11"/>
  <c r="E6878" i="11"/>
  <c r="C6878" i="11"/>
  <c r="G2235" i="11"/>
  <c r="F2235" i="11"/>
  <c r="E2235" i="11"/>
  <c r="C2235" i="11"/>
  <c r="F7542" i="11"/>
  <c r="C7542" i="11"/>
  <c r="G3780" i="11"/>
  <c r="F3780" i="11"/>
  <c r="C3780" i="11"/>
  <c r="F7541" i="11"/>
  <c r="C7541" i="11"/>
  <c r="G3779" i="11"/>
  <c r="F3779" i="11"/>
  <c r="C3779" i="11"/>
  <c r="F7540" i="11"/>
  <c r="C7540" i="11"/>
  <c r="G3778" i="11"/>
  <c r="F3778" i="11"/>
  <c r="C3778" i="11"/>
  <c r="F3915" i="11"/>
  <c r="C3915" i="11"/>
  <c r="G2234" i="11"/>
  <c r="F2234" i="11"/>
  <c r="C2234" i="11"/>
  <c r="F6891" i="11"/>
  <c r="E6891" i="11"/>
  <c r="C6891" i="11"/>
  <c r="F2233" i="11"/>
  <c r="E2233" i="11"/>
  <c r="C2233" i="11"/>
  <c r="F6890" i="11"/>
  <c r="E6890" i="11"/>
  <c r="C6890" i="11"/>
  <c r="F2232" i="11"/>
  <c r="E2232" i="11"/>
  <c r="C2232" i="11"/>
  <c r="F7094" i="11"/>
  <c r="C7094" i="11"/>
  <c r="F4233" i="11"/>
  <c r="C4233" i="11"/>
  <c r="G2231" i="11"/>
  <c r="F2231" i="11"/>
  <c r="C2231" i="11"/>
  <c r="F3815" i="11"/>
  <c r="E3815" i="11"/>
  <c r="C3815" i="11"/>
  <c r="G2230" i="11"/>
  <c r="F2230" i="11"/>
  <c r="E2230" i="11"/>
  <c r="C2230" i="11"/>
  <c r="G4174" i="11"/>
  <c r="F4174" i="11"/>
  <c r="E4174" i="11"/>
  <c r="C4174" i="11"/>
  <c r="F3732" i="11"/>
  <c r="E3732" i="11"/>
  <c r="C3732" i="11"/>
  <c r="G2229" i="11"/>
  <c r="F2229" i="11"/>
  <c r="E2229" i="11"/>
  <c r="C2229" i="11"/>
  <c r="F6889" i="11"/>
  <c r="E6889" i="11"/>
  <c r="C6889" i="11"/>
  <c r="F2228" i="11"/>
  <c r="E2228" i="11"/>
  <c r="C2228" i="11"/>
  <c r="F6888" i="11"/>
  <c r="E6888" i="11"/>
  <c r="C6888" i="11"/>
  <c r="F2227" i="11"/>
  <c r="E2227" i="11"/>
  <c r="C2227" i="11"/>
  <c r="F6887" i="11"/>
  <c r="E6887" i="11"/>
  <c r="C6887" i="11"/>
  <c r="F2226" i="11"/>
  <c r="E2226" i="11"/>
  <c r="C2226" i="11"/>
  <c r="F6886" i="11"/>
  <c r="E6886" i="11"/>
  <c r="C6886" i="11"/>
  <c r="F2225" i="11"/>
  <c r="E2225" i="11"/>
  <c r="C2225" i="11"/>
  <c r="F7093" i="11"/>
  <c r="C7093" i="11"/>
  <c r="G2224" i="11"/>
  <c r="F2224" i="11"/>
  <c r="C2224" i="11"/>
  <c r="F7092" i="11"/>
  <c r="C7092" i="11"/>
  <c r="G2223" i="11"/>
  <c r="F2223" i="11"/>
  <c r="C2223" i="11"/>
  <c r="F7091" i="11"/>
  <c r="C7091" i="11"/>
  <c r="F4232" i="11"/>
  <c r="C4232" i="11"/>
  <c r="G2222" i="11"/>
  <c r="F2222" i="11"/>
  <c r="C2222" i="11"/>
  <c r="F7090" i="11"/>
  <c r="C7090" i="11"/>
  <c r="G2221" i="11"/>
  <c r="F2221" i="11"/>
  <c r="C2221" i="11"/>
  <c r="F7089" i="11"/>
  <c r="C7089" i="11"/>
  <c r="G2220" i="11"/>
  <c r="F2220" i="11"/>
  <c r="C2220" i="11"/>
  <c r="F7088" i="11"/>
  <c r="C7088" i="11"/>
  <c r="F4231" i="11"/>
  <c r="C4231" i="11"/>
  <c r="G2219" i="11"/>
  <c r="F2219" i="11"/>
  <c r="C2219" i="11"/>
  <c r="F7087" i="11"/>
  <c r="C7087" i="11"/>
  <c r="G2218" i="11"/>
  <c r="F2218" i="11"/>
  <c r="C2218" i="11"/>
  <c r="F7086" i="11"/>
  <c r="C7086" i="11"/>
  <c r="F4230" i="11"/>
  <c r="C4230" i="11"/>
  <c r="G2217" i="11"/>
  <c r="F2217" i="11"/>
  <c r="C2217" i="11"/>
  <c r="F3914" i="11"/>
  <c r="E3914" i="11"/>
  <c r="C3914" i="11"/>
  <c r="G2216" i="11"/>
  <c r="F2216" i="11"/>
  <c r="E2216" i="11"/>
  <c r="C2216" i="11"/>
  <c r="F3913" i="11"/>
  <c r="E3913" i="11"/>
  <c r="C3913" i="11"/>
  <c r="G2215" i="11"/>
  <c r="F2215" i="11"/>
  <c r="E2215" i="11"/>
  <c r="C2215" i="11"/>
  <c r="F3912" i="11"/>
  <c r="E3912" i="11"/>
  <c r="C3912" i="11"/>
  <c r="G2214" i="11"/>
  <c r="F2214" i="11"/>
  <c r="E2214" i="11"/>
  <c r="C2214" i="11"/>
  <c r="F7274" i="11"/>
  <c r="E7274" i="11"/>
  <c r="C7274" i="11"/>
  <c r="F7269" i="11"/>
  <c r="E7269" i="11"/>
  <c r="C7269" i="11"/>
  <c r="G2213" i="11"/>
  <c r="F2213" i="11"/>
  <c r="E2213" i="11"/>
  <c r="C2213" i="11"/>
  <c r="F4229" i="11"/>
  <c r="C4229" i="11"/>
  <c r="F3041" i="11"/>
  <c r="C3041" i="11"/>
  <c r="F6056" i="11"/>
  <c r="C6056" i="11"/>
  <c r="F3617" i="11"/>
  <c r="C3617" i="11"/>
  <c r="G2212" i="11"/>
  <c r="F2212" i="11"/>
  <c r="C2212" i="11"/>
  <c r="F6923" i="11"/>
  <c r="C6923" i="11"/>
  <c r="G4173" i="11"/>
  <c r="F4173" i="11"/>
  <c r="C4173" i="11"/>
  <c r="F3686" i="11"/>
  <c r="C3686" i="11"/>
  <c r="G2211" i="11"/>
  <c r="F2211" i="11"/>
  <c r="C2211" i="11"/>
  <c r="F4228" i="11"/>
  <c r="C4228" i="11"/>
  <c r="F3040" i="11"/>
  <c r="C3040" i="11"/>
  <c r="F4227" i="11"/>
  <c r="C4227" i="11"/>
  <c r="F3039" i="11"/>
  <c r="C3039" i="11"/>
  <c r="F7068" i="11"/>
  <c r="C7068" i="11"/>
  <c r="F3685" i="11"/>
  <c r="C3685" i="11"/>
  <c r="G2210" i="11"/>
  <c r="F2210" i="11"/>
  <c r="C2210" i="11"/>
  <c r="F6055" i="11"/>
  <c r="E6055" i="11"/>
  <c r="C6055" i="11"/>
  <c r="F3616" i="11"/>
  <c r="E3616" i="11"/>
  <c r="C3616" i="11"/>
  <c r="G2209" i="11"/>
  <c r="F2209" i="11"/>
  <c r="E2209" i="11"/>
  <c r="C2209" i="11"/>
  <c r="F7539" i="11"/>
  <c r="C7539" i="11"/>
  <c r="G3777" i="11"/>
  <c r="F3777" i="11"/>
  <c r="C3777" i="11"/>
  <c r="F3615" i="11"/>
  <c r="C3615" i="11"/>
  <c r="G2208" i="11"/>
  <c r="F2208" i="11"/>
  <c r="C2208" i="11"/>
  <c r="F161" i="11"/>
  <c r="C161" i="11"/>
  <c r="G4183" i="11"/>
  <c r="F4183" i="11"/>
  <c r="C4183" i="11"/>
  <c r="F3614" i="11"/>
  <c r="C3614" i="11"/>
  <c r="G2207" i="11"/>
  <c r="F2207" i="11"/>
  <c r="C2207" i="11"/>
  <c r="G3776" i="11"/>
  <c r="F3776" i="11"/>
  <c r="E3776" i="11"/>
  <c r="C3776" i="11"/>
  <c r="G2206" i="11"/>
  <c r="F2206" i="11"/>
  <c r="E2206" i="11"/>
  <c r="C2206" i="11"/>
  <c r="F6054" i="11"/>
  <c r="C6054" i="11"/>
  <c r="F3613" i="11"/>
  <c r="C3613" i="11"/>
  <c r="G2205" i="11"/>
  <c r="F2205" i="11"/>
  <c r="C2205" i="11"/>
  <c r="F7490" i="11"/>
  <c r="C7490" i="11"/>
  <c r="F7431" i="11"/>
  <c r="C7431" i="11"/>
  <c r="F3684" i="11"/>
  <c r="C3684" i="11"/>
  <c r="F2204" i="11"/>
  <c r="C2204" i="11"/>
  <c r="F3820" i="11"/>
  <c r="E3820" i="11"/>
  <c r="C3820" i="11"/>
  <c r="F2203" i="11"/>
  <c r="E2203" i="11"/>
  <c r="C2203" i="11"/>
  <c r="F6992" i="11"/>
  <c r="E6992" i="11"/>
  <c r="C6992" i="11"/>
  <c r="F3683" i="11"/>
  <c r="E3683" i="11"/>
  <c r="C3683" i="11"/>
  <c r="G2202" i="11"/>
  <c r="F2202" i="11"/>
  <c r="E2202" i="11"/>
  <c r="C2202" i="11"/>
  <c r="F6991" i="11"/>
  <c r="E6991" i="11"/>
  <c r="C6991" i="11"/>
  <c r="F3682" i="11"/>
  <c r="E3682" i="11"/>
  <c r="C3682" i="11"/>
  <c r="G2201" i="11"/>
  <c r="F2201" i="11"/>
  <c r="E2201" i="11"/>
  <c r="C2201" i="11"/>
  <c r="F7538" i="11"/>
  <c r="C7538" i="11"/>
  <c r="G3775" i="11"/>
  <c r="F3775" i="11"/>
  <c r="C3775" i="11"/>
  <c r="F7537" i="11"/>
  <c r="C7537" i="11"/>
  <c r="G3774" i="11"/>
  <c r="F3774" i="11"/>
  <c r="C3774" i="11"/>
  <c r="F7536" i="11"/>
  <c r="C7536" i="11"/>
  <c r="G3773" i="11"/>
  <c r="F3773" i="11"/>
  <c r="C3773" i="11"/>
  <c r="F7535" i="11"/>
  <c r="C7535" i="11"/>
  <c r="G3772" i="11"/>
  <c r="F3772" i="11"/>
  <c r="C3772" i="11"/>
  <c r="F6990" i="11"/>
  <c r="E6990" i="11"/>
  <c r="C6990" i="11"/>
  <c r="F3681" i="11"/>
  <c r="E3681" i="11"/>
  <c r="C3681" i="11"/>
  <c r="G2200" i="11"/>
  <c r="F2200" i="11"/>
  <c r="E2200" i="11"/>
  <c r="C2200" i="11"/>
  <c r="G3771" i="11"/>
  <c r="F3771" i="11"/>
  <c r="E3771" i="11"/>
  <c r="C3771" i="11"/>
  <c r="F3680" i="11"/>
  <c r="E3680" i="11"/>
  <c r="C3680" i="11"/>
  <c r="G2199" i="11"/>
  <c r="F2199" i="11"/>
  <c r="E2199" i="11"/>
  <c r="C2199" i="11"/>
  <c r="F7150" i="11"/>
  <c r="E7150" i="11"/>
  <c r="C7150" i="11"/>
  <c r="F3679" i="11"/>
  <c r="E3679" i="11"/>
  <c r="C3679" i="11"/>
  <c r="G2198" i="11"/>
  <c r="F2198" i="11"/>
  <c r="E2198" i="11"/>
  <c r="C2198" i="11"/>
  <c r="F7149" i="11"/>
  <c r="E7149" i="11"/>
  <c r="C7149" i="11"/>
  <c r="G4172" i="11"/>
  <c r="F4172" i="11"/>
  <c r="E4172" i="11"/>
  <c r="C4172" i="11"/>
  <c r="F3678" i="11"/>
  <c r="E3678" i="11"/>
  <c r="C3678" i="11"/>
  <c r="G2197" i="11"/>
  <c r="F2197" i="11"/>
  <c r="E2197" i="11"/>
  <c r="C2197" i="11"/>
  <c r="F7148" i="11"/>
  <c r="E7148" i="11"/>
  <c r="C7148" i="11"/>
  <c r="F3677" i="11"/>
  <c r="E3677" i="11"/>
  <c r="C3677" i="11"/>
  <c r="G2196" i="11"/>
  <c r="F2196" i="11"/>
  <c r="E2196" i="11"/>
  <c r="C2196" i="11"/>
  <c r="F7147" i="11"/>
  <c r="E7147" i="11"/>
  <c r="C7147" i="11"/>
  <c r="F3676" i="11"/>
  <c r="E3676" i="11"/>
  <c r="C3676" i="11"/>
  <c r="G2195" i="11"/>
  <c r="F2195" i="11"/>
  <c r="E2195" i="11"/>
  <c r="C2195" i="11"/>
  <c r="F7146" i="11"/>
  <c r="E7146" i="11"/>
  <c r="C7146" i="11"/>
  <c r="F3675" i="11"/>
  <c r="E3675" i="11"/>
  <c r="C3675" i="11"/>
  <c r="G2194" i="11"/>
  <c r="F2194" i="11"/>
  <c r="E2194" i="11"/>
  <c r="C2194" i="11"/>
  <c r="F7145" i="11"/>
  <c r="E7145" i="11"/>
  <c r="C7145" i="11"/>
  <c r="G4171" i="11"/>
  <c r="F4171" i="11"/>
  <c r="E4171" i="11"/>
  <c r="C4171" i="11"/>
  <c r="F3674" i="11"/>
  <c r="E3674" i="11"/>
  <c r="C3674" i="11"/>
  <c r="G2193" i="11"/>
  <c r="F2193" i="11"/>
  <c r="E2193" i="11"/>
  <c r="C2193" i="11"/>
  <c r="G4182" i="11"/>
  <c r="F4182" i="11"/>
  <c r="E4182" i="11"/>
  <c r="C4182" i="11"/>
  <c r="F3673" i="11"/>
  <c r="E3673" i="11"/>
  <c r="C3673" i="11"/>
  <c r="G2192" i="11"/>
  <c r="F2192" i="11"/>
  <c r="E2192" i="11"/>
  <c r="C2192" i="11"/>
  <c r="F7125" i="11"/>
  <c r="E7125" i="11"/>
  <c r="C7125" i="11"/>
  <c r="G4170" i="11"/>
  <c r="F4170" i="11"/>
  <c r="E4170" i="11"/>
  <c r="C4170" i="11"/>
  <c r="F3672" i="11"/>
  <c r="E3672" i="11"/>
  <c r="C3672" i="11"/>
  <c r="G2191" i="11"/>
  <c r="F2191" i="11"/>
  <c r="E2191" i="11"/>
  <c r="C2191" i="11"/>
  <c r="G4181" i="11"/>
  <c r="F4181" i="11"/>
  <c r="E4181" i="11"/>
  <c r="C4181" i="11"/>
  <c r="F3671" i="11"/>
  <c r="E3671" i="11"/>
  <c r="C3671" i="11"/>
  <c r="G2190" i="11"/>
  <c r="F2190" i="11"/>
  <c r="E2190" i="11"/>
  <c r="C2190" i="11"/>
  <c r="F7124" i="11"/>
  <c r="E7124" i="11"/>
  <c r="C7124" i="11"/>
  <c r="G4169" i="11"/>
  <c r="F4169" i="11"/>
  <c r="E4169" i="11"/>
  <c r="C4169" i="11"/>
  <c r="F3670" i="11"/>
  <c r="E3670" i="11"/>
  <c r="C3670" i="11"/>
  <c r="G2189" i="11"/>
  <c r="F2189" i="11"/>
  <c r="E2189" i="11"/>
  <c r="C2189" i="11"/>
  <c r="F7123" i="11"/>
  <c r="E7123" i="11"/>
  <c r="C7123" i="11"/>
  <c r="G4168" i="11"/>
  <c r="F4168" i="11"/>
  <c r="E4168" i="11"/>
  <c r="C4168" i="11"/>
  <c r="F3669" i="11"/>
  <c r="E3669" i="11"/>
  <c r="C3669" i="11"/>
  <c r="G2188" i="11"/>
  <c r="F2188" i="11"/>
  <c r="E2188" i="11"/>
  <c r="C2188" i="11"/>
  <c r="F7122" i="11"/>
  <c r="C7122" i="11"/>
  <c r="G4167" i="11"/>
  <c r="F4167" i="11"/>
  <c r="C4167" i="11"/>
  <c r="F3668" i="11"/>
  <c r="C3668" i="11"/>
  <c r="G2187" i="11"/>
  <c r="F2187" i="11"/>
  <c r="C2187" i="11"/>
  <c r="G4166" i="11"/>
  <c r="F4166" i="11"/>
  <c r="C4166" i="11"/>
  <c r="F3667" i="11"/>
  <c r="C3667" i="11"/>
  <c r="G2186" i="11"/>
  <c r="F2186" i="11"/>
  <c r="C2186" i="11"/>
  <c r="G4165" i="11"/>
  <c r="F4165" i="11"/>
  <c r="C4165" i="11"/>
  <c r="F3666" i="11"/>
  <c r="C3666" i="11"/>
  <c r="G2185" i="11"/>
  <c r="F2185" i="11"/>
  <c r="C2185" i="11"/>
  <c r="F3876" i="11"/>
  <c r="E3876" i="11"/>
  <c r="C3876" i="11"/>
  <c r="G2184" i="11"/>
  <c r="F2184" i="11"/>
  <c r="E2184" i="11"/>
  <c r="C2184" i="11"/>
  <c r="F3875" i="11"/>
  <c r="E3875" i="11"/>
  <c r="C3875" i="11"/>
  <c r="G2183" i="11"/>
  <c r="F2183" i="11"/>
  <c r="E2183" i="11"/>
  <c r="C2183" i="11"/>
  <c r="F6473" i="11"/>
  <c r="E6473" i="11"/>
  <c r="C6473" i="11"/>
  <c r="F3665" i="11"/>
  <c r="E3665" i="11"/>
  <c r="C3665" i="11"/>
  <c r="G2182" i="11"/>
  <c r="F2182" i="11"/>
  <c r="E2182" i="11"/>
  <c r="C2182" i="11"/>
  <c r="F6484" i="11"/>
  <c r="E6484" i="11"/>
  <c r="C6484" i="11"/>
  <c r="F3664" i="11"/>
  <c r="E3664" i="11"/>
  <c r="C3664" i="11"/>
  <c r="G2181" i="11"/>
  <c r="F2181" i="11"/>
  <c r="E2181" i="11"/>
  <c r="C2181" i="11"/>
  <c r="F6989" i="11"/>
  <c r="E6989" i="11"/>
  <c r="C6989" i="11"/>
  <c r="G2180" i="11"/>
  <c r="F2180" i="11"/>
  <c r="E2180" i="11"/>
  <c r="C2180" i="11"/>
  <c r="F6988" i="11"/>
  <c r="E6988" i="11"/>
  <c r="C6988" i="11"/>
  <c r="G2179" i="11"/>
  <c r="F2179" i="11"/>
  <c r="E2179" i="11"/>
  <c r="C2179" i="11"/>
  <c r="F7291" i="11"/>
  <c r="C7291" i="11"/>
  <c r="F3663" i="11"/>
  <c r="C3663" i="11"/>
  <c r="G2178" i="11"/>
  <c r="F2178" i="11"/>
  <c r="C2178" i="11"/>
  <c r="F7290" i="11"/>
  <c r="C7290" i="11"/>
  <c r="F3662" i="11"/>
  <c r="C3662" i="11"/>
  <c r="G2177" i="11"/>
  <c r="F2177" i="11"/>
  <c r="C2177" i="11"/>
  <c r="F7300" i="11"/>
  <c r="E7300" i="11"/>
  <c r="C7300" i="11"/>
  <c r="F3661" i="11"/>
  <c r="E3661" i="11"/>
  <c r="C3661" i="11"/>
  <c r="G2176" i="11"/>
  <c r="F2176" i="11"/>
  <c r="E2176" i="11"/>
  <c r="C2176" i="11"/>
  <c r="F6987" i="11"/>
  <c r="C6987" i="11"/>
  <c r="F3660" i="11"/>
  <c r="C3660" i="11"/>
  <c r="G2175" i="11"/>
  <c r="F2175" i="11"/>
  <c r="C2175" i="11"/>
  <c r="F7534" i="11"/>
  <c r="C7534" i="11"/>
  <c r="G3770" i="11"/>
  <c r="F3770" i="11"/>
  <c r="C3770" i="11"/>
  <c r="F6494" i="11"/>
  <c r="C6494" i="11"/>
  <c r="F3612" i="11"/>
  <c r="C3612" i="11"/>
  <c r="G2174" i="11"/>
  <c r="F2174" i="11"/>
  <c r="C2174" i="11"/>
  <c r="F6877" i="11"/>
  <c r="E6877" i="11"/>
  <c r="C6877" i="11"/>
  <c r="G2173" i="11"/>
  <c r="F2173" i="11"/>
  <c r="E2173" i="11"/>
  <c r="C2173" i="11"/>
  <c r="F6472" i="11"/>
  <c r="E6472" i="11"/>
  <c r="C6472" i="11"/>
  <c r="F3659" i="11"/>
  <c r="E3659" i="11"/>
  <c r="C3659" i="11"/>
  <c r="G2172" i="11"/>
  <c r="F2172" i="11"/>
  <c r="E2172" i="11"/>
  <c r="C2172" i="11"/>
  <c r="F6483" i="11"/>
  <c r="E6483" i="11"/>
  <c r="C6483" i="11"/>
  <c r="F3658" i="11"/>
  <c r="E3658" i="11"/>
  <c r="C3658" i="11"/>
  <c r="G2171" i="11"/>
  <c r="F2171" i="11"/>
  <c r="E2171" i="11"/>
  <c r="C2171" i="11"/>
  <c r="F6482" i="11"/>
  <c r="E6482" i="11"/>
  <c r="C6482" i="11"/>
  <c r="F3657" i="11"/>
  <c r="E3657" i="11"/>
  <c r="C3657" i="11"/>
  <c r="G2170" i="11"/>
  <c r="F2170" i="11"/>
  <c r="E2170" i="11"/>
  <c r="C2170" i="11"/>
  <c r="F6481" i="11"/>
  <c r="E6481" i="11"/>
  <c r="C6481" i="11"/>
  <c r="F3656" i="11"/>
  <c r="E3656" i="11"/>
  <c r="C3656" i="11"/>
  <c r="G2169" i="11"/>
  <c r="F2169" i="11"/>
  <c r="E2169" i="11"/>
  <c r="C2169" i="11"/>
  <c r="F3874" i="11"/>
  <c r="E3874" i="11"/>
  <c r="C3874" i="11"/>
  <c r="G2168" i="11"/>
  <c r="F2168" i="11"/>
  <c r="E2168" i="11"/>
  <c r="C2168" i="11"/>
  <c r="F3873" i="11"/>
  <c r="E3873" i="11"/>
  <c r="C3873" i="11"/>
  <c r="G2167" i="11"/>
  <c r="F2167" i="11"/>
  <c r="E2167" i="11"/>
  <c r="C2167" i="11"/>
  <c r="F6480" i="11"/>
  <c r="E6480" i="11"/>
  <c r="C6480" i="11"/>
  <c r="F3655" i="11"/>
  <c r="E3655" i="11"/>
  <c r="C3655" i="11"/>
  <c r="G2166" i="11"/>
  <c r="F2166" i="11"/>
  <c r="E2166" i="11"/>
  <c r="C2166" i="11"/>
  <c r="F7533" i="11"/>
  <c r="E7533" i="11"/>
  <c r="C7533" i="11"/>
  <c r="G3769" i="11"/>
  <c r="F3769" i="11"/>
  <c r="E3769" i="11"/>
  <c r="C3769" i="11"/>
  <c r="F7532" i="11"/>
  <c r="E7532" i="11"/>
  <c r="C7532" i="11"/>
  <c r="G3768" i="11"/>
  <c r="F3768" i="11"/>
  <c r="E3768" i="11"/>
  <c r="C3768" i="11"/>
  <c r="F7531" i="11"/>
  <c r="E7531" i="11"/>
  <c r="C7531" i="11"/>
  <c r="G3767" i="11"/>
  <c r="F3767" i="11"/>
  <c r="E3767" i="11"/>
  <c r="C3767" i="11"/>
  <c r="F7530" i="11"/>
  <c r="E7530" i="11"/>
  <c r="C7530" i="11"/>
  <c r="G3766" i="11"/>
  <c r="F3766" i="11"/>
  <c r="E3766" i="11"/>
  <c r="C3766" i="11"/>
  <c r="F7529" i="11"/>
  <c r="C7529" i="11"/>
  <c r="G3765" i="11"/>
  <c r="F3765" i="11"/>
  <c r="C3765" i="11"/>
  <c r="F7528" i="11"/>
  <c r="C7528" i="11"/>
  <c r="G3764" i="11"/>
  <c r="F3764" i="11"/>
  <c r="C3764" i="11"/>
  <c r="F4226" i="11"/>
  <c r="C4226" i="11"/>
  <c r="F3654" i="11"/>
  <c r="C3654" i="11"/>
  <c r="G2165" i="11"/>
  <c r="F2165" i="11"/>
  <c r="C2165" i="11"/>
  <c r="G4164" i="11"/>
  <c r="F4164" i="11"/>
  <c r="E4164" i="11"/>
  <c r="C4164" i="11"/>
  <c r="F3653" i="11"/>
  <c r="E3653" i="11"/>
  <c r="C3653" i="11"/>
  <c r="G2164" i="11"/>
  <c r="F2164" i="11"/>
  <c r="E2164" i="11"/>
  <c r="C2164" i="11"/>
  <c r="G4163" i="11"/>
  <c r="F4163" i="11"/>
  <c r="C4163" i="11"/>
  <c r="F3652" i="11"/>
  <c r="C3652" i="11"/>
  <c r="G2163" i="11"/>
  <c r="F2163" i="11"/>
  <c r="C2163" i="11"/>
  <c r="G4162" i="11"/>
  <c r="F4162" i="11"/>
  <c r="C4162" i="11"/>
  <c r="F3651" i="11"/>
  <c r="C3651" i="11"/>
  <c r="G2162" i="11"/>
  <c r="F2162" i="11"/>
  <c r="C2162" i="11"/>
  <c r="G4161" i="11"/>
  <c r="F4161" i="11"/>
  <c r="C4161" i="11"/>
  <c r="F3650" i="11"/>
  <c r="C3650" i="11"/>
  <c r="G2161" i="11"/>
  <c r="F2161" i="11"/>
  <c r="C2161" i="11"/>
  <c r="G4160" i="11"/>
  <c r="F4160" i="11"/>
  <c r="E4160" i="11"/>
  <c r="C4160" i="11"/>
  <c r="G2160" i="11"/>
  <c r="F2160" i="11"/>
  <c r="E2160" i="11"/>
  <c r="C2160" i="11"/>
  <c r="F3895" i="11"/>
  <c r="E3895" i="11"/>
  <c r="C3895" i="11"/>
  <c r="G2159" i="11"/>
  <c r="F2159" i="11"/>
  <c r="E2159" i="11"/>
  <c r="C2159" i="11"/>
  <c r="G4159" i="11"/>
  <c r="F4159" i="11"/>
  <c r="C4159" i="11"/>
  <c r="F3649" i="11"/>
  <c r="C3649" i="11"/>
  <c r="G2158" i="11"/>
  <c r="F2158" i="11"/>
  <c r="C2158" i="11"/>
  <c r="F7273" i="11"/>
  <c r="E7273" i="11"/>
  <c r="C7273" i="11"/>
  <c r="G2157" i="11"/>
  <c r="F2157" i="11"/>
  <c r="E2157" i="11"/>
  <c r="C2157" i="11"/>
  <c r="F7268" i="11"/>
  <c r="E7268" i="11"/>
  <c r="C7268" i="11"/>
  <c r="G2156" i="11"/>
  <c r="F2156" i="11"/>
  <c r="E2156" i="11"/>
  <c r="C2156" i="11"/>
  <c r="F7289" i="11"/>
  <c r="E7289" i="11"/>
  <c r="C7289" i="11"/>
  <c r="F2155" i="11"/>
  <c r="E2155" i="11"/>
  <c r="C2155" i="11"/>
  <c r="F4158" i="11"/>
  <c r="C4158" i="11"/>
  <c r="F3731" i="11"/>
  <c r="C3731" i="11"/>
  <c r="F2154" i="11"/>
  <c r="C2154" i="11"/>
  <c r="F6876" i="11"/>
  <c r="E6876" i="11"/>
  <c r="C6876" i="11"/>
  <c r="F3648" i="11"/>
  <c r="E3648" i="11"/>
  <c r="C3648" i="11"/>
  <c r="G2153" i="11"/>
  <c r="F2153" i="11"/>
  <c r="E2153" i="11"/>
  <c r="C2153" i="11"/>
  <c r="F7067" i="11"/>
  <c r="C7067" i="11"/>
  <c r="F3647" i="11"/>
  <c r="C3647" i="11"/>
  <c r="G2152" i="11"/>
  <c r="F2152" i="11"/>
  <c r="C2152" i="11"/>
  <c r="F6516" i="11"/>
  <c r="E6516" i="11"/>
  <c r="C6516" i="11"/>
  <c r="F3646" i="11"/>
  <c r="E3646" i="11"/>
  <c r="C3646" i="11"/>
  <c r="F2964" i="11"/>
  <c r="E2964" i="11"/>
  <c r="C2964" i="11"/>
  <c r="F2151" i="11"/>
  <c r="E2151" i="11"/>
  <c r="C2151" i="11"/>
  <c r="F3611" i="11"/>
  <c r="C3611" i="11"/>
  <c r="G2150" i="11"/>
  <c r="F2150" i="11"/>
  <c r="C2150" i="11"/>
  <c r="F160" i="11"/>
  <c r="C160" i="11"/>
  <c r="F7519" i="11"/>
  <c r="E7519" i="11"/>
  <c r="C7519" i="11"/>
  <c r="G2149" i="11"/>
  <c r="F2149" i="11"/>
  <c r="E2149" i="11"/>
  <c r="C2149" i="11"/>
  <c r="F7518" i="11"/>
  <c r="E7518" i="11"/>
  <c r="C7518" i="11"/>
  <c r="G2148" i="11"/>
  <c r="F2148" i="11"/>
  <c r="E2148" i="11"/>
  <c r="C2148" i="11"/>
  <c r="F7517" i="11"/>
  <c r="E7517" i="11"/>
  <c r="C7517" i="11"/>
  <c r="G2147" i="11"/>
  <c r="F2147" i="11"/>
  <c r="E2147" i="11"/>
  <c r="C2147" i="11"/>
  <c r="F7516" i="11"/>
  <c r="E7516" i="11"/>
  <c r="C7516" i="11"/>
  <c r="G2146" i="11"/>
  <c r="F2146" i="11"/>
  <c r="E2146" i="11"/>
  <c r="C2146" i="11"/>
  <c r="F7515" i="11"/>
  <c r="E7515" i="11"/>
  <c r="C7515" i="11"/>
  <c r="G2145" i="11"/>
  <c r="F2145" i="11"/>
  <c r="E2145" i="11"/>
  <c r="C2145" i="11"/>
  <c r="F7514" i="11"/>
  <c r="E7514" i="11"/>
  <c r="C7514" i="11"/>
  <c r="G2144" i="11"/>
  <c r="F2144" i="11"/>
  <c r="E2144" i="11"/>
  <c r="C2144" i="11"/>
  <c r="F7513" i="11"/>
  <c r="E7513" i="11"/>
  <c r="C7513" i="11"/>
  <c r="G2143" i="11"/>
  <c r="F2143" i="11"/>
  <c r="E2143" i="11"/>
  <c r="C2143" i="11"/>
  <c r="F7527" i="11"/>
  <c r="C7527" i="11"/>
  <c r="G3763" i="11"/>
  <c r="F3763" i="11"/>
  <c r="C3763" i="11"/>
  <c r="F7526" i="11"/>
  <c r="C7526" i="11"/>
  <c r="G3762" i="11"/>
  <c r="F3762" i="11"/>
  <c r="C3762" i="11"/>
  <c r="F7144" i="11"/>
  <c r="C7144" i="11"/>
  <c r="F3645" i="11"/>
  <c r="C3645" i="11"/>
  <c r="G2142" i="11"/>
  <c r="F2142" i="11"/>
  <c r="C2142" i="11"/>
  <c r="F7143" i="11"/>
  <c r="C7143" i="11"/>
  <c r="F3644" i="11"/>
  <c r="C3644" i="11"/>
  <c r="G2141" i="11"/>
  <c r="F2141" i="11"/>
  <c r="C2141" i="11"/>
  <c r="F7142" i="11"/>
  <c r="C7142" i="11"/>
  <c r="F3643" i="11"/>
  <c r="C3643" i="11"/>
  <c r="G2140" i="11"/>
  <c r="F2140" i="11"/>
  <c r="C2140" i="11"/>
  <c r="F7141" i="11"/>
  <c r="C7141" i="11"/>
  <c r="F3642" i="11"/>
  <c r="C3642" i="11"/>
  <c r="G2139" i="11"/>
  <c r="F2139" i="11"/>
  <c r="C2139" i="11"/>
  <c r="F7140" i="11"/>
  <c r="C7140" i="11"/>
  <c r="F3641" i="11"/>
  <c r="C3641" i="11"/>
  <c r="G2138" i="11"/>
  <c r="F2138" i="11"/>
  <c r="C2138" i="11"/>
  <c r="F7139" i="11"/>
  <c r="C7139" i="11"/>
  <c r="F3640" i="11"/>
  <c r="C3640" i="11"/>
  <c r="G2137" i="11"/>
  <c r="F2137" i="11"/>
  <c r="C2137" i="11"/>
  <c r="F7138" i="11"/>
  <c r="C7138" i="11"/>
  <c r="F3639" i="11"/>
  <c r="C3639" i="11"/>
  <c r="G2136" i="11"/>
  <c r="F2136" i="11"/>
  <c r="C2136" i="11"/>
  <c r="F3610" i="11"/>
  <c r="C3610" i="11"/>
  <c r="G2135" i="11"/>
  <c r="F2135" i="11"/>
  <c r="C2135" i="11"/>
  <c r="F937" i="11"/>
  <c r="C937" i="11"/>
  <c r="F7525" i="11"/>
  <c r="C7525" i="11"/>
  <c r="G3761" i="11"/>
  <c r="F3761" i="11"/>
  <c r="C3761" i="11"/>
  <c r="F7524" i="11"/>
  <c r="C7524" i="11"/>
  <c r="G3760" i="11"/>
  <c r="F3760" i="11"/>
  <c r="C3760" i="11"/>
  <c r="F7523" i="11"/>
  <c r="C7523" i="11"/>
  <c r="G3759" i="11"/>
  <c r="F3759" i="11"/>
  <c r="C3759" i="11"/>
  <c r="F7522" i="11"/>
  <c r="C7522" i="11"/>
  <c r="G3758" i="11"/>
  <c r="F3758" i="11"/>
  <c r="C3758" i="11"/>
  <c r="F7521" i="11"/>
  <c r="C7521" i="11"/>
  <c r="G3757" i="11"/>
  <c r="F3757" i="11"/>
  <c r="C3757" i="11"/>
  <c r="F6514" i="11"/>
  <c r="E6514" i="11"/>
  <c r="C6514" i="11"/>
  <c r="F3638" i="11"/>
  <c r="E3638" i="11"/>
  <c r="C3638" i="11"/>
  <c r="G2134" i="11"/>
  <c r="F2134" i="11"/>
  <c r="E2134" i="11"/>
  <c r="C2134" i="11"/>
  <c r="F6875" i="11"/>
  <c r="E6875" i="11"/>
  <c r="C6875" i="11"/>
  <c r="F2133" i="11"/>
  <c r="E2133" i="11"/>
  <c r="C2133" i="11"/>
  <c r="F6874" i="11"/>
  <c r="E6874" i="11"/>
  <c r="C6874" i="11"/>
  <c r="F2132" i="11"/>
  <c r="E2132" i="11"/>
  <c r="C2132" i="11"/>
  <c r="F6873" i="11"/>
  <c r="E6873" i="11"/>
  <c r="C6873" i="11"/>
  <c r="F2131" i="11"/>
  <c r="E2131" i="11"/>
  <c r="C2131" i="11"/>
  <c r="F6872" i="11"/>
  <c r="E6872" i="11"/>
  <c r="C6872" i="11"/>
  <c r="F2130" i="11"/>
  <c r="E2130" i="11"/>
  <c r="C2130" i="11"/>
  <c r="F7085" i="11"/>
  <c r="C7085" i="11"/>
  <c r="G2129" i="11"/>
  <c r="F2129" i="11"/>
  <c r="C2129" i="11"/>
  <c r="F7084" i="11"/>
  <c r="C7084" i="11"/>
  <c r="G2128" i="11"/>
  <c r="F2128" i="11"/>
  <c r="C2128" i="11"/>
  <c r="F7651" i="11"/>
  <c r="C7651" i="11"/>
  <c r="G2127" i="11"/>
  <c r="F2127" i="11"/>
  <c r="C2127" i="11"/>
  <c r="F7650" i="11"/>
  <c r="C7650" i="11"/>
  <c r="G2126" i="11"/>
  <c r="F2126" i="11"/>
  <c r="C2126" i="11"/>
  <c r="F7649" i="11"/>
  <c r="C7649" i="11"/>
  <c r="G2125" i="11"/>
  <c r="F2125" i="11"/>
  <c r="C2125" i="11"/>
  <c r="F6885" i="11"/>
  <c r="E6885" i="11"/>
  <c r="C6885" i="11"/>
  <c r="F2124" i="11"/>
  <c r="E2124" i="11"/>
  <c r="C2124" i="11"/>
  <c r="F6884" i="11"/>
  <c r="E6884" i="11"/>
  <c r="C6884" i="11"/>
  <c r="F2123" i="11"/>
  <c r="E2123" i="11"/>
  <c r="C2123" i="11"/>
  <c r="F6883" i="11"/>
  <c r="E6883" i="11"/>
  <c r="C6883" i="11"/>
  <c r="F2122" i="11"/>
  <c r="E2122" i="11"/>
  <c r="C2122" i="11"/>
  <c r="F6882" i="11"/>
  <c r="E6882" i="11"/>
  <c r="C6882" i="11"/>
  <c r="F2121" i="11"/>
  <c r="E2121" i="11"/>
  <c r="C2121" i="11"/>
  <c r="F7083" i="11"/>
  <c r="C7083" i="11"/>
  <c r="G2120" i="11"/>
  <c r="F2120" i="11"/>
  <c r="C2120" i="11"/>
  <c r="F7082" i="11"/>
  <c r="C7082" i="11"/>
  <c r="G2119" i="11"/>
  <c r="F2119" i="11"/>
  <c r="C2119" i="11"/>
  <c r="F6972" i="11"/>
  <c r="C6972" i="11"/>
  <c r="F4157" i="11"/>
  <c r="C4157" i="11"/>
  <c r="F6971" i="11"/>
  <c r="C6971" i="11"/>
  <c r="F4156" i="11"/>
  <c r="C4156" i="11"/>
  <c r="F6970" i="11"/>
  <c r="C6970" i="11"/>
  <c r="G4155" i="11"/>
  <c r="F4155" i="11"/>
  <c r="C4155" i="11"/>
  <c r="F6969" i="11"/>
  <c r="C6969" i="11"/>
  <c r="G4154" i="11"/>
  <c r="F4154" i="11"/>
  <c r="C4154" i="11"/>
  <c r="F6968" i="11"/>
  <c r="C6968" i="11"/>
  <c r="G4153" i="11"/>
  <c r="F4153" i="11"/>
  <c r="C4153" i="11"/>
  <c r="F6943" i="11"/>
  <c r="C6943" i="11"/>
  <c r="G4152" i="11"/>
  <c r="F4152" i="11"/>
  <c r="C4152" i="11"/>
  <c r="F6942" i="11"/>
  <c r="C6942" i="11"/>
  <c r="G4151" i="11"/>
  <c r="F4151" i="11"/>
  <c r="C4151" i="11"/>
  <c r="F6941" i="11"/>
  <c r="C6941" i="11"/>
  <c r="G4150" i="11"/>
  <c r="F4150" i="11"/>
  <c r="C4150" i="11"/>
  <c r="F6940" i="11"/>
  <c r="C6940" i="11"/>
  <c r="G4149" i="11"/>
  <c r="F4149" i="11"/>
  <c r="C4149" i="11"/>
  <c r="F6939" i="11"/>
  <c r="C6939" i="11"/>
  <c r="G4148" i="11"/>
  <c r="F4148" i="11"/>
  <c r="C4148" i="11"/>
  <c r="F6967" i="11"/>
  <c r="C6967" i="11"/>
  <c r="G4147" i="11"/>
  <c r="F4147" i="11"/>
  <c r="C4147" i="11"/>
  <c r="F6966" i="11"/>
  <c r="C6966" i="11"/>
  <c r="G4146" i="11"/>
  <c r="F4146" i="11"/>
  <c r="C4146" i="11"/>
  <c r="F6965" i="11"/>
  <c r="C6965" i="11"/>
  <c r="G4145" i="11"/>
  <c r="F4145" i="11"/>
  <c r="C4145" i="11"/>
  <c r="F6964" i="11"/>
  <c r="C6964" i="11"/>
  <c r="G4144" i="11"/>
  <c r="F4144" i="11"/>
  <c r="C4144" i="11"/>
  <c r="F6938" i="11"/>
  <c r="C6938" i="11"/>
  <c r="G4143" i="11"/>
  <c r="F4143" i="11"/>
  <c r="C4143" i="11"/>
  <c r="F6937" i="11"/>
  <c r="C6937" i="11"/>
  <c r="G4142" i="11"/>
  <c r="F4142" i="11"/>
  <c r="C4142" i="11"/>
  <c r="F6936" i="11"/>
  <c r="C6936" i="11"/>
  <c r="G4141" i="11"/>
  <c r="F4141" i="11"/>
  <c r="C4141" i="11"/>
  <c r="F6935" i="11"/>
  <c r="C6935" i="11"/>
  <c r="G4140" i="11"/>
  <c r="F4140" i="11"/>
  <c r="C4140" i="11"/>
  <c r="F6934" i="11"/>
  <c r="C6934" i="11"/>
  <c r="G4139" i="11"/>
  <c r="F4139" i="11"/>
  <c r="C4139" i="11"/>
  <c r="F6933" i="11"/>
  <c r="C6933" i="11"/>
  <c r="G4138" i="11"/>
  <c r="F4138" i="11"/>
  <c r="C4138" i="11"/>
  <c r="F6932" i="11"/>
  <c r="C6932" i="11"/>
  <c r="G4137" i="11"/>
  <c r="F4137" i="11"/>
  <c r="C4137" i="11"/>
  <c r="F6931" i="11"/>
  <c r="C6931" i="11"/>
  <c r="G4136" i="11"/>
  <c r="F4136" i="11"/>
  <c r="C4136" i="11"/>
  <c r="F6930" i="11"/>
  <c r="C6930" i="11"/>
  <c r="G4135" i="11"/>
  <c r="F4135" i="11"/>
  <c r="C4135" i="11"/>
  <c r="F6929" i="11"/>
  <c r="C6929" i="11"/>
  <c r="G4134" i="11"/>
  <c r="F4134" i="11"/>
  <c r="C4134" i="11"/>
  <c r="F6928" i="11"/>
  <c r="C6928" i="11"/>
  <c r="G4133" i="11"/>
  <c r="F4133" i="11"/>
  <c r="C4133" i="11"/>
  <c r="F6927" i="11"/>
  <c r="C6927" i="11"/>
  <c r="G4132" i="11"/>
  <c r="F4132" i="11"/>
  <c r="C4132" i="11"/>
  <c r="F6926" i="11"/>
  <c r="C6926" i="11"/>
  <c r="G4131" i="11"/>
  <c r="F4131" i="11"/>
  <c r="C4131" i="11"/>
  <c r="F6925" i="11"/>
  <c r="C6925" i="11"/>
  <c r="G4130" i="11"/>
  <c r="F4130" i="11"/>
  <c r="C4130" i="11"/>
  <c r="F7597" i="11"/>
  <c r="C7597" i="11"/>
  <c r="F3022" i="11"/>
  <c r="C3022" i="11"/>
  <c r="F7638" i="11"/>
  <c r="C7638" i="11"/>
  <c r="G4129" i="11"/>
  <c r="F4129" i="11"/>
  <c r="C4129" i="11"/>
  <c r="F7267" i="11"/>
  <c r="C7267" i="11"/>
  <c r="G4128" i="11"/>
  <c r="F4128" i="11"/>
  <c r="C4128" i="11"/>
  <c r="F7081" i="11"/>
  <c r="C7081" i="11"/>
  <c r="F4225" i="11"/>
  <c r="C4225" i="11"/>
  <c r="F7080" i="11"/>
  <c r="C7080" i="11"/>
  <c r="F4224" i="11"/>
  <c r="C4224" i="11"/>
  <c r="F7079" i="11"/>
  <c r="C7079" i="11"/>
  <c r="F4223" i="11"/>
  <c r="C4223" i="11"/>
  <c r="F7078" i="11"/>
  <c r="C7078" i="11"/>
  <c r="F4222" i="11"/>
  <c r="C4222" i="11"/>
  <c r="F7077" i="11"/>
  <c r="C7077" i="11"/>
  <c r="F4221" i="11"/>
  <c r="C4221" i="11"/>
  <c r="F7413" i="11"/>
  <c r="C7413" i="11"/>
  <c r="F4220" i="11"/>
  <c r="C4220" i="11"/>
  <c r="F7412" i="11"/>
  <c r="C7412" i="11"/>
  <c r="F4219" i="11"/>
  <c r="C4219" i="11"/>
  <c r="F7473" i="11"/>
  <c r="C7473" i="11"/>
  <c r="F4218" i="11"/>
  <c r="C4218" i="11"/>
  <c r="F7298" i="11"/>
  <c r="C7298" i="11"/>
  <c r="F4217" i="11"/>
  <c r="C4217" i="11"/>
  <c r="F7411" i="11"/>
  <c r="C7411" i="11"/>
  <c r="F4216" i="11"/>
  <c r="C4216" i="11"/>
  <c r="F7410" i="11"/>
  <c r="C7410" i="11"/>
  <c r="F4215" i="11"/>
  <c r="C4215" i="11"/>
  <c r="F7409" i="11"/>
  <c r="C7409" i="11"/>
  <c r="F4214" i="11"/>
  <c r="C4214" i="11"/>
  <c r="F7408" i="11"/>
  <c r="C7408" i="11"/>
  <c r="F4213" i="11"/>
  <c r="C4213" i="11"/>
  <c r="F7137" i="11"/>
  <c r="C7137" i="11"/>
  <c r="G4127" i="11"/>
  <c r="F4127" i="11"/>
  <c r="C4127" i="11"/>
  <c r="F7076" i="11"/>
  <c r="C7076" i="11"/>
  <c r="F4212" i="11"/>
  <c r="C4212" i="11"/>
  <c r="F7695" i="11"/>
  <c r="C7695" i="11"/>
  <c r="F4211" i="11"/>
  <c r="C4211" i="11"/>
  <c r="F7511" i="11"/>
  <c r="C7511" i="11"/>
  <c r="F4210" i="11"/>
  <c r="C4210" i="11"/>
  <c r="F7436" i="11"/>
  <c r="C7436" i="11"/>
  <c r="F4209" i="11"/>
  <c r="C4209" i="11"/>
  <c r="F7435" i="11"/>
  <c r="C7435" i="11"/>
  <c r="F4208" i="11"/>
  <c r="C4208" i="11"/>
  <c r="F7434" i="11"/>
  <c r="C7434" i="11"/>
  <c r="F4207" i="11"/>
  <c r="C4207" i="11"/>
  <c r="F7136" i="11"/>
  <c r="C7136" i="11"/>
  <c r="G4126" i="11"/>
  <c r="F4126" i="11"/>
  <c r="C4126" i="11"/>
  <c r="F7415" i="11"/>
  <c r="C7415" i="11"/>
  <c r="F4206" i="11"/>
  <c r="C4206" i="11"/>
  <c r="F6903" i="11"/>
  <c r="C6903" i="11"/>
  <c r="G4125" i="11"/>
  <c r="F4125" i="11"/>
  <c r="C4125" i="11"/>
  <c r="F7097" i="11"/>
  <c r="C7097" i="11"/>
  <c r="F4205" i="11"/>
  <c r="C4205" i="11"/>
  <c r="F6908" i="11"/>
  <c r="C6908" i="11"/>
  <c r="G4124" i="11"/>
  <c r="F4124" i="11"/>
  <c r="C4124" i="11"/>
  <c r="F6902" i="11"/>
  <c r="C6902" i="11"/>
  <c r="G4123" i="11"/>
  <c r="F4123" i="11"/>
  <c r="C4123" i="11"/>
  <c r="F7610" i="11"/>
  <c r="C7610" i="11"/>
  <c r="G4122" i="11"/>
  <c r="F4122" i="11"/>
  <c r="C4122" i="11"/>
  <c r="F7609" i="11"/>
  <c r="C7609" i="11"/>
  <c r="G4121" i="11"/>
  <c r="F4121" i="11"/>
  <c r="C4121" i="11"/>
  <c r="F6922" i="11"/>
  <c r="C6922" i="11"/>
  <c r="G4120" i="11"/>
  <c r="F4120" i="11"/>
  <c r="C4120" i="11"/>
  <c r="F6921" i="11"/>
  <c r="C6921" i="11"/>
  <c r="G4119" i="11"/>
  <c r="F4119" i="11"/>
  <c r="C4119" i="11"/>
  <c r="F7065" i="11"/>
  <c r="C7065" i="11"/>
  <c r="G4118" i="11"/>
  <c r="F4118" i="11"/>
  <c r="C4118" i="11"/>
  <c r="F7121" i="11"/>
  <c r="C7121" i="11"/>
  <c r="G4117" i="11"/>
  <c r="F4117" i="11"/>
  <c r="C4117" i="11"/>
  <c r="F7120" i="11"/>
  <c r="C7120" i="11"/>
  <c r="G4116" i="11"/>
  <c r="F4116" i="11"/>
  <c r="C4116" i="11"/>
  <c r="F7135" i="11"/>
  <c r="C7135" i="11"/>
  <c r="G4115" i="11"/>
  <c r="F4115" i="11"/>
  <c r="C4115" i="11"/>
  <c r="F7608" i="11"/>
  <c r="C7608" i="11"/>
  <c r="G4114" i="11"/>
  <c r="F4114" i="11"/>
  <c r="C4114" i="11"/>
  <c r="F7283" i="11"/>
  <c r="C7283" i="11"/>
  <c r="G4113" i="11"/>
  <c r="F4113" i="11"/>
  <c r="C4113" i="11"/>
  <c r="F7282" i="11"/>
  <c r="C7282" i="11"/>
  <c r="G4112" i="11"/>
  <c r="F4112" i="11"/>
  <c r="C4112" i="11"/>
  <c r="F7119" i="11"/>
  <c r="C7119" i="11"/>
  <c r="G4111" i="11"/>
  <c r="F4111" i="11"/>
  <c r="C4111" i="11"/>
  <c r="F7099" i="11"/>
  <c r="C7099" i="11"/>
  <c r="F4204" i="11"/>
  <c r="C4204" i="11"/>
  <c r="F7101" i="11"/>
  <c r="C7101" i="11"/>
  <c r="F4203" i="11"/>
  <c r="C4203" i="11"/>
  <c r="F7648" i="11"/>
  <c r="C7648" i="11"/>
  <c r="F4202" i="11"/>
  <c r="C4202" i="11"/>
  <c r="F7064" i="11"/>
  <c r="C7064" i="11"/>
  <c r="G4110" i="11"/>
  <c r="F4110" i="11"/>
  <c r="C4110" i="11"/>
  <c r="F7118" i="11"/>
  <c r="C7118" i="11"/>
  <c r="G4109" i="11"/>
  <c r="F4109" i="11"/>
  <c r="C4109" i="11"/>
  <c r="F7553" i="11"/>
  <c r="C7553" i="11"/>
  <c r="F4201" i="11"/>
  <c r="C4201" i="11"/>
  <c r="F7492" i="11"/>
  <c r="C7492" i="11"/>
  <c r="F4200" i="11"/>
  <c r="C4200" i="11"/>
  <c r="F7419" i="11"/>
  <c r="C7419" i="11"/>
  <c r="F3723" i="11"/>
  <c r="C3723" i="11"/>
  <c r="F7417" i="11"/>
  <c r="C7417" i="11"/>
  <c r="F4199" i="11"/>
  <c r="C4199" i="11"/>
  <c r="F7607" i="11"/>
  <c r="C7607" i="11"/>
  <c r="F4198" i="11"/>
  <c r="C4198" i="11"/>
  <c r="F7104" i="11"/>
  <c r="C7104" i="11"/>
  <c r="F4197" i="11"/>
  <c r="C4197" i="11"/>
  <c r="F7103" i="11"/>
  <c r="C7103" i="11"/>
  <c r="F4196" i="11"/>
  <c r="C4196" i="11"/>
  <c r="F6907" i="11"/>
  <c r="C6907" i="11"/>
  <c r="F4108" i="11"/>
  <c r="C4108" i="11"/>
  <c r="F7117" i="11"/>
  <c r="C7117" i="11"/>
  <c r="G4107" i="11"/>
  <c r="F4107" i="11"/>
  <c r="C4107" i="11"/>
  <c r="F7116" i="11"/>
  <c r="C7116" i="11"/>
  <c r="G4106" i="11"/>
  <c r="F4106" i="11"/>
  <c r="C4106" i="11"/>
  <c r="F7266" i="11"/>
  <c r="C7266" i="11"/>
  <c r="G4105" i="11"/>
  <c r="F4105" i="11"/>
  <c r="C4105" i="11"/>
  <c r="F7281" i="11"/>
  <c r="C7281" i="11"/>
  <c r="G4104" i="11"/>
  <c r="F4104" i="11"/>
  <c r="C4104" i="11"/>
  <c r="F7280" i="11"/>
  <c r="C7280" i="11"/>
  <c r="G4103" i="11"/>
  <c r="F4103" i="11"/>
  <c r="C4103" i="11"/>
  <c r="F7278" i="11"/>
  <c r="C7278" i="11"/>
  <c r="G4102" i="11"/>
  <c r="F4102" i="11"/>
  <c r="C4102" i="11"/>
  <c r="F7613" i="11"/>
  <c r="C7613" i="11"/>
  <c r="F4195" i="11"/>
  <c r="C4195" i="11"/>
  <c r="F7654" i="11"/>
  <c r="C7654" i="11"/>
  <c r="G4101" i="11"/>
  <c r="F4101" i="11"/>
  <c r="C4101" i="11"/>
  <c r="F7472" i="11"/>
  <c r="C7472" i="11"/>
  <c r="F4194" i="11"/>
  <c r="C4194" i="11"/>
  <c r="F7471" i="11"/>
  <c r="C7471" i="11"/>
  <c r="F4193" i="11"/>
  <c r="C4193" i="11"/>
  <c r="F7470" i="11"/>
  <c r="C7470" i="11"/>
  <c r="F4192" i="11"/>
  <c r="C4192" i="11"/>
  <c r="F7296" i="11"/>
  <c r="C7296" i="11"/>
  <c r="G4100" i="11"/>
  <c r="F4100" i="11"/>
  <c r="C4100" i="11"/>
  <c r="F7606" i="11"/>
  <c r="C7606" i="11"/>
  <c r="G4099" i="11"/>
  <c r="F4099" i="11"/>
  <c r="C4099" i="11"/>
  <c r="F7295" i="11"/>
  <c r="C7295" i="11"/>
  <c r="G4098" i="11"/>
  <c r="F4098" i="11"/>
  <c r="C4098" i="11"/>
  <c r="F7653" i="11"/>
  <c r="C7653" i="11"/>
  <c r="G4097" i="11"/>
  <c r="F4097" i="11"/>
  <c r="C4097" i="11"/>
  <c r="F7294" i="11"/>
  <c r="C7294" i="11"/>
  <c r="F4096" i="11"/>
  <c r="C4096" i="11"/>
  <c r="F7293" i="11"/>
  <c r="C7293" i="11"/>
  <c r="G4095" i="11"/>
  <c r="F4095" i="11"/>
  <c r="C4095" i="11"/>
  <c r="F8165" i="11"/>
  <c r="C8165" i="11"/>
  <c r="F2969" i="11"/>
  <c r="C2969" i="11"/>
  <c r="F6906" i="11"/>
  <c r="C6906" i="11"/>
  <c r="G4094" i="11"/>
  <c r="F4094" i="11"/>
  <c r="C4094" i="11"/>
  <c r="F6905" i="11"/>
  <c r="C6905" i="11"/>
  <c r="G4093" i="11"/>
  <c r="F4093" i="11"/>
  <c r="C4093" i="11"/>
  <c r="G2118" i="11"/>
  <c r="F2118" i="11"/>
  <c r="E2118" i="11"/>
  <c r="C2118" i="11"/>
  <c r="F936" i="11"/>
  <c r="E936" i="11"/>
  <c r="C936" i="11"/>
  <c r="F424" i="11"/>
  <c r="E424" i="11"/>
  <c r="C424" i="11"/>
  <c r="G2117" i="11"/>
  <c r="F2117" i="11"/>
  <c r="E2117" i="11"/>
  <c r="C2117" i="11"/>
  <c r="F935" i="11"/>
  <c r="E935" i="11"/>
  <c r="C935" i="11"/>
  <c r="G2116" i="11"/>
  <c r="F2116" i="11"/>
  <c r="E2116" i="11"/>
  <c r="C2116" i="11"/>
  <c r="F934" i="11"/>
  <c r="E934" i="11"/>
  <c r="C934" i="11"/>
  <c r="G2115" i="11"/>
  <c r="F2115" i="11"/>
  <c r="E2115" i="11"/>
  <c r="C2115" i="11"/>
  <c r="F933" i="11"/>
  <c r="E933" i="11"/>
  <c r="C933" i="11"/>
  <c r="G2114" i="11"/>
  <c r="F2114" i="11"/>
  <c r="E2114" i="11"/>
  <c r="C2114" i="11"/>
  <c r="F932" i="11"/>
  <c r="E932" i="11"/>
  <c r="C932" i="11"/>
  <c r="G2113" i="11"/>
  <c r="F2113" i="11"/>
  <c r="E2113" i="11"/>
  <c r="C2113" i="11"/>
  <c r="F931" i="11"/>
  <c r="E931" i="11"/>
  <c r="C931" i="11"/>
  <c r="G2112" i="11"/>
  <c r="F2112" i="11"/>
  <c r="E2112" i="11"/>
  <c r="C2112" i="11"/>
  <c r="F930" i="11"/>
  <c r="E930" i="11"/>
  <c r="C930" i="11"/>
  <c r="G2111" i="11"/>
  <c r="F2111" i="11"/>
  <c r="E2111" i="11"/>
  <c r="C2111" i="11"/>
  <c r="F929" i="11"/>
  <c r="E929" i="11"/>
  <c r="C929" i="11"/>
  <c r="G2110" i="11"/>
  <c r="F2110" i="11"/>
  <c r="E2110" i="11"/>
  <c r="C2110" i="11"/>
  <c r="F928" i="11"/>
  <c r="E928" i="11"/>
  <c r="C928" i="11"/>
  <c r="G2109" i="11"/>
  <c r="F2109" i="11"/>
  <c r="E2109" i="11"/>
  <c r="C2109" i="11"/>
  <c r="F927" i="11"/>
  <c r="E927" i="11"/>
  <c r="C927" i="11"/>
  <c r="G2108" i="11"/>
  <c r="F2108" i="11"/>
  <c r="E2108" i="11"/>
  <c r="C2108" i="11"/>
  <c r="F926" i="11"/>
  <c r="E926" i="11"/>
  <c r="C926" i="11"/>
  <c r="G2107" i="11"/>
  <c r="F2107" i="11"/>
  <c r="E2107" i="11"/>
  <c r="C2107" i="11"/>
  <c r="F925" i="11"/>
  <c r="E925" i="11"/>
  <c r="C925" i="11"/>
  <c r="G2106" i="11"/>
  <c r="F2106" i="11"/>
  <c r="E2106" i="11"/>
  <c r="C2106" i="11"/>
  <c r="F924" i="11"/>
  <c r="E924" i="11"/>
  <c r="C924" i="11"/>
  <c r="G2105" i="11"/>
  <c r="F2105" i="11"/>
  <c r="E2105" i="11"/>
  <c r="C2105" i="11"/>
  <c r="F923" i="11"/>
  <c r="E923" i="11"/>
  <c r="C923" i="11"/>
  <c r="F423" i="11"/>
  <c r="E423" i="11"/>
  <c r="C423" i="11"/>
  <c r="G2104" i="11"/>
  <c r="F2104" i="11"/>
  <c r="E2104" i="11"/>
  <c r="C2104" i="11"/>
  <c r="F922" i="11"/>
  <c r="E922" i="11"/>
  <c r="C922" i="11"/>
  <c r="F422" i="11"/>
  <c r="E422" i="11"/>
  <c r="C422" i="11"/>
  <c r="G2103" i="11"/>
  <c r="F2103" i="11"/>
  <c r="E2103" i="11"/>
  <c r="C2103" i="11"/>
  <c r="F921" i="11"/>
  <c r="E921" i="11"/>
  <c r="C921" i="11"/>
  <c r="G2102" i="11"/>
  <c r="F2102" i="11"/>
  <c r="E2102" i="11"/>
  <c r="C2102" i="11"/>
  <c r="F920" i="11"/>
  <c r="E920" i="11"/>
  <c r="C920" i="11"/>
  <c r="G2101" i="11"/>
  <c r="F2101" i="11"/>
  <c r="E2101" i="11"/>
  <c r="C2101" i="11"/>
  <c r="F919" i="11"/>
  <c r="E919" i="11"/>
  <c r="C919" i="11"/>
  <c r="G2100" i="11"/>
  <c r="F2100" i="11"/>
  <c r="E2100" i="11"/>
  <c r="C2100" i="11"/>
  <c r="F918" i="11"/>
  <c r="E918" i="11"/>
  <c r="C918" i="11"/>
  <c r="G2099" i="11"/>
  <c r="F2099" i="11"/>
  <c r="E2099" i="11"/>
  <c r="C2099" i="11"/>
  <c r="F917" i="11"/>
  <c r="E917" i="11"/>
  <c r="C917" i="11"/>
  <c r="F3609" i="11"/>
  <c r="C3609" i="11"/>
  <c r="G2098" i="11"/>
  <c r="F2098" i="11"/>
  <c r="C2098" i="11"/>
  <c r="F916" i="11"/>
  <c r="C916" i="11"/>
  <c r="F3608" i="11"/>
  <c r="C3608" i="11"/>
  <c r="G2097" i="11"/>
  <c r="F2097" i="11"/>
  <c r="C2097" i="11"/>
  <c r="F915" i="11"/>
  <c r="C915" i="11"/>
  <c r="F3607" i="11"/>
  <c r="C3607" i="11"/>
  <c r="G2096" i="11"/>
  <c r="F2096" i="11"/>
  <c r="C2096" i="11"/>
  <c r="F421" i="11"/>
  <c r="C421" i="11"/>
  <c r="F3606" i="11"/>
  <c r="C3606" i="11"/>
  <c r="G2095" i="11"/>
  <c r="F2095" i="11"/>
  <c r="C2095" i="11"/>
  <c r="F914" i="11"/>
  <c r="C914" i="11"/>
  <c r="F3605" i="11"/>
  <c r="C3605" i="11"/>
  <c r="G2094" i="11"/>
  <c r="F2094" i="11"/>
  <c r="C2094" i="11"/>
  <c r="F913" i="11"/>
  <c r="C913" i="11"/>
  <c r="F3604" i="11"/>
  <c r="C3604" i="11"/>
  <c r="G2093" i="11"/>
  <c r="F2093" i="11"/>
  <c r="C2093" i="11"/>
  <c r="F420" i="11"/>
  <c r="C420" i="11"/>
  <c r="F3603" i="11"/>
  <c r="C3603" i="11"/>
  <c r="G2092" i="11"/>
  <c r="F2092" i="11"/>
  <c r="C2092" i="11"/>
  <c r="F912" i="11"/>
  <c r="C912" i="11"/>
  <c r="F3602" i="11"/>
  <c r="C3602" i="11"/>
  <c r="G2091" i="11"/>
  <c r="F2091" i="11"/>
  <c r="C2091" i="11"/>
  <c r="F911" i="11"/>
  <c r="C911" i="11"/>
  <c r="F3601" i="11"/>
  <c r="C3601" i="11"/>
  <c r="G2090" i="11"/>
  <c r="F2090" i="11"/>
  <c r="C2090" i="11"/>
  <c r="F910" i="11"/>
  <c r="C910" i="11"/>
  <c r="F273" i="11"/>
  <c r="C273" i="11"/>
  <c r="F3600" i="11"/>
  <c r="C3600" i="11"/>
  <c r="G2089" i="11"/>
  <c r="F2089" i="11"/>
  <c r="C2089" i="11"/>
  <c r="F419" i="11"/>
  <c r="C419" i="11"/>
  <c r="F3599" i="11"/>
  <c r="C3599" i="11"/>
  <c r="G2088" i="11"/>
  <c r="F2088" i="11"/>
  <c r="C2088" i="11"/>
  <c r="F418" i="11"/>
  <c r="C418" i="11"/>
  <c r="F3598" i="11"/>
  <c r="C3598" i="11"/>
  <c r="G2087" i="11"/>
  <c r="F2087" i="11"/>
  <c r="C2087" i="11"/>
  <c r="F417" i="11"/>
  <c r="C417" i="11"/>
  <c r="F3597" i="11"/>
  <c r="C3597" i="11"/>
  <c r="G2086" i="11"/>
  <c r="F2086" i="11"/>
  <c r="C2086" i="11"/>
  <c r="F909" i="11"/>
  <c r="C909" i="11"/>
  <c r="F3596" i="11"/>
  <c r="C3596" i="11"/>
  <c r="G2085" i="11"/>
  <c r="F2085" i="11"/>
  <c r="C2085" i="11"/>
  <c r="F908" i="11"/>
  <c r="C908" i="11"/>
  <c r="F3595" i="11"/>
  <c r="C3595" i="11"/>
  <c r="G2084" i="11"/>
  <c r="F2084" i="11"/>
  <c r="C2084" i="11"/>
  <c r="F416" i="11"/>
  <c r="C416" i="11"/>
  <c r="G2083" i="11"/>
  <c r="F2083" i="11"/>
  <c r="E2083" i="11"/>
  <c r="C2083" i="11"/>
  <c r="F907" i="11"/>
  <c r="E907" i="11"/>
  <c r="C907" i="11"/>
  <c r="G2082" i="11"/>
  <c r="F2082" i="11"/>
  <c r="E2082" i="11"/>
  <c r="C2082" i="11"/>
  <c r="F906" i="11"/>
  <c r="E906" i="11"/>
  <c r="C906" i="11"/>
  <c r="G2081" i="11"/>
  <c r="F2081" i="11"/>
  <c r="E2081" i="11"/>
  <c r="C2081" i="11"/>
  <c r="F905" i="11"/>
  <c r="E905" i="11"/>
  <c r="C905" i="11"/>
  <c r="G2080" i="11"/>
  <c r="F2080" i="11"/>
  <c r="E2080" i="11"/>
  <c r="C2080" i="11"/>
  <c r="F904" i="11"/>
  <c r="E904" i="11"/>
  <c r="C904" i="11"/>
  <c r="G2079" i="11"/>
  <c r="F2079" i="11"/>
  <c r="E2079" i="11"/>
  <c r="C2079" i="11"/>
  <c r="F903" i="11"/>
  <c r="E903" i="11"/>
  <c r="C903" i="11"/>
  <c r="G2078" i="11"/>
  <c r="F2078" i="11"/>
  <c r="E2078" i="11"/>
  <c r="C2078" i="11"/>
  <c r="F902" i="11"/>
  <c r="E902" i="11"/>
  <c r="C902" i="11"/>
  <c r="G2077" i="11"/>
  <c r="F2077" i="11"/>
  <c r="E2077" i="11"/>
  <c r="C2077" i="11"/>
  <c r="F901" i="11"/>
  <c r="E901" i="11"/>
  <c r="C901" i="11"/>
  <c r="G2076" i="11"/>
  <c r="F2076" i="11"/>
  <c r="E2076" i="11"/>
  <c r="C2076" i="11"/>
  <c r="F900" i="11"/>
  <c r="E900" i="11"/>
  <c r="C900" i="11"/>
  <c r="G2075" i="11"/>
  <c r="F2075" i="11"/>
  <c r="E2075" i="11"/>
  <c r="C2075" i="11"/>
  <c r="F899" i="11"/>
  <c r="E899" i="11"/>
  <c r="C899" i="11"/>
  <c r="G2074" i="11"/>
  <c r="F2074" i="11"/>
  <c r="E2074" i="11"/>
  <c r="C2074" i="11"/>
  <c r="F898" i="11"/>
  <c r="E898" i="11"/>
  <c r="C898" i="11"/>
  <c r="G2073" i="11"/>
  <c r="F2073" i="11"/>
  <c r="E2073" i="11"/>
  <c r="C2073" i="11"/>
  <c r="F897" i="11"/>
  <c r="E897" i="11"/>
  <c r="C897" i="11"/>
  <c r="G2072" i="11"/>
  <c r="F2072" i="11"/>
  <c r="E2072" i="11"/>
  <c r="C2072" i="11"/>
  <c r="F896" i="11"/>
  <c r="E896" i="11"/>
  <c r="C896" i="11"/>
  <c r="G2071" i="11"/>
  <c r="F2071" i="11"/>
  <c r="E2071" i="11"/>
  <c r="C2071" i="11"/>
  <c r="F895" i="11"/>
  <c r="E895" i="11"/>
  <c r="C895" i="11"/>
  <c r="G2070" i="11"/>
  <c r="F2070" i="11"/>
  <c r="E2070" i="11"/>
  <c r="C2070" i="11"/>
  <c r="F894" i="11"/>
  <c r="E894" i="11"/>
  <c r="C894" i="11"/>
  <c r="G2069" i="11"/>
  <c r="F2069" i="11"/>
  <c r="E2069" i="11"/>
  <c r="C2069" i="11"/>
  <c r="F893" i="11"/>
  <c r="E893" i="11"/>
  <c r="C893" i="11"/>
  <c r="G2068" i="11"/>
  <c r="F2068" i="11"/>
  <c r="E2068" i="11"/>
  <c r="C2068" i="11"/>
  <c r="F892" i="11"/>
  <c r="E892" i="11"/>
  <c r="C892" i="11"/>
  <c r="G2067" i="11"/>
  <c r="F2067" i="11"/>
  <c r="E2067" i="11"/>
  <c r="C2067" i="11"/>
  <c r="F891" i="11"/>
  <c r="E891" i="11"/>
  <c r="C891" i="11"/>
  <c r="G2066" i="11"/>
  <c r="F2066" i="11"/>
  <c r="E2066" i="11"/>
  <c r="C2066" i="11"/>
  <c r="F890" i="11"/>
  <c r="E890" i="11"/>
  <c r="C890" i="11"/>
  <c r="G2065" i="11"/>
  <c r="F2065" i="11"/>
  <c r="E2065" i="11"/>
  <c r="C2065" i="11"/>
  <c r="F889" i="11"/>
  <c r="E889" i="11"/>
  <c r="C889" i="11"/>
  <c r="G2064" i="11"/>
  <c r="F2064" i="11"/>
  <c r="E2064" i="11"/>
  <c r="C2064" i="11"/>
  <c r="F888" i="11"/>
  <c r="E888" i="11"/>
  <c r="C888" i="11"/>
  <c r="G2063" i="11"/>
  <c r="F2063" i="11"/>
  <c r="E2063" i="11"/>
  <c r="C2063" i="11"/>
  <c r="F887" i="11"/>
  <c r="E887" i="11"/>
  <c r="C887" i="11"/>
  <c r="G2062" i="11"/>
  <c r="F2062" i="11"/>
  <c r="E2062" i="11"/>
  <c r="C2062" i="11"/>
  <c r="F886" i="11"/>
  <c r="E886" i="11"/>
  <c r="C886" i="11"/>
  <c r="G2061" i="11"/>
  <c r="F2061" i="11"/>
  <c r="E2061" i="11"/>
  <c r="C2061" i="11"/>
  <c r="F885" i="11"/>
  <c r="E885" i="11"/>
  <c r="C885" i="11"/>
  <c r="G2060" i="11"/>
  <c r="F2060" i="11"/>
  <c r="E2060" i="11"/>
  <c r="C2060" i="11"/>
  <c r="F884" i="11"/>
  <c r="E884" i="11"/>
  <c r="C884" i="11"/>
  <c r="G2059" i="11"/>
  <c r="F2059" i="11"/>
  <c r="E2059" i="11"/>
  <c r="C2059" i="11"/>
  <c r="F883" i="11"/>
  <c r="E883" i="11"/>
  <c r="C883" i="11"/>
  <c r="F7034" i="11"/>
  <c r="C7034" i="11"/>
  <c r="F3637" i="11"/>
  <c r="C3637" i="11"/>
  <c r="G2058" i="11"/>
  <c r="F2058" i="11"/>
  <c r="C2058" i="11"/>
  <c r="F7033" i="11"/>
  <c r="C7033" i="11"/>
  <c r="F3636" i="11"/>
  <c r="C3636" i="11"/>
  <c r="G2057" i="11"/>
  <c r="F2057" i="11"/>
  <c r="C2057" i="11"/>
  <c r="F7032" i="11"/>
  <c r="C7032" i="11"/>
  <c r="F3635" i="11"/>
  <c r="C3635" i="11"/>
  <c r="G2056" i="11"/>
  <c r="F2056" i="11"/>
  <c r="C2056" i="11"/>
  <c r="F7031" i="11"/>
  <c r="C7031" i="11"/>
  <c r="F3634" i="11"/>
  <c r="C3634" i="11"/>
  <c r="G2055" i="11"/>
  <c r="F2055" i="11"/>
  <c r="C2055" i="11"/>
  <c r="F3594" i="11"/>
  <c r="C3594" i="11"/>
  <c r="G2054" i="11"/>
  <c r="F2054" i="11"/>
  <c r="C2054" i="11"/>
  <c r="F882" i="11"/>
  <c r="C882" i="11"/>
  <c r="F3593" i="11"/>
  <c r="C3593" i="11"/>
  <c r="G2053" i="11"/>
  <c r="F2053" i="11"/>
  <c r="C2053" i="11"/>
  <c r="F881" i="11"/>
  <c r="C881" i="11"/>
  <c r="F3592" i="11"/>
  <c r="C3592" i="11"/>
  <c r="G2052" i="11"/>
  <c r="F2052" i="11"/>
  <c r="C2052" i="11"/>
  <c r="F415" i="11"/>
  <c r="C415" i="11"/>
  <c r="F3591" i="11"/>
  <c r="C3591" i="11"/>
  <c r="G2051" i="11"/>
  <c r="F2051" i="11"/>
  <c r="C2051" i="11"/>
  <c r="F414" i="11"/>
  <c r="C414" i="11"/>
  <c r="F3590" i="11"/>
  <c r="C3590" i="11"/>
  <c r="G2050" i="11"/>
  <c r="F2050" i="11"/>
  <c r="C2050" i="11"/>
  <c r="F413" i="11"/>
  <c r="C413" i="11"/>
  <c r="F3589" i="11"/>
  <c r="C3589" i="11"/>
  <c r="G2049" i="11"/>
  <c r="F2049" i="11"/>
  <c r="C2049" i="11"/>
  <c r="F412" i="11"/>
  <c r="C412" i="11"/>
  <c r="F3588" i="11"/>
  <c r="C3588" i="11"/>
  <c r="G2048" i="11"/>
  <c r="F2048" i="11"/>
  <c r="C2048" i="11"/>
  <c r="F411" i="11"/>
  <c r="C411" i="11"/>
  <c r="F3587" i="11"/>
  <c r="C3587" i="11"/>
  <c r="G2047" i="11"/>
  <c r="F2047" i="11"/>
  <c r="C2047" i="11"/>
  <c r="F410" i="11"/>
  <c r="C410" i="11"/>
  <c r="F3586" i="11"/>
  <c r="E3586" i="11"/>
  <c r="C3586" i="11"/>
  <c r="G2046" i="11"/>
  <c r="F2046" i="11"/>
  <c r="E2046" i="11"/>
  <c r="C2046" i="11"/>
  <c r="F880" i="11"/>
  <c r="E880" i="11"/>
  <c r="C880" i="11"/>
  <c r="G2045" i="11"/>
  <c r="F2045" i="11"/>
  <c r="E2045" i="11"/>
  <c r="C2045" i="11"/>
  <c r="F879" i="11"/>
  <c r="E879" i="11"/>
  <c r="C879" i="11"/>
  <c r="G2044" i="11"/>
  <c r="F2044" i="11"/>
  <c r="E2044" i="11"/>
  <c r="C2044" i="11"/>
  <c r="F878" i="11"/>
  <c r="E878" i="11"/>
  <c r="C878" i="11"/>
  <c r="F409" i="11"/>
  <c r="E409" i="11"/>
  <c r="C409" i="11"/>
  <c r="F7030" i="11"/>
  <c r="E7030" i="11"/>
  <c r="C7030" i="11"/>
  <c r="G2043" i="11"/>
  <c r="F2043" i="11"/>
  <c r="E2043" i="11"/>
  <c r="C2043" i="11"/>
  <c r="F3585" i="11"/>
  <c r="C3585" i="11"/>
  <c r="G2042" i="11"/>
  <c r="F2042" i="11"/>
  <c r="C2042" i="11"/>
  <c r="F170" i="11"/>
  <c r="C170" i="11"/>
  <c r="F3584" i="11"/>
  <c r="C3584" i="11"/>
  <c r="G2041" i="11"/>
  <c r="F2041" i="11"/>
  <c r="C2041" i="11"/>
  <c r="F877" i="11"/>
  <c r="C877" i="11"/>
  <c r="F3583" i="11"/>
  <c r="C3583" i="11"/>
  <c r="G2040" i="11"/>
  <c r="F2040" i="11"/>
  <c r="C2040" i="11"/>
  <c r="F169" i="11"/>
  <c r="C169" i="11"/>
  <c r="F3582" i="11"/>
  <c r="C3582" i="11"/>
  <c r="G2039" i="11"/>
  <c r="F2039" i="11"/>
  <c r="C2039" i="11"/>
  <c r="F876" i="11"/>
  <c r="C876" i="11"/>
  <c r="F3581" i="11"/>
  <c r="C3581" i="11"/>
  <c r="G2038" i="11"/>
  <c r="F2038" i="11"/>
  <c r="C2038" i="11"/>
  <c r="F875" i="11"/>
  <c r="C875" i="11"/>
  <c r="F3580" i="11"/>
  <c r="C3580" i="11"/>
  <c r="G2037" i="11"/>
  <c r="F2037" i="11"/>
  <c r="C2037" i="11"/>
  <c r="F874" i="11"/>
  <c r="C874" i="11"/>
  <c r="F3579" i="11"/>
  <c r="E3579" i="11"/>
  <c r="C3579" i="11"/>
  <c r="G2036" i="11"/>
  <c r="F2036" i="11"/>
  <c r="E2036" i="11"/>
  <c r="C2036" i="11"/>
  <c r="F873" i="11"/>
  <c r="E873" i="11"/>
  <c r="C873" i="11"/>
  <c r="F3578" i="11"/>
  <c r="E3578" i="11"/>
  <c r="C3578" i="11"/>
  <c r="G2035" i="11"/>
  <c r="F2035" i="11"/>
  <c r="E2035" i="11"/>
  <c r="C2035" i="11"/>
  <c r="F872" i="11"/>
  <c r="E872" i="11"/>
  <c r="C872" i="11"/>
  <c r="F3577" i="11"/>
  <c r="E3577" i="11"/>
  <c r="C3577" i="11"/>
  <c r="G2034" i="11"/>
  <c r="F2034" i="11"/>
  <c r="E2034" i="11"/>
  <c r="C2034" i="11"/>
  <c r="F871" i="11"/>
  <c r="E871" i="11"/>
  <c r="C871" i="11"/>
  <c r="F3576" i="11"/>
  <c r="E3576" i="11"/>
  <c r="C3576" i="11"/>
  <c r="G2033" i="11"/>
  <c r="F2033" i="11"/>
  <c r="E2033" i="11"/>
  <c r="C2033" i="11"/>
  <c r="F870" i="11"/>
  <c r="E870" i="11"/>
  <c r="C870" i="11"/>
  <c r="F3575" i="11"/>
  <c r="E3575" i="11"/>
  <c r="C3575" i="11"/>
  <c r="G2032" i="11"/>
  <c r="F2032" i="11"/>
  <c r="E2032" i="11"/>
  <c r="C2032" i="11"/>
  <c r="F869" i="11"/>
  <c r="E869" i="11"/>
  <c r="C869" i="11"/>
  <c r="G2031" i="11"/>
  <c r="F2031" i="11"/>
  <c r="E2031" i="11"/>
  <c r="C2031" i="11"/>
  <c r="F408" i="11"/>
  <c r="E408" i="11"/>
  <c r="C408" i="11"/>
  <c r="G2030" i="11"/>
  <c r="F2030" i="11"/>
  <c r="E2030" i="11"/>
  <c r="C2030" i="11"/>
  <c r="F868" i="11"/>
  <c r="E868" i="11"/>
  <c r="C868" i="11"/>
  <c r="F3574" i="11"/>
  <c r="C3574" i="11"/>
  <c r="G2029" i="11"/>
  <c r="F2029" i="11"/>
  <c r="C2029" i="11"/>
  <c r="F867" i="11"/>
  <c r="C867" i="11"/>
  <c r="F3573" i="11"/>
  <c r="C3573" i="11"/>
  <c r="G2028" i="11"/>
  <c r="F2028" i="11"/>
  <c r="C2028" i="11"/>
  <c r="F866" i="11"/>
  <c r="C866" i="11"/>
  <c r="F3572" i="11"/>
  <c r="C3572" i="11"/>
  <c r="G2027" i="11"/>
  <c r="F2027" i="11"/>
  <c r="C2027" i="11"/>
  <c r="F865" i="11"/>
  <c r="C865" i="11"/>
  <c r="F3571" i="11"/>
  <c r="C3571" i="11"/>
  <c r="G2026" i="11"/>
  <c r="F2026" i="11"/>
  <c r="C2026" i="11"/>
  <c r="F864" i="11"/>
  <c r="C864" i="11"/>
  <c r="F3570" i="11"/>
  <c r="C3570" i="11"/>
  <c r="G2025" i="11"/>
  <c r="F2025" i="11"/>
  <c r="C2025" i="11"/>
  <c r="F863" i="11"/>
  <c r="C863" i="11"/>
  <c r="F3569" i="11"/>
  <c r="C3569" i="11"/>
  <c r="G2024" i="11"/>
  <c r="F2024" i="11"/>
  <c r="C2024" i="11"/>
  <c r="F862" i="11"/>
  <c r="C862" i="11"/>
  <c r="F3568" i="11"/>
  <c r="C3568" i="11"/>
  <c r="G2023" i="11"/>
  <c r="F2023" i="11"/>
  <c r="C2023" i="11"/>
  <c r="F861" i="11"/>
  <c r="C861" i="11"/>
  <c r="F3567" i="11"/>
  <c r="C3567" i="11"/>
  <c r="G2022" i="11"/>
  <c r="F2022" i="11"/>
  <c r="C2022" i="11"/>
  <c r="F860" i="11"/>
  <c r="C860" i="11"/>
  <c r="F3566" i="11"/>
  <c r="C3566" i="11"/>
  <c r="G2021" i="11"/>
  <c r="F2021" i="11"/>
  <c r="C2021" i="11"/>
  <c r="F859" i="11"/>
  <c r="C859" i="11"/>
  <c r="F3565" i="11"/>
  <c r="C3565" i="11"/>
  <c r="G2020" i="11"/>
  <c r="F2020" i="11"/>
  <c r="C2020" i="11"/>
  <c r="F858" i="11"/>
  <c r="C858" i="11"/>
  <c r="G2019" i="11"/>
  <c r="F2019" i="11"/>
  <c r="E2019" i="11"/>
  <c r="C2019" i="11"/>
  <c r="F857" i="11"/>
  <c r="E857" i="11"/>
  <c r="C857" i="11"/>
  <c r="F7029" i="11"/>
  <c r="E7029" i="11"/>
  <c r="C7029" i="11"/>
  <c r="G2018" i="11"/>
  <c r="F2018" i="11"/>
  <c r="E2018" i="11"/>
  <c r="C2018" i="11"/>
  <c r="F3564" i="11"/>
  <c r="E3564" i="11"/>
  <c r="C3564" i="11"/>
  <c r="G2017" i="11"/>
  <c r="F2017" i="11"/>
  <c r="E2017" i="11"/>
  <c r="C2017" i="11"/>
  <c r="F856" i="11"/>
  <c r="E856" i="11"/>
  <c r="C856" i="11"/>
  <c r="F3563" i="11"/>
  <c r="C3563" i="11"/>
  <c r="G2016" i="11"/>
  <c r="F2016" i="11"/>
  <c r="C2016" i="11"/>
  <c r="F855" i="11"/>
  <c r="C855" i="11"/>
  <c r="F407" i="11"/>
  <c r="C407" i="11"/>
  <c r="F3562" i="11"/>
  <c r="C3562" i="11"/>
  <c r="G2015" i="11"/>
  <c r="F2015" i="11"/>
  <c r="C2015" i="11"/>
  <c r="F854" i="11"/>
  <c r="C854" i="11"/>
  <c r="F3561" i="11"/>
  <c r="C3561" i="11"/>
  <c r="G2014" i="11"/>
  <c r="F2014" i="11"/>
  <c r="C2014" i="11"/>
  <c r="F853" i="11"/>
  <c r="C853" i="11"/>
  <c r="F7028" i="11"/>
  <c r="E7028" i="11"/>
  <c r="C7028" i="11"/>
  <c r="F3633" i="11"/>
  <c r="E3633" i="11"/>
  <c r="C3633" i="11"/>
  <c r="G2013" i="11"/>
  <c r="F2013" i="11"/>
  <c r="E2013" i="11"/>
  <c r="C2013" i="11"/>
  <c r="F7027" i="11"/>
  <c r="E7027" i="11"/>
  <c r="C7027" i="11"/>
  <c r="F3632" i="11"/>
  <c r="E3632" i="11"/>
  <c r="C3632" i="11"/>
  <c r="G2012" i="11"/>
  <c r="F2012" i="11"/>
  <c r="E2012" i="11"/>
  <c r="C2012" i="11"/>
  <c r="F3560" i="11"/>
  <c r="C3560" i="11"/>
  <c r="G2011" i="11"/>
  <c r="F2011" i="11"/>
  <c r="C2011" i="11"/>
  <c r="F852" i="11"/>
  <c r="C852" i="11"/>
  <c r="G2010" i="11"/>
  <c r="F2010" i="11"/>
  <c r="E2010" i="11"/>
  <c r="C2010" i="11"/>
  <c r="F851" i="11"/>
  <c r="E851" i="11"/>
  <c r="C851" i="11"/>
  <c r="F7026" i="11"/>
  <c r="C7026" i="11"/>
  <c r="G2009" i="11"/>
  <c r="F2009" i="11"/>
  <c r="C2009" i="11"/>
  <c r="F7025" i="11"/>
  <c r="C7025" i="11"/>
  <c r="G2008" i="11"/>
  <c r="F2008" i="11"/>
  <c r="C2008" i="11"/>
  <c r="F3559" i="11"/>
  <c r="E3559" i="11"/>
  <c r="C3559" i="11"/>
  <c r="G2007" i="11"/>
  <c r="F2007" i="11"/>
  <c r="E2007" i="11"/>
  <c r="C2007" i="11"/>
  <c r="F850" i="11"/>
  <c r="E850" i="11"/>
  <c r="C850" i="11"/>
  <c r="F3558" i="11"/>
  <c r="C3558" i="11"/>
  <c r="G2006" i="11"/>
  <c r="F2006" i="11"/>
  <c r="C2006" i="11"/>
  <c r="F849" i="11"/>
  <c r="C849" i="11"/>
  <c r="F3557" i="11"/>
  <c r="C3557" i="11"/>
  <c r="G2005" i="11"/>
  <c r="F2005" i="11"/>
  <c r="C2005" i="11"/>
  <c r="F848" i="11"/>
  <c r="C848" i="11"/>
  <c r="F3556" i="11"/>
  <c r="C3556" i="11"/>
  <c r="G2004" i="11"/>
  <c r="F2004" i="11"/>
  <c r="C2004" i="11"/>
  <c r="F847" i="11"/>
  <c r="C847" i="11"/>
  <c r="F3555" i="11"/>
  <c r="C3555" i="11"/>
  <c r="G2003" i="11"/>
  <c r="F2003" i="11"/>
  <c r="C2003" i="11"/>
  <c r="F846" i="11"/>
  <c r="C846" i="11"/>
  <c r="F3554" i="11"/>
  <c r="C3554" i="11"/>
  <c r="G2002" i="11"/>
  <c r="F2002" i="11"/>
  <c r="C2002" i="11"/>
  <c r="F845" i="11"/>
  <c r="C845" i="11"/>
  <c r="F406" i="11"/>
  <c r="C406" i="11"/>
  <c r="F3553" i="11"/>
  <c r="C3553" i="11"/>
  <c r="G2001" i="11"/>
  <c r="F2001" i="11"/>
  <c r="C2001" i="11"/>
  <c r="F844" i="11"/>
  <c r="C844" i="11"/>
  <c r="F405" i="11"/>
  <c r="C405" i="11"/>
  <c r="F3552" i="11"/>
  <c r="C3552" i="11"/>
  <c r="G2000" i="11"/>
  <c r="F2000" i="11"/>
  <c r="C2000" i="11"/>
  <c r="F843" i="11"/>
  <c r="C843" i="11"/>
  <c r="F3551" i="11"/>
  <c r="C3551" i="11"/>
  <c r="G1999" i="11"/>
  <c r="F1999" i="11"/>
  <c r="C1999" i="11"/>
  <c r="F842" i="11"/>
  <c r="C842" i="11"/>
  <c r="F404" i="11"/>
  <c r="C404" i="11"/>
  <c r="F3550" i="11"/>
  <c r="C3550" i="11"/>
  <c r="G1998" i="11"/>
  <c r="F1998" i="11"/>
  <c r="C1998" i="11"/>
  <c r="F841" i="11"/>
  <c r="C841" i="11"/>
  <c r="F403" i="11"/>
  <c r="C403" i="11"/>
  <c r="F3549" i="11"/>
  <c r="C3549" i="11"/>
  <c r="G1997" i="11"/>
  <c r="F1997" i="11"/>
  <c r="C1997" i="11"/>
  <c r="F840" i="11"/>
  <c r="C840" i="11"/>
  <c r="F402" i="11"/>
  <c r="C402" i="11"/>
  <c r="F3548" i="11"/>
  <c r="C3548" i="11"/>
  <c r="G1996" i="11"/>
  <c r="F1996" i="11"/>
  <c r="C1996" i="11"/>
  <c r="F839" i="11"/>
  <c r="C839" i="11"/>
  <c r="F3547" i="11"/>
  <c r="C3547" i="11"/>
  <c r="G1995" i="11"/>
  <c r="F1995" i="11"/>
  <c r="C1995" i="11"/>
  <c r="F838" i="11"/>
  <c r="C838" i="11"/>
  <c r="F401" i="11"/>
  <c r="C401" i="11"/>
  <c r="F3546" i="11"/>
  <c r="C3546" i="11"/>
  <c r="G1994" i="11"/>
  <c r="F1994" i="11"/>
  <c r="C1994" i="11"/>
  <c r="F837" i="11"/>
  <c r="C837" i="11"/>
  <c r="F3545" i="11"/>
  <c r="C3545" i="11"/>
  <c r="G1993" i="11"/>
  <c r="F1993" i="11"/>
  <c r="C1993" i="11"/>
  <c r="F836" i="11"/>
  <c r="C836" i="11"/>
  <c r="F400" i="11"/>
  <c r="C400" i="11"/>
  <c r="F3544" i="11"/>
  <c r="C3544" i="11"/>
  <c r="G1992" i="11"/>
  <c r="F1992" i="11"/>
  <c r="C1992" i="11"/>
  <c r="F835" i="11"/>
  <c r="C835" i="11"/>
  <c r="F3543" i="11"/>
  <c r="C3543" i="11"/>
  <c r="G1991" i="11"/>
  <c r="F1991" i="11"/>
  <c r="C1991" i="11"/>
  <c r="F834" i="11"/>
  <c r="C834" i="11"/>
  <c r="F3542" i="11"/>
  <c r="C3542" i="11"/>
  <c r="G1990" i="11"/>
  <c r="F1990" i="11"/>
  <c r="C1990" i="11"/>
  <c r="F399" i="11"/>
  <c r="C399" i="11"/>
  <c r="F3541" i="11"/>
  <c r="C3541" i="11"/>
  <c r="G1989" i="11"/>
  <c r="F1989" i="11"/>
  <c r="C1989" i="11"/>
  <c r="F398" i="11"/>
  <c r="C398" i="11"/>
  <c r="F3540" i="11"/>
  <c r="C3540" i="11"/>
  <c r="G1988" i="11"/>
  <c r="F1988" i="11"/>
  <c r="C1988" i="11"/>
  <c r="F833" i="11"/>
  <c r="C833" i="11"/>
  <c r="F3539" i="11"/>
  <c r="C3539" i="11"/>
  <c r="G1987" i="11"/>
  <c r="F1987" i="11"/>
  <c r="C1987" i="11"/>
  <c r="F832" i="11"/>
  <c r="C832" i="11"/>
  <c r="F3538" i="11"/>
  <c r="C3538" i="11"/>
  <c r="G1986" i="11"/>
  <c r="F1986" i="11"/>
  <c r="C1986" i="11"/>
  <c r="F831" i="11"/>
  <c r="C831" i="11"/>
  <c r="F3537" i="11"/>
  <c r="C3537" i="11"/>
  <c r="G1985" i="11"/>
  <c r="F1985" i="11"/>
  <c r="C1985" i="11"/>
  <c r="F830" i="11"/>
  <c r="C830" i="11"/>
  <c r="F3536" i="11"/>
  <c r="C3536" i="11"/>
  <c r="G1984" i="11"/>
  <c r="F1984" i="11"/>
  <c r="C1984" i="11"/>
  <c r="F829" i="11"/>
  <c r="C829" i="11"/>
  <c r="F3535" i="11"/>
  <c r="C3535" i="11"/>
  <c r="G1983" i="11"/>
  <c r="F1983" i="11"/>
  <c r="C1983" i="11"/>
  <c r="F828" i="11"/>
  <c r="C828" i="11"/>
  <c r="F3534" i="11"/>
  <c r="C3534" i="11"/>
  <c r="G1982" i="11"/>
  <c r="F1982" i="11"/>
  <c r="C1982" i="11"/>
  <c r="F827" i="11"/>
  <c r="C827" i="11"/>
  <c r="F3533" i="11"/>
  <c r="C3533" i="11"/>
  <c r="G1981" i="11"/>
  <c r="F1981" i="11"/>
  <c r="C1981" i="11"/>
  <c r="F826" i="11"/>
  <c r="C826" i="11"/>
  <c r="F3532" i="11"/>
  <c r="C3532" i="11"/>
  <c r="G1980" i="11"/>
  <c r="F1980" i="11"/>
  <c r="C1980" i="11"/>
  <c r="F825" i="11"/>
  <c r="C825" i="11"/>
  <c r="F3531" i="11"/>
  <c r="C3531" i="11"/>
  <c r="G1979" i="11"/>
  <c r="F1979" i="11"/>
  <c r="C1979" i="11"/>
  <c r="F824" i="11"/>
  <c r="C824" i="11"/>
  <c r="F3530" i="11"/>
  <c r="C3530" i="11"/>
  <c r="G1978" i="11"/>
  <c r="F1978" i="11"/>
  <c r="C1978" i="11"/>
  <c r="F823" i="11"/>
  <c r="C823" i="11"/>
  <c r="F3529" i="11"/>
  <c r="C3529" i="11"/>
  <c r="G1977" i="11"/>
  <c r="F1977" i="11"/>
  <c r="C1977" i="11"/>
  <c r="F822" i="11"/>
  <c r="C822" i="11"/>
  <c r="G1976" i="11"/>
  <c r="F1976" i="11"/>
  <c r="C1976" i="11"/>
  <c r="F821" i="11"/>
  <c r="C821" i="11"/>
  <c r="G1975" i="11"/>
  <c r="F1975" i="11"/>
  <c r="E1975" i="11"/>
  <c r="C1975" i="11"/>
  <c r="F397" i="11"/>
  <c r="E397" i="11"/>
  <c r="C397" i="11"/>
  <c r="G1974" i="11"/>
  <c r="F1974" i="11"/>
  <c r="E1974" i="11"/>
  <c r="C1974" i="11"/>
  <c r="F820" i="11"/>
  <c r="E820" i="11"/>
  <c r="C820" i="11"/>
  <c r="G1973" i="11"/>
  <c r="F1973" i="11"/>
  <c r="E1973" i="11"/>
  <c r="C1973" i="11"/>
  <c r="F819" i="11"/>
  <c r="E819" i="11"/>
  <c r="C819" i="11"/>
  <c r="G1972" i="11"/>
  <c r="F1972" i="11"/>
  <c r="E1972" i="11"/>
  <c r="C1972" i="11"/>
  <c r="F818" i="11"/>
  <c r="E818" i="11"/>
  <c r="C818" i="11"/>
  <c r="G1971" i="11"/>
  <c r="F1971" i="11"/>
  <c r="E1971" i="11"/>
  <c r="C1971" i="11"/>
  <c r="F817" i="11"/>
  <c r="E817" i="11"/>
  <c r="C817" i="11"/>
  <c r="G1970" i="11"/>
  <c r="F1970" i="11"/>
  <c r="E1970" i="11"/>
  <c r="C1970" i="11"/>
  <c r="F816" i="11"/>
  <c r="E816" i="11"/>
  <c r="C816" i="11"/>
  <c r="G1969" i="11"/>
  <c r="F1969" i="11"/>
  <c r="E1969" i="11"/>
  <c r="C1969" i="11"/>
  <c r="F815" i="11"/>
  <c r="E815" i="11"/>
  <c r="C815" i="11"/>
  <c r="G1968" i="11"/>
  <c r="F1968" i="11"/>
  <c r="E1968" i="11"/>
  <c r="C1968" i="11"/>
  <c r="F814" i="11"/>
  <c r="E814" i="11"/>
  <c r="C814" i="11"/>
  <c r="G1967" i="11"/>
  <c r="F1967" i="11"/>
  <c r="E1967" i="11"/>
  <c r="C1967" i="11"/>
  <c r="F813" i="11"/>
  <c r="E813" i="11"/>
  <c r="C813" i="11"/>
  <c r="G1966" i="11"/>
  <c r="F1966" i="11"/>
  <c r="E1966" i="11"/>
  <c r="C1966" i="11"/>
  <c r="F812" i="11"/>
  <c r="E812" i="11"/>
  <c r="C812" i="11"/>
  <c r="G1965" i="11"/>
  <c r="F1965" i="11"/>
  <c r="E1965" i="11"/>
  <c r="C1965" i="11"/>
  <c r="F811" i="11"/>
  <c r="E811" i="11"/>
  <c r="C811" i="11"/>
  <c r="G1964" i="11"/>
  <c r="F1964" i="11"/>
  <c r="E1964" i="11"/>
  <c r="C1964" i="11"/>
  <c r="F810" i="11"/>
  <c r="E810" i="11"/>
  <c r="C810" i="11"/>
  <c r="G1963" i="11"/>
  <c r="F1963" i="11"/>
  <c r="E1963" i="11"/>
  <c r="C1963" i="11"/>
  <c r="F809" i="11"/>
  <c r="E809" i="11"/>
  <c r="C809" i="11"/>
  <c r="G1962" i="11"/>
  <c r="F1962" i="11"/>
  <c r="E1962" i="11"/>
  <c r="C1962" i="11"/>
  <c r="F808" i="11"/>
  <c r="E808" i="11"/>
  <c r="C808" i="11"/>
  <c r="G1961" i="11"/>
  <c r="F1961" i="11"/>
  <c r="E1961" i="11"/>
  <c r="C1961" i="11"/>
  <c r="F807" i="11"/>
  <c r="E807" i="11"/>
  <c r="C807" i="11"/>
  <c r="G1960" i="11"/>
  <c r="F1960" i="11"/>
  <c r="E1960" i="11"/>
  <c r="C1960" i="11"/>
  <c r="F806" i="11"/>
  <c r="E806" i="11"/>
  <c r="C806" i="11"/>
  <c r="G1959" i="11"/>
  <c r="F1959" i="11"/>
  <c r="E1959" i="11"/>
  <c r="C1959" i="11"/>
  <c r="F805" i="11"/>
  <c r="E805" i="11"/>
  <c r="C805" i="11"/>
  <c r="G1958" i="11"/>
  <c r="F1958" i="11"/>
  <c r="E1958" i="11"/>
  <c r="C1958" i="11"/>
  <c r="F804" i="11"/>
  <c r="E804" i="11"/>
  <c r="C804" i="11"/>
  <c r="G1957" i="11"/>
  <c r="F1957" i="11"/>
  <c r="E1957" i="11"/>
  <c r="C1957" i="11"/>
  <c r="F803" i="11"/>
  <c r="E803" i="11"/>
  <c r="C803" i="11"/>
  <c r="G1956" i="11"/>
  <c r="F1956" i="11"/>
  <c r="E1956" i="11"/>
  <c r="C1956" i="11"/>
  <c r="F802" i="11"/>
  <c r="E802" i="11"/>
  <c r="C802" i="11"/>
  <c r="G1955" i="11"/>
  <c r="F1955" i="11"/>
  <c r="E1955" i="11"/>
  <c r="C1955" i="11"/>
  <c r="F801" i="11"/>
  <c r="E801" i="11"/>
  <c r="C801" i="11"/>
  <c r="G1954" i="11"/>
  <c r="F1954" i="11"/>
  <c r="E1954" i="11"/>
  <c r="C1954" i="11"/>
  <c r="F800" i="11"/>
  <c r="E800" i="11"/>
  <c r="C800" i="11"/>
  <c r="G1953" i="11"/>
  <c r="F1953" i="11"/>
  <c r="E1953" i="11"/>
  <c r="C1953" i="11"/>
  <c r="F799" i="11"/>
  <c r="E799" i="11"/>
  <c r="C799" i="11"/>
  <c r="G1952" i="11"/>
  <c r="F1952" i="11"/>
  <c r="E1952" i="11"/>
  <c r="C1952" i="11"/>
  <c r="F798" i="11"/>
  <c r="E798" i="11"/>
  <c r="C798" i="11"/>
  <c r="F396" i="11"/>
  <c r="E396" i="11"/>
  <c r="C396" i="11"/>
  <c r="F3528" i="11"/>
  <c r="C3528" i="11"/>
  <c r="G1951" i="11"/>
  <c r="F1951" i="11"/>
  <c r="C1951" i="11"/>
  <c r="F395" i="11"/>
  <c r="C395" i="11"/>
  <c r="F3527" i="11"/>
  <c r="C3527" i="11"/>
  <c r="G1950" i="11"/>
  <c r="F1950" i="11"/>
  <c r="C1950" i="11"/>
  <c r="F394" i="11"/>
  <c r="C394" i="11"/>
  <c r="F3526" i="11"/>
  <c r="C3526" i="11"/>
  <c r="G1949" i="11"/>
  <c r="F1949" i="11"/>
  <c r="C1949" i="11"/>
  <c r="F797" i="11"/>
  <c r="C797" i="11"/>
  <c r="F3525" i="11"/>
  <c r="C3525" i="11"/>
  <c r="G1948" i="11"/>
  <c r="F1948" i="11"/>
  <c r="C1948" i="11"/>
  <c r="F796" i="11"/>
  <c r="C796" i="11"/>
  <c r="F393" i="11"/>
  <c r="C393" i="11"/>
  <c r="F3524" i="11"/>
  <c r="C3524" i="11"/>
  <c r="G1947" i="11"/>
  <c r="F1947" i="11"/>
  <c r="C1947" i="11"/>
  <c r="F392" i="11"/>
  <c r="C392" i="11"/>
  <c r="F3523" i="11"/>
  <c r="C3523" i="11"/>
  <c r="G1946" i="11"/>
  <c r="F1946" i="11"/>
  <c r="C1946" i="11"/>
  <c r="F391" i="11"/>
  <c r="C391" i="11"/>
  <c r="G1945" i="11"/>
  <c r="F1945" i="11"/>
  <c r="E1945" i="11"/>
  <c r="C1945" i="11"/>
  <c r="F795" i="11"/>
  <c r="E795" i="11"/>
  <c r="C795" i="11"/>
  <c r="F3522" i="11"/>
  <c r="C3522" i="11"/>
  <c r="G1944" i="11"/>
  <c r="F1944" i="11"/>
  <c r="C1944" i="11"/>
  <c r="F794" i="11"/>
  <c r="C794" i="11"/>
  <c r="F390" i="11"/>
  <c r="C390" i="11"/>
  <c r="G1943" i="11"/>
  <c r="F1943" i="11"/>
  <c r="E1943" i="11"/>
  <c r="C1943" i="11"/>
  <c r="F793" i="11"/>
  <c r="E793" i="11"/>
  <c r="C793" i="11"/>
  <c r="G1942" i="11"/>
  <c r="F1942" i="11"/>
  <c r="E1942" i="11"/>
  <c r="C1942" i="11"/>
  <c r="F792" i="11"/>
  <c r="E792" i="11"/>
  <c r="C792" i="11"/>
  <c r="G1941" i="11"/>
  <c r="F1941" i="11"/>
  <c r="E1941" i="11"/>
  <c r="C1941" i="11"/>
  <c r="F791" i="11"/>
  <c r="E791" i="11"/>
  <c r="C791" i="11"/>
  <c r="G1940" i="11"/>
  <c r="F1940" i="11"/>
  <c r="E1940" i="11"/>
  <c r="C1940" i="11"/>
  <c r="F790" i="11"/>
  <c r="E790" i="11"/>
  <c r="C790" i="11"/>
  <c r="G1939" i="11"/>
  <c r="F1939" i="11"/>
  <c r="E1939" i="11"/>
  <c r="C1939" i="11"/>
  <c r="F789" i="11"/>
  <c r="E789" i="11"/>
  <c r="C789" i="11"/>
  <c r="G1938" i="11"/>
  <c r="F1938" i="11"/>
  <c r="E1938" i="11"/>
  <c r="C1938" i="11"/>
  <c r="F788" i="11"/>
  <c r="E788" i="11"/>
  <c r="C788" i="11"/>
  <c r="G1937" i="11"/>
  <c r="F1937" i="11"/>
  <c r="E1937" i="11"/>
  <c r="C1937" i="11"/>
  <c r="F787" i="11"/>
  <c r="E787" i="11"/>
  <c r="C787" i="11"/>
  <c r="G1936" i="11"/>
  <c r="F1936" i="11"/>
  <c r="E1936" i="11"/>
  <c r="C1936" i="11"/>
  <c r="F786" i="11"/>
  <c r="E786" i="11"/>
  <c r="C786" i="11"/>
  <c r="G1935" i="11"/>
  <c r="F1935" i="11"/>
  <c r="E1935" i="11"/>
  <c r="C1935" i="11"/>
  <c r="F785" i="11"/>
  <c r="E785" i="11"/>
  <c r="C785" i="11"/>
  <c r="G1934" i="11"/>
  <c r="F1934" i="11"/>
  <c r="E1934" i="11"/>
  <c r="C1934" i="11"/>
  <c r="F784" i="11"/>
  <c r="E784" i="11"/>
  <c r="C784" i="11"/>
  <c r="G1933" i="11"/>
  <c r="F1933" i="11"/>
  <c r="E1933" i="11"/>
  <c r="C1933" i="11"/>
  <c r="F783" i="11"/>
  <c r="E783" i="11"/>
  <c r="C783" i="11"/>
  <c r="G1932" i="11"/>
  <c r="F1932" i="11"/>
  <c r="E1932" i="11"/>
  <c r="C1932" i="11"/>
  <c r="F782" i="11"/>
  <c r="E782" i="11"/>
  <c r="C782" i="11"/>
  <c r="G1931" i="11"/>
  <c r="F1931" i="11"/>
  <c r="E1931" i="11"/>
  <c r="C1931" i="11"/>
  <c r="F781" i="11"/>
  <c r="E781" i="11"/>
  <c r="C781" i="11"/>
  <c r="G1930" i="11"/>
  <c r="F1930" i="11"/>
  <c r="E1930" i="11"/>
  <c r="C1930" i="11"/>
  <c r="F780" i="11"/>
  <c r="E780" i="11"/>
  <c r="C780" i="11"/>
  <c r="G1929" i="11"/>
  <c r="F1929" i="11"/>
  <c r="E1929" i="11"/>
  <c r="C1929" i="11"/>
  <c r="F779" i="11"/>
  <c r="E779" i="11"/>
  <c r="C779" i="11"/>
  <c r="G1928" i="11"/>
  <c r="F1928" i="11"/>
  <c r="E1928" i="11"/>
  <c r="C1928" i="11"/>
  <c r="F778" i="11"/>
  <c r="E778" i="11"/>
  <c r="C778" i="11"/>
  <c r="G1927" i="11"/>
  <c r="F1927" i="11"/>
  <c r="E1927" i="11"/>
  <c r="C1927" i="11"/>
  <c r="F777" i="11"/>
  <c r="E777" i="11"/>
  <c r="C777" i="11"/>
  <c r="G1926" i="11"/>
  <c r="F1926" i="11"/>
  <c r="E1926" i="11"/>
  <c r="C1926" i="11"/>
  <c r="F776" i="11"/>
  <c r="E776" i="11"/>
  <c r="C776" i="11"/>
  <c r="F3521" i="11"/>
  <c r="C3521" i="11"/>
  <c r="G1925" i="11"/>
  <c r="F1925" i="11"/>
  <c r="C1925" i="11"/>
  <c r="F775" i="11"/>
  <c r="C775" i="11"/>
  <c r="F3520" i="11"/>
  <c r="C3520" i="11"/>
  <c r="G1924" i="11"/>
  <c r="F1924" i="11"/>
  <c r="C1924" i="11"/>
  <c r="F774" i="11"/>
  <c r="C774" i="11"/>
  <c r="F3519" i="11"/>
  <c r="C3519" i="11"/>
  <c r="G1923" i="11"/>
  <c r="F1923" i="11"/>
  <c r="C1923" i="11"/>
  <c r="F773" i="11"/>
  <c r="C773" i="11"/>
  <c r="F3518" i="11"/>
  <c r="C3518" i="11"/>
  <c r="G1922" i="11"/>
  <c r="F1922" i="11"/>
  <c r="C1922" i="11"/>
  <c r="F772" i="11"/>
  <c r="C772" i="11"/>
  <c r="F3517" i="11"/>
  <c r="C3517" i="11"/>
  <c r="G1921" i="11"/>
  <c r="F1921" i="11"/>
  <c r="C1921" i="11"/>
  <c r="F771" i="11"/>
  <c r="C771" i="11"/>
  <c r="F3516" i="11"/>
  <c r="C3516" i="11"/>
  <c r="G1920" i="11"/>
  <c r="F1920" i="11"/>
  <c r="C1920" i="11"/>
  <c r="F770" i="11"/>
  <c r="C770" i="11"/>
  <c r="F3515" i="11"/>
  <c r="C3515" i="11"/>
  <c r="G1919" i="11"/>
  <c r="F1919" i="11"/>
  <c r="C1919" i="11"/>
  <c r="F769" i="11"/>
  <c r="C769" i="11"/>
  <c r="F7024" i="11"/>
  <c r="E7024" i="11"/>
  <c r="C7024" i="11"/>
  <c r="F3631" i="11"/>
  <c r="E3631" i="11"/>
  <c r="C3631" i="11"/>
  <c r="G1918" i="11"/>
  <c r="F1918" i="11"/>
  <c r="E1918" i="11"/>
  <c r="C1918" i="11"/>
  <c r="F7023" i="11"/>
  <c r="E7023" i="11"/>
  <c r="C7023" i="11"/>
  <c r="F3630" i="11"/>
  <c r="E3630" i="11"/>
  <c r="C3630" i="11"/>
  <c r="G1917" i="11"/>
  <c r="F1917" i="11"/>
  <c r="E1917" i="11"/>
  <c r="C1917" i="11"/>
  <c r="F7022" i="11"/>
  <c r="E7022" i="11"/>
  <c r="C7022" i="11"/>
  <c r="F3629" i="11"/>
  <c r="E3629" i="11"/>
  <c r="C3629" i="11"/>
  <c r="G1916" i="11"/>
  <c r="F1916" i="11"/>
  <c r="E1916" i="11"/>
  <c r="C1916" i="11"/>
  <c r="F7021" i="11"/>
  <c r="E7021" i="11"/>
  <c r="C7021" i="11"/>
  <c r="F3628" i="11"/>
  <c r="E3628" i="11"/>
  <c r="C3628" i="11"/>
  <c r="G1915" i="11"/>
  <c r="F1915" i="11"/>
  <c r="E1915" i="11"/>
  <c r="C1915" i="11"/>
  <c r="F3514" i="11"/>
  <c r="C3514" i="11"/>
  <c r="G1914" i="11"/>
  <c r="F1914" i="11"/>
  <c r="C1914" i="11"/>
  <c r="F389" i="11"/>
  <c r="C389" i="11"/>
  <c r="F3513" i="11"/>
  <c r="C3513" i="11"/>
  <c r="G1913" i="11"/>
  <c r="F1913" i="11"/>
  <c r="C1913" i="11"/>
  <c r="F768" i="11"/>
  <c r="C768" i="11"/>
  <c r="F388" i="11"/>
  <c r="C388" i="11"/>
  <c r="F3512" i="11"/>
  <c r="C3512" i="11"/>
  <c r="G1912" i="11"/>
  <c r="F1912" i="11"/>
  <c r="C1912" i="11"/>
  <c r="F767" i="11"/>
  <c r="C767" i="11"/>
  <c r="F3511" i="11"/>
  <c r="C3511" i="11"/>
  <c r="G1911" i="11"/>
  <c r="F1911" i="11"/>
  <c r="C1911" i="11"/>
  <c r="F766" i="11"/>
  <c r="C766" i="11"/>
  <c r="F387" i="11"/>
  <c r="C387" i="11"/>
  <c r="F3510" i="11"/>
  <c r="C3510" i="11"/>
  <c r="G1910" i="11"/>
  <c r="F1910" i="11"/>
  <c r="C1910" i="11"/>
  <c r="F765" i="11"/>
  <c r="C765" i="11"/>
  <c r="G1909" i="11"/>
  <c r="F1909" i="11"/>
  <c r="E1909" i="11"/>
  <c r="C1909" i="11"/>
  <c r="F386" i="11"/>
  <c r="E386" i="11"/>
  <c r="C386" i="11"/>
  <c r="G1908" i="11"/>
  <c r="F1908" i="11"/>
  <c r="E1908" i="11"/>
  <c r="C1908" i="11"/>
  <c r="F764" i="11"/>
  <c r="E764" i="11"/>
  <c r="C764" i="11"/>
  <c r="G1907" i="11"/>
  <c r="F1907" i="11"/>
  <c r="E1907" i="11"/>
  <c r="C1907" i="11"/>
  <c r="F763" i="11"/>
  <c r="E763" i="11"/>
  <c r="C763" i="11"/>
  <c r="G1906" i="11"/>
  <c r="F1906" i="11"/>
  <c r="E1906" i="11"/>
  <c r="C1906" i="11"/>
  <c r="F762" i="11"/>
  <c r="E762" i="11"/>
  <c r="C762" i="11"/>
  <c r="G1905" i="11"/>
  <c r="F1905" i="11"/>
  <c r="E1905" i="11"/>
  <c r="C1905" i="11"/>
  <c r="F761" i="11"/>
  <c r="E761" i="11"/>
  <c r="C761" i="11"/>
  <c r="G1904" i="11"/>
  <c r="F1904" i="11"/>
  <c r="E1904" i="11"/>
  <c r="C1904" i="11"/>
  <c r="F760" i="11"/>
  <c r="E760" i="11"/>
  <c r="C760" i="11"/>
  <c r="G1903" i="11"/>
  <c r="F1903" i="11"/>
  <c r="E1903" i="11"/>
  <c r="C1903" i="11"/>
  <c r="F759" i="11"/>
  <c r="E759" i="11"/>
  <c r="C759" i="11"/>
  <c r="G1902" i="11"/>
  <c r="F1902" i="11"/>
  <c r="E1902" i="11"/>
  <c r="C1902" i="11"/>
  <c r="F758" i="11"/>
  <c r="E758" i="11"/>
  <c r="C758" i="11"/>
  <c r="G1901" i="11"/>
  <c r="F1901" i="11"/>
  <c r="E1901" i="11"/>
  <c r="C1901" i="11"/>
  <c r="F757" i="11"/>
  <c r="E757" i="11"/>
  <c r="C757" i="11"/>
  <c r="F385" i="11"/>
  <c r="E385" i="11"/>
  <c r="C385" i="11"/>
  <c r="G1900" i="11"/>
  <c r="F1900" i="11"/>
  <c r="E1900" i="11"/>
  <c r="C1900" i="11"/>
  <c r="F756" i="11"/>
  <c r="E756" i="11"/>
  <c r="C756" i="11"/>
  <c r="G1899" i="11"/>
  <c r="F1899" i="11"/>
  <c r="E1899" i="11"/>
  <c r="C1899" i="11"/>
  <c r="F755" i="11"/>
  <c r="E755" i="11"/>
  <c r="C755" i="11"/>
  <c r="G1898" i="11"/>
  <c r="F1898" i="11"/>
  <c r="E1898" i="11"/>
  <c r="C1898" i="11"/>
  <c r="F754" i="11"/>
  <c r="E754" i="11"/>
  <c r="C754" i="11"/>
  <c r="G1897" i="11"/>
  <c r="F1897" i="11"/>
  <c r="E1897" i="11"/>
  <c r="C1897" i="11"/>
  <c r="F753" i="11"/>
  <c r="E753" i="11"/>
  <c r="C753" i="11"/>
  <c r="G1896" i="11"/>
  <c r="F1896" i="11"/>
  <c r="E1896" i="11"/>
  <c r="C1896" i="11"/>
  <c r="F752" i="11"/>
  <c r="E752" i="11"/>
  <c r="C752" i="11"/>
  <c r="G1895" i="11"/>
  <c r="F1895" i="11"/>
  <c r="E1895" i="11"/>
  <c r="C1895" i="11"/>
  <c r="F751" i="11"/>
  <c r="E751" i="11"/>
  <c r="C751" i="11"/>
  <c r="G1894" i="11"/>
  <c r="F1894" i="11"/>
  <c r="E1894" i="11"/>
  <c r="C1894" i="11"/>
  <c r="F750" i="11"/>
  <c r="E750" i="11"/>
  <c r="C750" i="11"/>
  <c r="G1893" i="11"/>
  <c r="F1893" i="11"/>
  <c r="E1893" i="11"/>
  <c r="C1893" i="11"/>
  <c r="F749" i="11"/>
  <c r="E749" i="11"/>
  <c r="C749" i="11"/>
  <c r="G1892" i="11"/>
  <c r="F1892" i="11"/>
  <c r="E1892" i="11"/>
  <c r="C1892" i="11"/>
  <c r="F748" i="11"/>
  <c r="E748" i="11"/>
  <c r="C748" i="11"/>
  <c r="G1891" i="11"/>
  <c r="F1891" i="11"/>
  <c r="E1891" i="11"/>
  <c r="C1891" i="11"/>
  <c r="F747" i="11"/>
  <c r="E747" i="11"/>
  <c r="C747" i="11"/>
  <c r="G1890" i="11"/>
  <c r="F1890" i="11"/>
  <c r="E1890" i="11"/>
  <c r="C1890" i="11"/>
  <c r="F746" i="11"/>
  <c r="E746" i="11"/>
  <c r="C746" i="11"/>
  <c r="G1889" i="11"/>
  <c r="F1889" i="11"/>
  <c r="E1889" i="11"/>
  <c r="C1889" i="11"/>
  <c r="F745" i="11"/>
  <c r="E745" i="11"/>
  <c r="C745" i="11"/>
  <c r="G1888" i="11"/>
  <c r="F1888" i="11"/>
  <c r="E1888" i="11"/>
  <c r="C1888" i="11"/>
  <c r="F744" i="11"/>
  <c r="E744" i="11"/>
  <c r="C744" i="11"/>
  <c r="G1887" i="11"/>
  <c r="F1887" i="11"/>
  <c r="E1887" i="11"/>
  <c r="C1887" i="11"/>
  <c r="F743" i="11"/>
  <c r="E743" i="11"/>
  <c r="C743" i="11"/>
  <c r="G1886" i="11"/>
  <c r="F1886" i="11"/>
  <c r="E1886" i="11"/>
  <c r="C1886" i="11"/>
  <c r="F742" i="11"/>
  <c r="E742" i="11"/>
  <c r="C742" i="11"/>
  <c r="F3509" i="11"/>
  <c r="C3509" i="11"/>
  <c r="G1885" i="11"/>
  <c r="F1885" i="11"/>
  <c r="C1885" i="11"/>
  <c r="F384" i="11"/>
  <c r="C384" i="11"/>
  <c r="F3508" i="11"/>
  <c r="C3508" i="11"/>
  <c r="G1884" i="11"/>
  <c r="F1884" i="11"/>
  <c r="C1884" i="11"/>
  <c r="F741" i="11"/>
  <c r="C741" i="11"/>
  <c r="F3507" i="11"/>
  <c r="C3507" i="11"/>
  <c r="G1883" i="11"/>
  <c r="F1883" i="11"/>
  <c r="C1883" i="11"/>
  <c r="F740" i="11"/>
  <c r="C740" i="11"/>
  <c r="F383" i="11"/>
  <c r="C383" i="11"/>
  <c r="F3506" i="11"/>
  <c r="C3506" i="11"/>
  <c r="G1882" i="11"/>
  <c r="F1882" i="11"/>
  <c r="C1882" i="11"/>
  <c r="F739" i="11"/>
  <c r="C739" i="11"/>
  <c r="F3505" i="11"/>
  <c r="C3505" i="11"/>
  <c r="G1881" i="11"/>
  <c r="F1881" i="11"/>
  <c r="C1881" i="11"/>
  <c r="F738" i="11"/>
  <c r="C738" i="11"/>
  <c r="F3504" i="11"/>
  <c r="C3504" i="11"/>
  <c r="G1880" i="11"/>
  <c r="F1880" i="11"/>
  <c r="C1880" i="11"/>
  <c r="F737" i="11"/>
  <c r="C737" i="11"/>
  <c r="F3503" i="11"/>
  <c r="C3503" i="11"/>
  <c r="G1879" i="11"/>
  <c r="F1879" i="11"/>
  <c r="C1879" i="11"/>
  <c r="F736" i="11"/>
  <c r="C736" i="11"/>
  <c r="F382" i="11"/>
  <c r="C382" i="11"/>
  <c r="F3502" i="11"/>
  <c r="C3502" i="11"/>
  <c r="G1878" i="11"/>
  <c r="F1878" i="11"/>
  <c r="C1878" i="11"/>
  <c r="F735" i="11"/>
  <c r="C735" i="11"/>
  <c r="F3501" i="11"/>
  <c r="C3501" i="11"/>
  <c r="G1877" i="11"/>
  <c r="F1877" i="11"/>
  <c r="C1877" i="11"/>
  <c r="F734" i="11"/>
  <c r="C734" i="11"/>
  <c r="F381" i="11"/>
  <c r="C381" i="11"/>
  <c r="F3500" i="11"/>
  <c r="C3500" i="11"/>
  <c r="G1876" i="11"/>
  <c r="F1876" i="11"/>
  <c r="C1876" i="11"/>
  <c r="F733" i="11"/>
  <c r="C733" i="11"/>
  <c r="F3499" i="11"/>
  <c r="C3499" i="11"/>
  <c r="G1875" i="11"/>
  <c r="F1875" i="11"/>
  <c r="C1875" i="11"/>
  <c r="F732" i="11"/>
  <c r="C732" i="11"/>
  <c r="F380" i="11"/>
  <c r="C380" i="11"/>
  <c r="F3498" i="11"/>
  <c r="C3498" i="11"/>
  <c r="G1874" i="11"/>
  <c r="F1874" i="11"/>
  <c r="C1874" i="11"/>
  <c r="F379" i="11"/>
  <c r="C379" i="11"/>
  <c r="F3497" i="11"/>
  <c r="C3497" i="11"/>
  <c r="G1873" i="11"/>
  <c r="F1873" i="11"/>
  <c r="C1873" i="11"/>
  <c r="F731" i="11"/>
  <c r="C731" i="11"/>
  <c r="F3496" i="11"/>
  <c r="C3496" i="11"/>
  <c r="G1872" i="11"/>
  <c r="F1872" i="11"/>
  <c r="C1872" i="11"/>
  <c r="F730" i="11"/>
  <c r="C730" i="11"/>
  <c r="F3495" i="11"/>
  <c r="C3495" i="11"/>
  <c r="G1871" i="11"/>
  <c r="F1871" i="11"/>
  <c r="C1871" i="11"/>
  <c r="F729" i="11"/>
  <c r="C729" i="11"/>
  <c r="F3494" i="11"/>
  <c r="C3494" i="11"/>
  <c r="G1870" i="11"/>
  <c r="F1870" i="11"/>
  <c r="C1870" i="11"/>
  <c r="F168" i="11"/>
  <c r="C168" i="11"/>
  <c r="F3493" i="11"/>
  <c r="C3493" i="11"/>
  <c r="G1869" i="11"/>
  <c r="F1869" i="11"/>
  <c r="C1869" i="11"/>
  <c r="F728" i="11"/>
  <c r="C728" i="11"/>
  <c r="F3492" i="11"/>
  <c r="C3492" i="11"/>
  <c r="G1868" i="11"/>
  <c r="F1868" i="11"/>
  <c r="C1868" i="11"/>
  <c r="F727" i="11"/>
  <c r="C727" i="11"/>
  <c r="F3491" i="11"/>
  <c r="C3491" i="11"/>
  <c r="G1867" i="11"/>
  <c r="F1867" i="11"/>
  <c r="C1867" i="11"/>
  <c r="F726" i="11"/>
  <c r="C726" i="11"/>
  <c r="F3490" i="11"/>
  <c r="C3490" i="11"/>
  <c r="G1866" i="11"/>
  <c r="F1866" i="11"/>
  <c r="C1866" i="11"/>
  <c r="F725" i="11"/>
  <c r="C725" i="11"/>
  <c r="F3489" i="11"/>
  <c r="C3489" i="11"/>
  <c r="G1865" i="11"/>
  <c r="F1865" i="11"/>
  <c r="C1865" i="11"/>
  <c r="F724" i="11"/>
  <c r="C724" i="11"/>
  <c r="F3488" i="11"/>
  <c r="C3488" i="11"/>
  <c r="G1864" i="11"/>
  <c r="F1864" i="11"/>
  <c r="C1864" i="11"/>
  <c r="F723" i="11"/>
  <c r="C723" i="11"/>
  <c r="F3487" i="11"/>
  <c r="C3487" i="11"/>
  <c r="G1863" i="11"/>
  <c r="F1863" i="11"/>
  <c r="C1863" i="11"/>
  <c r="F722" i="11"/>
  <c r="C722" i="11"/>
  <c r="F7020" i="11"/>
  <c r="C7020" i="11"/>
  <c r="F3627" i="11"/>
  <c r="C3627" i="11"/>
  <c r="G1862" i="11"/>
  <c r="F1862" i="11"/>
  <c r="C1862" i="11"/>
  <c r="F3486" i="11"/>
  <c r="C3486" i="11"/>
  <c r="G1861" i="11"/>
  <c r="F1861" i="11"/>
  <c r="C1861" i="11"/>
  <c r="F721" i="11"/>
  <c r="C721" i="11"/>
  <c r="F3485" i="11"/>
  <c r="E3485" i="11"/>
  <c r="C3485" i="11"/>
  <c r="G1860" i="11"/>
  <c r="F1860" i="11"/>
  <c r="E1860" i="11"/>
  <c r="C1860" i="11"/>
  <c r="F378" i="11"/>
  <c r="E378" i="11"/>
  <c r="C378" i="11"/>
  <c r="G1859" i="11"/>
  <c r="F1859" i="11"/>
  <c r="E1859" i="11"/>
  <c r="C1859" i="11"/>
  <c r="F720" i="11"/>
  <c r="E720" i="11"/>
  <c r="C720" i="11"/>
  <c r="G1858" i="11"/>
  <c r="F1858" i="11"/>
  <c r="E1858" i="11"/>
  <c r="C1858" i="11"/>
  <c r="F719" i="11"/>
  <c r="E719" i="11"/>
  <c r="C719" i="11"/>
  <c r="G1857" i="11"/>
  <c r="F1857" i="11"/>
  <c r="E1857" i="11"/>
  <c r="C1857" i="11"/>
  <c r="F718" i="11"/>
  <c r="E718" i="11"/>
  <c r="C718" i="11"/>
  <c r="G1856" i="11"/>
  <c r="F1856" i="11"/>
  <c r="E1856" i="11"/>
  <c r="C1856" i="11"/>
  <c r="F717" i="11"/>
  <c r="E717" i="11"/>
  <c r="C717" i="11"/>
  <c r="G1855" i="11"/>
  <c r="F1855" i="11"/>
  <c r="E1855" i="11"/>
  <c r="C1855" i="11"/>
  <c r="F716" i="11"/>
  <c r="E716" i="11"/>
  <c r="C716" i="11"/>
  <c r="G1854" i="11"/>
  <c r="F1854" i="11"/>
  <c r="E1854" i="11"/>
  <c r="C1854" i="11"/>
  <c r="F715" i="11"/>
  <c r="E715" i="11"/>
  <c r="C715" i="11"/>
  <c r="G1853" i="11"/>
  <c r="F1853" i="11"/>
  <c r="E1853" i="11"/>
  <c r="C1853" i="11"/>
  <c r="F714" i="11"/>
  <c r="E714" i="11"/>
  <c r="C714" i="11"/>
  <c r="G1852" i="11"/>
  <c r="F1852" i="11"/>
  <c r="E1852" i="11"/>
  <c r="C1852" i="11"/>
  <c r="F713" i="11"/>
  <c r="E713" i="11"/>
  <c r="C713" i="11"/>
  <c r="F3484" i="11"/>
  <c r="C3484" i="11"/>
  <c r="G1851" i="11"/>
  <c r="F1851" i="11"/>
  <c r="C1851" i="11"/>
  <c r="F712" i="11"/>
  <c r="C712" i="11"/>
  <c r="F3483" i="11"/>
  <c r="C3483" i="11"/>
  <c r="G1850" i="11"/>
  <c r="F1850" i="11"/>
  <c r="C1850" i="11"/>
  <c r="F711" i="11"/>
  <c r="C711" i="11"/>
  <c r="F7019" i="11"/>
  <c r="E7019" i="11"/>
  <c r="C7019" i="11"/>
  <c r="G1849" i="11"/>
  <c r="F1849" i="11"/>
  <c r="E1849" i="11"/>
  <c r="C1849" i="11"/>
  <c r="F7018" i="11"/>
  <c r="C7018" i="11"/>
  <c r="G1848" i="11"/>
  <c r="F1848" i="11"/>
  <c r="C1848" i="11"/>
  <c r="F3482" i="11"/>
  <c r="C3482" i="11"/>
  <c r="G1847" i="11"/>
  <c r="F1847" i="11"/>
  <c r="C1847" i="11"/>
  <c r="F377" i="11"/>
  <c r="C377" i="11"/>
  <c r="G1846" i="11"/>
  <c r="F1846" i="11"/>
  <c r="E1846" i="11"/>
  <c r="C1846" i="11"/>
  <c r="F710" i="11"/>
  <c r="E710" i="11"/>
  <c r="C710" i="11"/>
  <c r="F3481" i="11"/>
  <c r="E3481" i="11"/>
  <c r="C3481" i="11"/>
  <c r="G1845" i="11"/>
  <c r="F1845" i="11"/>
  <c r="E1845" i="11"/>
  <c r="C1845" i="11"/>
  <c r="F709" i="11"/>
  <c r="E709" i="11"/>
  <c r="C709" i="11"/>
  <c r="F3480" i="11"/>
  <c r="C3480" i="11"/>
  <c r="G1844" i="11"/>
  <c r="F1844" i="11"/>
  <c r="C1844" i="11"/>
  <c r="F272" i="11"/>
  <c r="C272" i="11"/>
  <c r="F3479" i="11"/>
  <c r="C3479" i="11"/>
  <c r="G1843" i="11"/>
  <c r="F1843" i="11"/>
  <c r="C1843" i="11"/>
  <c r="F271" i="11"/>
  <c r="C271" i="11"/>
  <c r="F3478" i="11"/>
  <c r="C3478" i="11"/>
  <c r="G1842" i="11"/>
  <c r="F1842" i="11"/>
  <c r="C1842" i="11"/>
  <c r="F270" i="11"/>
  <c r="C270" i="11"/>
  <c r="F3477" i="11"/>
  <c r="C3477" i="11"/>
  <c r="G1841" i="11"/>
  <c r="F1841" i="11"/>
  <c r="C1841" i="11"/>
  <c r="F269" i="11"/>
  <c r="C269" i="11"/>
  <c r="F3476" i="11"/>
  <c r="C3476" i="11"/>
  <c r="G1840" i="11"/>
  <c r="F1840" i="11"/>
  <c r="C1840" i="11"/>
  <c r="F268" i="11"/>
  <c r="C268" i="11"/>
  <c r="F3475" i="11"/>
  <c r="C3475" i="11"/>
  <c r="G1839" i="11"/>
  <c r="F1839" i="11"/>
  <c r="C1839" i="11"/>
  <c r="F267" i="11"/>
  <c r="C267" i="11"/>
  <c r="F3474" i="11"/>
  <c r="C3474" i="11"/>
  <c r="G1838" i="11"/>
  <c r="F1838" i="11"/>
  <c r="C1838" i="11"/>
  <c r="F266" i="11"/>
  <c r="C266" i="11"/>
  <c r="F3473" i="11"/>
  <c r="C3473" i="11"/>
  <c r="G1837" i="11"/>
  <c r="F1837" i="11"/>
  <c r="C1837" i="11"/>
  <c r="F265" i="11"/>
  <c r="C265" i="11"/>
  <c r="F3472" i="11"/>
  <c r="C3472" i="11"/>
  <c r="G1836" i="11"/>
  <c r="F1836" i="11"/>
  <c r="C1836" i="11"/>
  <c r="F264" i="11"/>
  <c r="C264" i="11"/>
  <c r="F3471" i="11"/>
  <c r="C3471" i="11"/>
  <c r="G1835" i="11"/>
  <c r="F1835" i="11"/>
  <c r="C1835" i="11"/>
  <c r="F263" i="11"/>
  <c r="C263" i="11"/>
  <c r="F3470" i="11"/>
  <c r="C3470" i="11"/>
  <c r="G1834" i="11"/>
  <c r="F1834" i="11"/>
  <c r="C1834" i="11"/>
  <c r="F262" i="11"/>
  <c r="C262" i="11"/>
  <c r="F3469" i="11"/>
  <c r="C3469" i="11"/>
  <c r="G1833" i="11"/>
  <c r="F1833" i="11"/>
  <c r="C1833" i="11"/>
  <c r="F261" i="11"/>
  <c r="C261" i="11"/>
  <c r="F3468" i="11"/>
  <c r="C3468" i="11"/>
  <c r="G1832" i="11"/>
  <c r="F1832" i="11"/>
  <c r="C1832" i="11"/>
  <c r="F260" i="11"/>
  <c r="C260" i="11"/>
  <c r="F3467" i="11"/>
  <c r="C3467" i="11"/>
  <c r="G1831" i="11"/>
  <c r="F1831" i="11"/>
  <c r="C1831" i="11"/>
  <c r="F259" i="11"/>
  <c r="C259" i="11"/>
  <c r="F3466" i="11"/>
  <c r="C3466" i="11"/>
  <c r="G1830" i="11"/>
  <c r="F1830" i="11"/>
  <c r="C1830" i="11"/>
  <c r="F258" i="11"/>
  <c r="C258" i="11"/>
  <c r="F3465" i="11"/>
  <c r="C3465" i="11"/>
  <c r="G1829" i="11"/>
  <c r="F1829" i="11"/>
  <c r="C1829" i="11"/>
  <c r="F257" i="11"/>
  <c r="C257" i="11"/>
  <c r="F3464" i="11"/>
  <c r="C3464" i="11"/>
  <c r="G1828" i="11"/>
  <c r="F1828" i="11"/>
  <c r="C1828" i="11"/>
  <c r="F256" i="11"/>
  <c r="C256" i="11"/>
  <c r="F3463" i="11"/>
  <c r="C3463" i="11"/>
  <c r="G1827" i="11"/>
  <c r="F1827" i="11"/>
  <c r="C1827" i="11"/>
  <c r="F255" i="11"/>
  <c r="C255" i="11"/>
  <c r="F3462" i="11"/>
  <c r="C3462" i="11"/>
  <c r="G1826" i="11"/>
  <c r="F1826" i="11"/>
  <c r="C1826" i="11"/>
  <c r="F376" i="11"/>
  <c r="C376" i="11"/>
  <c r="F3461" i="11"/>
  <c r="C3461" i="11"/>
  <c r="G1825" i="11"/>
  <c r="F1825" i="11"/>
  <c r="C1825" i="11"/>
  <c r="F254" i="11"/>
  <c r="C254" i="11"/>
  <c r="F3460" i="11"/>
  <c r="C3460" i="11"/>
  <c r="G1824" i="11"/>
  <c r="F1824" i="11"/>
  <c r="C1824" i="11"/>
  <c r="F253" i="11"/>
  <c r="C253" i="11"/>
  <c r="F3459" i="11"/>
  <c r="C3459" i="11"/>
  <c r="G1823" i="11"/>
  <c r="F1823" i="11"/>
  <c r="C1823" i="11"/>
  <c r="F252" i="11"/>
  <c r="C252" i="11"/>
  <c r="F3458" i="11"/>
  <c r="C3458" i="11"/>
  <c r="G1822" i="11"/>
  <c r="F1822" i="11"/>
  <c r="C1822" i="11"/>
  <c r="F251" i="11"/>
  <c r="C251" i="11"/>
  <c r="F3457" i="11"/>
  <c r="C3457" i="11"/>
  <c r="G1821" i="11"/>
  <c r="F1821" i="11"/>
  <c r="C1821" i="11"/>
  <c r="F250" i="11"/>
  <c r="C250" i="11"/>
  <c r="F3456" i="11"/>
  <c r="C3456" i="11"/>
  <c r="G1820" i="11"/>
  <c r="F1820" i="11"/>
  <c r="C1820" i="11"/>
  <c r="F249" i="11"/>
  <c r="C249" i="11"/>
  <c r="F3455" i="11"/>
  <c r="C3455" i="11"/>
  <c r="G1819" i="11"/>
  <c r="F1819" i="11"/>
  <c r="C1819" i="11"/>
  <c r="F248" i="11"/>
  <c r="C248" i="11"/>
  <c r="F3454" i="11"/>
  <c r="C3454" i="11"/>
  <c r="G1818" i="11"/>
  <c r="F1818" i="11"/>
  <c r="C1818" i="11"/>
  <c r="F247" i="11"/>
  <c r="C247" i="11"/>
  <c r="F3453" i="11"/>
  <c r="C3453" i="11"/>
  <c r="G1817" i="11"/>
  <c r="F1817" i="11"/>
  <c r="C1817" i="11"/>
  <c r="F708" i="11"/>
  <c r="C708" i="11"/>
  <c r="F3452" i="11"/>
  <c r="C3452" i="11"/>
  <c r="G1816" i="11"/>
  <c r="F1816" i="11"/>
  <c r="C1816" i="11"/>
  <c r="F707" i="11"/>
  <c r="C707" i="11"/>
  <c r="F3451" i="11"/>
  <c r="C3451" i="11"/>
  <c r="G1815" i="11"/>
  <c r="F1815" i="11"/>
  <c r="C1815" i="11"/>
  <c r="F706" i="11"/>
  <c r="C706" i="11"/>
  <c r="F3450" i="11"/>
  <c r="C3450" i="11"/>
  <c r="G1814" i="11"/>
  <c r="F1814" i="11"/>
  <c r="C1814" i="11"/>
  <c r="F705" i="11"/>
  <c r="C705" i="11"/>
  <c r="F3449" i="11"/>
  <c r="C3449" i="11"/>
  <c r="G1813" i="11"/>
  <c r="F1813" i="11"/>
  <c r="C1813" i="11"/>
  <c r="F704" i="11"/>
  <c r="C704" i="11"/>
  <c r="F3448" i="11"/>
  <c r="C3448" i="11"/>
  <c r="G1812" i="11"/>
  <c r="F1812" i="11"/>
  <c r="C1812" i="11"/>
  <c r="F703" i="11"/>
  <c r="C703" i="11"/>
  <c r="F3447" i="11"/>
  <c r="C3447" i="11"/>
  <c r="G1811" i="11"/>
  <c r="F1811" i="11"/>
  <c r="C1811" i="11"/>
  <c r="F702" i="11"/>
  <c r="C702" i="11"/>
  <c r="F3446" i="11"/>
  <c r="C3446" i="11"/>
  <c r="G1810" i="11"/>
  <c r="F1810" i="11"/>
  <c r="C1810" i="11"/>
  <c r="F701" i="11"/>
  <c r="C701" i="11"/>
  <c r="F3445" i="11"/>
  <c r="C3445" i="11"/>
  <c r="G1809" i="11"/>
  <c r="F1809" i="11"/>
  <c r="C1809" i="11"/>
  <c r="F700" i="11"/>
  <c r="C700" i="11"/>
  <c r="F3444" i="11"/>
  <c r="C3444" i="11"/>
  <c r="G1808" i="11"/>
  <c r="F1808" i="11"/>
  <c r="C1808" i="11"/>
  <c r="F699" i="11"/>
  <c r="C699" i="11"/>
  <c r="F3443" i="11"/>
  <c r="C3443" i="11"/>
  <c r="G1807" i="11"/>
  <c r="F1807" i="11"/>
  <c r="C1807" i="11"/>
  <c r="F698" i="11"/>
  <c r="C698" i="11"/>
  <c r="F3442" i="11"/>
  <c r="C3442" i="11"/>
  <c r="G1806" i="11"/>
  <c r="F1806" i="11"/>
  <c r="C1806" i="11"/>
  <c r="F697" i="11"/>
  <c r="C697" i="11"/>
  <c r="F3441" i="11"/>
  <c r="C3441" i="11"/>
  <c r="G1805" i="11"/>
  <c r="F1805" i="11"/>
  <c r="C1805" i="11"/>
  <c r="F696" i="11"/>
  <c r="C696" i="11"/>
  <c r="F3440" i="11"/>
  <c r="C3440" i="11"/>
  <c r="G1804" i="11"/>
  <c r="F1804" i="11"/>
  <c r="C1804" i="11"/>
  <c r="F695" i="11"/>
  <c r="C695" i="11"/>
  <c r="F3439" i="11"/>
  <c r="C3439" i="11"/>
  <c r="G1803" i="11"/>
  <c r="F1803" i="11"/>
  <c r="C1803" i="11"/>
  <c r="F694" i="11"/>
  <c r="C694" i="11"/>
  <c r="F3438" i="11"/>
  <c r="C3438" i="11"/>
  <c r="G1802" i="11"/>
  <c r="F1802" i="11"/>
  <c r="C1802" i="11"/>
  <c r="F375" i="11"/>
  <c r="C375" i="11"/>
  <c r="F3437" i="11"/>
  <c r="C3437" i="11"/>
  <c r="G1801" i="11"/>
  <c r="F1801" i="11"/>
  <c r="C1801" i="11"/>
  <c r="F374" i="11"/>
  <c r="C374" i="11"/>
  <c r="F3436" i="11"/>
  <c r="C3436" i="11"/>
  <c r="G1800" i="11"/>
  <c r="F1800" i="11"/>
  <c r="C1800" i="11"/>
  <c r="F373" i="11"/>
  <c r="C373" i="11"/>
  <c r="F7017" i="11"/>
  <c r="E7017" i="11"/>
  <c r="C7017" i="11"/>
  <c r="F3626" i="11"/>
  <c r="E3626" i="11"/>
  <c r="C3626" i="11"/>
  <c r="G1799" i="11"/>
  <c r="F1799" i="11"/>
  <c r="E1799" i="11"/>
  <c r="C1799" i="11"/>
  <c r="F3435" i="11"/>
  <c r="E3435" i="11"/>
  <c r="C3435" i="11"/>
  <c r="G1798" i="11"/>
  <c r="F1798" i="11"/>
  <c r="E1798" i="11"/>
  <c r="C1798" i="11"/>
  <c r="F693" i="11"/>
  <c r="E693" i="11"/>
  <c r="C693" i="11"/>
  <c r="F3434" i="11"/>
  <c r="E3434" i="11"/>
  <c r="C3434" i="11"/>
  <c r="G1797" i="11"/>
  <c r="F1797" i="11"/>
  <c r="E1797" i="11"/>
  <c r="C1797" i="11"/>
  <c r="F692" i="11"/>
  <c r="E692" i="11"/>
  <c r="C692" i="11"/>
  <c r="F3433" i="11"/>
  <c r="C3433" i="11"/>
  <c r="G1796" i="11"/>
  <c r="F1796" i="11"/>
  <c r="C1796" i="11"/>
  <c r="F691" i="11"/>
  <c r="C691" i="11"/>
  <c r="F372" i="11"/>
  <c r="C372" i="11"/>
  <c r="F246" i="11"/>
  <c r="C246" i="11"/>
  <c r="F3432" i="11"/>
  <c r="C3432" i="11"/>
  <c r="G1795" i="11"/>
  <c r="F1795" i="11"/>
  <c r="C1795" i="11"/>
  <c r="F245" i="11"/>
  <c r="C245" i="11"/>
  <c r="F3431" i="11"/>
  <c r="C3431" i="11"/>
  <c r="G1794" i="11"/>
  <c r="F1794" i="11"/>
  <c r="C1794" i="11"/>
  <c r="F690" i="11"/>
  <c r="C690" i="11"/>
  <c r="J8169" i="11" l="1"/>
  <c r="K8169" i="11"/>
  <c r="D2" i="6"/>
  <c r="A2" i="6" s="1"/>
  <c r="E2" i="6"/>
  <c r="D3" i="6"/>
  <c r="E3" i="6"/>
  <c r="D4" i="6"/>
  <c r="E4" i="6"/>
  <c r="D5" i="6"/>
  <c r="A5" i="6" s="1"/>
  <c r="E5" i="6"/>
  <c r="D6" i="6"/>
  <c r="A6" i="6" s="1"/>
  <c r="E6" i="6"/>
  <c r="D7" i="6"/>
  <c r="E7" i="6"/>
  <c r="D8" i="6"/>
  <c r="E8" i="6"/>
  <c r="D9" i="6"/>
  <c r="A9" i="6" s="1"/>
  <c r="E9" i="6"/>
  <c r="D10" i="6"/>
  <c r="A10" i="6" s="1"/>
  <c r="E10" i="6"/>
  <c r="D11" i="6"/>
  <c r="E11" i="6"/>
  <c r="D12" i="6"/>
  <c r="E12" i="6"/>
  <c r="D13" i="6"/>
  <c r="A13" i="6" s="1"/>
  <c r="E13" i="6"/>
  <c r="D14" i="6"/>
  <c r="A14" i="6" s="1"/>
  <c r="E14" i="6"/>
  <c r="D15" i="6"/>
  <c r="E15" i="6"/>
  <c r="D16" i="6"/>
  <c r="E16" i="6"/>
  <c r="D17" i="6"/>
  <c r="A17" i="6" s="1"/>
  <c r="E17" i="6"/>
  <c r="D18" i="6"/>
  <c r="A18" i="6" s="1"/>
  <c r="E18" i="6"/>
  <c r="D19" i="6"/>
  <c r="E19" i="6"/>
  <c r="D20" i="6"/>
  <c r="E20" i="6"/>
  <c r="D21" i="6"/>
  <c r="A21" i="6" s="1"/>
  <c r="E21" i="6"/>
  <c r="D22" i="6"/>
  <c r="A22" i="6" s="1"/>
  <c r="E22" i="6"/>
  <c r="D23" i="6"/>
  <c r="E23" i="6"/>
  <c r="D24" i="6"/>
  <c r="E24" i="6"/>
  <c r="D25" i="6"/>
  <c r="A25" i="6" s="1"/>
  <c r="E25" i="6"/>
  <c r="D26" i="6"/>
  <c r="A26" i="6" s="1"/>
  <c r="E26" i="6"/>
  <c r="D27" i="6"/>
  <c r="E27" i="6"/>
  <c r="D28" i="6"/>
  <c r="E28" i="6"/>
  <c r="D29" i="6"/>
  <c r="A29" i="6" s="1"/>
  <c r="E29" i="6"/>
  <c r="D30" i="6"/>
  <c r="A30" i="6" s="1"/>
  <c r="E30" i="6"/>
  <c r="D31" i="6"/>
  <c r="E31" i="6"/>
  <c r="D32" i="6"/>
  <c r="E32" i="6"/>
  <c r="D33" i="6"/>
  <c r="A33" i="6" s="1"/>
  <c r="E33" i="6"/>
  <c r="D34" i="6"/>
  <c r="A34" i="6" s="1"/>
  <c r="E34" i="6"/>
  <c r="D35" i="6"/>
  <c r="E35" i="6"/>
  <c r="D36" i="6"/>
  <c r="E36" i="6"/>
  <c r="D37" i="6"/>
  <c r="A37" i="6" s="1"/>
  <c r="E37" i="6"/>
  <c r="D38" i="6"/>
  <c r="A38" i="6" s="1"/>
  <c r="E38" i="6"/>
  <c r="D39" i="6"/>
  <c r="E39" i="6"/>
  <c r="D40" i="6"/>
  <c r="E40" i="6"/>
  <c r="D41" i="6"/>
  <c r="A41" i="6" s="1"/>
  <c r="E41" i="6"/>
  <c r="D42" i="6"/>
  <c r="A42" i="6" s="1"/>
  <c r="E42" i="6"/>
  <c r="D43" i="6"/>
  <c r="E43" i="6"/>
  <c r="D44" i="6"/>
  <c r="E44" i="6"/>
  <c r="D45" i="6"/>
  <c r="A45" i="6" s="1"/>
  <c r="E45" i="6"/>
  <c r="D46" i="6"/>
  <c r="A46" i="6" s="1"/>
  <c r="E46" i="6"/>
  <c r="D47" i="6"/>
  <c r="E47" i="6"/>
  <c r="D48" i="6"/>
  <c r="E48" i="6"/>
  <c r="D49" i="6"/>
  <c r="A49" i="6" s="1"/>
  <c r="E49" i="6"/>
  <c r="D50" i="6"/>
  <c r="A50" i="6" s="1"/>
  <c r="E50" i="6"/>
  <c r="D51" i="6"/>
  <c r="E51" i="6"/>
  <c r="D52" i="6"/>
  <c r="E52" i="6"/>
  <c r="D53" i="6"/>
  <c r="A53" i="6" s="1"/>
  <c r="E53" i="6"/>
  <c r="D54" i="6"/>
  <c r="A54" i="6" s="1"/>
  <c r="E54" i="6"/>
  <c r="D55" i="6"/>
  <c r="E55" i="6"/>
  <c r="D56" i="6"/>
  <c r="E56" i="6"/>
  <c r="D57" i="6"/>
  <c r="A57" i="6" s="1"/>
  <c r="E57" i="6"/>
  <c r="D58" i="6"/>
  <c r="A58" i="6" s="1"/>
  <c r="E58" i="6"/>
  <c r="D59" i="6"/>
  <c r="E59" i="6"/>
  <c r="D60" i="6"/>
  <c r="E60" i="6"/>
  <c r="D61" i="6"/>
  <c r="A61" i="6" s="1"/>
  <c r="E61" i="6"/>
  <c r="D62" i="6"/>
  <c r="A62" i="6" s="1"/>
  <c r="E62" i="6"/>
  <c r="D63" i="6"/>
  <c r="E63" i="6"/>
  <c r="D64" i="6"/>
  <c r="E64" i="6"/>
  <c r="D65" i="6"/>
  <c r="A65" i="6" s="1"/>
  <c r="E65" i="6"/>
  <c r="D66" i="6"/>
  <c r="A66" i="6" s="1"/>
  <c r="E66" i="6"/>
  <c r="D67" i="6"/>
  <c r="E67" i="6"/>
  <c r="D68" i="6"/>
  <c r="E68" i="6"/>
  <c r="D69" i="6"/>
  <c r="A69" i="6" s="1"/>
  <c r="E69" i="6"/>
  <c r="D70" i="6"/>
  <c r="A70" i="6" s="1"/>
  <c r="E70" i="6"/>
  <c r="D71" i="6"/>
  <c r="E71" i="6"/>
  <c r="D72" i="6"/>
  <c r="E72" i="6"/>
  <c r="D73" i="6"/>
  <c r="A73" i="6" s="1"/>
  <c r="E73" i="6"/>
  <c r="D74" i="6"/>
  <c r="A74" i="6" s="1"/>
  <c r="E74" i="6"/>
  <c r="D75" i="6"/>
  <c r="E75" i="6"/>
  <c r="D76" i="6"/>
  <c r="E76" i="6"/>
  <c r="D77" i="6"/>
  <c r="A77" i="6" s="1"/>
  <c r="E77" i="6"/>
  <c r="D78" i="6"/>
  <c r="A78" i="6" s="1"/>
  <c r="E78" i="6"/>
  <c r="D79" i="6"/>
  <c r="E79" i="6"/>
  <c r="D80" i="6"/>
  <c r="E80" i="6"/>
  <c r="D81" i="6"/>
  <c r="A81" i="6" s="1"/>
  <c r="E81" i="6"/>
  <c r="D82" i="6"/>
  <c r="A82" i="6" s="1"/>
  <c r="E82" i="6"/>
  <c r="D83" i="6"/>
  <c r="E83" i="6"/>
  <c r="D84" i="6"/>
  <c r="E84" i="6"/>
  <c r="D85" i="6"/>
  <c r="A85" i="6" s="1"/>
  <c r="E85" i="6"/>
  <c r="D86" i="6"/>
  <c r="A86" i="6" s="1"/>
  <c r="E86" i="6"/>
  <c r="D87" i="6"/>
  <c r="E87" i="6"/>
  <c r="D88" i="6"/>
  <c r="E88" i="6"/>
  <c r="D89" i="6"/>
  <c r="A89" i="6" s="1"/>
  <c r="E89" i="6"/>
  <c r="D90" i="6"/>
  <c r="A90" i="6" s="1"/>
  <c r="E90" i="6"/>
  <c r="D91" i="6"/>
  <c r="E91" i="6"/>
  <c r="D92" i="6"/>
  <c r="E92" i="6"/>
  <c r="D93" i="6"/>
  <c r="A93" i="6" s="1"/>
  <c r="E93" i="6"/>
  <c r="D94" i="6"/>
  <c r="A94" i="6" s="1"/>
  <c r="E94" i="6"/>
  <c r="D95" i="6"/>
  <c r="E95" i="6"/>
  <c r="D96" i="6"/>
  <c r="E96" i="6"/>
  <c r="D97" i="6"/>
  <c r="A97" i="6" s="1"/>
  <c r="E97" i="6"/>
  <c r="D98" i="6"/>
  <c r="A98" i="6" s="1"/>
  <c r="E98" i="6"/>
  <c r="D99" i="6"/>
  <c r="E99" i="6"/>
  <c r="D100" i="6"/>
  <c r="E100" i="6"/>
  <c r="D101" i="6"/>
  <c r="A101" i="6" s="1"/>
  <c r="E101" i="6"/>
  <c r="D102" i="6"/>
  <c r="A102" i="6" s="1"/>
  <c r="E102" i="6"/>
  <c r="D103" i="6"/>
  <c r="E103" i="6"/>
  <c r="D104" i="6"/>
  <c r="E104" i="6"/>
  <c r="D105" i="6"/>
  <c r="A105" i="6" s="1"/>
  <c r="E105" i="6"/>
  <c r="D106" i="6"/>
  <c r="A106" i="6" s="1"/>
  <c r="E106" i="6"/>
  <c r="D107" i="6"/>
  <c r="E107" i="6"/>
  <c r="D108" i="6"/>
  <c r="E108" i="6"/>
  <c r="D109" i="6"/>
  <c r="A109" i="6" s="1"/>
  <c r="E109" i="6"/>
  <c r="D110" i="6"/>
  <c r="A110" i="6" s="1"/>
  <c r="E110" i="6"/>
  <c r="D111" i="6"/>
  <c r="E111" i="6"/>
  <c r="D112" i="6"/>
  <c r="E112" i="6"/>
  <c r="D113" i="6"/>
  <c r="A113" i="6" s="1"/>
  <c r="E113" i="6"/>
  <c r="D114" i="6"/>
  <c r="A114" i="6" s="1"/>
  <c r="E114" i="6"/>
  <c r="D115" i="6"/>
  <c r="E115" i="6"/>
  <c r="D116" i="6"/>
  <c r="E116" i="6"/>
  <c r="D117" i="6"/>
  <c r="A117" i="6" s="1"/>
  <c r="E117" i="6"/>
  <c r="D118" i="6"/>
  <c r="A118" i="6" s="1"/>
  <c r="E118" i="6"/>
  <c r="D119" i="6"/>
  <c r="E119" i="6"/>
  <c r="D120" i="6"/>
  <c r="E120" i="6"/>
  <c r="D121" i="6"/>
  <c r="A121" i="6" s="1"/>
  <c r="E121" i="6"/>
  <c r="D122" i="6"/>
  <c r="A122" i="6" s="1"/>
  <c r="E122" i="6"/>
  <c r="D123" i="6"/>
  <c r="E123" i="6"/>
  <c r="D124" i="6"/>
  <c r="E124" i="6"/>
  <c r="D125" i="6"/>
  <c r="A125" i="6" s="1"/>
  <c r="E125" i="6"/>
  <c r="D126" i="6"/>
  <c r="A126" i="6" s="1"/>
  <c r="E126" i="6"/>
  <c r="D127" i="6"/>
  <c r="E127" i="6"/>
  <c r="D128" i="6"/>
  <c r="E128" i="6"/>
  <c r="D129" i="6"/>
  <c r="A129" i="6" s="1"/>
  <c r="E129" i="6"/>
  <c r="D130" i="6"/>
  <c r="A130" i="6" s="1"/>
  <c r="E130" i="6"/>
  <c r="D131" i="6"/>
  <c r="E131" i="6"/>
  <c r="D132" i="6"/>
  <c r="E132" i="6"/>
  <c r="D133" i="6"/>
  <c r="A133" i="6" s="1"/>
  <c r="E133" i="6"/>
  <c r="D134" i="6"/>
  <c r="A134" i="6" s="1"/>
  <c r="E134" i="6"/>
  <c r="D135" i="6"/>
  <c r="E135" i="6"/>
  <c r="D136" i="6"/>
  <c r="E136" i="6"/>
  <c r="D137" i="6"/>
  <c r="A137" i="6" s="1"/>
  <c r="E137" i="6"/>
  <c r="D138" i="6"/>
  <c r="A138" i="6" s="1"/>
  <c r="E138" i="6"/>
  <c r="D139" i="6"/>
  <c r="E139" i="6"/>
  <c r="D140" i="6"/>
  <c r="E140" i="6"/>
  <c r="D141" i="6"/>
  <c r="A141" i="6" s="1"/>
  <c r="E141" i="6"/>
  <c r="D142" i="6"/>
  <c r="A142" i="6" s="1"/>
  <c r="E142" i="6"/>
  <c r="D143" i="6"/>
  <c r="E143" i="6"/>
  <c r="D144" i="6"/>
  <c r="E144" i="6"/>
  <c r="D145" i="6"/>
  <c r="A145" i="6" s="1"/>
  <c r="E145" i="6"/>
  <c r="D146" i="6"/>
  <c r="A146" i="6" s="1"/>
  <c r="E146" i="6"/>
  <c r="D147" i="6"/>
  <c r="E147" i="6"/>
  <c r="D148" i="6"/>
  <c r="E148" i="6"/>
  <c r="D149" i="6"/>
  <c r="A149" i="6" s="1"/>
  <c r="E149" i="6"/>
  <c r="D150" i="6"/>
  <c r="A150" i="6" s="1"/>
  <c r="E150" i="6"/>
  <c r="D151" i="6"/>
  <c r="E151" i="6"/>
  <c r="D152" i="6"/>
  <c r="E152" i="6"/>
  <c r="D153" i="6"/>
  <c r="A153" i="6" s="1"/>
  <c r="E153" i="6"/>
  <c r="D154" i="6"/>
  <c r="A154" i="6" s="1"/>
  <c r="E154" i="6"/>
  <c r="D155" i="6"/>
  <c r="E155" i="6"/>
  <c r="D156" i="6"/>
  <c r="E156" i="6"/>
  <c r="D157" i="6"/>
  <c r="A157" i="6" s="1"/>
  <c r="E157" i="6"/>
  <c r="D158" i="6"/>
  <c r="A158" i="6" s="1"/>
  <c r="E158" i="6"/>
  <c r="D159" i="6"/>
  <c r="E159" i="6"/>
  <c r="D160" i="6"/>
  <c r="E160" i="6"/>
  <c r="D161" i="6"/>
  <c r="A161" i="6" s="1"/>
  <c r="E161" i="6"/>
  <c r="D162" i="6"/>
  <c r="A162" i="6" s="1"/>
  <c r="E162" i="6"/>
  <c r="D163" i="6"/>
  <c r="E163" i="6"/>
  <c r="D2" i="2"/>
  <c r="E2" i="2"/>
  <c r="D3" i="2"/>
  <c r="A3" i="2" s="1"/>
  <c r="E3" i="2"/>
  <c r="D4" i="2"/>
  <c r="A4" i="2" s="1"/>
  <c r="E4" i="2"/>
  <c r="D5" i="2"/>
  <c r="E5" i="2"/>
  <c r="D6" i="2"/>
  <c r="E6" i="2"/>
  <c r="D7" i="2"/>
  <c r="A7" i="2" s="1"/>
  <c r="E7" i="2"/>
  <c r="D8" i="2"/>
  <c r="A8" i="2" s="1"/>
  <c r="E8" i="2"/>
  <c r="D9" i="2"/>
  <c r="E9" i="2"/>
  <c r="D10" i="2"/>
  <c r="E10" i="2"/>
  <c r="D11" i="2"/>
  <c r="A11" i="2" s="1"/>
  <c r="E11" i="2"/>
  <c r="D12" i="2"/>
  <c r="A12" i="2" s="1"/>
  <c r="E12" i="2"/>
  <c r="D13" i="2"/>
  <c r="E13" i="2"/>
  <c r="D14" i="2"/>
  <c r="E14" i="2"/>
  <c r="D15" i="2"/>
  <c r="A15" i="2" s="1"/>
  <c r="E15" i="2"/>
  <c r="D16" i="2"/>
  <c r="A16" i="2" s="1"/>
  <c r="E16" i="2"/>
  <c r="D17" i="2"/>
  <c r="E17" i="2"/>
  <c r="D18" i="2"/>
  <c r="E18" i="2"/>
  <c r="D19" i="2"/>
  <c r="A19" i="2" s="1"/>
  <c r="E19" i="2"/>
  <c r="D20" i="2"/>
  <c r="A20" i="2" s="1"/>
  <c r="E20" i="2"/>
  <c r="D21" i="2"/>
  <c r="E21" i="2"/>
  <c r="D22" i="2"/>
  <c r="E22" i="2"/>
  <c r="D23" i="2"/>
  <c r="A23" i="2" s="1"/>
  <c r="E23" i="2"/>
  <c r="D24" i="2"/>
  <c r="A24" i="2" s="1"/>
  <c r="E24" i="2"/>
  <c r="D25" i="2"/>
  <c r="E25" i="2"/>
  <c r="D26" i="2"/>
  <c r="E26" i="2"/>
  <c r="D27" i="2"/>
  <c r="A27" i="2" s="1"/>
  <c r="E27" i="2"/>
  <c r="D28" i="2"/>
  <c r="A28" i="2" s="1"/>
  <c r="E28" i="2"/>
  <c r="D29" i="2"/>
  <c r="E29" i="2"/>
  <c r="D30" i="2"/>
  <c r="E30" i="2"/>
  <c r="D31" i="2"/>
  <c r="A31" i="2" s="1"/>
  <c r="E31" i="2"/>
  <c r="D32" i="2"/>
  <c r="A32" i="2" s="1"/>
  <c r="E32" i="2"/>
  <c r="D33" i="2"/>
  <c r="E33" i="2"/>
  <c r="D34" i="2"/>
  <c r="E34" i="2"/>
  <c r="D35" i="2"/>
  <c r="A35" i="2" s="1"/>
  <c r="E35" i="2"/>
  <c r="D36" i="2"/>
  <c r="A36" i="2" s="1"/>
  <c r="E36" i="2"/>
  <c r="D37" i="2"/>
  <c r="E37" i="2"/>
  <c r="D38" i="2"/>
  <c r="E38" i="2"/>
  <c r="D39" i="2"/>
  <c r="A39" i="2" s="1"/>
  <c r="E39" i="2"/>
  <c r="D40" i="2"/>
  <c r="A40" i="2" s="1"/>
  <c r="E40" i="2"/>
  <c r="D41" i="2"/>
  <c r="E41" i="2"/>
  <c r="D42" i="2"/>
  <c r="E42" i="2"/>
  <c r="D43" i="2"/>
  <c r="A43" i="2" s="1"/>
  <c r="E43" i="2"/>
  <c r="D44" i="2"/>
  <c r="A44" i="2" s="1"/>
  <c r="E44" i="2"/>
  <c r="D45" i="2"/>
  <c r="E45" i="2"/>
  <c r="D46" i="2"/>
  <c r="E46" i="2"/>
  <c r="D47" i="2"/>
  <c r="A47" i="2" s="1"/>
  <c r="E47" i="2"/>
  <c r="D48" i="2"/>
  <c r="A48" i="2" s="1"/>
  <c r="E48" i="2"/>
  <c r="D49" i="2"/>
  <c r="E49" i="2"/>
  <c r="D50" i="2"/>
  <c r="E50" i="2"/>
  <c r="D51" i="2"/>
  <c r="A51" i="2" s="1"/>
  <c r="E51" i="2"/>
  <c r="D52" i="2"/>
  <c r="A52" i="2" s="1"/>
  <c r="E52" i="2"/>
  <c r="D53" i="2"/>
  <c r="E53" i="2"/>
  <c r="D54" i="2"/>
  <c r="E54" i="2"/>
  <c r="D55" i="2"/>
  <c r="A55" i="2" s="1"/>
  <c r="E55" i="2"/>
  <c r="D56" i="2"/>
  <c r="A56" i="2" s="1"/>
  <c r="E56" i="2"/>
  <c r="D57" i="2"/>
  <c r="E57" i="2"/>
  <c r="D58" i="2"/>
  <c r="E58" i="2"/>
  <c r="D59" i="2"/>
  <c r="A59" i="2" s="1"/>
  <c r="E59" i="2"/>
  <c r="D60" i="2"/>
  <c r="A60" i="2" s="1"/>
  <c r="E60" i="2"/>
  <c r="D61" i="2"/>
  <c r="E61" i="2"/>
  <c r="D62" i="2"/>
  <c r="E62" i="2"/>
  <c r="D63" i="2"/>
  <c r="A63" i="2" s="1"/>
  <c r="E63" i="2"/>
  <c r="D64" i="2"/>
  <c r="A64" i="2" s="1"/>
  <c r="E64" i="2"/>
  <c r="D65" i="2"/>
  <c r="E65" i="2"/>
  <c r="D66" i="2"/>
  <c r="E66" i="2"/>
  <c r="D67" i="2"/>
  <c r="A67" i="2" s="1"/>
  <c r="E67" i="2"/>
  <c r="D68" i="2"/>
  <c r="A68" i="2" s="1"/>
  <c r="E68" i="2"/>
  <c r="D69" i="2"/>
  <c r="E69" i="2"/>
  <c r="D70" i="2"/>
  <c r="E70" i="2"/>
  <c r="D71" i="2"/>
  <c r="A71" i="2" s="1"/>
  <c r="E71" i="2"/>
  <c r="D72" i="2"/>
  <c r="A72" i="2" s="1"/>
  <c r="E72" i="2"/>
  <c r="D73" i="2"/>
  <c r="E73" i="2"/>
  <c r="D74" i="2"/>
  <c r="E74" i="2"/>
  <c r="D75" i="2"/>
  <c r="A75" i="2" s="1"/>
  <c r="E75" i="2"/>
  <c r="D76" i="2"/>
  <c r="A76" i="2" s="1"/>
  <c r="E76" i="2"/>
  <c r="D77" i="2"/>
  <c r="E77" i="2"/>
  <c r="D78" i="2"/>
  <c r="E78" i="2"/>
  <c r="D79" i="2"/>
  <c r="A79" i="2" s="1"/>
  <c r="E79" i="2"/>
  <c r="D80" i="2"/>
  <c r="A80" i="2" s="1"/>
  <c r="E80" i="2"/>
  <c r="D81" i="2"/>
  <c r="E81" i="2"/>
  <c r="D82" i="2"/>
  <c r="E82" i="2"/>
  <c r="D83" i="2"/>
  <c r="A83" i="2" s="1"/>
  <c r="E83" i="2"/>
  <c r="D84" i="2"/>
  <c r="A84" i="2" s="1"/>
  <c r="E84" i="2"/>
  <c r="D85" i="2"/>
  <c r="E85" i="2"/>
  <c r="D86" i="2"/>
  <c r="E86" i="2"/>
  <c r="D87" i="2"/>
  <c r="A87" i="2" s="1"/>
  <c r="E87" i="2"/>
  <c r="D88" i="2"/>
  <c r="A88" i="2" s="1"/>
  <c r="E88" i="2"/>
  <c r="D89" i="2"/>
  <c r="E89" i="2"/>
  <c r="D90" i="2"/>
  <c r="E90" i="2"/>
  <c r="D91" i="2"/>
  <c r="A91" i="2" s="1"/>
  <c r="E91" i="2"/>
  <c r="D92" i="2"/>
  <c r="A92" i="2" s="1"/>
  <c r="E92" i="2"/>
  <c r="D93" i="2"/>
  <c r="E93" i="2"/>
  <c r="D94" i="2"/>
  <c r="E94" i="2"/>
  <c r="D95" i="2"/>
  <c r="A95" i="2" s="1"/>
  <c r="E95" i="2"/>
  <c r="D96" i="2"/>
  <c r="A96" i="2" s="1"/>
  <c r="E96" i="2"/>
  <c r="D97" i="2"/>
  <c r="E97" i="2"/>
  <c r="D98" i="2"/>
  <c r="E98" i="2"/>
  <c r="D99" i="2"/>
  <c r="A99" i="2" s="1"/>
  <c r="E99" i="2"/>
  <c r="D100" i="2"/>
  <c r="A100" i="2" s="1"/>
  <c r="E100" i="2"/>
  <c r="D101" i="2"/>
  <c r="E101" i="2"/>
  <c r="D102" i="2"/>
  <c r="E102" i="2"/>
  <c r="D103" i="2"/>
  <c r="A103" i="2" s="1"/>
  <c r="E103" i="2"/>
  <c r="D104" i="2"/>
  <c r="A104" i="2" s="1"/>
  <c r="E104" i="2"/>
  <c r="D105" i="2"/>
  <c r="E105" i="2"/>
  <c r="D106" i="2"/>
  <c r="E106" i="2"/>
  <c r="D107" i="2"/>
  <c r="A107" i="2" s="1"/>
  <c r="E107" i="2"/>
  <c r="D108" i="2"/>
  <c r="A108" i="2" s="1"/>
  <c r="E108" i="2"/>
  <c r="D109" i="2"/>
  <c r="E109" i="2"/>
  <c r="D110" i="2"/>
  <c r="E110" i="2"/>
  <c r="D111" i="2"/>
  <c r="A111" i="2" s="1"/>
  <c r="E111" i="2"/>
  <c r="D112" i="2"/>
  <c r="A112" i="2" s="1"/>
  <c r="E112" i="2"/>
  <c r="D113" i="2"/>
  <c r="E113" i="2"/>
  <c r="D114" i="2"/>
  <c r="E114" i="2"/>
  <c r="D115" i="2"/>
  <c r="A115" i="2" s="1"/>
  <c r="E115" i="2"/>
  <c r="D116" i="2"/>
  <c r="A116" i="2" s="1"/>
  <c r="E116" i="2"/>
  <c r="D117" i="2"/>
  <c r="E117" i="2"/>
  <c r="D118" i="2"/>
  <c r="E118" i="2"/>
  <c r="D119" i="2"/>
  <c r="A119" i="2" s="1"/>
  <c r="E119" i="2"/>
  <c r="D120" i="2"/>
  <c r="A120" i="2" s="1"/>
  <c r="E120" i="2"/>
  <c r="D121" i="2"/>
  <c r="E121" i="2"/>
  <c r="D122" i="2"/>
  <c r="E122" i="2"/>
  <c r="D123" i="2"/>
  <c r="A123" i="2" s="1"/>
  <c r="E123" i="2"/>
  <c r="D124" i="2"/>
  <c r="A124" i="2" s="1"/>
  <c r="E124" i="2"/>
  <c r="D125" i="2"/>
  <c r="E125" i="2"/>
  <c r="D126" i="2"/>
  <c r="E126" i="2"/>
  <c r="D127" i="2"/>
  <c r="A127" i="2" s="1"/>
  <c r="E127" i="2"/>
  <c r="D128" i="2"/>
  <c r="A128" i="2" s="1"/>
  <c r="E128" i="2"/>
  <c r="D129" i="2"/>
  <c r="E129" i="2"/>
  <c r="D130" i="2"/>
  <c r="E130" i="2"/>
  <c r="D131" i="2"/>
  <c r="A131" i="2" s="1"/>
  <c r="E131" i="2"/>
  <c r="D132" i="2"/>
  <c r="A132" i="2" s="1"/>
  <c r="E132" i="2"/>
  <c r="D133" i="2"/>
  <c r="E133" i="2"/>
  <c r="D134" i="2"/>
  <c r="E134" i="2"/>
  <c r="D135" i="2"/>
  <c r="A135" i="2" s="1"/>
  <c r="E135" i="2"/>
  <c r="D136" i="2"/>
  <c r="A136" i="2" s="1"/>
  <c r="E136" i="2"/>
  <c r="D137" i="2"/>
  <c r="E137" i="2"/>
  <c r="D138" i="2"/>
  <c r="E138" i="2"/>
  <c r="D139" i="2"/>
  <c r="A139" i="2" s="1"/>
  <c r="E139" i="2"/>
  <c r="D140" i="2"/>
  <c r="A140" i="2" s="1"/>
  <c r="E140" i="2"/>
  <c r="D141" i="2"/>
  <c r="E141" i="2"/>
  <c r="D142" i="2"/>
  <c r="E142" i="2"/>
  <c r="D143" i="2"/>
  <c r="A143" i="2" s="1"/>
  <c r="E143" i="2"/>
  <c r="D144" i="2"/>
  <c r="A144" i="2" s="1"/>
  <c r="E144" i="2"/>
  <c r="D145" i="2"/>
  <c r="E145" i="2"/>
  <c r="D146" i="2"/>
  <c r="E146" i="2"/>
  <c r="D147" i="2"/>
  <c r="A147" i="2" s="1"/>
  <c r="E147" i="2"/>
  <c r="D148" i="2"/>
  <c r="A148" i="2" s="1"/>
  <c r="E148" i="2"/>
  <c r="D149" i="2"/>
  <c r="E149" i="2"/>
  <c r="D150" i="2"/>
  <c r="E150" i="2"/>
  <c r="D151" i="2"/>
  <c r="A151" i="2" s="1"/>
  <c r="E151" i="2"/>
  <c r="D152" i="2"/>
  <c r="A152" i="2" s="1"/>
  <c r="E152" i="2"/>
  <c r="D153" i="2"/>
  <c r="E153" i="2"/>
  <c r="D154" i="2"/>
  <c r="E154" i="2"/>
  <c r="D155" i="2"/>
  <c r="A155" i="2" s="1"/>
  <c r="E155" i="2"/>
  <c r="D156" i="2"/>
  <c r="A156" i="2" s="1"/>
  <c r="E156" i="2"/>
  <c r="D157" i="2"/>
  <c r="E157" i="2"/>
  <c r="D158" i="2"/>
  <c r="E158" i="2"/>
  <c r="D159" i="2"/>
  <c r="A159" i="2" s="1"/>
  <c r="E159" i="2"/>
  <c r="D160" i="2"/>
  <c r="A160" i="2" s="1"/>
  <c r="E160" i="2"/>
  <c r="D161" i="2"/>
  <c r="E161" i="2"/>
  <c r="D162" i="2"/>
  <c r="E162" i="2"/>
  <c r="D163" i="2"/>
  <c r="A163" i="2" s="1"/>
  <c r="E163" i="2"/>
  <c r="D164" i="2"/>
  <c r="A164" i="2" s="1"/>
  <c r="E164" i="2"/>
  <c r="D165" i="2"/>
  <c r="E165" i="2"/>
  <c r="D166" i="2"/>
  <c r="E166" i="2"/>
  <c r="D167" i="2"/>
  <c r="A167" i="2" s="1"/>
  <c r="E167" i="2"/>
  <c r="D168" i="2"/>
  <c r="A168" i="2" s="1"/>
  <c r="E168" i="2"/>
  <c r="D169" i="2"/>
  <c r="E169" i="2"/>
  <c r="D170" i="2"/>
  <c r="E170" i="2"/>
  <c r="D171" i="2"/>
  <c r="A171" i="2" s="1"/>
  <c r="E171" i="2"/>
  <c r="D172" i="2"/>
  <c r="A172" i="2" s="1"/>
  <c r="E172" i="2"/>
  <c r="D173" i="2"/>
  <c r="E173" i="2"/>
  <c r="D174" i="2"/>
  <c r="E174" i="2"/>
  <c r="D175" i="2"/>
  <c r="A175" i="2" s="1"/>
  <c r="E175" i="2"/>
  <c r="D176" i="2"/>
  <c r="A176" i="2" s="1"/>
  <c r="E176" i="2"/>
  <c r="D177" i="2"/>
  <c r="E177" i="2"/>
  <c r="D178" i="2"/>
  <c r="E178" i="2"/>
  <c r="D179" i="2"/>
  <c r="A179" i="2" s="1"/>
  <c r="E179" i="2"/>
  <c r="D180" i="2"/>
  <c r="A180" i="2" s="1"/>
  <c r="E180" i="2"/>
  <c r="D181" i="2"/>
  <c r="E181" i="2"/>
  <c r="D182" i="2"/>
  <c r="E182" i="2"/>
  <c r="D183" i="2"/>
  <c r="A183" i="2" s="1"/>
  <c r="E183" i="2"/>
  <c r="D184" i="2"/>
  <c r="A184" i="2" s="1"/>
  <c r="E184" i="2"/>
  <c r="D185" i="2"/>
  <c r="E185" i="2"/>
  <c r="D186" i="2"/>
  <c r="E186" i="2"/>
  <c r="D187" i="2"/>
  <c r="A187" i="2" s="1"/>
  <c r="E187" i="2"/>
  <c r="D188" i="2"/>
  <c r="A188" i="2" s="1"/>
  <c r="E188" i="2"/>
  <c r="D189" i="2"/>
  <c r="E189" i="2"/>
  <c r="D190" i="2"/>
  <c r="E190" i="2"/>
  <c r="D191" i="2"/>
  <c r="A191" i="2" s="1"/>
  <c r="E191" i="2"/>
  <c r="D192" i="2"/>
  <c r="A192" i="2" s="1"/>
  <c r="E192" i="2"/>
  <c r="D193" i="2"/>
  <c r="E193" i="2"/>
  <c r="D194" i="2"/>
  <c r="E194" i="2"/>
  <c r="D195" i="2"/>
  <c r="A195" i="2" s="1"/>
  <c r="E195" i="2"/>
  <c r="D196" i="2"/>
  <c r="A196" i="2" s="1"/>
  <c r="E196" i="2"/>
  <c r="D197" i="2"/>
  <c r="E197" i="2"/>
  <c r="D198" i="2"/>
  <c r="E198" i="2"/>
  <c r="D199" i="2"/>
  <c r="A199" i="2" s="1"/>
  <c r="E199" i="2"/>
  <c r="D200" i="2"/>
  <c r="A200" i="2" s="1"/>
  <c r="E200" i="2"/>
  <c r="D201" i="2"/>
  <c r="E201" i="2"/>
  <c r="D202" i="2"/>
  <c r="E202" i="2"/>
  <c r="D203" i="2"/>
  <c r="A203" i="2" s="1"/>
  <c r="E203" i="2"/>
  <c r="D204" i="2"/>
  <c r="A204" i="2" s="1"/>
  <c r="E204" i="2"/>
  <c r="D205" i="2"/>
  <c r="E205" i="2"/>
  <c r="D206" i="2"/>
  <c r="E206" i="2"/>
  <c r="D207" i="2"/>
  <c r="A207" i="2" s="1"/>
  <c r="E207" i="2"/>
  <c r="D208" i="2"/>
  <c r="A208" i="2" s="1"/>
  <c r="E208" i="2"/>
  <c r="D209" i="2"/>
  <c r="E209" i="2"/>
  <c r="D210" i="2"/>
  <c r="E210" i="2"/>
  <c r="D211" i="2"/>
  <c r="A211" i="2" s="1"/>
  <c r="E211" i="2"/>
  <c r="D212" i="2"/>
  <c r="A212" i="2" s="1"/>
  <c r="E212" i="2"/>
  <c r="D213" i="2"/>
  <c r="E213" i="2"/>
  <c r="D214" i="2"/>
  <c r="E214" i="2"/>
  <c r="D215" i="2"/>
  <c r="A215" i="2" s="1"/>
  <c r="E215" i="2"/>
  <c r="D216" i="2"/>
  <c r="A216" i="2" s="1"/>
  <c r="E216" i="2"/>
  <c r="D217" i="2"/>
  <c r="E217" i="2"/>
  <c r="D218" i="2"/>
  <c r="E218" i="2"/>
  <c r="D219" i="2"/>
  <c r="A219" i="2" s="1"/>
  <c r="E219" i="2"/>
  <c r="D220" i="2"/>
  <c r="A220" i="2" s="1"/>
  <c r="E220" i="2"/>
  <c r="D221" i="2"/>
  <c r="E221" i="2"/>
  <c r="D222" i="2"/>
  <c r="E222" i="2"/>
  <c r="D223" i="2"/>
  <c r="A223" i="2" s="1"/>
  <c r="E223" i="2"/>
  <c r="D224" i="2"/>
  <c r="A224" i="2" s="1"/>
  <c r="E224" i="2"/>
  <c r="D225" i="2"/>
  <c r="E225" i="2"/>
  <c r="D226" i="2"/>
  <c r="E226" i="2"/>
  <c r="D227" i="2"/>
  <c r="A227" i="2" s="1"/>
  <c r="E227" i="2"/>
  <c r="D228" i="2"/>
  <c r="A228" i="2" s="1"/>
  <c r="E228" i="2"/>
  <c r="D229" i="2"/>
  <c r="E229" i="2"/>
  <c r="D230" i="2"/>
  <c r="E230" i="2"/>
  <c r="D231" i="2"/>
  <c r="A231" i="2" s="1"/>
  <c r="E231" i="2"/>
  <c r="D232" i="2"/>
  <c r="A232" i="2" s="1"/>
  <c r="E232" i="2"/>
  <c r="D233" i="2"/>
  <c r="E233" i="2"/>
  <c r="D234" i="2"/>
  <c r="E234" i="2"/>
  <c r="D235" i="2"/>
  <c r="A235" i="2" s="1"/>
  <c r="E235" i="2"/>
  <c r="D236" i="2"/>
  <c r="A236" i="2" s="1"/>
  <c r="E236" i="2"/>
  <c r="D237" i="2"/>
  <c r="E237" i="2"/>
  <c r="D238" i="2"/>
  <c r="E238" i="2"/>
  <c r="D239" i="2"/>
  <c r="A239" i="2" s="1"/>
  <c r="E239" i="2"/>
  <c r="D240" i="2"/>
  <c r="A240" i="2" s="1"/>
  <c r="E240" i="2"/>
  <c r="D241" i="2"/>
  <c r="E241" i="2"/>
  <c r="D242" i="2"/>
  <c r="E242" i="2"/>
  <c r="D243" i="2"/>
  <c r="A243" i="2" s="1"/>
  <c r="E243" i="2"/>
  <c r="D244" i="2"/>
  <c r="A244" i="2" s="1"/>
  <c r="E244" i="2"/>
  <c r="D245" i="2"/>
  <c r="E245" i="2"/>
  <c r="D246" i="2"/>
  <c r="E246" i="2"/>
  <c r="D247" i="2"/>
  <c r="A247" i="2" s="1"/>
  <c r="E247" i="2"/>
  <c r="D248" i="2"/>
  <c r="A248" i="2" s="1"/>
  <c r="E248" i="2"/>
  <c r="D249" i="2"/>
  <c r="E249" i="2"/>
  <c r="D250" i="2"/>
  <c r="E250" i="2"/>
  <c r="D251" i="2"/>
  <c r="A251" i="2" s="1"/>
  <c r="E251" i="2"/>
  <c r="D252" i="2"/>
  <c r="A252" i="2" s="1"/>
  <c r="E252" i="2"/>
  <c r="D253" i="2"/>
  <c r="E253" i="2"/>
  <c r="D254" i="2"/>
  <c r="E254" i="2"/>
  <c r="D255" i="2"/>
  <c r="A255" i="2" s="1"/>
  <c r="E255" i="2"/>
  <c r="D256" i="2"/>
  <c r="A256" i="2" s="1"/>
  <c r="E256" i="2"/>
  <c r="D257" i="2"/>
  <c r="E257" i="2"/>
  <c r="D258" i="2"/>
  <c r="E258" i="2"/>
  <c r="D259" i="2"/>
  <c r="A259" i="2" s="1"/>
  <c r="E259" i="2"/>
  <c r="D260" i="2"/>
  <c r="A260" i="2" s="1"/>
  <c r="E260" i="2"/>
  <c r="D261" i="2"/>
  <c r="E261" i="2"/>
  <c r="D262" i="2"/>
  <c r="E262" i="2"/>
  <c r="D263" i="2"/>
  <c r="A263" i="2" s="1"/>
  <c r="E263" i="2"/>
  <c r="D264" i="2"/>
  <c r="A264" i="2" s="1"/>
  <c r="E264" i="2"/>
  <c r="D265" i="2"/>
  <c r="E265" i="2"/>
  <c r="D266" i="2"/>
  <c r="E266" i="2"/>
  <c r="D267" i="2"/>
  <c r="A267" i="2" s="1"/>
  <c r="E267" i="2"/>
  <c r="D268" i="2"/>
  <c r="A268" i="2" s="1"/>
  <c r="E268" i="2"/>
  <c r="D269" i="2"/>
  <c r="E269" i="2"/>
  <c r="D270" i="2"/>
  <c r="E270" i="2"/>
  <c r="D271" i="2"/>
  <c r="A271" i="2" s="1"/>
  <c r="E271" i="2"/>
  <c r="D272" i="2"/>
  <c r="A272" i="2" s="1"/>
  <c r="E272" i="2"/>
  <c r="D273" i="2"/>
  <c r="E273" i="2"/>
  <c r="D274" i="2"/>
  <c r="E274" i="2"/>
  <c r="D275" i="2"/>
  <c r="A275" i="2" s="1"/>
  <c r="E275" i="2"/>
  <c r="D276" i="2"/>
  <c r="A276" i="2" s="1"/>
  <c r="E276" i="2"/>
  <c r="D277" i="2"/>
  <c r="E277" i="2"/>
  <c r="D278" i="2"/>
  <c r="E278" i="2"/>
  <c r="D279" i="2"/>
  <c r="A279" i="2" s="1"/>
  <c r="E279" i="2"/>
  <c r="D280" i="2"/>
  <c r="A280" i="2" s="1"/>
  <c r="E280" i="2"/>
  <c r="D281" i="2"/>
  <c r="E281" i="2"/>
  <c r="D282" i="2"/>
  <c r="E282" i="2"/>
  <c r="D283" i="2"/>
  <c r="A283" i="2" s="1"/>
  <c r="E283" i="2"/>
  <c r="D284" i="2"/>
  <c r="A284" i="2" s="1"/>
  <c r="E284" i="2"/>
  <c r="D285" i="2"/>
  <c r="E285" i="2"/>
  <c r="D286" i="2"/>
  <c r="E286" i="2"/>
  <c r="D287" i="2"/>
  <c r="A287" i="2" s="1"/>
  <c r="E287" i="2"/>
  <c r="D288" i="2"/>
  <c r="A288" i="2" s="1"/>
  <c r="E288" i="2"/>
  <c r="D289" i="2"/>
  <c r="E289" i="2"/>
  <c r="D290" i="2"/>
  <c r="E290" i="2"/>
  <c r="D291" i="2"/>
  <c r="A291" i="2" s="1"/>
  <c r="E291" i="2"/>
  <c r="D292" i="2"/>
  <c r="A292" i="2" s="1"/>
  <c r="E292" i="2"/>
  <c r="D293" i="2"/>
  <c r="E293" i="2"/>
  <c r="D294" i="2"/>
  <c r="E294" i="2"/>
  <c r="D295" i="2"/>
  <c r="A295" i="2" s="1"/>
  <c r="E295" i="2"/>
  <c r="D296" i="2"/>
  <c r="A296" i="2" s="1"/>
  <c r="E296" i="2"/>
  <c r="D297" i="2"/>
  <c r="E297" i="2"/>
  <c r="D298" i="2"/>
  <c r="E298" i="2"/>
  <c r="D299" i="2"/>
  <c r="A299" i="2" s="1"/>
  <c r="E299" i="2"/>
  <c r="D300" i="2"/>
  <c r="A300" i="2" s="1"/>
  <c r="E300" i="2"/>
  <c r="D301" i="2"/>
  <c r="E301" i="2"/>
  <c r="D302" i="2"/>
  <c r="E302" i="2"/>
  <c r="D303" i="2"/>
  <c r="A303" i="2" s="1"/>
  <c r="E303" i="2"/>
  <c r="D304" i="2"/>
  <c r="A304" i="2" s="1"/>
  <c r="E304" i="2"/>
  <c r="D305" i="2"/>
  <c r="E305" i="2"/>
  <c r="D306" i="2"/>
  <c r="E306" i="2"/>
  <c r="D307" i="2"/>
  <c r="A307" i="2" s="1"/>
  <c r="E307" i="2"/>
  <c r="D308" i="2"/>
  <c r="A308" i="2" s="1"/>
  <c r="E308" i="2"/>
  <c r="D309" i="2"/>
  <c r="E309" i="2"/>
  <c r="D310" i="2"/>
  <c r="E310" i="2"/>
  <c r="D311" i="2"/>
  <c r="A311" i="2" s="1"/>
  <c r="E311" i="2"/>
  <c r="D312" i="2"/>
  <c r="A312" i="2" s="1"/>
  <c r="E312" i="2"/>
  <c r="D313" i="2"/>
  <c r="E313" i="2"/>
  <c r="D314" i="2"/>
  <c r="E314" i="2"/>
  <c r="D315" i="2"/>
  <c r="A315" i="2" s="1"/>
  <c r="E315" i="2"/>
  <c r="D316" i="2"/>
  <c r="A316" i="2" s="1"/>
  <c r="E316" i="2"/>
  <c r="D317" i="2"/>
  <c r="E317" i="2"/>
  <c r="D318" i="2"/>
  <c r="E318" i="2"/>
  <c r="D319" i="2"/>
  <c r="A319" i="2" s="1"/>
  <c r="E319" i="2"/>
  <c r="D320" i="2"/>
  <c r="A320" i="2" s="1"/>
  <c r="E320" i="2"/>
  <c r="D321" i="2"/>
  <c r="E321" i="2"/>
  <c r="D322" i="2"/>
  <c r="E322" i="2"/>
  <c r="D323" i="2"/>
  <c r="A323" i="2" s="1"/>
  <c r="E323" i="2"/>
  <c r="D324" i="2"/>
  <c r="A324" i="2" s="1"/>
  <c r="E324" i="2"/>
  <c r="D325" i="2"/>
  <c r="E325" i="2"/>
  <c r="D326" i="2"/>
  <c r="E326" i="2"/>
  <c r="D327" i="2"/>
  <c r="A327" i="2" s="1"/>
  <c r="E327" i="2"/>
  <c r="D328" i="2"/>
  <c r="A328" i="2" s="1"/>
  <c r="E328" i="2"/>
  <c r="D329" i="2"/>
  <c r="E329" i="2"/>
  <c r="D330" i="2"/>
  <c r="E330" i="2"/>
  <c r="D331" i="2"/>
  <c r="A331" i="2" s="1"/>
  <c r="E331" i="2"/>
  <c r="D332" i="2"/>
  <c r="A332" i="2" s="1"/>
  <c r="E332" i="2"/>
  <c r="D333" i="2"/>
  <c r="E333" i="2"/>
  <c r="D334" i="2"/>
  <c r="E334" i="2"/>
  <c r="D335" i="2"/>
  <c r="A335" i="2" s="1"/>
  <c r="E335" i="2"/>
  <c r="D336" i="2"/>
  <c r="A336" i="2" s="1"/>
  <c r="E336" i="2"/>
  <c r="D337" i="2"/>
  <c r="E337" i="2"/>
  <c r="D338" i="2"/>
  <c r="E338" i="2"/>
  <c r="D339" i="2"/>
  <c r="A339" i="2" s="1"/>
  <c r="E339" i="2"/>
  <c r="D340" i="2"/>
  <c r="A340" i="2" s="1"/>
  <c r="E340" i="2"/>
  <c r="D341" i="2"/>
  <c r="E341" i="2"/>
  <c r="D342" i="2"/>
  <c r="E342" i="2"/>
  <c r="D343" i="2"/>
  <c r="A343" i="2" s="1"/>
  <c r="E343" i="2"/>
  <c r="D344" i="2"/>
  <c r="A344" i="2" s="1"/>
  <c r="E344" i="2"/>
  <c r="D345" i="2"/>
  <c r="E345" i="2"/>
  <c r="D346" i="2"/>
  <c r="E346" i="2"/>
  <c r="D347" i="2"/>
  <c r="A347" i="2" s="1"/>
  <c r="E347" i="2"/>
  <c r="D348" i="2"/>
  <c r="A348" i="2" s="1"/>
  <c r="E348" i="2"/>
  <c r="D349" i="2"/>
  <c r="E349" i="2"/>
  <c r="D350" i="2"/>
  <c r="E350" i="2"/>
  <c r="D351" i="2"/>
  <c r="A351" i="2" s="1"/>
  <c r="E351" i="2"/>
  <c r="D352" i="2"/>
  <c r="A352" i="2" s="1"/>
  <c r="E352" i="2"/>
  <c r="D353" i="2"/>
  <c r="E353" i="2"/>
  <c r="D354" i="2"/>
  <c r="E354" i="2"/>
  <c r="D355" i="2"/>
  <c r="A355" i="2" s="1"/>
  <c r="E355" i="2"/>
  <c r="D356" i="2"/>
  <c r="A356" i="2" s="1"/>
  <c r="E356" i="2"/>
  <c r="D357" i="2"/>
  <c r="E357" i="2"/>
  <c r="D358" i="2"/>
  <c r="E358" i="2"/>
  <c r="D359" i="2"/>
  <c r="A359" i="2" s="1"/>
  <c r="E359" i="2"/>
  <c r="D360" i="2"/>
  <c r="A360" i="2" s="1"/>
  <c r="E360" i="2"/>
  <c r="D361" i="2"/>
  <c r="E361" i="2"/>
  <c r="D362" i="2"/>
  <c r="E362" i="2"/>
  <c r="D363" i="2"/>
  <c r="A363" i="2" s="1"/>
  <c r="E363" i="2"/>
  <c r="D364" i="2"/>
  <c r="A364" i="2" s="1"/>
  <c r="E364" i="2"/>
  <c r="D365" i="2"/>
  <c r="E365" i="2"/>
  <c r="D366" i="2"/>
  <c r="E366" i="2"/>
  <c r="D367" i="2"/>
  <c r="A367" i="2" s="1"/>
  <c r="E367" i="2"/>
  <c r="D368" i="2"/>
  <c r="A368" i="2" s="1"/>
  <c r="E368" i="2"/>
  <c r="D369" i="2"/>
  <c r="E369" i="2"/>
  <c r="D370" i="2"/>
  <c r="E370" i="2"/>
  <c r="D371" i="2"/>
  <c r="A371" i="2" s="1"/>
  <c r="E371" i="2"/>
  <c r="D372" i="2"/>
  <c r="A372" i="2" s="1"/>
  <c r="E372" i="2"/>
  <c r="D373" i="2"/>
  <c r="E373" i="2"/>
  <c r="D374" i="2"/>
  <c r="E374" i="2"/>
  <c r="D375" i="2"/>
  <c r="A375" i="2" s="1"/>
  <c r="E375" i="2"/>
  <c r="D376" i="2"/>
  <c r="A376" i="2" s="1"/>
  <c r="E376" i="2"/>
  <c r="D377" i="2"/>
  <c r="E377" i="2"/>
  <c r="D378" i="2"/>
  <c r="E378" i="2"/>
  <c r="D379" i="2"/>
  <c r="A379" i="2" s="1"/>
  <c r="E379" i="2"/>
  <c r="D380" i="2"/>
  <c r="A380" i="2" s="1"/>
  <c r="E380" i="2"/>
  <c r="D381" i="2"/>
  <c r="E381" i="2"/>
  <c r="D382" i="2"/>
  <c r="E382" i="2"/>
  <c r="D383" i="2"/>
  <c r="A383" i="2" s="1"/>
  <c r="E383" i="2"/>
  <c r="D384" i="2"/>
  <c r="A384" i="2" s="1"/>
  <c r="E384" i="2"/>
  <c r="D385" i="2"/>
  <c r="E385" i="2"/>
  <c r="D386" i="2"/>
  <c r="E386" i="2"/>
  <c r="D387" i="2"/>
  <c r="A387" i="2" s="1"/>
  <c r="E387" i="2"/>
  <c r="D388" i="2"/>
  <c r="A388" i="2" s="1"/>
  <c r="E388" i="2"/>
  <c r="D389" i="2"/>
  <c r="E389" i="2"/>
  <c r="D390" i="2"/>
  <c r="E390" i="2"/>
  <c r="D391" i="2"/>
  <c r="A391" i="2" s="1"/>
  <c r="E391" i="2"/>
  <c r="D392" i="2"/>
  <c r="A392" i="2" s="1"/>
  <c r="E392" i="2"/>
  <c r="D393" i="2"/>
  <c r="E393" i="2"/>
  <c r="D394" i="2"/>
  <c r="E394" i="2"/>
  <c r="D395" i="2"/>
  <c r="A395" i="2" s="1"/>
  <c r="E395" i="2"/>
  <c r="D396" i="2"/>
  <c r="A396" i="2" s="1"/>
  <c r="E396" i="2"/>
  <c r="D397" i="2"/>
  <c r="E397" i="2"/>
  <c r="D398" i="2"/>
  <c r="E398" i="2"/>
  <c r="D399" i="2"/>
  <c r="A399" i="2" s="1"/>
  <c r="E399" i="2"/>
  <c r="D400" i="2"/>
  <c r="A400" i="2" s="1"/>
  <c r="E400" i="2"/>
  <c r="D401" i="2"/>
  <c r="E401" i="2"/>
  <c r="D402" i="2"/>
  <c r="E402" i="2"/>
  <c r="D403" i="2"/>
  <c r="A403" i="2" s="1"/>
  <c r="E403" i="2"/>
  <c r="D404" i="2"/>
  <c r="A404" i="2" s="1"/>
  <c r="E404" i="2"/>
  <c r="D405" i="2"/>
  <c r="E405" i="2"/>
  <c r="D406" i="2"/>
  <c r="E406" i="2"/>
  <c r="D407" i="2"/>
  <c r="A407" i="2" s="1"/>
  <c r="E407" i="2"/>
  <c r="D408" i="2"/>
  <c r="A408" i="2" s="1"/>
  <c r="E408" i="2"/>
  <c r="D409" i="2"/>
  <c r="E409" i="2"/>
  <c r="D410" i="2"/>
  <c r="E410" i="2"/>
  <c r="D411" i="2"/>
  <c r="A411" i="2" s="1"/>
  <c r="E411" i="2"/>
  <c r="D412" i="2"/>
  <c r="A412" i="2" s="1"/>
  <c r="E412" i="2"/>
  <c r="D413" i="2"/>
  <c r="E413" i="2"/>
  <c r="D414" i="2"/>
  <c r="E414" i="2"/>
  <c r="D415" i="2"/>
  <c r="A415" i="2" s="1"/>
  <c r="E415" i="2"/>
  <c r="D416" i="2"/>
  <c r="A416" i="2" s="1"/>
  <c r="E416" i="2"/>
  <c r="D417" i="2"/>
  <c r="E417" i="2"/>
  <c r="D418" i="2"/>
  <c r="E418" i="2"/>
  <c r="D419" i="2"/>
  <c r="A419" i="2" s="1"/>
  <c r="E419" i="2"/>
  <c r="D420" i="2"/>
  <c r="A420" i="2" s="1"/>
  <c r="E420" i="2"/>
  <c r="D421" i="2"/>
  <c r="E421" i="2"/>
  <c r="D422" i="2"/>
  <c r="E422" i="2"/>
  <c r="D423" i="2"/>
  <c r="A423" i="2" s="1"/>
  <c r="E423" i="2"/>
  <c r="D424" i="2"/>
  <c r="A424" i="2" s="1"/>
  <c r="E424" i="2"/>
  <c r="D425" i="2"/>
  <c r="E425" i="2"/>
  <c r="D426" i="2"/>
  <c r="E426" i="2"/>
  <c r="D427" i="2"/>
  <c r="A427" i="2" s="1"/>
  <c r="E427" i="2"/>
  <c r="D428" i="2"/>
  <c r="A428" i="2" s="1"/>
  <c r="E428" i="2"/>
  <c r="D429" i="2"/>
  <c r="E429" i="2"/>
  <c r="D430" i="2"/>
  <c r="E430" i="2"/>
  <c r="D431" i="2"/>
  <c r="A431" i="2" s="1"/>
  <c r="E431" i="2"/>
  <c r="D432" i="2"/>
  <c r="A432" i="2" s="1"/>
  <c r="E432" i="2"/>
  <c r="D433" i="2"/>
  <c r="E433" i="2"/>
  <c r="D434" i="2"/>
  <c r="E434" i="2"/>
  <c r="D435" i="2"/>
  <c r="A435" i="2" s="1"/>
  <c r="E435" i="2"/>
  <c r="D436" i="2"/>
  <c r="A436" i="2" s="1"/>
  <c r="E436" i="2"/>
  <c r="D437" i="2"/>
  <c r="E437" i="2"/>
  <c r="D438" i="2"/>
  <c r="E438" i="2"/>
  <c r="D439" i="2"/>
  <c r="A439" i="2" s="1"/>
  <c r="E439" i="2"/>
  <c r="D440" i="2"/>
  <c r="A440" i="2" s="1"/>
  <c r="E440" i="2"/>
  <c r="D441" i="2"/>
  <c r="E441" i="2"/>
  <c r="D442" i="2"/>
  <c r="E442" i="2"/>
  <c r="D443" i="2"/>
  <c r="A443" i="2" s="1"/>
  <c r="E443" i="2"/>
  <c r="D444" i="2"/>
  <c r="A444" i="2" s="1"/>
  <c r="E444" i="2"/>
  <c r="D445" i="2"/>
  <c r="E445" i="2"/>
  <c r="D446" i="2"/>
  <c r="E446" i="2"/>
  <c r="D447" i="2"/>
  <c r="A447" i="2" s="1"/>
  <c r="E447" i="2"/>
  <c r="D448" i="2"/>
  <c r="A448" i="2" s="1"/>
  <c r="E448" i="2"/>
  <c r="D449" i="2"/>
  <c r="E449" i="2"/>
  <c r="D450" i="2"/>
  <c r="E450" i="2"/>
  <c r="D451" i="2"/>
  <c r="A451" i="2" s="1"/>
  <c r="E451" i="2"/>
  <c r="D452" i="2"/>
  <c r="A452" i="2" s="1"/>
  <c r="E452" i="2"/>
  <c r="D453" i="2"/>
  <c r="E453" i="2"/>
  <c r="D454" i="2"/>
  <c r="E454" i="2"/>
  <c r="D455" i="2"/>
  <c r="A455" i="2" s="1"/>
  <c r="E455" i="2"/>
  <c r="D456" i="2"/>
  <c r="A456" i="2" s="1"/>
  <c r="E456" i="2"/>
  <c r="D457" i="2"/>
  <c r="E457" i="2"/>
  <c r="D458" i="2"/>
  <c r="E458" i="2"/>
  <c r="D459" i="2"/>
  <c r="A459" i="2" s="1"/>
  <c r="E459" i="2"/>
  <c r="D460" i="2"/>
  <c r="A460" i="2" s="1"/>
  <c r="E460" i="2"/>
  <c r="D461" i="2"/>
  <c r="E461" i="2"/>
  <c r="D462" i="2"/>
  <c r="E462" i="2"/>
  <c r="D463" i="2"/>
  <c r="A463" i="2" s="1"/>
  <c r="E463" i="2"/>
  <c r="D464" i="2"/>
  <c r="A464" i="2" s="1"/>
  <c r="E464" i="2"/>
  <c r="D465" i="2"/>
  <c r="E465" i="2"/>
  <c r="D466" i="2"/>
  <c r="E466" i="2"/>
  <c r="D467" i="2"/>
  <c r="A467" i="2" s="1"/>
  <c r="E467" i="2"/>
  <c r="D468" i="2"/>
  <c r="A468" i="2" s="1"/>
  <c r="E468" i="2"/>
  <c r="D469" i="2"/>
  <c r="E469" i="2"/>
  <c r="D470" i="2"/>
  <c r="E470" i="2"/>
  <c r="D471" i="2"/>
  <c r="A471" i="2" s="1"/>
  <c r="E471" i="2"/>
  <c r="D472" i="2"/>
  <c r="A472" i="2" s="1"/>
  <c r="E472" i="2"/>
  <c r="D473" i="2"/>
  <c r="E473" i="2"/>
  <c r="D474" i="2"/>
  <c r="E474" i="2"/>
  <c r="D475" i="2"/>
  <c r="A475" i="2" s="1"/>
  <c r="E475" i="2"/>
  <c r="D476" i="2"/>
  <c r="A476" i="2" s="1"/>
  <c r="E476" i="2"/>
  <c r="D477" i="2"/>
  <c r="E477" i="2"/>
  <c r="D478" i="2"/>
  <c r="E478" i="2"/>
  <c r="D479" i="2"/>
  <c r="A479" i="2" s="1"/>
  <c r="E479" i="2"/>
  <c r="D480" i="2"/>
  <c r="A480" i="2" s="1"/>
  <c r="E480" i="2"/>
  <c r="D481" i="2"/>
  <c r="E481" i="2"/>
  <c r="D482" i="2"/>
  <c r="E482" i="2"/>
  <c r="D483" i="2"/>
  <c r="A483" i="2" s="1"/>
  <c r="E483" i="2"/>
  <c r="D484" i="2"/>
  <c r="A484" i="2" s="1"/>
  <c r="E484" i="2"/>
  <c r="D485" i="2"/>
  <c r="E485" i="2"/>
  <c r="D486" i="2"/>
  <c r="E486" i="2"/>
  <c r="D487" i="2"/>
  <c r="A487" i="2" s="1"/>
  <c r="E487" i="2"/>
  <c r="D488" i="2"/>
  <c r="A488" i="2" s="1"/>
  <c r="E488" i="2"/>
  <c r="D489" i="2"/>
  <c r="E489" i="2"/>
  <c r="D490" i="2"/>
  <c r="E490" i="2"/>
  <c r="D491" i="2"/>
  <c r="A491" i="2" s="1"/>
  <c r="E491" i="2"/>
  <c r="D492" i="2"/>
  <c r="A492" i="2" s="1"/>
  <c r="E492" i="2"/>
  <c r="D493" i="2"/>
  <c r="E493" i="2"/>
  <c r="D494" i="2"/>
  <c r="E494" i="2"/>
  <c r="D495" i="2"/>
  <c r="A495" i="2" s="1"/>
  <c r="E495" i="2"/>
  <c r="D496" i="2"/>
  <c r="A496" i="2" s="1"/>
  <c r="E496" i="2"/>
  <c r="D497" i="2"/>
  <c r="E497" i="2"/>
  <c r="D498" i="2"/>
  <c r="E498" i="2"/>
  <c r="D499" i="2"/>
  <c r="A499" i="2" s="1"/>
  <c r="E499" i="2"/>
  <c r="D500" i="2"/>
  <c r="A500" i="2" s="1"/>
  <c r="E500" i="2"/>
  <c r="D501" i="2"/>
  <c r="E501" i="2"/>
  <c r="D502" i="2"/>
  <c r="E502" i="2"/>
  <c r="D503" i="2"/>
  <c r="A503" i="2" s="1"/>
  <c r="E503" i="2"/>
  <c r="D504" i="2"/>
  <c r="A504" i="2" s="1"/>
  <c r="E504" i="2"/>
  <c r="D505" i="2"/>
  <c r="E505" i="2"/>
  <c r="D506" i="2"/>
  <c r="E506" i="2"/>
  <c r="D507" i="2"/>
  <c r="A507" i="2" s="1"/>
  <c r="E507" i="2"/>
  <c r="D508" i="2"/>
  <c r="A508" i="2" s="1"/>
  <c r="E508" i="2"/>
  <c r="D509" i="2"/>
  <c r="E509" i="2"/>
  <c r="D510" i="2"/>
  <c r="E510" i="2"/>
  <c r="D511" i="2"/>
  <c r="A511" i="2" s="1"/>
  <c r="E511" i="2"/>
  <c r="D512" i="2"/>
  <c r="A512" i="2" s="1"/>
  <c r="E512" i="2"/>
  <c r="D513" i="2"/>
  <c r="E513" i="2"/>
  <c r="D514" i="2"/>
  <c r="E514" i="2"/>
  <c r="D515" i="2"/>
  <c r="A515" i="2" s="1"/>
  <c r="E515" i="2"/>
  <c r="D516" i="2"/>
  <c r="A516" i="2" s="1"/>
  <c r="E516" i="2"/>
  <c r="D517" i="2"/>
  <c r="E517" i="2"/>
  <c r="D518" i="2"/>
  <c r="E518" i="2"/>
  <c r="D519" i="2"/>
  <c r="A519" i="2" s="1"/>
  <c r="E519" i="2"/>
  <c r="D520" i="2"/>
  <c r="A520" i="2" s="1"/>
  <c r="E520" i="2"/>
  <c r="D521" i="2"/>
  <c r="E521" i="2"/>
  <c r="D522" i="2"/>
  <c r="E522" i="2"/>
  <c r="D523" i="2"/>
  <c r="A523" i="2" s="1"/>
  <c r="E523" i="2"/>
  <c r="D524" i="2"/>
  <c r="A524" i="2" s="1"/>
  <c r="E524" i="2"/>
  <c r="D525" i="2"/>
  <c r="E525" i="2"/>
  <c r="D526" i="2"/>
  <c r="E526" i="2"/>
  <c r="D527" i="2"/>
  <c r="A527" i="2" s="1"/>
  <c r="E527" i="2"/>
  <c r="D528" i="2"/>
  <c r="A528" i="2" s="1"/>
  <c r="E528" i="2"/>
  <c r="D529" i="2"/>
  <c r="E529" i="2"/>
  <c r="D530" i="2"/>
  <c r="E530" i="2"/>
  <c r="D531" i="2"/>
  <c r="A531" i="2" s="1"/>
  <c r="E531" i="2"/>
  <c r="D532" i="2"/>
  <c r="A532" i="2" s="1"/>
  <c r="E532" i="2"/>
  <c r="D533" i="2"/>
  <c r="E533" i="2"/>
  <c r="D534" i="2"/>
  <c r="E534" i="2"/>
  <c r="D535" i="2"/>
  <c r="A535" i="2" s="1"/>
  <c r="E535" i="2"/>
  <c r="D536" i="2"/>
  <c r="A536" i="2" s="1"/>
  <c r="E536" i="2"/>
  <c r="D537" i="2"/>
  <c r="E537" i="2"/>
  <c r="D538" i="2"/>
  <c r="E538" i="2"/>
  <c r="D539" i="2"/>
  <c r="A539" i="2" s="1"/>
  <c r="E539" i="2"/>
  <c r="D540" i="2"/>
  <c r="A540" i="2" s="1"/>
  <c r="E540" i="2"/>
  <c r="D541" i="2"/>
  <c r="E541" i="2"/>
  <c r="D542" i="2"/>
  <c r="E542" i="2"/>
  <c r="D543" i="2"/>
  <c r="A543" i="2" s="1"/>
  <c r="E543" i="2"/>
  <c r="D544" i="2"/>
  <c r="A544" i="2" s="1"/>
  <c r="E544" i="2"/>
  <c r="D545" i="2"/>
  <c r="E545" i="2"/>
  <c r="D546" i="2"/>
  <c r="E546" i="2"/>
  <c r="D547" i="2"/>
  <c r="A547" i="2" s="1"/>
  <c r="E547" i="2"/>
  <c r="D548" i="2"/>
  <c r="A548" i="2" s="1"/>
  <c r="E548" i="2"/>
  <c r="D549" i="2"/>
  <c r="E549" i="2"/>
  <c r="D550" i="2"/>
  <c r="E550" i="2"/>
  <c r="D551" i="2"/>
  <c r="A551" i="2" s="1"/>
  <c r="E551" i="2"/>
  <c r="D552" i="2"/>
  <c r="A552" i="2" s="1"/>
  <c r="E552" i="2"/>
  <c r="D553" i="2"/>
  <c r="E553" i="2"/>
  <c r="D554" i="2"/>
  <c r="E554" i="2"/>
  <c r="D555" i="2"/>
  <c r="A555" i="2" s="1"/>
  <c r="E555" i="2"/>
  <c r="D556" i="2"/>
  <c r="A556" i="2" s="1"/>
  <c r="E556" i="2"/>
  <c r="D557" i="2"/>
  <c r="E557" i="2"/>
  <c r="D558" i="2"/>
  <c r="E558" i="2"/>
  <c r="D559" i="2"/>
  <c r="A559" i="2" s="1"/>
  <c r="E559" i="2"/>
  <c r="D560" i="2"/>
  <c r="A560" i="2" s="1"/>
  <c r="E560" i="2"/>
  <c r="D561" i="2"/>
  <c r="E561" i="2"/>
  <c r="D562" i="2"/>
  <c r="E562" i="2"/>
  <c r="D563" i="2"/>
  <c r="A563" i="2" s="1"/>
  <c r="E563" i="2"/>
  <c r="D564" i="2"/>
  <c r="A564" i="2" s="1"/>
  <c r="E564" i="2"/>
  <c r="D565" i="2"/>
  <c r="E565" i="2"/>
  <c r="D566" i="2"/>
  <c r="E566" i="2"/>
  <c r="D567" i="2"/>
  <c r="A567" i="2" s="1"/>
  <c r="E567" i="2"/>
  <c r="D568" i="2"/>
  <c r="A568" i="2" s="1"/>
  <c r="E568" i="2"/>
  <c r="D569" i="2"/>
  <c r="E569" i="2"/>
  <c r="D570" i="2"/>
  <c r="E570" i="2"/>
  <c r="D571" i="2"/>
  <c r="A571" i="2" s="1"/>
  <c r="E571" i="2"/>
  <c r="D572" i="2"/>
  <c r="A572" i="2" s="1"/>
  <c r="E572" i="2"/>
  <c r="D573" i="2"/>
  <c r="E573" i="2"/>
  <c r="D574" i="2"/>
  <c r="E574" i="2"/>
  <c r="D575" i="2"/>
  <c r="A575" i="2" s="1"/>
  <c r="E575" i="2"/>
  <c r="D576" i="2"/>
  <c r="A576" i="2" s="1"/>
  <c r="E576" i="2"/>
  <c r="D577" i="2"/>
  <c r="E577" i="2"/>
  <c r="D578" i="2"/>
  <c r="E578" i="2"/>
  <c r="D579" i="2"/>
  <c r="A579" i="2" s="1"/>
  <c r="E579" i="2"/>
  <c r="D580" i="2"/>
  <c r="A580" i="2" s="1"/>
  <c r="E580" i="2"/>
  <c r="D581" i="2"/>
  <c r="E581" i="2"/>
  <c r="D582" i="2"/>
  <c r="E582" i="2"/>
  <c r="D583" i="2"/>
  <c r="A583" i="2" s="1"/>
  <c r="E583" i="2"/>
  <c r="D584" i="2"/>
  <c r="A584" i="2" s="1"/>
  <c r="E584" i="2"/>
  <c r="D585" i="2"/>
  <c r="E585" i="2"/>
  <c r="D586" i="2"/>
  <c r="E586" i="2"/>
  <c r="D587" i="2"/>
  <c r="A587" i="2" s="1"/>
  <c r="E587" i="2"/>
  <c r="D588" i="2"/>
  <c r="A588" i="2" s="1"/>
  <c r="E588" i="2"/>
  <c r="D589" i="2"/>
  <c r="E589" i="2"/>
  <c r="D590" i="2"/>
  <c r="E590" i="2"/>
  <c r="D591" i="2"/>
  <c r="A591" i="2" s="1"/>
  <c r="E591" i="2"/>
  <c r="D592" i="2"/>
  <c r="A592" i="2" s="1"/>
  <c r="E592" i="2"/>
  <c r="D593" i="2"/>
  <c r="E593" i="2"/>
  <c r="D594" i="2"/>
  <c r="E594" i="2"/>
  <c r="D595" i="2"/>
  <c r="A595" i="2" s="1"/>
  <c r="E595" i="2"/>
  <c r="D596" i="2"/>
  <c r="A596" i="2" s="1"/>
  <c r="E596" i="2"/>
  <c r="D597" i="2"/>
  <c r="E597" i="2"/>
  <c r="D598" i="2"/>
  <c r="E598" i="2"/>
  <c r="D599" i="2"/>
  <c r="A599" i="2" s="1"/>
  <c r="E599" i="2"/>
  <c r="D600" i="2"/>
  <c r="A600" i="2" s="1"/>
  <c r="E600" i="2"/>
  <c r="D601" i="2"/>
  <c r="E601" i="2"/>
  <c r="D602" i="2"/>
  <c r="E602" i="2"/>
  <c r="D603" i="2"/>
  <c r="A603" i="2" s="1"/>
  <c r="E603" i="2"/>
  <c r="D604" i="2"/>
  <c r="A604" i="2" s="1"/>
  <c r="E604" i="2"/>
  <c r="D605" i="2"/>
  <c r="E605" i="2"/>
  <c r="D606" i="2"/>
  <c r="E606" i="2"/>
  <c r="D607" i="2"/>
  <c r="A607" i="2" s="1"/>
  <c r="E607" i="2"/>
  <c r="D608" i="2"/>
  <c r="A608" i="2" s="1"/>
  <c r="E608" i="2"/>
  <c r="D609" i="2"/>
  <c r="E609" i="2"/>
  <c r="D610" i="2"/>
  <c r="E610" i="2"/>
  <c r="D611" i="2"/>
  <c r="A611" i="2" s="1"/>
  <c r="E611" i="2"/>
  <c r="D612" i="2"/>
  <c r="A612" i="2" s="1"/>
  <c r="E612" i="2"/>
  <c r="D613" i="2"/>
  <c r="E613" i="2"/>
  <c r="D614" i="2"/>
  <c r="E614" i="2"/>
  <c r="D615" i="2"/>
  <c r="A615" i="2" s="1"/>
  <c r="E615" i="2"/>
  <c r="D616" i="2"/>
  <c r="A616" i="2" s="1"/>
  <c r="E616" i="2"/>
  <c r="D617" i="2"/>
  <c r="E617" i="2"/>
  <c r="D618" i="2"/>
  <c r="E618" i="2"/>
  <c r="D619" i="2"/>
  <c r="A619" i="2" s="1"/>
  <c r="E619" i="2"/>
  <c r="D620" i="2"/>
  <c r="A620" i="2" s="1"/>
  <c r="E620" i="2"/>
  <c r="D621" i="2"/>
  <c r="E621" i="2"/>
  <c r="D622" i="2"/>
  <c r="E622" i="2"/>
  <c r="D623" i="2"/>
  <c r="A623" i="2" s="1"/>
  <c r="E623" i="2"/>
  <c r="D624" i="2"/>
  <c r="A624" i="2" s="1"/>
  <c r="E624" i="2"/>
  <c r="D625" i="2"/>
  <c r="E625" i="2"/>
  <c r="D626" i="2"/>
  <c r="E626" i="2"/>
  <c r="D627" i="2"/>
  <c r="A627" i="2" s="1"/>
  <c r="E627" i="2"/>
  <c r="D628" i="2"/>
  <c r="A628" i="2" s="1"/>
  <c r="E628" i="2"/>
  <c r="D629" i="2"/>
  <c r="E629" i="2"/>
  <c r="D630" i="2"/>
  <c r="E630" i="2"/>
  <c r="D631" i="2"/>
  <c r="A631" i="2" s="1"/>
  <c r="E631" i="2"/>
  <c r="D632" i="2"/>
  <c r="A632" i="2" s="1"/>
  <c r="E632" i="2"/>
  <c r="D633" i="2"/>
  <c r="E633" i="2"/>
  <c r="D634" i="2"/>
  <c r="E634" i="2"/>
  <c r="D635" i="2"/>
  <c r="A635" i="2" s="1"/>
  <c r="E635" i="2"/>
  <c r="D636" i="2"/>
  <c r="A636" i="2" s="1"/>
  <c r="E636" i="2"/>
  <c r="D637" i="2"/>
  <c r="E637" i="2"/>
  <c r="D638" i="2"/>
  <c r="E638" i="2"/>
  <c r="D639" i="2"/>
  <c r="A639" i="2" s="1"/>
  <c r="E639" i="2"/>
  <c r="D640" i="2"/>
  <c r="A640" i="2" s="1"/>
  <c r="E640" i="2"/>
  <c r="D641" i="2"/>
  <c r="E641" i="2"/>
  <c r="D642" i="2"/>
  <c r="E642" i="2"/>
  <c r="D643" i="2"/>
  <c r="A643" i="2" s="1"/>
  <c r="E643" i="2"/>
  <c r="D644" i="2"/>
  <c r="A644" i="2" s="1"/>
  <c r="E644" i="2"/>
  <c r="D645" i="2"/>
  <c r="E645" i="2"/>
  <c r="D646" i="2"/>
  <c r="E646" i="2"/>
  <c r="D647" i="2"/>
  <c r="A647" i="2" s="1"/>
  <c r="E647" i="2"/>
  <c r="D648" i="2"/>
  <c r="A648" i="2" s="1"/>
  <c r="E648" i="2"/>
  <c r="D649" i="2"/>
  <c r="E649" i="2"/>
  <c r="D650" i="2"/>
  <c r="E650" i="2"/>
  <c r="D651" i="2"/>
  <c r="A651" i="2" s="1"/>
  <c r="E651" i="2"/>
  <c r="D652" i="2"/>
  <c r="A652" i="2" s="1"/>
  <c r="E652" i="2"/>
  <c r="D653" i="2"/>
  <c r="E653" i="2"/>
  <c r="D654" i="2"/>
  <c r="E654" i="2"/>
  <c r="D655" i="2"/>
  <c r="A655" i="2" s="1"/>
  <c r="E655" i="2"/>
  <c r="D656" i="2"/>
  <c r="A656" i="2" s="1"/>
  <c r="E656" i="2"/>
  <c r="D657" i="2"/>
  <c r="E657" i="2"/>
  <c r="D658" i="2"/>
  <c r="E658" i="2"/>
  <c r="D659" i="2"/>
  <c r="A659" i="2" s="1"/>
  <c r="E659" i="2"/>
  <c r="D660" i="2"/>
  <c r="A660" i="2" s="1"/>
  <c r="E660" i="2"/>
  <c r="D661" i="2"/>
  <c r="E661" i="2"/>
  <c r="D662" i="2"/>
  <c r="E662" i="2"/>
  <c r="D663" i="2"/>
  <c r="A663" i="2" s="1"/>
  <c r="E663" i="2"/>
  <c r="D664" i="2"/>
  <c r="A664" i="2" s="1"/>
  <c r="E664" i="2"/>
  <c r="D665" i="2"/>
  <c r="E665" i="2"/>
  <c r="D666" i="2"/>
  <c r="E666" i="2"/>
  <c r="D667" i="2"/>
  <c r="A667" i="2" s="1"/>
  <c r="E667" i="2"/>
  <c r="D668" i="2"/>
  <c r="A668" i="2" s="1"/>
  <c r="E668" i="2"/>
  <c r="D669" i="2"/>
  <c r="E669" i="2"/>
  <c r="D670" i="2"/>
  <c r="E670" i="2"/>
  <c r="D671" i="2"/>
  <c r="A671" i="2" s="1"/>
  <c r="E671" i="2"/>
  <c r="D672" i="2"/>
  <c r="A672" i="2" s="1"/>
  <c r="E672" i="2"/>
  <c r="D673" i="2"/>
  <c r="E673" i="2"/>
  <c r="D674" i="2"/>
  <c r="E674" i="2"/>
  <c r="D675" i="2"/>
  <c r="A675" i="2" s="1"/>
  <c r="E675" i="2"/>
  <c r="D676" i="2"/>
  <c r="A676" i="2" s="1"/>
  <c r="E676" i="2"/>
  <c r="D677" i="2"/>
  <c r="E677" i="2"/>
  <c r="D678" i="2"/>
  <c r="E678" i="2"/>
  <c r="D679" i="2"/>
  <c r="A679" i="2" s="1"/>
  <c r="E679" i="2"/>
  <c r="D680" i="2"/>
  <c r="A680" i="2" s="1"/>
  <c r="E680" i="2"/>
  <c r="D681" i="2"/>
  <c r="E681" i="2"/>
  <c r="D682" i="2"/>
  <c r="E682" i="2"/>
  <c r="D683" i="2"/>
  <c r="A683" i="2" s="1"/>
  <c r="E683" i="2"/>
  <c r="D684" i="2"/>
  <c r="A684" i="2" s="1"/>
  <c r="E684" i="2"/>
  <c r="D685" i="2"/>
  <c r="E685" i="2"/>
  <c r="D686" i="2"/>
  <c r="E686" i="2"/>
  <c r="D687" i="2"/>
  <c r="A687" i="2" s="1"/>
  <c r="E687" i="2"/>
  <c r="D688" i="2"/>
  <c r="A688" i="2" s="1"/>
  <c r="E688" i="2"/>
  <c r="D689" i="2"/>
  <c r="E689" i="2"/>
  <c r="D690" i="2"/>
  <c r="E690" i="2"/>
  <c r="D691" i="2"/>
  <c r="A691" i="2" s="1"/>
  <c r="E691" i="2"/>
  <c r="D692" i="2"/>
  <c r="A692" i="2" s="1"/>
  <c r="E692" i="2"/>
  <c r="D693" i="2"/>
  <c r="E693" i="2"/>
  <c r="D694" i="2"/>
  <c r="E694" i="2"/>
  <c r="D695" i="2"/>
  <c r="A695" i="2" s="1"/>
  <c r="E695" i="2"/>
  <c r="D696" i="2"/>
  <c r="A696" i="2" s="1"/>
  <c r="E696" i="2"/>
  <c r="D697" i="2"/>
  <c r="E697" i="2"/>
  <c r="D698" i="2"/>
  <c r="E698" i="2"/>
  <c r="D699" i="2"/>
  <c r="A699" i="2" s="1"/>
  <c r="E699" i="2"/>
  <c r="D700" i="2"/>
  <c r="A700" i="2" s="1"/>
  <c r="E700" i="2"/>
  <c r="D701" i="2"/>
  <c r="E701" i="2"/>
  <c r="D702" i="2"/>
  <c r="E702" i="2"/>
  <c r="D703" i="2"/>
  <c r="A703" i="2" s="1"/>
  <c r="E703" i="2"/>
  <c r="D704" i="2"/>
  <c r="A704" i="2" s="1"/>
  <c r="E704" i="2"/>
  <c r="D705" i="2"/>
  <c r="E705" i="2"/>
  <c r="D706" i="2"/>
  <c r="E706" i="2"/>
  <c r="D707" i="2"/>
  <c r="A707" i="2" s="1"/>
  <c r="E707" i="2"/>
  <c r="D708" i="2"/>
  <c r="A708" i="2" s="1"/>
  <c r="E708" i="2"/>
  <c r="D709" i="2"/>
  <c r="E709" i="2"/>
  <c r="D710" i="2"/>
  <c r="E710" i="2"/>
  <c r="D711" i="2"/>
  <c r="A711" i="2" s="1"/>
  <c r="E711" i="2"/>
  <c r="D712" i="2"/>
  <c r="A712" i="2" s="1"/>
  <c r="E712" i="2"/>
  <c r="D713" i="2"/>
  <c r="E713" i="2"/>
  <c r="D714" i="2"/>
  <c r="E714" i="2"/>
  <c r="D715" i="2"/>
  <c r="A715" i="2" s="1"/>
  <c r="E715" i="2"/>
  <c r="D716" i="2"/>
  <c r="A716" i="2" s="1"/>
  <c r="E716" i="2"/>
  <c r="D717" i="2"/>
  <c r="E717" i="2"/>
  <c r="D718" i="2"/>
  <c r="E718" i="2"/>
  <c r="D719" i="2"/>
  <c r="A719" i="2" s="1"/>
  <c r="E719" i="2"/>
  <c r="D720" i="2"/>
  <c r="A720" i="2" s="1"/>
  <c r="E720" i="2"/>
  <c r="D721" i="2"/>
  <c r="E721" i="2"/>
  <c r="D722" i="2"/>
  <c r="E722" i="2"/>
  <c r="D723" i="2"/>
  <c r="A723" i="2" s="1"/>
  <c r="E723" i="2"/>
  <c r="D724" i="2"/>
  <c r="A724" i="2" s="1"/>
  <c r="E724" i="2"/>
  <c r="D725" i="2"/>
  <c r="E725" i="2"/>
  <c r="D726" i="2"/>
  <c r="E726" i="2"/>
  <c r="D727" i="2"/>
  <c r="A727" i="2" s="1"/>
  <c r="E727" i="2"/>
  <c r="D728" i="2"/>
  <c r="A728" i="2" s="1"/>
  <c r="E728" i="2"/>
  <c r="D729" i="2"/>
  <c r="E729" i="2"/>
  <c r="D730" i="2"/>
  <c r="E730" i="2"/>
  <c r="D731" i="2"/>
  <c r="A731" i="2" s="1"/>
  <c r="E731" i="2"/>
  <c r="D732" i="2"/>
  <c r="A732" i="2" s="1"/>
  <c r="E732" i="2"/>
  <c r="D733" i="2"/>
  <c r="E733" i="2"/>
  <c r="D734" i="2"/>
  <c r="E734" i="2"/>
  <c r="D735" i="2"/>
  <c r="A735" i="2" s="1"/>
  <c r="E735" i="2"/>
  <c r="D736" i="2"/>
  <c r="A736" i="2" s="1"/>
  <c r="E736" i="2"/>
  <c r="D737" i="2"/>
  <c r="E737" i="2"/>
  <c r="D738" i="2"/>
  <c r="E738" i="2"/>
  <c r="D739" i="2"/>
  <c r="A739" i="2" s="1"/>
  <c r="E739" i="2"/>
  <c r="D740" i="2"/>
  <c r="A740" i="2" s="1"/>
  <c r="E740" i="2"/>
  <c r="D741" i="2"/>
  <c r="E741" i="2"/>
  <c r="D742" i="2"/>
  <c r="E742" i="2"/>
  <c r="D743" i="2"/>
  <c r="A743" i="2" s="1"/>
  <c r="E743" i="2"/>
  <c r="D744" i="2"/>
  <c r="A744" i="2" s="1"/>
  <c r="E744" i="2"/>
  <c r="D745" i="2"/>
  <c r="E745" i="2"/>
  <c r="D746" i="2"/>
  <c r="E746" i="2"/>
  <c r="D747" i="2"/>
  <c r="A747" i="2" s="1"/>
  <c r="E747" i="2"/>
  <c r="D748" i="2"/>
  <c r="A748" i="2" s="1"/>
  <c r="E748" i="2"/>
  <c r="D749" i="2"/>
  <c r="E749" i="2"/>
  <c r="D750" i="2"/>
  <c r="E750" i="2"/>
  <c r="D751" i="2"/>
  <c r="A751" i="2" s="1"/>
  <c r="E751" i="2"/>
  <c r="D752" i="2"/>
  <c r="A752" i="2" s="1"/>
  <c r="E752" i="2"/>
  <c r="D753" i="2"/>
  <c r="E753" i="2"/>
  <c r="D754" i="2"/>
  <c r="E754" i="2"/>
  <c r="D755" i="2"/>
  <c r="A755" i="2" s="1"/>
  <c r="E755" i="2"/>
  <c r="D756" i="2"/>
  <c r="A756" i="2" s="1"/>
  <c r="E756" i="2"/>
  <c r="D757" i="2"/>
  <c r="E757" i="2"/>
  <c r="D758" i="2"/>
  <c r="E758" i="2"/>
  <c r="D759" i="2"/>
  <c r="A759" i="2" s="1"/>
  <c r="E759" i="2"/>
  <c r="D760" i="2"/>
  <c r="A760" i="2" s="1"/>
  <c r="E760" i="2"/>
  <c r="D761" i="2"/>
  <c r="E761" i="2"/>
  <c r="D762" i="2"/>
  <c r="E762" i="2"/>
  <c r="D763" i="2"/>
  <c r="A763" i="2" s="1"/>
  <c r="E763" i="2"/>
  <c r="D764" i="2"/>
  <c r="A764" i="2" s="1"/>
  <c r="E764" i="2"/>
  <c r="D765" i="2"/>
  <c r="E765" i="2"/>
  <c r="D766" i="2"/>
  <c r="E766" i="2"/>
  <c r="D767" i="2"/>
  <c r="A767" i="2" s="1"/>
  <c r="E767" i="2"/>
  <c r="D768" i="2"/>
  <c r="A768" i="2" s="1"/>
  <c r="E768" i="2"/>
  <c r="D769" i="2"/>
  <c r="E769" i="2"/>
  <c r="D770" i="2"/>
  <c r="E770" i="2"/>
  <c r="D771" i="2"/>
  <c r="A771" i="2" s="1"/>
  <c r="E771" i="2"/>
  <c r="D772" i="2"/>
  <c r="A772" i="2" s="1"/>
  <c r="E772" i="2"/>
  <c r="D773" i="2"/>
  <c r="E773" i="2"/>
  <c r="D774" i="2"/>
  <c r="E774" i="2"/>
  <c r="D775" i="2"/>
  <c r="A775" i="2" s="1"/>
  <c r="E775" i="2"/>
  <c r="D776" i="2"/>
  <c r="A776" i="2" s="1"/>
  <c r="E776" i="2"/>
  <c r="D777" i="2"/>
  <c r="E777" i="2"/>
  <c r="D778" i="2"/>
  <c r="E778" i="2"/>
  <c r="D779" i="2"/>
  <c r="A779" i="2" s="1"/>
  <c r="E779" i="2"/>
  <c r="D780" i="2"/>
  <c r="A780" i="2" s="1"/>
  <c r="E780" i="2"/>
  <c r="D781" i="2"/>
  <c r="E781" i="2"/>
  <c r="D782" i="2"/>
  <c r="E782" i="2"/>
  <c r="D783" i="2"/>
  <c r="A783" i="2" s="1"/>
  <c r="E783" i="2"/>
  <c r="D784" i="2"/>
  <c r="A784" i="2" s="1"/>
  <c r="E784" i="2"/>
  <c r="D785" i="2"/>
  <c r="E785" i="2"/>
  <c r="D786" i="2"/>
  <c r="E786" i="2"/>
  <c r="D787" i="2"/>
  <c r="A787" i="2" s="1"/>
  <c r="E787" i="2"/>
  <c r="D788" i="2"/>
  <c r="A788" i="2" s="1"/>
  <c r="E788" i="2"/>
  <c r="D789" i="2"/>
  <c r="E789" i="2"/>
  <c r="D790" i="2"/>
  <c r="E790" i="2"/>
  <c r="D791" i="2"/>
  <c r="A791" i="2" s="1"/>
  <c r="E791" i="2"/>
  <c r="D792" i="2"/>
  <c r="A792" i="2" s="1"/>
  <c r="E792" i="2"/>
  <c r="D793" i="2"/>
  <c r="E793" i="2"/>
  <c r="D794" i="2"/>
  <c r="E794" i="2"/>
  <c r="D795" i="2"/>
  <c r="A795" i="2" s="1"/>
  <c r="E795" i="2"/>
  <c r="D796" i="2"/>
  <c r="A796" i="2" s="1"/>
  <c r="E796" i="2"/>
  <c r="D797" i="2"/>
  <c r="E797" i="2"/>
  <c r="D798" i="2"/>
  <c r="E798" i="2"/>
  <c r="D799" i="2"/>
  <c r="A799" i="2" s="1"/>
  <c r="E799" i="2"/>
  <c r="D800" i="2"/>
  <c r="A800" i="2" s="1"/>
  <c r="E800" i="2"/>
  <c r="D801" i="2"/>
  <c r="E801" i="2"/>
  <c r="D802" i="2"/>
  <c r="E802" i="2"/>
  <c r="D803" i="2"/>
  <c r="A803" i="2" s="1"/>
  <c r="E803" i="2"/>
  <c r="D804" i="2"/>
  <c r="A804" i="2" s="1"/>
  <c r="E804" i="2"/>
  <c r="D805" i="2"/>
  <c r="E805" i="2"/>
  <c r="D806" i="2"/>
  <c r="E806" i="2"/>
  <c r="D807" i="2"/>
  <c r="A807" i="2" s="1"/>
  <c r="E807" i="2"/>
  <c r="D808" i="2"/>
  <c r="A808" i="2" s="1"/>
  <c r="E808" i="2"/>
  <c r="D809" i="2"/>
  <c r="E809" i="2"/>
  <c r="D810" i="2"/>
  <c r="E810" i="2"/>
  <c r="D811" i="2"/>
  <c r="A811" i="2" s="1"/>
  <c r="E811" i="2"/>
  <c r="D812" i="2"/>
  <c r="A812" i="2" s="1"/>
  <c r="E812" i="2"/>
  <c r="D813" i="2"/>
  <c r="E813" i="2"/>
  <c r="D814" i="2"/>
  <c r="E814" i="2"/>
  <c r="D815" i="2"/>
  <c r="A815" i="2" s="1"/>
  <c r="E815" i="2"/>
  <c r="D816" i="2"/>
  <c r="A816" i="2" s="1"/>
  <c r="E816" i="2"/>
  <c r="D817" i="2"/>
  <c r="E817" i="2"/>
  <c r="D818" i="2"/>
  <c r="E818" i="2"/>
  <c r="D819" i="2"/>
  <c r="A819" i="2" s="1"/>
  <c r="E819" i="2"/>
  <c r="D820" i="2"/>
  <c r="A820" i="2" s="1"/>
  <c r="E820" i="2"/>
  <c r="D821" i="2"/>
  <c r="E821" i="2"/>
  <c r="D822" i="2"/>
  <c r="E822" i="2"/>
  <c r="D823" i="2"/>
  <c r="A823" i="2" s="1"/>
  <c r="E823" i="2"/>
  <c r="D824" i="2"/>
  <c r="A824" i="2" s="1"/>
  <c r="E824" i="2"/>
  <c r="D825" i="2"/>
  <c r="E825" i="2"/>
  <c r="D826" i="2"/>
  <c r="E826" i="2"/>
  <c r="D827" i="2"/>
  <c r="A827" i="2" s="1"/>
  <c r="E827" i="2"/>
  <c r="D828" i="2"/>
  <c r="A828" i="2" s="1"/>
  <c r="E828" i="2"/>
  <c r="D829" i="2"/>
  <c r="E829" i="2"/>
  <c r="D830" i="2"/>
  <c r="E830" i="2"/>
  <c r="D831" i="2"/>
  <c r="A831" i="2" s="1"/>
  <c r="E831" i="2"/>
  <c r="D832" i="2"/>
  <c r="A832" i="2" s="1"/>
  <c r="E832" i="2"/>
  <c r="D833" i="2"/>
  <c r="E833" i="2"/>
  <c r="D834" i="2"/>
  <c r="E834" i="2"/>
  <c r="D835" i="2"/>
  <c r="A835" i="2" s="1"/>
  <c r="E835" i="2"/>
  <c r="D836" i="2"/>
  <c r="A836" i="2" s="1"/>
  <c r="E836" i="2"/>
  <c r="D837" i="2"/>
  <c r="E837" i="2"/>
  <c r="D838" i="2"/>
  <c r="E838" i="2"/>
  <c r="D839" i="2"/>
  <c r="A839" i="2" s="1"/>
  <c r="E839" i="2"/>
  <c r="D840" i="2"/>
  <c r="A840" i="2" s="1"/>
  <c r="E840" i="2"/>
  <c r="D841" i="2"/>
  <c r="E841" i="2"/>
  <c r="D842" i="2"/>
  <c r="E842" i="2"/>
  <c r="D843" i="2"/>
  <c r="A843" i="2" s="1"/>
  <c r="E843" i="2"/>
  <c r="D844" i="2"/>
  <c r="A844" i="2" s="1"/>
  <c r="E844" i="2"/>
  <c r="D845" i="2"/>
  <c r="E845" i="2"/>
  <c r="D846" i="2"/>
  <c r="E846" i="2"/>
  <c r="D847" i="2"/>
  <c r="A847" i="2" s="1"/>
  <c r="E847" i="2"/>
  <c r="D848" i="2"/>
  <c r="A848" i="2" s="1"/>
  <c r="E848" i="2"/>
  <c r="D849" i="2"/>
  <c r="E849" i="2"/>
  <c r="D850" i="2"/>
  <c r="E850" i="2"/>
  <c r="D851" i="2"/>
  <c r="A851" i="2" s="1"/>
  <c r="E851" i="2"/>
  <c r="D852" i="2"/>
  <c r="A852" i="2" s="1"/>
  <c r="E852" i="2"/>
  <c r="D853" i="2"/>
  <c r="E853" i="2"/>
  <c r="D854" i="2"/>
  <c r="E854" i="2"/>
  <c r="D855" i="2"/>
  <c r="A855" i="2" s="1"/>
  <c r="E855" i="2"/>
  <c r="D856" i="2"/>
  <c r="A856" i="2" s="1"/>
  <c r="E856" i="2"/>
  <c r="D857" i="2"/>
  <c r="E857" i="2"/>
  <c r="D858" i="2"/>
  <c r="E858" i="2"/>
  <c r="D859" i="2"/>
  <c r="A859" i="2" s="1"/>
  <c r="E859" i="2"/>
  <c r="D860" i="2"/>
  <c r="A860" i="2" s="1"/>
  <c r="E860" i="2"/>
  <c r="D861" i="2"/>
  <c r="E861" i="2"/>
  <c r="D862" i="2"/>
  <c r="E862" i="2"/>
  <c r="D863" i="2"/>
  <c r="A863" i="2" s="1"/>
  <c r="E863" i="2"/>
  <c r="D864" i="2"/>
  <c r="A864" i="2" s="1"/>
  <c r="E864" i="2"/>
  <c r="D865" i="2"/>
  <c r="E865" i="2"/>
  <c r="D866" i="2"/>
  <c r="E866" i="2"/>
  <c r="D867" i="2"/>
  <c r="A867" i="2" s="1"/>
  <c r="E867" i="2"/>
  <c r="D868" i="2"/>
  <c r="A868" i="2" s="1"/>
  <c r="E868" i="2"/>
  <c r="D869" i="2"/>
  <c r="E869" i="2"/>
  <c r="D870" i="2"/>
  <c r="E870" i="2"/>
  <c r="D871" i="2"/>
  <c r="A871" i="2" s="1"/>
  <c r="E871" i="2"/>
  <c r="D872" i="2"/>
  <c r="A872" i="2" s="1"/>
  <c r="E872" i="2"/>
  <c r="D873" i="2"/>
  <c r="E873" i="2"/>
  <c r="D874" i="2"/>
  <c r="E874" i="2"/>
  <c r="D875" i="2"/>
  <c r="A875" i="2" s="1"/>
  <c r="E875" i="2"/>
  <c r="D876" i="2"/>
  <c r="A876" i="2" s="1"/>
  <c r="E876" i="2"/>
  <c r="D877" i="2"/>
  <c r="E877" i="2"/>
  <c r="D878" i="2"/>
  <c r="E878" i="2"/>
  <c r="D879" i="2"/>
  <c r="A879" i="2" s="1"/>
  <c r="E879" i="2"/>
  <c r="D880" i="2"/>
  <c r="A880" i="2" s="1"/>
  <c r="E880" i="2"/>
  <c r="D881" i="2"/>
  <c r="E881" i="2"/>
  <c r="D882" i="2"/>
  <c r="E882" i="2"/>
  <c r="D883" i="2"/>
  <c r="A883" i="2" s="1"/>
  <c r="E883" i="2"/>
  <c r="D884" i="2"/>
  <c r="A884" i="2" s="1"/>
  <c r="E884" i="2"/>
  <c r="D885" i="2"/>
  <c r="E885" i="2"/>
  <c r="D886" i="2"/>
  <c r="E886" i="2"/>
  <c r="D887" i="2"/>
  <c r="A887" i="2" s="1"/>
  <c r="E887" i="2"/>
  <c r="D888" i="2"/>
  <c r="A888" i="2" s="1"/>
  <c r="E888" i="2"/>
  <c r="D889" i="2"/>
  <c r="E889" i="2"/>
  <c r="D890" i="2"/>
  <c r="E890" i="2"/>
  <c r="D891" i="2"/>
  <c r="A891" i="2" s="1"/>
  <c r="E891" i="2"/>
  <c r="D892" i="2"/>
  <c r="A892" i="2" s="1"/>
  <c r="E892" i="2"/>
  <c r="D893" i="2"/>
  <c r="E893" i="2"/>
  <c r="D894" i="2"/>
  <c r="E894" i="2"/>
  <c r="D895" i="2"/>
  <c r="A895" i="2" s="1"/>
  <c r="E895" i="2"/>
  <c r="D896" i="2"/>
  <c r="A896" i="2" s="1"/>
  <c r="E896" i="2"/>
  <c r="D897" i="2"/>
  <c r="E897" i="2"/>
  <c r="D898" i="2"/>
  <c r="E898" i="2"/>
  <c r="D899" i="2"/>
  <c r="A899" i="2" s="1"/>
  <c r="E899" i="2"/>
  <c r="D900" i="2"/>
  <c r="A900" i="2" s="1"/>
  <c r="E900" i="2"/>
  <c r="D901" i="2"/>
  <c r="E901" i="2"/>
  <c r="D902" i="2"/>
  <c r="E902" i="2"/>
  <c r="D903" i="2"/>
  <c r="A903" i="2" s="1"/>
  <c r="E903" i="2"/>
  <c r="D904" i="2"/>
  <c r="A904" i="2" s="1"/>
  <c r="E904" i="2"/>
  <c r="D905" i="2"/>
  <c r="E905" i="2"/>
  <c r="D906" i="2"/>
  <c r="E906" i="2"/>
  <c r="D907" i="2"/>
  <c r="A907" i="2" s="1"/>
  <c r="E907" i="2"/>
  <c r="D908" i="2"/>
  <c r="A908" i="2" s="1"/>
  <c r="E908" i="2"/>
  <c r="D909" i="2"/>
  <c r="E909" i="2"/>
  <c r="D910" i="2"/>
  <c r="E910" i="2"/>
  <c r="D911" i="2"/>
  <c r="A911" i="2" s="1"/>
  <c r="E911" i="2"/>
  <c r="D912" i="2"/>
  <c r="A912" i="2" s="1"/>
  <c r="E912" i="2"/>
  <c r="D913" i="2"/>
  <c r="E913" i="2"/>
  <c r="D914" i="2"/>
  <c r="E914" i="2"/>
  <c r="D915" i="2"/>
  <c r="A915" i="2" s="1"/>
  <c r="E915" i="2"/>
  <c r="D916" i="2"/>
  <c r="A916" i="2" s="1"/>
  <c r="E916" i="2"/>
  <c r="D917" i="2"/>
  <c r="E917" i="2"/>
  <c r="D918" i="2"/>
  <c r="E918" i="2"/>
  <c r="D919" i="2"/>
  <c r="A919" i="2" s="1"/>
  <c r="E919" i="2"/>
  <c r="D920" i="2"/>
  <c r="A920" i="2" s="1"/>
  <c r="E920" i="2"/>
  <c r="D921" i="2"/>
  <c r="E921" i="2"/>
  <c r="D922" i="2"/>
  <c r="E922" i="2"/>
  <c r="D923" i="2"/>
  <c r="A923" i="2" s="1"/>
  <c r="E923" i="2"/>
  <c r="D924" i="2"/>
  <c r="A924" i="2" s="1"/>
  <c r="E924" i="2"/>
  <c r="D925" i="2"/>
  <c r="E925" i="2"/>
  <c r="D926" i="2"/>
  <c r="E926" i="2"/>
  <c r="D927" i="2"/>
  <c r="A927" i="2" s="1"/>
  <c r="E927" i="2"/>
  <c r="D928" i="2"/>
  <c r="A928" i="2" s="1"/>
  <c r="E928" i="2"/>
  <c r="D929" i="2"/>
  <c r="E929" i="2"/>
  <c r="D930" i="2"/>
  <c r="E930" i="2"/>
  <c r="D931" i="2"/>
  <c r="A931" i="2" s="1"/>
  <c r="E931" i="2"/>
  <c r="D932" i="2"/>
  <c r="A932" i="2" s="1"/>
  <c r="E932" i="2"/>
  <c r="D933" i="2"/>
  <c r="E933" i="2"/>
  <c r="D934" i="2"/>
  <c r="E934" i="2"/>
  <c r="D935" i="2"/>
  <c r="A935" i="2" s="1"/>
  <c r="E935" i="2"/>
  <c r="D936" i="2"/>
  <c r="A936" i="2" s="1"/>
  <c r="E936" i="2"/>
  <c r="D937" i="2"/>
  <c r="E937" i="2"/>
  <c r="D938" i="2"/>
  <c r="E938" i="2"/>
  <c r="D939" i="2"/>
  <c r="A939" i="2" s="1"/>
  <c r="E939" i="2"/>
  <c r="D940" i="2"/>
  <c r="A940" i="2" s="1"/>
  <c r="E940" i="2"/>
  <c r="D941" i="2"/>
  <c r="E941" i="2"/>
  <c r="D942" i="2"/>
  <c r="E942" i="2"/>
  <c r="D943" i="2"/>
  <c r="A943" i="2" s="1"/>
  <c r="E943" i="2"/>
  <c r="D944" i="2"/>
  <c r="A944" i="2" s="1"/>
  <c r="E944" i="2"/>
  <c r="D945" i="2"/>
  <c r="E945" i="2"/>
  <c r="D946" i="2"/>
  <c r="E946" i="2"/>
  <c r="D947" i="2"/>
  <c r="A947" i="2" s="1"/>
  <c r="E947" i="2"/>
  <c r="D948" i="2"/>
  <c r="A948" i="2" s="1"/>
  <c r="E948" i="2"/>
  <c r="D949" i="2"/>
  <c r="E949" i="2"/>
  <c r="D950" i="2"/>
  <c r="E950" i="2"/>
  <c r="D951" i="2"/>
  <c r="A951" i="2" s="1"/>
  <c r="E951" i="2"/>
  <c r="D952" i="2"/>
  <c r="A952" i="2" s="1"/>
  <c r="E952" i="2"/>
  <c r="D953" i="2"/>
  <c r="E953" i="2"/>
  <c r="D954" i="2"/>
  <c r="E954" i="2"/>
  <c r="D955" i="2"/>
  <c r="A955" i="2" s="1"/>
  <c r="E955" i="2"/>
  <c r="D956" i="2"/>
  <c r="A956" i="2" s="1"/>
  <c r="E956" i="2"/>
  <c r="D957" i="2"/>
  <c r="E957" i="2"/>
  <c r="D958" i="2"/>
  <c r="E958" i="2"/>
  <c r="D959" i="2"/>
  <c r="A959" i="2" s="1"/>
  <c r="E959" i="2"/>
  <c r="D960" i="2"/>
  <c r="A960" i="2" s="1"/>
  <c r="E960" i="2"/>
  <c r="D961" i="2"/>
  <c r="E961" i="2"/>
  <c r="D962" i="2"/>
  <c r="E962" i="2"/>
  <c r="D963" i="2"/>
  <c r="A963" i="2" s="1"/>
  <c r="E963" i="2"/>
  <c r="D964" i="2"/>
  <c r="A964" i="2" s="1"/>
  <c r="E964" i="2"/>
  <c r="D965" i="2"/>
  <c r="E965" i="2"/>
  <c r="D966" i="2"/>
  <c r="E966" i="2"/>
  <c r="D967" i="2"/>
  <c r="A967" i="2" s="1"/>
  <c r="E967" i="2"/>
  <c r="D968" i="2"/>
  <c r="A968" i="2" s="1"/>
  <c r="E968" i="2"/>
  <c r="D969" i="2"/>
  <c r="E969" i="2"/>
  <c r="D970" i="2"/>
  <c r="E970" i="2"/>
  <c r="D971" i="2"/>
  <c r="A971" i="2" s="1"/>
  <c r="E971" i="2"/>
  <c r="D972" i="2"/>
  <c r="A972" i="2" s="1"/>
  <c r="E972" i="2"/>
  <c r="D973" i="2"/>
  <c r="E973" i="2"/>
  <c r="D974" i="2"/>
  <c r="E974" i="2"/>
  <c r="D975" i="2"/>
  <c r="A975" i="2" s="1"/>
  <c r="E975" i="2"/>
  <c r="D976" i="2"/>
  <c r="A976" i="2" s="1"/>
  <c r="E976" i="2"/>
  <c r="D977" i="2"/>
  <c r="E977" i="2"/>
  <c r="D978" i="2"/>
  <c r="E978" i="2"/>
  <c r="D979" i="2"/>
  <c r="A979" i="2" s="1"/>
  <c r="E979" i="2"/>
  <c r="D980" i="2"/>
  <c r="A980" i="2" s="1"/>
  <c r="E980" i="2"/>
  <c r="D981" i="2"/>
  <c r="E981" i="2"/>
  <c r="D982" i="2"/>
  <c r="E982" i="2"/>
  <c r="D983" i="2"/>
  <c r="A983" i="2" s="1"/>
  <c r="E983" i="2"/>
  <c r="D984" i="2"/>
  <c r="A984" i="2" s="1"/>
  <c r="E984" i="2"/>
  <c r="D985" i="2"/>
  <c r="E985" i="2"/>
  <c r="D986" i="2"/>
  <c r="E986" i="2"/>
  <c r="D987" i="2"/>
  <c r="A987" i="2" s="1"/>
  <c r="E987" i="2"/>
  <c r="D988" i="2"/>
  <c r="A988" i="2" s="1"/>
  <c r="E988" i="2"/>
  <c r="D989" i="2"/>
  <c r="E989" i="2"/>
  <c r="D990" i="2"/>
  <c r="E990" i="2"/>
  <c r="D991" i="2"/>
  <c r="A991" i="2" s="1"/>
  <c r="E991" i="2"/>
  <c r="D992" i="2"/>
  <c r="A992" i="2" s="1"/>
  <c r="E992" i="2"/>
  <c r="D993" i="2"/>
  <c r="E993" i="2"/>
  <c r="D994" i="2"/>
  <c r="E994" i="2"/>
  <c r="D995" i="2"/>
  <c r="A995" i="2" s="1"/>
  <c r="E995" i="2"/>
  <c r="D996" i="2"/>
  <c r="A996" i="2" s="1"/>
  <c r="E996" i="2"/>
  <c r="D997" i="2"/>
  <c r="E997" i="2"/>
  <c r="D998" i="2"/>
  <c r="E998" i="2"/>
  <c r="D999" i="2"/>
  <c r="A999" i="2" s="1"/>
  <c r="E999" i="2"/>
  <c r="D1000" i="2"/>
  <c r="A1000" i="2" s="1"/>
  <c r="E1000" i="2"/>
  <c r="D1001" i="2"/>
  <c r="E1001" i="2"/>
  <c r="D1002" i="2"/>
  <c r="E1002" i="2"/>
  <c r="D1003" i="2"/>
  <c r="A1003" i="2" s="1"/>
  <c r="E1003" i="2"/>
  <c r="D1004" i="2"/>
  <c r="A1004" i="2" s="1"/>
  <c r="E1004" i="2"/>
  <c r="D1005" i="2"/>
  <c r="E1005" i="2"/>
  <c r="D1006" i="2"/>
  <c r="E1006" i="2"/>
  <c r="D1007" i="2"/>
  <c r="A1007" i="2" s="1"/>
  <c r="E1007" i="2"/>
  <c r="D1008" i="2"/>
  <c r="A1008" i="2" s="1"/>
  <c r="E1008" i="2"/>
  <c r="D1009" i="2"/>
  <c r="E1009" i="2"/>
  <c r="D1010" i="2"/>
  <c r="E1010" i="2"/>
  <c r="D1011" i="2"/>
  <c r="A1011" i="2" s="1"/>
  <c r="E1011" i="2"/>
  <c r="D1012" i="2"/>
  <c r="A1012" i="2" s="1"/>
  <c r="E1012" i="2"/>
  <c r="D1013" i="2"/>
  <c r="E1013" i="2"/>
  <c r="D1014" i="2"/>
  <c r="E1014" i="2"/>
  <c r="D1015" i="2"/>
  <c r="A1015" i="2" s="1"/>
  <c r="E1015" i="2"/>
  <c r="D1016" i="2"/>
  <c r="A1016" i="2" s="1"/>
  <c r="E1016" i="2"/>
  <c r="D1017" i="2"/>
  <c r="E1017" i="2"/>
  <c r="D1018" i="2"/>
  <c r="E1018" i="2"/>
  <c r="D1019" i="2"/>
  <c r="A1019" i="2" s="1"/>
  <c r="E1019" i="2"/>
  <c r="D1020" i="2"/>
  <c r="A1020" i="2" s="1"/>
  <c r="E1020" i="2"/>
  <c r="D1021" i="2"/>
  <c r="E1021" i="2"/>
  <c r="D1022" i="2"/>
  <c r="E1022" i="2"/>
  <c r="D1023" i="2"/>
  <c r="A1023" i="2" s="1"/>
  <c r="E1023" i="2"/>
  <c r="D1024" i="2"/>
  <c r="A1024" i="2" s="1"/>
  <c r="E1024" i="2"/>
  <c r="D1025" i="2"/>
  <c r="E1025" i="2"/>
  <c r="D1026" i="2"/>
  <c r="E1026" i="2"/>
  <c r="D1027" i="2"/>
  <c r="A1027" i="2" s="1"/>
  <c r="E1027" i="2"/>
  <c r="D1028" i="2"/>
  <c r="A1028" i="2" s="1"/>
  <c r="E1028" i="2"/>
  <c r="D1029" i="2"/>
  <c r="E1029" i="2"/>
  <c r="D1030" i="2"/>
  <c r="E1030" i="2"/>
  <c r="D1031" i="2"/>
  <c r="A1031" i="2" s="1"/>
  <c r="E1031" i="2"/>
  <c r="D1032" i="2"/>
  <c r="A1032" i="2" s="1"/>
  <c r="E1032" i="2"/>
  <c r="D1033" i="2"/>
  <c r="E1033" i="2"/>
  <c r="D1034" i="2"/>
  <c r="E1034" i="2"/>
  <c r="D1035" i="2"/>
  <c r="A1035" i="2" s="1"/>
  <c r="E1035" i="2"/>
  <c r="D1036" i="2"/>
  <c r="A1036" i="2" s="1"/>
  <c r="E1036" i="2"/>
  <c r="D1037" i="2"/>
  <c r="E1037" i="2"/>
  <c r="D1038" i="2"/>
  <c r="E1038" i="2"/>
  <c r="D1039" i="2"/>
  <c r="A1039" i="2" s="1"/>
  <c r="E1039" i="2"/>
  <c r="D1040" i="2"/>
  <c r="A1040" i="2" s="1"/>
  <c r="E1040" i="2"/>
  <c r="D1041" i="2"/>
  <c r="E1041" i="2"/>
  <c r="D1042" i="2"/>
  <c r="E1042" i="2"/>
  <c r="D1043" i="2"/>
  <c r="A1043" i="2" s="1"/>
  <c r="E1043" i="2"/>
  <c r="D1044" i="2"/>
  <c r="A1044" i="2" s="1"/>
  <c r="E1044" i="2"/>
  <c r="D1045" i="2"/>
  <c r="E1045" i="2"/>
  <c r="D1046" i="2"/>
  <c r="E1046" i="2"/>
  <c r="D1047" i="2"/>
  <c r="A1047" i="2" s="1"/>
  <c r="E1047" i="2"/>
  <c r="D1048" i="2"/>
  <c r="A1048" i="2" s="1"/>
  <c r="E1048" i="2"/>
  <c r="D1049" i="2"/>
  <c r="E1049" i="2"/>
  <c r="D1050" i="2"/>
  <c r="E1050" i="2"/>
  <c r="D1051" i="2"/>
  <c r="A1051" i="2" s="1"/>
  <c r="E1051" i="2"/>
  <c r="D1052" i="2"/>
  <c r="A1052" i="2" s="1"/>
  <c r="E1052" i="2"/>
  <c r="D1053" i="2"/>
  <c r="E1053" i="2"/>
  <c r="D1054" i="2"/>
  <c r="E1054" i="2"/>
  <c r="D1055" i="2"/>
  <c r="A1055" i="2" s="1"/>
  <c r="E1055" i="2"/>
  <c r="D1056" i="2"/>
  <c r="A1056" i="2" s="1"/>
  <c r="E1056" i="2"/>
  <c r="D1057" i="2"/>
  <c r="E1057" i="2"/>
  <c r="D1058" i="2"/>
  <c r="E1058" i="2"/>
  <c r="D1059" i="2"/>
  <c r="A1059" i="2" s="1"/>
  <c r="E1059" i="2"/>
  <c r="D1060" i="2"/>
  <c r="A1060" i="2" s="1"/>
  <c r="E1060" i="2"/>
  <c r="D1061" i="2"/>
  <c r="E1061" i="2"/>
  <c r="D1062" i="2"/>
  <c r="E1062" i="2"/>
  <c r="D1063" i="2"/>
  <c r="A1063" i="2" s="1"/>
  <c r="E1063" i="2"/>
  <c r="D1064" i="2"/>
  <c r="A1064" i="2" s="1"/>
  <c r="E1064" i="2"/>
  <c r="D1065" i="2"/>
  <c r="E1065" i="2"/>
  <c r="D1066" i="2"/>
  <c r="E1066" i="2"/>
  <c r="D1067" i="2"/>
  <c r="A1067" i="2" s="1"/>
  <c r="E1067" i="2"/>
  <c r="D1068" i="2"/>
  <c r="A1068" i="2" s="1"/>
  <c r="E1068" i="2"/>
  <c r="D1069" i="2"/>
  <c r="E1069" i="2"/>
  <c r="D1070" i="2"/>
  <c r="E1070" i="2"/>
  <c r="D1071" i="2"/>
  <c r="A1071" i="2" s="1"/>
  <c r="E1071" i="2"/>
  <c r="D1072" i="2"/>
  <c r="A1072" i="2" s="1"/>
  <c r="E1072" i="2"/>
  <c r="D1073" i="2"/>
  <c r="E1073" i="2"/>
  <c r="D1074" i="2"/>
  <c r="E1074" i="2"/>
  <c r="D1075" i="2"/>
  <c r="A1075" i="2" s="1"/>
  <c r="E1075" i="2"/>
  <c r="D1076" i="2"/>
  <c r="A1076" i="2" s="1"/>
  <c r="E1076" i="2"/>
  <c r="D1077" i="2"/>
  <c r="E1077" i="2"/>
  <c r="D1078" i="2"/>
  <c r="E1078" i="2"/>
  <c r="D1079" i="2"/>
  <c r="A1079" i="2" s="1"/>
  <c r="E1079" i="2"/>
  <c r="D1080" i="2"/>
  <c r="A1080" i="2" s="1"/>
  <c r="E1080" i="2"/>
  <c r="D1081" i="2"/>
  <c r="E1081" i="2"/>
  <c r="D1082" i="2"/>
  <c r="E1082" i="2"/>
  <c r="D1083" i="2"/>
  <c r="A1083" i="2" s="1"/>
  <c r="E1083" i="2"/>
  <c r="D1084" i="2"/>
  <c r="A1084" i="2" s="1"/>
  <c r="E1084" i="2"/>
  <c r="D1085" i="2"/>
  <c r="E1085" i="2"/>
  <c r="D1086" i="2"/>
  <c r="E1086" i="2"/>
  <c r="D1087" i="2"/>
  <c r="A1087" i="2" s="1"/>
  <c r="E1087" i="2"/>
  <c r="D1088" i="2"/>
  <c r="A1088" i="2" s="1"/>
  <c r="E1088" i="2"/>
  <c r="D1089" i="2"/>
  <c r="E1089" i="2"/>
  <c r="D1090" i="2"/>
  <c r="E1090" i="2"/>
  <c r="D1091" i="2"/>
  <c r="A1091" i="2" s="1"/>
  <c r="E1091" i="2"/>
  <c r="D1092" i="2"/>
  <c r="A1092" i="2" s="1"/>
  <c r="E1092" i="2"/>
  <c r="D1093" i="2"/>
  <c r="E1093" i="2"/>
  <c r="D1094" i="2"/>
  <c r="E1094" i="2"/>
  <c r="D1095" i="2"/>
  <c r="A1095" i="2" s="1"/>
  <c r="E1095" i="2"/>
  <c r="D1096" i="2"/>
  <c r="A1096" i="2" s="1"/>
  <c r="E1096" i="2"/>
  <c r="D1097" i="2"/>
  <c r="E1097" i="2"/>
  <c r="D1098" i="2"/>
  <c r="E1098" i="2"/>
  <c r="D1099" i="2"/>
  <c r="A1099" i="2" s="1"/>
  <c r="E1099" i="2"/>
  <c r="D1100" i="2"/>
  <c r="A1100" i="2" s="1"/>
  <c r="E1100" i="2"/>
  <c r="D1101" i="2"/>
  <c r="E1101" i="2"/>
  <c r="D1102" i="2"/>
  <c r="E1102" i="2"/>
  <c r="D1103" i="2"/>
  <c r="A1103" i="2" s="1"/>
  <c r="E1103" i="2"/>
  <c r="D1104" i="2"/>
  <c r="A1104" i="2" s="1"/>
  <c r="E1104" i="2"/>
  <c r="D1105" i="2"/>
  <c r="E1105" i="2"/>
  <c r="D1106" i="2"/>
  <c r="E1106" i="2"/>
  <c r="D1107" i="2"/>
  <c r="A1107" i="2" s="1"/>
  <c r="E1107" i="2"/>
  <c r="D1108" i="2"/>
  <c r="A1108" i="2" s="1"/>
  <c r="E1108" i="2"/>
  <c r="D1109" i="2"/>
  <c r="E1109" i="2"/>
  <c r="D1110" i="2"/>
  <c r="E1110" i="2"/>
  <c r="D1111" i="2"/>
  <c r="A1111" i="2" s="1"/>
  <c r="E1111" i="2"/>
  <c r="D1112" i="2"/>
  <c r="A1112" i="2" s="1"/>
  <c r="E1112" i="2"/>
  <c r="D1113" i="2"/>
  <c r="E1113" i="2"/>
  <c r="D1114" i="2"/>
  <c r="E1114" i="2"/>
  <c r="D1115" i="2"/>
  <c r="A1115" i="2" s="1"/>
  <c r="E1115" i="2"/>
  <c r="D1116" i="2"/>
  <c r="A1116" i="2" s="1"/>
  <c r="E1116" i="2"/>
  <c r="D1117" i="2"/>
  <c r="E1117" i="2"/>
  <c r="D1118" i="2"/>
  <c r="E1118" i="2"/>
  <c r="D1119" i="2"/>
  <c r="A1119" i="2" s="1"/>
  <c r="E1119" i="2"/>
  <c r="D1120" i="2"/>
  <c r="A1120" i="2" s="1"/>
  <c r="E1120" i="2"/>
  <c r="D1121" i="2"/>
  <c r="E1121" i="2"/>
  <c r="D1122" i="2"/>
  <c r="E1122" i="2"/>
  <c r="D1123" i="2"/>
  <c r="A1123" i="2" s="1"/>
  <c r="E1123" i="2"/>
  <c r="D1124" i="2"/>
  <c r="A1124" i="2" s="1"/>
  <c r="E1124" i="2"/>
  <c r="D1125" i="2"/>
  <c r="E1125" i="2"/>
  <c r="D1126" i="2"/>
  <c r="E1126" i="2"/>
  <c r="D1127" i="2"/>
  <c r="A1127" i="2" s="1"/>
  <c r="E1127" i="2"/>
  <c r="D1128" i="2"/>
  <c r="A1128" i="2" s="1"/>
  <c r="E1128" i="2"/>
  <c r="D1129" i="2"/>
  <c r="E1129" i="2"/>
  <c r="D1130" i="2"/>
  <c r="E1130" i="2"/>
  <c r="D1131" i="2"/>
  <c r="A1131" i="2" s="1"/>
  <c r="E1131" i="2"/>
  <c r="D1132" i="2"/>
  <c r="A1132" i="2" s="1"/>
  <c r="E1132" i="2"/>
  <c r="D1133" i="2"/>
  <c r="E1133" i="2"/>
  <c r="D1134" i="2"/>
  <c r="E1134" i="2"/>
  <c r="D1135" i="2"/>
  <c r="A1135" i="2" s="1"/>
  <c r="E1135" i="2"/>
  <c r="D1136" i="2"/>
  <c r="A1136" i="2" s="1"/>
  <c r="E1136" i="2"/>
  <c r="D1137" i="2"/>
  <c r="E1137" i="2"/>
  <c r="D1138" i="2"/>
  <c r="E1138" i="2"/>
  <c r="D1139" i="2"/>
  <c r="A1139" i="2" s="1"/>
  <c r="E1139" i="2"/>
  <c r="D1140" i="2"/>
  <c r="A1140" i="2" s="1"/>
  <c r="E1140" i="2"/>
  <c r="D1141" i="2"/>
  <c r="E1141" i="2"/>
  <c r="D1142" i="2"/>
  <c r="E1142" i="2"/>
  <c r="D1143" i="2"/>
  <c r="A1143" i="2" s="1"/>
  <c r="E1143" i="2"/>
  <c r="D1144" i="2"/>
  <c r="A1144" i="2" s="1"/>
  <c r="E1144" i="2"/>
  <c r="D1145" i="2"/>
  <c r="E1145" i="2"/>
  <c r="D1146" i="2"/>
  <c r="E1146" i="2"/>
  <c r="D1147" i="2"/>
  <c r="A1147" i="2" s="1"/>
  <c r="E1147" i="2"/>
  <c r="D1148" i="2"/>
  <c r="A1148" i="2" s="1"/>
  <c r="E1148" i="2"/>
  <c r="D1149" i="2"/>
  <c r="E1149" i="2"/>
  <c r="D1150" i="2"/>
  <c r="E1150" i="2"/>
  <c r="D1151" i="2"/>
  <c r="A1151" i="2" s="1"/>
  <c r="E1151" i="2"/>
  <c r="D1152" i="2"/>
  <c r="A1152" i="2" s="1"/>
  <c r="E1152" i="2"/>
  <c r="D1153" i="2"/>
  <c r="E1153" i="2"/>
  <c r="D1154" i="2"/>
  <c r="E1154" i="2"/>
  <c r="D1155" i="2"/>
  <c r="A1155" i="2" s="1"/>
  <c r="E1155" i="2"/>
  <c r="D1156" i="2"/>
  <c r="A1156" i="2" s="1"/>
  <c r="E1156" i="2"/>
  <c r="D1157" i="2"/>
  <c r="E1157" i="2"/>
  <c r="D1158" i="2"/>
  <c r="E1158" i="2"/>
  <c r="D1159" i="2"/>
  <c r="A1159" i="2" s="1"/>
  <c r="E1159" i="2"/>
  <c r="D1160" i="2"/>
  <c r="A1160" i="2" s="1"/>
  <c r="E1160" i="2"/>
  <c r="D1161" i="2"/>
  <c r="E1161" i="2"/>
  <c r="D1162" i="2"/>
  <c r="E1162" i="2"/>
  <c r="D1163" i="2"/>
  <c r="A1163" i="2" s="1"/>
  <c r="E1163" i="2"/>
  <c r="D1164" i="2"/>
  <c r="A1164" i="2" s="1"/>
  <c r="E1164" i="2"/>
  <c r="D1165" i="2"/>
  <c r="E1165" i="2"/>
  <c r="D1166" i="2"/>
  <c r="E1166" i="2"/>
  <c r="D1167" i="2"/>
  <c r="A1167" i="2" s="1"/>
  <c r="E1167" i="2"/>
  <c r="D1168" i="2"/>
  <c r="A1168" i="2" s="1"/>
  <c r="E1168" i="2"/>
  <c r="D1169" i="2"/>
  <c r="E1169" i="2"/>
  <c r="D1170" i="2"/>
  <c r="E1170" i="2"/>
  <c r="D1171" i="2"/>
  <c r="A1171" i="2" s="1"/>
  <c r="E1171" i="2"/>
  <c r="D1172" i="2"/>
  <c r="A1172" i="2" s="1"/>
  <c r="E1172" i="2"/>
  <c r="D1173" i="2"/>
  <c r="E1173" i="2"/>
  <c r="D1174" i="2"/>
  <c r="E1174" i="2"/>
  <c r="D1175" i="2"/>
  <c r="A1175" i="2" s="1"/>
  <c r="E1175" i="2"/>
  <c r="D1176" i="2"/>
  <c r="A1176" i="2" s="1"/>
  <c r="E1176" i="2"/>
  <c r="D1177" i="2"/>
  <c r="E1177" i="2"/>
  <c r="D1178" i="2"/>
  <c r="E1178" i="2"/>
  <c r="D1179" i="2"/>
  <c r="A1179" i="2" s="1"/>
  <c r="E1179" i="2"/>
  <c r="D1180" i="2"/>
  <c r="A1180" i="2" s="1"/>
  <c r="E1180" i="2"/>
  <c r="D1181" i="2"/>
  <c r="E1181" i="2"/>
  <c r="D1182" i="2"/>
  <c r="E1182" i="2"/>
  <c r="D1183" i="2"/>
  <c r="A1183" i="2" s="1"/>
  <c r="E1183" i="2"/>
  <c r="D1184" i="2"/>
  <c r="A1184" i="2" s="1"/>
  <c r="E1184" i="2"/>
  <c r="D1185" i="2"/>
  <c r="E1185" i="2"/>
  <c r="D1186" i="2"/>
  <c r="E1186" i="2"/>
  <c r="D1187" i="2"/>
  <c r="A1187" i="2" s="1"/>
  <c r="E1187" i="2"/>
  <c r="D1188" i="2"/>
  <c r="A1188" i="2" s="1"/>
  <c r="E1188" i="2"/>
  <c r="D1189" i="2"/>
  <c r="E1189" i="2"/>
  <c r="D1190" i="2"/>
  <c r="E1190" i="2"/>
  <c r="D1191" i="2"/>
  <c r="A1191" i="2" s="1"/>
  <c r="E1191" i="2"/>
  <c r="D1192" i="2"/>
  <c r="A1192" i="2" s="1"/>
  <c r="E1192" i="2"/>
  <c r="D1193" i="2"/>
  <c r="E1193" i="2"/>
  <c r="D1194" i="2"/>
  <c r="E1194" i="2"/>
  <c r="D1195" i="2"/>
  <c r="A1195" i="2" s="1"/>
  <c r="E1195" i="2"/>
  <c r="D1196" i="2"/>
  <c r="A1196" i="2" s="1"/>
  <c r="E1196" i="2"/>
  <c r="D1197" i="2"/>
  <c r="E1197" i="2"/>
  <c r="D1198" i="2"/>
  <c r="E1198" i="2"/>
  <c r="D1199" i="2"/>
  <c r="A1199" i="2" s="1"/>
  <c r="E1199" i="2"/>
  <c r="D1200" i="2"/>
  <c r="A1200" i="2" s="1"/>
  <c r="E1200" i="2"/>
  <c r="D1201" i="2"/>
  <c r="E1201" i="2"/>
  <c r="D1202" i="2"/>
  <c r="E1202" i="2"/>
  <c r="D1203" i="2"/>
  <c r="A1203" i="2" s="1"/>
  <c r="E1203" i="2"/>
  <c r="D1204" i="2"/>
  <c r="A1204" i="2" s="1"/>
  <c r="E1204" i="2"/>
  <c r="D1205" i="2"/>
  <c r="A1205" i="2" s="1"/>
  <c r="E1205" i="2"/>
  <c r="D1206" i="2"/>
  <c r="E1206" i="2"/>
  <c r="D1207" i="2"/>
  <c r="A1207" i="2" s="1"/>
  <c r="E1207" i="2"/>
  <c r="D1208" i="2"/>
  <c r="A1208" i="2" s="1"/>
  <c r="E1208" i="2"/>
  <c r="D1209" i="2"/>
  <c r="A1209" i="2" s="1"/>
  <c r="E1209" i="2"/>
  <c r="D1210" i="2"/>
  <c r="E1210" i="2"/>
  <c r="D1211" i="2"/>
  <c r="A1211" i="2" s="1"/>
  <c r="E1211" i="2"/>
  <c r="D1212" i="2"/>
  <c r="A1212" i="2" s="1"/>
  <c r="E1212" i="2"/>
  <c r="D1213" i="2"/>
  <c r="A1213" i="2" s="1"/>
  <c r="E1213" i="2"/>
  <c r="D1214" i="2"/>
  <c r="E1214" i="2"/>
  <c r="D1215" i="2"/>
  <c r="A1215" i="2" s="1"/>
  <c r="E1215" i="2"/>
  <c r="D1216" i="2"/>
  <c r="A1216" i="2" s="1"/>
  <c r="E1216" i="2"/>
  <c r="D1217" i="2"/>
  <c r="A1217" i="2" s="1"/>
  <c r="E1217" i="2"/>
  <c r="D1218" i="2"/>
  <c r="E1218" i="2"/>
  <c r="D1219" i="2"/>
  <c r="A1219" i="2" s="1"/>
  <c r="E1219" i="2"/>
  <c r="D1220" i="2"/>
  <c r="A1220" i="2" s="1"/>
  <c r="E1220" i="2"/>
  <c r="D1221" i="2"/>
  <c r="A1221" i="2" s="1"/>
  <c r="E1221" i="2"/>
  <c r="D1222" i="2"/>
  <c r="E1222" i="2"/>
  <c r="D1223" i="2"/>
  <c r="A1223" i="2" s="1"/>
  <c r="E1223" i="2"/>
  <c r="D1224" i="2"/>
  <c r="A1224" i="2" s="1"/>
  <c r="E1224" i="2"/>
  <c r="D1225" i="2"/>
  <c r="A1225" i="2" s="1"/>
  <c r="E1225" i="2"/>
  <c r="D1226" i="2"/>
  <c r="E1226" i="2"/>
  <c r="D1227" i="2"/>
  <c r="A1227" i="2" s="1"/>
  <c r="E1227" i="2"/>
  <c r="D1228" i="2"/>
  <c r="A1228" i="2" s="1"/>
  <c r="E1228" i="2"/>
  <c r="D1229" i="2"/>
  <c r="A1229" i="2" s="1"/>
  <c r="E1229" i="2"/>
  <c r="D1230" i="2"/>
  <c r="E1230" i="2"/>
  <c r="D1231" i="2"/>
  <c r="A1231" i="2" s="1"/>
  <c r="E1231" i="2"/>
  <c r="D1232" i="2"/>
  <c r="A1232" i="2" s="1"/>
  <c r="E1232" i="2"/>
  <c r="D1233" i="2"/>
  <c r="A1233" i="2" s="1"/>
  <c r="E1233" i="2"/>
  <c r="D1234" i="2"/>
  <c r="E1234" i="2"/>
  <c r="D1235" i="2"/>
  <c r="A1235" i="2" s="1"/>
  <c r="E1235" i="2"/>
  <c r="D1236" i="2"/>
  <c r="A1236" i="2" s="1"/>
  <c r="E1236" i="2"/>
  <c r="D1237" i="2"/>
  <c r="A1237" i="2" s="1"/>
  <c r="E1237" i="2"/>
  <c r="D1238" i="2"/>
  <c r="E1238" i="2"/>
  <c r="D1239" i="2"/>
  <c r="A1239" i="2" s="1"/>
  <c r="E1239" i="2"/>
  <c r="D1240" i="2"/>
  <c r="A1240" i="2" s="1"/>
  <c r="E1240" i="2"/>
  <c r="D1241" i="2"/>
  <c r="A1241" i="2" s="1"/>
  <c r="E1241" i="2"/>
  <c r="D1242" i="2"/>
  <c r="E1242" i="2"/>
  <c r="D1243" i="2"/>
  <c r="A1243" i="2" s="1"/>
  <c r="E1243" i="2"/>
  <c r="D1244" i="2"/>
  <c r="A1244" i="2" s="1"/>
  <c r="E1244" i="2"/>
  <c r="D1245" i="2"/>
  <c r="A1245" i="2" s="1"/>
  <c r="E1245" i="2"/>
  <c r="D1246" i="2"/>
  <c r="E1246" i="2"/>
  <c r="D1247" i="2"/>
  <c r="A1247" i="2" s="1"/>
  <c r="E1247" i="2"/>
  <c r="D1248" i="2"/>
  <c r="A1248" i="2" s="1"/>
  <c r="E1248" i="2"/>
  <c r="D1249" i="2"/>
  <c r="A1249" i="2" s="1"/>
  <c r="E1249" i="2"/>
  <c r="D1250" i="2"/>
  <c r="E1250" i="2"/>
  <c r="D1251" i="2"/>
  <c r="A1251" i="2" s="1"/>
  <c r="E1251" i="2"/>
  <c r="D1252" i="2"/>
  <c r="A1252" i="2" s="1"/>
  <c r="E1252" i="2"/>
  <c r="D1253" i="2"/>
  <c r="A1253" i="2" s="1"/>
  <c r="E1253" i="2"/>
  <c r="D1254" i="2"/>
  <c r="E1254" i="2"/>
  <c r="D1255" i="2"/>
  <c r="A1255" i="2" s="1"/>
  <c r="E1255" i="2"/>
  <c r="D1256" i="2"/>
  <c r="A1256" i="2" s="1"/>
  <c r="E1256" i="2"/>
  <c r="D1257" i="2"/>
  <c r="A1257" i="2" s="1"/>
  <c r="E1257" i="2"/>
  <c r="D1258" i="2"/>
  <c r="E1258" i="2"/>
  <c r="D1259" i="2"/>
  <c r="A1259" i="2" s="1"/>
  <c r="E1259" i="2"/>
  <c r="D1260" i="2"/>
  <c r="A1260" i="2" s="1"/>
  <c r="E1260" i="2"/>
  <c r="D1261" i="2"/>
  <c r="A1261" i="2" s="1"/>
  <c r="E1261" i="2"/>
  <c r="D1262" i="2"/>
  <c r="E1262" i="2"/>
  <c r="D1263" i="2"/>
  <c r="A1263" i="2" s="1"/>
  <c r="E1263" i="2"/>
  <c r="D1264" i="2"/>
  <c r="A1264" i="2" s="1"/>
  <c r="E1264" i="2"/>
  <c r="D1265" i="2"/>
  <c r="A1265" i="2" s="1"/>
  <c r="E1265" i="2"/>
  <c r="D1266" i="2"/>
  <c r="E1266" i="2"/>
  <c r="D1267" i="2"/>
  <c r="A1267" i="2" s="1"/>
  <c r="E1267" i="2"/>
  <c r="D1268" i="2"/>
  <c r="A1268" i="2" s="1"/>
  <c r="E1268" i="2"/>
  <c r="D1269" i="2"/>
  <c r="A1269" i="2" s="1"/>
  <c r="E1269" i="2"/>
  <c r="D1270" i="2"/>
  <c r="E1270" i="2"/>
  <c r="D1271" i="2"/>
  <c r="A1271" i="2" s="1"/>
  <c r="E1271" i="2"/>
  <c r="D1272" i="2"/>
  <c r="A1272" i="2" s="1"/>
  <c r="E1272" i="2"/>
  <c r="D1273" i="2"/>
  <c r="A1273" i="2" s="1"/>
  <c r="E1273" i="2"/>
  <c r="D1274" i="2"/>
  <c r="E1274" i="2"/>
  <c r="D1275" i="2"/>
  <c r="A1275" i="2" s="1"/>
  <c r="E1275" i="2"/>
  <c r="D1276" i="2"/>
  <c r="A1276" i="2" s="1"/>
  <c r="E1276" i="2"/>
  <c r="D1277" i="2"/>
  <c r="A1277" i="2" s="1"/>
  <c r="E1277" i="2"/>
  <c r="D1278" i="2"/>
  <c r="E1278" i="2"/>
  <c r="D1279" i="2"/>
  <c r="A1279" i="2" s="1"/>
  <c r="E1279" i="2"/>
  <c r="D1280" i="2"/>
  <c r="A1280" i="2" s="1"/>
  <c r="E1280" i="2"/>
  <c r="D1281" i="2"/>
  <c r="A1281" i="2" s="1"/>
  <c r="E1281" i="2"/>
  <c r="D1282" i="2"/>
  <c r="E1282" i="2"/>
  <c r="D1283" i="2"/>
  <c r="A1283" i="2" s="1"/>
  <c r="E1283" i="2"/>
  <c r="D1284" i="2"/>
  <c r="A1284" i="2" s="1"/>
  <c r="E1284" i="2"/>
  <c r="D1285" i="2"/>
  <c r="A1285" i="2" s="1"/>
  <c r="E1285" i="2"/>
  <c r="D1286" i="2"/>
  <c r="E1286" i="2"/>
  <c r="D1287" i="2"/>
  <c r="A1287" i="2" s="1"/>
  <c r="E1287" i="2"/>
  <c r="D1288" i="2"/>
  <c r="A1288" i="2" s="1"/>
  <c r="E1288" i="2"/>
  <c r="D1289" i="2"/>
  <c r="A1289" i="2" s="1"/>
  <c r="E1289" i="2"/>
  <c r="D1290" i="2"/>
  <c r="E1290" i="2"/>
  <c r="D1291" i="2"/>
  <c r="A1291" i="2" s="1"/>
  <c r="E1291" i="2"/>
  <c r="D1292" i="2"/>
  <c r="A1292" i="2" s="1"/>
  <c r="E1292" i="2"/>
  <c r="D1293" i="2"/>
  <c r="A1293" i="2" s="1"/>
  <c r="E1293" i="2"/>
  <c r="D1294" i="2"/>
  <c r="E1294" i="2"/>
  <c r="D1295" i="2"/>
  <c r="A1295" i="2" s="1"/>
  <c r="E1295" i="2"/>
  <c r="D1296" i="2"/>
  <c r="A1296" i="2" s="1"/>
  <c r="E1296" i="2"/>
  <c r="D1297" i="2"/>
  <c r="A1297" i="2" s="1"/>
  <c r="E1297" i="2"/>
  <c r="D1298" i="2"/>
  <c r="E1298" i="2"/>
  <c r="D1299" i="2"/>
  <c r="A1299" i="2" s="1"/>
  <c r="E1299" i="2"/>
  <c r="D1300" i="2"/>
  <c r="A1300" i="2" s="1"/>
  <c r="E1300" i="2"/>
  <c r="D1301" i="2"/>
  <c r="A1301" i="2" s="1"/>
  <c r="E1301" i="2"/>
  <c r="D1302" i="2"/>
  <c r="E1302" i="2"/>
  <c r="D1303" i="2"/>
  <c r="A1303" i="2" s="1"/>
  <c r="E1303" i="2"/>
  <c r="D1304" i="2"/>
  <c r="A1304" i="2" s="1"/>
  <c r="E1304" i="2"/>
  <c r="D1305" i="2"/>
  <c r="A1305" i="2" s="1"/>
  <c r="E1305" i="2"/>
  <c r="D1306" i="2"/>
  <c r="E1306" i="2"/>
  <c r="D1307" i="2"/>
  <c r="A1307" i="2" s="1"/>
  <c r="E1307" i="2"/>
  <c r="D1308" i="2"/>
  <c r="A1308" i="2" s="1"/>
  <c r="E1308" i="2"/>
  <c r="D1309" i="2"/>
  <c r="A1309" i="2" s="1"/>
  <c r="E1309" i="2"/>
  <c r="D1310" i="2"/>
  <c r="E1310" i="2"/>
  <c r="D1311" i="2"/>
  <c r="A1311" i="2" s="1"/>
  <c r="E1311" i="2"/>
  <c r="D1312" i="2"/>
  <c r="A1312" i="2" s="1"/>
  <c r="E1312" i="2"/>
  <c r="D1313" i="2"/>
  <c r="A1313" i="2" s="1"/>
  <c r="E1313" i="2"/>
  <c r="D1314" i="2"/>
  <c r="E1314" i="2"/>
  <c r="D1315" i="2"/>
  <c r="A1315" i="2" s="1"/>
  <c r="E1315" i="2"/>
  <c r="D1316" i="2"/>
  <c r="A1316" i="2" s="1"/>
  <c r="E1316" i="2"/>
  <c r="D1317" i="2"/>
  <c r="A1317" i="2" s="1"/>
  <c r="E1317" i="2"/>
  <c r="D1318" i="2"/>
  <c r="E1318" i="2"/>
  <c r="D1319" i="2"/>
  <c r="A1319" i="2" s="1"/>
  <c r="E1319" i="2"/>
  <c r="D1320" i="2"/>
  <c r="A1320" i="2" s="1"/>
  <c r="E1320" i="2"/>
  <c r="D1321" i="2"/>
  <c r="A1321" i="2" s="1"/>
  <c r="E1321" i="2"/>
  <c r="D1322" i="2"/>
  <c r="E1322" i="2"/>
  <c r="D1323" i="2"/>
  <c r="A1323" i="2" s="1"/>
  <c r="E1323" i="2"/>
  <c r="D1324" i="2"/>
  <c r="A1324" i="2" s="1"/>
  <c r="E1324" i="2"/>
  <c r="D1325" i="2"/>
  <c r="A1325" i="2" s="1"/>
  <c r="E1325" i="2"/>
  <c r="D1326" i="2"/>
  <c r="E1326" i="2"/>
  <c r="D1327" i="2"/>
  <c r="A1327" i="2" s="1"/>
  <c r="E1327" i="2"/>
  <c r="D1328" i="2"/>
  <c r="A1328" i="2" s="1"/>
  <c r="E1328" i="2"/>
  <c r="D1329" i="2"/>
  <c r="A1329" i="2" s="1"/>
  <c r="E1329" i="2"/>
  <c r="D1330" i="2"/>
  <c r="E1330" i="2"/>
  <c r="D1331" i="2"/>
  <c r="A1331" i="2" s="1"/>
  <c r="E1331" i="2"/>
  <c r="D1332" i="2"/>
  <c r="A1332" i="2" s="1"/>
  <c r="E1332" i="2"/>
  <c r="D1333" i="2"/>
  <c r="A1333" i="2" s="1"/>
  <c r="E1333" i="2"/>
  <c r="D1334" i="2"/>
  <c r="E1334" i="2"/>
  <c r="D1335" i="2"/>
  <c r="A1335" i="2" s="1"/>
  <c r="E1335" i="2"/>
  <c r="D1336" i="2"/>
  <c r="A1336" i="2" s="1"/>
  <c r="E1336" i="2"/>
  <c r="D1337" i="2"/>
  <c r="A1337" i="2" s="1"/>
  <c r="E1337" i="2"/>
  <c r="D1338" i="2"/>
  <c r="E1338" i="2"/>
  <c r="D1339" i="2"/>
  <c r="A1339" i="2" s="1"/>
  <c r="E1339" i="2"/>
  <c r="D1340" i="2"/>
  <c r="A1340" i="2" s="1"/>
  <c r="E1340" i="2"/>
  <c r="D1341" i="2"/>
  <c r="A1341" i="2" s="1"/>
  <c r="E1341" i="2"/>
  <c r="D1342" i="2"/>
  <c r="E1342" i="2"/>
  <c r="D1343" i="2"/>
  <c r="A1343" i="2" s="1"/>
  <c r="E1343" i="2"/>
  <c r="D1344" i="2"/>
  <c r="A1344" i="2" s="1"/>
  <c r="E1344" i="2"/>
  <c r="D1345" i="2"/>
  <c r="A1345" i="2" s="1"/>
  <c r="E1345" i="2"/>
  <c r="D1346" i="2"/>
  <c r="E1346" i="2"/>
  <c r="D1347" i="2"/>
  <c r="A1347" i="2" s="1"/>
  <c r="E1347" i="2"/>
  <c r="D1348" i="2"/>
  <c r="A1348" i="2" s="1"/>
  <c r="E1348" i="2"/>
  <c r="D1349" i="2"/>
  <c r="A1349" i="2" s="1"/>
  <c r="E1349" i="2"/>
  <c r="D1350" i="2"/>
  <c r="E1350" i="2"/>
  <c r="D1351" i="2"/>
  <c r="A1351" i="2" s="1"/>
  <c r="E1351" i="2"/>
  <c r="D1352" i="2"/>
  <c r="A1352" i="2" s="1"/>
  <c r="E1352" i="2"/>
  <c r="D1353" i="2"/>
  <c r="A1353" i="2" s="1"/>
  <c r="E1353" i="2"/>
  <c r="D1354" i="2"/>
  <c r="E1354" i="2"/>
  <c r="D1355" i="2"/>
  <c r="A1355" i="2" s="1"/>
  <c r="E1355" i="2"/>
  <c r="D1356" i="2"/>
  <c r="A1356" i="2" s="1"/>
  <c r="E1356" i="2"/>
  <c r="D1357" i="2"/>
  <c r="A1357" i="2" s="1"/>
  <c r="E1357" i="2"/>
  <c r="D1358" i="2"/>
  <c r="E1358" i="2"/>
  <c r="D1359" i="2"/>
  <c r="A1359" i="2" s="1"/>
  <c r="E1359" i="2"/>
  <c r="D1360" i="2"/>
  <c r="A1360" i="2" s="1"/>
  <c r="E1360" i="2"/>
  <c r="D1361" i="2"/>
  <c r="A1361" i="2" s="1"/>
  <c r="E1361" i="2"/>
  <c r="D1362" i="2"/>
  <c r="E1362" i="2"/>
  <c r="D1363" i="2"/>
  <c r="A1363" i="2" s="1"/>
  <c r="E1363" i="2"/>
  <c r="D1364" i="2"/>
  <c r="A1364" i="2" s="1"/>
  <c r="E1364" i="2"/>
  <c r="D1365" i="2"/>
  <c r="A1365" i="2" s="1"/>
  <c r="E1365" i="2"/>
  <c r="D1366" i="2"/>
  <c r="E1366" i="2"/>
  <c r="D1367" i="2"/>
  <c r="A1367" i="2" s="1"/>
  <c r="E1367" i="2"/>
  <c r="D1368" i="2"/>
  <c r="A1368" i="2" s="1"/>
  <c r="E1368" i="2"/>
  <c r="D1369" i="2"/>
  <c r="A1369" i="2" s="1"/>
  <c r="E1369" i="2"/>
  <c r="D1370" i="2"/>
  <c r="E1370" i="2"/>
  <c r="D1371" i="2"/>
  <c r="A1371" i="2" s="1"/>
  <c r="E1371" i="2"/>
  <c r="D1372" i="2"/>
  <c r="A1372" i="2" s="1"/>
  <c r="E1372" i="2"/>
  <c r="D1373" i="2"/>
  <c r="A1373" i="2" s="1"/>
  <c r="E1373" i="2"/>
  <c r="D1374" i="2"/>
  <c r="E1374" i="2"/>
  <c r="D1375" i="2"/>
  <c r="A1375" i="2" s="1"/>
  <c r="E1375" i="2"/>
  <c r="D1376" i="2"/>
  <c r="A1376" i="2" s="1"/>
  <c r="E1376" i="2"/>
  <c r="D1377" i="2"/>
  <c r="A1377" i="2" s="1"/>
  <c r="E1377" i="2"/>
  <c r="D1378" i="2"/>
  <c r="E1378" i="2"/>
  <c r="D1379" i="2"/>
  <c r="A1379" i="2" s="1"/>
  <c r="E1379" i="2"/>
  <c r="D1380" i="2"/>
  <c r="A1380" i="2" s="1"/>
  <c r="E1380" i="2"/>
  <c r="D1381" i="2"/>
  <c r="A1381" i="2" s="1"/>
  <c r="E1381" i="2"/>
  <c r="D1382" i="2"/>
  <c r="E1382" i="2"/>
  <c r="D1383" i="2"/>
  <c r="A1383" i="2" s="1"/>
  <c r="E1383" i="2"/>
  <c r="D1384" i="2"/>
  <c r="A1384" i="2" s="1"/>
  <c r="E1384" i="2"/>
  <c r="D1385" i="2"/>
  <c r="A1385" i="2" s="1"/>
  <c r="E1385" i="2"/>
  <c r="D1386" i="2"/>
  <c r="E1386" i="2"/>
  <c r="D1387" i="2"/>
  <c r="A1387" i="2" s="1"/>
  <c r="E1387" i="2"/>
  <c r="D1388" i="2"/>
  <c r="A1388" i="2" s="1"/>
  <c r="E1388" i="2"/>
  <c r="D1389" i="2"/>
  <c r="A1389" i="2" s="1"/>
  <c r="E1389" i="2"/>
  <c r="D1390" i="2"/>
  <c r="E1390" i="2"/>
  <c r="D1391" i="2"/>
  <c r="A1391" i="2" s="1"/>
  <c r="E1391" i="2"/>
  <c r="D1392" i="2"/>
  <c r="A1392" i="2" s="1"/>
  <c r="E1392" i="2"/>
  <c r="D1393" i="2"/>
  <c r="A1393" i="2" s="1"/>
  <c r="E1393" i="2"/>
  <c r="E1394" i="2"/>
  <c r="A1394" i="2" s="1"/>
  <c r="E1395" i="2"/>
  <c r="A1395" i="2" s="1"/>
  <c r="E1396" i="2"/>
  <c r="A1396" i="2" s="1"/>
  <c r="E1397" i="2"/>
  <c r="A1397" i="2" s="1"/>
  <c r="E1398" i="2"/>
  <c r="A1398" i="2" s="1"/>
  <c r="E1399" i="2"/>
  <c r="A1399" i="2" s="1"/>
  <c r="E1400" i="2"/>
  <c r="A1400" i="2" s="1"/>
  <c r="E1401" i="2"/>
  <c r="A1401" i="2" s="1"/>
  <c r="E1402" i="2"/>
  <c r="A1402" i="2" s="1"/>
  <c r="E1403" i="2"/>
  <c r="A1403" i="2" s="1"/>
  <c r="E1404" i="2"/>
  <c r="A1404" i="2" s="1"/>
  <c r="E1405" i="2"/>
  <c r="A1405" i="2" s="1"/>
  <c r="E1406" i="2"/>
  <c r="A1406" i="2" s="1"/>
  <c r="E1407" i="2"/>
  <c r="A1407" i="2" s="1"/>
  <c r="E1408" i="2"/>
  <c r="A1408" i="2" s="1"/>
  <c r="E1409" i="2"/>
  <c r="A1409" i="2" s="1"/>
  <c r="E1410" i="2"/>
  <c r="A1410" i="2" s="1"/>
  <c r="E1411" i="2"/>
  <c r="A1411" i="2" s="1"/>
  <c r="E1412" i="2"/>
  <c r="A1412" i="2" s="1"/>
  <c r="E1413" i="2"/>
  <c r="A1413" i="2" s="1"/>
  <c r="E1414" i="2"/>
  <c r="A1414" i="2" s="1"/>
  <c r="E1415" i="2"/>
  <c r="A1415" i="2" s="1"/>
  <c r="E1416" i="2"/>
  <c r="A1416" i="2" s="1"/>
  <c r="E1417" i="2"/>
  <c r="A1417" i="2" s="1"/>
  <c r="E1418" i="2"/>
  <c r="A1418" i="2" s="1"/>
  <c r="E1419" i="2"/>
  <c r="A1419" i="2" s="1"/>
  <c r="E1420" i="2"/>
  <c r="A1420" i="2" s="1"/>
  <c r="E1421" i="2"/>
  <c r="A1421" i="2" s="1"/>
  <c r="E1422" i="2"/>
  <c r="A1422" i="2" s="1"/>
  <c r="E1423" i="2"/>
  <c r="A1423" i="2" s="1"/>
  <c r="E1424" i="2"/>
  <c r="A1424" i="2" s="1"/>
  <c r="E1425" i="2"/>
  <c r="A1425" i="2" s="1"/>
  <c r="E1426" i="2"/>
  <c r="A1426" i="2" s="1"/>
  <c r="E1427" i="2"/>
  <c r="A1427" i="2" s="1"/>
  <c r="E1428" i="2"/>
  <c r="A1428" i="2" s="1"/>
  <c r="E1429" i="2"/>
  <c r="A1429" i="2" s="1"/>
  <c r="E1430" i="2"/>
  <c r="A1430" i="2" s="1"/>
  <c r="E1431" i="2"/>
  <c r="A1431" i="2" s="1"/>
  <c r="E1432" i="2"/>
  <c r="A1432" i="2" s="1"/>
  <c r="E1433" i="2"/>
  <c r="A1433" i="2" s="1"/>
  <c r="E1434" i="2"/>
  <c r="A1434" i="2" s="1"/>
  <c r="E1435" i="2"/>
  <c r="A1435" i="2" s="1"/>
  <c r="E1436" i="2"/>
  <c r="A1436" i="2" s="1"/>
  <c r="E1437" i="2"/>
  <c r="A1437" i="2" s="1"/>
  <c r="E1438" i="2"/>
  <c r="A1438" i="2" s="1"/>
  <c r="E1439" i="2"/>
  <c r="A1439" i="2" s="1"/>
  <c r="E1440" i="2"/>
  <c r="A1440" i="2" s="1"/>
  <c r="E1441" i="2"/>
  <c r="A1441" i="2" s="1"/>
  <c r="E1442" i="2"/>
  <c r="A1442" i="2" s="1"/>
  <c r="E1443" i="2"/>
  <c r="A1443" i="2" s="1"/>
  <c r="E1444" i="2"/>
  <c r="A1444" i="2" s="1"/>
  <c r="E1445" i="2"/>
  <c r="A1445" i="2" s="1"/>
  <c r="E1446" i="2"/>
  <c r="A1446" i="2" s="1"/>
  <c r="E1447" i="2"/>
  <c r="A1447" i="2" s="1"/>
  <c r="E1448" i="2"/>
  <c r="A1448" i="2" s="1"/>
  <c r="E1449" i="2"/>
  <c r="A1449" i="2" s="1"/>
  <c r="E1450" i="2"/>
  <c r="A1450" i="2" s="1"/>
  <c r="E1451" i="2"/>
  <c r="A1451" i="2" s="1"/>
  <c r="E1452" i="2"/>
  <c r="A1452" i="2" s="1"/>
  <c r="E1453" i="2"/>
  <c r="A1453" i="2" s="1"/>
  <c r="E1454" i="2"/>
  <c r="A1454" i="2" s="1"/>
  <c r="E1455" i="2"/>
  <c r="A1455" i="2" s="1"/>
  <c r="E1456" i="2"/>
  <c r="A1456" i="2" s="1"/>
  <c r="E1457" i="2"/>
  <c r="A1457" i="2" s="1"/>
  <c r="E1458" i="2"/>
  <c r="A1458" i="2" s="1"/>
  <c r="E1459" i="2"/>
  <c r="A1459" i="2" s="1"/>
  <c r="E1460" i="2"/>
  <c r="A1460" i="2" s="1"/>
  <c r="E1461" i="2"/>
  <c r="A1461" i="2" s="1"/>
  <c r="E1462" i="2"/>
  <c r="A1462" i="2" s="1"/>
  <c r="E1463" i="2"/>
  <c r="A1463" i="2" s="1"/>
  <c r="E1464" i="2"/>
  <c r="A1464" i="2" s="1"/>
  <c r="E1465" i="2"/>
  <c r="A1465" i="2" s="1"/>
  <c r="E1466" i="2"/>
  <c r="A1466" i="2" s="1"/>
  <c r="E1467" i="2"/>
  <c r="A1467" i="2" s="1"/>
  <c r="E1468" i="2"/>
  <c r="A1468" i="2" s="1"/>
  <c r="E1469" i="2"/>
  <c r="A1469" i="2" s="1"/>
  <c r="E1470" i="2"/>
  <c r="A1470" i="2" s="1"/>
  <c r="E1471" i="2"/>
  <c r="A1471" i="2" s="1"/>
  <c r="E1472" i="2"/>
  <c r="A1472" i="2" s="1"/>
  <c r="E1473" i="2"/>
  <c r="A1473" i="2" s="1"/>
  <c r="E1474" i="2"/>
  <c r="A1474" i="2" s="1"/>
  <c r="E1475" i="2"/>
  <c r="A1475" i="2" s="1"/>
  <c r="E1476" i="2"/>
  <c r="A1476" i="2" s="1"/>
  <c r="E1477" i="2"/>
  <c r="A1477" i="2" s="1"/>
  <c r="E1478" i="2"/>
  <c r="A1478" i="2" s="1"/>
  <c r="E1479" i="2"/>
  <c r="A1479" i="2" s="1"/>
  <c r="E1480" i="2"/>
  <c r="A1480" i="2" s="1"/>
  <c r="E1481" i="2"/>
  <c r="A1481" i="2" s="1"/>
  <c r="E1482" i="2"/>
  <c r="A1482" i="2" s="1"/>
  <c r="E1483" i="2"/>
  <c r="A1483" i="2" s="1"/>
  <c r="E1484" i="2"/>
  <c r="A1484" i="2" s="1"/>
  <c r="E1485" i="2"/>
  <c r="A1485" i="2" s="1"/>
  <c r="E1486" i="2"/>
  <c r="A1486" i="2" s="1"/>
  <c r="E1487" i="2"/>
  <c r="A1487" i="2" s="1"/>
  <c r="E1488" i="2"/>
  <c r="A1488" i="2" s="1"/>
  <c r="E1489" i="2"/>
  <c r="A1489" i="2" s="1"/>
  <c r="E1490" i="2"/>
  <c r="A1490" i="2" s="1"/>
  <c r="E1491" i="2"/>
  <c r="A1491" i="2" s="1"/>
  <c r="E1492" i="2"/>
  <c r="A1492" i="2" s="1"/>
  <c r="E1493" i="2"/>
  <c r="A1493" i="2" s="1"/>
  <c r="E1494" i="2"/>
  <c r="A1494" i="2" s="1"/>
  <c r="E1495" i="2"/>
  <c r="A1495" i="2" s="1"/>
  <c r="E1496" i="2"/>
  <c r="A1496" i="2" s="1"/>
  <c r="E1497" i="2"/>
  <c r="A1497" i="2" s="1"/>
  <c r="E1498" i="2"/>
  <c r="A1498" i="2" s="1"/>
  <c r="E1499" i="2"/>
  <c r="A1499" i="2" s="1"/>
  <c r="E1500" i="2"/>
  <c r="A1500" i="2" s="1"/>
  <c r="E1501" i="2"/>
  <c r="A1501" i="2" s="1"/>
  <c r="E1502" i="2"/>
  <c r="A1502" i="2" s="1"/>
  <c r="E1503" i="2"/>
  <c r="A1503" i="2" s="1"/>
  <c r="E1504" i="2"/>
  <c r="A1504" i="2" s="1"/>
  <c r="E1505" i="2"/>
  <c r="A1505" i="2" s="1"/>
  <c r="E1506" i="2"/>
  <c r="A1506" i="2" s="1"/>
  <c r="E1507" i="2"/>
  <c r="A1507" i="2" s="1"/>
  <c r="E1508" i="2"/>
  <c r="A1508" i="2" s="1"/>
  <c r="E1509" i="2"/>
  <c r="A1509" i="2" s="1"/>
  <c r="E1510" i="2"/>
  <c r="A1510" i="2" s="1"/>
  <c r="E1511" i="2"/>
  <c r="A1511" i="2" s="1"/>
  <c r="E1512" i="2"/>
  <c r="A1512" i="2" s="1"/>
  <c r="E1513" i="2"/>
  <c r="A1513" i="2" s="1"/>
  <c r="E1514" i="2"/>
  <c r="A1514" i="2" s="1"/>
  <c r="E1515" i="2"/>
  <c r="A1515" i="2" s="1"/>
  <c r="E1516" i="2"/>
  <c r="A1516" i="2" s="1"/>
  <c r="E1517" i="2"/>
  <c r="A1517" i="2" s="1"/>
  <c r="E1518" i="2"/>
  <c r="A1518" i="2" s="1"/>
  <c r="E1519" i="2"/>
  <c r="A1519" i="2" s="1"/>
  <c r="E1520" i="2"/>
  <c r="A1520" i="2" s="1"/>
  <c r="E1521" i="2"/>
  <c r="A1521" i="2" s="1"/>
  <c r="E1522" i="2"/>
  <c r="A1522" i="2" s="1"/>
  <c r="E1523" i="2"/>
  <c r="A1523" i="2" s="1"/>
  <c r="E1524" i="2"/>
  <c r="A1524" i="2" s="1"/>
  <c r="E1525" i="2"/>
  <c r="A1525" i="2" s="1"/>
  <c r="E1526" i="2"/>
  <c r="A1526" i="2" s="1"/>
  <c r="E1527" i="2"/>
  <c r="A1527" i="2" s="1"/>
  <c r="E1528" i="2"/>
  <c r="A1528" i="2" s="1"/>
  <c r="E1529" i="2"/>
  <c r="A1529" i="2" s="1"/>
  <c r="E1530" i="2"/>
  <c r="A1530" i="2" s="1"/>
  <c r="E1531" i="2"/>
  <c r="A1531" i="2" s="1"/>
  <c r="E1532" i="2"/>
  <c r="A1532" i="2" s="1"/>
  <c r="E1533" i="2"/>
  <c r="A1533" i="2" s="1"/>
  <c r="E1534" i="2"/>
  <c r="A1534" i="2" s="1"/>
  <c r="E1535" i="2"/>
  <c r="A1535" i="2" s="1"/>
  <c r="E1536" i="2"/>
  <c r="A1536" i="2" s="1"/>
  <c r="E1537" i="2"/>
  <c r="A1537" i="2" s="1"/>
  <c r="E1538" i="2"/>
  <c r="A1538" i="2" s="1"/>
  <c r="E1539" i="2"/>
  <c r="A1539" i="2" s="1"/>
  <c r="E1540" i="2"/>
  <c r="A1540" i="2" s="1"/>
  <c r="E1541" i="2"/>
  <c r="A1541" i="2" s="1"/>
  <c r="E1542" i="2"/>
  <c r="A1542" i="2" s="1"/>
  <c r="E1543" i="2"/>
  <c r="A1543" i="2" s="1"/>
  <c r="E1544" i="2"/>
  <c r="A1544" i="2" s="1"/>
  <c r="E1545" i="2"/>
  <c r="A1545" i="2" s="1"/>
  <c r="E1546" i="2"/>
  <c r="A1546" i="2" s="1"/>
  <c r="E1547" i="2"/>
  <c r="A1547" i="2" s="1"/>
  <c r="E1548" i="2"/>
  <c r="A1548" i="2" s="1"/>
  <c r="E1549" i="2"/>
  <c r="A1549" i="2" s="1"/>
  <c r="E1550" i="2"/>
  <c r="A1550" i="2" s="1"/>
  <c r="E1551" i="2"/>
  <c r="A1551" i="2" s="1"/>
  <c r="E1552" i="2"/>
  <c r="A1552" i="2" s="1"/>
  <c r="E1553" i="2"/>
  <c r="A1553" i="2" s="1"/>
  <c r="E1554" i="2"/>
  <c r="A1554" i="2" s="1"/>
  <c r="E1555" i="2"/>
  <c r="A1555" i="2" s="1"/>
  <c r="E1556" i="2"/>
  <c r="A1556" i="2" s="1"/>
  <c r="E1557" i="2"/>
  <c r="A1557" i="2" s="1"/>
  <c r="E1558" i="2"/>
  <c r="A1558" i="2" s="1"/>
  <c r="E1559" i="2"/>
  <c r="A1559" i="2" s="1"/>
  <c r="E1560" i="2"/>
  <c r="A1560" i="2" s="1"/>
  <c r="E1561" i="2"/>
  <c r="A1561" i="2" s="1"/>
  <c r="E1562" i="2"/>
  <c r="A1562" i="2" s="1"/>
  <c r="E1563" i="2"/>
  <c r="A1563" i="2" s="1"/>
  <c r="E1564" i="2"/>
  <c r="A1564" i="2" s="1"/>
  <c r="E1565" i="2"/>
  <c r="A1565" i="2" s="1"/>
  <c r="E1566" i="2"/>
  <c r="A1566" i="2" s="1"/>
  <c r="E1567" i="2"/>
  <c r="A1567" i="2" s="1"/>
  <c r="E1568" i="2"/>
  <c r="A1568" i="2" s="1"/>
  <c r="E1569" i="2"/>
  <c r="A1569" i="2" s="1"/>
  <c r="E1570" i="2"/>
  <c r="A1570" i="2" s="1"/>
  <c r="E1571" i="2"/>
  <c r="A1571" i="2" s="1"/>
  <c r="E1572" i="2"/>
  <c r="A1572" i="2" s="1"/>
  <c r="E1573" i="2"/>
  <c r="A1573" i="2" s="1"/>
  <c r="E1574" i="2"/>
  <c r="A1574" i="2" s="1"/>
  <c r="E1575" i="2"/>
  <c r="A1575" i="2" s="1"/>
  <c r="E1576" i="2"/>
  <c r="A1576" i="2" s="1"/>
  <c r="E1577" i="2"/>
  <c r="A1577" i="2" s="1"/>
  <c r="E1578" i="2"/>
  <c r="A1578" i="2" s="1"/>
  <c r="E1579" i="2"/>
  <c r="A1579" i="2" s="1"/>
  <c r="E1580" i="2"/>
  <c r="A1580" i="2" s="1"/>
  <c r="E1581" i="2"/>
  <c r="A1581" i="2" s="1"/>
  <c r="E1582" i="2"/>
  <c r="A1582" i="2" s="1"/>
  <c r="E1583" i="2"/>
  <c r="A1583" i="2" s="1"/>
  <c r="E1584" i="2"/>
  <c r="A1584" i="2" s="1"/>
  <c r="E1585" i="2"/>
  <c r="A1585" i="2" s="1"/>
  <c r="E1586" i="2"/>
  <c r="A1586" i="2" s="1"/>
  <c r="E1587" i="2"/>
  <c r="A1587" i="2" s="1"/>
  <c r="E1588" i="2"/>
  <c r="A1588" i="2" s="1"/>
  <c r="E1589" i="2"/>
  <c r="A1589" i="2" s="1"/>
  <c r="E1590" i="2"/>
  <c r="A1590" i="2" s="1"/>
  <c r="E1591" i="2"/>
  <c r="A1591" i="2" s="1"/>
  <c r="E1592" i="2"/>
  <c r="A1592" i="2" s="1"/>
  <c r="E1593" i="2"/>
  <c r="A1593" i="2" s="1"/>
  <c r="E1594" i="2"/>
  <c r="A1594" i="2" s="1"/>
  <c r="E1595" i="2"/>
  <c r="A1595" i="2" s="1"/>
  <c r="E1596" i="2"/>
  <c r="A1596" i="2" s="1"/>
  <c r="E1597" i="2"/>
  <c r="A1597" i="2" s="1"/>
  <c r="E1598" i="2"/>
  <c r="A1598" i="2" s="1"/>
  <c r="E1599" i="2"/>
  <c r="A1599" i="2" s="1"/>
  <c r="E1600" i="2"/>
  <c r="A1600" i="2" s="1"/>
  <c r="E1601" i="2"/>
  <c r="A1601" i="2" s="1"/>
  <c r="E1602" i="2"/>
  <c r="A1602" i="2" s="1"/>
  <c r="E1603" i="2"/>
  <c r="A1603" i="2" s="1"/>
  <c r="E1604" i="2"/>
  <c r="A1604" i="2" s="1"/>
  <c r="E1605" i="2"/>
  <c r="A1605" i="2" s="1"/>
  <c r="E1606" i="2"/>
  <c r="A1606" i="2" s="1"/>
  <c r="E1607" i="2"/>
  <c r="A1607" i="2" s="1"/>
  <c r="E1608" i="2"/>
  <c r="A1608" i="2" s="1"/>
  <c r="E1609" i="2"/>
  <c r="A1609" i="2" s="1"/>
  <c r="E1610" i="2"/>
  <c r="A1610" i="2" s="1"/>
  <c r="E1611" i="2"/>
  <c r="A1611" i="2" s="1"/>
  <c r="E1612" i="2"/>
  <c r="A1612" i="2" s="1"/>
  <c r="E1613" i="2"/>
  <c r="A1613" i="2" s="1"/>
  <c r="E1614" i="2"/>
  <c r="A1614" i="2" s="1"/>
  <c r="E1615" i="2"/>
  <c r="A1615" i="2" s="1"/>
  <c r="E1616" i="2"/>
  <c r="A1616" i="2" s="1"/>
  <c r="E1617" i="2"/>
  <c r="A1617" i="2" s="1"/>
  <c r="E1618" i="2"/>
  <c r="A1618" i="2" s="1"/>
  <c r="E1619" i="2"/>
  <c r="A1619" i="2" s="1"/>
  <c r="E1620" i="2"/>
  <c r="A1620" i="2" s="1"/>
  <c r="E1621" i="2"/>
  <c r="A1621" i="2" s="1"/>
  <c r="E1622" i="2"/>
  <c r="A1622" i="2" s="1"/>
  <c r="E1623" i="2"/>
  <c r="A1623" i="2" s="1"/>
  <c r="E1624" i="2"/>
  <c r="A1624" i="2" s="1"/>
  <c r="E1625" i="2"/>
  <c r="A1625" i="2" s="1"/>
  <c r="E1626" i="2"/>
  <c r="A1626" i="2" s="1"/>
  <c r="E1627" i="2"/>
  <c r="A1627" i="2" s="1"/>
  <c r="E1628" i="2"/>
  <c r="A1628" i="2" s="1"/>
  <c r="E1629" i="2"/>
  <c r="A1629" i="2" s="1"/>
  <c r="E1630" i="2"/>
  <c r="A1630" i="2" s="1"/>
  <c r="E1631" i="2"/>
  <c r="A1631" i="2" s="1"/>
  <c r="E1632" i="2"/>
  <c r="A1632" i="2" s="1"/>
  <c r="E1633" i="2"/>
  <c r="A1633" i="2" s="1"/>
  <c r="E1634" i="2"/>
  <c r="A1634" i="2" s="1"/>
  <c r="E1635" i="2"/>
  <c r="A1635" i="2" s="1"/>
  <c r="E1636" i="2"/>
  <c r="A1636" i="2" s="1"/>
  <c r="E1637" i="2"/>
  <c r="A1637" i="2" s="1"/>
  <c r="E1638" i="2"/>
  <c r="A1638" i="2" s="1"/>
  <c r="E1639" i="2"/>
  <c r="A1639" i="2" s="1"/>
  <c r="E1640" i="2"/>
  <c r="A1640" i="2" s="1"/>
  <c r="E1641" i="2"/>
  <c r="A1641" i="2" s="1"/>
  <c r="E1642" i="2"/>
  <c r="A1642" i="2" s="1"/>
  <c r="E1643" i="2"/>
  <c r="A1643" i="2" s="1"/>
  <c r="E1644" i="2"/>
  <c r="A1644" i="2" s="1"/>
  <c r="E1645" i="2"/>
  <c r="A1645" i="2" s="1"/>
  <c r="E1646" i="2"/>
  <c r="A1646" i="2" s="1"/>
  <c r="E1647" i="2"/>
  <c r="A1647" i="2" s="1"/>
  <c r="E1648" i="2"/>
  <c r="A1648" i="2" s="1"/>
  <c r="E1649" i="2"/>
  <c r="A1649" i="2" s="1"/>
  <c r="E1650" i="2"/>
  <c r="A1650" i="2" s="1"/>
  <c r="E1651" i="2"/>
  <c r="A1651" i="2" s="1"/>
  <c r="E1652" i="2"/>
  <c r="A1652" i="2" s="1"/>
  <c r="E1653" i="2"/>
  <c r="A1653" i="2" s="1"/>
  <c r="E1654" i="2"/>
  <c r="A1654" i="2" s="1"/>
  <c r="E1655" i="2"/>
  <c r="A1655" i="2" s="1"/>
  <c r="E1656" i="2"/>
  <c r="A1656" i="2" s="1"/>
  <c r="E1657" i="2"/>
  <c r="A1657" i="2" s="1"/>
  <c r="E1658" i="2"/>
  <c r="A1658" i="2" s="1"/>
  <c r="E1659" i="2"/>
  <c r="A1659" i="2" s="1"/>
  <c r="E1660" i="2"/>
  <c r="A1660" i="2" s="1"/>
  <c r="E1661" i="2"/>
  <c r="A1661" i="2" s="1"/>
  <c r="E1662" i="2"/>
  <c r="A1662" i="2" s="1"/>
  <c r="E1663" i="2"/>
  <c r="A1663" i="2" s="1"/>
  <c r="E1664" i="2"/>
  <c r="A1664" i="2" s="1"/>
  <c r="E1665" i="2"/>
  <c r="A1665" i="2" s="1"/>
  <c r="E1666" i="2"/>
  <c r="A1666" i="2" s="1"/>
  <c r="E1667" i="2"/>
  <c r="A1667" i="2" s="1"/>
  <c r="E1668" i="2"/>
  <c r="A1668" i="2" s="1"/>
  <c r="E1669" i="2"/>
  <c r="A1669" i="2" s="1"/>
  <c r="E1670" i="2"/>
  <c r="A1670" i="2" s="1"/>
  <c r="E1671" i="2"/>
  <c r="A1671" i="2" s="1"/>
  <c r="E1672" i="2"/>
  <c r="A1672" i="2" s="1"/>
  <c r="E1673" i="2"/>
  <c r="A1673" i="2" s="1"/>
  <c r="E1674" i="2"/>
  <c r="A1674" i="2" s="1"/>
  <c r="E1675" i="2"/>
  <c r="A1675" i="2" s="1"/>
  <c r="E1676" i="2"/>
  <c r="A1676" i="2" s="1"/>
  <c r="E1677" i="2"/>
  <c r="A1677" i="2" s="1"/>
  <c r="E1678" i="2"/>
  <c r="A1678" i="2" s="1"/>
  <c r="E1679" i="2"/>
  <c r="A1679" i="2" s="1"/>
  <c r="E1680" i="2"/>
  <c r="A1680" i="2" s="1"/>
  <c r="E1681" i="2"/>
  <c r="A1681" i="2" s="1"/>
  <c r="E1682" i="2"/>
  <c r="A1682" i="2" s="1"/>
  <c r="E1683" i="2"/>
  <c r="A1683" i="2" s="1"/>
  <c r="E1684" i="2"/>
  <c r="A1684" i="2" s="1"/>
  <c r="E1685" i="2"/>
  <c r="A1685" i="2" s="1"/>
  <c r="E1686" i="2"/>
  <c r="A1686" i="2" s="1"/>
  <c r="E1687" i="2"/>
  <c r="A1687" i="2" s="1"/>
  <c r="E1688" i="2"/>
  <c r="A1688" i="2" s="1"/>
  <c r="E1689" i="2"/>
  <c r="A1689" i="2" s="1"/>
  <c r="E1690" i="2"/>
  <c r="A1690" i="2" s="1"/>
  <c r="E1691" i="2"/>
  <c r="A1691" i="2" s="1"/>
  <c r="E1692" i="2"/>
  <c r="A1692" i="2" s="1"/>
  <c r="E1693" i="2"/>
  <c r="A1693" i="2" s="1"/>
  <c r="E1694" i="2"/>
  <c r="A1694" i="2" s="1"/>
  <c r="E1695" i="2"/>
  <c r="A1695" i="2" s="1"/>
  <c r="E1696" i="2"/>
  <c r="A1696" i="2" s="1"/>
  <c r="E1697" i="2"/>
  <c r="A1697" i="2" s="1"/>
  <c r="E1698" i="2"/>
  <c r="A1698" i="2" s="1"/>
  <c r="E1699" i="2"/>
  <c r="A1699" i="2" s="1"/>
  <c r="E1700" i="2"/>
  <c r="A1700" i="2" s="1"/>
  <c r="E1701" i="2"/>
  <c r="A1701" i="2" s="1"/>
  <c r="E1702" i="2"/>
  <c r="A1702" i="2" s="1"/>
  <c r="E1703" i="2"/>
  <c r="A1703" i="2" s="1"/>
  <c r="E1704" i="2"/>
  <c r="A1704" i="2" s="1"/>
  <c r="E1705" i="2"/>
  <c r="A1705" i="2" s="1"/>
  <c r="E1706" i="2"/>
  <c r="A1706" i="2" s="1"/>
  <c r="E1707" i="2"/>
  <c r="A1707" i="2" s="1"/>
  <c r="E1708" i="2"/>
  <c r="A1708" i="2" s="1"/>
  <c r="E1709" i="2"/>
  <c r="A1709" i="2" s="1"/>
  <c r="E1710" i="2"/>
  <c r="A1710" i="2" s="1"/>
  <c r="E1711" i="2"/>
  <c r="A1711" i="2" s="1"/>
  <c r="E1712" i="2"/>
  <c r="A1712" i="2" s="1"/>
  <c r="E1713" i="2"/>
  <c r="A1713" i="2" s="1"/>
  <c r="E1714" i="2"/>
  <c r="A1714" i="2" s="1"/>
  <c r="E1715" i="2"/>
  <c r="A1715" i="2" s="1"/>
  <c r="E1716" i="2"/>
  <c r="A1716" i="2" s="1"/>
  <c r="E1717" i="2"/>
  <c r="A1717" i="2" s="1"/>
  <c r="E1718" i="2"/>
  <c r="A1718" i="2" s="1"/>
  <c r="E1719" i="2"/>
  <c r="A1719" i="2" s="1"/>
  <c r="E1720" i="2"/>
  <c r="A1720" i="2" s="1"/>
  <c r="E1721" i="2"/>
  <c r="A1721" i="2" s="1"/>
  <c r="E1722" i="2"/>
  <c r="A1722" i="2" s="1"/>
  <c r="E1723" i="2"/>
  <c r="A1723" i="2" s="1"/>
  <c r="E1724" i="2"/>
  <c r="A1724" i="2" s="1"/>
  <c r="E1725" i="2"/>
  <c r="A1725" i="2" s="1"/>
  <c r="E1726" i="2"/>
  <c r="A1726" i="2" s="1"/>
  <c r="E1727" i="2"/>
  <c r="A1727" i="2" s="1"/>
  <c r="E1728" i="2"/>
  <c r="A1728" i="2" s="1"/>
  <c r="E1729" i="2"/>
  <c r="A1729" i="2" s="1"/>
  <c r="E1730" i="2"/>
  <c r="A1730" i="2" s="1"/>
  <c r="E1731" i="2"/>
  <c r="A1731" i="2" s="1"/>
  <c r="E1732" i="2"/>
  <c r="A1732" i="2" s="1"/>
  <c r="E1733" i="2"/>
  <c r="A1733" i="2" s="1"/>
  <c r="E1734" i="2"/>
  <c r="A1734" i="2" s="1"/>
  <c r="E1735" i="2"/>
  <c r="A1735" i="2" s="1"/>
  <c r="E1736" i="2"/>
  <c r="A1736" i="2" s="1"/>
  <c r="E1737" i="2"/>
  <c r="A1737" i="2" s="1"/>
  <c r="E1738" i="2"/>
  <c r="A1738" i="2" s="1"/>
  <c r="E1739" i="2"/>
  <c r="A1739" i="2" s="1"/>
  <c r="D1740" i="2"/>
  <c r="A1740" i="2" s="1"/>
  <c r="E1740" i="2"/>
  <c r="D1741" i="2"/>
  <c r="A1741" i="2" s="1"/>
  <c r="E1741" i="2"/>
  <c r="D1742" i="2"/>
  <c r="A1742" i="2" s="1"/>
  <c r="E1742" i="2"/>
  <c r="D1743" i="2"/>
  <c r="E1743" i="2"/>
  <c r="D1744" i="2"/>
  <c r="A1744" i="2" s="1"/>
  <c r="E1744" i="2"/>
  <c r="D1745" i="2"/>
  <c r="A1745" i="2" s="1"/>
  <c r="E1745" i="2"/>
  <c r="D1746" i="2"/>
  <c r="A1746" i="2" s="1"/>
  <c r="E1746" i="2"/>
  <c r="D1747" i="2"/>
  <c r="E1747" i="2"/>
  <c r="D1748" i="2"/>
  <c r="A1748" i="2" s="1"/>
  <c r="E1748" i="2"/>
  <c r="D1749" i="2"/>
  <c r="A1749" i="2" s="1"/>
  <c r="E1749" i="2"/>
  <c r="D1750" i="2"/>
  <c r="A1750" i="2" s="1"/>
  <c r="E1750" i="2"/>
  <c r="D1751" i="2"/>
  <c r="E1751" i="2"/>
  <c r="D1752" i="2"/>
  <c r="A1752" i="2" s="1"/>
  <c r="E1752" i="2"/>
  <c r="D1753" i="2"/>
  <c r="A1753" i="2" s="1"/>
  <c r="E1753" i="2"/>
  <c r="D1754" i="2"/>
  <c r="A1754" i="2" s="1"/>
  <c r="E1754" i="2"/>
  <c r="D1755" i="2"/>
  <c r="E1755" i="2"/>
  <c r="D1756" i="2"/>
  <c r="A1756" i="2" s="1"/>
  <c r="E1756" i="2"/>
  <c r="D1757" i="2"/>
  <c r="A1757" i="2" s="1"/>
  <c r="E1757" i="2"/>
  <c r="D1758" i="2"/>
  <c r="A1758" i="2" s="1"/>
  <c r="E1758" i="2"/>
  <c r="D1759" i="2"/>
  <c r="E1759" i="2"/>
  <c r="D1760" i="2"/>
  <c r="A1760" i="2" s="1"/>
  <c r="E1760" i="2"/>
  <c r="D1761" i="2"/>
  <c r="A1761" i="2" s="1"/>
  <c r="E1761" i="2"/>
  <c r="D1762" i="2"/>
  <c r="A1762" i="2" s="1"/>
  <c r="E1762" i="2"/>
  <c r="D1763" i="2"/>
  <c r="E1763" i="2"/>
  <c r="D1764" i="2"/>
  <c r="A1764" i="2" s="1"/>
  <c r="E1764" i="2"/>
  <c r="D1765" i="2"/>
  <c r="A1765" i="2" s="1"/>
  <c r="E1765" i="2"/>
  <c r="D1766" i="2"/>
  <c r="A1766" i="2" s="1"/>
  <c r="E1766" i="2"/>
  <c r="D1767" i="2"/>
  <c r="E1767" i="2"/>
  <c r="D1768" i="2"/>
  <c r="A1768" i="2" s="1"/>
  <c r="E1768" i="2"/>
  <c r="D1769" i="2"/>
  <c r="A1769" i="2" s="1"/>
  <c r="E1769" i="2"/>
  <c r="D1770" i="2"/>
  <c r="A1770" i="2" s="1"/>
  <c r="E1770" i="2"/>
  <c r="D1771" i="2"/>
  <c r="E1771" i="2"/>
  <c r="D1772" i="2"/>
  <c r="A1772" i="2" s="1"/>
  <c r="E1772" i="2"/>
  <c r="D1773" i="2"/>
  <c r="A1773" i="2" s="1"/>
  <c r="E1773" i="2"/>
  <c r="D1774" i="2"/>
  <c r="A1774" i="2" s="1"/>
  <c r="E1774" i="2"/>
  <c r="D1775" i="2"/>
  <c r="E1775" i="2"/>
  <c r="D1776" i="2"/>
  <c r="A1776" i="2" s="1"/>
  <c r="E1776" i="2"/>
  <c r="D1777" i="2"/>
  <c r="A1777" i="2" s="1"/>
  <c r="E1777" i="2"/>
  <c r="D1778" i="2"/>
  <c r="A1778" i="2" s="1"/>
  <c r="E1778" i="2"/>
  <c r="D1779" i="2"/>
  <c r="E1779" i="2"/>
  <c r="D1780" i="2"/>
  <c r="A1780" i="2" s="1"/>
  <c r="E1780" i="2"/>
  <c r="D1781" i="2"/>
  <c r="A1781" i="2" s="1"/>
  <c r="E1781" i="2"/>
  <c r="D1782" i="2"/>
  <c r="A1782" i="2" s="1"/>
  <c r="E1782" i="2"/>
  <c r="D1783" i="2"/>
  <c r="E1783" i="2"/>
  <c r="D1784" i="2"/>
  <c r="A1784" i="2" s="1"/>
  <c r="E1784" i="2"/>
  <c r="D1785" i="2"/>
  <c r="A1785" i="2" s="1"/>
  <c r="E1785" i="2"/>
  <c r="D1786" i="2"/>
  <c r="A1786" i="2" s="1"/>
  <c r="E1786" i="2"/>
  <c r="D1787" i="2"/>
  <c r="E1787" i="2"/>
  <c r="D1788" i="2"/>
  <c r="A1788" i="2" s="1"/>
  <c r="E1788" i="2"/>
  <c r="D1789" i="2"/>
  <c r="A1789" i="2" s="1"/>
  <c r="E1789" i="2"/>
  <c r="D1790" i="2"/>
  <c r="A1790" i="2" s="1"/>
  <c r="E1790" i="2"/>
  <c r="D1791" i="2"/>
  <c r="E1791" i="2"/>
  <c r="D1792" i="2"/>
  <c r="A1792" i="2" s="1"/>
  <c r="E1792" i="2"/>
  <c r="D1793" i="2"/>
  <c r="A1793" i="2" s="1"/>
  <c r="E1793" i="2"/>
  <c r="D1794" i="2"/>
  <c r="A1794" i="2" s="1"/>
  <c r="E1794" i="2"/>
  <c r="D1795" i="2"/>
  <c r="E1795" i="2"/>
  <c r="D1796" i="2"/>
  <c r="A1796" i="2" s="1"/>
  <c r="E1796" i="2"/>
  <c r="D1797" i="2"/>
  <c r="A1797" i="2" s="1"/>
  <c r="E1797" i="2"/>
  <c r="D1798" i="2"/>
  <c r="A1798" i="2" s="1"/>
  <c r="E1798" i="2"/>
  <c r="D1799" i="2"/>
  <c r="E1799" i="2"/>
  <c r="D1800" i="2"/>
  <c r="A1800" i="2" s="1"/>
  <c r="E1800" i="2"/>
  <c r="D1801" i="2"/>
  <c r="A1801" i="2" s="1"/>
  <c r="E1801" i="2"/>
  <c r="D1802" i="2"/>
  <c r="A1802" i="2" s="1"/>
  <c r="E1802" i="2"/>
  <c r="D1803" i="2"/>
  <c r="E1803" i="2"/>
  <c r="D1804" i="2"/>
  <c r="A1804" i="2" s="1"/>
  <c r="E1804" i="2"/>
  <c r="D1805" i="2"/>
  <c r="A1805" i="2" s="1"/>
  <c r="E1805" i="2"/>
  <c r="D1806" i="2"/>
  <c r="A1806" i="2" s="1"/>
  <c r="E1806" i="2"/>
  <c r="D1807" i="2"/>
  <c r="E1807" i="2"/>
  <c r="D1808" i="2"/>
  <c r="A1808" i="2" s="1"/>
  <c r="E1808" i="2"/>
  <c r="D1809" i="2"/>
  <c r="A1809" i="2" s="1"/>
  <c r="E1809" i="2"/>
  <c r="D1810" i="2"/>
  <c r="A1810" i="2" s="1"/>
  <c r="E1810" i="2"/>
  <c r="D1811" i="2"/>
  <c r="E1811" i="2"/>
  <c r="D1812" i="2"/>
  <c r="A1812" i="2" s="1"/>
  <c r="E1812" i="2"/>
  <c r="D1813" i="2"/>
  <c r="A1813" i="2" s="1"/>
  <c r="E1813" i="2"/>
  <c r="D1814" i="2"/>
  <c r="A1814" i="2" s="1"/>
  <c r="E1814" i="2"/>
  <c r="D1815" i="2"/>
  <c r="E1815" i="2"/>
  <c r="D1816" i="2"/>
  <c r="A1816" i="2" s="1"/>
  <c r="E1816" i="2"/>
  <c r="D1817" i="2"/>
  <c r="A1817" i="2" s="1"/>
  <c r="E1817" i="2"/>
  <c r="D1818" i="2"/>
  <c r="A1818" i="2" s="1"/>
  <c r="E1818" i="2"/>
  <c r="D1819" i="2"/>
  <c r="E1819" i="2"/>
  <c r="D1820" i="2"/>
  <c r="A1820" i="2" s="1"/>
  <c r="E1820" i="2"/>
  <c r="D1821" i="2"/>
  <c r="A1821" i="2" s="1"/>
  <c r="E1821" i="2"/>
  <c r="D1822" i="2"/>
  <c r="A1822" i="2" s="1"/>
  <c r="E1822" i="2"/>
  <c r="D1823" i="2"/>
  <c r="E1823" i="2"/>
  <c r="D1824" i="2"/>
  <c r="A1824" i="2" s="1"/>
  <c r="E1824" i="2"/>
  <c r="D1825" i="2"/>
  <c r="A1825" i="2" s="1"/>
  <c r="E1825" i="2"/>
  <c r="D1826" i="2"/>
  <c r="A1826" i="2" s="1"/>
  <c r="E1826" i="2"/>
  <c r="D1827" i="2"/>
  <c r="E1827" i="2"/>
  <c r="D1828" i="2"/>
  <c r="A1828" i="2" s="1"/>
  <c r="E1828" i="2"/>
  <c r="D1829" i="2"/>
  <c r="A1829" i="2" s="1"/>
  <c r="E1829" i="2"/>
  <c r="D1830" i="2"/>
  <c r="A1830" i="2" s="1"/>
  <c r="E1830" i="2"/>
  <c r="D1831" i="2"/>
  <c r="E1831" i="2"/>
  <c r="D1832" i="2"/>
  <c r="A1832" i="2" s="1"/>
  <c r="E1832" i="2"/>
  <c r="D1833" i="2"/>
  <c r="A1833" i="2" s="1"/>
  <c r="E1833" i="2"/>
  <c r="D1834" i="2"/>
  <c r="A1834" i="2" s="1"/>
  <c r="E1834" i="2"/>
  <c r="D1835" i="2"/>
  <c r="E1835" i="2"/>
  <c r="D1836" i="2"/>
  <c r="A1836" i="2" s="1"/>
  <c r="E1836" i="2"/>
  <c r="D1837" i="2"/>
  <c r="A1837" i="2" s="1"/>
  <c r="E1837" i="2"/>
  <c r="D1838" i="2"/>
  <c r="A1838" i="2" s="1"/>
  <c r="E1838" i="2"/>
  <c r="D1839" i="2"/>
  <c r="E1839" i="2"/>
  <c r="D1840" i="2"/>
  <c r="A1840" i="2" s="1"/>
  <c r="E1840" i="2"/>
  <c r="D1841" i="2"/>
  <c r="A1841" i="2" s="1"/>
  <c r="E1841" i="2"/>
  <c r="D1842" i="2"/>
  <c r="A1842" i="2" s="1"/>
  <c r="E1842" i="2"/>
  <c r="D1843" i="2"/>
  <c r="E1843" i="2"/>
  <c r="D1844" i="2"/>
  <c r="A1844" i="2" s="1"/>
  <c r="E1844" i="2"/>
  <c r="D1845" i="2"/>
  <c r="A1845" i="2" s="1"/>
  <c r="E1845" i="2"/>
  <c r="D1846" i="2"/>
  <c r="A1846" i="2" s="1"/>
  <c r="E1846" i="2"/>
  <c r="D1847" i="2"/>
  <c r="E1847" i="2"/>
  <c r="D1848" i="2"/>
  <c r="A1848" i="2" s="1"/>
  <c r="E1848" i="2"/>
  <c r="D1849" i="2"/>
  <c r="A1849" i="2" s="1"/>
  <c r="E1849" i="2"/>
  <c r="D1850" i="2"/>
  <c r="A1850" i="2" s="1"/>
  <c r="E1850" i="2"/>
  <c r="D1851" i="2"/>
  <c r="E1851" i="2"/>
  <c r="D1852" i="2"/>
  <c r="A1852" i="2" s="1"/>
  <c r="E1852" i="2"/>
  <c r="D1853" i="2"/>
  <c r="A1853" i="2" s="1"/>
  <c r="E1853" i="2"/>
  <c r="D1854" i="2"/>
  <c r="A1854" i="2" s="1"/>
  <c r="E1854" i="2"/>
  <c r="D1855" i="2"/>
  <c r="E1855" i="2"/>
  <c r="D1856" i="2"/>
  <c r="A1856" i="2" s="1"/>
  <c r="E1856" i="2"/>
  <c r="D1857" i="2"/>
  <c r="A1857" i="2" s="1"/>
  <c r="E1857" i="2"/>
  <c r="D1858" i="2"/>
  <c r="A1858" i="2" s="1"/>
  <c r="E1858" i="2"/>
  <c r="D1859" i="2"/>
  <c r="E1859" i="2"/>
  <c r="D1860" i="2"/>
  <c r="A1860" i="2" s="1"/>
  <c r="E1860" i="2"/>
  <c r="D1861" i="2"/>
  <c r="A1861" i="2" s="1"/>
  <c r="E1861" i="2"/>
  <c r="D1862" i="2"/>
  <c r="A1862" i="2" s="1"/>
  <c r="E1862" i="2"/>
  <c r="D1863" i="2"/>
  <c r="E1863" i="2"/>
  <c r="D1864" i="2"/>
  <c r="A1864" i="2" s="1"/>
  <c r="E1864" i="2"/>
  <c r="D1865" i="2"/>
  <c r="A1865" i="2" s="1"/>
  <c r="E1865" i="2"/>
  <c r="D1866" i="2"/>
  <c r="A1866" i="2" s="1"/>
  <c r="E1866" i="2"/>
  <c r="D1867" i="2"/>
  <c r="E1867" i="2"/>
  <c r="D1868" i="2"/>
  <c r="A1868" i="2" s="1"/>
  <c r="E1868" i="2"/>
  <c r="D1869" i="2"/>
  <c r="A1869" i="2" s="1"/>
  <c r="E1869" i="2"/>
  <c r="D1870" i="2"/>
  <c r="A1870" i="2" s="1"/>
  <c r="E1870" i="2"/>
  <c r="D1871" i="2"/>
  <c r="E1871" i="2"/>
  <c r="D1872" i="2"/>
  <c r="A1872" i="2" s="1"/>
  <c r="E1872" i="2"/>
  <c r="D1873" i="2"/>
  <c r="A1873" i="2" s="1"/>
  <c r="E1873" i="2"/>
  <c r="D1874" i="2"/>
  <c r="A1874" i="2" s="1"/>
  <c r="E1874" i="2"/>
  <c r="D1875" i="2"/>
  <c r="E1875" i="2"/>
  <c r="D1876" i="2"/>
  <c r="A1876" i="2" s="1"/>
  <c r="E1876" i="2"/>
  <c r="D1877" i="2"/>
  <c r="A1877" i="2" s="1"/>
  <c r="E1877" i="2"/>
  <c r="D1878" i="2"/>
  <c r="A1878" i="2" s="1"/>
  <c r="E1878" i="2"/>
  <c r="D1879" i="2"/>
  <c r="E1879" i="2"/>
  <c r="D1880" i="2"/>
  <c r="A1880" i="2" s="1"/>
  <c r="E1880" i="2"/>
  <c r="D1881" i="2"/>
  <c r="A1881" i="2" s="1"/>
  <c r="E1881" i="2"/>
  <c r="D1882" i="2"/>
  <c r="A1882" i="2" s="1"/>
  <c r="E1882" i="2"/>
  <c r="D1883" i="2"/>
  <c r="E1883" i="2"/>
  <c r="D1884" i="2"/>
  <c r="A1884" i="2" s="1"/>
  <c r="E1884" i="2"/>
  <c r="D1885" i="2"/>
  <c r="A1885" i="2" s="1"/>
  <c r="E1885" i="2"/>
  <c r="D1886" i="2"/>
  <c r="A1886" i="2" s="1"/>
  <c r="E1886" i="2"/>
  <c r="D1887" i="2"/>
  <c r="E1887" i="2"/>
  <c r="D1888" i="2"/>
  <c r="A1888" i="2" s="1"/>
  <c r="E1888" i="2"/>
  <c r="D1889" i="2"/>
  <c r="A1889" i="2" s="1"/>
  <c r="E1889" i="2"/>
  <c r="D1890" i="2"/>
  <c r="A1890" i="2" s="1"/>
  <c r="E1890" i="2"/>
  <c r="D1891" i="2"/>
  <c r="E1891" i="2"/>
  <c r="D1892" i="2"/>
  <c r="A1892" i="2" s="1"/>
  <c r="E1892" i="2"/>
  <c r="D1893" i="2"/>
  <c r="A1893" i="2" s="1"/>
  <c r="E1893" i="2"/>
  <c r="D1894" i="2"/>
  <c r="A1894" i="2" s="1"/>
  <c r="E1894" i="2"/>
  <c r="D1895" i="2"/>
  <c r="E1895" i="2"/>
  <c r="D1896" i="2"/>
  <c r="A1896" i="2" s="1"/>
  <c r="E1896" i="2"/>
  <c r="D1897" i="2"/>
  <c r="A1897" i="2" s="1"/>
  <c r="E1897" i="2"/>
  <c r="D1898" i="2"/>
  <c r="A1898" i="2" s="1"/>
  <c r="E1898" i="2"/>
  <c r="D1899" i="2"/>
  <c r="E1899" i="2"/>
  <c r="D1900" i="2"/>
  <c r="A1900" i="2" s="1"/>
  <c r="E1900" i="2"/>
  <c r="D1901" i="2"/>
  <c r="A1901" i="2" s="1"/>
  <c r="E1901" i="2"/>
  <c r="D1902" i="2"/>
  <c r="A1902" i="2" s="1"/>
  <c r="E1902" i="2"/>
  <c r="D1903" i="2"/>
  <c r="E1903" i="2"/>
  <c r="D1904" i="2"/>
  <c r="A1904" i="2" s="1"/>
  <c r="E1904" i="2"/>
  <c r="D1905" i="2"/>
  <c r="A1905" i="2" s="1"/>
  <c r="E1905" i="2"/>
  <c r="D1906" i="2"/>
  <c r="A1906" i="2" s="1"/>
  <c r="E1906" i="2"/>
  <c r="D1907" i="2"/>
  <c r="E1907" i="2"/>
  <c r="D1908" i="2"/>
  <c r="A1908" i="2" s="1"/>
  <c r="E1908" i="2"/>
  <c r="D1909" i="2"/>
  <c r="A1909" i="2" s="1"/>
  <c r="E1909" i="2"/>
  <c r="D1910" i="2"/>
  <c r="A1910" i="2" s="1"/>
  <c r="E1910" i="2"/>
  <c r="D1911" i="2"/>
  <c r="E1911" i="2"/>
  <c r="D1912" i="2"/>
  <c r="A1912" i="2" s="1"/>
  <c r="E1912" i="2"/>
  <c r="D1913" i="2"/>
  <c r="A1913" i="2" s="1"/>
  <c r="E1913" i="2"/>
  <c r="D1914" i="2"/>
  <c r="A1914" i="2" s="1"/>
  <c r="E1914" i="2"/>
  <c r="D1915" i="2"/>
  <c r="E1915" i="2"/>
  <c r="D1916" i="2"/>
  <c r="A1916" i="2" s="1"/>
  <c r="E1916" i="2"/>
  <c r="D1917" i="2"/>
  <c r="A1917" i="2" s="1"/>
  <c r="E1917" i="2"/>
  <c r="D1918" i="2"/>
  <c r="A1918" i="2" s="1"/>
  <c r="E1918" i="2"/>
  <c r="D1919" i="2"/>
  <c r="E1919" i="2"/>
  <c r="D1920" i="2"/>
  <c r="A1920" i="2" s="1"/>
  <c r="E1920" i="2"/>
  <c r="D1921" i="2"/>
  <c r="A1921" i="2" s="1"/>
  <c r="E1921" i="2"/>
  <c r="D1922" i="2"/>
  <c r="A1922" i="2" s="1"/>
  <c r="E1922" i="2"/>
  <c r="D1923" i="2"/>
  <c r="E1923" i="2"/>
  <c r="D1924" i="2"/>
  <c r="A1924" i="2" s="1"/>
  <c r="E1924" i="2"/>
  <c r="D1925" i="2"/>
  <c r="A1925" i="2" s="1"/>
  <c r="E1925" i="2"/>
  <c r="D1926" i="2"/>
  <c r="A1926" i="2" s="1"/>
  <c r="E1926" i="2"/>
  <c r="D1927" i="2"/>
  <c r="E1927" i="2"/>
  <c r="D1928" i="2"/>
  <c r="A1928" i="2" s="1"/>
  <c r="E1928" i="2"/>
  <c r="D1929" i="2"/>
  <c r="A1929" i="2" s="1"/>
  <c r="E1929" i="2"/>
  <c r="D1930" i="2"/>
  <c r="A1930" i="2" s="1"/>
  <c r="E1930" i="2"/>
  <c r="D1931" i="2"/>
  <c r="E1931" i="2"/>
  <c r="D1932" i="2"/>
  <c r="A1932" i="2" s="1"/>
  <c r="E1932" i="2"/>
  <c r="D1933" i="2"/>
  <c r="A1933" i="2" s="1"/>
  <c r="E1933" i="2"/>
  <c r="D1934" i="2"/>
  <c r="A1934" i="2" s="1"/>
  <c r="E1934" i="2"/>
  <c r="D1935" i="2"/>
  <c r="E1935" i="2"/>
  <c r="D1936" i="2"/>
  <c r="A1936" i="2" s="1"/>
  <c r="E1936" i="2"/>
  <c r="D1937" i="2"/>
  <c r="A1937" i="2" s="1"/>
  <c r="E1937" i="2"/>
  <c r="D1938" i="2"/>
  <c r="A1938" i="2" s="1"/>
  <c r="E1938" i="2"/>
  <c r="D1939" i="2"/>
  <c r="E1939" i="2"/>
  <c r="D1940" i="2"/>
  <c r="A1940" i="2" s="1"/>
  <c r="E1940" i="2"/>
  <c r="D1941" i="2"/>
  <c r="A1941" i="2" s="1"/>
  <c r="E1941" i="2"/>
  <c r="D1942" i="2"/>
  <c r="A1942" i="2" s="1"/>
  <c r="E1942" i="2"/>
  <c r="D1943" i="2"/>
  <c r="E1943" i="2"/>
  <c r="D1944" i="2"/>
  <c r="A1944" i="2" s="1"/>
  <c r="E1944" i="2"/>
  <c r="D1945" i="2"/>
  <c r="A1945" i="2" s="1"/>
  <c r="E1945" i="2"/>
  <c r="D1946" i="2"/>
  <c r="A1946" i="2" s="1"/>
  <c r="E1946" i="2"/>
  <c r="D1947" i="2"/>
  <c r="E1947" i="2"/>
  <c r="D1948" i="2"/>
  <c r="A1948" i="2" s="1"/>
  <c r="E1948" i="2"/>
  <c r="D1949" i="2"/>
  <c r="A1949" i="2" s="1"/>
  <c r="E1949" i="2"/>
  <c r="D1950" i="2"/>
  <c r="A1950" i="2" s="1"/>
  <c r="E1950" i="2"/>
  <c r="D1951" i="2"/>
  <c r="E1951" i="2"/>
  <c r="D1952" i="2"/>
  <c r="A1952" i="2" s="1"/>
  <c r="E1952" i="2"/>
  <c r="D1953" i="2"/>
  <c r="A1953" i="2" s="1"/>
  <c r="E1953" i="2"/>
  <c r="D1954" i="2"/>
  <c r="A1954" i="2" s="1"/>
  <c r="E1954" i="2"/>
  <c r="D1955" i="2"/>
  <c r="E1955" i="2"/>
  <c r="D1956" i="2"/>
  <c r="A1956" i="2" s="1"/>
  <c r="E1956" i="2"/>
  <c r="D1957" i="2"/>
  <c r="A1957" i="2" s="1"/>
  <c r="E1957" i="2"/>
  <c r="D1958" i="2"/>
  <c r="A1958" i="2" s="1"/>
  <c r="E1958" i="2"/>
  <c r="D1959" i="2"/>
  <c r="E1959" i="2"/>
  <c r="D1960" i="2"/>
  <c r="A1960" i="2" s="1"/>
  <c r="E1960" i="2"/>
  <c r="D1961" i="2"/>
  <c r="A1961" i="2" s="1"/>
  <c r="E1961" i="2"/>
  <c r="D1962" i="2"/>
  <c r="A1962" i="2" s="1"/>
  <c r="E1962" i="2"/>
  <c r="D1963" i="2"/>
  <c r="E1963" i="2"/>
  <c r="D1964" i="2"/>
  <c r="A1964" i="2" s="1"/>
  <c r="E1964" i="2"/>
  <c r="D1965" i="2"/>
  <c r="A1965" i="2" s="1"/>
  <c r="E1965" i="2"/>
  <c r="D1966" i="2"/>
  <c r="A1966" i="2" s="1"/>
  <c r="E1966" i="2"/>
  <c r="D1967" i="2"/>
  <c r="E1967" i="2"/>
  <c r="D1968" i="2"/>
  <c r="A1968" i="2" s="1"/>
  <c r="E1968" i="2"/>
  <c r="D1969" i="2"/>
  <c r="A1969" i="2" s="1"/>
  <c r="E1969" i="2"/>
  <c r="D1970" i="2"/>
  <c r="A1970" i="2" s="1"/>
  <c r="E1970" i="2"/>
  <c r="D1971" i="2"/>
  <c r="E1971" i="2"/>
  <c r="D1972" i="2"/>
  <c r="A1972" i="2" s="1"/>
  <c r="E1972" i="2"/>
  <c r="D1973" i="2"/>
  <c r="A1973" i="2" s="1"/>
  <c r="E1973" i="2"/>
  <c r="D1974" i="2"/>
  <c r="A1974" i="2" s="1"/>
  <c r="E1974" i="2"/>
  <c r="D1975" i="2"/>
  <c r="E1975" i="2"/>
  <c r="D1976" i="2"/>
  <c r="A1976" i="2" s="1"/>
  <c r="E1976" i="2"/>
  <c r="D1977" i="2"/>
  <c r="A1977" i="2" s="1"/>
  <c r="E1977" i="2"/>
  <c r="D1978" i="2"/>
  <c r="A1978" i="2" s="1"/>
  <c r="E1978" i="2"/>
  <c r="D1979" i="2"/>
  <c r="E1979" i="2"/>
  <c r="D1980" i="2"/>
  <c r="A1980" i="2" s="1"/>
  <c r="E1980" i="2"/>
  <c r="D1981" i="2"/>
  <c r="A1981" i="2" s="1"/>
  <c r="E1981" i="2"/>
  <c r="D1982" i="2"/>
  <c r="A1982" i="2" s="1"/>
  <c r="E1982" i="2"/>
  <c r="D1983" i="2"/>
  <c r="E1983" i="2"/>
  <c r="D1984" i="2"/>
  <c r="A1984" i="2" s="1"/>
  <c r="E1984" i="2"/>
  <c r="D1985" i="2"/>
  <c r="A1985" i="2" s="1"/>
  <c r="E1985" i="2"/>
  <c r="D1986" i="2"/>
  <c r="A1986" i="2" s="1"/>
  <c r="E1986" i="2"/>
  <c r="D1987" i="2"/>
  <c r="E1987" i="2"/>
  <c r="D1988" i="2"/>
  <c r="A1988" i="2" s="1"/>
  <c r="E1988" i="2"/>
  <c r="D1989" i="2"/>
  <c r="A1989" i="2" s="1"/>
  <c r="E1989" i="2"/>
  <c r="D1990" i="2"/>
  <c r="A1990" i="2" s="1"/>
  <c r="E1990" i="2"/>
  <c r="D1991" i="2"/>
  <c r="E1991" i="2"/>
  <c r="D1992" i="2"/>
  <c r="A1992" i="2" s="1"/>
  <c r="E1992" i="2"/>
  <c r="D1993" i="2"/>
  <c r="A1993" i="2" s="1"/>
  <c r="E1993" i="2"/>
  <c r="D1994" i="2"/>
  <c r="A1994" i="2" s="1"/>
  <c r="E1994" i="2"/>
  <c r="D1995" i="2"/>
  <c r="E1995" i="2"/>
  <c r="D1996" i="2"/>
  <c r="A1996" i="2" s="1"/>
  <c r="E1996" i="2"/>
  <c r="D1997" i="2"/>
  <c r="A1997" i="2" s="1"/>
  <c r="E1997" i="2"/>
  <c r="D1998" i="2"/>
  <c r="A1998" i="2" s="1"/>
  <c r="E1998" i="2"/>
  <c r="D1999" i="2"/>
  <c r="E1999" i="2"/>
  <c r="D2000" i="2"/>
  <c r="A2000" i="2" s="1"/>
  <c r="E2000" i="2"/>
  <c r="D2001" i="2"/>
  <c r="A2001" i="2" s="1"/>
  <c r="E2001" i="2"/>
  <c r="D2002" i="2"/>
  <c r="A2002" i="2" s="1"/>
  <c r="E2002" i="2"/>
  <c r="D2003" i="2"/>
  <c r="E2003" i="2"/>
  <c r="D2004" i="2"/>
  <c r="A2004" i="2" s="1"/>
  <c r="E2004" i="2"/>
  <c r="D2005" i="2"/>
  <c r="A2005" i="2" s="1"/>
  <c r="E2005" i="2"/>
  <c r="D2006" i="2"/>
  <c r="A2006" i="2" s="1"/>
  <c r="E2006" i="2"/>
  <c r="D2007" i="2"/>
  <c r="E2007" i="2"/>
  <c r="D2008" i="2"/>
  <c r="A2008" i="2" s="1"/>
  <c r="E2008" i="2"/>
  <c r="D2009" i="2"/>
  <c r="A2009" i="2" s="1"/>
  <c r="E2009" i="2"/>
  <c r="D2010" i="2"/>
  <c r="A2010" i="2" s="1"/>
  <c r="E2010" i="2"/>
  <c r="D2011" i="2"/>
  <c r="E2011" i="2"/>
  <c r="D2012" i="2"/>
  <c r="A2012" i="2" s="1"/>
  <c r="E2012" i="2"/>
  <c r="D2013" i="2"/>
  <c r="A2013" i="2" s="1"/>
  <c r="E2013" i="2"/>
  <c r="D2014" i="2"/>
  <c r="A2014" i="2" s="1"/>
  <c r="E2014" i="2"/>
  <c r="D2015" i="2"/>
  <c r="E2015" i="2"/>
  <c r="D2016" i="2"/>
  <c r="A2016" i="2" s="1"/>
  <c r="E2016" i="2"/>
  <c r="D2017" i="2"/>
  <c r="A2017" i="2" s="1"/>
  <c r="E2017" i="2"/>
  <c r="D2018" i="2"/>
  <c r="A2018" i="2" s="1"/>
  <c r="E2018" i="2"/>
  <c r="D2019" i="2"/>
  <c r="E2019" i="2"/>
  <c r="D2020" i="2"/>
  <c r="A2020" i="2" s="1"/>
  <c r="E2020" i="2"/>
  <c r="D2021" i="2"/>
  <c r="A2021" i="2" s="1"/>
  <c r="E2021" i="2"/>
  <c r="D2022" i="2"/>
  <c r="A2022" i="2" s="1"/>
  <c r="E2022" i="2"/>
  <c r="D2023" i="2"/>
  <c r="E2023" i="2"/>
  <c r="D2024" i="2"/>
  <c r="A2024" i="2" s="1"/>
  <c r="E2024" i="2"/>
  <c r="D2025" i="2"/>
  <c r="A2025" i="2" s="1"/>
  <c r="E2025" i="2"/>
  <c r="D2026" i="2"/>
  <c r="A2026" i="2" s="1"/>
  <c r="E2026" i="2"/>
  <c r="D2027" i="2"/>
  <c r="E2027" i="2"/>
  <c r="D2028" i="2"/>
  <c r="A2028" i="2" s="1"/>
  <c r="E2028" i="2"/>
  <c r="D2029" i="2"/>
  <c r="A2029" i="2" s="1"/>
  <c r="E2029" i="2"/>
  <c r="D2030" i="2"/>
  <c r="A2030" i="2" s="1"/>
  <c r="E2030" i="2"/>
  <c r="D2031" i="2"/>
  <c r="E2031" i="2"/>
  <c r="D2032" i="2"/>
  <c r="A2032" i="2" s="1"/>
  <c r="E2032" i="2"/>
  <c r="D2033" i="2"/>
  <c r="A2033" i="2" s="1"/>
  <c r="E2033" i="2"/>
  <c r="D2034" i="2"/>
  <c r="A2034" i="2" s="1"/>
  <c r="E2034" i="2"/>
  <c r="D2035" i="2"/>
  <c r="E2035" i="2"/>
  <c r="D2036" i="2"/>
  <c r="A2036" i="2" s="1"/>
  <c r="E2036" i="2"/>
  <c r="D2037" i="2"/>
  <c r="A2037" i="2" s="1"/>
  <c r="E2037" i="2"/>
  <c r="D2038" i="2"/>
  <c r="A2038" i="2" s="1"/>
  <c r="E2038" i="2"/>
  <c r="D2039" i="2"/>
  <c r="E2039" i="2"/>
  <c r="D2040" i="2"/>
  <c r="A2040" i="2" s="1"/>
  <c r="E2040" i="2"/>
  <c r="D2041" i="2"/>
  <c r="A2041" i="2" s="1"/>
  <c r="E2041" i="2"/>
  <c r="D2042" i="2"/>
  <c r="A2042" i="2" s="1"/>
  <c r="E2042" i="2"/>
  <c r="D2043" i="2"/>
  <c r="E2043" i="2"/>
  <c r="D2044" i="2"/>
  <c r="A2044" i="2" s="1"/>
  <c r="E2044" i="2"/>
  <c r="D2045" i="2"/>
  <c r="A2045" i="2" s="1"/>
  <c r="E2045" i="2"/>
  <c r="D2046" i="2"/>
  <c r="A2046" i="2" s="1"/>
  <c r="E2046" i="2"/>
  <c r="D2047" i="2"/>
  <c r="E2047" i="2"/>
  <c r="D2048" i="2"/>
  <c r="A2048" i="2" s="1"/>
  <c r="E2048" i="2"/>
  <c r="D2049" i="2"/>
  <c r="A2049" i="2" s="1"/>
  <c r="E2049" i="2"/>
  <c r="D2050" i="2"/>
  <c r="A2050" i="2" s="1"/>
  <c r="E2050" i="2"/>
  <c r="D2051" i="2"/>
  <c r="E2051" i="2"/>
  <c r="D2052" i="2"/>
  <c r="A2052" i="2" s="1"/>
  <c r="E2052" i="2"/>
  <c r="D2053" i="2"/>
  <c r="A2053" i="2" s="1"/>
  <c r="E2053" i="2"/>
  <c r="D2054" i="2"/>
  <c r="A2054" i="2" s="1"/>
  <c r="E2054" i="2"/>
  <c r="D2055" i="2"/>
  <c r="E2055" i="2"/>
  <c r="D2056" i="2"/>
  <c r="A2056" i="2" s="1"/>
  <c r="E2056" i="2"/>
  <c r="D2057" i="2"/>
  <c r="A2057" i="2" s="1"/>
  <c r="E2057" i="2"/>
  <c r="D2058" i="2"/>
  <c r="A2058" i="2" s="1"/>
  <c r="E2058" i="2"/>
  <c r="D2059" i="2"/>
  <c r="E2059" i="2"/>
  <c r="D2060" i="2"/>
  <c r="A2060" i="2" s="1"/>
  <c r="E2060" i="2"/>
  <c r="D2061" i="2"/>
  <c r="A2061" i="2" s="1"/>
  <c r="E2061" i="2"/>
  <c r="D2062" i="2"/>
  <c r="A2062" i="2" s="1"/>
  <c r="E2062" i="2"/>
  <c r="D2063" i="2"/>
  <c r="E2063" i="2"/>
  <c r="D2064" i="2"/>
  <c r="A2064" i="2" s="1"/>
  <c r="E2064" i="2"/>
  <c r="D2065" i="2"/>
  <c r="A2065" i="2" s="1"/>
  <c r="E2065" i="2"/>
  <c r="D2066" i="2"/>
  <c r="A2066" i="2" s="1"/>
  <c r="E2066" i="2"/>
  <c r="D2067" i="2"/>
  <c r="E2067" i="2"/>
  <c r="D2068" i="2"/>
  <c r="A2068" i="2" s="1"/>
  <c r="E2068" i="2"/>
  <c r="D2069" i="2"/>
  <c r="A2069" i="2" s="1"/>
  <c r="E2069" i="2"/>
  <c r="D2070" i="2"/>
  <c r="A2070" i="2" s="1"/>
  <c r="E2070" i="2"/>
  <c r="D2071" i="2"/>
  <c r="E2071" i="2"/>
  <c r="D2072" i="2"/>
  <c r="A2072" i="2" s="1"/>
  <c r="E2072" i="2"/>
  <c r="D2073" i="2"/>
  <c r="A2073" i="2" s="1"/>
  <c r="E2073" i="2"/>
  <c r="D2074" i="2"/>
  <c r="A2074" i="2" s="1"/>
  <c r="E2074" i="2"/>
  <c r="D2075" i="2"/>
  <c r="E2075" i="2"/>
  <c r="D2076" i="2"/>
  <c r="A2076" i="2" s="1"/>
  <c r="E2076" i="2"/>
  <c r="D2077" i="2"/>
  <c r="A2077" i="2" s="1"/>
  <c r="E2077" i="2"/>
  <c r="D2078" i="2"/>
  <c r="A2078" i="2" s="1"/>
  <c r="E2078" i="2"/>
  <c r="D2079" i="2"/>
  <c r="E2079" i="2"/>
  <c r="D2080" i="2"/>
  <c r="A2080" i="2" s="1"/>
  <c r="E2080" i="2"/>
  <c r="D2081" i="2"/>
  <c r="A2081" i="2" s="1"/>
  <c r="E2081" i="2"/>
  <c r="D2082" i="2"/>
  <c r="A2082" i="2" s="1"/>
  <c r="E2082" i="2"/>
  <c r="D2083" i="2"/>
  <c r="E2083" i="2"/>
  <c r="D2084" i="2"/>
  <c r="A2084" i="2" s="1"/>
  <c r="E2084" i="2"/>
  <c r="D2085" i="2"/>
  <c r="A2085" i="2" s="1"/>
  <c r="E2085" i="2"/>
  <c r="D2086" i="2"/>
  <c r="A2086" i="2" s="1"/>
  <c r="E2086" i="2"/>
  <c r="D2087" i="2"/>
  <c r="E2087" i="2"/>
  <c r="D2088" i="2"/>
  <c r="A2088" i="2" s="1"/>
  <c r="E2088" i="2"/>
  <c r="D2089" i="2"/>
  <c r="A2089" i="2" s="1"/>
  <c r="E2089" i="2"/>
  <c r="D2090" i="2"/>
  <c r="A2090" i="2" s="1"/>
  <c r="E2090" i="2"/>
  <c r="D2091" i="2"/>
  <c r="E2091" i="2"/>
  <c r="D2092" i="2"/>
  <c r="A2092" i="2" s="1"/>
  <c r="E2092" i="2"/>
  <c r="D2093" i="2"/>
  <c r="A2093" i="2" s="1"/>
  <c r="E2093" i="2"/>
  <c r="D2094" i="2"/>
  <c r="A2094" i="2" s="1"/>
  <c r="E2094" i="2"/>
  <c r="D2095" i="2"/>
  <c r="E2095" i="2"/>
  <c r="D2096" i="2"/>
  <c r="A2096" i="2" s="1"/>
  <c r="E2096" i="2"/>
  <c r="D2097" i="2"/>
  <c r="A2097" i="2" s="1"/>
  <c r="E2097" i="2"/>
  <c r="D2098" i="2"/>
  <c r="A2098" i="2" s="1"/>
  <c r="E2098" i="2"/>
  <c r="D2099" i="2"/>
  <c r="E2099" i="2"/>
  <c r="D2100" i="2"/>
  <c r="A2100" i="2" s="1"/>
  <c r="E2100" i="2"/>
  <c r="D2101" i="2"/>
  <c r="A2101" i="2" s="1"/>
  <c r="E2101" i="2"/>
  <c r="D2102" i="2"/>
  <c r="A2102" i="2" s="1"/>
  <c r="E2102" i="2"/>
  <c r="D2103" i="2"/>
  <c r="E2103" i="2"/>
  <c r="D2104" i="2"/>
  <c r="A2104" i="2" s="1"/>
  <c r="E2104" i="2"/>
  <c r="D2105" i="2"/>
  <c r="A2105" i="2" s="1"/>
  <c r="E2105" i="2"/>
  <c r="D2106" i="2"/>
  <c r="A2106" i="2" s="1"/>
  <c r="E2106" i="2"/>
  <c r="D2107" i="2"/>
  <c r="E2107" i="2"/>
  <c r="D2108" i="2"/>
  <c r="A2108" i="2" s="1"/>
  <c r="E2108" i="2"/>
  <c r="D2109" i="2"/>
  <c r="A2109" i="2" s="1"/>
  <c r="E2109" i="2"/>
  <c r="D2110" i="2"/>
  <c r="A2110" i="2" s="1"/>
  <c r="E2110" i="2"/>
  <c r="D2111" i="2"/>
  <c r="E2111" i="2"/>
  <c r="D2112" i="2"/>
  <c r="A2112" i="2" s="1"/>
  <c r="E2112" i="2"/>
  <c r="D2113" i="2"/>
  <c r="A2113" i="2" s="1"/>
  <c r="E2113" i="2"/>
  <c r="D2114" i="2"/>
  <c r="A2114" i="2" s="1"/>
  <c r="E2114" i="2"/>
  <c r="D2115" i="2"/>
  <c r="E2115" i="2"/>
  <c r="D2116" i="2"/>
  <c r="A2116" i="2" s="1"/>
  <c r="E2116" i="2"/>
  <c r="D2117" i="2"/>
  <c r="A2117" i="2" s="1"/>
  <c r="E2117" i="2"/>
  <c r="D2118" i="2"/>
  <c r="A2118" i="2" s="1"/>
  <c r="E2118" i="2"/>
  <c r="D2119" i="2"/>
  <c r="E2119" i="2"/>
  <c r="D2120" i="2"/>
  <c r="A2120" i="2" s="1"/>
  <c r="E2120" i="2"/>
  <c r="D2121" i="2"/>
  <c r="A2121" i="2" s="1"/>
  <c r="E2121" i="2"/>
  <c r="D2122" i="2"/>
  <c r="A2122" i="2" s="1"/>
  <c r="E2122" i="2"/>
  <c r="D2123" i="2"/>
  <c r="E2123" i="2"/>
  <c r="D2124" i="2"/>
  <c r="A2124" i="2" s="1"/>
  <c r="E2124" i="2"/>
  <c r="D2125" i="2"/>
  <c r="A2125" i="2" s="1"/>
  <c r="E2125" i="2"/>
  <c r="D2126" i="2"/>
  <c r="A2126" i="2" s="1"/>
  <c r="E2126" i="2"/>
  <c r="D2127" i="2"/>
  <c r="E2127" i="2"/>
  <c r="D2128" i="2"/>
  <c r="A2128" i="2" s="1"/>
  <c r="E2128" i="2"/>
  <c r="D2129" i="2"/>
  <c r="A2129" i="2" s="1"/>
  <c r="E2129" i="2"/>
  <c r="D2130" i="2"/>
  <c r="A2130" i="2" s="1"/>
  <c r="E2130" i="2"/>
  <c r="D2131" i="2"/>
  <c r="E2131" i="2"/>
  <c r="D2132" i="2"/>
  <c r="A2132" i="2" s="1"/>
  <c r="E2132" i="2"/>
  <c r="D2133" i="2"/>
  <c r="A2133" i="2" s="1"/>
  <c r="E2133" i="2"/>
  <c r="D2134" i="2"/>
  <c r="A2134" i="2" s="1"/>
  <c r="E2134" i="2"/>
  <c r="D2135" i="2"/>
  <c r="E2135" i="2"/>
  <c r="D2136" i="2"/>
  <c r="A2136" i="2" s="1"/>
  <c r="E2136" i="2"/>
  <c r="D2137" i="2"/>
  <c r="A2137" i="2" s="1"/>
  <c r="E2137" i="2"/>
  <c r="D2138" i="2"/>
  <c r="A2138" i="2" s="1"/>
  <c r="E2138" i="2"/>
  <c r="D2139" i="2"/>
  <c r="E2139" i="2"/>
  <c r="D2140" i="2"/>
  <c r="A2140" i="2" s="1"/>
  <c r="E2140" i="2"/>
  <c r="D2141" i="2"/>
  <c r="A2141" i="2" s="1"/>
  <c r="E2141" i="2"/>
  <c r="D2142" i="2"/>
  <c r="A2142" i="2" s="1"/>
  <c r="E2142" i="2"/>
  <c r="D2143" i="2"/>
  <c r="E2143" i="2"/>
  <c r="D2144" i="2"/>
  <c r="A2144" i="2" s="1"/>
  <c r="E2144" i="2"/>
  <c r="D2145" i="2"/>
  <c r="A2145" i="2" s="1"/>
  <c r="E2145" i="2"/>
  <c r="D2146" i="2"/>
  <c r="A2146" i="2" s="1"/>
  <c r="E2146" i="2"/>
  <c r="D2147" i="2"/>
  <c r="E2147" i="2"/>
  <c r="D2148" i="2"/>
  <c r="A2148" i="2" s="1"/>
  <c r="E2148" i="2"/>
  <c r="D2149" i="2"/>
  <c r="A2149" i="2" s="1"/>
  <c r="E2149" i="2"/>
  <c r="D2150" i="2"/>
  <c r="A2150" i="2" s="1"/>
  <c r="E2150" i="2"/>
  <c r="D2151" i="2"/>
  <c r="E2151" i="2"/>
  <c r="D2152" i="2"/>
  <c r="A2152" i="2" s="1"/>
  <c r="E2152" i="2"/>
  <c r="D2153" i="2"/>
  <c r="A2153" i="2" s="1"/>
  <c r="E2153" i="2"/>
  <c r="D2154" i="2"/>
  <c r="A2154" i="2" s="1"/>
  <c r="E2154" i="2"/>
  <c r="D2155" i="2"/>
  <c r="E2155" i="2"/>
  <c r="D2156" i="2"/>
  <c r="A2156" i="2" s="1"/>
  <c r="E2156" i="2"/>
  <c r="D2157" i="2"/>
  <c r="A2157" i="2" s="1"/>
  <c r="E2157" i="2"/>
  <c r="D2158" i="2"/>
  <c r="A2158" i="2" s="1"/>
  <c r="E2158" i="2"/>
  <c r="D2159" i="2"/>
  <c r="E2159" i="2"/>
  <c r="D2160" i="2"/>
  <c r="A2160" i="2" s="1"/>
  <c r="E2160" i="2"/>
  <c r="D2161" i="2"/>
  <c r="A2161" i="2" s="1"/>
  <c r="E2161" i="2"/>
  <c r="D2162" i="2"/>
  <c r="A2162" i="2" s="1"/>
  <c r="E2162" i="2"/>
  <c r="D2163" i="2"/>
  <c r="E2163" i="2"/>
  <c r="D2164" i="2"/>
  <c r="A2164" i="2" s="1"/>
  <c r="E2164" i="2"/>
  <c r="D2165" i="2"/>
  <c r="A2165" i="2" s="1"/>
  <c r="E2165" i="2"/>
  <c r="D2166" i="2"/>
  <c r="A2166" i="2" s="1"/>
  <c r="E2166" i="2"/>
  <c r="D2167" i="2"/>
  <c r="E2167" i="2"/>
  <c r="D2168" i="2"/>
  <c r="A2168" i="2" s="1"/>
  <c r="E2168" i="2"/>
  <c r="D2169" i="2"/>
  <c r="A2169" i="2" s="1"/>
  <c r="E2169" i="2"/>
  <c r="D2170" i="2"/>
  <c r="A2170" i="2" s="1"/>
  <c r="E2170" i="2"/>
  <c r="D2171" i="2"/>
  <c r="E2171" i="2"/>
  <c r="D2172" i="2"/>
  <c r="A2172" i="2" s="1"/>
  <c r="E2172" i="2"/>
  <c r="D2173" i="2"/>
  <c r="A2173" i="2" s="1"/>
  <c r="E2173" i="2"/>
  <c r="D2174" i="2"/>
  <c r="A2174" i="2" s="1"/>
  <c r="E2174" i="2"/>
  <c r="D2175" i="2"/>
  <c r="E2175" i="2"/>
  <c r="D2176" i="2"/>
  <c r="A2176" i="2" s="1"/>
  <c r="E2176" i="2"/>
  <c r="D2177" i="2"/>
  <c r="A2177" i="2" s="1"/>
  <c r="E2177" i="2"/>
  <c r="D2178" i="2"/>
  <c r="A2178" i="2" s="1"/>
  <c r="E2178" i="2"/>
  <c r="D2179" i="2"/>
  <c r="E2179" i="2"/>
  <c r="D2180" i="2"/>
  <c r="A2180" i="2" s="1"/>
  <c r="E2180" i="2"/>
  <c r="D2181" i="2"/>
  <c r="A2181" i="2" s="1"/>
  <c r="E2181" i="2"/>
  <c r="D2182" i="2"/>
  <c r="A2182" i="2" s="1"/>
  <c r="E2182" i="2"/>
  <c r="D2183" i="2"/>
  <c r="E2183" i="2"/>
  <c r="D2184" i="2"/>
  <c r="A2184" i="2" s="1"/>
  <c r="E2184" i="2"/>
  <c r="D2185" i="2"/>
  <c r="A2185" i="2" s="1"/>
  <c r="E2185" i="2"/>
  <c r="D2186" i="2"/>
  <c r="A2186" i="2" s="1"/>
  <c r="E2186" i="2"/>
  <c r="D2187" i="2"/>
  <c r="E2187" i="2"/>
  <c r="D2188" i="2"/>
  <c r="A2188" i="2" s="1"/>
  <c r="E2188" i="2"/>
  <c r="D2189" i="2"/>
  <c r="A2189" i="2" s="1"/>
  <c r="E2189" i="2"/>
  <c r="D2190" i="2"/>
  <c r="A2190" i="2" s="1"/>
  <c r="E2190" i="2"/>
  <c r="D2191" i="2"/>
  <c r="E2191" i="2"/>
  <c r="D2192" i="2"/>
  <c r="A2192" i="2" s="1"/>
  <c r="E2192" i="2"/>
  <c r="D2193" i="2"/>
  <c r="A2193" i="2" s="1"/>
  <c r="E2193" i="2"/>
  <c r="D2194" i="2"/>
  <c r="A2194" i="2" s="1"/>
  <c r="E2194" i="2"/>
  <c r="D2195" i="2"/>
  <c r="E2195" i="2"/>
  <c r="D2196" i="2"/>
  <c r="A2196" i="2" s="1"/>
  <c r="E2196" i="2"/>
  <c r="D2197" i="2"/>
  <c r="A2197" i="2" s="1"/>
  <c r="E2197" i="2"/>
  <c r="D2198" i="2"/>
  <c r="A2198" i="2" s="1"/>
  <c r="E2198" i="2"/>
  <c r="D2199" i="2"/>
  <c r="E2199" i="2"/>
  <c r="D2200" i="2"/>
  <c r="A2200" i="2" s="1"/>
  <c r="E2200" i="2"/>
  <c r="D2201" i="2"/>
  <c r="A2201" i="2" s="1"/>
  <c r="E2201" i="2"/>
  <c r="D2202" i="2"/>
  <c r="A2202" i="2" s="1"/>
  <c r="E2202" i="2"/>
  <c r="D2203" i="2"/>
  <c r="E2203" i="2"/>
  <c r="D2204" i="2"/>
  <c r="A2204" i="2" s="1"/>
  <c r="E2204" i="2"/>
  <c r="D2205" i="2"/>
  <c r="A2205" i="2" s="1"/>
  <c r="E2205" i="2"/>
  <c r="D2206" i="2"/>
  <c r="A2206" i="2" s="1"/>
  <c r="E2206" i="2"/>
  <c r="D2207" i="2"/>
  <c r="E2207" i="2"/>
  <c r="D2208" i="2"/>
  <c r="A2208" i="2" s="1"/>
  <c r="E2208" i="2"/>
  <c r="D2209" i="2"/>
  <c r="A2209" i="2" s="1"/>
  <c r="E2209" i="2"/>
  <c r="D2210" i="2"/>
  <c r="A2210" i="2" s="1"/>
  <c r="E2210" i="2"/>
  <c r="D2211" i="2"/>
  <c r="E2211" i="2"/>
  <c r="D2212" i="2"/>
  <c r="A2212" i="2" s="1"/>
  <c r="E2212" i="2"/>
  <c r="D2213" i="2"/>
  <c r="A2213" i="2" s="1"/>
  <c r="E2213" i="2"/>
  <c r="D2214" i="2"/>
  <c r="A2214" i="2" s="1"/>
  <c r="E2214" i="2"/>
  <c r="D2215" i="2"/>
  <c r="E2215" i="2"/>
  <c r="D2216" i="2"/>
  <c r="A2216" i="2" s="1"/>
  <c r="E2216" i="2"/>
  <c r="D2217" i="2"/>
  <c r="A2217" i="2" s="1"/>
  <c r="E2217" i="2"/>
  <c r="D2218" i="2"/>
  <c r="A2218" i="2" s="1"/>
  <c r="E2218" i="2"/>
  <c r="D2219" i="2"/>
  <c r="E2219" i="2"/>
  <c r="D2220" i="2"/>
  <c r="A2220" i="2" s="1"/>
  <c r="E2220" i="2"/>
  <c r="D2221" i="2"/>
  <c r="A2221" i="2" s="1"/>
  <c r="E2221" i="2"/>
  <c r="D2222" i="2"/>
  <c r="A2222" i="2" s="1"/>
  <c r="E2222" i="2"/>
  <c r="D2223" i="2"/>
  <c r="E2223" i="2"/>
  <c r="D2224" i="2"/>
  <c r="A2224" i="2" s="1"/>
  <c r="E2224" i="2"/>
  <c r="D2225" i="2"/>
  <c r="A2225" i="2" s="1"/>
  <c r="E2225" i="2"/>
  <c r="D2226" i="2"/>
  <c r="A2226" i="2" s="1"/>
  <c r="E2226" i="2"/>
  <c r="D2227" i="2"/>
  <c r="E2227" i="2"/>
  <c r="D2228" i="2"/>
  <c r="A2228" i="2" s="1"/>
  <c r="E2228" i="2"/>
  <c r="D2229" i="2"/>
  <c r="A2229" i="2" s="1"/>
  <c r="E2229" i="2"/>
  <c r="D2230" i="2"/>
  <c r="A2230" i="2" s="1"/>
  <c r="E2230" i="2"/>
  <c r="D2231" i="2"/>
  <c r="E2231" i="2"/>
  <c r="D2232" i="2"/>
  <c r="A2232" i="2" s="1"/>
  <c r="E2232" i="2"/>
  <c r="D2233" i="2"/>
  <c r="A2233" i="2" s="1"/>
  <c r="E2233" i="2"/>
  <c r="D2234" i="2"/>
  <c r="A2234" i="2" s="1"/>
  <c r="E2234" i="2"/>
  <c r="D2235" i="2"/>
  <c r="E2235" i="2"/>
  <c r="D2236" i="2"/>
  <c r="A2236" i="2" s="1"/>
  <c r="E2236" i="2"/>
  <c r="D2237" i="2"/>
  <c r="A2237" i="2" s="1"/>
  <c r="E2237" i="2"/>
  <c r="D2238" i="2"/>
  <c r="A2238" i="2" s="1"/>
  <c r="E2238" i="2"/>
  <c r="D2239" i="2"/>
  <c r="E2239" i="2"/>
  <c r="D2240" i="2"/>
  <c r="A2240" i="2" s="1"/>
  <c r="E2240" i="2"/>
  <c r="D2241" i="2"/>
  <c r="A2241" i="2" s="1"/>
  <c r="E2241" i="2"/>
  <c r="D2242" i="2"/>
  <c r="A2242" i="2" s="1"/>
  <c r="E2242" i="2"/>
  <c r="D2243" i="2"/>
  <c r="E2243" i="2"/>
  <c r="D2244" i="2"/>
  <c r="A2244" i="2" s="1"/>
  <c r="E2244" i="2"/>
  <c r="D2245" i="2"/>
  <c r="A2245" i="2" s="1"/>
  <c r="E2245" i="2"/>
  <c r="D2246" i="2"/>
  <c r="A2246" i="2" s="1"/>
  <c r="E2246" i="2"/>
  <c r="D2247" i="2"/>
  <c r="E2247" i="2"/>
  <c r="D2248" i="2"/>
  <c r="A2248" i="2" s="1"/>
  <c r="E2248" i="2"/>
  <c r="D2249" i="2"/>
  <c r="A2249" i="2" s="1"/>
  <c r="E2249" i="2"/>
  <c r="D2250" i="2"/>
  <c r="A2250" i="2" s="1"/>
  <c r="E2250" i="2"/>
  <c r="D2251" i="2"/>
  <c r="E2251" i="2"/>
  <c r="D2252" i="2"/>
  <c r="A2252" i="2" s="1"/>
  <c r="E2252" i="2"/>
  <c r="D2253" i="2"/>
  <c r="A2253" i="2" s="1"/>
  <c r="E2253" i="2"/>
  <c r="D2254" i="2"/>
  <c r="A2254" i="2" s="1"/>
  <c r="E2254" i="2"/>
  <c r="D2255" i="2"/>
  <c r="E2255" i="2"/>
  <c r="D2256" i="2"/>
  <c r="A2256" i="2" s="1"/>
  <c r="E2256" i="2"/>
  <c r="D2257" i="2"/>
  <c r="A2257" i="2" s="1"/>
  <c r="E2257" i="2"/>
  <c r="D2258" i="2"/>
  <c r="A2258" i="2" s="1"/>
  <c r="E2258" i="2"/>
  <c r="D2259" i="2"/>
  <c r="E2259" i="2"/>
  <c r="D2260" i="2"/>
  <c r="A2260" i="2" s="1"/>
  <c r="E2260" i="2"/>
  <c r="D2261" i="2"/>
  <c r="A2261" i="2" s="1"/>
  <c r="E2261" i="2"/>
  <c r="D2262" i="2"/>
  <c r="A2262" i="2" s="1"/>
  <c r="E2262" i="2"/>
  <c r="D2263" i="2"/>
  <c r="E2263" i="2"/>
  <c r="D2264" i="2"/>
  <c r="A2264" i="2" s="1"/>
  <c r="E2264" i="2"/>
  <c r="D2265" i="2"/>
  <c r="A2265" i="2" s="1"/>
  <c r="E2265" i="2"/>
  <c r="D2266" i="2"/>
  <c r="A2266" i="2" s="1"/>
  <c r="E2266" i="2"/>
  <c r="D2267" i="2"/>
  <c r="E2267" i="2"/>
  <c r="D2268" i="2"/>
  <c r="A2268" i="2" s="1"/>
  <c r="E2268" i="2"/>
  <c r="D2269" i="2"/>
  <c r="A2269" i="2" s="1"/>
  <c r="E2269" i="2"/>
  <c r="D2270" i="2"/>
  <c r="A2270" i="2" s="1"/>
  <c r="E2270" i="2"/>
  <c r="D2271" i="2"/>
  <c r="E2271" i="2"/>
  <c r="D2272" i="2"/>
  <c r="A2272" i="2" s="1"/>
  <c r="E2272" i="2"/>
  <c r="D2273" i="2"/>
  <c r="A2273" i="2" s="1"/>
  <c r="E2273" i="2"/>
  <c r="D2274" i="2"/>
  <c r="A2274" i="2" s="1"/>
  <c r="E2274" i="2"/>
  <c r="D2275" i="2"/>
  <c r="E2275" i="2"/>
  <c r="D2276" i="2"/>
  <c r="A2276" i="2" s="1"/>
  <c r="E2276" i="2"/>
  <c r="D2277" i="2"/>
  <c r="A2277" i="2" s="1"/>
  <c r="E2277" i="2"/>
  <c r="D2278" i="2"/>
  <c r="A2278" i="2" s="1"/>
  <c r="E2278" i="2"/>
  <c r="D2279" i="2"/>
  <c r="E2279" i="2"/>
  <c r="D2280" i="2"/>
  <c r="A2280" i="2" s="1"/>
  <c r="E2280" i="2"/>
  <c r="D2281" i="2"/>
  <c r="A2281" i="2" s="1"/>
  <c r="E2281" i="2"/>
  <c r="D2282" i="2"/>
  <c r="A2282" i="2" s="1"/>
  <c r="E2282" i="2"/>
  <c r="D2283" i="2"/>
  <c r="E2283" i="2"/>
  <c r="D2284" i="2"/>
  <c r="A2284" i="2" s="1"/>
  <c r="E2284" i="2"/>
  <c r="D2285" i="2"/>
  <c r="A2285" i="2" s="1"/>
  <c r="E2285" i="2"/>
  <c r="D2286" i="2"/>
  <c r="A2286" i="2" s="1"/>
  <c r="E2286" i="2"/>
  <c r="D2287" i="2"/>
  <c r="E2287" i="2"/>
  <c r="D2288" i="2"/>
  <c r="A2288" i="2" s="1"/>
  <c r="E2288" i="2"/>
  <c r="D2289" i="2"/>
  <c r="A2289" i="2" s="1"/>
  <c r="E2289" i="2"/>
  <c r="D2290" i="2"/>
  <c r="A2290" i="2" s="1"/>
  <c r="E2290" i="2"/>
  <c r="D2291" i="2"/>
  <c r="E2291" i="2"/>
  <c r="D2292" i="2"/>
  <c r="A2292" i="2" s="1"/>
  <c r="E2292" i="2"/>
  <c r="D2293" i="2"/>
  <c r="A2293" i="2" s="1"/>
  <c r="E2293" i="2"/>
  <c r="D2294" i="2"/>
  <c r="A2294" i="2" s="1"/>
  <c r="E2294" i="2"/>
  <c r="D2295" i="2"/>
  <c r="E2295" i="2"/>
  <c r="D2296" i="2"/>
  <c r="A2296" i="2" s="1"/>
  <c r="E2296" i="2"/>
  <c r="D2297" i="2"/>
  <c r="A2297" i="2" s="1"/>
  <c r="E2297" i="2"/>
  <c r="D2298" i="2"/>
  <c r="A2298" i="2" s="1"/>
  <c r="E2298" i="2"/>
  <c r="D2299" i="2"/>
  <c r="E2299" i="2"/>
  <c r="D2300" i="2"/>
  <c r="A2300" i="2" s="1"/>
  <c r="E2300" i="2"/>
  <c r="D2301" i="2"/>
  <c r="A2301" i="2" s="1"/>
  <c r="E2301" i="2"/>
  <c r="D2302" i="2"/>
  <c r="A2302" i="2" s="1"/>
  <c r="E2302" i="2"/>
  <c r="D2303" i="2"/>
  <c r="E2303" i="2"/>
  <c r="D2304" i="2"/>
  <c r="A2304" i="2" s="1"/>
  <c r="E2304" i="2"/>
  <c r="D2305" i="2"/>
  <c r="A2305" i="2" s="1"/>
  <c r="E2305" i="2"/>
  <c r="D2306" i="2"/>
  <c r="A2306" i="2" s="1"/>
  <c r="E2306" i="2"/>
  <c r="D2307" i="2"/>
  <c r="E2307" i="2"/>
  <c r="D2308" i="2"/>
  <c r="A2308" i="2" s="1"/>
  <c r="E2308" i="2"/>
  <c r="D2309" i="2"/>
  <c r="A2309" i="2" s="1"/>
  <c r="E2309" i="2"/>
  <c r="D2310" i="2"/>
  <c r="A2310" i="2" s="1"/>
  <c r="E2310" i="2"/>
  <c r="D2311" i="2"/>
  <c r="E2311" i="2"/>
  <c r="D2312" i="2"/>
  <c r="A2312" i="2" s="1"/>
  <c r="E2312" i="2"/>
  <c r="D2313" i="2"/>
  <c r="A2313" i="2" s="1"/>
  <c r="E2313" i="2"/>
  <c r="D2314" i="2"/>
  <c r="A2314" i="2" s="1"/>
  <c r="E2314" i="2"/>
  <c r="D2315" i="2"/>
  <c r="E2315" i="2"/>
  <c r="D2316" i="2"/>
  <c r="A2316" i="2" s="1"/>
  <c r="E2316" i="2"/>
  <c r="D2317" i="2"/>
  <c r="A2317" i="2" s="1"/>
  <c r="E2317" i="2"/>
  <c r="D2318" i="2"/>
  <c r="A2318" i="2" s="1"/>
  <c r="E2318" i="2"/>
  <c r="D2319" i="2"/>
  <c r="E2319" i="2"/>
  <c r="D2320" i="2"/>
  <c r="A2320" i="2" s="1"/>
  <c r="E2320" i="2"/>
  <c r="D2321" i="2"/>
  <c r="A2321" i="2" s="1"/>
  <c r="E2321" i="2"/>
  <c r="D2322" i="2"/>
  <c r="A2322" i="2" s="1"/>
  <c r="E2322" i="2"/>
  <c r="D2323" i="2"/>
  <c r="E2323" i="2"/>
  <c r="D2324" i="2"/>
  <c r="A2324" i="2" s="1"/>
  <c r="E2324" i="2"/>
  <c r="D2325" i="2"/>
  <c r="A2325" i="2" s="1"/>
  <c r="E2325" i="2"/>
  <c r="D2326" i="2"/>
  <c r="A2326" i="2" s="1"/>
  <c r="E2326" i="2"/>
  <c r="D2327" i="2"/>
  <c r="E2327" i="2"/>
  <c r="D2328" i="2"/>
  <c r="A2328" i="2" s="1"/>
  <c r="E2328" i="2"/>
  <c r="D2329" i="2"/>
  <c r="A2329" i="2" s="1"/>
  <c r="E2329" i="2"/>
  <c r="D2330" i="2"/>
  <c r="A2330" i="2" s="1"/>
  <c r="E2330" i="2"/>
  <c r="D2331" i="2"/>
  <c r="E2331" i="2"/>
  <c r="D2332" i="2"/>
  <c r="A2332" i="2" s="1"/>
  <c r="E2332" i="2"/>
  <c r="D2333" i="2"/>
  <c r="A2333" i="2" s="1"/>
  <c r="E2333" i="2"/>
  <c r="D2334" i="2"/>
  <c r="A2334" i="2" s="1"/>
  <c r="E2334" i="2"/>
  <c r="D2335" i="2"/>
  <c r="E2335" i="2"/>
  <c r="D2336" i="2"/>
  <c r="A2336" i="2" s="1"/>
  <c r="E2336" i="2"/>
  <c r="D2337" i="2"/>
  <c r="A2337" i="2" s="1"/>
  <c r="E2337" i="2"/>
  <c r="D2338" i="2"/>
  <c r="A2338" i="2" s="1"/>
  <c r="E2338" i="2"/>
  <c r="D2339" i="2"/>
  <c r="E2339" i="2"/>
  <c r="D2340" i="2"/>
  <c r="A2340" i="2" s="1"/>
  <c r="E2340" i="2"/>
  <c r="D2341" i="2"/>
  <c r="A2341" i="2" s="1"/>
  <c r="E2341" i="2"/>
  <c r="D2342" i="2"/>
  <c r="A2342" i="2" s="1"/>
  <c r="E2342" i="2"/>
  <c r="D2343" i="2"/>
  <c r="E2343" i="2"/>
  <c r="D2344" i="2"/>
  <c r="A2344" i="2" s="1"/>
  <c r="E2344" i="2"/>
  <c r="D2345" i="2"/>
  <c r="A2345" i="2" s="1"/>
  <c r="E2345" i="2"/>
  <c r="D2346" i="2"/>
  <c r="A2346" i="2" s="1"/>
  <c r="E2346" i="2"/>
  <c r="D2347" i="2"/>
  <c r="E2347" i="2"/>
  <c r="D2348" i="2"/>
  <c r="A2348" i="2" s="1"/>
  <c r="E2348" i="2"/>
  <c r="D2349" i="2"/>
  <c r="A2349" i="2" s="1"/>
  <c r="E2349" i="2"/>
  <c r="D2350" i="2"/>
  <c r="A2350" i="2" s="1"/>
  <c r="E2350" i="2"/>
  <c r="D2351" i="2"/>
  <c r="E2351" i="2"/>
  <c r="D2352" i="2"/>
  <c r="A2352" i="2" s="1"/>
  <c r="E2352" i="2"/>
  <c r="D2353" i="2"/>
  <c r="A2353" i="2" s="1"/>
  <c r="E2353" i="2"/>
  <c r="D2354" i="2"/>
  <c r="A2354" i="2" s="1"/>
  <c r="E2354" i="2"/>
  <c r="D2355" i="2"/>
  <c r="E2355" i="2"/>
  <c r="D2356" i="2"/>
  <c r="A2356" i="2" s="1"/>
  <c r="E2356" i="2"/>
  <c r="D2357" i="2"/>
  <c r="A2357" i="2" s="1"/>
  <c r="E2357" i="2"/>
  <c r="D2358" i="2"/>
  <c r="A2358" i="2" s="1"/>
  <c r="E2358" i="2"/>
  <c r="D2359" i="2"/>
  <c r="E2359" i="2"/>
  <c r="D2360" i="2"/>
  <c r="A2360" i="2" s="1"/>
  <c r="E2360" i="2"/>
  <c r="D2361" i="2"/>
  <c r="A2361" i="2" s="1"/>
  <c r="E2361" i="2"/>
  <c r="D2362" i="2"/>
  <c r="A2362" i="2" s="1"/>
  <c r="E2362" i="2"/>
  <c r="D2363" i="2"/>
  <c r="E2363" i="2"/>
  <c r="D2364" i="2"/>
  <c r="A2364" i="2" s="1"/>
  <c r="E2364" i="2"/>
  <c r="D2365" i="2"/>
  <c r="A2365" i="2" s="1"/>
  <c r="E2365" i="2"/>
  <c r="D2366" i="2"/>
  <c r="A2366" i="2" s="1"/>
  <c r="E2366" i="2"/>
  <c r="D2367" i="2"/>
  <c r="E2367" i="2"/>
  <c r="D2368" i="2"/>
  <c r="A2368" i="2" s="1"/>
  <c r="E2368" i="2"/>
  <c r="D2369" i="2"/>
  <c r="A2369" i="2" s="1"/>
  <c r="E2369" i="2"/>
  <c r="D2370" i="2"/>
  <c r="A2370" i="2" s="1"/>
  <c r="E2370" i="2"/>
  <c r="D2371" i="2"/>
  <c r="E2371" i="2"/>
  <c r="D2372" i="2"/>
  <c r="A2372" i="2" s="1"/>
  <c r="E2372" i="2"/>
  <c r="D2373" i="2"/>
  <c r="A2373" i="2" s="1"/>
  <c r="E2373" i="2"/>
  <c r="D2374" i="2"/>
  <c r="A2374" i="2" s="1"/>
  <c r="E2374" i="2"/>
  <c r="D2375" i="2"/>
  <c r="E2375" i="2"/>
  <c r="D2376" i="2"/>
  <c r="A2376" i="2" s="1"/>
  <c r="E2376" i="2"/>
  <c r="D2377" i="2"/>
  <c r="A2377" i="2" s="1"/>
  <c r="E2377" i="2"/>
  <c r="D2378" i="2"/>
  <c r="A2378" i="2" s="1"/>
  <c r="E2378" i="2"/>
  <c r="D2379" i="2"/>
  <c r="E2379" i="2"/>
  <c r="D2380" i="2"/>
  <c r="A2380" i="2" s="1"/>
  <c r="E2380" i="2"/>
  <c r="D2381" i="2"/>
  <c r="A2381" i="2" s="1"/>
  <c r="E2381" i="2"/>
  <c r="D2382" i="2"/>
  <c r="A2382" i="2" s="1"/>
  <c r="E2382" i="2"/>
  <c r="D2383" i="2"/>
  <c r="E2383" i="2"/>
  <c r="D2384" i="2"/>
  <c r="A2384" i="2" s="1"/>
  <c r="E2384" i="2"/>
  <c r="D2385" i="2"/>
  <c r="A2385" i="2" s="1"/>
  <c r="E2385" i="2"/>
  <c r="D2386" i="2"/>
  <c r="A2386" i="2" s="1"/>
  <c r="E2386" i="2"/>
  <c r="D2387" i="2"/>
  <c r="E2387" i="2"/>
  <c r="D2388" i="2"/>
  <c r="A2388" i="2" s="1"/>
  <c r="E2388" i="2"/>
  <c r="D2389" i="2"/>
  <c r="A2389" i="2" s="1"/>
  <c r="E2389" i="2"/>
  <c r="D2390" i="2"/>
  <c r="A2390" i="2" s="1"/>
  <c r="E2390" i="2"/>
  <c r="D2391" i="2"/>
  <c r="E2391" i="2"/>
  <c r="D2392" i="2"/>
  <c r="A2392" i="2" s="1"/>
  <c r="E2392" i="2"/>
  <c r="D2393" i="2"/>
  <c r="A2393" i="2" s="1"/>
  <c r="E2393" i="2"/>
  <c r="D2394" i="2"/>
  <c r="A2394" i="2" s="1"/>
  <c r="E2394" i="2"/>
  <c r="D2395" i="2"/>
  <c r="E2395" i="2"/>
  <c r="D2396" i="2"/>
  <c r="A2396" i="2" s="1"/>
  <c r="E2396" i="2"/>
  <c r="D2397" i="2"/>
  <c r="A2397" i="2" s="1"/>
  <c r="E2397" i="2"/>
  <c r="D2398" i="2"/>
  <c r="A2398" i="2" s="1"/>
  <c r="E2398" i="2"/>
  <c r="D2399" i="2"/>
  <c r="E2399" i="2"/>
  <c r="D2400" i="2"/>
  <c r="A2400" i="2" s="1"/>
  <c r="E2400" i="2"/>
  <c r="D2401" i="2"/>
  <c r="A2401" i="2" s="1"/>
  <c r="E2401" i="2"/>
  <c r="D2402" i="2"/>
  <c r="A2402" i="2" s="1"/>
  <c r="E2402" i="2"/>
  <c r="D2403" i="2"/>
  <c r="E2403" i="2"/>
  <c r="D2404" i="2"/>
  <c r="A2404" i="2" s="1"/>
  <c r="E2404" i="2"/>
  <c r="D2405" i="2"/>
  <c r="A2405" i="2" s="1"/>
  <c r="E2405" i="2"/>
  <c r="D2406" i="2"/>
  <c r="A2406" i="2" s="1"/>
  <c r="E2406" i="2"/>
  <c r="D2407" i="2"/>
  <c r="E2407" i="2"/>
  <c r="D2408" i="2"/>
  <c r="A2408" i="2" s="1"/>
  <c r="E2408" i="2"/>
  <c r="D2409" i="2"/>
  <c r="A2409" i="2" s="1"/>
  <c r="E2409" i="2"/>
  <c r="D2410" i="2"/>
  <c r="A2410" i="2" s="1"/>
  <c r="E2410" i="2"/>
  <c r="D2411" i="2"/>
  <c r="E2411" i="2"/>
  <c r="D2412" i="2"/>
  <c r="A2412" i="2" s="1"/>
  <c r="E2412" i="2"/>
  <c r="D2413" i="2"/>
  <c r="A2413" i="2" s="1"/>
  <c r="E2413" i="2"/>
  <c r="D2414" i="2"/>
  <c r="A2414" i="2" s="1"/>
  <c r="E2414" i="2"/>
  <c r="D2415" i="2"/>
  <c r="E2415" i="2"/>
  <c r="D2416" i="2"/>
  <c r="A2416" i="2" s="1"/>
  <c r="E2416" i="2"/>
  <c r="D2417" i="2"/>
  <c r="A2417" i="2" s="1"/>
  <c r="E2417" i="2"/>
  <c r="D2418" i="2"/>
  <c r="A2418" i="2" s="1"/>
  <c r="E2418" i="2"/>
  <c r="D2419" i="2"/>
  <c r="E2419" i="2"/>
  <c r="D2420" i="2"/>
  <c r="A2420" i="2" s="1"/>
  <c r="E2420" i="2"/>
  <c r="D2421" i="2"/>
  <c r="A2421" i="2" s="1"/>
  <c r="E2421" i="2"/>
  <c r="D2422" i="2"/>
  <c r="A2422" i="2" s="1"/>
  <c r="E2422" i="2"/>
  <c r="D2423" i="2"/>
  <c r="E2423" i="2"/>
  <c r="D2424" i="2"/>
  <c r="A2424" i="2" s="1"/>
  <c r="E2424" i="2"/>
  <c r="D2425" i="2"/>
  <c r="A2425" i="2" s="1"/>
  <c r="E2425" i="2"/>
  <c r="D2426" i="2"/>
  <c r="A2426" i="2" s="1"/>
  <c r="E2426" i="2"/>
  <c r="D2427" i="2"/>
  <c r="E2427" i="2"/>
  <c r="D2428" i="2"/>
  <c r="A2428" i="2" s="1"/>
  <c r="E2428" i="2"/>
  <c r="D2429" i="2"/>
  <c r="A2429" i="2" s="1"/>
  <c r="E2429" i="2"/>
  <c r="D2430" i="2"/>
  <c r="A2430" i="2" s="1"/>
  <c r="E2430" i="2"/>
  <c r="D2431" i="2"/>
  <c r="E2431" i="2"/>
  <c r="D2432" i="2"/>
  <c r="A2432" i="2" s="1"/>
  <c r="E2432" i="2"/>
  <c r="D2433" i="2"/>
  <c r="A2433" i="2" s="1"/>
  <c r="E2433" i="2"/>
  <c r="D2434" i="2"/>
  <c r="A2434" i="2" s="1"/>
  <c r="E2434" i="2"/>
  <c r="D2435" i="2"/>
  <c r="E2435" i="2"/>
  <c r="D2436" i="2"/>
  <c r="A2436" i="2" s="1"/>
  <c r="E2436" i="2"/>
  <c r="D2437" i="2"/>
  <c r="A2437" i="2" s="1"/>
  <c r="E2437" i="2"/>
  <c r="D2438" i="2"/>
  <c r="A2438" i="2" s="1"/>
  <c r="E2438" i="2"/>
  <c r="D2439" i="2"/>
  <c r="E2439" i="2"/>
  <c r="D2440" i="2"/>
  <c r="A2440" i="2" s="1"/>
  <c r="E2440" i="2"/>
  <c r="D2441" i="2"/>
  <c r="A2441" i="2" s="1"/>
  <c r="E2441" i="2"/>
  <c r="D2442" i="2"/>
  <c r="A2442" i="2" s="1"/>
  <c r="E2442" i="2"/>
  <c r="D2443" i="2"/>
  <c r="E2443" i="2"/>
  <c r="D2444" i="2"/>
  <c r="A2444" i="2" s="1"/>
  <c r="E2444" i="2"/>
  <c r="D2445" i="2"/>
  <c r="A2445" i="2" s="1"/>
  <c r="E2445" i="2"/>
  <c r="D2446" i="2"/>
  <c r="A2446" i="2" s="1"/>
  <c r="E2446" i="2"/>
  <c r="D2447" i="2"/>
  <c r="E2447" i="2"/>
  <c r="D2448" i="2"/>
  <c r="A2448" i="2" s="1"/>
  <c r="E2448" i="2"/>
  <c r="D2449" i="2"/>
  <c r="A2449" i="2" s="1"/>
  <c r="E2449" i="2"/>
  <c r="D2450" i="2"/>
  <c r="A2450" i="2" s="1"/>
  <c r="E2450" i="2"/>
  <c r="D2451" i="2"/>
  <c r="E2451" i="2"/>
  <c r="D2452" i="2"/>
  <c r="A2452" i="2" s="1"/>
  <c r="E2452" i="2"/>
  <c r="D2453" i="2"/>
  <c r="A2453" i="2" s="1"/>
  <c r="E2453" i="2"/>
  <c r="D2454" i="2"/>
  <c r="A2454" i="2" s="1"/>
  <c r="E2454" i="2"/>
  <c r="D2455" i="2"/>
  <c r="E2455" i="2"/>
  <c r="D2456" i="2"/>
  <c r="A2456" i="2" s="1"/>
  <c r="E2456" i="2"/>
  <c r="D2457" i="2"/>
  <c r="A2457" i="2" s="1"/>
  <c r="E2457" i="2"/>
  <c r="D2458" i="2"/>
  <c r="A2458" i="2" s="1"/>
  <c r="E2458" i="2"/>
  <c r="D2459" i="2"/>
  <c r="E2459" i="2"/>
  <c r="D2460" i="2"/>
  <c r="A2460" i="2" s="1"/>
  <c r="E2460" i="2"/>
  <c r="D2461" i="2"/>
  <c r="A2461" i="2" s="1"/>
  <c r="E2461" i="2"/>
  <c r="D2462" i="2"/>
  <c r="A2462" i="2" s="1"/>
  <c r="E2462" i="2"/>
  <c r="D2463" i="2"/>
  <c r="E2463" i="2"/>
  <c r="D2464" i="2"/>
  <c r="A2464" i="2" s="1"/>
  <c r="E2464" i="2"/>
  <c r="D2465" i="2"/>
  <c r="A2465" i="2" s="1"/>
  <c r="E2465" i="2"/>
  <c r="D2466" i="2"/>
  <c r="A2466" i="2" s="1"/>
  <c r="E2466" i="2"/>
  <c r="D2467" i="2"/>
  <c r="E2467" i="2"/>
  <c r="D2468" i="2"/>
  <c r="A2468" i="2" s="1"/>
  <c r="E2468" i="2"/>
  <c r="D2469" i="2"/>
  <c r="A2469" i="2" s="1"/>
  <c r="E2469" i="2"/>
  <c r="D2470" i="2"/>
  <c r="A2470" i="2" s="1"/>
  <c r="E2470" i="2"/>
  <c r="D2471" i="2"/>
  <c r="E2471" i="2"/>
  <c r="D2472" i="2"/>
  <c r="A2472" i="2" s="1"/>
  <c r="E2472" i="2"/>
  <c r="D2473" i="2"/>
  <c r="A2473" i="2" s="1"/>
  <c r="E2473" i="2"/>
  <c r="D2474" i="2"/>
  <c r="A2474" i="2" s="1"/>
  <c r="E2474" i="2"/>
  <c r="D2475" i="2"/>
  <c r="E2475" i="2"/>
  <c r="D2476" i="2"/>
  <c r="A2476" i="2" s="1"/>
  <c r="E2476" i="2"/>
  <c r="D2477" i="2"/>
  <c r="A2477" i="2" s="1"/>
  <c r="E2477" i="2"/>
  <c r="D2478" i="2"/>
  <c r="A2478" i="2" s="1"/>
  <c r="E2478" i="2"/>
  <c r="D2479" i="2"/>
  <c r="E2479" i="2"/>
  <c r="D2480" i="2"/>
  <c r="A2480" i="2" s="1"/>
  <c r="E2480" i="2"/>
  <c r="D2481" i="2"/>
  <c r="A2481" i="2" s="1"/>
  <c r="E2481" i="2"/>
  <c r="D2482" i="2"/>
  <c r="A2482" i="2" s="1"/>
  <c r="E2482" i="2"/>
  <c r="D2483" i="2"/>
  <c r="E2483" i="2"/>
  <c r="D2484" i="2"/>
  <c r="A2484" i="2" s="1"/>
  <c r="E2484" i="2"/>
  <c r="D2485" i="2"/>
  <c r="A2485" i="2" s="1"/>
  <c r="E2485" i="2"/>
  <c r="D2486" i="2"/>
  <c r="A2486" i="2" s="1"/>
  <c r="E2486" i="2"/>
  <c r="D2487" i="2"/>
  <c r="E2487" i="2"/>
  <c r="D2488" i="2"/>
  <c r="A2488" i="2" s="1"/>
  <c r="E2488" i="2"/>
  <c r="D2489" i="2"/>
  <c r="A2489" i="2" s="1"/>
  <c r="E2489" i="2"/>
  <c r="D2490" i="2"/>
  <c r="A2490" i="2" s="1"/>
  <c r="E2490" i="2"/>
  <c r="D2491" i="2"/>
  <c r="E2491" i="2"/>
  <c r="D2492" i="2"/>
  <c r="A2492" i="2" s="1"/>
  <c r="E2492" i="2"/>
  <c r="D2493" i="2"/>
  <c r="A2493" i="2" s="1"/>
  <c r="E2493" i="2"/>
  <c r="D2494" i="2"/>
  <c r="A2494" i="2" s="1"/>
  <c r="E2494" i="2"/>
  <c r="D2495" i="2"/>
  <c r="E2495" i="2"/>
  <c r="D2496" i="2"/>
  <c r="A2496" i="2" s="1"/>
  <c r="E2496" i="2"/>
  <c r="D2497" i="2"/>
  <c r="A2497" i="2" s="1"/>
  <c r="E2497" i="2"/>
  <c r="D2498" i="2"/>
  <c r="A2498" i="2" s="1"/>
  <c r="E2498" i="2"/>
  <c r="D2499" i="2"/>
  <c r="E2499" i="2"/>
  <c r="D2500" i="2"/>
  <c r="A2500" i="2" s="1"/>
  <c r="E2500" i="2"/>
  <c r="D2501" i="2"/>
  <c r="A2501" i="2" s="1"/>
  <c r="E2501" i="2"/>
  <c r="D2502" i="2"/>
  <c r="A2502" i="2" s="1"/>
  <c r="E2502" i="2"/>
  <c r="D2503" i="2"/>
  <c r="E2503" i="2"/>
  <c r="D2504" i="2"/>
  <c r="A2504" i="2" s="1"/>
  <c r="E2504" i="2"/>
  <c r="D2505" i="2"/>
  <c r="A2505" i="2" s="1"/>
  <c r="E2505" i="2"/>
  <c r="D2506" i="2"/>
  <c r="A2506" i="2" s="1"/>
  <c r="E2506" i="2"/>
  <c r="D2507" i="2"/>
  <c r="E2507" i="2"/>
  <c r="D2508" i="2"/>
  <c r="A2508" i="2" s="1"/>
  <c r="E2508" i="2"/>
  <c r="D2509" i="2"/>
  <c r="A2509" i="2" s="1"/>
  <c r="E2509" i="2"/>
  <c r="D2510" i="2"/>
  <c r="A2510" i="2" s="1"/>
  <c r="E2510" i="2"/>
  <c r="D2511" i="2"/>
  <c r="E2511" i="2"/>
  <c r="D2512" i="2"/>
  <c r="A2512" i="2" s="1"/>
  <c r="E2512" i="2"/>
  <c r="D2513" i="2"/>
  <c r="A2513" i="2" s="1"/>
  <c r="E2513" i="2"/>
  <c r="D2514" i="2"/>
  <c r="A2514" i="2" s="1"/>
  <c r="E2514" i="2"/>
  <c r="D2515" i="2"/>
  <c r="E2515" i="2"/>
  <c r="D2516" i="2"/>
  <c r="A2516" i="2" s="1"/>
  <c r="E2516" i="2"/>
  <c r="D2517" i="2"/>
  <c r="A2517" i="2" s="1"/>
  <c r="E2517" i="2"/>
  <c r="D2518" i="2"/>
  <c r="A2518" i="2" s="1"/>
  <c r="E2518" i="2"/>
  <c r="D2519" i="2"/>
  <c r="E2519" i="2"/>
  <c r="D2520" i="2"/>
  <c r="A2520" i="2" s="1"/>
  <c r="E2520" i="2"/>
  <c r="D2521" i="2"/>
  <c r="A2521" i="2" s="1"/>
  <c r="E2521" i="2"/>
  <c r="D2522" i="2"/>
  <c r="A2522" i="2" s="1"/>
  <c r="E2522" i="2"/>
  <c r="D2523" i="2"/>
  <c r="E2523" i="2"/>
  <c r="D2524" i="2"/>
  <c r="A2524" i="2" s="1"/>
  <c r="E2524" i="2"/>
  <c r="D2525" i="2"/>
  <c r="A2525" i="2" s="1"/>
  <c r="E2525" i="2"/>
  <c r="D2526" i="2"/>
  <c r="A2526" i="2" s="1"/>
  <c r="E2526" i="2"/>
  <c r="D2527" i="2"/>
  <c r="E2527" i="2"/>
  <c r="D2528" i="2"/>
  <c r="A2528" i="2" s="1"/>
  <c r="E2528" i="2"/>
  <c r="D2529" i="2"/>
  <c r="A2529" i="2" s="1"/>
  <c r="E2529" i="2"/>
  <c r="D2530" i="2"/>
  <c r="A2530" i="2" s="1"/>
  <c r="E2530" i="2"/>
  <c r="D2531" i="2"/>
  <c r="E2531" i="2"/>
  <c r="D2532" i="2"/>
  <c r="A2532" i="2" s="1"/>
  <c r="E2532" i="2"/>
  <c r="D2533" i="2"/>
  <c r="A2533" i="2" s="1"/>
  <c r="E2533" i="2"/>
  <c r="D2534" i="2"/>
  <c r="A2534" i="2" s="1"/>
  <c r="E2534" i="2"/>
  <c r="D2535" i="2"/>
  <c r="E2535" i="2"/>
  <c r="D2536" i="2"/>
  <c r="A2536" i="2" s="1"/>
  <c r="E2536" i="2"/>
  <c r="D2537" i="2"/>
  <c r="A2537" i="2" s="1"/>
  <c r="E2537" i="2"/>
  <c r="D2538" i="2"/>
  <c r="A2538" i="2" s="1"/>
  <c r="E2538" i="2"/>
  <c r="D2539" i="2"/>
  <c r="E2539" i="2"/>
  <c r="D2540" i="2"/>
  <c r="A2540" i="2" s="1"/>
  <c r="E2540" i="2"/>
  <c r="D2541" i="2"/>
  <c r="A2541" i="2" s="1"/>
  <c r="E2541" i="2"/>
  <c r="D2542" i="2"/>
  <c r="A2542" i="2" s="1"/>
  <c r="E2542" i="2"/>
  <c r="D2543" i="2"/>
  <c r="E2543" i="2"/>
  <c r="D2544" i="2"/>
  <c r="A2544" i="2" s="1"/>
  <c r="E2544" i="2"/>
  <c r="D2545" i="2"/>
  <c r="A2545" i="2" s="1"/>
  <c r="E2545" i="2"/>
  <c r="D2546" i="2"/>
  <c r="A2546" i="2" s="1"/>
  <c r="E2546" i="2"/>
  <c r="D2547" i="2"/>
  <c r="E2547" i="2"/>
  <c r="D2548" i="2"/>
  <c r="A2548" i="2" s="1"/>
  <c r="E2548" i="2"/>
  <c r="D2549" i="2"/>
  <c r="A2549" i="2" s="1"/>
  <c r="E2549" i="2"/>
  <c r="D2550" i="2"/>
  <c r="A2550" i="2" s="1"/>
  <c r="E2550" i="2"/>
  <c r="D2551" i="2"/>
  <c r="E2551" i="2"/>
  <c r="D2552" i="2"/>
  <c r="A2552" i="2" s="1"/>
  <c r="E2552" i="2"/>
  <c r="D2553" i="2"/>
  <c r="A2553" i="2" s="1"/>
  <c r="E2553" i="2"/>
  <c r="D2554" i="2"/>
  <c r="A2554" i="2" s="1"/>
  <c r="E2554" i="2"/>
  <c r="D2555" i="2"/>
  <c r="E2555" i="2"/>
  <c r="D2556" i="2"/>
  <c r="A2556" i="2" s="1"/>
  <c r="E2556" i="2"/>
  <c r="D2557" i="2"/>
  <c r="A2557" i="2" s="1"/>
  <c r="E2557" i="2"/>
  <c r="D2558" i="2"/>
  <c r="A2558" i="2" s="1"/>
  <c r="E2558" i="2"/>
  <c r="D2559" i="2"/>
  <c r="E2559" i="2"/>
  <c r="D2560" i="2"/>
  <c r="A2560" i="2" s="1"/>
  <c r="E2560" i="2"/>
  <c r="D2561" i="2"/>
  <c r="A2561" i="2" s="1"/>
  <c r="E2561" i="2"/>
  <c r="D2562" i="2"/>
  <c r="A2562" i="2" s="1"/>
  <c r="E2562" i="2"/>
  <c r="D2563" i="2"/>
  <c r="E2563" i="2"/>
  <c r="D2564" i="2"/>
  <c r="A2564" i="2" s="1"/>
  <c r="E2564" i="2"/>
  <c r="D2565" i="2"/>
  <c r="A2565" i="2" s="1"/>
  <c r="E2565" i="2"/>
  <c r="D2566" i="2"/>
  <c r="A2566" i="2" s="1"/>
  <c r="E2566" i="2"/>
  <c r="D2567" i="2"/>
  <c r="E2567" i="2"/>
  <c r="D2568" i="2"/>
  <c r="A2568" i="2" s="1"/>
  <c r="E2568" i="2"/>
  <c r="D2569" i="2"/>
  <c r="A2569" i="2" s="1"/>
  <c r="E2569" i="2"/>
  <c r="D2570" i="2"/>
  <c r="A2570" i="2" s="1"/>
  <c r="E2570" i="2"/>
  <c r="D2571" i="2"/>
  <c r="E2571" i="2"/>
  <c r="D2572" i="2"/>
  <c r="A2572" i="2" s="1"/>
  <c r="E2572" i="2"/>
  <c r="D2573" i="2"/>
  <c r="A2573" i="2" s="1"/>
  <c r="E2573" i="2"/>
  <c r="D2574" i="2"/>
  <c r="A2574" i="2" s="1"/>
  <c r="E2574" i="2"/>
  <c r="D2575" i="2"/>
  <c r="E2575" i="2"/>
  <c r="D2576" i="2"/>
  <c r="A2576" i="2" s="1"/>
  <c r="E2576" i="2"/>
  <c r="D2577" i="2"/>
  <c r="A2577" i="2" s="1"/>
  <c r="E2577" i="2"/>
  <c r="D2578" i="2"/>
  <c r="A2578" i="2" s="1"/>
  <c r="E2578" i="2"/>
  <c r="D2579" i="2"/>
  <c r="E2579" i="2"/>
  <c r="D2580" i="2"/>
  <c r="A2580" i="2" s="1"/>
  <c r="E2580" i="2"/>
  <c r="D2581" i="2"/>
  <c r="A2581" i="2" s="1"/>
  <c r="E2581" i="2"/>
  <c r="D2582" i="2"/>
  <c r="A2582" i="2" s="1"/>
  <c r="E2582" i="2"/>
  <c r="D2583" i="2"/>
  <c r="E2583" i="2"/>
  <c r="D2584" i="2"/>
  <c r="A2584" i="2" s="1"/>
  <c r="E2584" i="2"/>
  <c r="D2585" i="2"/>
  <c r="A2585" i="2" s="1"/>
  <c r="E2585" i="2"/>
  <c r="D2586" i="2"/>
  <c r="A2586" i="2" s="1"/>
  <c r="E2586" i="2"/>
  <c r="D2587" i="2"/>
  <c r="E2587" i="2"/>
  <c r="D2588" i="2"/>
  <c r="A2588" i="2" s="1"/>
  <c r="E2588" i="2"/>
  <c r="D2589" i="2"/>
  <c r="A2589" i="2" s="1"/>
  <c r="E2589" i="2"/>
  <c r="D2590" i="2"/>
  <c r="A2590" i="2" s="1"/>
  <c r="E2590" i="2"/>
  <c r="D2591" i="2"/>
  <c r="E2591" i="2"/>
  <c r="D2592" i="2"/>
  <c r="A2592" i="2" s="1"/>
  <c r="E2592" i="2"/>
  <c r="D2593" i="2"/>
  <c r="A2593" i="2" s="1"/>
  <c r="E2593" i="2"/>
  <c r="D2594" i="2"/>
  <c r="A2594" i="2" s="1"/>
  <c r="E2594" i="2"/>
  <c r="D2595" i="2"/>
  <c r="E2595" i="2"/>
  <c r="D2596" i="2"/>
  <c r="A2596" i="2" s="1"/>
  <c r="E2596" i="2"/>
  <c r="D2597" i="2"/>
  <c r="A2597" i="2" s="1"/>
  <c r="E2597" i="2"/>
  <c r="D2598" i="2"/>
  <c r="A2598" i="2" s="1"/>
  <c r="E2598" i="2"/>
  <c r="D2599" i="2"/>
  <c r="E2599" i="2"/>
  <c r="D2600" i="2"/>
  <c r="A2600" i="2" s="1"/>
  <c r="E2600" i="2"/>
  <c r="D2601" i="2"/>
  <c r="A2601" i="2" s="1"/>
  <c r="E2601" i="2"/>
  <c r="D2602" i="2"/>
  <c r="A2602" i="2" s="1"/>
  <c r="E2602" i="2"/>
  <c r="D2603" i="2"/>
  <c r="E2603" i="2"/>
  <c r="D2604" i="2"/>
  <c r="A2604" i="2" s="1"/>
  <c r="E2604" i="2"/>
  <c r="D2605" i="2"/>
  <c r="A2605" i="2" s="1"/>
  <c r="E2605" i="2"/>
  <c r="D2606" i="2"/>
  <c r="A2606" i="2" s="1"/>
  <c r="E2606" i="2"/>
  <c r="D2607" i="2"/>
  <c r="E2607" i="2"/>
  <c r="D2608" i="2"/>
  <c r="A2608" i="2" s="1"/>
  <c r="E2608" i="2"/>
  <c r="D2609" i="2"/>
  <c r="A2609" i="2" s="1"/>
  <c r="E2609" i="2"/>
  <c r="D2610" i="2"/>
  <c r="A2610" i="2" s="1"/>
  <c r="E2610" i="2"/>
  <c r="D2611" i="2"/>
  <c r="E2611" i="2"/>
  <c r="D2612" i="2"/>
  <c r="A2612" i="2" s="1"/>
  <c r="E2612" i="2"/>
  <c r="D2613" i="2"/>
  <c r="A2613" i="2" s="1"/>
  <c r="E2613" i="2"/>
  <c r="D2614" i="2"/>
  <c r="A2614" i="2" s="1"/>
  <c r="E2614" i="2"/>
  <c r="D2615" i="2"/>
  <c r="E2615" i="2"/>
  <c r="D2616" i="2"/>
  <c r="A2616" i="2" s="1"/>
  <c r="E2616" i="2"/>
  <c r="D2617" i="2"/>
  <c r="A2617" i="2" s="1"/>
  <c r="E2617" i="2"/>
  <c r="D2618" i="2"/>
  <c r="A2618" i="2" s="1"/>
  <c r="E2618" i="2"/>
  <c r="D2619" i="2"/>
  <c r="E2619" i="2"/>
  <c r="D2620" i="2"/>
  <c r="A2620" i="2" s="1"/>
  <c r="E2620" i="2"/>
  <c r="D2621" i="2"/>
  <c r="A2621" i="2" s="1"/>
  <c r="E2621" i="2"/>
  <c r="D2622" i="2"/>
  <c r="A2622" i="2" s="1"/>
  <c r="E2622" i="2"/>
  <c r="D2623" i="2"/>
  <c r="E2623" i="2"/>
  <c r="D2624" i="2"/>
  <c r="A2624" i="2" s="1"/>
  <c r="E2624" i="2"/>
  <c r="D2625" i="2"/>
  <c r="A2625" i="2" s="1"/>
  <c r="E2625" i="2"/>
  <c r="D2626" i="2"/>
  <c r="A2626" i="2" s="1"/>
  <c r="E2626" i="2"/>
  <c r="D2627" i="2"/>
  <c r="E2627" i="2"/>
  <c r="D2628" i="2"/>
  <c r="A2628" i="2" s="1"/>
  <c r="E2628" i="2"/>
  <c r="D2629" i="2"/>
  <c r="A2629" i="2" s="1"/>
  <c r="E2629" i="2"/>
  <c r="D2630" i="2"/>
  <c r="A2630" i="2" s="1"/>
  <c r="E2630" i="2"/>
  <c r="D2631" i="2"/>
  <c r="E2631" i="2"/>
  <c r="D2632" i="2"/>
  <c r="A2632" i="2" s="1"/>
  <c r="E2632" i="2"/>
  <c r="D2633" i="2"/>
  <c r="A2633" i="2" s="1"/>
  <c r="E2633" i="2"/>
  <c r="D2634" i="2"/>
  <c r="A2634" i="2" s="1"/>
  <c r="E2634" i="2"/>
  <c r="D2635" i="2"/>
  <c r="E2635" i="2"/>
  <c r="D2636" i="2"/>
  <c r="A2636" i="2" s="1"/>
  <c r="E2636" i="2"/>
  <c r="D2637" i="2"/>
  <c r="A2637" i="2" s="1"/>
  <c r="E2637" i="2"/>
  <c r="D2638" i="2"/>
  <c r="A2638" i="2" s="1"/>
  <c r="E2638" i="2"/>
  <c r="D2639" i="2"/>
  <c r="E2639" i="2"/>
  <c r="D2640" i="2"/>
  <c r="A2640" i="2" s="1"/>
  <c r="E2640" i="2"/>
  <c r="D2641" i="2"/>
  <c r="A2641" i="2" s="1"/>
  <c r="E2641" i="2"/>
  <c r="D2642" i="2"/>
  <c r="A2642" i="2" s="1"/>
  <c r="E2642" i="2"/>
  <c r="D2643" i="2"/>
  <c r="E2643" i="2"/>
  <c r="D2644" i="2"/>
  <c r="A2644" i="2" s="1"/>
  <c r="E2644" i="2"/>
  <c r="D2645" i="2"/>
  <c r="A2645" i="2" s="1"/>
  <c r="E2645" i="2"/>
  <c r="D2646" i="2"/>
  <c r="A2646" i="2" s="1"/>
  <c r="E2646" i="2"/>
  <c r="D2647" i="2"/>
  <c r="E2647" i="2"/>
  <c r="D2648" i="2"/>
  <c r="A2648" i="2" s="1"/>
  <c r="E2648" i="2"/>
  <c r="D2649" i="2"/>
  <c r="A2649" i="2" s="1"/>
  <c r="E2649" i="2"/>
  <c r="D2650" i="2"/>
  <c r="A2650" i="2" s="1"/>
  <c r="E2650" i="2"/>
  <c r="D2651" i="2"/>
  <c r="E2651" i="2"/>
  <c r="D2652" i="2"/>
  <c r="A2652" i="2" s="1"/>
  <c r="E2652" i="2"/>
  <c r="D2653" i="2"/>
  <c r="A2653" i="2" s="1"/>
  <c r="E2653" i="2"/>
  <c r="D2654" i="2"/>
  <c r="A2654" i="2" s="1"/>
  <c r="E2654" i="2"/>
  <c r="D2655" i="2"/>
  <c r="E2655" i="2"/>
  <c r="D2656" i="2"/>
  <c r="A2656" i="2" s="1"/>
  <c r="E2656" i="2"/>
  <c r="D2657" i="2"/>
  <c r="A2657" i="2" s="1"/>
  <c r="E2657" i="2"/>
  <c r="D2658" i="2"/>
  <c r="A2658" i="2" s="1"/>
  <c r="E2658" i="2"/>
  <c r="D2659" i="2"/>
  <c r="E2659" i="2"/>
  <c r="D2660" i="2"/>
  <c r="A2660" i="2" s="1"/>
  <c r="E2660" i="2"/>
  <c r="D2661" i="2"/>
  <c r="A2661" i="2" s="1"/>
  <c r="E2661" i="2"/>
  <c r="D2662" i="2"/>
  <c r="A2662" i="2" s="1"/>
  <c r="E2662" i="2"/>
  <c r="D2663" i="2"/>
  <c r="E2663" i="2"/>
  <c r="D2664" i="2"/>
  <c r="A2664" i="2" s="1"/>
  <c r="E2664" i="2"/>
  <c r="D2665" i="2"/>
  <c r="A2665" i="2" s="1"/>
  <c r="E2665" i="2"/>
  <c r="D2666" i="2"/>
  <c r="A2666" i="2" s="1"/>
  <c r="E2666" i="2"/>
  <c r="D2667" i="2"/>
  <c r="E2667" i="2"/>
  <c r="D2668" i="2"/>
  <c r="A2668" i="2" s="1"/>
  <c r="E2668" i="2"/>
  <c r="D2669" i="2"/>
  <c r="A2669" i="2" s="1"/>
  <c r="E2669" i="2"/>
  <c r="D2670" i="2"/>
  <c r="A2670" i="2" s="1"/>
  <c r="E2670" i="2"/>
  <c r="D2671" i="2"/>
  <c r="E2671" i="2"/>
  <c r="D2672" i="2"/>
  <c r="A2672" i="2" s="1"/>
  <c r="E2672" i="2"/>
  <c r="D2673" i="2"/>
  <c r="A2673" i="2" s="1"/>
  <c r="E2673" i="2"/>
  <c r="D2674" i="2"/>
  <c r="A2674" i="2" s="1"/>
  <c r="E2674" i="2"/>
  <c r="D2675" i="2"/>
  <c r="E2675" i="2"/>
  <c r="D2676" i="2"/>
  <c r="A2676" i="2" s="1"/>
  <c r="E2676" i="2"/>
  <c r="D2677" i="2"/>
  <c r="A2677" i="2" s="1"/>
  <c r="E2677" i="2"/>
  <c r="D2678" i="2"/>
  <c r="A2678" i="2" s="1"/>
  <c r="E2678" i="2"/>
  <c r="D2679" i="2"/>
  <c r="E2679" i="2"/>
  <c r="D2680" i="2"/>
  <c r="A2680" i="2" s="1"/>
  <c r="E2680" i="2"/>
  <c r="D2681" i="2"/>
  <c r="A2681" i="2" s="1"/>
  <c r="E2681" i="2"/>
  <c r="D2682" i="2"/>
  <c r="A2682" i="2" s="1"/>
  <c r="E2682" i="2"/>
  <c r="D2683" i="2"/>
  <c r="E2683" i="2"/>
  <c r="D2684" i="2"/>
  <c r="A2684" i="2" s="1"/>
  <c r="E2684" i="2"/>
  <c r="D2685" i="2"/>
  <c r="A2685" i="2" s="1"/>
  <c r="E2685" i="2"/>
  <c r="D2686" i="2"/>
  <c r="A2686" i="2" s="1"/>
  <c r="E2686" i="2"/>
  <c r="D2687" i="2"/>
  <c r="E2687" i="2"/>
  <c r="D2688" i="2"/>
  <c r="A2688" i="2" s="1"/>
  <c r="E2688" i="2"/>
  <c r="D2689" i="2"/>
  <c r="A2689" i="2" s="1"/>
  <c r="E2689" i="2"/>
  <c r="D2690" i="2"/>
  <c r="A2690" i="2" s="1"/>
  <c r="E2690" i="2"/>
  <c r="D2691" i="2"/>
  <c r="E2691" i="2"/>
  <c r="D2692" i="2"/>
  <c r="A2692" i="2" s="1"/>
  <c r="E2692" i="2"/>
  <c r="D2693" i="2"/>
  <c r="A2693" i="2" s="1"/>
  <c r="E2693" i="2"/>
  <c r="D2694" i="2"/>
  <c r="A2694" i="2" s="1"/>
  <c r="E2694" i="2"/>
  <c r="D2695" i="2"/>
  <c r="E2695" i="2"/>
  <c r="D2696" i="2"/>
  <c r="A2696" i="2" s="1"/>
  <c r="E2696" i="2"/>
  <c r="D2697" i="2"/>
  <c r="A2697" i="2" s="1"/>
  <c r="E2697" i="2"/>
  <c r="D2698" i="2"/>
  <c r="A2698" i="2" s="1"/>
  <c r="E2698" i="2"/>
  <c r="D2699" i="2"/>
  <c r="E2699" i="2"/>
  <c r="D2700" i="2"/>
  <c r="A2700" i="2" s="1"/>
  <c r="E2700" i="2"/>
  <c r="D2701" i="2"/>
  <c r="A2701" i="2" s="1"/>
  <c r="E2701" i="2"/>
  <c r="D2702" i="2"/>
  <c r="A2702" i="2" s="1"/>
  <c r="E2702" i="2"/>
  <c r="D2703" i="2"/>
  <c r="E2703" i="2"/>
  <c r="D2704" i="2"/>
  <c r="A2704" i="2" s="1"/>
  <c r="E2704" i="2"/>
  <c r="D2705" i="2"/>
  <c r="A2705" i="2" s="1"/>
  <c r="E2705" i="2"/>
  <c r="D2706" i="2"/>
  <c r="A2706" i="2" s="1"/>
  <c r="E2706" i="2"/>
  <c r="D2707" i="2"/>
  <c r="E2707" i="2"/>
  <c r="D2708" i="2"/>
  <c r="A2708" i="2" s="1"/>
  <c r="E2708" i="2"/>
  <c r="D2709" i="2"/>
  <c r="A2709" i="2" s="1"/>
  <c r="E2709" i="2"/>
  <c r="D2710" i="2"/>
  <c r="A2710" i="2" s="1"/>
  <c r="E2710" i="2"/>
  <c r="D2711" i="2"/>
  <c r="E2711" i="2"/>
  <c r="D2712" i="2"/>
  <c r="A2712" i="2" s="1"/>
  <c r="E2712" i="2"/>
  <c r="D2713" i="2"/>
  <c r="A2713" i="2" s="1"/>
  <c r="E2713" i="2"/>
  <c r="D2714" i="2"/>
  <c r="A2714" i="2" s="1"/>
  <c r="E2714" i="2"/>
  <c r="D2715" i="2"/>
  <c r="E2715" i="2"/>
  <c r="D2716" i="2"/>
  <c r="A2716" i="2" s="1"/>
  <c r="E2716" i="2"/>
  <c r="D2717" i="2"/>
  <c r="A2717" i="2" s="1"/>
  <c r="E2717" i="2"/>
  <c r="D2718" i="2"/>
  <c r="A2718" i="2" s="1"/>
  <c r="E2718" i="2"/>
  <c r="D2719" i="2"/>
  <c r="E2719" i="2"/>
  <c r="D2720" i="2"/>
  <c r="A2720" i="2" s="1"/>
  <c r="E2720" i="2"/>
  <c r="D2721" i="2"/>
  <c r="A2721" i="2" s="1"/>
  <c r="E2721" i="2"/>
  <c r="D2722" i="2"/>
  <c r="A2722" i="2" s="1"/>
  <c r="E2722" i="2"/>
  <c r="D2723" i="2"/>
  <c r="E2723" i="2"/>
  <c r="D2724" i="2"/>
  <c r="A2724" i="2" s="1"/>
  <c r="E2724" i="2"/>
  <c r="D2725" i="2"/>
  <c r="A2725" i="2" s="1"/>
  <c r="E2725" i="2"/>
  <c r="D2726" i="2"/>
  <c r="A2726" i="2" s="1"/>
  <c r="E2726" i="2"/>
  <c r="D2727" i="2"/>
  <c r="E2727" i="2"/>
  <c r="D2728" i="2"/>
  <c r="A2728" i="2" s="1"/>
  <c r="E2728" i="2"/>
  <c r="D2729" i="2"/>
  <c r="A2729" i="2" s="1"/>
  <c r="E2729" i="2"/>
  <c r="D2730" i="2"/>
  <c r="A2730" i="2" s="1"/>
  <c r="E2730" i="2"/>
  <c r="D2731" i="2"/>
  <c r="E2731" i="2"/>
  <c r="D2732" i="2"/>
  <c r="A2732" i="2" s="1"/>
  <c r="E2732" i="2"/>
  <c r="D2733" i="2"/>
  <c r="A2733" i="2" s="1"/>
  <c r="E2733" i="2"/>
  <c r="D2734" i="2"/>
  <c r="A2734" i="2" s="1"/>
  <c r="E2734" i="2"/>
  <c r="D2735" i="2"/>
  <c r="E2735" i="2"/>
  <c r="D2736" i="2"/>
  <c r="A2736" i="2" s="1"/>
  <c r="E2736" i="2"/>
  <c r="D2737" i="2"/>
  <c r="A2737" i="2" s="1"/>
  <c r="E2737" i="2"/>
  <c r="D2738" i="2"/>
  <c r="A2738" i="2" s="1"/>
  <c r="E2738" i="2"/>
  <c r="D2739" i="2"/>
  <c r="E2739" i="2"/>
  <c r="D2740" i="2"/>
  <c r="A2740" i="2" s="1"/>
  <c r="E2740" i="2"/>
  <c r="D2741" i="2"/>
  <c r="A2741" i="2" s="1"/>
  <c r="E2741" i="2"/>
  <c r="D2742" i="2"/>
  <c r="A2742" i="2" s="1"/>
  <c r="E2742" i="2"/>
  <c r="D2743" i="2"/>
  <c r="E2743" i="2"/>
  <c r="D2744" i="2"/>
  <c r="A2744" i="2" s="1"/>
  <c r="E2744" i="2"/>
  <c r="D2745" i="2"/>
  <c r="A2745" i="2" s="1"/>
  <c r="E2745" i="2"/>
  <c r="D2746" i="2"/>
  <c r="A2746" i="2" s="1"/>
  <c r="E2746" i="2"/>
  <c r="D2747" i="2"/>
  <c r="E2747" i="2"/>
  <c r="D2748" i="2"/>
  <c r="A2748" i="2" s="1"/>
  <c r="E2748" i="2"/>
  <c r="D2749" i="2"/>
  <c r="A2749" i="2" s="1"/>
  <c r="E2749" i="2"/>
  <c r="D2750" i="2"/>
  <c r="A2750" i="2" s="1"/>
  <c r="E2750" i="2"/>
  <c r="D2751" i="2"/>
  <c r="E2751" i="2"/>
  <c r="D2752" i="2"/>
  <c r="A2752" i="2" s="1"/>
  <c r="E2752" i="2"/>
  <c r="D2753" i="2"/>
  <c r="A2753" i="2" s="1"/>
  <c r="E2753" i="2"/>
  <c r="D2754" i="2"/>
  <c r="A2754" i="2" s="1"/>
  <c r="E2754" i="2"/>
  <c r="D2755" i="2"/>
  <c r="E2755" i="2"/>
  <c r="D2756" i="2"/>
  <c r="A2756" i="2" s="1"/>
  <c r="E2756" i="2"/>
  <c r="D2757" i="2"/>
  <c r="A2757" i="2" s="1"/>
  <c r="E2757" i="2"/>
  <c r="D2758" i="2"/>
  <c r="A2758" i="2" s="1"/>
  <c r="E2758" i="2"/>
  <c r="D2759" i="2"/>
  <c r="E2759" i="2"/>
  <c r="D2760" i="2"/>
  <c r="A2760" i="2" s="1"/>
  <c r="E2760" i="2"/>
  <c r="D2761" i="2"/>
  <c r="A2761" i="2" s="1"/>
  <c r="E2761" i="2"/>
  <c r="D2762" i="2"/>
  <c r="A2762" i="2" s="1"/>
  <c r="E2762" i="2"/>
  <c r="D2763" i="2"/>
  <c r="E2763" i="2"/>
  <c r="D2764" i="2"/>
  <c r="A2764" i="2" s="1"/>
  <c r="E2764" i="2"/>
  <c r="D2765" i="2"/>
  <c r="A2765" i="2" s="1"/>
  <c r="E2765" i="2"/>
  <c r="D2766" i="2"/>
  <c r="A2766" i="2" s="1"/>
  <c r="E2766" i="2"/>
  <c r="D2767" i="2"/>
  <c r="E2767" i="2"/>
  <c r="D2768" i="2"/>
  <c r="A2768" i="2" s="1"/>
  <c r="E2768" i="2"/>
  <c r="D2769" i="2"/>
  <c r="A2769" i="2" s="1"/>
  <c r="E2769" i="2"/>
  <c r="D2770" i="2"/>
  <c r="A2770" i="2" s="1"/>
  <c r="E2770" i="2"/>
  <c r="D2771" i="2"/>
  <c r="E2771" i="2"/>
  <c r="D2772" i="2"/>
  <c r="A2772" i="2" s="1"/>
  <c r="E2772" i="2"/>
  <c r="D2773" i="2"/>
  <c r="A2773" i="2" s="1"/>
  <c r="E2773" i="2"/>
  <c r="D2774" i="2"/>
  <c r="A2774" i="2" s="1"/>
  <c r="E2774" i="2"/>
  <c r="D2775" i="2"/>
  <c r="E2775" i="2"/>
  <c r="D2776" i="2"/>
  <c r="A2776" i="2" s="1"/>
  <c r="E2776" i="2"/>
  <c r="D2777" i="2"/>
  <c r="A2777" i="2" s="1"/>
  <c r="E2777" i="2"/>
  <c r="D2778" i="2"/>
  <c r="A2778" i="2" s="1"/>
  <c r="E2778" i="2"/>
  <c r="D2779" i="2"/>
  <c r="E2779" i="2"/>
  <c r="D2780" i="2"/>
  <c r="A2780" i="2" s="1"/>
  <c r="E2780" i="2"/>
  <c r="D2781" i="2"/>
  <c r="A2781" i="2" s="1"/>
  <c r="E2781" i="2"/>
  <c r="D2782" i="2"/>
  <c r="A2782" i="2" s="1"/>
  <c r="E2782" i="2"/>
  <c r="D2783" i="2"/>
  <c r="E2783" i="2"/>
  <c r="D2784" i="2"/>
  <c r="A2784" i="2" s="1"/>
  <c r="E2784" i="2"/>
  <c r="D2785" i="2"/>
  <c r="A2785" i="2" s="1"/>
  <c r="E2785" i="2"/>
  <c r="D2786" i="2"/>
  <c r="A2786" i="2" s="1"/>
  <c r="E2786" i="2"/>
  <c r="D2787" i="2"/>
  <c r="E2787" i="2"/>
  <c r="D2788" i="2"/>
  <c r="A2788" i="2" s="1"/>
  <c r="E2788" i="2"/>
  <c r="D2789" i="2"/>
  <c r="A2789" i="2" s="1"/>
  <c r="E2789" i="2"/>
  <c r="D2790" i="2"/>
  <c r="A2790" i="2" s="1"/>
  <c r="E2790" i="2"/>
  <c r="D2791" i="2"/>
  <c r="E2791" i="2"/>
  <c r="D2792" i="2"/>
  <c r="A2792" i="2" s="1"/>
  <c r="E2792" i="2"/>
  <c r="D2793" i="2"/>
  <c r="A2793" i="2" s="1"/>
  <c r="E2793" i="2"/>
  <c r="D2794" i="2"/>
  <c r="A2794" i="2" s="1"/>
  <c r="E2794" i="2"/>
  <c r="D2795" i="2"/>
  <c r="E2795" i="2"/>
  <c r="D2796" i="2"/>
  <c r="A2796" i="2" s="1"/>
  <c r="E2796" i="2"/>
  <c r="D2797" i="2"/>
  <c r="A2797" i="2" s="1"/>
  <c r="E2797" i="2"/>
  <c r="D2798" i="2"/>
  <c r="A2798" i="2" s="1"/>
  <c r="E2798" i="2"/>
  <c r="D2799" i="2"/>
  <c r="E2799" i="2"/>
  <c r="D2800" i="2"/>
  <c r="A2800" i="2" s="1"/>
  <c r="E2800" i="2"/>
  <c r="D2801" i="2"/>
  <c r="A2801" i="2" s="1"/>
  <c r="E2801" i="2"/>
  <c r="D2802" i="2"/>
  <c r="A2802" i="2" s="1"/>
  <c r="E2802" i="2"/>
  <c r="D2803" i="2"/>
  <c r="E2803" i="2"/>
  <c r="D2804" i="2"/>
  <c r="A2804" i="2" s="1"/>
  <c r="E2804" i="2"/>
  <c r="D2805" i="2"/>
  <c r="A2805" i="2" s="1"/>
  <c r="E2805" i="2"/>
  <c r="D2806" i="2"/>
  <c r="A2806" i="2" s="1"/>
  <c r="E2806" i="2"/>
  <c r="D2807" i="2"/>
  <c r="E2807" i="2"/>
  <c r="D2808" i="2"/>
  <c r="A2808" i="2" s="1"/>
  <c r="E2808" i="2"/>
  <c r="D2809" i="2"/>
  <c r="A2809" i="2" s="1"/>
  <c r="E2809" i="2"/>
  <c r="D2810" i="2"/>
  <c r="A2810" i="2" s="1"/>
  <c r="E2810" i="2"/>
  <c r="D2811" i="2"/>
  <c r="E2811" i="2"/>
  <c r="D2812" i="2"/>
  <c r="A2812" i="2" s="1"/>
  <c r="E2812" i="2"/>
  <c r="D2813" i="2"/>
  <c r="A2813" i="2" s="1"/>
  <c r="E2813" i="2"/>
  <c r="D2814" i="2"/>
  <c r="A2814" i="2" s="1"/>
  <c r="E2814" i="2"/>
  <c r="D2815" i="2"/>
  <c r="E2815" i="2"/>
  <c r="D2816" i="2"/>
  <c r="A2816" i="2" s="1"/>
  <c r="E2816" i="2"/>
  <c r="D2817" i="2"/>
  <c r="A2817" i="2" s="1"/>
  <c r="E2817" i="2"/>
  <c r="D2818" i="2"/>
  <c r="A2818" i="2" s="1"/>
  <c r="E2818" i="2"/>
  <c r="D2819" i="2"/>
  <c r="E2819" i="2"/>
  <c r="D2820" i="2"/>
  <c r="A2820" i="2" s="1"/>
  <c r="E2820" i="2"/>
  <c r="D2821" i="2"/>
  <c r="A2821" i="2" s="1"/>
  <c r="E2821" i="2"/>
  <c r="D2822" i="2"/>
  <c r="A2822" i="2" s="1"/>
  <c r="E2822" i="2"/>
  <c r="D2823" i="2"/>
  <c r="E2823" i="2"/>
  <c r="D2824" i="2"/>
  <c r="A2824" i="2" s="1"/>
  <c r="E2824" i="2"/>
  <c r="D2825" i="2"/>
  <c r="A2825" i="2" s="1"/>
  <c r="E2825" i="2"/>
  <c r="D2826" i="2"/>
  <c r="A2826" i="2" s="1"/>
  <c r="E2826" i="2"/>
  <c r="D2827" i="2"/>
  <c r="E2827" i="2"/>
  <c r="D2828" i="2"/>
  <c r="A2828" i="2" s="1"/>
  <c r="E2828" i="2"/>
  <c r="D2829" i="2"/>
  <c r="A2829" i="2" s="1"/>
  <c r="E2829" i="2"/>
  <c r="D2830" i="2"/>
  <c r="A2830" i="2" s="1"/>
  <c r="E2830" i="2"/>
  <c r="D2831" i="2"/>
  <c r="E2831" i="2"/>
  <c r="D2832" i="2"/>
  <c r="A2832" i="2" s="1"/>
  <c r="E2832" i="2"/>
  <c r="D2833" i="2"/>
  <c r="A2833" i="2" s="1"/>
  <c r="E2833" i="2"/>
  <c r="D2834" i="2"/>
  <c r="A2834" i="2" s="1"/>
  <c r="E2834" i="2"/>
  <c r="D2835" i="2"/>
  <c r="E2835" i="2"/>
  <c r="D2836" i="2"/>
  <c r="A2836" i="2" s="1"/>
  <c r="E2836" i="2"/>
  <c r="D2837" i="2"/>
  <c r="A2837" i="2" s="1"/>
  <c r="E2837" i="2"/>
  <c r="D2838" i="2"/>
  <c r="A2838" i="2" s="1"/>
  <c r="E2838" i="2"/>
  <c r="D2839" i="2"/>
  <c r="E2839" i="2"/>
  <c r="D2840" i="2"/>
  <c r="A2840" i="2" s="1"/>
  <c r="E2840" i="2"/>
  <c r="D2841" i="2"/>
  <c r="A2841" i="2" s="1"/>
  <c r="E2841" i="2"/>
  <c r="D2842" i="2"/>
  <c r="A2842" i="2" s="1"/>
  <c r="E2842" i="2"/>
  <c r="D2843" i="2"/>
  <c r="E2843" i="2"/>
  <c r="D2844" i="2"/>
  <c r="A2844" i="2" s="1"/>
  <c r="E2844" i="2"/>
  <c r="D2845" i="2"/>
  <c r="A2845" i="2" s="1"/>
  <c r="E2845" i="2"/>
  <c r="D2846" i="2"/>
  <c r="A2846" i="2" s="1"/>
  <c r="E2846" i="2"/>
  <c r="D2847" i="2"/>
  <c r="E2847" i="2"/>
  <c r="D2848" i="2"/>
  <c r="A2848" i="2" s="1"/>
  <c r="E2848" i="2"/>
  <c r="D2849" i="2"/>
  <c r="A2849" i="2" s="1"/>
  <c r="E2849" i="2"/>
  <c r="D2850" i="2"/>
  <c r="A2850" i="2" s="1"/>
  <c r="E2850" i="2"/>
  <c r="D2851" i="2"/>
  <c r="E2851" i="2"/>
  <c r="D2852" i="2"/>
  <c r="A2852" i="2" s="1"/>
  <c r="E2852" i="2"/>
  <c r="D2853" i="2"/>
  <c r="A2853" i="2" s="1"/>
  <c r="E2853" i="2"/>
  <c r="D2854" i="2"/>
  <c r="A2854" i="2" s="1"/>
  <c r="E2854" i="2"/>
  <c r="D2855" i="2"/>
  <c r="E2855" i="2"/>
  <c r="D2856" i="2"/>
  <c r="A2856" i="2" s="1"/>
  <c r="E2856" i="2"/>
  <c r="D2857" i="2"/>
  <c r="A2857" i="2" s="1"/>
  <c r="E2857" i="2"/>
  <c r="D2858" i="2"/>
  <c r="A2858" i="2" s="1"/>
  <c r="E2858" i="2"/>
  <c r="D2859" i="2"/>
  <c r="E2859" i="2"/>
  <c r="D2860" i="2"/>
  <c r="A2860" i="2" s="1"/>
  <c r="E2860" i="2"/>
  <c r="D2861" i="2"/>
  <c r="A2861" i="2" s="1"/>
  <c r="E2861" i="2"/>
  <c r="D2862" i="2"/>
  <c r="A2862" i="2" s="1"/>
  <c r="E2862" i="2"/>
  <c r="D2863" i="2"/>
  <c r="E2863" i="2"/>
  <c r="D2864" i="2"/>
  <c r="A2864" i="2" s="1"/>
  <c r="E2864" i="2"/>
  <c r="D2865" i="2"/>
  <c r="A2865" i="2" s="1"/>
  <c r="E2865" i="2"/>
  <c r="D2866" i="2"/>
  <c r="A2866" i="2" s="1"/>
  <c r="E2866" i="2"/>
  <c r="D2867" i="2"/>
  <c r="E2867" i="2"/>
  <c r="D2868" i="2"/>
  <c r="A2868" i="2" s="1"/>
  <c r="E2868" i="2"/>
  <c r="D2869" i="2"/>
  <c r="A2869" i="2" s="1"/>
  <c r="E2869" i="2"/>
  <c r="D2870" i="2"/>
  <c r="A2870" i="2" s="1"/>
  <c r="E2870" i="2"/>
  <c r="D2871" i="2"/>
  <c r="E2871" i="2"/>
  <c r="D2872" i="2"/>
  <c r="A2872" i="2" s="1"/>
  <c r="E2872" i="2"/>
  <c r="D2873" i="2"/>
  <c r="A2873" i="2" s="1"/>
  <c r="E2873" i="2"/>
  <c r="D2874" i="2"/>
  <c r="A2874" i="2" s="1"/>
  <c r="E2874" i="2"/>
  <c r="D2875" i="2"/>
  <c r="E2875" i="2"/>
  <c r="D2876" i="2"/>
  <c r="A2876" i="2" s="1"/>
  <c r="E2876" i="2"/>
  <c r="D2877" i="2"/>
  <c r="A2877" i="2" s="1"/>
  <c r="E2877" i="2"/>
  <c r="D2878" i="2"/>
  <c r="A2878" i="2" s="1"/>
  <c r="E2878" i="2"/>
  <c r="D2879" i="2"/>
  <c r="E2879" i="2"/>
  <c r="D2880" i="2"/>
  <c r="A2880" i="2" s="1"/>
  <c r="E2880" i="2"/>
  <c r="D2881" i="2"/>
  <c r="A2881" i="2" s="1"/>
  <c r="E2881" i="2"/>
  <c r="D2882" i="2"/>
  <c r="A2882" i="2" s="1"/>
  <c r="E2882" i="2"/>
  <c r="D2883" i="2"/>
  <c r="E2883" i="2"/>
  <c r="D2884" i="2"/>
  <c r="A2884" i="2" s="1"/>
  <c r="E2884" i="2"/>
  <c r="D2885" i="2"/>
  <c r="A2885" i="2" s="1"/>
  <c r="E2885" i="2"/>
  <c r="D2886" i="2"/>
  <c r="A2886" i="2" s="1"/>
  <c r="E2886" i="2"/>
  <c r="D2887" i="2"/>
  <c r="E2887" i="2"/>
  <c r="D2888" i="2"/>
  <c r="A2888" i="2" s="1"/>
  <c r="E2888" i="2"/>
  <c r="D2889" i="2"/>
  <c r="A2889" i="2" s="1"/>
  <c r="E2889" i="2"/>
  <c r="D2890" i="2"/>
  <c r="A2890" i="2" s="1"/>
  <c r="E2890" i="2"/>
  <c r="D2891" i="2"/>
  <c r="E2891" i="2"/>
  <c r="D2892" i="2"/>
  <c r="A2892" i="2" s="1"/>
  <c r="E2892" i="2"/>
  <c r="D2893" i="2"/>
  <c r="A2893" i="2" s="1"/>
  <c r="E2893" i="2"/>
  <c r="D2894" i="2"/>
  <c r="A2894" i="2" s="1"/>
  <c r="E2894" i="2"/>
  <c r="D2895" i="2"/>
  <c r="E2895" i="2"/>
  <c r="D2896" i="2"/>
  <c r="A2896" i="2" s="1"/>
  <c r="E2896" i="2"/>
  <c r="D2897" i="2"/>
  <c r="A2897" i="2" s="1"/>
  <c r="E2897" i="2"/>
  <c r="D2898" i="2"/>
  <c r="A2898" i="2" s="1"/>
  <c r="E2898" i="2"/>
  <c r="D2899" i="2"/>
  <c r="E2899" i="2"/>
  <c r="D2900" i="2"/>
  <c r="A2900" i="2" s="1"/>
  <c r="E2900" i="2"/>
  <c r="D2901" i="2"/>
  <c r="A2901" i="2" s="1"/>
  <c r="E2901" i="2"/>
  <c r="D2902" i="2"/>
  <c r="A2902" i="2" s="1"/>
  <c r="E2902" i="2"/>
  <c r="D2903" i="2"/>
  <c r="E2903" i="2"/>
  <c r="D2904" i="2"/>
  <c r="A2904" i="2" s="1"/>
  <c r="E2904" i="2"/>
  <c r="D2905" i="2"/>
  <c r="A2905" i="2" s="1"/>
  <c r="E2905" i="2"/>
  <c r="D2906" i="2"/>
  <c r="A2906" i="2" s="1"/>
  <c r="E2906" i="2"/>
  <c r="D2907" i="2"/>
  <c r="E2907" i="2"/>
  <c r="D2908" i="2"/>
  <c r="A2908" i="2" s="1"/>
  <c r="E2908" i="2"/>
  <c r="D2909" i="2"/>
  <c r="A2909" i="2" s="1"/>
  <c r="E2909" i="2"/>
  <c r="D2910" i="2"/>
  <c r="A2910" i="2" s="1"/>
  <c r="E2910" i="2"/>
  <c r="D2911" i="2"/>
  <c r="E2911" i="2"/>
  <c r="D2912" i="2"/>
  <c r="A2912" i="2" s="1"/>
  <c r="E2912" i="2"/>
  <c r="D2913" i="2"/>
  <c r="A2913" i="2" s="1"/>
  <c r="E2913" i="2"/>
  <c r="D2914" i="2"/>
  <c r="A2914" i="2" s="1"/>
  <c r="E2914" i="2"/>
  <c r="D2915" i="2"/>
  <c r="E2915" i="2"/>
  <c r="D2916" i="2"/>
  <c r="A2916" i="2" s="1"/>
  <c r="E2916" i="2"/>
  <c r="D2917" i="2"/>
  <c r="A2917" i="2" s="1"/>
  <c r="E2917" i="2"/>
  <c r="D2918" i="2"/>
  <c r="A2918" i="2" s="1"/>
  <c r="E2918" i="2"/>
  <c r="D2919" i="2"/>
  <c r="E2919" i="2"/>
  <c r="D2920" i="2"/>
  <c r="A2920" i="2" s="1"/>
  <c r="E2920" i="2"/>
  <c r="D2921" i="2"/>
  <c r="A2921" i="2" s="1"/>
  <c r="E2921" i="2"/>
  <c r="D2922" i="2"/>
  <c r="A2922" i="2" s="1"/>
  <c r="E2922" i="2"/>
  <c r="D2923" i="2"/>
  <c r="E2923" i="2"/>
  <c r="D2924" i="2"/>
  <c r="A2924" i="2" s="1"/>
  <c r="E2924" i="2"/>
  <c r="D2925" i="2"/>
  <c r="A2925" i="2" s="1"/>
  <c r="E2925" i="2"/>
  <c r="D2926" i="2"/>
  <c r="A2926" i="2" s="1"/>
  <c r="E2926" i="2"/>
  <c r="D2927" i="2"/>
  <c r="E2927" i="2"/>
  <c r="D2928" i="2"/>
  <c r="A2928" i="2" s="1"/>
  <c r="E2928" i="2"/>
  <c r="D2929" i="2"/>
  <c r="A2929" i="2" s="1"/>
  <c r="E2929" i="2"/>
  <c r="D2930" i="2"/>
  <c r="A2930" i="2" s="1"/>
  <c r="E2930" i="2"/>
  <c r="D2931" i="2"/>
  <c r="E2931" i="2"/>
  <c r="D2932" i="2"/>
  <c r="A2932" i="2" s="1"/>
  <c r="E2932" i="2"/>
  <c r="D2933" i="2"/>
  <c r="A2933" i="2" s="1"/>
  <c r="E2933" i="2"/>
  <c r="D2934" i="2"/>
  <c r="A2934" i="2" s="1"/>
  <c r="E2934" i="2"/>
  <c r="D2935" i="2"/>
  <c r="E2935" i="2"/>
  <c r="D2936" i="2"/>
  <c r="A2936" i="2" s="1"/>
  <c r="E2936" i="2"/>
  <c r="D2937" i="2"/>
  <c r="A2937" i="2" s="1"/>
  <c r="E2937" i="2"/>
  <c r="D2938" i="2"/>
  <c r="A2938" i="2" s="1"/>
  <c r="E2938" i="2"/>
  <c r="D2939" i="2"/>
  <c r="E2939" i="2"/>
  <c r="D2940" i="2"/>
  <c r="A2940" i="2" s="1"/>
  <c r="E2940" i="2"/>
  <c r="D2941" i="2"/>
  <c r="A2941" i="2" s="1"/>
  <c r="E2941" i="2"/>
  <c r="D2942" i="2"/>
  <c r="A2942" i="2" s="1"/>
  <c r="E2942" i="2"/>
  <c r="D2943" i="2"/>
  <c r="E2943" i="2"/>
  <c r="D2944" i="2"/>
  <c r="A2944" i="2" s="1"/>
  <c r="E2944" i="2"/>
  <c r="D2945" i="2"/>
  <c r="A2945" i="2" s="1"/>
  <c r="E2945" i="2"/>
  <c r="D2946" i="2"/>
  <c r="A2946" i="2" s="1"/>
  <c r="E2946" i="2"/>
  <c r="D2947" i="2"/>
  <c r="E2947" i="2"/>
  <c r="D2948" i="2"/>
  <c r="A2948" i="2" s="1"/>
  <c r="E2948" i="2"/>
  <c r="D2949" i="2"/>
  <c r="A2949" i="2" s="1"/>
  <c r="E2949" i="2"/>
  <c r="D2950" i="2"/>
  <c r="A2950" i="2" s="1"/>
  <c r="E2950" i="2"/>
  <c r="D2951" i="2"/>
  <c r="E2951" i="2"/>
  <c r="D2952" i="2"/>
  <c r="A2952" i="2" s="1"/>
  <c r="E2952" i="2"/>
  <c r="D2953" i="2"/>
  <c r="A2953" i="2" s="1"/>
  <c r="E2953" i="2"/>
  <c r="D2954" i="2"/>
  <c r="A2954" i="2" s="1"/>
  <c r="E2954" i="2"/>
  <c r="D2955" i="2"/>
  <c r="E2955" i="2"/>
  <c r="D2956" i="2"/>
  <c r="A2956" i="2" s="1"/>
  <c r="E2956" i="2"/>
  <c r="D2957" i="2"/>
  <c r="A2957" i="2" s="1"/>
  <c r="E2957" i="2"/>
  <c r="D2958" i="2"/>
  <c r="A2958" i="2" s="1"/>
  <c r="E2958" i="2"/>
  <c r="D2959" i="2"/>
  <c r="E2959" i="2"/>
  <c r="D2960" i="2"/>
  <c r="A2960" i="2" s="1"/>
  <c r="E2960" i="2"/>
  <c r="D2961" i="2"/>
  <c r="A2961" i="2" s="1"/>
  <c r="E2961" i="2"/>
  <c r="D2962" i="2"/>
  <c r="A2962" i="2" s="1"/>
  <c r="E2962" i="2"/>
  <c r="D2963" i="2"/>
  <c r="E2963" i="2"/>
  <c r="D2964" i="2"/>
  <c r="A2964" i="2" s="1"/>
  <c r="E2964" i="2"/>
  <c r="D2965" i="2"/>
  <c r="A2965" i="2" s="1"/>
  <c r="E2965" i="2"/>
  <c r="D2966" i="2"/>
  <c r="A2966" i="2" s="1"/>
  <c r="E2966" i="2"/>
  <c r="D2967" i="2"/>
  <c r="E2967" i="2"/>
  <c r="D2968" i="2"/>
  <c r="A2968" i="2" s="1"/>
  <c r="E2968" i="2"/>
  <c r="D2969" i="2"/>
  <c r="A2969" i="2" s="1"/>
  <c r="E2969" i="2"/>
  <c r="D2970" i="2"/>
  <c r="A2970" i="2" s="1"/>
  <c r="E2970" i="2"/>
  <c r="D2971" i="2"/>
  <c r="E2971" i="2"/>
  <c r="D2972" i="2"/>
  <c r="A2972" i="2" s="1"/>
  <c r="E2972" i="2"/>
  <c r="D2973" i="2"/>
  <c r="A2973" i="2" s="1"/>
  <c r="E2973" i="2"/>
  <c r="D2974" i="2"/>
  <c r="A2974" i="2" s="1"/>
  <c r="E2974" i="2"/>
  <c r="D2975" i="2"/>
  <c r="E2975" i="2"/>
  <c r="D2976" i="2"/>
  <c r="A2976" i="2" s="1"/>
  <c r="E2976" i="2"/>
  <c r="D2977" i="2"/>
  <c r="A2977" i="2" s="1"/>
  <c r="E2977" i="2"/>
  <c r="D2978" i="2"/>
  <c r="A2978" i="2" s="1"/>
  <c r="E2978" i="2"/>
  <c r="D2979" i="2"/>
  <c r="E2979" i="2"/>
  <c r="D2980" i="2"/>
  <c r="A2980" i="2" s="1"/>
  <c r="E2980" i="2"/>
  <c r="D2981" i="2"/>
  <c r="A2981" i="2" s="1"/>
  <c r="E2981" i="2"/>
  <c r="D2982" i="2"/>
  <c r="A2982" i="2" s="1"/>
  <c r="E2982" i="2"/>
  <c r="D2983" i="2"/>
  <c r="E2983" i="2"/>
  <c r="D2984" i="2"/>
  <c r="A2984" i="2" s="1"/>
  <c r="E2984" i="2"/>
  <c r="D2985" i="2"/>
  <c r="A2985" i="2" s="1"/>
  <c r="E2985" i="2"/>
  <c r="D2986" i="2"/>
  <c r="A2986" i="2" s="1"/>
  <c r="E2986" i="2"/>
  <c r="D2987" i="2"/>
  <c r="E2987" i="2"/>
  <c r="D2988" i="2"/>
  <c r="A2988" i="2" s="1"/>
  <c r="E2988" i="2"/>
  <c r="D2989" i="2"/>
  <c r="A2989" i="2" s="1"/>
  <c r="E2989" i="2"/>
  <c r="D2990" i="2"/>
  <c r="A2990" i="2" s="1"/>
  <c r="E2990" i="2"/>
  <c r="D2991" i="2"/>
  <c r="E2991" i="2"/>
  <c r="D2992" i="2"/>
  <c r="A2992" i="2" s="1"/>
  <c r="E2992" i="2"/>
  <c r="D2993" i="2"/>
  <c r="A2993" i="2" s="1"/>
  <c r="E2993" i="2"/>
  <c r="D2994" i="2"/>
  <c r="A2994" i="2" s="1"/>
  <c r="E2994" i="2"/>
  <c r="D2995" i="2"/>
  <c r="E2995" i="2"/>
  <c r="D2996" i="2"/>
  <c r="A2996" i="2" s="1"/>
  <c r="E2996" i="2"/>
  <c r="D2997" i="2"/>
  <c r="A2997" i="2" s="1"/>
  <c r="E2997" i="2"/>
  <c r="D2998" i="2"/>
  <c r="A2998" i="2" s="1"/>
  <c r="E2998" i="2"/>
  <c r="D2999" i="2"/>
  <c r="E2999" i="2"/>
  <c r="D3000" i="2"/>
  <c r="A3000" i="2" s="1"/>
  <c r="E3000" i="2"/>
  <c r="D3001" i="2"/>
  <c r="A3001" i="2" s="1"/>
  <c r="E3001" i="2"/>
  <c r="D3002" i="2"/>
  <c r="A3002" i="2" s="1"/>
  <c r="E3002" i="2"/>
  <c r="D3003" i="2"/>
  <c r="E3003" i="2"/>
  <c r="D3004" i="2"/>
  <c r="A3004" i="2" s="1"/>
  <c r="E3004" i="2"/>
  <c r="D3005" i="2"/>
  <c r="A3005" i="2" s="1"/>
  <c r="E3005" i="2"/>
  <c r="D3006" i="2"/>
  <c r="A3006" i="2" s="1"/>
  <c r="E3006" i="2"/>
  <c r="D3007" i="2"/>
  <c r="E3007" i="2"/>
  <c r="D3008" i="2"/>
  <c r="A3008" i="2" s="1"/>
  <c r="E3008" i="2"/>
  <c r="D3009" i="2"/>
  <c r="A3009" i="2" s="1"/>
  <c r="E3009" i="2"/>
  <c r="D3010" i="2"/>
  <c r="A3010" i="2" s="1"/>
  <c r="E3010" i="2"/>
  <c r="D3011" i="2"/>
  <c r="E3011" i="2"/>
  <c r="D3012" i="2"/>
  <c r="A3012" i="2" s="1"/>
  <c r="E3012" i="2"/>
  <c r="D3013" i="2"/>
  <c r="A3013" i="2" s="1"/>
  <c r="E3013" i="2"/>
  <c r="D3014" i="2"/>
  <c r="A3014" i="2" s="1"/>
  <c r="E3014" i="2"/>
  <c r="D3015" i="2"/>
  <c r="E3015" i="2"/>
  <c r="D3016" i="2"/>
  <c r="A3016" i="2" s="1"/>
  <c r="E3016" i="2"/>
  <c r="D3017" i="2"/>
  <c r="A3017" i="2" s="1"/>
  <c r="E3017" i="2"/>
  <c r="D3018" i="2"/>
  <c r="A3018" i="2" s="1"/>
  <c r="E3018" i="2"/>
  <c r="D3019" i="2"/>
  <c r="E3019" i="2"/>
  <c r="D3020" i="2"/>
  <c r="A3020" i="2" s="1"/>
  <c r="E3020" i="2"/>
  <c r="D3021" i="2"/>
  <c r="A3021" i="2" s="1"/>
  <c r="E3021" i="2"/>
  <c r="D3022" i="2"/>
  <c r="A3022" i="2" s="1"/>
  <c r="E3022" i="2"/>
  <c r="D3023" i="2"/>
  <c r="E3023" i="2"/>
  <c r="D3024" i="2"/>
  <c r="A3024" i="2" s="1"/>
  <c r="E3024" i="2"/>
  <c r="D3025" i="2"/>
  <c r="A3025" i="2" s="1"/>
  <c r="E3025" i="2"/>
  <c r="D3026" i="2"/>
  <c r="A3026" i="2" s="1"/>
  <c r="E3026" i="2"/>
  <c r="D3027" i="2"/>
  <c r="E3027" i="2"/>
  <c r="D3028" i="2"/>
  <c r="A3028" i="2" s="1"/>
  <c r="E3028" i="2"/>
  <c r="D3029" i="2"/>
  <c r="A3029" i="2" s="1"/>
  <c r="E3029" i="2"/>
  <c r="D3030" i="2"/>
  <c r="A3030" i="2" s="1"/>
  <c r="E3030" i="2"/>
  <c r="D3031" i="2"/>
  <c r="E3031" i="2"/>
  <c r="D3032" i="2"/>
  <c r="A3032" i="2" s="1"/>
  <c r="E3032" i="2"/>
  <c r="D3033" i="2"/>
  <c r="A3033" i="2" s="1"/>
  <c r="E3033" i="2"/>
  <c r="D3034" i="2"/>
  <c r="A3034" i="2" s="1"/>
  <c r="E3034" i="2"/>
  <c r="D3035" i="2"/>
  <c r="E3035" i="2"/>
  <c r="D3036" i="2"/>
  <c r="A3036" i="2" s="1"/>
  <c r="E3036" i="2"/>
  <c r="D3037" i="2"/>
  <c r="A3037" i="2" s="1"/>
  <c r="E3037" i="2"/>
  <c r="D3038" i="2"/>
  <c r="A3038" i="2" s="1"/>
  <c r="E3038" i="2"/>
  <c r="D3039" i="2"/>
  <c r="E3039" i="2"/>
  <c r="D3040" i="2"/>
  <c r="A3040" i="2" s="1"/>
  <c r="E3040" i="2"/>
  <c r="D3041" i="2"/>
  <c r="A3041" i="2" s="1"/>
  <c r="E3041" i="2"/>
  <c r="D3042" i="2"/>
  <c r="A3042" i="2" s="1"/>
  <c r="E3042" i="2"/>
  <c r="D3043" i="2"/>
  <c r="E3043" i="2"/>
  <c r="D3044" i="2"/>
  <c r="A3044" i="2" s="1"/>
  <c r="E3044" i="2"/>
  <c r="D3045" i="2"/>
  <c r="A3045" i="2" s="1"/>
  <c r="E3045" i="2"/>
  <c r="D3046" i="2"/>
  <c r="A3046" i="2" s="1"/>
  <c r="E3046" i="2"/>
  <c r="D3047" i="2"/>
  <c r="E3047" i="2"/>
  <c r="D3048" i="2"/>
  <c r="A3048" i="2" s="1"/>
  <c r="E3048" i="2"/>
  <c r="D3049" i="2"/>
  <c r="A3049" i="2" s="1"/>
  <c r="E3049" i="2"/>
  <c r="D3050" i="2"/>
  <c r="A3050" i="2" s="1"/>
  <c r="E3050" i="2"/>
  <c r="D3051" i="2"/>
  <c r="E3051" i="2"/>
  <c r="D3052" i="2"/>
  <c r="A3052" i="2" s="1"/>
  <c r="E3052" i="2"/>
  <c r="D3053" i="2"/>
  <c r="A3053" i="2" s="1"/>
  <c r="E3053" i="2"/>
  <c r="D3054" i="2"/>
  <c r="A3054" i="2" s="1"/>
  <c r="E3054" i="2"/>
  <c r="D3055" i="2"/>
  <c r="E3055" i="2"/>
  <c r="D3056" i="2"/>
  <c r="A3056" i="2" s="1"/>
  <c r="E3056" i="2"/>
  <c r="D3057" i="2"/>
  <c r="A3057" i="2" s="1"/>
  <c r="E3057" i="2"/>
  <c r="D3058" i="2"/>
  <c r="A3058" i="2" s="1"/>
  <c r="E3058" i="2"/>
  <c r="D3059" i="2"/>
  <c r="E3059" i="2"/>
  <c r="D3060" i="2"/>
  <c r="A3060" i="2" s="1"/>
  <c r="E3060" i="2"/>
  <c r="D3061" i="2"/>
  <c r="A3061" i="2" s="1"/>
  <c r="E3061" i="2"/>
  <c r="D3062" i="2"/>
  <c r="A3062" i="2" s="1"/>
  <c r="E3062" i="2"/>
  <c r="D3063" i="2"/>
  <c r="E3063" i="2"/>
  <c r="D3064" i="2"/>
  <c r="A3064" i="2" s="1"/>
  <c r="E3064" i="2"/>
  <c r="D3065" i="2"/>
  <c r="A3065" i="2" s="1"/>
  <c r="E3065" i="2"/>
  <c r="D3066" i="2"/>
  <c r="A3066" i="2" s="1"/>
  <c r="E3066" i="2"/>
  <c r="D3067" i="2"/>
  <c r="E3067" i="2"/>
  <c r="D3068" i="2"/>
  <c r="A3068" i="2" s="1"/>
  <c r="E3068" i="2"/>
  <c r="D3069" i="2"/>
  <c r="A3069" i="2" s="1"/>
  <c r="E3069" i="2"/>
  <c r="D3070" i="2"/>
  <c r="A3070" i="2" s="1"/>
  <c r="E3070" i="2"/>
  <c r="D3071" i="2"/>
  <c r="E3071" i="2"/>
  <c r="D3072" i="2"/>
  <c r="A3072" i="2" s="1"/>
  <c r="E3072" i="2"/>
  <c r="D3073" i="2"/>
  <c r="A3073" i="2" s="1"/>
  <c r="E3073" i="2"/>
  <c r="D3074" i="2"/>
  <c r="A3074" i="2" s="1"/>
  <c r="E3074" i="2"/>
  <c r="D3075" i="2"/>
  <c r="E3075" i="2"/>
  <c r="D3076" i="2"/>
  <c r="A3076" i="2" s="1"/>
  <c r="E3076" i="2"/>
  <c r="D3077" i="2"/>
  <c r="A3077" i="2" s="1"/>
  <c r="E3077" i="2"/>
  <c r="D3078" i="2"/>
  <c r="A3078" i="2" s="1"/>
  <c r="E3078" i="2"/>
  <c r="D3079" i="2"/>
  <c r="E3079" i="2"/>
  <c r="D3080" i="2"/>
  <c r="A3080" i="2" s="1"/>
  <c r="E3080" i="2"/>
  <c r="D3081" i="2"/>
  <c r="A3081" i="2" s="1"/>
  <c r="E3081" i="2"/>
  <c r="D3082" i="2"/>
  <c r="A3082" i="2" s="1"/>
  <c r="E3082" i="2"/>
  <c r="D3083" i="2"/>
  <c r="E3083" i="2"/>
  <c r="D3084" i="2"/>
  <c r="A3084" i="2" s="1"/>
  <c r="E3084" i="2"/>
  <c r="D3085" i="2"/>
  <c r="A3085" i="2" s="1"/>
  <c r="E3085" i="2"/>
  <c r="D3086" i="2"/>
  <c r="A3086" i="2" s="1"/>
  <c r="E3086" i="2"/>
  <c r="D3087" i="2"/>
  <c r="E3087" i="2"/>
  <c r="D3088" i="2"/>
  <c r="A3088" i="2" s="1"/>
  <c r="E3088" i="2"/>
  <c r="D3089" i="2"/>
  <c r="A3089" i="2" s="1"/>
  <c r="E3089" i="2"/>
  <c r="D3090" i="2"/>
  <c r="A3090" i="2" s="1"/>
  <c r="E3090" i="2"/>
  <c r="D3091" i="2"/>
  <c r="E3091" i="2"/>
  <c r="D3092" i="2"/>
  <c r="A3092" i="2" s="1"/>
  <c r="E3092" i="2"/>
  <c r="D3093" i="2"/>
  <c r="A3093" i="2" s="1"/>
  <c r="E3093" i="2"/>
  <c r="D3094" i="2"/>
  <c r="A3094" i="2" s="1"/>
  <c r="E3094" i="2"/>
  <c r="D3095" i="2"/>
  <c r="E3095" i="2"/>
  <c r="D3096" i="2"/>
  <c r="A3096" i="2" s="1"/>
  <c r="E3096" i="2"/>
  <c r="D3097" i="2"/>
  <c r="A3097" i="2" s="1"/>
  <c r="E3097" i="2"/>
  <c r="D3098" i="2"/>
  <c r="A3098" i="2" s="1"/>
  <c r="E3098" i="2"/>
  <c r="D3099" i="2"/>
  <c r="E3099" i="2"/>
  <c r="D3100" i="2"/>
  <c r="A3100" i="2" s="1"/>
  <c r="E3100" i="2"/>
  <c r="D3101" i="2"/>
  <c r="A3101" i="2" s="1"/>
  <c r="E3101" i="2"/>
  <c r="D3102" i="2"/>
  <c r="A3102" i="2" s="1"/>
  <c r="E3102" i="2"/>
  <c r="D3103" i="2"/>
  <c r="E3103" i="2"/>
  <c r="D3104" i="2"/>
  <c r="A3104" i="2" s="1"/>
  <c r="E3104" i="2"/>
  <c r="D3105" i="2"/>
  <c r="A3105" i="2" s="1"/>
  <c r="E3105" i="2"/>
  <c r="D3106" i="2"/>
  <c r="A3106" i="2" s="1"/>
  <c r="E3106" i="2"/>
  <c r="D3107" i="2"/>
  <c r="E3107" i="2"/>
  <c r="D3108" i="2"/>
  <c r="A3108" i="2" s="1"/>
  <c r="E3108" i="2"/>
  <c r="D3109" i="2"/>
  <c r="A3109" i="2" s="1"/>
  <c r="E3109" i="2"/>
  <c r="D3110" i="2"/>
  <c r="A3110" i="2" s="1"/>
  <c r="E3110" i="2"/>
  <c r="D3111" i="2"/>
  <c r="E3111" i="2"/>
  <c r="D3112" i="2"/>
  <c r="A3112" i="2" s="1"/>
  <c r="E3112" i="2"/>
  <c r="D3113" i="2"/>
  <c r="A3113" i="2" s="1"/>
  <c r="E3113" i="2"/>
  <c r="D3114" i="2"/>
  <c r="A3114" i="2" s="1"/>
  <c r="E3114" i="2"/>
  <c r="D3115" i="2"/>
  <c r="E3115" i="2"/>
  <c r="D3116" i="2"/>
  <c r="A3116" i="2" s="1"/>
  <c r="E3116" i="2"/>
  <c r="D3117" i="2"/>
  <c r="A3117" i="2" s="1"/>
  <c r="E3117" i="2"/>
  <c r="D3118" i="2"/>
  <c r="A3118" i="2" s="1"/>
  <c r="E3118" i="2"/>
  <c r="D3119" i="2"/>
  <c r="E3119" i="2"/>
  <c r="D3120" i="2"/>
  <c r="A3120" i="2" s="1"/>
  <c r="E3120" i="2"/>
  <c r="D3121" i="2"/>
  <c r="A3121" i="2" s="1"/>
  <c r="E3121" i="2"/>
  <c r="D3122" i="2"/>
  <c r="A3122" i="2" s="1"/>
  <c r="E3122" i="2"/>
  <c r="D3123" i="2"/>
  <c r="E3123" i="2"/>
  <c r="D3124" i="2"/>
  <c r="A3124" i="2" s="1"/>
  <c r="E3124" i="2"/>
  <c r="D3125" i="2"/>
  <c r="A3125" i="2" s="1"/>
  <c r="E3125" i="2"/>
  <c r="D3126" i="2"/>
  <c r="A3126" i="2" s="1"/>
  <c r="E3126" i="2"/>
  <c r="D3127" i="2"/>
  <c r="E3127" i="2"/>
  <c r="D3128" i="2"/>
  <c r="A3128" i="2" s="1"/>
  <c r="E3128" i="2"/>
  <c r="D3129" i="2"/>
  <c r="A3129" i="2" s="1"/>
  <c r="E3129" i="2"/>
  <c r="D3130" i="2"/>
  <c r="A3130" i="2" s="1"/>
  <c r="E3130" i="2"/>
  <c r="D3131" i="2"/>
  <c r="E3131" i="2"/>
  <c r="D3132" i="2"/>
  <c r="A3132" i="2" s="1"/>
  <c r="E3132" i="2"/>
  <c r="D3133" i="2"/>
  <c r="A3133" i="2" s="1"/>
  <c r="E3133" i="2"/>
  <c r="D3134" i="2"/>
  <c r="A3134" i="2" s="1"/>
  <c r="E3134" i="2"/>
  <c r="D3135" i="2"/>
  <c r="E3135" i="2"/>
  <c r="D3136" i="2"/>
  <c r="A3136" i="2" s="1"/>
  <c r="E3136" i="2"/>
  <c r="D3137" i="2"/>
  <c r="A3137" i="2" s="1"/>
  <c r="E3137" i="2"/>
  <c r="D3138" i="2"/>
  <c r="A3138" i="2" s="1"/>
  <c r="E3138" i="2"/>
  <c r="D3139" i="2"/>
  <c r="E3139" i="2"/>
  <c r="D3140" i="2"/>
  <c r="A3140" i="2" s="1"/>
  <c r="E3140" i="2"/>
  <c r="D3141" i="2"/>
  <c r="A3141" i="2" s="1"/>
  <c r="E3141" i="2"/>
  <c r="D3142" i="2"/>
  <c r="A3142" i="2" s="1"/>
  <c r="E3142" i="2"/>
  <c r="D3143" i="2"/>
  <c r="E3143" i="2"/>
  <c r="D3144" i="2"/>
  <c r="A3144" i="2" s="1"/>
  <c r="E3144" i="2"/>
  <c r="D3145" i="2"/>
  <c r="A3145" i="2" s="1"/>
  <c r="E3145" i="2"/>
  <c r="E3146" i="2"/>
  <c r="A3146" i="2" s="1"/>
  <c r="E3147" i="2"/>
  <c r="A3147" i="2" s="1"/>
  <c r="E3148" i="2"/>
  <c r="A3148" i="2" s="1"/>
  <c r="E3149" i="2"/>
  <c r="A3149" i="2" s="1"/>
  <c r="E3150" i="2"/>
  <c r="A3150" i="2" s="1"/>
  <c r="E3151" i="2"/>
  <c r="A3151" i="2" s="1"/>
  <c r="E3152" i="2"/>
  <c r="A3152" i="2" s="1"/>
  <c r="E3153" i="2"/>
  <c r="A3153" i="2" s="1"/>
  <c r="E3154" i="2"/>
  <c r="A3154" i="2" s="1"/>
  <c r="E3155" i="2"/>
  <c r="A3155" i="2" s="1"/>
  <c r="E3156" i="2"/>
  <c r="A3156" i="2" s="1"/>
  <c r="E3157" i="2"/>
  <c r="A3157" i="2" s="1"/>
  <c r="E3158" i="2"/>
  <c r="A3158" i="2" s="1"/>
  <c r="E3159" i="2"/>
  <c r="A3159" i="2" s="1"/>
  <c r="E3160" i="2"/>
  <c r="A3160" i="2" s="1"/>
  <c r="E3161" i="2"/>
  <c r="A3161" i="2" s="1"/>
  <c r="E3162" i="2"/>
  <c r="A3162" i="2" s="1"/>
  <c r="E3163" i="2"/>
  <c r="A3163" i="2" s="1"/>
  <c r="E3164" i="2"/>
  <c r="A3164" i="2" s="1"/>
  <c r="E3165" i="2"/>
  <c r="A3165" i="2" s="1"/>
  <c r="E3166" i="2"/>
  <c r="A3166" i="2" s="1"/>
  <c r="E3167" i="2"/>
  <c r="A3167" i="2" s="1"/>
  <c r="E3168" i="2"/>
  <c r="A3168" i="2" s="1"/>
  <c r="E3169" i="2"/>
  <c r="A3169" i="2" s="1"/>
  <c r="E3170" i="2"/>
  <c r="A3170" i="2" s="1"/>
  <c r="E3171" i="2"/>
  <c r="A3171" i="2" s="1"/>
  <c r="E3172" i="2"/>
  <c r="A3172" i="2" s="1"/>
  <c r="E3173" i="2"/>
  <c r="A3173" i="2" s="1"/>
  <c r="E3174" i="2"/>
  <c r="A3174" i="2" s="1"/>
  <c r="E3175" i="2"/>
  <c r="A3175" i="2" s="1"/>
  <c r="E3176" i="2"/>
  <c r="A3176" i="2" s="1"/>
  <c r="E3177" i="2"/>
  <c r="A3177" i="2" s="1"/>
  <c r="E3178" i="2"/>
  <c r="A3178" i="2" s="1"/>
  <c r="E3179" i="2"/>
  <c r="A3179" i="2" s="1"/>
  <c r="E3180" i="2"/>
  <c r="A3180" i="2" s="1"/>
  <c r="E3181" i="2"/>
  <c r="A3181" i="2" s="1"/>
  <c r="E3182" i="2"/>
  <c r="A3182" i="2" s="1"/>
  <c r="E3183" i="2"/>
  <c r="A3183" i="2" s="1"/>
  <c r="E3184" i="2"/>
  <c r="A3184" i="2" s="1"/>
  <c r="E3185" i="2"/>
  <c r="A3185" i="2" s="1"/>
  <c r="E3186" i="2"/>
  <c r="A3186" i="2" s="1"/>
  <c r="E3187" i="2"/>
  <c r="A3187" i="2" s="1"/>
  <c r="E3188" i="2"/>
  <c r="A3188" i="2" s="1"/>
  <c r="E3189" i="2"/>
  <c r="A3189" i="2" s="1"/>
  <c r="E3190" i="2"/>
  <c r="A3190" i="2" s="1"/>
  <c r="E3191" i="2"/>
  <c r="A3191" i="2" s="1"/>
  <c r="E3192" i="2"/>
  <c r="A3192" i="2" s="1"/>
  <c r="E3193" i="2"/>
  <c r="A3193" i="2" s="1"/>
  <c r="E3194" i="2"/>
  <c r="A3194" i="2" s="1"/>
  <c r="E3195" i="2"/>
  <c r="A3195" i="2" s="1"/>
  <c r="E3196" i="2"/>
  <c r="A3196" i="2" s="1"/>
  <c r="E3197" i="2"/>
  <c r="A3197" i="2" s="1"/>
  <c r="E3198" i="2"/>
  <c r="A3198" i="2" s="1"/>
  <c r="E3199" i="2"/>
  <c r="A3199" i="2" s="1"/>
  <c r="E3200" i="2"/>
  <c r="A3200" i="2" s="1"/>
  <c r="E3201" i="2"/>
  <c r="A3201" i="2" s="1"/>
  <c r="E3202" i="2"/>
  <c r="A3202" i="2" s="1"/>
  <c r="E3203" i="2"/>
  <c r="A3203" i="2" s="1"/>
  <c r="E3204" i="2"/>
  <c r="A3204" i="2" s="1"/>
  <c r="E3205" i="2"/>
  <c r="A3205" i="2" s="1"/>
  <c r="E3206" i="2"/>
  <c r="A3206" i="2" s="1"/>
  <c r="E3207" i="2"/>
  <c r="A3207" i="2" s="1"/>
  <c r="E3208" i="2"/>
  <c r="A3208" i="2" s="1"/>
  <c r="E3209" i="2"/>
  <c r="A3209" i="2" s="1"/>
  <c r="E3210" i="2"/>
  <c r="A3210" i="2" s="1"/>
  <c r="E3211" i="2"/>
  <c r="A3211" i="2" s="1"/>
  <c r="E3212" i="2"/>
  <c r="A3212" i="2" s="1"/>
  <c r="E3213" i="2"/>
  <c r="A3213" i="2" s="1"/>
  <c r="E3214" i="2"/>
  <c r="A3214" i="2" s="1"/>
  <c r="E3215" i="2"/>
  <c r="A3215" i="2" s="1"/>
  <c r="E3216" i="2"/>
  <c r="A3216" i="2" s="1"/>
  <c r="E3217" i="2"/>
  <c r="A3217" i="2" s="1"/>
  <c r="E3218" i="2"/>
  <c r="A3218" i="2" s="1"/>
  <c r="E3219" i="2"/>
  <c r="A3219" i="2" s="1"/>
  <c r="E3220" i="2"/>
  <c r="A3220" i="2" s="1"/>
  <c r="E3221" i="2"/>
  <c r="A3221" i="2" s="1"/>
  <c r="E3222" i="2"/>
  <c r="A3222" i="2" s="1"/>
  <c r="E3223" i="2"/>
  <c r="A3223" i="2" s="1"/>
  <c r="E3224" i="2"/>
  <c r="A3224" i="2" s="1"/>
  <c r="E3225" i="2"/>
  <c r="A3225" i="2" s="1"/>
  <c r="E3226" i="2"/>
  <c r="A3226" i="2" s="1"/>
  <c r="E3227" i="2"/>
  <c r="A3227" i="2" s="1"/>
  <c r="E3228" i="2"/>
  <c r="A3228" i="2" s="1"/>
  <c r="E3229" i="2"/>
  <c r="A3229" i="2" s="1"/>
  <c r="E3230" i="2"/>
  <c r="A3230" i="2" s="1"/>
  <c r="E3231" i="2"/>
  <c r="A3231" i="2" s="1"/>
  <c r="E3232" i="2"/>
  <c r="A3232" i="2" s="1"/>
  <c r="E3233" i="2"/>
  <c r="A3233" i="2" s="1"/>
  <c r="E3234" i="2"/>
  <c r="A3234" i="2" s="1"/>
  <c r="E3235" i="2"/>
  <c r="A3235" i="2" s="1"/>
  <c r="E3236" i="2"/>
  <c r="A3236" i="2" s="1"/>
  <c r="E3237" i="2"/>
  <c r="A3237" i="2" s="1"/>
  <c r="E3238" i="2"/>
  <c r="A3238" i="2" s="1"/>
  <c r="E3239" i="2"/>
  <c r="A3239" i="2" s="1"/>
  <c r="E3240" i="2"/>
  <c r="A3240" i="2" s="1"/>
  <c r="E3241" i="2"/>
  <c r="A3241" i="2" s="1"/>
  <c r="E3242" i="2"/>
  <c r="A3242" i="2" s="1"/>
  <c r="E3243" i="2"/>
  <c r="A3243" i="2" s="1"/>
  <c r="E3244" i="2"/>
  <c r="A3244" i="2" s="1"/>
  <c r="E3245" i="2"/>
  <c r="A3245" i="2" s="1"/>
  <c r="E3246" i="2"/>
  <c r="A3246" i="2" s="1"/>
  <c r="E3247" i="2"/>
  <c r="A3247" i="2" s="1"/>
  <c r="E3248" i="2"/>
  <c r="A3248" i="2" s="1"/>
  <c r="E3249" i="2"/>
  <c r="A3249" i="2" s="1"/>
  <c r="E3250" i="2"/>
  <c r="A3250" i="2" s="1"/>
  <c r="E3251" i="2"/>
  <c r="A3251" i="2" s="1"/>
  <c r="E3252" i="2"/>
  <c r="A3252" i="2" s="1"/>
  <c r="E3253" i="2"/>
  <c r="A3253" i="2" s="1"/>
  <c r="E3254" i="2"/>
  <c r="A3254" i="2" s="1"/>
  <c r="E3255" i="2"/>
  <c r="A3255" i="2" s="1"/>
  <c r="E3256" i="2"/>
  <c r="A3256" i="2" s="1"/>
  <c r="E3257" i="2"/>
  <c r="A3257" i="2" s="1"/>
  <c r="E3258" i="2"/>
  <c r="A3258" i="2" s="1"/>
  <c r="E3259" i="2"/>
  <c r="A3259" i="2" s="1"/>
  <c r="E3260" i="2"/>
  <c r="A3260" i="2" s="1"/>
  <c r="E3261" i="2"/>
  <c r="A3261" i="2" s="1"/>
  <c r="E3262" i="2"/>
  <c r="A3262" i="2" s="1"/>
  <c r="E3263" i="2"/>
  <c r="A3263" i="2" s="1"/>
  <c r="E3264" i="2"/>
  <c r="A3264" i="2" s="1"/>
  <c r="E3265" i="2"/>
  <c r="A3265" i="2" s="1"/>
  <c r="E3266" i="2"/>
  <c r="A3266" i="2" s="1"/>
  <c r="E3267" i="2"/>
  <c r="A3267" i="2" s="1"/>
  <c r="E3268" i="2"/>
  <c r="A3268" i="2" s="1"/>
  <c r="E3269" i="2"/>
  <c r="A3269" i="2" s="1"/>
  <c r="E3270" i="2"/>
  <c r="A3270" i="2" s="1"/>
  <c r="E3271" i="2"/>
  <c r="A3271" i="2" s="1"/>
  <c r="E3272" i="2"/>
  <c r="A3272" i="2" s="1"/>
  <c r="E3273" i="2"/>
  <c r="A3273" i="2" s="1"/>
  <c r="E3274" i="2"/>
  <c r="A3274" i="2" s="1"/>
  <c r="E3275" i="2"/>
  <c r="A3275" i="2" s="1"/>
  <c r="E3276" i="2"/>
  <c r="A3276" i="2" s="1"/>
  <c r="E3277" i="2"/>
  <c r="A3277" i="2" s="1"/>
  <c r="E3278" i="2"/>
  <c r="A3278" i="2" s="1"/>
  <c r="E3279" i="2"/>
  <c r="A3279" i="2" s="1"/>
  <c r="E3280" i="2"/>
  <c r="A3280" i="2" s="1"/>
  <c r="E3281" i="2"/>
  <c r="A3281" i="2" s="1"/>
  <c r="E3282" i="2"/>
  <c r="A3282" i="2" s="1"/>
  <c r="E3283" i="2"/>
  <c r="A3283" i="2" s="1"/>
  <c r="E3284" i="2"/>
  <c r="A3284" i="2" s="1"/>
  <c r="E3285" i="2"/>
  <c r="A3285" i="2" s="1"/>
  <c r="E3286" i="2"/>
  <c r="A3286" i="2" s="1"/>
  <c r="E3287" i="2"/>
  <c r="A3287" i="2" s="1"/>
  <c r="E3288" i="2"/>
  <c r="A3288" i="2" s="1"/>
  <c r="E3289" i="2"/>
  <c r="A3289" i="2" s="1"/>
  <c r="E3290" i="2"/>
  <c r="A3290" i="2" s="1"/>
  <c r="E3291" i="2"/>
  <c r="A3291" i="2" s="1"/>
  <c r="E3292" i="2"/>
  <c r="A3292" i="2" s="1"/>
  <c r="E3293" i="2"/>
  <c r="A3293" i="2" s="1"/>
  <c r="E3294" i="2"/>
  <c r="A3294" i="2" s="1"/>
  <c r="E3295" i="2"/>
  <c r="A3295" i="2" s="1"/>
  <c r="E3296" i="2"/>
  <c r="A3296" i="2" s="1"/>
  <c r="E3297" i="2"/>
  <c r="A3297" i="2" s="1"/>
  <c r="E3298" i="2"/>
  <c r="A3298" i="2" s="1"/>
  <c r="E3299" i="2"/>
  <c r="A3299" i="2" s="1"/>
  <c r="E3300" i="2"/>
  <c r="A3300" i="2" s="1"/>
  <c r="E3301" i="2"/>
  <c r="A3301" i="2" s="1"/>
  <c r="E3302" i="2"/>
  <c r="A3302" i="2" s="1"/>
  <c r="E3303" i="2"/>
  <c r="A3303" i="2" s="1"/>
  <c r="E3304" i="2"/>
  <c r="A3304" i="2" s="1"/>
  <c r="E3305" i="2"/>
  <c r="A3305" i="2" s="1"/>
  <c r="E3306" i="2"/>
  <c r="A3306" i="2" s="1"/>
  <c r="E3307" i="2"/>
  <c r="A3307" i="2" s="1"/>
  <c r="E3308" i="2"/>
  <c r="A3308" i="2" s="1"/>
  <c r="E3309" i="2"/>
  <c r="A3309" i="2" s="1"/>
  <c r="E3310" i="2"/>
  <c r="A3310" i="2" s="1"/>
  <c r="E3311" i="2"/>
  <c r="A3311" i="2" s="1"/>
  <c r="E3312" i="2"/>
  <c r="A3312" i="2" s="1"/>
  <c r="E3313" i="2"/>
  <c r="A3313" i="2" s="1"/>
  <c r="E3314" i="2"/>
  <c r="A3314" i="2" s="1"/>
  <c r="E3315" i="2"/>
  <c r="A3315" i="2" s="1"/>
  <c r="E3316" i="2"/>
  <c r="A3316" i="2" s="1"/>
  <c r="E3317" i="2"/>
  <c r="A3317" i="2" s="1"/>
  <c r="E3318" i="2"/>
  <c r="A3318" i="2" s="1"/>
  <c r="E3319" i="2"/>
  <c r="A3319" i="2" s="1"/>
  <c r="E3320" i="2"/>
  <c r="A3320" i="2" s="1"/>
  <c r="E3321" i="2"/>
  <c r="A3321" i="2" s="1"/>
  <c r="E3322" i="2"/>
  <c r="A3322" i="2" s="1"/>
  <c r="E3323" i="2"/>
  <c r="A3323" i="2" s="1"/>
  <c r="E3324" i="2"/>
  <c r="A3324" i="2" s="1"/>
  <c r="E3325" i="2"/>
  <c r="A3325" i="2" s="1"/>
  <c r="E3326" i="2"/>
  <c r="A3326" i="2" s="1"/>
  <c r="E3327" i="2"/>
  <c r="A3327" i="2" s="1"/>
  <c r="E3328" i="2"/>
  <c r="A3328" i="2" s="1"/>
  <c r="E3329" i="2"/>
  <c r="A3329" i="2" s="1"/>
  <c r="E3330" i="2"/>
  <c r="A3330" i="2" s="1"/>
  <c r="E3331" i="2"/>
  <c r="A3331" i="2" s="1"/>
  <c r="E3332" i="2"/>
  <c r="A3332" i="2" s="1"/>
  <c r="E3333" i="2"/>
  <c r="A3333" i="2" s="1"/>
  <c r="E3334" i="2"/>
  <c r="A3334" i="2" s="1"/>
  <c r="E3335" i="2"/>
  <c r="A3335" i="2" s="1"/>
  <c r="E3336" i="2"/>
  <c r="A3336" i="2" s="1"/>
  <c r="E3337" i="2"/>
  <c r="A3337" i="2" s="1"/>
  <c r="E3338" i="2"/>
  <c r="A3338" i="2" s="1"/>
  <c r="E3339" i="2"/>
  <c r="A3339" i="2" s="1"/>
  <c r="E3340" i="2"/>
  <c r="A3340" i="2" s="1"/>
  <c r="E3341" i="2"/>
  <c r="A3341" i="2" s="1"/>
  <c r="E3342" i="2"/>
  <c r="A3342" i="2" s="1"/>
  <c r="E3343" i="2"/>
  <c r="A3343" i="2" s="1"/>
  <c r="E3344" i="2"/>
  <c r="A3344" i="2" s="1"/>
  <c r="E3345" i="2"/>
  <c r="A3345" i="2" s="1"/>
  <c r="E3346" i="2"/>
  <c r="A3346" i="2" s="1"/>
  <c r="E3347" i="2"/>
  <c r="A3347" i="2" s="1"/>
  <c r="E3348" i="2"/>
  <c r="A3348" i="2" s="1"/>
  <c r="E3349" i="2"/>
  <c r="A3349" i="2" s="1"/>
  <c r="E3350" i="2"/>
  <c r="A3350" i="2" s="1"/>
  <c r="E3351" i="2"/>
  <c r="A3351" i="2" s="1"/>
  <c r="E3352" i="2"/>
  <c r="A3352" i="2" s="1"/>
  <c r="E3353" i="2"/>
  <c r="A3353" i="2" s="1"/>
  <c r="E3354" i="2"/>
  <c r="A3354" i="2" s="1"/>
  <c r="E3355" i="2"/>
  <c r="A3355" i="2" s="1"/>
  <c r="E3356" i="2"/>
  <c r="A3356" i="2" s="1"/>
  <c r="E3357" i="2"/>
  <c r="A3357" i="2" s="1"/>
  <c r="E3358" i="2"/>
  <c r="A3358" i="2" s="1"/>
  <c r="E3359" i="2"/>
  <c r="A3359" i="2" s="1"/>
  <c r="E3360" i="2"/>
  <c r="A3360" i="2" s="1"/>
  <c r="E3361" i="2"/>
  <c r="A3361" i="2" s="1"/>
  <c r="E3362" i="2"/>
  <c r="A3362" i="2" s="1"/>
  <c r="E3363" i="2"/>
  <c r="A3363" i="2" s="1"/>
  <c r="E3364" i="2"/>
  <c r="A3364" i="2" s="1"/>
  <c r="E3365" i="2"/>
  <c r="A3365" i="2" s="1"/>
  <c r="E3366" i="2"/>
  <c r="A3366" i="2" s="1"/>
  <c r="E3367" i="2"/>
  <c r="A3367" i="2" s="1"/>
  <c r="E3368" i="2"/>
  <c r="A3368" i="2" s="1"/>
  <c r="E3369" i="2"/>
  <c r="A3369" i="2" s="1"/>
  <c r="E3370" i="2"/>
  <c r="A3370" i="2" s="1"/>
  <c r="E3371" i="2"/>
  <c r="A3371" i="2" s="1"/>
  <c r="E3372" i="2"/>
  <c r="A3372" i="2" s="1"/>
  <c r="E3373" i="2"/>
  <c r="A3373" i="2" s="1"/>
  <c r="E3374" i="2"/>
  <c r="A3374" i="2" s="1"/>
  <c r="E3375" i="2"/>
  <c r="A3375" i="2" s="1"/>
  <c r="E3376" i="2"/>
  <c r="A3376" i="2" s="1"/>
  <c r="E3377" i="2"/>
  <c r="A3377" i="2" s="1"/>
  <c r="E3378" i="2"/>
  <c r="A3378" i="2" s="1"/>
  <c r="E3379" i="2"/>
  <c r="A3379" i="2" s="1"/>
  <c r="E3380" i="2"/>
  <c r="A3380" i="2" s="1"/>
  <c r="E3381" i="2"/>
  <c r="A3381" i="2" s="1"/>
  <c r="E3382" i="2"/>
  <c r="A3382" i="2" s="1"/>
  <c r="E3383" i="2"/>
  <c r="A3383" i="2" s="1"/>
  <c r="E3384" i="2"/>
  <c r="A3384" i="2" s="1"/>
  <c r="E3385" i="2"/>
  <c r="A3385" i="2" s="1"/>
  <c r="E3386" i="2"/>
  <c r="A3386" i="2" s="1"/>
  <c r="E3387" i="2"/>
  <c r="A3387" i="2" s="1"/>
  <c r="E3388" i="2"/>
  <c r="A3388" i="2" s="1"/>
  <c r="E3389" i="2"/>
  <c r="A3389" i="2" s="1"/>
  <c r="E3390" i="2"/>
  <c r="A3390" i="2" s="1"/>
  <c r="E3391" i="2"/>
  <c r="A3391" i="2" s="1"/>
  <c r="E3392" i="2"/>
  <c r="A3392" i="2" s="1"/>
  <c r="E3393" i="2"/>
  <c r="A3393" i="2" s="1"/>
  <c r="E3394" i="2"/>
  <c r="A3394" i="2" s="1"/>
  <c r="E3395" i="2"/>
  <c r="A3395" i="2" s="1"/>
  <c r="E3396" i="2"/>
  <c r="A3396" i="2" s="1"/>
  <c r="E3397" i="2"/>
  <c r="A3397" i="2" s="1"/>
  <c r="E3398" i="2"/>
  <c r="A3398" i="2" s="1"/>
  <c r="E3399" i="2"/>
  <c r="A3399" i="2" s="1"/>
  <c r="E3400" i="2"/>
  <c r="A3400" i="2" s="1"/>
  <c r="E3401" i="2"/>
  <c r="A3401" i="2" s="1"/>
  <c r="E3402" i="2"/>
  <c r="A3402" i="2" s="1"/>
  <c r="E3403" i="2"/>
  <c r="A3403" i="2" s="1"/>
  <c r="E3404" i="2"/>
  <c r="A3404" i="2" s="1"/>
  <c r="E3405" i="2"/>
  <c r="A3405" i="2" s="1"/>
  <c r="E3406" i="2"/>
  <c r="A3406" i="2" s="1"/>
  <c r="E3407" i="2"/>
  <c r="A3407" i="2" s="1"/>
  <c r="E3408" i="2"/>
  <c r="A3408" i="2" s="1"/>
  <c r="E3409" i="2"/>
  <c r="A3409" i="2" s="1"/>
  <c r="E3410" i="2"/>
  <c r="A3410" i="2" s="1"/>
  <c r="E3411" i="2"/>
  <c r="A3411" i="2" s="1"/>
  <c r="E3412" i="2"/>
  <c r="A3412" i="2" s="1"/>
  <c r="E3413" i="2"/>
  <c r="A3413" i="2" s="1"/>
  <c r="E3414" i="2"/>
  <c r="A3414" i="2" s="1"/>
  <c r="E3415" i="2"/>
  <c r="A3415" i="2" s="1"/>
  <c r="E3416" i="2"/>
  <c r="A3416" i="2" s="1"/>
  <c r="E3417" i="2"/>
  <c r="A3417" i="2" s="1"/>
  <c r="E3418" i="2"/>
  <c r="A3418" i="2" s="1"/>
  <c r="E3419" i="2"/>
  <c r="A3419" i="2" s="1"/>
  <c r="E3420" i="2"/>
  <c r="A3420" i="2" s="1"/>
  <c r="E3421" i="2"/>
  <c r="A3421" i="2" s="1"/>
  <c r="E3422" i="2"/>
  <c r="A3422" i="2" s="1"/>
  <c r="E3423" i="2"/>
  <c r="A3423" i="2" s="1"/>
  <c r="E3424" i="2"/>
  <c r="A3424" i="2" s="1"/>
  <c r="E3425" i="2"/>
  <c r="A3425" i="2" s="1"/>
  <c r="E3426" i="2"/>
  <c r="A3426" i="2" s="1"/>
  <c r="E3427" i="2"/>
  <c r="A3427" i="2" s="1"/>
  <c r="E3428" i="2"/>
  <c r="A3428" i="2" s="1"/>
  <c r="E3429" i="2"/>
  <c r="A3429" i="2" s="1"/>
  <c r="E3430" i="2"/>
  <c r="A3430" i="2" s="1"/>
  <c r="E3431" i="2"/>
  <c r="A3431" i="2" s="1"/>
  <c r="E3432" i="2"/>
  <c r="A3432" i="2" s="1"/>
  <c r="E3433" i="2"/>
  <c r="A3433" i="2" s="1"/>
  <c r="E3434" i="2"/>
  <c r="A3434" i="2" s="1"/>
  <c r="E3435" i="2"/>
  <c r="A3435" i="2" s="1"/>
  <c r="E3436" i="2"/>
  <c r="A3436" i="2" s="1"/>
  <c r="E3437" i="2"/>
  <c r="A3437" i="2" s="1"/>
  <c r="E3438" i="2"/>
  <c r="A3438" i="2" s="1"/>
  <c r="E3439" i="2"/>
  <c r="A3439" i="2" s="1"/>
  <c r="E3440" i="2"/>
  <c r="A3440" i="2" s="1"/>
  <c r="E3441" i="2"/>
  <c r="A3441" i="2" s="1"/>
  <c r="E3442" i="2"/>
  <c r="A3442" i="2" s="1"/>
  <c r="E3443" i="2"/>
  <c r="A3443" i="2" s="1"/>
  <c r="E3444" i="2"/>
  <c r="A3444" i="2" s="1"/>
  <c r="E3445" i="2"/>
  <c r="A3445" i="2" s="1"/>
  <c r="E3446" i="2"/>
  <c r="A3446" i="2" s="1"/>
  <c r="E3447" i="2"/>
  <c r="A3447" i="2" s="1"/>
  <c r="E3448" i="2"/>
  <c r="A3448" i="2" s="1"/>
  <c r="E3449" i="2"/>
  <c r="A3449" i="2" s="1"/>
  <c r="E3450" i="2"/>
  <c r="A3450" i="2" s="1"/>
  <c r="E3451" i="2"/>
  <c r="A3451" i="2" s="1"/>
  <c r="E3452" i="2"/>
  <c r="A3452" i="2" s="1"/>
  <c r="E3453" i="2"/>
  <c r="A3453" i="2" s="1"/>
  <c r="E3454" i="2"/>
  <c r="A3454" i="2" s="1"/>
  <c r="E3455" i="2"/>
  <c r="A3455" i="2" s="1"/>
  <c r="E3456" i="2"/>
  <c r="A3456" i="2" s="1"/>
  <c r="E3457" i="2"/>
  <c r="A3457" i="2" s="1"/>
  <c r="E3458" i="2"/>
  <c r="A3458" i="2" s="1"/>
  <c r="E3459" i="2"/>
  <c r="A3459" i="2" s="1"/>
  <c r="E3460" i="2"/>
  <c r="A3460" i="2" s="1"/>
  <c r="E3461" i="2"/>
  <c r="A3461" i="2" s="1"/>
  <c r="E3462" i="2"/>
  <c r="A3462" i="2" s="1"/>
  <c r="E3463" i="2"/>
  <c r="A3463" i="2" s="1"/>
  <c r="E3464" i="2"/>
  <c r="A3464" i="2" s="1"/>
  <c r="E3465" i="2"/>
  <c r="A3465" i="2" s="1"/>
  <c r="E3466" i="2"/>
  <c r="A3466" i="2" s="1"/>
  <c r="E3467" i="2"/>
  <c r="A3467" i="2" s="1"/>
  <c r="E3468" i="2"/>
  <c r="A3468" i="2" s="1"/>
  <c r="E3469" i="2"/>
  <c r="A3469" i="2" s="1"/>
  <c r="E3470" i="2"/>
  <c r="A3470" i="2" s="1"/>
  <c r="E3471" i="2"/>
  <c r="A3471" i="2" s="1"/>
  <c r="E3472" i="2"/>
  <c r="A3472" i="2" s="1"/>
  <c r="E3473" i="2"/>
  <c r="A3473" i="2" s="1"/>
  <c r="E3474" i="2"/>
  <c r="A3474" i="2" s="1"/>
  <c r="E3475" i="2"/>
  <c r="A3475" i="2" s="1"/>
  <c r="E3476" i="2"/>
  <c r="A3476" i="2" s="1"/>
  <c r="E3477" i="2"/>
  <c r="A3477" i="2" s="1"/>
  <c r="E3478" i="2"/>
  <c r="A3478" i="2" s="1"/>
  <c r="E3479" i="2"/>
  <c r="A3479" i="2" s="1"/>
  <c r="E3480" i="2"/>
  <c r="A3480" i="2" s="1"/>
  <c r="E3481" i="2"/>
  <c r="A3481" i="2" s="1"/>
  <c r="E3482" i="2"/>
  <c r="A3482" i="2" s="1"/>
  <c r="E3483" i="2"/>
  <c r="A3483" i="2" s="1"/>
  <c r="E3484" i="2"/>
  <c r="A3484" i="2" s="1"/>
  <c r="E3485" i="2"/>
  <c r="A3485" i="2" s="1"/>
  <c r="E3486" i="2"/>
  <c r="A3486" i="2" s="1"/>
  <c r="E3487" i="2"/>
  <c r="A3487" i="2" s="1"/>
  <c r="E3488" i="2"/>
  <c r="A3488" i="2" s="1"/>
  <c r="E3489" i="2"/>
  <c r="A3489" i="2" s="1"/>
  <c r="E3490" i="2"/>
  <c r="A3490" i="2" s="1"/>
  <c r="E3491" i="2"/>
  <c r="A3491" i="2" s="1"/>
  <c r="E3492" i="2"/>
  <c r="A3492" i="2" s="1"/>
  <c r="E3493" i="2"/>
  <c r="A3493" i="2" s="1"/>
  <c r="E3494" i="2"/>
  <c r="A3494" i="2" s="1"/>
  <c r="E3495" i="2"/>
  <c r="A3495" i="2" s="1"/>
  <c r="E3496" i="2"/>
  <c r="A3496" i="2" s="1"/>
  <c r="E3497" i="2"/>
  <c r="A3497" i="2" s="1"/>
  <c r="E3498" i="2"/>
  <c r="A3498" i="2" s="1"/>
  <c r="E3499" i="2"/>
  <c r="A3499" i="2" s="1"/>
  <c r="E3500" i="2"/>
  <c r="A3500" i="2" s="1"/>
  <c r="E3501" i="2"/>
  <c r="A3501" i="2" s="1"/>
  <c r="E3502" i="2"/>
  <c r="A3502" i="2" s="1"/>
  <c r="E3503" i="2"/>
  <c r="A3503" i="2" s="1"/>
  <c r="E3504" i="2"/>
  <c r="A3504" i="2" s="1"/>
  <c r="E3505" i="2"/>
  <c r="A3505" i="2" s="1"/>
  <c r="E3506" i="2"/>
  <c r="A3506" i="2" s="1"/>
  <c r="E3507" i="2"/>
  <c r="A3507" i="2" s="1"/>
  <c r="E3508" i="2"/>
  <c r="A3508" i="2" s="1"/>
  <c r="E3509" i="2"/>
  <c r="A3509" i="2" s="1"/>
  <c r="E3510" i="2"/>
  <c r="A3510" i="2" s="1"/>
  <c r="E3511" i="2"/>
  <c r="A3511" i="2" s="1"/>
  <c r="E3512" i="2"/>
  <c r="A3512" i="2" s="1"/>
  <c r="E3513" i="2"/>
  <c r="A3513" i="2" s="1"/>
  <c r="E3514" i="2"/>
  <c r="A3514" i="2" s="1"/>
  <c r="E3515" i="2"/>
  <c r="A3515" i="2" s="1"/>
  <c r="E3516" i="2"/>
  <c r="A3516" i="2" s="1"/>
  <c r="E3517" i="2"/>
  <c r="A3517" i="2" s="1"/>
  <c r="E3518" i="2"/>
  <c r="A3518" i="2" s="1"/>
  <c r="E3519" i="2"/>
  <c r="A3519" i="2" s="1"/>
  <c r="E3520" i="2"/>
  <c r="A3520" i="2" s="1"/>
  <c r="E3521" i="2"/>
  <c r="A3521" i="2" s="1"/>
  <c r="E3522" i="2"/>
  <c r="A3522" i="2" s="1"/>
  <c r="E3523" i="2"/>
  <c r="A3523" i="2" s="1"/>
  <c r="E3524" i="2"/>
  <c r="A3524" i="2" s="1"/>
  <c r="E3525" i="2"/>
  <c r="A3525" i="2" s="1"/>
  <c r="E3526" i="2"/>
  <c r="A3526" i="2" s="1"/>
  <c r="E3527" i="2"/>
  <c r="A3527" i="2" s="1"/>
  <c r="E3528" i="2"/>
  <c r="A3528" i="2" s="1"/>
  <c r="E3529" i="2"/>
  <c r="A3529" i="2" s="1"/>
  <c r="E3530" i="2"/>
  <c r="A3530" i="2" s="1"/>
  <c r="E3531" i="2"/>
  <c r="A3531" i="2" s="1"/>
  <c r="E3532" i="2"/>
  <c r="A3532" i="2" s="1"/>
  <c r="E3533" i="2"/>
  <c r="A3533" i="2" s="1"/>
  <c r="E3534" i="2"/>
  <c r="A3534" i="2" s="1"/>
  <c r="E3535" i="2"/>
  <c r="A3535" i="2" s="1"/>
  <c r="E3536" i="2"/>
  <c r="A3536" i="2" s="1"/>
  <c r="E3537" i="2"/>
  <c r="A3537" i="2" s="1"/>
  <c r="E3538" i="2"/>
  <c r="A3538" i="2" s="1"/>
  <c r="E3539" i="2"/>
  <c r="A3539" i="2" s="1"/>
  <c r="E3540" i="2"/>
  <c r="A3540" i="2" s="1"/>
  <c r="E3541" i="2"/>
  <c r="A3541" i="2" s="1"/>
  <c r="E3542" i="2"/>
  <c r="A3542" i="2" s="1"/>
  <c r="E3543" i="2"/>
  <c r="A3543" i="2" s="1"/>
  <c r="E3544" i="2"/>
  <c r="A3544" i="2" s="1"/>
  <c r="E3545" i="2"/>
  <c r="A3545" i="2" s="1"/>
  <c r="E3546" i="2"/>
  <c r="A3546" i="2" s="1"/>
  <c r="E3547" i="2"/>
  <c r="A3547" i="2" s="1"/>
  <c r="E3548" i="2"/>
  <c r="A3548" i="2" s="1"/>
  <c r="E3549" i="2"/>
  <c r="A3549" i="2" s="1"/>
  <c r="E3550" i="2"/>
  <c r="A3550" i="2" s="1"/>
  <c r="E3551" i="2"/>
  <c r="A3551" i="2" s="1"/>
  <c r="E3552" i="2"/>
  <c r="A3552" i="2" s="1"/>
  <c r="E3553" i="2"/>
  <c r="A3553" i="2" s="1"/>
  <c r="E3554" i="2"/>
  <c r="A3554" i="2" s="1"/>
  <c r="E3555" i="2"/>
  <c r="A3555" i="2" s="1"/>
  <c r="E3556" i="2"/>
  <c r="A3556" i="2" s="1"/>
  <c r="E3557" i="2"/>
  <c r="A3557" i="2" s="1"/>
  <c r="E3558" i="2"/>
  <c r="A3558" i="2" s="1"/>
  <c r="E3559" i="2"/>
  <c r="A3559" i="2" s="1"/>
  <c r="E3560" i="2"/>
  <c r="A3560" i="2" s="1"/>
  <c r="E3561" i="2"/>
  <c r="A3561" i="2" s="1"/>
  <c r="E3562" i="2"/>
  <c r="A3562" i="2" s="1"/>
  <c r="E3563" i="2"/>
  <c r="A3563" i="2" s="1"/>
  <c r="E3564" i="2"/>
  <c r="A3564" i="2" s="1"/>
  <c r="E3565" i="2"/>
  <c r="A3565" i="2" s="1"/>
  <c r="E3566" i="2"/>
  <c r="A3566" i="2" s="1"/>
  <c r="E3567" i="2"/>
  <c r="A3567" i="2" s="1"/>
  <c r="E3568" i="2"/>
  <c r="A3568" i="2" s="1"/>
  <c r="E3569" i="2"/>
  <c r="A3569" i="2" s="1"/>
  <c r="E3570" i="2"/>
  <c r="A3570" i="2" s="1"/>
  <c r="E3571" i="2"/>
  <c r="A3571" i="2" s="1"/>
  <c r="E3572" i="2"/>
  <c r="A3572" i="2" s="1"/>
  <c r="E3573" i="2"/>
  <c r="A3573" i="2" s="1"/>
  <c r="E3574" i="2"/>
  <c r="A3574" i="2" s="1"/>
  <c r="E3575" i="2"/>
  <c r="A3575" i="2" s="1"/>
  <c r="E3576" i="2"/>
  <c r="A3576" i="2" s="1"/>
  <c r="E3577" i="2"/>
  <c r="A3577" i="2" s="1"/>
  <c r="E3578" i="2"/>
  <c r="A3578" i="2" s="1"/>
  <c r="E3579" i="2"/>
  <c r="A3579" i="2" s="1"/>
  <c r="E3580" i="2"/>
  <c r="A3580" i="2" s="1"/>
  <c r="E3581" i="2"/>
  <c r="A3581" i="2" s="1"/>
  <c r="E3582" i="2"/>
  <c r="A3582" i="2" s="1"/>
  <c r="E3583" i="2"/>
  <c r="A3583" i="2" s="1"/>
  <c r="E3584" i="2"/>
  <c r="A3584" i="2" s="1"/>
  <c r="E3585" i="2"/>
  <c r="A3585" i="2" s="1"/>
  <c r="E3586" i="2"/>
  <c r="A3586" i="2" s="1"/>
  <c r="E3587" i="2"/>
  <c r="A3587" i="2" s="1"/>
  <c r="E3588" i="2"/>
  <c r="A3588" i="2" s="1"/>
  <c r="E3589" i="2"/>
  <c r="A3589" i="2" s="1"/>
  <c r="E3590" i="2"/>
  <c r="A3590" i="2" s="1"/>
  <c r="E3591" i="2"/>
  <c r="A3591" i="2" s="1"/>
  <c r="E3592" i="2"/>
  <c r="A3592" i="2" s="1"/>
  <c r="E3593" i="2"/>
  <c r="A3593" i="2" s="1"/>
  <c r="E3594" i="2"/>
  <c r="A3594" i="2" s="1"/>
  <c r="E3595" i="2"/>
  <c r="A3595" i="2" s="1"/>
  <c r="E3596" i="2"/>
  <c r="A3596" i="2" s="1"/>
  <c r="E3597" i="2"/>
  <c r="A3597" i="2" s="1"/>
  <c r="E3598" i="2"/>
  <c r="A3598" i="2" s="1"/>
  <c r="E3599" i="2"/>
  <c r="A3599" i="2" s="1"/>
  <c r="E3600" i="2"/>
  <c r="A3600" i="2" s="1"/>
  <c r="E3601" i="2"/>
  <c r="A3601" i="2" s="1"/>
  <c r="E3602" i="2"/>
  <c r="A3602" i="2" s="1"/>
  <c r="E3603" i="2"/>
  <c r="A3603" i="2" s="1"/>
  <c r="E3604" i="2"/>
  <c r="A3604" i="2" s="1"/>
  <c r="E3605" i="2"/>
  <c r="A3605" i="2" s="1"/>
  <c r="E3606" i="2"/>
  <c r="A3606" i="2" s="1"/>
  <c r="E3607" i="2"/>
  <c r="A3607" i="2" s="1"/>
  <c r="E3608" i="2"/>
  <c r="A3608" i="2" s="1"/>
  <c r="E3609" i="2"/>
  <c r="A3609" i="2" s="1"/>
  <c r="E3610" i="2"/>
  <c r="A3610" i="2" s="1"/>
  <c r="E3611" i="2"/>
  <c r="A3611" i="2" s="1"/>
  <c r="E3612" i="2"/>
  <c r="A3612" i="2" s="1"/>
  <c r="E3613" i="2"/>
  <c r="A3613" i="2" s="1"/>
  <c r="E3614" i="2"/>
  <c r="A3614" i="2" s="1"/>
  <c r="E3615" i="2"/>
  <c r="A3615" i="2" s="1"/>
  <c r="E3616" i="2"/>
  <c r="A3616" i="2" s="1"/>
  <c r="E3617" i="2"/>
  <c r="A3617" i="2" s="1"/>
  <c r="E3618" i="2"/>
  <c r="A3618" i="2" s="1"/>
  <c r="E3619" i="2"/>
  <c r="A3619" i="2" s="1"/>
  <c r="E3620" i="2"/>
  <c r="A3620" i="2" s="1"/>
  <c r="E3621" i="2"/>
  <c r="A3621" i="2" s="1"/>
  <c r="E3622" i="2"/>
  <c r="A3622" i="2" s="1"/>
  <c r="E3623" i="2"/>
  <c r="A3623" i="2" s="1"/>
  <c r="E3624" i="2"/>
  <c r="A3624" i="2" s="1"/>
  <c r="E3625" i="2"/>
  <c r="A3625" i="2" s="1"/>
  <c r="E3626" i="2"/>
  <c r="A3626" i="2" s="1"/>
  <c r="E3627" i="2"/>
  <c r="A3627" i="2" s="1"/>
  <c r="E3628" i="2"/>
  <c r="A3628" i="2" s="1"/>
  <c r="E3629" i="2"/>
  <c r="A3629" i="2" s="1"/>
  <c r="E3630" i="2"/>
  <c r="A3630" i="2" s="1"/>
  <c r="E3631" i="2"/>
  <c r="A3631" i="2" s="1"/>
  <c r="E3632" i="2"/>
  <c r="A3632" i="2" s="1"/>
  <c r="E3633" i="2"/>
  <c r="A3633" i="2" s="1"/>
  <c r="E3634" i="2"/>
  <c r="A3634" i="2" s="1"/>
  <c r="E3635" i="2"/>
  <c r="A3635" i="2" s="1"/>
  <c r="E3636" i="2"/>
  <c r="A3636" i="2" s="1"/>
  <c r="E3637" i="2"/>
  <c r="A3637" i="2" s="1"/>
  <c r="E3638" i="2"/>
  <c r="A3638" i="2" s="1"/>
  <c r="E3639" i="2"/>
  <c r="A3639" i="2" s="1"/>
  <c r="E3640" i="2"/>
  <c r="A3640" i="2" s="1"/>
  <c r="E3641" i="2"/>
  <c r="A3641" i="2" s="1"/>
  <c r="E3642" i="2"/>
  <c r="A3642" i="2" s="1"/>
  <c r="E3643" i="2"/>
  <c r="A3643" i="2" s="1"/>
  <c r="E3644" i="2"/>
  <c r="A3644" i="2" s="1"/>
  <c r="E3645" i="2"/>
  <c r="A3645" i="2" s="1"/>
  <c r="E3646" i="2"/>
  <c r="A3646" i="2" s="1"/>
  <c r="E3647" i="2"/>
  <c r="A3647" i="2" s="1"/>
  <c r="E3648" i="2"/>
  <c r="A3648" i="2" s="1"/>
  <c r="E3649" i="2"/>
  <c r="A3649" i="2" s="1"/>
  <c r="E3650" i="2"/>
  <c r="A3650" i="2" s="1"/>
  <c r="E3651" i="2"/>
  <c r="A3651" i="2" s="1"/>
  <c r="E3652" i="2"/>
  <c r="A3652" i="2" s="1"/>
  <c r="E3653" i="2"/>
  <c r="A3653" i="2" s="1"/>
  <c r="E3654" i="2"/>
  <c r="A3654" i="2" s="1"/>
  <c r="E3655" i="2"/>
  <c r="A3655" i="2" s="1"/>
  <c r="E3656" i="2"/>
  <c r="A3656" i="2" s="1"/>
  <c r="E3657" i="2"/>
  <c r="A3657" i="2" s="1"/>
  <c r="E3658" i="2"/>
  <c r="A3658" i="2" s="1"/>
  <c r="E3659" i="2"/>
  <c r="A3659" i="2" s="1"/>
  <c r="E3660" i="2"/>
  <c r="A3660" i="2" s="1"/>
  <c r="E3661" i="2"/>
  <c r="A3661" i="2" s="1"/>
  <c r="E3662" i="2"/>
  <c r="A3662" i="2" s="1"/>
  <c r="E3663" i="2"/>
  <c r="A3663" i="2" s="1"/>
  <c r="E3664" i="2"/>
  <c r="A3664" i="2" s="1"/>
  <c r="E3665" i="2"/>
  <c r="A3665" i="2" s="1"/>
  <c r="E3666" i="2"/>
  <c r="A3666" i="2" s="1"/>
  <c r="E3667" i="2"/>
  <c r="A3667" i="2" s="1"/>
  <c r="E3668" i="2"/>
  <c r="A3668" i="2" s="1"/>
  <c r="E3669" i="2"/>
  <c r="A3669" i="2" s="1"/>
  <c r="E3670" i="2"/>
  <c r="A3670" i="2" s="1"/>
  <c r="E3671" i="2"/>
  <c r="A3671" i="2" s="1"/>
  <c r="E3672" i="2"/>
  <c r="A3672" i="2" s="1"/>
  <c r="E3673" i="2"/>
  <c r="A3673" i="2" s="1"/>
  <c r="E3674" i="2"/>
  <c r="A3674" i="2" s="1"/>
  <c r="E3675" i="2"/>
  <c r="A3675" i="2" s="1"/>
  <c r="E3676" i="2"/>
  <c r="A3676" i="2" s="1"/>
  <c r="E3677" i="2"/>
  <c r="A3677" i="2" s="1"/>
  <c r="E3678" i="2"/>
  <c r="A3678" i="2" s="1"/>
  <c r="E3679" i="2"/>
  <c r="A3679" i="2" s="1"/>
  <c r="E3680" i="2"/>
  <c r="A3680" i="2" s="1"/>
  <c r="E3681" i="2"/>
  <c r="A3681" i="2" s="1"/>
  <c r="E3682" i="2"/>
  <c r="A3682" i="2" s="1"/>
  <c r="E3683" i="2"/>
  <c r="A3683" i="2" s="1"/>
  <c r="E3684" i="2"/>
  <c r="A3684" i="2" s="1"/>
  <c r="E3685" i="2"/>
  <c r="A3685" i="2" s="1"/>
  <c r="E3686" i="2"/>
  <c r="A3686" i="2" s="1"/>
  <c r="E3687" i="2"/>
  <c r="A3687" i="2" s="1"/>
  <c r="E3688" i="2"/>
  <c r="A3688" i="2" s="1"/>
  <c r="E3689" i="2"/>
  <c r="A3689" i="2" s="1"/>
  <c r="E3690" i="2"/>
  <c r="A3690" i="2" s="1"/>
  <c r="E3691" i="2"/>
  <c r="A3691" i="2" s="1"/>
  <c r="E3692" i="2"/>
  <c r="A3692" i="2" s="1"/>
  <c r="E3693" i="2"/>
  <c r="A3693" i="2" s="1"/>
  <c r="E3694" i="2"/>
  <c r="A3694" i="2" s="1"/>
  <c r="E3695" i="2"/>
  <c r="A3695" i="2" s="1"/>
  <c r="E3696" i="2"/>
  <c r="A3696" i="2" s="1"/>
  <c r="E3697" i="2"/>
  <c r="A3697" i="2" s="1"/>
  <c r="E3698" i="2"/>
  <c r="A3698" i="2" s="1"/>
  <c r="E3699" i="2"/>
  <c r="A3699" i="2" s="1"/>
  <c r="E3700" i="2"/>
  <c r="A3700" i="2" s="1"/>
  <c r="E3701" i="2"/>
  <c r="A3701" i="2" s="1"/>
  <c r="E3702" i="2"/>
  <c r="A3702" i="2" s="1"/>
  <c r="E3703" i="2"/>
  <c r="A3703" i="2" s="1"/>
  <c r="E3704" i="2"/>
  <c r="A3704" i="2" s="1"/>
  <c r="E3705" i="2"/>
  <c r="A3705" i="2" s="1"/>
  <c r="E3706" i="2"/>
  <c r="A3706" i="2" s="1"/>
  <c r="E3707" i="2"/>
  <c r="A3707" i="2" s="1"/>
  <c r="E3708" i="2"/>
  <c r="A3708" i="2" s="1"/>
  <c r="E3709" i="2"/>
  <c r="A3709" i="2" s="1"/>
  <c r="E3710" i="2"/>
  <c r="A3710" i="2" s="1"/>
  <c r="E3711" i="2"/>
  <c r="A3711" i="2" s="1"/>
  <c r="E3712" i="2"/>
  <c r="A3712" i="2" s="1"/>
  <c r="E3713" i="2"/>
  <c r="A3713" i="2" s="1"/>
  <c r="E3714" i="2"/>
  <c r="A3714" i="2" s="1"/>
  <c r="E3715" i="2"/>
  <c r="A3715" i="2" s="1"/>
  <c r="E3716" i="2"/>
  <c r="A3716" i="2" s="1"/>
  <c r="E3717" i="2"/>
  <c r="A3717" i="2" s="1"/>
  <c r="E3718" i="2"/>
  <c r="A3718" i="2" s="1"/>
  <c r="E3719" i="2"/>
  <c r="A3719" i="2" s="1"/>
  <c r="E3720" i="2"/>
  <c r="A3720" i="2" s="1"/>
  <c r="E3721" i="2"/>
  <c r="A3721" i="2" s="1"/>
  <c r="E3722" i="2"/>
  <c r="A3722" i="2" s="1"/>
  <c r="E3723" i="2"/>
  <c r="A3723" i="2" s="1"/>
  <c r="E3724" i="2"/>
  <c r="A3724" i="2" s="1"/>
  <c r="E3725" i="2"/>
  <c r="A3725" i="2" s="1"/>
  <c r="E3726" i="2"/>
  <c r="A3726" i="2" s="1"/>
  <c r="E3727" i="2"/>
  <c r="A3727" i="2" s="1"/>
  <c r="E3728" i="2"/>
  <c r="A3728" i="2" s="1"/>
  <c r="E3729" i="2"/>
  <c r="A3729" i="2" s="1"/>
  <c r="E3730" i="2"/>
  <c r="A3730" i="2" s="1"/>
  <c r="E3731" i="2"/>
  <c r="A3731" i="2" s="1"/>
  <c r="E3732" i="2"/>
  <c r="A3732" i="2" s="1"/>
  <c r="E3733" i="2"/>
  <c r="A3733" i="2" s="1"/>
  <c r="E3734" i="2"/>
  <c r="A3734" i="2" s="1"/>
  <c r="E3735" i="2"/>
  <c r="A3735" i="2" s="1"/>
  <c r="E3736" i="2"/>
  <c r="A3736" i="2" s="1"/>
  <c r="E3737" i="2"/>
  <c r="A3737" i="2" s="1"/>
  <c r="E3738" i="2"/>
  <c r="A3738" i="2" s="1"/>
  <c r="E3739" i="2"/>
  <c r="A3739" i="2" s="1"/>
  <c r="E3740" i="2"/>
  <c r="A3740" i="2" s="1"/>
  <c r="E3741" i="2"/>
  <c r="A3741" i="2" s="1"/>
  <c r="E3742" i="2"/>
  <c r="A3742" i="2" s="1"/>
  <c r="E3743" i="2"/>
  <c r="A3743" i="2" s="1"/>
  <c r="E3744" i="2"/>
  <c r="A3744" i="2" s="1"/>
  <c r="E3745" i="2"/>
  <c r="A3745" i="2" s="1"/>
  <c r="E3746" i="2"/>
  <c r="A3746" i="2" s="1"/>
  <c r="E3747" i="2"/>
  <c r="A3747" i="2" s="1"/>
  <c r="E3748" i="2"/>
  <c r="A3748" i="2" s="1"/>
  <c r="E3749" i="2"/>
  <c r="A3749" i="2" s="1"/>
  <c r="E3750" i="2"/>
  <c r="A3750" i="2" s="1"/>
  <c r="E3751" i="2"/>
  <c r="A3751" i="2" s="1"/>
  <c r="E3752" i="2"/>
  <c r="A3752" i="2" s="1"/>
  <c r="E3753" i="2"/>
  <c r="A3753" i="2" s="1"/>
  <c r="D2" i="4"/>
  <c r="A2" i="4" s="1"/>
  <c r="E2" i="4"/>
  <c r="D3" i="4"/>
  <c r="E3" i="4"/>
  <c r="D4" i="4"/>
  <c r="A4" i="4" s="1"/>
  <c r="E4" i="4"/>
  <c r="D5" i="4"/>
  <c r="A5" i="4" s="1"/>
  <c r="E5" i="4"/>
  <c r="D6" i="4"/>
  <c r="A6" i="4" s="1"/>
  <c r="E6" i="4"/>
  <c r="D7" i="4"/>
  <c r="E7" i="4"/>
  <c r="D8" i="4"/>
  <c r="A8" i="4" s="1"/>
  <c r="E8" i="4"/>
  <c r="D9" i="4"/>
  <c r="A9" i="4" s="1"/>
  <c r="E9" i="4"/>
  <c r="D10" i="4"/>
  <c r="A10" i="4" s="1"/>
  <c r="E10" i="4"/>
  <c r="D11" i="4"/>
  <c r="E11" i="4"/>
  <c r="D12" i="4"/>
  <c r="A12" i="4" s="1"/>
  <c r="E12" i="4"/>
  <c r="D13" i="4"/>
  <c r="A13" i="4" s="1"/>
  <c r="E13" i="4"/>
  <c r="D14" i="4"/>
  <c r="A14" i="4" s="1"/>
  <c r="E14" i="4"/>
  <c r="D15" i="4"/>
  <c r="E15" i="4"/>
  <c r="D16" i="4"/>
  <c r="A16" i="4" s="1"/>
  <c r="E16" i="4"/>
  <c r="D17" i="4"/>
  <c r="A17" i="4" s="1"/>
  <c r="E17" i="4"/>
  <c r="D18" i="4"/>
  <c r="A18" i="4" s="1"/>
  <c r="E18" i="4"/>
  <c r="D19" i="4"/>
  <c r="E19" i="4"/>
  <c r="D20" i="4"/>
  <c r="A20" i="4" s="1"/>
  <c r="E20" i="4"/>
  <c r="D21" i="4"/>
  <c r="A21" i="4" s="1"/>
  <c r="E21" i="4"/>
  <c r="D22" i="4"/>
  <c r="A22" i="4" s="1"/>
  <c r="E22" i="4"/>
  <c r="D23" i="4"/>
  <c r="E23" i="4"/>
  <c r="D24" i="4"/>
  <c r="A24" i="4" s="1"/>
  <c r="E24" i="4"/>
  <c r="D25" i="4"/>
  <c r="A25" i="4" s="1"/>
  <c r="E25" i="4"/>
  <c r="D26" i="4"/>
  <c r="A26" i="4" s="1"/>
  <c r="E26" i="4"/>
  <c r="D27" i="4"/>
  <c r="E27" i="4"/>
  <c r="D28" i="4"/>
  <c r="A28" i="4" s="1"/>
  <c r="E28" i="4"/>
  <c r="D29" i="4"/>
  <c r="A29" i="4" s="1"/>
  <c r="E29" i="4"/>
  <c r="D30" i="4"/>
  <c r="A30" i="4" s="1"/>
  <c r="E30" i="4"/>
  <c r="D31" i="4"/>
  <c r="E31" i="4"/>
  <c r="D32" i="4"/>
  <c r="A32" i="4" s="1"/>
  <c r="E32" i="4"/>
  <c r="D33" i="4"/>
  <c r="A33" i="4" s="1"/>
  <c r="E33" i="4"/>
  <c r="D34" i="4"/>
  <c r="A34" i="4" s="1"/>
  <c r="E34" i="4"/>
  <c r="D35" i="4"/>
  <c r="E35" i="4"/>
  <c r="D36" i="4"/>
  <c r="A36" i="4" s="1"/>
  <c r="E36" i="4"/>
  <c r="D37" i="4"/>
  <c r="A37" i="4" s="1"/>
  <c r="E37" i="4"/>
  <c r="D38" i="4"/>
  <c r="A38" i="4" s="1"/>
  <c r="E38" i="4"/>
  <c r="D39" i="4"/>
  <c r="E39" i="4"/>
  <c r="D40" i="4"/>
  <c r="A40" i="4" s="1"/>
  <c r="E40" i="4"/>
  <c r="D41" i="4"/>
  <c r="A41" i="4" s="1"/>
  <c r="E41" i="4"/>
  <c r="D42" i="4"/>
  <c r="A42" i="4" s="1"/>
  <c r="E42" i="4"/>
  <c r="E43" i="4"/>
  <c r="A43" i="4" s="1"/>
  <c r="E44" i="4"/>
  <c r="A44" i="4" s="1"/>
  <c r="E45" i="4"/>
  <c r="A45" i="4" s="1"/>
  <c r="E46" i="4"/>
  <c r="A46" i="4" s="1"/>
  <c r="E47" i="4"/>
  <c r="A47" i="4" s="1"/>
  <c r="E48" i="4"/>
  <c r="A48" i="4" s="1"/>
  <c r="E49" i="4"/>
  <c r="A49" i="4" s="1"/>
  <c r="E50" i="4"/>
  <c r="A50" i="4" s="1"/>
  <c r="E51" i="4"/>
  <c r="A51" i="4" s="1"/>
  <c r="E52" i="4"/>
  <c r="A52" i="4" s="1"/>
  <c r="E53" i="4"/>
  <c r="A53" i="4" s="1"/>
  <c r="E54" i="4"/>
  <c r="A54" i="4" s="1"/>
  <c r="E55" i="4"/>
  <c r="A55" i="4" s="1"/>
  <c r="E56" i="4"/>
  <c r="A56" i="4" s="1"/>
  <c r="E57" i="4"/>
  <c r="A57" i="4" s="1"/>
  <c r="E58" i="4"/>
  <c r="A58" i="4" s="1"/>
  <c r="E59" i="4"/>
  <c r="A59" i="4" s="1"/>
  <c r="E60" i="4"/>
  <c r="A60" i="4" s="1"/>
  <c r="E61" i="4"/>
  <c r="A61" i="4" s="1"/>
  <c r="E62" i="4"/>
  <c r="A62" i="4" s="1"/>
  <c r="E63" i="4"/>
  <c r="A63" i="4" s="1"/>
  <c r="E64" i="4"/>
  <c r="A64" i="4" s="1"/>
  <c r="E65" i="4"/>
  <c r="A65" i="4" s="1"/>
  <c r="E66" i="4"/>
  <c r="A66" i="4" s="1"/>
  <c r="E67" i="4"/>
  <c r="A67" i="4" s="1"/>
  <c r="E68" i="4"/>
  <c r="A68" i="4" s="1"/>
  <c r="E69" i="4"/>
  <c r="A69" i="4" s="1"/>
  <c r="E70" i="4"/>
  <c r="A70" i="4" s="1"/>
  <c r="E71" i="4"/>
  <c r="A71" i="4" s="1"/>
  <c r="E72" i="4"/>
  <c r="A72" i="4" s="1"/>
  <c r="E73" i="4"/>
  <c r="A73" i="4" s="1"/>
  <c r="E74" i="4"/>
  <c r="A74" i="4" s="1"/>
  <c r="E75" i="4"/>
  <c r="A75" i="4" s="1"/>
  <c r="E76" i="4"/>
  <c r="A76" i="4" s="1"/>
  <c r="E77" i="4"/>
  <c r="A77" i="4" s="1"/>
  <c r="E78" i="4"/>
  <c r="A78" i="4" s="1"/>
  <c r="E79" i="4"/>
  <c r="A79" i="4" s="1"/>
  <c r="E80" i="4"/>
  <c r="A80" i="4" s="1"/>
  <c r="E81" i="4"/>
  <c r="A81" i="4" s="1"/>
  <c r="E82" i="4"/>
  <c r="A82" i="4" s="1"/>
  <c r="E83" i="4"/>
  <c r="A83" i="4" s="1"/>
  <c r="E84" i="4"/>
  <c r="A84" i="4" s="1"/>
  <c r="E85" i="4"/>
  <c r="A85" i="4" s="1"/>
  <c r="E86" i="4"/>
  <c r="A86" i="4" s="1"/>
  <c r="E87" i="4"/>
  <c r="A87" i="4" s="1"/>
  <c r="E88" i="4"/>
  <c r="A88" i="4" s="1"/>
  <c r="E89" i="4"/>
  <c r="A89" i="4" s="1"/>
  <c r="E90" i="4"/>
  <c r="A90" i="4" s="1"/>
  <c r="E91" i="4"/>
  <c r="A91" i="4" s="1"/>
  <c r="E92" i="4"/>
  <c r="A92" i="4" s="1"/>
  <c r="E93" i="4"/>
  <c r="A93" i="4" s="1"/>
  <c r="E94" i="4"/>
  <c r="A94" i="4" s="1"/>
  <c r="E95" i="4"/>
  <c r="A95" i="4" s="1"/>
  <c r="E96" i="4"/>
  <c r="A96" i="4" s="1"/>
  <c r="E97" i="4"/>
  <c r="A97" i="4" s="1"/>
  <c r="E98" i="4"/>
  <c r="A98" i="4" s="1"/>
  <c r="E99" i="4"/>
  <c r="A99" i="4" s="1"/>
  <c r="E100" i="4"/>
  <c r="A100" i="4" s="1"/>
  <c r="E101" i="4"/>
  <c r="A101" i="4" s="1"/>
  <c r="E102" i="4"/>
  <c r="A102" i="4" s="1"/>
  <c r="E103" i="4"/>
  <c r="A103" i="4" s="1"/>
  <c r="E104" i="4"/>
  <c r="A104" i="4" s="1"/>
  <c r="E105" i="4"/>
  <c r="A105" i="4" s="1"/>
  <c r="E106" i="4"/>
  <c r="A106" i="4" s="1"/>
  <c r="E107" i="4"/>
  <c r="A107" i="4" s="1"/>
  <c r="E108" i="4"/>
  <c r="A108" i="4" s="1"/>
  <c r="E109" i="4"/>
  <c r="A109" i="4" s="1"/>
  <c r="E110" i="4"/>
  <c r="A110" i="4" s="1"/>
  <c r="E111" i="4"/>
  <c r="A111" i="4" s="1"/>
  <c r="E112" i="4"/>
  <c r="A112" i="4" s="1"/>
  <c r="E113" i="4"/>
  <c r="A113" i="4" s="1"/>
  <c r="E114" i="4"/>
  <c r="A114" i="4" s="1"/>
  <c r="E115" i="4"/>
  <c r="A115" i="4" s="1"/>
  <c r="E116" i="4"/>
  <c r="A116" i="4" s="1"/>
  <c r="E117" i="4"/>
  <c r="A117" i="4" s="1"/>
  <c r="E118" i="4"/>
  <c r="A118" i="4" s="1"/>
  <c r="E119" i="4"/>
  <c r="A119" i="4" s="1"/>
  <c r="E120" i="4"/>
  <c r="A120" i="4" s="1"/>
  <c r="E121" i="4"/>
  <c r="A121" i="4" s="1"/>
  <c r="E122" i="4"/>
  <c r="A122" i="4" s="1"/>
  <c r="E123" i="4"/>
  <c r="A123" i="4" s="1"/>
  <c r="E124" i="4"/>
  <c r="A124" i="4" s="1"/>
  <c r="E125" i="4"/>
  <c r="A125" i="4" s="1"/>
  <c r="E126" i="4"/>
  <c r="A126" i="4" s="1"/>
  <c r="E127" i="4"/>
  <c r="A127" i="4" s="1"/>
  <c r="E128" i="4"/>
  <c r="A128" i="4" s="1"/>
  <c r="E129" i="4"/>
  <c r="A129" i="4" s="1"/>
  <c r="E130" i="4"/>
  <c r="A130" i="4" s="1"/>
  <c r="E131" i="4"/>
  <c r="A131" i="4" s="1"/>
  <c r="E132" i="4"/>
  <c r="A132" i="4" s="1"/>
  <c r="E133" i="4"/>
  <c r="A133" i="4" s="1"/>
  <c r="E134" i="4"/>
  <c r="A134" i="4" s="1"/>
  <c r="E135" i="4"/>
  <c r="A135" i="4" s="1"/>
  <c r="E136" i="4"/>
  <c r="A136" i="4" s="1"/>
  <c r="E137" i="4"/>
  <c r="A137" i="4" s="1"/>
  <c r="E138" i="4"/>
  <c r="A138" i="4" s="1"/>
  <c r="E139" i="4"/>
  <c r="A139" i="4" s="1"/>
  <c r="E140" i="4"/>
  <c r="A140" i="4" s="1"/>
  <c r="E141" i="4"/>
  <c r="A141" i="4" s="1"/>
  <c r="E142" i="4"/>
  <c r="A142" i="4" s="1"/>
  <c r="E143" i="4"/>
  <c r="A143" i="4" s="1"/>
  <c r="E144" i="4"/>
  <c r="A144" i="4" s="1"/>
  <c r="E145" i="4"/>
  <c r="A145" i="4" s="1"/>
  <c r="E146" i="4"/>
  <c r="A146" i="4" s="1"/>
  <c r="E147" i="4"/>
  <c r="A147" i="4" s="1"/>
  <c r="E148" i="4"/>
  <c r="A148" i="4" s="1"/>
  <c r="E149" i="4"/>
  <c r="A149" i="4" s="1"/>
  <c r="E150" i="4"/>
  <c r="A150" i="4" s="1"/>
  <c r="E151" i="4"/>
  <c r="A151" i="4" s="1"/>
  <c r="E152" i="4"/>
  <c r="A152" i="4" s="1"/>
  <c r="E153" i="4"/>
  <c r="A153" i="4" s="1"/>
  <c r="E154" i="4"/>
  <c r="A154" i="4" s="1"/>
  <c r="E155" i="4"/>
  <c r="A155" i="4" s="1"/>
  <c r="E156" i="4"/>
  <c r="A156" i="4" s="1"/>
  <c r="E157" i="4"/>
  <c r="A157" i="4" s="1"/>
  <c r="E158" i="4"/>
  <c r="A158" i="4" s="1"/>
  <c r="E159" i="4"/>
  <c r="A159" i="4" s="1"/>
  <c r="E160" i="4"/>
  <c r="A160" i="4" s="1"/>
  <c r="E161" i="4"/>
  <c r="A161" i="4" s="1"/>
  <c r="E162" i="4"/>
  <c r="A162" i="4" s="1"/>
  <c r="E163" i="4"/>
  <c r="A163" i="4" s="1"/>
  <c r="E164" i="4"/>
  <c r="A164" i="4" s="1"/>
  <c r="E165" i="4"/>
  <c r="A165" i="4" s="1"/>
  <c r="E166" i="4"/>
  <c r="A166" i="4" s="1"/>
  <c r="E167" i="4"/>
  <c r="A167" i="4" s="1"/>
  <c r="E168" i="4"/>
  <c r="A168" i="4" s="1"/>
  <c r="E169" i="4"/>
  <c r="A169" i="4" s="1"/>
  <c r="E170" i="4"/>
  <c r="A170" i="4" s="1"/>
  <c r="E171" i="4"/>
  <c r="A171" i="4" s="1"/>
  <c r="E172" i="4"/>
  <c r="A172" i="4" s="1"/>
  <c r="E173" i="4"/>
  <c r="A173" i="4" s="1"/>
  <c r="E174" i="4"/>
  <c r="A174" i="4" s="1"/>
  <c r="E175" i="4"/>
  <c r="A175" i="4" s="1"/>
  <c r="E176" i="4"/>
  <c r="A176" i="4" s="1"/>
  <c r="E177" i="4"/>
  <c r="A177" i="4" s="1"/>
  <c r="E178" i="4"/>
  <c r="A178" i="4" s="1"/>
  <c r="E179" i="4"/>
  <c r="A179" i="4" s="1"/>
  <c r="E180" i="4"/>
  <c r="A180" i="4" s="1"/>
  <c r="E181" i="4"/>
  <c r="A181" i="4" s="1"/>
  <c r="E182" i="4"/>
  <c r="A182" i="4" s="1"/>
  <c r="E183" i="4"/>
  <c r="A183" i="4" s="1"/>
  <c r="E184" i="4"/>
  <c r="A184" i="4" s="1"/>
  <c r="E185" i="4"/>
  <c r="A185" i="4" s="1"/>
  <c r="E186" i="4"/>
  <c r="A186" i="4" s="1"/>
  <c r="E187" i="4"/>
  <c r="A187" i="4" s="1"/>
  <c r="E188" i="4"/>
  <c r="A188" i="4" s="1"/>
  <c r="E189" i="4"/>
  <c r="A189" i="4" s="1"/>
  <c r="E190" i="4"/>
  <c r="A190" i="4" s="1"/>
  <c r="E191" i="4"/>
  <c r="A191" i="4" s="1"/>
  <c r="E192" i="4"/>
  <c r="A192" i="4" s="1"/>
  <c r="E193" i="4"/>
  <c r="A193" i="4" s="1"/>
  <c r="E194" i="4"/>
  <c r="A194" i="4" s="1"/>
  <c r="E195" i="4"/>
  <c r="A195" i="4" s="1"/>
  <c r="E196" i="4"/>
  <c r="A196" i="4" s="1"/>
  <c r="E197" i="4"/>
  <c r="A197" i="4" s="1"/>
  <c r="E198" i="4"/>
  <c r="A198" i="4" s="1"/>
  <c r="E199" i="4"/>
  <c r="A199" i="4" s="1"/>
  <c r="E200" i="4"/>
  <c r="A200" i="4" s="1"/>
  <c r="E201" i="4"/>
  <c r="A201" i="4" s="1"/>
  <c r="E202" i="4"/>
  <c r="A202" i="4" s="1"/>
  <c r="E203" i="4"/>
  <c r="A203" i="4" s="1"/>
  <c r="E204" i="4"/>
  <c r="A204" i="4" s="1"/>
  <c r="E205" i="4"/>
  <c r="A205" i="4" s="1"/>
  <c r="E206" i="4"/>
  <c r="A206" i="4" s="1"/>
  <c r="E207" i="4"/>
  <c r="A207" i="4" s="1"/>
  <c r="E208" i="4"/>
  <c r="A208" i="4" s="1"/>
  <c r="E209" i="4"/>
  <c r="A209" i="4" s="1"/>
  <c r="E210" i="4"/>
  <c r="A210" i="4" s="1"/>
  <c r="E211" i="4"/>
  <c r="A211" i="4" s="1"/>
  <c r="E212" i="4"/>
  <c r="A212" i="4" s="1"/>
  <c r="E213" i="4"/>
  <c r="A213" i="4" s="1"/>
  <c r="E214" i="4"/>
  <c r="A214" i="4" s="1"/>
  <c r="E215" i="4"/>
  <c r="A215" i="4" s="1"/>
  <c r="E216" i="4"/>
  <c r="A216" i="4" s="1"/>
  <c r="E217" i="4"/>
  <c r="A217" i="4" s="1"/>
  <c r="E218" i="4"/>
  <c r="A218" i="4" s="1"/>
  <c r="E219" i="4"/>
  <c r="A219" i="4" s="1"/>
  <c r="E220" i="4"/>
  <c r="A220" i="4" s="1"/>
  <c r="E221" i="4"/>
  <c r="A221" i="4" s="1"/>
  <c r="E222" i="4"/>
  <c r="A222" i="4" s="1"/>
  <c r="E223" i="4"/>
  <c r="A223" i="4" s="1"/>
  <c r="E224" i="4"/>
  <c r="A224" i="4" s="1"/>
  <c r="E225" i="4"/>
  <c r="A225" i="4" s="1"/>
  <c r="E226" i="4"/>
  <c r="A226" i="4" s="1"/>
  <c r="E227" i="4"/>
  <c r="A227" i="4" s="1"/>
  <c r="E228" i="4"/>
  <c r="A228" i="4" s="1"/>
  <c r="E229" i="4"/>
  <c r="A229" i="4" s="1"/>
  <c r="E230" i="4"/>
  <c r="A230" i="4" s="1"/>
  <c r="E231" i="4"/>
  <c r="A231" i="4" s="1"/>
  <c r="E232" i="4"/>
  <c r="A232" i="4" s="1"/>
  <c r="E233" i="4"/>
  <c r="A233" i="4" s="1"/>
  <c r="E234" i="4"/>
  <c r="A234" i="4" s="1"/>
  <c r="E235" i="4"/>
  <c r="A235" i="4" s="1"/>
  <c r="E236" i="4"/>
  <c r="A236" i="4" s="1"/>
  <c r="E237" i="4"/>
  <c r="A237" i="4" s="1"/>
  <c r="E238" i="4"/>
  <c r="A238" i="4" s="1"/>
  <c r="E239" i="4"/>
  <c r="A239" i="4" s="1"/>
  <c r="E240" i="4"/>
  <c r="A240" i="4" s="1"/>
  <c r="E241" i="4"/>
  <c r="A241" i="4" s="1"/>
  <c r="E242" i="4"/>
  <c r="A242" i="4" s="1"/>
  <c r="E243" i="4"/>
  <c r="A243" i="4" s="1"/>
  <c r="E244" i="4"/>
  <c r="A244" i="4" s="1"/>
  <c r="E245" i="4"/>
  <c r="A245" i="4" s="1"/>
  <c r="E246" i="4"/>
  <c r="A246" i="4" s="1"/>
  <c r="E247" i="4"/>
  <c r="A247" i="4" s="1"/>
  <c r="E248" i="4"/>
  <c r="A248" i="4" s="1"/>
  <c r="E249" i="4"/>
  <c r="A249" i="4" s="1"/>
  <c r="E250" i="4"/>
  <c r="A250" i="4" s="1"/>
  <c r="E251" i="4"/>
  <c r="A251" i="4" s="1"/>
  <c r="E252" i="4"/>
  <c r="A252" i="4" s="1"/>
  <c r="E253" i="4"/>
  <c r="A253" i="4" s="1"/>
  <c r="E254" i="4"/>
  <c r="A254" i="4" s="1"/>
  <c r="E255" i="4"/>
  <c r="A255" i="4" s="1"/>
  <c r="E256" i="4"/>
  <c r="A256" i="4" s="1"/>
  <c r="E257" i="4"/>
  <c r="A257" i="4" s="1"/>
  <c r="E258" i="4"/>
  <c r="A258" i="4" s="1"/>
  <c r="E259" i="4"/>
  <c r="A259" i="4" s="1"/>
  <c r="E260" i="4"/>
  <c r="A260" i="4" s="1"/>
  <c r="E261" i="4"/>
  <c r="A261" i="4" s="1"/>
  <c r="E262" i="4"/>
  <c r="A262" i="4" s="1"/>
  <c r="E263" i="4"/>
  <c r="A263" i="4" s="1"/>
  <c r="E264" i="4"/>
  <c r="A264" i="4" s="1"/>
  <c r="E265" i="4"/>
  <c r="A265" i="4" s="1"/>
  <c r="E266" i="4"/>
  <c r="A266" i="4" s="1"/>
  <c r="E267" i="4"/>
  <c r="A267" i="4" s="1"/>
  <c r="E268" i="4"/>
  <c r="A268" i="4" s="1"/>
  <c r="E269" i="4"/>
  <c r="A269" i="4" s="1"/>
  <c r="E270" i="4"/>
  <c r="A270" i="4" s="1"/>
  <c r="E271" i="4"/>
  <c r="A271" i="4" s="1"/>
  <c r="E272" i="4"/>
  <c r="A272" i="4" s="1"/>
  <c r="E273" i="4"/>
  <c r="A273" i="4" s="1"/>
  <c r="E274" i="4"/>
  <c r="A274" i="4" s="1"/>
  <c r="E275" i="4"/>
  <c r="A275" i="4" s="1"/>
  <c r="E276" i="4"/>
  <c r="A276" i="4" s="1"/>
  <c r="E277" i="4"/>
  <c r="A277" i="4" s="1"/>
  <c r="E278" i="4"/>
  <c r="A278" i="4" s="1"/>
  <c r="E279" i="4"/>
  <c r="A279" i="4" s="1"/>
  <c r="E280" i="4"/>
  <c r="A280" i="4" s="1"/>
  <c r="E281" i="4"/>
  <c r="A281" i="4" s="1"/>
  <c r="E282" i="4"/>
  <c r="A282" i="4" s="1"/>
  <c r="E283" i="4"/>
  <c r="A283" i="4" s="1"/>
  <c r="E284" i="4"/>
  <c r="A284" i="4" s="1"/>
  <c r="E285" i="4"/>
  <c r="A285" i="4" s="1"/>
  <c r="E286" i="4"/>
  <c r="A286" i="4" s="1"/>
  <c r="E287" i="4"/>
  <c r="A287" i="4" s="1"/>
  <c r="E288" i="4"/>
  <c r="A288" i="4" s="1"/>
  <c r="E289" i="4"/>
  <c r="A289" i="4" s="1"/>
  <c r="E290" i="4"/>
  <c r="A290" i="4" s="1"/>
  <c r="E291" i="4"/>
  <c r="A291" i="4" s="1"/>
  <c r="E292" i="4"/>
  <c r="A292" i="4" s="1"/>
  <c r="E293" i="4"/>
  <c r="A293" i="4" s="1"/>
  <c r="E294" i="4"/>
  <c r="A294" i="4" s="1"/>
  <c r="E295" i="4"/>
  <c r="A295" i="4" s="1"/>
  <c r="E296" i="4"/>
  <c r="A296" i="4" s="1"/>
  <c r="E297" i="4"/>
  <c r="A297" i="4" s="1"/>
  <c r="E298" i="4"/>
  <c r="A298" i="4" s="1"/>
  <c r="E299" i="4"/>
  <c r="A299" i="4" s="1"/>
  <c r="E300" i="4"/>
  <c r="A300" i="4" s="1"/>
  <c r="E301" i="4"/>
  <c r="A301" i="4" s="1"/>
  <c r="E302" i="4"/>
  <c r="A302" i="4" s="1"/>
  <c r="E303" i="4"/>
  <c r="A303" i="4" s="1"/>
  <c r="E304" i="4"/>
  <c r="A304" i="4" s="1"/>
  <c r="E305" i="4"/>
  <c r="A305" i="4" s="1"/>
  <c r="E306" i="4"/>
  <c r="A306" i="4" s="1"/>
  <c r="E307" i="4"/>
  <c r="A307" i="4" s="1"/>
  <c r="E308" i="4"/>
  <c r="A308" i="4" s="1"/>
  <c r="E309" i="4"/>
  <c r="A309" i="4" s="1"/>
  <c r="E310" i="4"/>
  <c r="A310" i="4" s="1"/>
  <c r="E311" i="4"/>
  <c r="A311" i="4" s="1"/>
  <c r="E312" i="4"/>
  <c r="A312" i="4" s="1"/>
  <c r="E313" i="4"/>
  <c r="A313" i="4" s="1"/>
  <c r="E314" i="4"/>
  <c r="A314" i="4" s="1"/>
  <c r="E315" i="4"/>
  <c r="A315" i="4" s="1"/>
  <c r="E316" i="4"/>
  <c r="A316" i="4" s="1"/>
  <c r="E317" i="4"/>
  <c r="A317" i="4" s="1"/>
  <c r="E318" i="4"/>
  <c r="A318" i="4" s="1"/>
  <c r="E319" i="4"/>
  <c r="A319" i="4" s="1"/>
  <c r="E320" i="4"/>
  <c r="A320" i="4" s="1"/>
  <c r="E321" i="4"/>
  <c r="A321" i="4" s="1"/>
  <c r="E322" i="4"/>
  <c r="A322" i="4" s="1"/>
  <c r="E323" i="4"/>
  <c r="A323" i="4" s="1"/>
  <c r="E324" i="4"/>
  <c r="A324" i="4" s="1"/>
  <c r="E325" i="4"/>
  <c r="A325" i="4" s="1"/>
  <c r="E326" i="4"/>
  <c r="A326" i="4" s="1"/>
  <c r="E327" i="4"/>
  <c r="A327" i="4" s="1"/>
  <c r="E328" i="4"/>
  <c r="A328" i="4" s="1"/>
  <c r="E329" i="4"/>
  <c r="A329" i="4" s="1"/>
  <c r="E330" i="4"/>
  <c r="A330" i="4" s="1"/>
  <c r="E331" i="4"/>
  <c r="A331" i="4" s="1"/>
  <c r="E332" i="4"/>
  <c r="A332" i="4" s="1"/>
  <c r="E333" i="4"/>
  <c r="A333" i="4" s="1"/>
  <c r="E334" i="4"/>
  <c r="A334" i="4" s="1"/>
  <c r="E335" i="4"/>
  <c r="A335" i="4" s="1"/>
  <c r="E336" i="4"/>
  <c r="A336" i="4" s="1"/>
  <c r="E337" i="4"/>
  <c r="A337" i="4" s="1"/>
  <c r="E338" i="4"/>
  <c r="A338" i="4" s="1"/>
  <c r="E339" i="4"/>
  <c r="A339" i="4" s="1"/>
  <c r="E340" i="4"/>
  <c r="A340" i="4" s="1"/>
  <c r="E341" i="4"/>
  <c r="A341" i="4" s="1"/>
  <c r="E342" i="4"/>
  <c r="A342" i="4" s="1"/>
  <c r="E343" i="4"/>
  <c r="A343" i="4" s="1"/>
  <c r="E344" i="4"/>
  <c r="A344" i="4" s="1"/>
  <c r="E345" i="4"/>
  <c r="A345" i="4" s="1"/>
  <c r="E346" i="4"/>
  <c r="A346" i="4" s="1"/>
  <c r="E347" i="4"/>
  <c r="A347" i="4" s="1"/>
  <c r="E348" i="4"/>
  <c r="A348" i="4" s="1"/>
  <c r="E349" i="4"/>
  <c r="A349" i="4" s="1"/>
  <c r="E350" i="4"/>
  <c r="A350" i="4" s="1"/>
  <c r="E351" i="4"/>
  <c r="A351" i="4" s="1"/>
  <c r="E352" i="4"/>
  <c r="A352" i="4" s="1"/>
  <c r="E353" i="4"/>
  <c r="A353" i="4" s="1"/>
  <c r="E354" i="4"/>
  <c r="A354" i="4" s="1"/>
  <c r="E355" i="4"/>
  <c r="A355" i="4" s="1"/>
  <c r="E356" i="4"/>
  <c r="A356" i="4" s="1"/>
  <c r="E357" i="4"/>
  <c r="A357" i="4" s="1"/>
  <c r="E358" i="4"/>
  <c r="A358" i="4" s="1"/>
  <c r="E359" i="4"/>
  <c r="A359" i="4" s="1"/>
  <c r="E360" i="4"/>
  <c r="A360" i="4" s="1"/>
  <c r="E361" i="4"/>
  <c r="A361" i="4" s="1"/>
  <c r="E362" i="4"/>
  <c r="A362" i="4" s="1"/>
  <c r="E363" i="4"/>
  <c r="A363" i="4" s="1"/>
  <c r="E364" i="4"/>
  <c r="A364" i="4" s="1"/>
  <c r="E365" i="4"/>
  <c r="A365" i="4" s="1"/>
  <c r="E366" i="4"/>
  <c r="A366" i="4" s="1"/>
  <c r="E367" i="4"/>
  <c r="A367" i="4" s="1"/>
  <c r="E368" i="4"/>
  <c r="A368" i="4" s="1"/>
  <c r="E369" i="4"/>
  <c r="A369" i="4" s="1"/>
  <c r="E370" i="4"/>
  <c r="A370" i="4" s="1"/>
  <c r="E371" i="4"/>
  <c r="A371" i="4" s="1"/>
  <c r="E372" i="4"/>
  <c r="A372" i="4" s="1"/>
  <c r="E373" i="4"/>
  <c r="A373" i="4" s="1"/>
  <c r="E374" i="4"/>
  <c r="A374" i="4" s="1"/>
  <c r="E375" i="4"/>
  <c r="A375" i="4" s="1"/>
  <c r="E376" i="4"/>
  <c r="A376" i="4" s="1"/>
  <c r="E377" i="4"/>
  <c r="A377" i="4" s="1"/>
  <c r="E378" i="4"/>
  <c r="A378" i="4" s="1"/>
  <c r="E379" i="4"/>
  <c r="A379" i="4" s="1"/>
  <c r="E380" i="4"/>
  <c r="A380" i="4" s="1"/>
  <c r="E381" i="4"/>
  <c r="A381" i="4" s="1"/>
  <c r="E382" i="4"/>
  <c r="A382" i="4" s="1"/>
  <c r="E383" i="4"/>
  <c r="A383" i="4" s="1"/>
  <c r="E384" i="4"/>
  <c r="A384" i="4" s="1"/>
  <c r="E385" i="4"/>
  <c r="A385" i="4" s="1"/>
  <c r="E386" i="4"/>
  <c r="A386" i="4" s="1"/>
  <c r="E387" i="4"/>
  <c r="A387" i="4" s="1"/>
  <c r="E388" i="4"/>
  <c r="A388" i="4" s="1"/>
  <c r="E389" i="4"/>
  <c r="A389" i="4" s="1"/>
  <c r="E390" i="4"/>
  <c r="A390" i="4" s="1"/>
  <c r="E391" i="4"/>
  <c r="A391" i="4" s="1"/>
  <c r="E392" i="4"/>
  <c r="A392" i="4" s="1"/>
  <c r="E393" i="4"/>
  <c r="A393" i="4" s="1"/>
  <c r="E394" i="4"/>
  <c r="A394" i="4" s="1"/>
  <c r="E395" i="4"/>
  <c r="A395" i="4" s="1"/>
  <c r="E396" i="4"/>
  <c r="A396" i="4" s="1"/>
  <c r="E397" i="4"/>
  <c r="A397" i="4" s="1"/>
  <c r="E398" i="4"/>
  <c r="A398" i="4" s="1"/>
  <c r="E399" i="4"/>
  <c r="A399" i="4" s="1"/>
  <c r="E400" i="4"/>
  <c r="A400" i="4" s="1"/>
  <c r="E401" i="4"/>
  <c r="A401" i="4" s="1"/>
  <c r="E402" i="4"/>
  <c r="A402" i="4" s="1"/>
  <c r="E403" i="4"/>
  <c r="A403" i="4" s="1"/>
  <c r="E404" i="4"/>
  <c r="A404" i="4" s="1"/>
  <c r="E405" i="4"/>
  <c r="A405" i="4" s="1"/>
  <c r="E406" i="4"/>
  <c r="A406" i="4" s="1"/>
  <c r="E407" i="4"/>
  <c r="A407" i="4" s="1"/>
  <c r="E408" i="4"/>
  <c r="A408" i="4" s="1"/>
  <c r="E409" i="4"/>
  <c r="A409" i="4" s="1"/>
  <c r="E410" i="4"/>
  <c r="A410" i="4" s="1"/>
  <c r="E411" i="4"/>
  <c r="A411" i="4" s="1"/>
  <c r="E412" i="4"/>
  <c r="A412" i="4" s="1"/>
  <c r="E413" i="4"/>
  <c r="A413" i="4" s="1"/>
  <c r="E414" i="4"/>
  <c r="A414" i="4" s="1"/>
  <c r="E415" i="4"/>
  <c r="A415" i="4" s="1"/>
  <c r="E416" i="4"/>
  <c r="A416" i="4" s="1"/>
  <c r="E417" i="4"/>
  <c r="A417" i="4" s="1"/>
  <c r="E418" i="4"/>
  <c r="A418" i="4" s="1"/>
  <c r="E419" i="4"/>
  <c r="A419" i="4" s="1"/>
  <c r="E420" i="4"/>
  <c r="A420" i="4" s="1"/>
  <c r="E421" i="4"/>
  <c r="A421" i="4" s="1"/>
  <c r="E422" i="4"/>
  <c r="A422" i="4" s="1"/>
  <c r="E423" i="4"/>
  <c r="A423" i="4" s="1"/>
  <c r="E424" i="4"/>
  <c r="A424" i="4" s="1"/>
  <c r="E425" i="4"/>
  <c r="A425" i="4" s="1"/>
  <c r="E426" i="4"/>
  <c r="A426" i="4" s="1"/>
  <c r="E427" i="4"/>
  <c r="A427" i="4" s="1"/>
  <c r="E428" i="4"/>
  <c r="A428" i="4" s="1"/>
  <c r="E429" i="4"/>
  <c r="A429" i="4" s="1"/>
  <c r="E430" i="4"/>
  <c r="A430" i="4" s="1"/>
  <c r="E431" i="4"/>
  <c r="A431" i="4" s="1"/>
  <c r="E432" i="4"/>
  <c r="A432" i="4" s="1"/>
  <c r="E433" i="4"/>
  <c r="A433" i="4" s="1"/>
  <c r="E434" i="4"/>
  <c r="A434" i="4" s="1"/>
  <c r="E435" i="4"/>
  <c r="A435" i="4" s="1"/>
  <c r="E436" i="4"/>
  <c r="A436" i="4" s="1"/>
  <c r="E437" i="4"/>
  <c r="A437" i="4" s="1"/>
  <c r="E438" i="4"/>
  <c r="A438" i="4" s="1"/>
  <c r="E439" i="4"/>
  <c r="A439" i="4" s="1"/>
  <c r="E440" i="4"/>
  <c r="A440" i="4" s="1"/>
  <c r="E441" i="4"/>
  <c r="A441" i="4" s="1"/>
  <c r="E442" i="4"/>
  <c r="A442" i="4" s="1"/>
  <c r="E443" i="4"/>
  <c r="A443" i="4" s="1"/>
  <c r="E444" i="4"/>
  <c r="A444" i="4" s="1"/>
  <c r="E445" i="4"/>
  <c r="A445" i="4" s="1"/>
  <c r="E446" i="4"/>
  <c r="A446" i="4" s="1"/>
  <c r="E447" i="4"/>
  <c r="A447" i="4" s="1"/>
  <c r="E448" i="4"/>
  <c r="A448" i="4" s="1"/>
  <c r="E449" i="4"/>
  <c r="A449" i="4" s="1"/>
  <c r="E450" i="4"/>
  <c r="A450" i="4" s="1"/>
  <c r="E451" i="4"/>
  <c r="A451" i="4" s="1"/>
  <c r="E452" i="4"/>
  <c r="A452" i="4" s="1"/>
  <c r="E453" i="4"/>
  <c r="A453" i="4" s="1"/>
  <c r="E454" i="4"/>
  <c r="A454" i="4" s="1"/>
  <c r="E455" i="4"/>
  <c r="A455" i="4" s="1"/>
  <c r="E456" i="4"/>
  <c r="A456" i="4" s="1"/>
  <c r="E457" i="4"/>
  <c r="A457" i="4" s="1"/>
  <c r="E458" i="4"/>
  <c r="A458" i="4" s="1"/>
  <c r="E459" i="4"/>
  <c r="A459" i="4" s="1"/>
  <c r="E460" i="4"/>
  <c r="A460" i="4" s="1"/>
  <c r="E461" i="4"/>
  <c r="A461" i="4" s="1"/>
  <c r="E462" i="4"/>
  <c r="A462" i="4" s="1"/>
  <c r="E463" i="4"/>
  <c r="A463" i="4" s="1"/>
  <c r="E464" i="4"/>
  <c r="A464" i="4" s="1"/>
  <c r="E465" i="4"/>
  <c r="A465" i="4" s="1"/>
  <c r="E466" i="4"/>
  <c r="A466" i="4" s="1"/>
  <c r="E467" i="4"/>
  <c r="A467" i="4" s="1"/>
  <c r="E468" i="4"/>
  <c r="A468" i="4" s="1"/>
  <c r="E469" i="4"/>
  <c r="A469" i="4" s="1"/>
  <c r="E470" i="4"/>
  <c r="A470" i="4" s="1"/>
  <c r="E471" i="4"/>
  <c r="A471" i="4" s="1"/>
  <c r="E472" i="4"/>
  <c r="A472" i="4" s="1"/>
  <c r="E473" i="4"/>
  <c r="A473" i="4" s="1"/>
  <c r="E474" i="4"/>
  <c r="A474" i="4" s="1"/>
  <c r="E475" i="4"/>
  <c r="A475" i="4" s="1"/>
  <c r="E476" i="4"/>
  <c r="A476" i="4" s="1"/>
  <c r="E477" i="4"/>
  <c r="A477" i="4" s="1"/>
  <c r="E478" i="4"/>
  <c r="A478" i="4" s="1"/>
  <c r="E479" i="4"/>
  <c r="A479" i="4" s="1"/>
  <c r="E480" i="4"/>
  <c r="A480" i="4" s="1"/>
  <c r="E481" i="4"/>
  <c r="A481" i="4" s="1"/>
  <c r="E482" i="4"/>
  <c r="A482" i="4" s="1"/>
  <c r="E483" i="4"/>
  <c r="A483" i="4" s="1"/>
  <c r="E484" i="4"/>
  <c r="A484" i="4" s="1"/>
  <c r="E485" i="4"/>
  <c r="A485" i="4" s="1"/>
  <c r="E486" i="4"/>
  <c r="A486" i="4" s="1"/>
  <c r="E487" i="4"/>
  <c r="A487" i="4" s="1"/>
  <c r="E488" i="4"/>
  <c r="A488" i="4" s="1"/>
  <c r="E489" i="4"/>
  <c r="A489" i="4" s="1"/>
  <c r="E490" i="4"/>
  <c r="A490" i="4" s="1"/>
  <c r="E491" i="4"/>
  <c r="A491" i="4" s="1"/>
  <c r="E492" i="4"/>
  <c r="A492" i="4" s="1"/>
  <c r="E493" i="4"/>
  <c r="A493" i="4" s="1"/>
  <c r="E494" i="4"/>
  <c r="A494" i="4" s="1"/>
  <c r="E495" i="4"/>
  <c r="A495" i="4" s="1"/>
  <c r="A35" i="4" l="1"/>
  <c r="A27" i="4"/>
  <c r="A19" i="4"/>
  <c r="A3" i="4"/>
  <c r="A3143" i="2"/>
  <c r="A3135" i="2"/>
  <c r="A3127" i="2"/>
  <c r="A3119" i="2"/>
  <c r="A3115" i="2"/>
  <c r="A3107" i="2"/>
  <c r="A3099" i="2"/>
  <c r="A3091" i="2"/>
  <c r="A3083" i="2"/>
  <c r="A3079" i="2"/>
  <c r="A3071" i="2"/>
  <c r="A3067" i="2"/>
  <c r="A3063" i="2"/>
  <c r="A3055" i="2"/>
  <c r="A3051" i="2"/>
  <c r="A3047" i="2"/>
  <c r="A3043" i="2"/>
  <c r="A3039" i="2"/>
  <c r="A3035" i="2"/>
  <c r="A3031" i="2"/>
  <c r="A3027" i="2"/>
  <c r="A3023" i="2"/>
  <c r="A3019" i="2"/>
  <c r="A3015" i="2"/>
  <c r="A3011" i="2"/>
  <c r="A3007" i="2"/>
  <c r="A3003" i="2"/>
  <c r="A2999" i="2"/>
  <c r="A2995" i="2"/>
  <c r="A2991" i="2"/>
  <c r="A2987" i="2"/>
  <c r="A2983" i="2"/>
  <c r="A2979" i="2"/>
  <c r="A2975" i="2"/>
  <c r="A2971" i="2"/>
  <c r="A2967" i="2"/>
  <c r="A2963" i="2"/>
  <c r="A2959" i="2"/>
  <c r="A2955" i="2"/>
  <c r="A2951" i="2"/>
  <c r="A2947" i="2"/>
  <c r="A2943" i="2"/>
  <c r="A2939" i="2"/>
  <c r="A2935" i="2"/>
  <c r="A2931" i="2"/>
  <c r="A2927" i="2"/>
  <c r="A2923" i="2"/>
  <c r="A2919" i="2"/>
  <c r="A2915" i="2"/>
  <c r="A2911" i="2"/>
  <c r="A2907" i="2"/>
  <c r="A2903" i="2"/>
  <c r="A2899" i="2"/>
  <c r="A2895" i="2"/>
  <c r="A2891" i="2"/>
  <c r="A2883" i="2"/>
  <c r="A2879" i="2"/>
  <c r="A2875" i="2"/>
  <c r="A2871" i="2"/>
  <c r="A2867" i="2"/>
  <c r="A2863" i="2"/>
  <c r="A2859" i="2"/>
  <c r="A2855" i="2"/>
  <c r="A2851" i="2"/>
  <c r="A2847" i="2"/>
  <c r="A2843" i="2"/>
  <c r="A2839" i="2"/>
  <c r="A2835" i="2"/>
  <c r="A2831" i="2"/>
  <c r="A2827" i="2"/>
  <c r="A2823" i="2"/>
  <c r="A2819" i="2"/>
  <c r="A2815" i="2"/>
  <c r="A2811" i="2"/>
  <c r="A2807" i="2"/>
  <c r="A2803" i="2"/>
  <c r="A2799" i="2"/>
  <c r="A2795" i="2"/>
  <c r="A2791" i="2"/>
  <c r="A2787" i="2"/>
  <c r="A2783" i="2"/>
  <c r="A2779" i="2"/>
  <c r="A2775" i="2"/>
  <c r="A2771" i="2"/>
  <c r="A2767" i="2"/>
  <c r="A2763" i="2"/>
  <c r="A2759" i="2"/>
  <c r="A2755" i="2"/>
  <c r="A2751" i="2"/>
  <c r="A2747" i="2"/>
  <c r="A2743" i="2"/>
  <c r="A2739" i="2"/>
  <c r="A2735" i="2"/>
  <c r="A2731" i="2"/>
  <c r="A2727" i="2"/>
  <c r="A2723" i="2"/>
  <c r="A2719" i="2"/>
  <c r="A2715" i="2"/>
  <c r="A2711" i="2"/>
  <c r="A2707" i="2"/>
  <c r="A2703" i="2"/>
  <c r="A2699" i="2"/>
  <c r="A2695" i="2"/>
  <c r="A2691" i="2"/>
  <c r="A2687" i="2"/>
  <c r="A2683" i="2"/>
  <c r="A2679" i="2"/>
  <c r="A2675" i="2"/>
  <c r="A2671" i="2"/>
  <c r="A2667" i="2"/>
  <c r="A2663" i="2"/>
  <c r="A2659" i="2"/>
  <c r="A2655" i="2"/>
  <c r="A2651" i="2"/>
  <c r="A2647" i="2"/>
  <c r="A2643" i="2"/>
  <c r="A2639" i="2"/>
  <c r="A2635" i="2"/>
  <c r="A2631" i="2"/>
  <c r="A2627" i="2"/>
  <c r="A2623" i="2"/>
  <c r="A2619" i="2"/>
  <c r="A2615" i="2"/>
  <c r="A2611" i="2"/>
  <c r="A2607" i="2"/>
  <c r="A2603" i="2"/>
  <c r="A2599" i="2"/>
  <c r="A2595" i="2"/>
  <c r="A2591" i="2"/>
  <c r="A2587" i="2"/>
  <c r="A2583" i="2"/>
  <c r="A2579" i="2"/>
  <c r="A2575" i="2"/>
  <c r="A2571" i="2"/>
  <c r="A2567" i="2"/>
  <c r="A2563" i="2"/>
  <c r="A2559" i="2"/>
  <c r="A2555" i="2"/>
  <c r="A2551" i="2"/>
  <c r="A2547" i="2"/>
  <c r="A2543" i="2"/>
  <c r="A2539" i="2"/>
  <c r="A2535" i="2"/>
  <c r="A2531" i="2"/>
  <c r="A2527" i="2"/>
  <c r="A2523" i="2"/>
  <c r="A2519" i="2"/>
  <c r="A2515" i="2"/>
  <c r="A2511" i="2"/>
  <c r="A2507" i="2"/>
  <c r="A2503" i="2"/>
  <c r="A2499" i="2"/>
  <c r="A2495" i="2"/>
  <c r="A2491" i="2"/>
  <c r="A2487" i="2"/>
  <c r="A2483" i="2"/>
  <c r="A2479" i="2"/>
  <c r="A2475" i="2"/>
  <c r="A2471" i="2"/>
  <c r="A2467" i="2"/>
  <c r="A2463" i="2"/>
  <c r="A2459" i="2"/>
  <c r="A2455" i="2"/>
  <c r="A2451" i="2"/>
  <c r="A2447" i="2"/>
  <c r="A2443" i="2"/>
  <c r="A2439" i="2"/>
  <c r="A2435" i="2"/>
  <c r="A2431" i="2"/>
  <c r="A2427" i="2"/>
  <c r="A2423" i="2"/>
  <c r="A2419" i="2"/>
  <c r="A2415" i="2"/>
  <c r="A2411" i="2"/>
  <c r="A2407" i="2"/>
  <c r="A2403" i="2"/>
  <c r="A2399" i="2"/>
  <c r="A2395" i="2"/>
  <c r="A2391" i="2"/>
  <c r="A2387" i="2"/>
  <c r="A2383" i="2"/>
  <c r="A2379" i="2"/>
  <c r="A2375" i="2"/>
  <c r="A2371" i="2"/>
  <c r="A2367" i="2"/>
  <c r="A2363" i="2"/>
  <c r="A2359" i="2"/>
  <c r="A2355" i="2"/>
  <c r="A2351" i="2"/>
  <c r="A2347" i="2"/>
  <c r="A2343" i="2"/>
  <c r="A2339" i="2"/>
  <c r="A2335" i="2"/>
  <c r="A2331" i="2"/>
  <c r="A2327" i="2"/>
  <c r="A2323" i="2"/>
  <c r="A2319" i="2"/>
  <c r="A2315" i="2"/>
  <c r="A2311" i="2"/>
  <c r="A2307" i="2"/>
  <c r="A2303" i="2"/>
  <c r="A2299" i="2"/>
  <c r="A2295" i="2"/>
  <c r="A2291" i="2"/>
  <c r="A2287" i="2"/>
  <c r="A2283" i="2"/>
  <c r="A2279" i="2"/>
  <c r="A2275" i="2"/>
  <c r="A2271" i="2"/>
  <c r="A2267" i="2"/>
  <c r="A2263" i="2"/>
  <c r="A2259" i="2"/>
  <c r="A2255" i="2"/>
  <c r="A2251" i="2"/>
  <c r="A2247" i="2"/>
  <c r="A2243" i="2"/>
  <c r="A2239" i="2"/>
  <c r="A2235" i="2"/>
  <c r="A2231" i="2"/>
  <c r="A2227" i="2"/>
  <c r="A2223" i="2"/>
  <c r="A2219" i="2"/>
  <c r="A2215" i="2"/>
  <c r="A2211" i="2"/>
  <c r="A2207" i="2"/>
  <c r="A2203" i="2"/>
  <c r="A2199" i="2"/>
  <c r="A2195" i="2"/>
  <c r="A2191" i="2"/>
  <c r="A2187" i="2"/>
  <c r="A2183" i="2"/>
  <c r="A2179" i="2"/>
  <c r="A2175" i="2"/>
  <c r="A2171" i="2"/>
  <c r="A2167" i="2"/>
  <c r="A2163" i="2"/>
  <c r="A2159" i="2"/>
  <c r="A2155" i="2"/>
  <c r="A2151" i="2"/>
  <c r="A2147" i="2"/>
  <c r="A2143" i="2"/>
  <c r="A2139" i="2"/>
  <c r="A2135" i="2"/>
  <c r="A2131" i="2"/>
  <c r="A2127" i="2"/>
  <c r="A2123" i="2"/>
  <c r="A2119" i="2"/>
  <c r="A2115" i="2"/>
  <c r="A2111" i="2"/>
  <c r="A2107" i="2"/>
  <c r="A2103" i="2"/>
  <c r="A2099" i="2"/>
  <c r="A2095" i="2"/>
  <c r="A2091" i="2"/>
  <c r="A2087" i="2"/>
  <c r="A2083" i="2"/>
  <c r="A2079" i="2"/>
  <c r="A2075" i="2"/>
  <c r="A2071" i="2"/>
  <c r="A2067" i="2"/>
  <c r="A2063" i="2"/>
  <c r="A2059" i="2"/>
  <c r="A2055" i="2"/>
  <c r="A2051" i="2"/>
  <c r="A2047" i="2"/>
  <c r="A2043" i="2"/>
  <c r="A2039" i="2"/>
  <c r="A2035" i="2"/>
  <c r="A2031" i="2"/>
  <c r="A2027" i="2"/>
  <c r="A2023" i="2"/>
  <c r="A2019" i="2"/>
  <c r="A2015" i="2"/>
  <c r="A2011" i="2"/>
  <c r="A2007" i="2"/>
  <c r="A2003" i="2"/>
  <c r="A1999" i="2"/>
  <c r="A1995" i="2"/>
  <c r="A1991" i="2"/>
  <c r="A1987" i="2"/>
  <c r="A1983" i="2"/>
  <c r="A1979" i="2"/>
  <c r="A1975" i="2"/>
  <c r="A1971" i="2"/>
  <c r="A1967" i="2"/>
  <c r="A1963" i="2"/>
  <c r="A1959" i="2"/>
  <c r="A1955" i="2"/>
  <c r="A1951" i="2"/>
  <c r="A1947" i="2"/>
  <c r="A1943" i="2"/>
  <c r="A1939" i="2"/>
  <c r="A1935" i="2"/>
  <c r="A1931" i="2"/>
  <c r="A1927" i="2"/>
  <c r="A1923" i="2"/>
  <c r="A1919" i="2"/>
  <c r="A1915" i="2"/>
  <c r="A1911" i="2"/>
  <c r="A1907" i="2"/>
  <c r="A1903" i="2"/>
  <c r="A1899" i="2"/>
  <c r="A1895" i="2"/>
  <c r="A1891" i="2"/>
  <c r="A1887" i="2"/>
  <c r="A1883" i="2"/>
  <c r="A1879" i="2"/>
  <c r="A1875" i="2"/>
  <c r="A1871" i="2"/>
  <c r="A1867" i="2"/>
  <c r="A1863" i="2"/>
  <c r="A1859" i="2"/>
  <c r="A1855" i="2"/>
  <c r="A1851" i="2"/>
  <c r="A1847" i="2"/>
  <c r="A1843" i="2"/>
  <c r="A1839" i="2"/>
  <c r="A1835" i="2"/>
  <c r="A1831" i="2"/>
  <c r="A1827" i="2"/>
  <c r="A1823" i="2"/>
  <c r="A1819" i="2"/>
  <c r="A1815" i="2"/>
  <c r="A1811" i="2"/>
  <c r="A1807" i="2"/>
  <c r="A1803" i="2"/>
  <c r="A1799" i="2"/>
  <c r="A1795" i="2"/>
  <c r="A1791" i="2"/>
  <c r="A1787" i="2"/>
  <c r="A1783" i="2"/>
  <c r="A1779" i="2"/>
  <c r="A1775" i="2"/>
  <c r="A1771" i="2"/>
  <c r="A1767" i="2"/>
  <c r="A1763" i="2"/>
  <c r="A1759" i="2"/>
  <c r="A1755" i="2"/>
  <c r="A1751" i="2"/>
  <c r="A1747" i="2"/>
  <c r="A1743" i="2"/>
  <c r="A1390" i="2"/>
  <c r="A1386" i="2"/>
  <c r="A1382" i="2"/>
  <c r="A1378" i="2"/>
  <c r="A1374" i="2"/>
  <c r="A1370" i="2"/>
  <c r="A1366" i="2"/>
  <c r="A1362" i="2"/>
  <c r="A1358" i="2"/>
  <c r="A1354" i="2"/>
  <c r="A1350" i="2"/>
  <c r="A1346" i="2"/>
  <c r="A1342" i="2"/>
  <c r="A1338" i="2"/>
  <c r="A1334" i="2"/>
  <c r="A1330" i="2"/>
  <c r="A1326" i="2"/>
  <c r="A1322" i="2"/>
  <c r="A1318" i="2"/>
  <c r="A1314" i="2"/>
  <c r="A1310" i="2"/>
  <c r="A1306" i="2"/>
  <c r="A1302" i="2"/>
  <c r="A1298" i="2"/>
  <c r="A1294" i="2"/>
  <c r="A1290" i="2"/>
  <c r="A1286" i="2"/>
  <c r="A1282" i="2"/>
  <c r="A1278" i="2"/>
  <c r="A1274" i="2"/>
  <c r="A1270" i="2"/>
  <c r="A1266" i="2"/>
  <c r="A1262" i="2"/>
  <c r="A1258" i="2"/>
  <c r="A1254" i="2"/>
  <c r="A1250" i="2"/>
  <c r="A1246" i="2"/>
  <c r="A1242" i="2"/>
  <c r="A1238" i="2"/>
  <c r="A1234" i="2"/>
  <c r="A1230" i="2"/>
  <c r="A1226" i="2"/>
  <c r="A1222" i="2"/>
  <c r="A1218" i="2"/>
  <c r="A1214" i="2"/>
  <c r="A1210" i="2"/>
  <c r="A1206" i="2"/>
  <c r="A39" i="4"/>
  <c r="A31" i="4"/>
  <c r="A23" i="4"/>
  <c r="A15" i="4"/>
  <c r="A11" i="4"/>
  <c r="A7" i="4"/>
  <c r="A3139" i="2"/>
  <c r="A3131" i="2"/>
  <c r="A3123" i="2"/>
  <c r="A3111" i="2"/>
  <c r="A3103" i="2"/>
  <c r="A3095" i="2"/>
  <c r="A3087" i="2"/>
  <c r="A3075" i="2"/>
  <c r="A3059" i="2"/>
  <c r="A2887" i="2"/>
  <c r="A1202" i="2"/>
  <c r="A1198" i="2"/>
  <c r="A1194" i="2"/>
  <c r="A1190" i="2"/>
  <c r="A1186" i="2"/>
  <c r="A1182" i="2"/>
  <c r="A1178" i="2"/>
  <c r="A1174" i="2"/>
  <c r="A1170" i="2"/>
  <c r="A1166" i="2"/>
  <c r="A1162" i="2"/>
  <c r="A1158" i="2"/>
  <c r="A1154" i="2"/>
  <c r="A1150" i="2"/>
  <c r="A1146" i="2"/>
  <c r="A1142" i="2"/>
  <c r="A1138" i="2"/>
  <c r="A1134" i="2"/>
  <c r="A1130" i="2"/>
  <c r="A1126" i="2"/>
  <c r="A1122" i="2"/>
  <c r="A1118" i="2"/>
  <c r="A1114" i="2"/>
  <c r="A1110" i="2"/>
  <c r="A1106" i="2"/>
  <c r="A1102" i="2"/>
  <c r="A1098" i="2"/>
  <c r="A1094" i="2"/>
  <c r="A1090" i="2"/>
  <c r="A1086" i="2"/>
  <c r="A1082" i="2"/>
  <c r="A1078" i="2"/>
  <c r="A1074" i="2"/>
  <c r="A1070" i="2"/>
  <c r="A1066" i="2"/>
  <c r="A1062" i="2"/>
  <c r="A1058" i="2"/>
  <c r="A1054" i="2"/>
  <c r="A1050" i="2"/>
  <c r="A1046" i="2"/>
  <c r="A1042" i="2"/>
  <c r="A1038" i="2"/>
  <c r="A1034" i="2"/>
  <c r="A1030" i="2"/>
  <c r="A1026" i="2"/>
  <c r="A1022" i="2"/>
  <c r="A1018" i="2"/>
  <c r="A1014" i="2"/>
  <c r="A1010" i="2"/>
  <c r="A1006" i="2"/>
  <c r="A1002" i="2"/>
  <c r="A998" i="2"/>
  <c r="A994" i="2"/>
  <c r="A990" i="2"/>
  <c r="A986" i="2"/>
  <c r="A982" i="2"/>
  <c r="A978" i="2"/>
  <c r="A974" i="2"/>
  <c r="A970" i="2"/>
  <c r="A966" i="2"/>
  <c r="A962" i="2"/>
  <c r="A958" i="2"/>
  <c r="A954" i="2"/>
  <c r="A950" i="2"/>
  <c r="A946" i="2"/>
  <c r="A942" i="2"/>
  <c r="A938" i="2"/>
  <c r="A934" i="2"/>
  <c r="A930" i="2"/>
  <c r="A926" i="2"/>
  <c r="A922" i="2"/>
  <c r="A918" i="2"/>
  <c r="A914" i="2"/>
  <c r="A910" i="2"/>
  <c r="A906" i="2"/>
  <c r="A902" i="2"/>
  <c r="A898" i="2"/>
  <c r="A894" i="2"/>
  <c r="A890" i="2"/>
  <c r="A886" i="2"/>
  <c r="A882" i="2"/>
  <c r="A878" i="2"/>
  <c r="A874" i="2"/>
  <c r="A870" i="2"/>
  <c r="A866" i="2"/>
  <c r="A862" i="2"/>
  <c r="A858" i="2"/>
  <c r="A854" i="2"/>
  <c r="A850" i="2"/>
  <c r="A846" i="2"/>
  <c r="A842" i="2"/>
  <c r="A838" i="2"/>
  <c r="A834" i="2"/>
  <c r="A830" i="2"/>
  <c r="A826" i="2"/>
  <c r="A822" i="2"/>
  <c r="A818" i="2"/>
  <c r="A814" i="2"/>
  <c r="A810" i="2"/>
  <c r="A806" i="2"/>
  <c r="A802" i="2"/>
  <c r="A798" i="2"/>
  <c r="A794" i="2"/>
  <c r="A790" i="2"/>
  <c r="A786" i="2"/>
  <c r="A782" i="2"/>
  <c r="A778" i="2"/>
  <c r="A774" i="2"/>
  <c r="A770" i="2"/>
  <c r="A766" i="2"/>
  <c r="A762" i="2"/>
  <c r="A758" i="2"/>
  <c r="A754" i="2"/>
  <c r="A750" i="2"/>
  <c r="A746" i="2"/>
  <c r="A742" i="2"/>
  <c r="A738" i="2"/>
  <c r="A734" i="2"/>
  <c r="A730" i="2"/>
  <c r="A726" i="2"/>
  <c r="A722" i="2"/>
  <c r="A718" i="2"/>
  <c r="A714" i="2"/>
  <c r="A710" i="2"/>
  <c r="A706" i="2"/>
  <c r="A702" i="2"/>
  <c r="A698" i="2"/>
  <c r="A694" i="2"/>
  <c r="A690" i="2"/>
  <c r="A686" i="2"/>
  <c r="A682" i="2"/>
  <c r="A678" i="2"/>
  <c r="A674" i="2"/>
  <c r="A670" i="2"/>
  <c r="A666" i="2"/>
  <c r="A662" i="2"/>
  <c r="A658" i="2"/>
  <c r="A654" i="2"/>
  <c r="A650" i="2"/>
  <c r="A646" i="2"/>
  <c r="A642" i="2"/>
  <c r="A638" i="2"/>
  <c r="A634" i="2"/>
  <c r="A630" i="2"/>
  <c r="A626" i="2"/>
  <c r="A622" i="2"/>
  <c r="A618" i="2"/>
  <c r="A614" i="2"/>
  <c r="A610" i="2"/>
  <c r="A606" i="2"/>
  <c r="A602" i="2"/>
  <c r="A598" i="2"/>
  <c r="A594" i="2"/>
  <c r="A590" i="2"/>
  <c r="A586" i="2"/>
  <c r="A582" i="2"/>
  <c r="A578" i="2"/>
  <c r="A574" i="2"/>
  <c r="A570" i="2"/>
  <c r="A566" i="2"/>
  <c r="A562" i="2"/>
  <c r="A558" i="2"/>
  <c r="A554" i="2"/>
  <c r="A550" i="2"/>
  <c r="A546" i="2"/>
  <c r="A542" i="2"/>
  <c r="A538" i="2"/>
  <c r="A534" i="2"/>
  <c r="A530" i="2"/>
  <c r="A526" i="2"/>
  <c r="A522" i="2"/>
  <c r="A518" i="2"/>
  <c r="A514" i="2"/>
  <c r="A510" i="2"/>
  <c r="A506" i="2"/>
  <c r="A502" i="2"/>
  <c r="A498" i="2"/>
  <c r="A494" i="2"/>
  <c r="A490" i="2"/>
  <c r="A486" i="2"/>
  <c r="A482" i="2"/>
  <c r="A478" i="2"/>
  <c r="A474" i="2"/>
  <c r="A470" i="2"/>
  <c r="A466" i="2"/>
  <c r="A462" i="2"/>
  <c r="A458" i="2"/>
  <c r="A454" i="2"/>
  <c r="A450" i="2"/>
  <c r="A446" i="2"/>
  <c r="A442" i="2"/>
  <c r="A438" i="2"/>
  <c r="A434" i="2"/>
  <c r="A430" i="2"/>
  <c r="A426" i="2"/>
  <c r="A422" i="2"/>
  <c r="A418" i="2"/>
  <c r="A414" i="2"/>
  <c r="A410" i="2"/>
  <c r="A406" i="2"/>
  <c r="A402" i="2"/>
  <c r="A398" i="2"/>
  <c r="A394" i="2"/>
  <c r="A390" i="2"/>
  <c r="A386" i="2"/>
  <c r="A382" i="2"/>
  <c r="A378" i="2"/>
  <c r="A374" i="2"/>
  <c r="A370" i="2"/>
  <c r="A366" i="2"/>
  <c r="A362" i="2"/>
  <c r="A358" i="2"/>
  <c r="A354" i="2"/>
  <c r="A350" i="2"/>
  <c r="A346" i="2"/>
  <c r="A342" i="2"/>
  <c r="A338" i="2"/>
  <c r="A334" i="2"/>
  <c r="A330" i="2"/>
  <c r="A326" i="2"/>
  <c r="A322" i="2"/>
  <c r="A318" i="2"/>
  <c r="A314" i="2"/>
  <c r="A310" i="2"/>
  <c r="A306" i="2"/>
  <c r="A302" i="2"/>
  <c r="A298" i="2"/>
  <c r="A294" i="2"/>
  <c r="A290" i="2"/>
  <c r="A286" i="2"/>
  <c r="A282" i="2"/>
  <c r="A278" i="2"/>
  <c r="A274" i="2"/>
  <c r="A270" i="2"/>
  <c r="A266" i="2"/>
  <c r="A262" i="2"/>
  <c r="A258" i="2"/>
  <c r="A254" i="2"/>
  <c r="A250" i="2"/>
  <c r="A246" i="2"/>
  <c r="A242" i="2"/>
  <c r="A238" i="2"/>
  <c r="A234" i="2"/>
  <c r="A230" i="2"/>
  <c r="A226" i="2"/>
  <c r="A222" i="2"/>
  <c r="A218" i="2"/>
  <c r="A214" i="2"/>
  <c r="A210" i="2"/>
  <c r="A206" i="2"/>
  <c r="A202" i="2"/>
  <c r="A198" i="2"/>
  <c r="A194" i="2"/>
  <c r="A190" i="2"/>
  <c r="A186" i="2"/>
  <c r="A182" i="2"/>
  <c r="A178" i="2"/>
  <c r="A174" i="2"/>
  <c r="A170" i="2"/>
  <c r="A166" i="2"/>
  <c r="A162" i="2"/>
  <c r="A158" i="2"/>
  <c r="A154" i="2"/>
  <c r="A150" i="2"/>
  <c r="A146" i="2"/>
  <c r="A142" i="2"/>
  <c r="A138" i="2"/>
  <c r="A134" i="2"/>
  <c r="A130" i="2"/>
  <c r="A126" i="2"/>
  <c r="A122" i="2"/>
  <c r="A118" i="2"/>
  <c r="A114" i="2"/>
  <c r="A110" i="2"/>
  <c r="A106" i="2"/>
  <c r="A102" i="2"/>
  <c r="A98" i="2"/>
  <c r="A94" i="2"/>
  <c r="A90" i="2"/>
  <c r="A86" i="2"/>
  <c r="A82" i="2"/>
  <c r="A78" i="2"/>
  <c r="A74" i="2"/>
  <c r="A70" i="2"/>
  <c r="A66" i="2"/>
  <c r="A62" i="2"/>
  <c r="A58" i="2"/>
  <c r="A54" i="2"/>
  <c r="A50" i="2"/>
  <c r="A46" i="2"/>
  <c r="A42" i="2"/>
  <c r="A38" i="2"/>
  <c r="A34" i="2"/>
  <c r="A30" i="2"/>
  <c r="A26" i="2"/>
  <c r="A22" i="2"/>
  <c r="A18" i="2"/>
  <c r="A14" i="2"/>
  <c r="A10" i="2"/>
  <c r="A6" i="2"/>
  <c r="A2" i="2"/>
  <c r="A160" i="6"/>
  <c r="A156" i="6"/>
  <c r="A152" i="6"/>
  <c r="A148" i="6"/>
  <c r="A144" i="6"/>
  <c r="A140" i="6"/>
  <c r="A136" i="6"/>
  <c r="A132" i="6"/>
  <c r="A128" i="6"/>
  <c r="A124" i="6"/>
  <c r="A120" i="6"/>
  <c r="A116" i="6"/>
  <c r="A112" i="6"/>
  <c r="A108" i="6"/>
  <c r="A104" i="6"/>
  <c r="A100" i="6"/>
  <c r="A96" i="6"/>
  <c r="A92" i="6"/>
  <c r="A88" i="6"/>
  <c r="A84" i="6"/>
  <c r="A80" i="6"/>
  <c r="A76" i="6"/>
  <c r="A72" i="6"/>
  <c r="A68" i="6"/>
  <c r="A64" i="6"/>
  <c r="A60" i="6"/>
  <c r="A56" i="6"/>
  <c r="A52" i="6"/>
  <c r="A48" i="6"/>
  <c r="A44" i="6"/>
  <c r="A40" i="6"/>
  <c r="A36" i="6"/>
  <c r="A32" i="6"/>
  <c r="A28" i="6"/>
  <c r="A24" i="6"/>
  <c r="A20" i="6"/>
  <c r="A16" i="6"/>
  <c r="A12" i="6"/>
  <c r="A8" i="6"/>
  <c r="A4" i="6"/>
  <c r="A1201" i="2"/>
  <c r="A1197" i="2"/>
  <c r="A1193" i="2"/>
  <c r="A1189" i="2"/>
  <c r="A1185" i="2"/>
  <c r="A1181" i="2"/>
  <c r="A1177" i="2"/>
  <c r="A1173" i="2"/>
  <c r="A1169" i="2"/>
  <c r="A1165" i="2"/>
  <c r="A1161" i="2"/>
  <c r="A1157" i="2"/>
  <c r="A1153" i="2"/>
  <c r="A1149" i="2"/>
  <c r="A1145" i="2"/>
  <c r="A1141" i="2"/>
  <c r="A1137" i="2"/>
  <c r="A1133" i="2"/>
  <c r="A1129" i="2"/>
  <c r="A1125" i="2"/>
  <c r="A1121" i="2"/>
  <c r="A1117" i="2"/>
  <c r="A1113" i="2"/>
  <c r="A1109" i="2"/>
  <c r="A1105" i="2"/>
  <c r="A1101" i="2"/>
  <c r="A1097" i="2"/>
  <c r="A1093" i="2"/>
  <c r="A1089" i="2"/>
  <c r="A1085" i="2"/>
  <c r="A1081" i="2"/>
  <c r="A1077" i="2"/>
  <c r="A1073" i="2"/>
  <c r="A1069" i="2"/>
  <c r="A1065" i="2"/>
  <c r="A1061" i="2"/>
  <c r="A1057" i="2"/>
  <c r="A1053" i="2"/>
  <c r="A1049" i="2"/>
  <c r="A1045" i="2"/>
  <c r="A1041" i="2"/>
  <c r="A1037" i="2"/>
  <c r="A1033" i="2"/>
  <c r="A1029" i="2"/>
  <c r="A1025" i="2"/>
  <c r="A1021" i="2"/>
  <c r="A1017" i="2"/>
  <c r="A1013" i="2"/>
  <c r="A1009" i="2"/>
  <c r="A1005" i="2"/>
  <c r="A1001" i="2"/>
  <c r="A997" i="2"/>
  <c r="A993" i="2"/>
  <c r="A989" i="2"/>
  <c r="A985" i="2"/>
  <c r="A981" i="2"/>
  <c r="A977" i="2"/>
  <c r="A973" i="2"/>
  <c r="A969" i="2"/>
  <c r="A965" i="2"/>
  <c r="A961" i="2"/>
  <c r="A957" i="2"/>
  <c r="A953" i="2"/>
  <c r="A949" i="2"/>
  <c r="A945" i="2"/>
  <c r="A941" i="2"/>
  <c r="A937" i="2"/>
  <c r="A933" i="2"/>
  <c r="A929" i="2"/>
  <c r="A925" i="2"/>
  <c r="A921" i="2"/>
  <c r="A917" i="2"/>
  <c r="A913" i="2"/>
  <c r="A909" i="2"/>
  <c r="A905" i="2"/>
  <c r="A901" i="2"/>
  <c r="A897" i="2"/>
  <c r="A893" i="2"/>
  <c r="A889" i="2"/>
  <c r="A885" i="2"/>
  <c r="A881" i="2"/>
  <c r="A877" i="2"/>
  <c r="A873" i="2"/>
  <c r="A869" i="2"/>
  <c r="A865" i="2"/>
  <c r="A861" i="2"/>
  <c r="A857" i="2"/>
  <c r="A853" i="2"/>
  <c r="A849" i="2"/>
  <c r="A845" i="2"/>
  <c r="A841" i="2"/>
  <c r="A837" i="2"/>
  <c r="A833" i="2"/>
  <c r="A829" i="2"/>
  <c r="A825" i="2"/>
  <c r="A821" i="2"/>
  <c r="A817" i="2"/>
  <c r="A813" i="2"/>
  <c r="A809" i="2"/>
  <c r="A805" i="2"/>
  <c r="A801" i="2"/>
  <c r="A797" i="2"/>
  <c r="A793" i="2"/>
  <c r="A789" i="2"/>
  <c r="A785" i="2"/>
  <c r="A781" i="2"/>
  <c r="A777" i="2"/>
  <c r="A773" i="2"/>
  <c r="A769" i="2"/>
  <c r="A765" i="2"/>
  <c r="A761" i="2"/>
  <c r="A757" i="2"/>
  <c r="A753" i="2"/>
  <c r="A749" i="2"/>
  <c r="A745" i="2"/>
  <c r="A741" i="2"/>
  <c r="A737" i="2"/>
  <c r="A733" i="2"/>
  <c r="A729" i="2"/>
  <c r="A725" i="2"/>
  <c r="A721" i="2"/>
  <c r="A717" i="2"/>
  <c r="A713" i="2"/>
  <c r="A709" i="2"/>
  <c r="A705" i="2"/>
  <c r="A701" i="2"/>
  <c r="A697" i="2"/>
  <c r="A693" i="2"/>
  <c r="A689" i="2"/>
  <c r="A685" i="2"/>
  <c r="A681" i="2"/>
  <c r="A677" i="2"/>
  <c r="A673" i="2"/>
  <c r="A669" i="2"/>
  <c r="A665" i="2"/>
  <c r="A661" i="2"/>
  <c r="A657" i="2"/>
  <c r="A653" i="2"/>
  <c r="A649" i="2"/>
  <c r="A645" i="2"/>
  <c r="A641" i="2"/>
  <c r="A637" i="2"/>
  <c r="A633" i="2"/>
  <c r="A629" i="2"/>
  <c r="A625" i="2"/>
  <c r="A621" i="2"/>
  <c r="A617" i="2"/>
  <c r="A613" i="2"/>
  <c r="A609" i="2"/>
  <c r="A605" i="2"/>
  <c r="A601" i="2"/>
  <c r="A597" i="2"/>
  <c r="A593" i="2"/>
  <c r="A589" i="2"/>
  <c r="A585" i="2"/>
  <c r="A581" i="2"/>
  <c r="A577" i="2"/>
  <c r="A573" i="2"/>
  <c r="A569" i="2"/>
  <c r="A565" i="2"/>
  <c r="A561" i="2"/>
  <c r="A557" i="2"/>
  <c r="A553" i="2"/>
  <c r="A549" i="2"/>
  <c r="A545" i="2"/>
  <c r="A541" i="2"/>
  <c r="A537" i="2"/>
  <c r="A533" i="2"/>
  <c r="A529" i="2"/>
  <c r="A525" i="2"/>
  <c r="A521" i="2"/>
  <c r="A517" i="2"/>
  <c r="A513" i="2"/>
  <c r="A509" i="2"/>
  <c r="A505" i="2"/>
  <c r="A501" i="2"/>
  <c r="A497" i="2"/>
  <c r="A493" i="2"/>
  <c r="A489" i="2"/>
  <c r="A485" i="2"/>
  <c r="A481" i="2"/>
  <c r="A477" i="2"/>
  <c r="A473" i="2"/>
  <c r="A469" i="2"/>
  <c r="A465" i="2"/>
  <c r="A461" i="2"/>
  <c r="A457" i="2"/>
  <c r="A453" i="2"/>
  <c r="A449" i="2"/>
  <c r="A445" i="2"/>
  <c r="A441" i="2"/>
  <c r="A437" i="2"/>
  <c r="A433" i="2"/>
  <c r="A429" i="2"/>
  <c r="A425" i="2"/>
  <c r="A421" i="2"/>
  <c r="A417" i="2"/>
  <c r="A413" i="2"/>
  <c r="A409" i="2"/>
  <c r="A405" i="2"/>
  <c r="A401" i="2"/>
  <c r="A397" i="2"/>
  <c r="A393" i="2"/>
  <c r="A389" i="2"/>
  <c r="A385" i="2"/>
  <c r="A381" i="2"/>
  <c r="A377" i="2"/>
  <c r="A373" i="2"/>
  <c r="A369" i="2"/>
  <c r="A365" i="2"/>
  <c r="A361" i="2"/>
  <c r="A357" i="2"/>
  <c r="A353" i="2"/>
  <c r="A349" i="2"/>
  <c r="A345" i="2"/>
  <c r="A341" i="2"/>
  <c r="A337" i="2"/>
  <c r="A333" i="2"/>
  <c r="A329" i="2"/>
  <c r="A325" i="2"/>
  <c r="A321" i="2"/>
  <c r="A317" i="2"/>
  <c r="A313" i="2"/>
  <c r="A309" i="2"/>
  <c r="A305" i="2"/>
  <c r="A301" i="2"/>
  <c r="A297" i="2"/>
  <c r="A293" i="2"/>
  <c r="A289" i="2"/>
  <c r="A285" i="2"/>
  <c r="A281" i="2"/>
  <c r="A277" i="2"/>
  <c r="A273" i="2"/>
  <c r="A269" i="2"/>
  <c r="A265" i="2"/>
  <c r="A261" i="2"/>
  <c r="A257" i="2"/>
  <c r="A253" i="2"/>
  <c r="A249" i="2"/>
  <c r="A245" i="2"/>
  <c r="A241" i="2"/>
  <c r="A237" i="2"/>
  <c r="A233" i="2"/>
  <c r="A229" i="2"/>
  <c r="A225" i="2"/>
  <c r="A221" i="2"/>
  <c r="A217" i="2"/>
  <c r="A213" i="2"/>
  <c r="A209" i="2"/>
  <c r="A205" i="2"/>
  <c r="A201" i="2"/>
  <c r="A197" i="2"/>
  <c r="A193" i="2"/>
  <c r="A189" i="2"/>
  <c r="A185" i="2"/>
  <c r="A181" i="2"/>
  <c r="A177" i="2"/>
  <c r="A173" i="2"/>
  <c r="A169" i="2"/>
  <c r="A165" i="2"/>
  <c r="A161" i="2"/>
  <c r="A157" i="2"/>
  <c r="A153" i="2"/>
  <c r="A149" i="2"/>
  <c r="A145" i="2"/>
  <c r="A141" i="2"/>
  <c r="A137" i="2"/>
  <c r="A133" i="2"/>
  <c r="A129" i="2"/>
  <c r="A125" i="2"/>
  <c r="A121" i="2"/>
  <c r="A117" i="2"/>
  <c r="A113" i="2"/>
  <c r="A109" i="2"/>
  <c r="A105" i="2"/>
  <c r="A101" i="2"/>
  <c r="A97" i="2"/>
  <c r="A93" i="2"/>
  <c r="A89" i="2"/>
  <c r="A85" i="2"/>
  <c r="A81" i="2"/>
  <c r="A77" i="2"/>
  <c r="A73" i="2"/>
  <c r="A69" i="2"/>
  <c r="A65" i="2"/>
  <c r="A61" i="2"/>
  <c r="A57" i="2"/>
  <c r="A53" i="2"/>
  <c r="A49" i="2"/>
  <c r="A45" i="2"/>
  <c r="A41" i="2"/>
  <c r="A37" i="2"/>
  <c r="A33" i="2"/>
  <c r="A29" i="2"/>
  <c r="A25" i="2"/>
  <c r="A21" i="2"/>
  <c r="A17" i="2"/>
  <c r="A13" i="2"/>
  <c r="A9" i="2"/>
  <c r="A5" i="2"/>
  <c r="A163" i="6"/>
  <c r="A159" i="6"/>
  <c r="A155" i="6"/>
  <c r="A151" i="6"/>
  <c r="A147" i="6"/>
  <c r="A143" i="6"/>
  <c r="A139" i="6"/>
  <c r="A135" i="6"/>
  <c r="A131" i="6"/>
  <c r="A127" i="6"/>
  <c r="A123" i="6"/>
  <c r="A119" i="6"/>
  <c r="A115" i="6"/>
  <c r="A111" i="6"/>
  <c r="A107" i="6"/>
  <c r="A103" i="6"/>
  <c r="A99" i="6"/>
  <c r="A95" i="6"/>
  <c r="A91" i="6"/>
  <c r="A87" i="6"/>
  <c r="A83" i="6"/>
  <c r="A79" i="6"/>
  <c r="A75" i="6"/>
  <c r="A71" i="6"/>
  <c r="A67" i="6"/>
  <c r="A63" i="6"/>
  <c r="A59" i="6"/>
  <c r="A55" i="6"/>
  <c r="A51" i="6"/>
  <c r="A47" i="6"/>
  <c r="A43" i="6"/>
  <c r="A39" i="6"/>
  <c r="A35" i="6"/>
  <c r="A31" i="6"/>
  <c r="A27" i="6"/>
  <c r="A23" i="6"/>
  <c r="A19" i="6"/>
  <c r="A15" i="6"/>
  <c r="A11" i="6"/>
  <c r="A7" i="6"/>
  <c r="A3" i="6"/>
</calcChain>
</file>

<file path=xl/sharedStrings.xml><?xml version="1.0" encoding="utf-8"?>
<sst xmlns="http://schemas.openxmlformats.org/spreadsheetml/2006/main" count="117584" uniqueCount="10118">
  <si>
    <t>Code journal</t>
  </si>
  <si>
    <t>Date</t>
  </si>
  <si>
    <t>N° pièce</t>
  </si>
  <si>
    <t>N° facture</t>
  </si>
  <si>
    <t>Référence</t>
  </si>
  <si>
    <t>N° compte général</t>
  </si>
  <si>
    <t>N° compte tiers</t>
  </si>
  <si>
    <t>Libellé écriture</t>
  </si>
  <si>
    <t>Date échéance</t>
  </si>
  <si>
    <t>Débit</t>
  </si>
  <si>
    <t>Crédit</t>
  </si>
  <si>
    <t>ABN</t>
  </si>
  <si>
    <t>ABN MRP</t>
  </si>
  <si>
    <t>ABN ASSURANCE MULTIRISQUE PROFESSIONNELLE</t>
  </si>
  <si>
    <t>ABN ASSUR RC</t>
  </si>
  <si>
    <t>ABN ASSURANCE RESPONSABILITE CIVILE</t>
  </si>
  <si>
    <t>ABN FRANCETRUCK</t>
  </si>
  <si>
    <t>ABN FRANCETRUCK LOCATION REACH STACKER</t>
  </si>
  <si>
    <t>PATCOM</t>
  </si>
  <si>
    <t>ABN PATENTE COMMERCIALE 2024</t>
  </si>
  <si>
    <t>ABN IMF</t>
  </si>
  <si>
    <t>ABN PROVISION IMF</t>
  </si>
  <si>
    <t>ABN ARCH LOGISTIC</t>
  </si>
  <si>
    <t>ABN LOYER ARCH LOGISTICS</t>
  </si>
  <si>
    <t>ABN CAC</t>
  </si>
  <si>
    <t>ABN CAC DELOITTE</t>
  </si>
  <si>
    <t>AC</t>
  </si>
  <si>
    <t>FMIN0009</t>
  </si>
  <si>
    <t>ENERGYCOM</t>
  </si>
  <si>
    <t>ENERGY COMMUNICATION-FACTURE NORMALISEE MINOTAURE</t>
  </si>
  <si>
    <t>FMIN0010</t>
  </si>
  <si>
    <t xml:space="preserve">FRANCETRUCK-LOCATION REACH STACKER MOIS DE MARS 25 </t>
  </si>
  <si>
    <t>BQ2</t>
  </si>
  <si>
    <t>Annulation REM CHQ EDTCI</t>
  </si>
  <si>
    <t>VIREMENT RECU TTS</t>
  </si>
  <si>
    <t>CHQ 4851152 FRANCETRUCK</t>
  </si>
  <si>
    <t xml:space="preserve">CHQ 2076847 E-TRANSIT </t>
  </si>
  <si>
    <t>C REM 0585637 AFRICAN DISTRIBUTION COMPANY</t>
  </si>
  <si>
    <t xml:space="preserve">CHQ 4851707 KONE ABDOULAYE </t>
  </si>
  <si>
    <t>C REM CHQ 5321606 NOUVELLE GEDISPA</t>
  </si>
  <si>
    <t>VIREMENT RECU TRANSIT GENERAL RAPIDE</t>
  </si>
  <si>
    <t>C REM CHQ 0585698 AFRICAN DISTRIBUTION COMPANY</t>
  </si>
  <si>
    <t xml:space="preserve">REM CHQ 0311412 GTCI </t>
  </si>
  <si>
    <t>CHQ 4851153 FRANCETRUCK</t>
  </si>
  <si>
    <t>CHQ 4851154 GROUPE LOGICIELS ET SERVICES CI</t>
  </si>
  <si>
    <t>CHQ 4851155 INQ</t>
  </si>
  <si>
    <t>CHQ 4851156 ETHICS</t>
  </si>
  <si>
    <t>CHQ 4851157 ADIALEA RCI</t>
  </si>
  <si>
    <t>CHQ 4851158 CIE</t>
  </si>
  <si>
    <t>CHQ 4851159 CIE</t>
  </si>
  <si>
    <t>CHQ 4851160 ORANGE CI</t>
  </si>
  <si>
    <t>CHQ 4851161 MTN CI</t>
  </si>
  <si>
    <t>VIREMENT POUR APPRO WAVE LCR</t>
  </si>
  <si>
    <t xml:space="preserve">CHQ 4851708 AMADOU KONE </t>
  </si>
  <si>
    <t>C REM CHQ 0001189 AFRICA CARGO CENTRAL SAS-ACC-LOG</t>
  </si>
  <si>
    <t>ARCHLOGISTICS</t>
  </si>
  <si>
    <t>VIREMENT ARCH LOGISTICS</t>
  </si>
  <si>
    <t>CHQ 4851709 AYEBA AKA MAMBE</t>
  </si>
  <si>
    <t>FRAIS BANCAIRES</t>
  </si>
  <si>
    <t>VIREMENT RECU TTS (TRANSIT TRANSPORT SERVICES)</t>
  </si>
  <si>
    <t>CHQ 4851711 SARAKA M'BALI DESIREE</t>
  </si>
  <si>
    <t xml:space="preserve">VIREMENT PR APPRO WAVE LCR </t>
  </si>
  <si>
    <t xml:space="preserve">C REM CHQ 0311411 GTCI </t>
  </si>
  <si>
    <t>BQ3</t>
  </si>
  <si>
    <t>CS</t>
  </si>
  <si>
    <t>ONYX TRANS</t>
  </si>
  <si>
    <t>ETS KOSS</t>
  </si>
  <si>
    <t>CLIENTS DIVERS / DIALLO MAMADOU ABDOULAYE</t>
  </si>
  <si>
    <t xml:space="preserve">CLIENT DIVERS / CAP CI </t>
  </si>
  <si>
    <t>CIIDPH</t>
  </si>
  <si>
    <t>SOLIMER</t>
  </si>
  <si>
    <t>NOUVELLE GEDISPA</t>
  </si>
  <si>
    <t>IMMO</t>
  </si>
  <si>
    <t>25-FMIN0024</t>
  </si>
  <si>
    <t>TOUT POUR LE BAT- INSTALLATION DE FOSSE SPETIQUE SITE HINO</t>
  </si>
  <si>
    <t>ND</t>
  </si>
  <si>
    <t>FMIN0011</t>
  </si>
  <si>
    <t>FCVT-67735</t>
  </si>
  <si>
    <t>E-TRANSIT -DETENTION</t>
  </si>
  <si>
    <t>FMIN0012</t>
  </si>
  <si>
    <t>FCVT-67736</t>
  </si>
  <si>
    <t>FMIN0013</t>
  </si>
  <si>
    <t>FCVT-67737</t>
  </si>
  <si>
    <t>FMIN0014</t>
  </si>
  <si>
    <t>FCVT-67738</t>
  </si>
  <si>
    <t>FMIN0015</t>
  </si>
  <si>
    <t>FCVT-67739</t>
  </si>
  <si>
    <t>FMIN0016</t>
  </si>
  <si>
    <t>FCVT-67740</t>
  </si>
  <si>
    <t>FMIN0017</t>
  </si>
  <si>
    <t>FCVT-67747</t>
  </si>
  <si>
    <t>FMIN0018</t>
  </si>
  <si>
    <t>FCVT-68014</t>
  </si>
  <si>
    <t>FMIN0019</t>
  </si>
  <si>
    <t>FCVT-68027</t>
  </si>
  <si>
    <t>FMIN0020</t>
  </si>
  <si>
    <t>FCVT-68029</t>
  </si>
  <si>
    <t>FMIN0021</t>
  </si>
  <si>
    <t>FCVT-68247</t>
  </si>
  <si>
    <t>FMIN0022</t>
  </si>
  <si>
    <t>FCVT-68820</t>
  </si>
  <si>
    <t>OD</t>
  </si>
  <si>
    <t>DECLARATION PATENTE COMMERCIALE 2025</t>
  </si>
  <si>
    <t>AMORT 02</t>
  </si>
  <si>
    <t>RECLASSEMENT AMORTISSEMENTS BATIMENT &amp; INSTALLATION FEVRIER</t>
  </si>
  <si>
    <t>POURREGUL</t>
  </si>
  <si>
    <t>Extourne REGUL CAFF FEVRIER</t>
  </si>
  <si>
    <t>Extourne REGUL CAFF RECETTE FRET DIVERS</t>
  </si>
  <si>
    <t>Extourne REGUL CAFF RECETTE FRET MINOTAURE</t>
  </si>
  <si>
    <t>Extourne REGUL CAFF RECETTE FRET CONTENEUR</t>
  </si>
  <si>
    <t>Extourne REGUL CAFF Recette service divers</t>
  </si>
  <si>
    <t>Extourne REGUL CAFF Recette revenus annexes</t>
  </si>
  <si>
    <t>Extourne REGUL CAFF Rabais, Remise, Ristournes Accordés</t>
  </si>
  <si>
    <t>PROVISION MANAGEMENT FEES MARS 2025</t>
  </si>
  <si>
    <t>DECLARATION TSE MARS 2025</t>
  </si>
  <si>
    <t>REMUNERATION ADMINISTRATEUR OD MARS 2025</t>
  </si>
  <si>
    <t>AMORT 03</t>
  </si>
  <si>
    <t>AMORTISSEMENT BATIMENT &amp; INSTALLATION MARS</t>
  </si>
  <si>
    <t>AMORTISSEMENT INSTALLATION &amp; AGENCEMENT MARS</t>
  </si>
  <si>
    <t>DOTATIONS AUX AMORTISSEMENTS MARS</t>
  </si>
  <si>
    <t>DECLARATION TVA MARS 2025</t>
  </si>
  <si>
    <t>REGUL CAFF Recette service divers</t>
  </si>
  <si>
    <t>REGUL CAFF RECETTE FRET DIVERS</t>
  </si>
  <si>
    <t>REGUL CAFF RECETTE FRET MINOTAURE</t>
  </si>
  <si>
    <t>REGUL CAFF Recette revenus annexes</t>
  </si>
  <si>
    <t>REGUL CAFF RISTOURNE</t>
  </si>
  <si>
    <t>PNM05</t>
  </si>
  <si>
    <t>UNIVERS FISH</t>
  </si>
  <si>
    <t>ETS SAF-KA</t>
  </si>
  <si>
    <t xml:space="preserve">2KJ CONSORTIUM </t>
  </si>
  <si>
    <t>POISSONNERIE AISSA &amp; SERVICES</t>
  </si>
  <si>
    <t>VTE</t>
  </si>
  <si>
    <t>FMT2500265</t>
  </si>
  <si>
    <t>FACT ONYX TRANS</t>
  </si>
  <si>
    <t>Annulation FACT ONYX TRANS</t>
  </si>
  <si>
    <t>FMT2500297</t>
  </si>
  <si>
    <t>Av FACT ONYX TRANS</t>
  </si>
  <si>
    <t>Annulation Av FACT ONYX TRANS</t>
  </si>
  <si>
    <t>FMT2500335</t>
  </si>
  <si>
    <t>FACT  TGR (TRANSIT GENERAL RAPIDE)</t>
  </si>
  <si>
    <t>FMT2500336</t>
  </si>
  <si>
    <t>FMT2500343</t>
  </si>
  <si>
    <t>Av.   E- TRANSIT/FMT2500322</t>
  </si>
  <si>
    <t>FMT2500344</t>
  </si>
  <si>
    <t>FACT  CLIENT DIVERS/UNIVERS FISH</t>
  </si>
  <si>
    <t>FMT2500345</t>
  </si>
  <si>
    <t>FACT  ETS KOSS</t>
  </si>
  <si>
    <t>FMT2500346</t>
  </si>
  <si>
    <t>FACT  GENERAL TRANSIT COTE D'IVOIRE</t>
  </si>
  <si>
    <t>FMT2500347</t>
  </si>
  <si>
    <t>FACT GENERAL TRANSIT COTE D'IVOIRE</t>
  </si>
  <si>
    <t>FMT2500348</t>
  </si>
  <si>
    <t>FMT2500349</t>
  </si>
  <si>
    <t>FACT NOUVELLE GEDISPA</t>
  </si>
  <si>
    <t>FACT  NOUVELLE GEDISPA</t>
  </si>
  <si>
    <t>Annulation FACT  NOUVELLE GEDISPA</t>
  </si>
  <si>
    <t>FMT2500350</t>
  </si>
  <si>
    <t>FACT  CLIENT DIVERS/ETS SAF KA</t>
  </si>
  <si>
    <t>FMT2500351</t>
  </si>
  <si>
    <t>FACT  E-TRANSIT</t>
  </si>
  <si>
    <t>FMT2500352</t>
  </si>
  <si>
    <t>FMT2500353</t>
  </si>
  <si>
    <t>FMT2500354</t>
  </si>
  <si>
    <t>FACT  ONYX TRANS</t>
  </si>
  <si>
    <t>FMT2500355</t>
  </si>
  <si>
    <t>FACT  TGR ( TRANSIT GENERAL RAPIDE)</t>
  </si>
  <si>
    <t>FMT2500356</t>
  </si>
  <si>
    <t>FACT  CIIDPH</t>
  </si>
  <si>
    <t>FMT2500357</t>
  </si>
  <si>
    <t>FMT2500358</t>
  </si>
  <si>
    <t>FACT  AFRICAN DISTRIBUTION COMPANY</t>
  </si>
  <si>
    <t>FMT2500359</t>
  </si>
  <si>
    <t>FMT2500360</t>
  </si>
  <si>
    <t>FMT2500361</t>
  </si>
  <si>
    <t>FMT2500362</t>
  </si>
  <si>
    <t>FACT  CDPA-CI</t>
  </si>
  <si>
    <t>FMT2500363</t>
  </si>
  <si>
    <t>FMT2500364</t>
  </si>
  <si>
    <t>FMT2500365</t>
  </si>
  <si>
    <t>FMT2500366</t>
  </si>
  <si>
    <t>FACT  TTS (TRANSIT TRANSPORT SERVIC</t>
  </si>
  <si>
    <t>FMT2500367</t>
  </si>
  <si>
    <t>FMT2500368</t>
  </si>
  <si>
    <t>FACT  TRANSIT GENERAL RAPIDE</t>
  </si>
  <si>
    <t>FMT2500369</t>
  </si>
  <si>
    <t>Av.   CIIDPH/FMT2500356</t>
  </si>
  <si>
    <t>FMT2500370</t>
  </si>
  <si>
    <t>FMT2500371</t>
  </si>
  <si>
    <t>FACT  E- TRANSIT</t>
  </si>
  <si>
    <t>FMT2500372</t>
  </si>
  <si>
    <t>FMT2500373</t>
  </si>
  <si>
    <t>FMT2500374</t>
  </si>
  <si>
    <t>FMT2500375</t>
  </si>
  <si>
    <t>FMT2500376</t>
  </si>
  <si>
    <t>FMT2500377</t>
  </si>
  <si>
    <t>FACT  GTCI</t>
  </si>
  <si>
    <t>FMT2500378</t>
  </si>
  <si>
    <t>FMT2500379</t>
  </si>
  <si>
    <t>FMT2500380</t>
  </si>
  <si>
    <t>FMT2500381</t>
  </si>
  <si>
    <t>FMT2500382</t>
  </si>
  <si>
    <t>FMT2500383</t>
  </si>
  <si>
    <t>FMT2500384</t>
  </si>
  <si>
    <t>FACT  TGR (TRANSIT GENERAL RAPIDE</t>
  </si>
  <si>
    <t>FMT2500385</t>
  </si>
  <si>
    <t>FMT2500386</t>
  </si>
  <si>
    <t>FMT2500387</t>
  </si>
  <si>
    <t>FACT  CLIENT DIVERS/ETS 2KJ CONSORTIUM</t>
  </si>
  <si>
    <t>FMT2500388</t>
  </si>
  <si>
    <t>FMT2500389</t>
  </si>
  <si>
    <t>FMT2500390</t>
  </si>
  <si>
    <t>FMT2500391</t>
  </si>
  <si>
    <t>FMT2500392</t>
  </si>
  <si>
    <t>FMT2500393</t>
  </si>
  <si>
    <t>FMT2500394</t>
  </si>
  <si>
    <t>FMT2500395</t>
  </si>
  <si>
    <t>FMT2500396</t>
  </si>
  <si>
    <t xml:space="preserve">FACT  CLIENT DIVERS/DIALLO MAMADOU </t>
  </si>
  <si>
    <t>FMT2500397</t>
  </si>
  <si>
    <t>FACT  CLIENT DIVERS</t>
  </si>
  <si>
    <t>FMT2500398</t>
  </si>
  <si>
    <t>FMT2500399</t>
  </si>
  <si>
    <t>FMT2500400</t>
  </si>
  <si>
    <t>FMT2500401</t>
  </si>
  <si>
    <t>FACT  EDTCI</t>
  </si>
  <si>
    <t>FMT2500402</t>
  </si>
  <si>
    <t>FMT2500403</t>
  </si>
  <si>
    <t>FMT2500404</t>
  </si>
  <si>
    <t>FMT2500405</t>
  </si>
  <si>
    <t>FMT2500406</t>
  </si>
  <si>
    <t>FMT2500407</t>
  </si>
  <si>
    <t>FMT2500408</t>
  </si>
  <si>
    <t>FMT2500409</t>
  </si>
  <si>
    <t>FACT  SOLIMER</t>
  </si>
  <si>
    <t>FMT2500410</t>
  </si>
  <si>
    <t>FMT2500411</t>
  </si>
  <si>
    <t>FMT2500412</t>
  </si>
  <si>
    <t>FMT2500413</t>
  </si>
  <si>
    <t>FMT2500414</t>
  </si>
  <si>
    <t>Annulation FACT  E-TRANSIT</t>
  </si>
  <si>
    <t>FMT2500415</t>
  </si>
  <si>
    <t>Annulation FACT  E- TRANSIT</t>
  </si>
  <si>
    <t>FMT2500416</t>
  </si>
  <si>
    <t>FMT2500417</t>
  </si>
  <si>
    <t>FMT2500418</t>
  </si>
  <si>
    <t>FMT2500419</t>
  </si>
  <si>
    <t>Annulation FACT  GTCI</t>
  </si>
  <si>
    <t>FMT2500420</t>
  </si>
  <si>
    <t>Annulation FACT  GENERAL TRANSIT COTE D'IVOIRE</t>
  </si>
  <si>
    <t>FMT2500421</t>
  </si>
  <si>
    <t>FMT2500422</t>
  </si>
  <si>
    <t>FMT2500423</t>
  </si>
  <si>
    <t>Annulation FACT  ONYX TRANS</t>
  </si>
  <si>
    <t>FMT2500424</t>
  </si>
  <si>
    <t>Annulation FACT  TGR (TRANSIT GENERAL RAPIDE)</t>
  </si>
  <si>
    <t>FMT2500425</t>
  </si>
  <si>
    <t>FMT2500426</t>
  </si>
  <si>
    <t>Annulation FACT  TTS (TRANSIT TRANSPORT SERVIC</t>
  </si>
  <si>
    <t>FMT2500427</t>
  </si>
  <si>
    <t>FMT2500428</t>
  </si>
  <si>
    <t>Annulation FACT  CLIENT DIVERS/ETS 2KJ CONSORTIUM</t>
  </si>
  <si>
    <t>FMT2500429</t>
  </si>
  <si>
    <t>Annulation FACT  CLIENT DIVERS/UNIVERS FISH</t>
  </si>
  <si>
    <t>FMT2500430</t>
  </si>
  <si>
    <t>FMT2500431</t>
  </si>
  <si>
    <t>FMT2500432</t>
  </si>
  <si>
    <t>FMT2500433</t>
  </si>
  <si>
    <t>FMT2500434</t>
  </si>
  <si>
    <t>Annulation FACT  ETS KOSS</t>
  </si>
  <si>
    <t>FMT2500435</t>
  </si>
  <si>
    <t>FMT2500436</t>
  </si>
  <si>
    <t>FACT  GENERAL TRANSIT CÈTE D'IVOIRE</t>
  </si>
  <si>
    <t>FACT  GENERAL TRANSIT C+TE D'IVOIRE</t>
  </si>
  <si>
    <t>Annulation FACT  GENERAL TRANSIT C+TE D'IVOIRE</t>
  </si>
  <si>
    <t>FMT2500437</t>
  </si>
  <si>
    <t>FMT2500438</t>
  </si>
  <si>
    <t>FMT2500439</t>
  </si>
  <si>
    <t>FMT2500440</t>
  </si>
  <si>
    <t>FMT2500441</t>
  </si>
  <si>
    <t>FMT2500442</t>
  </si>
  <si>
    <t>FMT2500443</t>
  </si>
  <si>
    <t>FMT2500444</t>
  </si>
  <si>
    <t>FMT2500445</t>
  </si>
  <si>
    <t>Annulation FACT  CDPA-CI</t>
  </si>
  <si>
    <t>FMT2500446</t>
  </si>
  <si>
    <t>FMT2500447</t>
  </si>
  <si>
    <t>FMT2500448</t>
  </si>
  <si>
    <t>FMT2500449</t>
  </si>
  <si>
    <t>FMT2500450</t>
  </si>
  <si>
    <t>FMT2500451</t>
  </si>
  <si>
    <t>FACT  CLIENT DIVERS/POISSONNERIE AISSA SERVICE</t>
  </si>
  <si>
    <t>FMT2500452</t>
  </si>
  <si>
    <t>FMT2500453</t>
  </si>
  <si>
    <t>FMT2500454</t>
  </si>
  <si>
    <t>FMT2500455</t>
  </si>
  <si>
    <t>FMT2500456</t>
  </si>
  <si>
    <t>FMT2500457</t>
  </si>
  <si>
    <t>FMT2500458</t>
  </si>
  <si>
    <t>FMT2500459</t>
  </si>
  <si>
    <t>FMT2500460</t>
  </si>
  <si>
    <t>FMT2500461</t>
  </si>
  <si>
    <t>FMT2500462</t>
  </si>
  <si>
    <t>FMT2500463</t>
  </si>
  <si>
    <t>FMT2500464</t>
  </si>
  <si>
    <t>FMT2500465</t>
  </si>
  <si>
    <t>FMT2500466</t>
  </si>
  <si>
    <t>FMT2500467</t>
  </si>
  <si>
    <t>FACT  ONYX  TRANS</t>
  </si>
  <si>
    <t>FMT2500468</t>
  </si>
  <si>
    <t>FMT2500469</t>
  </si>
  <si>
    <t>FMT2500470</t>
  </si>
  <si>
    <t>FMT2500471</t>
  </si>
  <si>
    <t>FMT2500472</t>
  </si>
  <si>
    <t>FMT2500473</t>
  </si>
  <si>
    <t>FMT2500474</t>
  </si>
  <si>
    <t>FMT2500475</t>
  </si>
  <si>
    <t>FMT2500476</t>
  </si>
  <si>
    <t>FMT2500477</t>
  </si>
  <si>
    <t>FMT2500478</t>
  </si>
  <si>
    <t>FMT2500479</t>
  </si>
  <si>
    <t>FMT2500480</t>
  </si>
  <si>
    <t>FMT2500481</t>
  </si>
  <si>
    <t>FMT2500482</t>
  </si>
  <si>
    <t>FMT2500483</t>
  </si>
  <si>
    <t>FMT2500484</t>
  </si>
  <si>
    <t>FMT2500485</t>
  </si>
  <si>
    <t>Av.   CLIENT DIVERS/FMT2500357</t>
  </si>
  <si>
    <t>FMT2500486</t>
  </si>
  <si>
    <t>FMT2500487</t>
  </si>
  <si>
    <t>FMT2500488</t>
  </si>
  <si>
    <t>FMT2500489</t>
  </si>
  <si>
    <t>FMT2500490</t>
  </si>
  <si>
    <t>FMT2500491</t>
  </si>
  <si>
    <t>FMT2500492</t>
  </si>
  <si>
    <t>FMT2500493</t>
  </si>
  <si>
    <t>Plan analytique</t>
  </si>
  <si>
    <t>Section</t>
  </si>
  <si>
    <t>Qté/devise analytique</t>
  </si>
  <si>
    <t>Type écriture analytique</t>
  </si>
  <si>
    <t>Montant analytique débit</t>
  </si>
  <si>
    <t>Montant analytique crédit</t>
  </si>
  <si>
    <t>Plan 1</t>
  </si>
  <si>
    <t>250SGM0000</t>
  </si>
  <si>
    <t>Ecritures analytiques</t>
  </si>
  <si>
    <t>910FTC0010</t>
  </si>
  <si>
    <t>270SGM0000</t>
  </si>
  <si>
    <t>960FTC0010</t>
  </si>
  <si>
    <t>250DCF0000</t>
  </si>
  <si>
    <t>220DCF0000</t>
  </si>
  <si>
    <t>900FTC10</t>
  </si>
  <si>
    <t>900PAF01</t>
  </si>
  <si>
    <t>900PAF10</t>
  </si>
  <si>
    <t>280DGE0000</t>
  </si>
  <si>
    <t>940FTC0001</t>
  </si>
  <si>
    <t>AA</t>
  </si>
  <si>
    <t>25FCR000986</t>
  </si>
  <si>
    <t>PVPV637246/001591</t>
  </si>
  <si>
    <t>Facture CFAO MOTORS 25FCR000986</t>
  </si>
  <si>
    <t>25FCR000870</t>
  </si>
  <si>
    <t>20250707/007494</t>
  </si>
  <si>
    <t>Facture IPR 25FCR000870</t>
  </si>
  <si>
    <t>25FCR000871</t>
  </si>
  <si>
    <t>20250708/007495</t>
  </si>
  <si>
    <t>Facture IPR 25FCR000871</t>
  </si>
  <si>
    <t>25FCR000872</t>
  </si>
  <si>
    <t>Facture MAISON DE LA PRESSION GENERALE 25FCR000872</t>
  </si>
  <si>
    <t>25FCR000873</t>
  </si>
  <si>
    <t>Facture MAISON DE LA PRESSION GENERALE 25FCR000873</t>
  </si>
  <si>
    <t>25FCR000874</t>
  </si>
  <si>
    <t>Facture MAISON DE LA PRESSION GENERALE 25FCR000874</t>
  </si>
  <si>
    <t>25FCR000875</t>
  </si>
  <si>
    <t>GM64043/003300</t>
  </si>
  <si>
    <t>Facture GENERAL METAL CONSTRUCTION 25FCR000875</t>
  </si>
  <si>
    <t>25FCR000876</t>
  </si>
  <si>
    <t>GM64044/003301</t>
  </si>
  <si>
    <t>Facture GENERAL METAL CONSTRUCTION 25FCR000876</t>
  </si>
  <si>
    <t>25FCR000877</t>
  </si>
  <si>
    <t>GM64046/003303</t>
  </si>
  <si>
    <t>Facture GENERAL METAL CONSTRUCTION 25FCR000877</t>
  </si>
  <si>
    <t>25FCR000878</t>
  </si>
  <si>
    <t>4166218/065977</t>
  </si>
  <si>
    <t>Facture SOCIDA 25FCR000878</t>
  </si>
  <si>
    <t>25FCR000879</t>
  </si>
  <si>
    <t>4166712/067971</t>
  </si>
  <si>
    <t>Facture SOCIDA 25FCR000879</t>
  </si>
  <si>
    <t>25FCR000880</t>
  </si>
  <si>
    <t>4166714/067973</t>
  </si>
  <si>
    <t>Facture SOCIDA 25FCR000880</t>
  </si>
  <si>
    <t>25FCR000881</t>
  </si>
  <si>
    <t>4166715/067974</t>
  </si>
  <si>
    <t>Facture SOCIDA 25FCR000881</t>
  </si>
  <si>
    <t>25FCR000882</t>
  </si>
  <si>
    <t>4166722/067981</t>
  </si>
  <si>
    <t>Facture SOCIDA 25FCR000882</t>
  </si>
  <si>
    <t>25FCR000883</t>
  </si>
  <si>
    <t>15035200/018730</t>
  </si>
  <si>
    <t>Facture SPRINT TECH CI 25FCR000883</t>
  </si>
  <si>
    <t>25FCR000884</t>
  </si>
  <si>
    <t>15035201/018731</t>
  </si>
  <si>
    <t>Facture SPRINT TECH CI 25FCR000884</t>
  </si>
  <si>
    <t>25FCR000885</t>
  </si>
  <si>
    <t>15035202/018732</t>
  </si>
  <si>
    <t>Facture SPRINT TECH CI 25FCR000885</t>
  </si>
  <si>
    <t>25FCR000886</t>
  </si>
  <si>
    <t>15035327/018857</t>
  </si>
  <si>
    <t>Facture SPRINT TECH CI 25FCR000886</t>
  </si>
  <si>
    <t>25FCR000887</t>
  </si>
  <si>
    <t>15035328/018858</t>
  </si>
  <si>
    <t>Facture SPRINT TECH CI 25FCR000887</t>
  </si>
  <si>
    <t>25FCR000888</t>
  </si>
  <si>
    <t>15035629/019159</t>
  </si>
  <si>
    <t>Facture SPRINT TECH CI 25FCR000888</t>
  </si>
  <si>
    <t>25FCR000889</t>
  </si>
  <si>
    <t>15035630/019160</t>
  </si>
  <si>
    <t>Facture SPRINT TECH CI 25FCR000889</t>
  </si>
  <si>
    <t>25FCR000890</t>
  </si>
  <si>
    <t>15035631/019161</t>
  </si>
  <si>
    <t>Facture SPRINT TECH CI 25FCR000890</t>
  </si>
  <si>
    <t>25FCR000891</t>
  </si>
  <si>
    <t>15035810/019340</t>
  </si>
  <si>
    <t>Facture SPRINT TECH CI 25FCR000891</t>
  </si>
  <si>
    <t>25FCR000892</t>
  </si>
  <si>
    <t>35001995/060795</t>
  </si>
  <si>
    <t>Facture SPRINT TECH CI 25FCR000892</t>
  </si>
  <si>
    <t>25FCR000893</t>
  </si>
  <si>
    <t>FAU26684/007697</t>
  </si>
  <si>
    <t>Facture KABALANE ET CIE S.A 25FCR000893</t>
  </si>
  <si>
    <t>25FCR000895</t>
  </si>
  <si>
    <t>FAU29586/004075</t>
  </si>
  <si>
    <t>Facture KABALANE ET CIE S.A 25FCR000895</t>
  </si>
  <si>
    <t>25FCR000896</t>
  </si>
  <si>
    <t>FAU29587/004076</t>
  </si>
  <si>
    <t>Facture KABALANE ET CIE S.A 25FCR000896</t>
  </si>
  <si>
    <t>25FCR000897</t>
  </si>
  <si>
    <t>FAU29588/004077</t>
  </si>
  <si>
    <t>Facture KABALANE ET CIE S.A 25FCR000897</t>
  </si>
  <si>
    <t>25FCR000898</t>
  </si>
  <si>
    <t>FAU29589/004078</t>
  </si>
  <si>
    <t>Facture KABALANE ET CIE S.A 25FCR000898</t>
  </si>
  <si>
    <t>25FCR000899</t>
  </si>
  <si>
    <t>FAU29590/004079</t>
  </si>
  <si>
    <t>Facture KABALANE ET CIE S.A 25FCR000899</t>
  </si>
  <si>
    <t>25FCR000900</t>
  </si>
  <si>
    <t>FAU29591/004080</t>
  </si>
  <si>
    <t>Facture KABALANE ET CIE S.A 25FCR000900</t>
  </si>
  <si>
    <t>25FCR000901</t>
  </si>
  <si>
    <t>FAU29592/004081</t>
  </si>
  <si>
    <t>Facture KABALANE ET CIE S.A 25FCR000901</t>
  </si>
  <si>
    <t>25FCR000902</t>
  </si>
  <si>
    <t>FAU29593/004082</t>
  </si>
  <si>
    <t>Facture KABALANE ET CIE S.A 25FCR000902</t>
  </si>
  <si>
    <t>25FCR000903</t>
  </si>
  <si>
    <t>FAU29594/004083</t>
  </si>
  <si>
    <t>Facture KABALANE ET CIE S.A 25FCR000903</t>
  </si>
  <si>
    <t>25FCR000904</t>
  </si>
  <si>
    <t>FAU29595/004084</t>
  </si>
  <si>
    <t>Facture KABALANE ET CIE S.A 25FCR000904</t>
  </si>
  <si>
    <t>25FCR000905</t>
  </si>
  <si>
    <t>FAU29596/004085</t>
  </si>
  <si>
    <t>Facture KABALANE ET CIE S.A 25FCR000905</t>
  </si>
  <si>
    <t>25FCR000906</t>
  </si>
  <si>
    <t>FAU29597/004086</t>
  </si>
  <si>
    <t>Facture KABALANE ET CIE S.A 25FCR000906</t>
  </si>
  <si>
    <t>25FCR000907</t>
  </si>
  <si>
    <t>FAU29771/004311</t>
  </si>
  <si>
    <t>Facture KABALANE ET CIE S.A 25FCR000907</t>
  </si>
  <si>
    <t>25FCR000908</t>
  </si>
  <si>
    <t>FAU29772/004312</t>
  </si>
  <si>
    <t>Facture KABALANE ET CIE S.A 25FCR000908</t>
  </si>
  <si>
    <t>25FCR000909</t>
  </si>
  <si>
    <t>FAU29773/004313</t>
  </si>
  <si>
    <t>Facture KABALANE ET CIE S.A 25FCR000909</t>
  </si>
  <si>
    <t>25FCR000910</t>
  </si>
  <si>
    <t>FAU29774/004314</t>
  </si>
  <si>
    <t>Facture KABALANE ET CIE S.A 25FCR000910</t>
  </si>
  <si>
    <t>25FCR000911</t>
  </si>
  <si>
    <t>FAU29775/004315</t>
  </si>
  <si>
    <t>Facture KABALANE ET CIE S.A 25FCR000911</t>
  </si>
  <si>
    <t>25FCR000912</t>
  </si>
  <si>
    <t>FAU29776/004316</t>
  </si>
  <si>
    <t>Facture KABALANE ET CIE S.A 25FCR000912</t>
  </si>
  <si>
    <t>25FCR000913</t>
  </si>
  <si>
    <t>FAU29777/004317</t>
  </si>
  <si>
    <t>Facture KABALANE ET CIE S.A 25FCR000913</t>
  </si>
  <si>
    <t>25FCR000914</t>
  </si>
  <si>
    <t>FAU29778/004318</t>
  </si>
  <si>
    <t>Facture KABALANE ET CIE S.A 25FCR000914</t>
  </si>
  <si>
    <t>25FCR000915</t>
  </si>
  <si>
    <t>FAU29872/004440</t>
  </si>
  <si>
    <t>Facture KABALANE ET CIE S.A 25FCR000915</t>
  </si>
  <si>
    <t>25FCR000916</t>
  </si>
  <si>
    <t>FAU29873/004475</t>
  </si>
  <si>
    <t>Facture KABALANE ET CIE S.A 25FCR000916</t>
  </si>
  <si>
    <t>25FCR000917</t>
  </si>
  <si>
    <t>FAU29874/004476</t>
  </si>
  <si>
    <t>Facture KABALANE ET CIE S.A 25FCR000917</t>
  </si>
  <si>
    <t>25FCR000918</t>
  </si>
  <si>
    <t>FAU29875/004477</t>
  </si>
  <si>
    <t>Facture KABALANE ET CIE S.A 25FCR000918</t>
  </si>
  <si>
    <t>25FCR000919</t>
  </si>
  <si>
    <t>FAU29876/004478</t>
  </si>
  <si>
    <t>Facture KABALANE ET CIE S.A 25FCR000919</t>
  </si>
  <si>
    <t>25FCR000920</t>
  </si>
  <si>
    <t>FAU29877/004479</t>
  </si>
  <si>
    <t>Facture KABALANE ET CIE S.A 25FCR000920</t>
  </si>
  <si>
    <t>25FCR000970</t>
  </si>
  <si>
    <t>Facture MAISON DE LA PRESSION GENERALE 25FCR000970</t>
  </si>
  <si>
    <t>25FCR001012</t>
  </si>
  <si>
    <t>Facture TIMBINE HAMED 25FCR001012</t>
  </si>
  <si>
    <t>25FCR001223</t>
  </si>
  <si>
    <t>GM64045/003302</t>
  </si>
  <si>
    <t>Facture GENERAL METAL CONSTRUCTION 25FCR001223</t>
  </si>
  <si>
    <t>25FCR000869</t>
  </si>
  <si>
    <t>Facture KABORE TANGA 25FCR000869</t>
  </si>
  <si>
    <t>25FCR001011</t>
  </si>
  <si>
    <t>Facture SERVICE RADIATEUR 25FCR001011</t>
  </si>
  <si>
    <t>25FCR000994</t>
  </si>
  <si>
    <t>PVPV642316/002493</t>
  </si>
  <si>
    <t>Facture CFAO MOTORS 25FCR000994</t>
  </si>
  <si>
    <t>25FCR000995</t>
  </si>
  <si>
    <t>PVPV642318/002494</t>
  </si>
  <si>
    <t>Facture CFAO MOTORS 25FCR000995</t>
  </si>
  <si>
    <t>25FCR001014</t>
  </si>
  <si>
    <t>Facture ADJI ROTOR 25FCR001014</t>
  </si>
  <si>
    <t>25FCR001015</t>
  </si>
  <si>
    <t>Facture ADJI ROTOR 25FCR001015</t>
  </si>
  <si>
    <t>25FCR001016</t>
  </si>
  <si>
    <t>Facture ADJI ROTOR 25FCR001016</t>
  </si>
  <si>
    <t>25FCR001017</t>
  </si>
  <si>
    <t>Facture ADJI ROTOR 25FCR001017</t>
  </si>
  <si>
    <t>25FCR001018</t>
  </si>
  <si>
    <t>Facture ADJI ROTOR 25FCR001018</t>
  </si>
  <si>
    <t>25FCR001020</t>
  </si>
  <si>
    <t>Facture ADJI ROTOR 25FCR001020</t>
  </si>
  <si>
    <t>25FCR001022</t>
  </si>
  <si>
    <t>Facture ADJI ROTOR 25FCR001022</t>
  </si>
  <si>
    <t>25FCR001021</t>
  </si>
  <si>
    <t>Facture ADJI ROTOR 25FCR001021</t>
  </si>
  <si>
    <t>25FCR000967</t>
  </si>
  <si>
    <t>Facture CHEHAB-CI 25FCR000967</t>
  </si>
  <si>
    <t>25FCR000968</t>
  </si>
  <si>
    <t>103055/000086</t>
  </si>
  <si>
    <t>Facture COCITAM 25FCR000968</t>
  </si>
  <si>
    <t>25FCR000976</t>
  </si>
  <si>
    <t>FA4301370/049013</t>
  </si>
  <si>
    <t>Facture AFRICAUTO 25FCR000976</t>
  </si>
  <si>
    <t>25FCR000977</t>
  </si>
  <si>
    <t>FM4003912/009062</t>
  </si>
  <si>
    <t>Facture AFRICAUTO 25FCR000977</t>
  </si>
  <si>
    <t>25FCR000978</t>
  </si>
  <si>
    <t>FM4003913/009061</t>
  </si>
  <si>
    <t>Facture AFRICAUTO 25FCR000978</t>
  </si>
  <si>
    <t>25FCR000979</t>
  </si>
  <si>
    <t>FM4003914/009064</t>
  </si>
  <si>
    <t>Facture AFRICAUTO 25FCR000979</t>
  </si>
  <si>
    <t>25FCR000980</t>
  </si>
  <si>
    <t>FM4003916/009063</t>
  </si>
  <si>
    <t>Facture AFRICAUTO 25FCR000980</t>
  </si>
  <si>
    <t>25FCR000982</t>
  </si>
  <si>
    <t>FM4003920/009065</t>
  </si>
  <si>
    <t>Facture AFRICAUTO 25FCR000982</t>
  </si>
  <si>
    <t>25FCR000983</t>
  </si>
  <si>
    <t>FM4003926/009067</t>
  </si>
  <si>
    <t>Facture AFRICAUTO 25FCR000983</t>
  </si>
  <si>
    <t>25FCR000984</t>
  </si>
  <si>
    <t>FM4003928/009072</t>
  </si>
  <si>
    <t>Facture AFRICAUTO 25FCR000984</t>
  </si>
  <si>
    <t>25FCR000985</t>
  </si>
  <si>
    <t>FM8510604/057157</t>
  </si>
  <si>
    <t>Facture AFRICAUTO 25FCR000985</t>
  </si>
  <si>
    <t>25FCR000996</t>
  </si>
  <si>
    <t>PVPV643347/074877</t>
  </si>
  <si>
    <t>Facture CFAO MOTORS 25FCR000996</t>
  </si>
  <si>
    <t>25FCR000997</t>
  </si>
  <si>
    <t>PVPV643348/074880</t>
  </si>
  <si>
    <t>Facture CFAO MOTORS 25FCR000997</t>
  </si>
  <si>
    <t>25FCR000998</t>
  </si>
  <si>
    <t>181537/004484</t>
  </si>
  <si>
    <t>Facture LA MAISON DU PROFESSIONNEL 25FCR000998</t>
  </si>
  <si>
    <t>25FCR000999</t>
  </si>
  <si>
    <t>181538/004485</t>
  </si>
  <si>
    <t>Facture LA MAISON DU PROFESSIONNEL 25FCR000999</t>
  </si>
  <si>
    <t>25FCR001000</t>
  </si>
  <si>
    <t>181549/004461</t>
  </si>
  <si>
    <t>Facture LA MAISON DU PROFESSIONNEL 25FCR001000</t>
  </si>
  <si>
    <t>25FCR001001</t>
  </si>
  <si>
    <t>181550/004462</t>
  </si>
  <si>
    <t>Facture LA MAISON DU PROFESSIONNEL 25FCR001001</t>
  </si>
  <si>
    <t>25FCR001002</t>
  </si>
  <si>
    <t>181551/004463</t>
  </si>
  <si>
    <t>Facture LA MAISON DU PROFESSIONNEL 25FCR001002</t>
  </si>
  <si>
    <t>25FCR001003</t>
  </si>
  <si>
    <t>181552/004464</t>
  </si>
  <si>
    <t>Facture LA MAISON DU PROFESSIONNEL 25FCR001003</t>
  </si>
  <si>
    <t>25FCR001004</t>
  </si>
  <si>
    <t>181553/004465</t>
  </si>
  <si>
    <t>Facture LA MAISON DU PROFESSIONNEL 25FCR001004</t>
  </si>
  <si>
    <t>25FCR001005</t>
  </si>
  <si>
    <t>181554/004466</t>
  </si>
  <si>
    <t>Facture LA MAISON DU PROFESSIONNEL 25FCR001005</t>
  </si>
  <si>
    <t>25FCR001006</t>
  </si>
  <si>
    <t>181555/004467</t>
  </si>
  <si>
    <t>Facture LA MAISON DU PROFESSIONNEL 25FCR001006</t>
  </si>
  <si>
    <t>25FCR001007</t>
  </si>
  <si>
    <t>181556/004468</t>
  </si>
  <si>
    <t>Facture LA MAISON DU PROFESSIONNEL 25FCR001007</t>
  </si>
  <si>
    <t>25FCR001008</t>
  </si>
  <si>
    <t>181558/004470</t>
  </si>
  <si>
    <t>Facture LA MAISON DU PROFESSIONNEL 25FCR001008</t>
  </si>
  <si>
    <t>25FCR001009</t>
  </si>
  <si>
    <t>181559/004471</t>
  </si>
  <si>
    <t>Facture LA MAISON DU PROFESSIONNEL 25FCR001009</t>
  </si>
  <si>
    <t>25FCR001010</t>
  </si>
  <si>
    <t>181560/004472</t>
  </si>
  <si>
    <t>Facture LA MAISON DU PROFESSIONNEL 25FCR001010</t>
  </si>
  <si>
    <t>25FCR001025</t>
  </si>
  <si>
    <t>Facture SAVANE LAMINE 25FCR001025</t>
  </si>
  <si>
    <t>25FCR001026</t>
  </si>
  <si>
    <t>Facture SAVANE LAMINE 25FCR001026</t>
  </si>
  <si>
    <t>25FCR001027</t>
  </si>
  <si>
    <t>Facture SAVANE LAMINE 25FCR001027</t>
  </si>
  <si>
    <t>25FCR001028</t>
  </si>
  <si>
    <t>Facture SAVANE LAMINE 25FCR001028</t>
  </si>
  <si>
    <t>25FCR001029</t>
  </si>
  <si>
    <t>Facture SAVANE LAMINE 25FCR001029</t>
  </si>
  <si>
    <t>25FCR001030</t>
  </si>
  <si>
    <t>Facture SAVANE LAMINE 25FCR001030</t>
  </si>
  <si>
    <t>25FCR001031</t>
  </si>
  <si>
    <t>Facture SAVANE LAMINE 25FCR001031</t>
  </si>
  <si>
    <t>25FCR001032</t>
  </si>
  <si>
    <t>Facture SAVANE LAMINE 25FCR001032</t>
  </si>
  <si>
    <t>25FCR001033</t>
  </si>
  <si>
    <t>Facture SAVANE LAMINE 25FCR001033</t>
  </si>
  <si>
    <t>25FCR001034</t>
  </si>
  <si>
    <t>Facture SAVANE LAMINE 25FCR001034</t>
  </si>
  <si>
    <t>25FCR001035</t>
  </si>
  <si>
    <t>Facture SAVANE LAMINE 25FCR001035</t>
  </si>
  <si>
    <t>25FCR001036</t>
  </si>
  <si>
    <t>Facture SAVANE LAMINE 25FCR001036</t>
  </si>
  <si>
    <t>25FCR001037</t>
  </si>
  <si>
    <t>Facture SAVANE LAMINE 25FCR001037</t>
  </si>
  <si>
    <t>25FCR001038</t>
  </si>
  <si>
    <t>Facture SAVANE LAMINE 25FCR001038</t>
  </si>
  <si>
    <t>25FCR001039</t>
  </si>
  <si>
    <t>Facture SAVANE LAMINE 25FCR001039</t>
  </si>
  <si>
    <t>25FCR001040</t>
  </si>
  <si>
    <t>Facture SAVANE LAMINE 25FCR001040</t>
  </si>
  <si>
    <t>25FCR001041</t>
  </si>
  <si>
    <t>Facture SAVANE LAMINE 25FCR001041</t>
  </si>
  <si>
    <t>25FCR001042</t>
  </si>
  <si>
    <t>Facture SAVANE LAMINE 25FCR001042</t>
  </si>
  <si>
    <t>25FCR001043</t>
  </si>
  <si>
    <t>Facture SAVANE LAMINE 25FCR001043</t>
  </si>
  <si>
    <t>25FCR001044</t>
  </si>
  <si>
    <t>Facture SAVANE LAMINE 25FCR001044</t>
  </si>
  <si>
    <t>25FCR001045</t>
  </si>
  <si>
    <t>Facture SAVANE LAMINE 25FCR001045</t>
  </si>
  <si>
    <t>25FCR001046</t>
  </si>
  <si>
    <t>Facture SAVANE LAMINE 25FCR001046</t>
  </si>
  <si>
    <t>25FCR001047</t>
  </si>
  <si>
    <t>Facture SAVANE LAMINE 25FCR001047</t>
  </si>
  <si>
    <t>25FCR001145</t>
  </si>
  <si>
    <t>Facture ADAMA KANE 25FCR001145</t>
  </si>
  <si>
    <t>25FCR001149</t>
  </si>
  <si>
    <t>250071851/003851</t>
  </si>
  <si>
    <t>Facture AMDS 25FCR001149</t>
  </si>
  <si>
    <t>25FCR001150</t>
  </si>
  <si>
    <t>181548/004460</t>
  </si>
  <si>
    <t>Facture LA MAISON DU PROFESSIONNEL 25FCR001150</t>
  </si>
  <si>
    <t>25FCR001153</t>
  </si>
  <si>
    <t>FM4003927/009069</t>
  </si>
  <si>
    <t>Facture AFRICAUTO 25FCR001153</t>
  </si>
  <si>
    <t>25FCR000969</t>
  </si>
  <si>
    <t>22001/000826</t>
  </si>
  <si>
    <t>Facture LASSIRE INDUSTRIE 25FCR000969</t>
  </si>
  <si>
    <t>25FCR000971</t>
  </si>
  <si>
    <t>FCB017548/000011</t>
  </si>
  <si>
    <t>Facture SOACI SN 25FCR000971</t>
  </si>
  <si>
    <t>25FCR000972</t>
  </si>
  <si>
    <t>Facture PAPI GARAGE SARL 25FCR000972</t>
  </si>
  <si>
    <t>25FCR000973</t>
  </si>
  <si>
    <t>Facture PAPI GARAGE SARL 25FCR000973</t>
  </si>
  <si>
    <t>25FCR000974</t>
  </si>
  <si>
    <t>Facture PAPI GARAGE SARL 25FCR000974</t>
  </si>
  <si>
    <t>25FCR000975</t>
  </si>
  <si>
    <t>Facture PAPI GARAGE SARL 25FCR000975</t>
  </si>
  <si>
    <t>25FCR000988</t>
  </si>
  <si>
    <t>PVPV639508/001988</t>
  </si>
  <si>
    <t>Facture CFAO MOTORS 25FCR000988</t>
  </si>
  <si>
    <t>25FCR000989</t>
  </si>
  <si>
    <t>PVPV639509/001986</t>
  </si>
  <si>
    <t>Facture CFAO MOTORS 25FCR000989</t>
  </si>
  <si>
    <t>25FCR000990</t>
  </si>
  <si>
    <t>PVPV639510/001985</t>
  </si>
  <si>
    <t>Facture CFAO MOTORS 25FCR000990</t>
  </si>
  <si>
    <t>25FCR000991</t>
  </si>
  <si>
    <t>PVPV639802/002043</t>
  </si>
  <si>
    <t>Facture CFAO MOTORS 25FCR000991</t>
  </si>
  <si>
    <t>25FCR000992</t>
  </si>
  <si>
    <t>PVP641073/002285</t>
  </si>
  <si>
    <t>Facture CFAO MOTORS 25FCR000992</t>
  </si>
  <si>
    <t>25FCR000993</t>
  </si>
  <si>
    <t>PVPV641075/002286</t>
  </si>
  <si>
    <t>Facture CFAO MOTORS 25FCR000993</t>
  </si>
  <si>
    <t>25FCR000987</t>
  </si>
  <si>
    <t>PVPV639100/001882</t>
  </si>
  <si>
    <t>Facture CFAO MOTORS 25FCR000987</t>
  </si>
  <si>
    <t>25FCR001013</t>
  </si>
  <si>
    <t>Facture ADJI ROTOR 25FCR001013</t>
  </si>
  <si>
    <t>25FCR001019</t>
  </si>
  <si>
    <t>Facture ADJI ROTOR 25FCR001019</t>
  </si>
  <si>
    <t>25FCR001023</t>
  </si>
  <si>
    <t>Facture ADJI ROTOR 25FCR001023</t>
  </si>
  <si>
    <t>25FCR001024</t>
  </si>
  <si>
    <t>Facture ADJI ROTOR 25FCR001024</t>
  </si>
  <si>
    <t>25FCR001048</t>
  </si>
  <si>
    <t>Facture SAVANE LAMINE 25FCR001048</t>
  </si>
  <si>
    <t>25FCR001049</t>
  </si>
  <si>
    <t>Facture SAVANE LAMINE 25FCR001049</t>
  </si>
  <si>
    <t>25FCR001050</t>
  </si>
  <si>
    <t>Facture SAVANE LAMINE 25FCR001050</t>
  </si>
  <si>
    <t>25FCR001051</t>
  </si>
  <si>
    <t>Facture SAVANE LAMINE 25FCR001051</t>
  </si>
  <si>
    <t>25FCR001052</t>
  </si>
  <si>
    <t>Facture SAVANE LAMINE 25FCR001052</t>
  </si>
  <si>
    <t>25FCR001053</t>
  </si>
  <si>
    <t>Facture SAVANE LAMINE 25FCR001053</t>
  </si>
  <si>
    <t>25FCR001054</t>
  </si>
  <si>
    <t>Facture SAVANE LAMINE 25FCR001054</t>
  </si>
  <si>
    <t>25FCR001055</t>
  </si>
  <si>
    <t>Facture SAVANE LAMINE 25FCR001055</t>
  </si>
  <si>
    <t>25FCR001056</t>
  </si>
  <si>
    <t>Facture SAVANE LAMINE 25FCR001056</t>
  </si>
  <si>
    <t>25FCR001057</t>
  </si>
  <si>
    <t>Facture SAVANE LAMINE 25FCR001057</t>
  </si>
  <si>
    <t>25FCR001058</t>
  </si>
  <si>
    <t>Facture SAVANE LAMINE 25FCR001058</t>
  </si>
  <si>
    <t>25FCR001059</t>
  </si>
  <si>
    <t>Facture SAVANE LAMINE 25FCR001059</t>
  </si>
  <si>
    <t>25FCR001060</t>
  </si>
  <si>
    <t>Facture SAVANE LAMINE 25FCR001060</t>
  </si>
  <si>
    <t>25FCR001061</t>
  </si>
  <si>
    <t>Facture SAVANE LAMINE 25FCR001061</t>
  </si>
  <si>
    <t>25FCR001192</t>
  </si>
  <si>
    <t>FCB017375/004823</t>
  </si>
  <si>
    <t>Facture SOACI SN 25FCR001192</t>
  </si>
  <si>
    <t>25FCR001268</t>
  </si>
  <si>
    <t>Facture LELENTA SECOU 25FCR001268</t>
  </si>
  <si>
    <t>25FCR001154</t>
  </si>
  <si>
    <t>GM64173/003430</t>
  </si>
  <si>
    <t>Facture G M C GENERAL METAL CONSTRUCTION 25FCR001154</t>
  </si>
  <si>
    <t>25FCR001155</t>
  </si>
  <si>
    <t>GM64174/003431</t>
  </si>
  <si>
    <t>Facture G. M. C. GENERAL METAL CONSTRUCTION 25FCR001155</t>
  </si>
  <si>
    <t>25FCR001156</t>
  </si>
  <si>
    <t>FT152288</t>
  </si>
  <si>
    <t>Facture SIDECI 25FCR001156</t>
  </si>
  <si>
    <t>25FCR001158</t>
  </si>
  <si>
    <t>FT152290</t>
  </si>
  <si>
    <t>Facture SIDECI 25FCR001158</t>
  </si>
  <si>
    <t>25FCR001159</t>
  </si>
  <si>
    <t>FT152291</t>
  </si>
  <si>
    <t>Facture SIDECI 25FCR001159</t>
  </si>
  <si>
    <t>25FCR001224</t>
  </si>
  <si>
    <t>GM64176/003433</t>
  </si>
  <si>
    <t>Facture GENERAL METAL CONSTRUCTION 25FCR001224</t>
  </si>
  <si>
    <t>25FCR001124</t>
  </si>
  <si>
    <t>Facture SAVANE LAMINE 25FCR001124</t>
  </si>
  <si>
    <t>25FCR001125</t>
  </si>
  <si>
    <t>Facture SAVANE LAMINE 25FCR001125</t>
  </si>
  <si>
    <t>25FCR001126</t>
  </si>
  <si>
    <t>Facture SAVANE LAMINE 25FCR001126</t>
  </si>
  <si>
    <t>25FCR001127</t>
  </si>
  <si>
    <t>Facture SAVANE LAMINE 25FCR001127</t>
  </si>
  <si>
    <t>25FCR001128</t>
  </si>
  <si>
    <t>Facture SAVANE LAMINE 25FCR001128</t>
  </si>
  <si>
    <t>25FCR001129</t>
  </si>
  <si>
    <t>Facture SAVANE LAMINE 25FCR001129</t>
  </si>
  <si>
    <t>25FCR001130</t>
  </si>
  <si>
    <t>Facture SAVANE LAMINE 25FCR001130</t>
  </si>
  <si>
    <t>25FCR001131</t>
  </si>
  <si>
    <t>Facture SAVANE LAMINE 25FCR001131</t>
  </si>
  <si>
    <t>25FCR001132</t>
  </si>
  <si>
    <t>Facture SAVANE LAMINE 25FCR001132</t>
  </si>
  <si>
    <t>25FCR001133</t>
  </si>
  <si>
    <t>Facture SAVANE LAMINE 25FCR001133</t>
  </si>
  <si>
    <t>25FCR001134</t>
  </si>
  <si>
    <t>Facture SAVANE LAMINE 25FCR001134</t>
  </si>
  <si>
    <t>25FCR001135</t>
  </si>
  <si>
    <t>Facture SAVANE LAMINE 25FCR001135</t>
  </si>
  <si>
    <t>25FCR001136</t>
  </si>
  <si>
    <t>Facture SAVANE LAMINE 25FCR001136</t>
  </si>
  <si>
    <t>25FCR001137</t>
  </si>
  <si>
    <t>Facture SAVANE LAMINE 25FCR001137</t>
  </si>
  <si>
    <t>25FCR001138</t>
  </si>
  <si>
    <t>Facture SAVANE LAMINE 25FCR001138</t>
  </si>
  <si>
    <t>25FCR001139</t>
  </si>
  <si>
    <t>Facture SAVANE LAMINE 25FCR001139</t>
  </si>
  <si>
    <t>25FCR001140</t>
  </si>
  <si>
    <t>Facture SAVANE LAMINE 25FCR001140</t>
  </si>
  <si>
    <t>25FCR001141</t>
  </si>
  <si>
    <t>Facture SAVANE LAMINE 25FCR001141</t>
  </si>
  <si>
    <t>25FCR001142</t>
  </si>
  <si>
    <t>Facture SAVANE LAMINE 25FCR001142</t>
  </si>
  <si>
    <t>25FCR001143</t>
  </si>
  <si>
    <t>Facture SAVANE LAMINE 25FCR001143</t>
  </si>
  <si>
    <t>25FCR001144</t>
  </si>
  <si>
    <t>Facture SAVANE LAMINE 25FCR001144</t>
  </si>
  <si>
    <t>25FCR001148</t>
  </si>
  <si>
    <t>Facture FOURNISSEURS DIVERS BANSE &amp; FRERES 25FCR001148</t>
  </si>
  <si>
    <t>25FCR001313</t>
  </si>
  <si>
    <t>Facture SAVANE LAMINE 25FCR001313</t>
  </si>
  <si>
    <t>25FCR001146</t>
  </si>
  <si>
    <t>Facture ADAMA KANE 25FCR001146</t>
  </si>
  <si>
    <t>25FCR001147</t>
  </si>
  <si>
    <t>FAD0470</t>
  </si>
  <si>
    <t>Facture AJ ENTREPRISE 25FCR001147</t>
  </si>
  <si>
    <t>25FCR001160</t>
  </si>
  <si>
    <t>4166570/067829</t>
  </si>
  <si>
    <t>Facture SOCIDA 25FCR001160</t>
  </si>
  <si>
    <t>25FCR001162</t>
  </si>
  <si>
    <t>4166891/068150</t>
  </si>
  <si>
    <t>Retour SOCIDA 25FCR001162</t>
  </si>
  <si>
    <t>25FCR001163</t>
  </si>
  <si>
    <t>4167491/068750</t>
  </si>
  <si>
    <t>Facture SOCIDA 25FCR001163</t>
  </si>
  <si>
    <t>25FCR001151</t>
  </si>
  <si>
    <t>15036598/040128</t>
  </si>
  <si>
    <t>Facture SPRINT TECH CI 25FCR001151</t>
  </si>
  <si>
    <t>25FCR001207</t>
  </si>
  <si>
    <t>15035937/019467</t>
  </si>
  <si>
    <t>Facture SPRINT TECH CI 25FCR001207</t>
  </si>
  <si>
    <t>25FCR001208</t>
  </si>
  <si>
    <t>15036002/019532</t>
  </si>
  <si>
    <t>Facture SPRINT TECH CI 25FCR001208</t>
  </si>
  <si>
    <t>25FCR001209</t>
  </si>
  <si>
    <t>15036176/019706</t>
  </si>
  <si>
    <t>Facture SPRINT TECH CI 25FCR001209</t>
  </si>
  <si>
    <t>25FCR001210</t>
  </si>
  <si>
    <t>15036177/019707</t>
  </si>
  <si>
    <t>Facture SPRINT TECH CI 25FCR001210</t>
  </si>
  <si>
    <t>25FCR001211</t>
  </si>
  <si>
    <t>15036178/019708</t>
  </si>
  <si>
    <t>Facture SPRINT TECH CI 25FCR001211</t>
  </si>
  <si>
    <t>25FCR001212</t>
  </si>
  <si>
    <t>15036179/019709</t>
  </si>
  <si>
    <t>Facture SPRINT TECH CI 25FCR001212</t>
  </si>
  <si>
    <t>25FCR001215</t>
  </si>
  <si>
    <t>20250857/000144</t>
  </si>
  <si>
    <t>Facture IPR 25FCR001215</t>
  </si>
  <si>
    <t>25FCR001216</t>
  </si>
  <si>
    <t>20250858/000143</t>
  </si>
  <si>
    <t>Facture IPR 25FCR001216</t>
  </si>
  <si>
    <t>25FCR001217</t>
  </si>
  <si>
    <t>20250859/000146</t>
  </si>
  <si>
    <t>Facture IPR 25FCR001217</t>
  </si>
  <si>
    <t>25FCR001218</t>
  </si>
  <si>
    <t>20250860/000145</t>
  </si>
  <si>
    <t>Facture IPR 25FCR001218</t>
  </si>
  <si>
    <t>25FCR001242</t>
  </si>
  <si>
    <t>MT32536</t>
  </si>
  <si>
    <t>Facture SN PROTEC 25FCR001242</t>
  </si>
  <si>
    <t>25FCR001243</t>
  </si>
  <si>
    <t>MT32537</t>
  </si>
  <si>
    <t>Facture SN PROTEC 25FCR001243</t>
  </si>
  <si>
    <t>25FCR001244</t>
  </si>
  <si>
    <t>MT32538</t>
  </si>
  <si>
    <t>Facture SN PROTEC 25FCR001244</t>
  </si>
  <si>
    <t>25FCR001245</t>
  </si>
  <si>
    <t>MT32539</t>
  </si>
  <si>
    <t>Facture SN PROTEC 25FCR001245</t>
  </si>
  <si>
    <t>25FCR001246</t>
  </si>
  <si>
    <t>MT32540</t>
  </si>
  <si>
    <t>Facture SN PROTEC 25FCR001246</t>
  </si>
  <si>
    <t>25FCR001247</t>
  </si>
  <si>
    <t>MT32541</t>
  </si>
  <si>
    <t>Facture SN PROTEC 25FCR001247</t>
  </si>
  <si>
    <t>25FCR001248</t>
  </si>
  <si>
    <t>MT32542</t>
  </si>
  <si>
    <t>Facture SN PROTEC 25FCR001248</t>
  </si>
  <si>
    <t>25FCR001249</t>
  </si>
  <si>
    <t>MT32599</t>
  </si>
  <si>
    <t>Facture SN PROTEC 25FCR001249</t>
  </si>
  <si>
    <t>25FCR001250</t>
  </si>
  <si>
    <t>MT32600</t>
  </si>
  <si>
    <t>Facture SN PROTEC 25FCR001250</t>
  </si>
  <si>
    <t>25FCR001251</t>
  </si>
  <si>
    <t>MT32627</t>
  </si>
  <si>
    <t>Facture SN PROTEC 25FCR001251</t>
  </si>
  <si>
    <t>25FCR001252</t>
  </si>
  <si>
    <t>MT32628</t>
  </si>
  <si>
    <t>Facture SN PROTEC 25FCR001252</t>
  </si>
  <si>
    <t>25FCR001253</t>
  </si>
  <si>
    <t>MT32629</t>
  </si>
  <si>
    <t>Facture SN PROTEC 25FCR001253</t>
  </si>
  <si>
    <t>25FCR001254</t>
  </si>
  <si>
    <t>MT32630</t>
  </si>
  <si>
    <t>Facture SN PROTEC 25FCR001254</t>
  </si>
  <si>
    <t>25FCR001255</t>
  </si>
  <si>
    <t>MT32631</t>
  </si>
  <si>
    <t>Facture SN PROTEC 25FCR001255</t>
  </si>
  <si>
    <t>25FCR001257</t>
  </si>
  <si>
    <t>MT32654</t>
  </si>
  <si>
    <t>Facture SN PROTEC 25FCR001257</t>
  </si>
  <si>
    <t>25FCR001258</t>
  </si>
  <si>
    <t>MT32655</t>
  </si>
  <si>
    <t>Facture SN PROTEC 25FCR001258</t>
  </si>
  <si>
    <t>25FCR001187</t>
  </si>
  <si>
    <t>Facture SOFID 25FCR001187</t>
  </si>
  <si>
    <t>25FCR001271</t>
  </si>
  <si>
    <t>24/13</t>
  </si>
  <si>
    <t>Facture KABORE TANGA 25FCR001271</t>
  </si>
  <si>
    <t>25FCR001272</t>
  </si>
  <si>
    <t>24/14</t>
  </si>
  <si>
    <t>Facture KABORE TANGA 25FCR001272</t>
  </si>
  <si>
    <t>25FCR001274</t>
  </si>
  <si>
    <t>Facture TIMBINE HAMED 25FCR001274</t>
  </si>
  <si>
    <t>25FCR001183</t>
  </si>
  <si>
    <t>PVPV645395/075575</t>
  </si>
  <si>
    <t>Facture CFAO MOTORS 25FCR001183</t>
  </si>
  <si>
    <t>25FCR001190</t>
  </si>
  <si>
    <t>Facture PAPI GARAGE SARL 25FCR001190</t>
  </si>
  <si>
    <t>25FCR001191</t>
  </si>
  <si>
    <t>Facture PAPI GARAGE SARL 25FCR001191</t>
  </si>
  <si>
    <t>25FCR001194</t>
  </si>
  <si>
    <t>181633/004379</t>
  </si>
  <si>
    <t>Facture LA MAISON DU PROFESSIONNEL 25FCR001194</t>
  </si>
  <si>
    <t>25FCR001195</t>
  </si>
  <si>
    <t>181634/004380</t>
  </si>
  <si>
    <t>Facture LA MAISON DU PROFESSIONNEL 25FCR001195</t>
  </si>
  <si>
    <t>25FCR001196</t>
  </si>
  <si>
    <t>181635/004381</t>
  </si>
  <si>
    <t>Facture LA MAISON DU PROFESSIONNEL 25FCR001196</t>
  </si>
  <si>
    <t>25FCR001197</t>
  </si>
  <si>
    <t>Facture MAISON DE LA PRESSION GENERALE 25FCR001197</t>
  </si>
  <si>
    <t>25FCR001275</t>
  </si>
  <si>
    <t>Facture ABIDJAN HYDRAULIQUE 25FCR001275</t>
  </si>
  <si>
    <t>25FCR001276</t>
  </si>
  <si>
    <t>Facture ABIDJAN HYDRAULIQUE 25FCR001276</t>
  </si>
  <si>
    <t>25FCR001256</t>
  </si>
  <si>
    <t>MT32653</t>
  </si>
  <si>
    <t>Facture SN PROTEC 25FCR001256</t>
  </si>
  <si>
    <t>25FCR001259</t>
  </si>
  <si>
    <t>MT32695</t>
  </si>
  <si>
    <t>Facture SN PROTEC 25FCR001259</t>
  </si>
  <si>
    <t>25FCR001260</t>
  </si>
  <si>
    <t>MT32696</t>
  </si>
  <si>
    <t>Facture SN PROTEC 25FCR001260</t>
  </si>
  <si>
    <t>25FCR001261</t>
  </si>
  <si>
    <t>MT32697</t>
  </si>
  <si>
    <t>Facture SN PROTEC 25FCR001261</t>
  </si>
  <si>
    <t>25FCR001262</t>
  </si>
  <si>
    <t>MT32698</t>
  </si>
  <si>
    <t>Facture SN PROTEC 25FCR001262</t>
  </si>
  <si>
    <t>25FCR001263</t>
  </si>
  <si>
    <t>MT32700</t>
  </si>
  <si>
    <t>Facture SN PROTEC 25FCR001263</t>
  </si>
  <si>
    <t>25FCR001264</t>
  </si>
  <si>
    <t>MT32701</t>
  </si>
  <si>
    <t>Facture SN PROTEC 25FCR001264</t>
  </si>
  <si>
    <t>25FCR001265</t>
  </si>
  <si>
    <t>MT32702</t>
  </si>
  <si>
    <t>Facture SN PROTEC 25FCR001265</t>
  </si>
  <si>
    <t>25FCR001266</t>
  </si>
  <si>
    <t>MT32703</t>
  </si>
  <si>
    <t>Facture SN PROTEC 25FCR001266</t>
  </si>
  <si>
    <t>25FCR001267</t>
  </si>
  <si>
    <t>MT32704</t>
  </si>
  <si>
    <t>Facture SN PROTEC 25FCR001267</t>
  </si>
  <si>
    <t>25FCR001269</t>
  </si>
  <si>
    <t>Facture AXE IMPRESSION 25FCR001269</t>
  </si>
  <si>
    <t>25FCR001273</t>
  </si>
  <si>
    <t>Facture TIMBINE HAMED 25FCR001273</t>
  </si>
  <si>
    <t>25FCR001185</t>
  </si>
  <si>
    <t>Facture POWER DIESEL CI 25FCR001185</t>
  </si>
  <si>
    <t>25FCR001188</t>
  </si>
  <si>
    <t>Facture BUREAU IVOIRIEN DE FOURNITURES INDUSTRIELLES 25FCR001188</t>
  </si>
  <si>
    <t>25FCR001189</t>
  </si>
  <si>
    <t>Facture BUREAU IVOIRIEN DE FOURNITURES INDUSTRIELLES 25FCR001189</t>
  </si>
  <si>
    <t>25FCR001198</t>
  </si>
  <si>
    <t>Facture MAISON DE LA PRESSION GENERALE 25FCR001198</t>
  </si>
  <si>
    <t>25FCR001199</t>
  </si>
  <si>
    <t>Facture MAISON DE LA PRESSION GENERALE 25FCR001199</t>
  </si>
  <si>
    <t>25FCR001201</t>
  </si>
  <si>
    <t>FM4003931/009074</t>
  </si>
  <si>
    <t>Facture AFRICAUTO 25FCR001201</t>
  </si>
  <si>
    <t>25FCR001202</t>
  </si>
  <si>
    <t>FM4003933/009076</t>
  </si>
  <si>
    <t>Facture AFRICAUTO 25FCR001202</t>
  </si>
  <si>
    <t>25FCR001203</t>
  </si>
  <si>
    <t>FM4003939/009080</t>
  </si>
  <si>
    <t>Facture AFRICAUTO 25FCR001203</t>
  </si>
  <si>
    <t>25FCR001204</t>
  </si>
  <si>
    <t>FM4003940/009079</t>
  </si>
  <si>
    <t>Facture AFRICAUTO 25FCR001204</t>
  </si>
  <si>
    <t>25FCR001205</t>
  </si>
  <si>
    <t>FM4301237/009078</t>
  </si>
  <si>
    <t>Facture AFRICAUTO 25FCR001205</t>
  </si>
  <si>
    <t>25FCR001206</t>
  </si>
  <si>
    <t>FM8510651/056818</t>
  </si>
  <si>
    <t>Facture AFRICAUTO 25FCR001206</t>
  </si>
  <si>
    <t>25FCR001277</t>
  </si>
  <si>
    <t>Facture ABIDJAN HYDRAULIQUE 25FCR001277</t>
  </si>
  <si>
    <t>25FCR001314</t>
  </si>
  <si>
    <t>Facture SAVANE LAMINE 25FCR001314</t>
  </si>
  <si>
    <t>25FCR001315</t>
  </si>
  <si>
    <t>Facture SAVANE LAMINE 25FCR001315</t>
  </si>
  <si>
    <t>25FCR001200</t>
  </si>
  <si>
    <t>Facture MAISON DE LA PRESSION GENERALE 25FCR001200</t>
  </si>
  <si>
    <t>25FCR001225</t>
  </si>
  <si>
    <t>GM64294/003551</t>
  </si>
  <si>
    <t>Facture GENERAL METAL CONSTRUCTION 25FCR001225</t>
  </si>
  <si>
    <t>25FCR001226</t>
  </si>
  <si>
    <t>GM64295/003552</t>
  </si>
  <si>
    <t>Facture GENERAL METAL CONSTRUCTION 25FCR001226</t>
  </si>
  <si>
    <t>25FCR001227</t>
  </si>
  <si>
    <t>GM64296/003553</t>
  </si>
  <si>
    <t>Facture GENERAL METAL CONSTRUCTION 25FCR001227</t>
  </si>
  <si>
    <t>25FCR001228</t>
  </si>
  <si>
    <t>GM64297/003554</t>
  </si>
  <si>
    <t>Facture GENERAL METAL CONSTRUCTION 25FCR001228</t>
  </si>
  <si>
    <t>25FCR001229</t>
  </si>
  <si>
    <t>GM64298/003555</t>
  </si>
  <si>
    <t>Facture GENERAL METAL CONSTRUCTION 25FCR001229</t>
  </si>
  <si>
    <t>25FCR001230</t>
  </si>
  <si>
    <t>GM64299/003556</t>
  </si>
  <si>
    <t>Facture GENERAL METAL CONSTRUCTION 25FCR001230</t>
  </si>
  <si>
    <t>25FCR001231</t>
  </si>
  <si>
    <t>4167523/068782</t>
  </si>
  <si>
    <t>Facture SOCIDA 25FCR001231</t>
  </si>
  <si>
    <t>25FCR001232</t>
  </si>
  <si>
    <t>4167964/070723</t>
  </si>
  <si>
    <t>Facture SOCIDA 25FCR001232</t>
  </si>
  <si>
    <t>25FCR001238</t>
  </si>
  <si>
    <t>5176673/066776</t>
  </si>
  <si>
    <t>Facture SOCIDA 25FCR001238</t>
  </si>
  <si>
    <t>25FCR001239</t>
  </si>
  <si>
    <t>5176674/066777</t>
  </si>
  <si>
    <t>Facture SOCIDA 25FCR001239</t>
  </si>
  <si>
    <t>25FCR001240</t>
  </si>
  <si>
    <t>5176675/066778</t>
  </si>
  <si>
    <t>Facture SOCIDA 25FCR001240</t>
  </si>
  <si>
    <t>25FCR001241</t>
  </si>
  <si>
    <t>5176676/066779</t>
  </si>
  <si>
    <t>Facture SOCIDA 25FCR001241</t>
  </si>
  <si>
    <t>25FCR001280</t>
  </si>
  <si>
    <t>Facture SAVANE LAMINE 25FCR001280</t>
  </si>
  <si>
    <t>25FCR001281</t>
  </si>
  <si>
    <t>Facture SAVANE LAMINE 25FCR001281</t>
  </si>
  <si>
    <t>25FCR001282</t>
  </si>
  <si>
    <t>Facture SAVANE LAMINE 25FCR001282</t>
  </si>
  <si>
    <t>25FCR001283</t>
  </si>
  <si>
    <t>Facture SAVANE LAMINE 25FCR001283</t>
  </si>
  <si>
    <t>25FCR001284</t>
  </si>
  <si>
    <t>Facture SAVANE LAMINE 25FCR001284</t>
  </si>
  <si>
    <t>25FCR001285</t>
  </si>
  <si>
    <t>Facture SAVANE LAMINE 25FCR001285</t>
  </si>
  <si>
    <t>25FCR001286</t>
  </si>
  <si>
    <t>Facture SAVANE LAMINE 25FCR001286</t>
  </si>
  <si>
    <t>25FCR001287</t>
  </si>
  <si>
    <t>Facture SAVANE LAMINE 25FCR001287</t>
  </si>
  <si>
    <t>25FCR001288</t>
  </si>
  <si>
    <t>Facture SAVANE LAMINE 25FCR001288</t>
  </si>
  <si>
    <t>25FCR001289</t>
  </si>
  <si>
    <t>Facture SAVANE LAMINE 25FCR001289</t>
  </si>
  <si>
    <t>25FCR001290</t>
  </si>
  <si>
    <t>Facture SAVANE LAMINE 25FCR001290</t>
  </si>
  <si>
    <t>25FCR001291</t>
  </si>
  <si>
    <t>Facture SAVANE LAMINE 25FCR001291</t>
  </si>
  <si>
    <t>25FCR001292</t>
  </si>
  <si>
    <t>Facture SAVANE LAMINE 25FCR001292</t>
  </si>
  <si>
    <t>25FCR001293</t>
  </si>
  <si>
    <t>Facture SAVANE LAMINE 25FCR001293</t>
  </si>
  <si>
    <t>25FCR001294</t>
  </si>
  <si>
    <t>Facture SAVANE LAMINE 25FCR001294</t>
  </si>
  <si>
    <t>25FCR001295</t>
  </si>
  <si>
    <t>Facture SAVANE LAMINE 25FCR001295</t>
  </si>
  <si>
    <t>25FCR001296</t>
  </si>
  <si>
    <t>Facture SAVANE LAMINE 25FCR001296</t>
  </si>
  <si>
    <t>25FCR001297</t>
  </si>
  <si>
    <t>Facture SAVANE LAMINE 25FCR001297</t>
  </si>
  <si>
    <t>25FCR001298</t>
  </si>
  <si>
    <t>Facture SAVANE LAMINE 25FCR001298</t>
  </si>
  <si>
    <t>25FCR001299</t>
  </si>
  <si>
    <t>Facture SAVANE LAMINE 25FCR001299</t>
  </si>
  <si>
    <t>25FCR001300</t>
  </si>
  <si>
    <t>Facture SAVANE LAMINE 25FCR001300</t>
  </si>
  <si>
    <t>25FCR001301</t>
  </si>
  <si>
    <t>Facture SAVANE LAMINE 25FCR001301</t>
  </si>
  <si>
    <t>25FCR001302</t>
  </si>
  <si>
    <t>Facture SAVANE LAMINE 25FCR001302</t>
  </si>
  <si>
    <t>25FCR001303</t>
  </si>
  <si>
    <t>Facture SAVANE LAMINE 25FCR001303</t>
  </si>
  <si>
    <t>25FCR001304</t>
  </si>
  <si>
    <t>Facture SAVANE LAMINE 25FCR001304</t>
  </si>
  <si>
    <t>25FCR001193</t>
  </si>
  <si>
    <t>FCB017821/000282</t>
  </si>
  <si>
    <t>Facture SOACI SN 25FCR001193</t>
  </si>
  <si>
    <t>25FCR001213</t>
  </si>
  <si>
    <t>15036433/019963</t>
  </si>
  <si>
    <t>Facture SPRINT TECH CI 25FCR001213</t>
  </si>
  <si>
    <t>25FCR001214</t>
  </si>
  <si>
    <t>15036707/040237</t>
  </si>
  <si>
    <t>Facture SPRINT TECH CI 25FCR001214</t>
  </si>
  <si>
    <t>25FCR001219</t>
  </si>
  <si>
    <t>20251104/000437</t>
  </si>
  <si>
    <t>Facture IPR 25FCR001219</t>
  </si>
  <si>
    <t>25FCR001220</t>
  </si>
  <si>
    <t>20251148/000483</t>
  </si>
  <si>
    <t>Facture IPR 25FCR001220</t>
  </si>
  <si>
    <t>25FCR001221</t>
  </si>
  <si>
    <t>20251149/000486</t>
  </si>
  <si>
    <t>Facture IPR 25FCR001221</t>
  </si>
  <si>
    <t>25FCR001222</t>
  </si>
  <si>
    <t>20251150/000485</t>
  </si>
  <si>
    <t>Facture IPR 25FCR001222</t>
  </si>
  <si>
    <t>25FCR001182</t>
  </si>
  <si>
    <t>250071932/003932</t>
  </si>
  <si>
    <t>Facture AMDS 25FCR001182</t>
  </si>
  <si>
    <t>25FCR001184</t>
  </si>
  <si>
    <t>FT24643</t>
  </si>
  <si>
    <t>Facture INTRATEC 25FCR001184</t>
  </si>
  <si>
    <t>25FCR001186</t>
  </si>
  <si>
    <t>DE003091</t>
  </si>
  <si>
    <t>Facture OPPORTUNITY CENTRALE D'ACHAT 25FCR001186</t>
  </si>
  <si>
    <t>25FCR001233</t>
  </si>
  <si>
    <t>4168274/071033</t>
  </si>
  <si>
    <t>Facture SOCIDA 25FCR001233</t>
  </si>
  <si>
    <t>25FCR001234</t>
  </si>
  <si>
    <t>4168277/071036</t>
  </si>
  <si>
    <t>Facture SOCIDA 25FCR001234</t>
  </si>
  <si>
    <t>25FCR001235</t>
  </si>
  <si>
    <t>4168362/071121</t>
  </si>
  <si>
    <t>Facture SOCIDA 25FCR001235</t>
  </si>
  <si>
    <t>25FCR001236</t>
  </si>
  <si>
    <t>4168363/071122</t>
  </si>
  <si>
    <t>Facture SOCIDA 25FCR001236</t>
  </si>
  <si>
    <t>25FCR001237</t>
  </si>
  <si>
    <t>4168414/071173</t>
  </si>
  <si>
    <t>Facture SOCIDA 25FCR001237</t>
  </si>
  <si>
    <t>25FCR001270</t>
  </si>
  <si>
    <t>Facture AXE IMPRESSION 25FCR001270</t>
  </si>
  <si>
    <t>25FCR001278</t>
  </si>
  <si>
    <t>Facture SAVANE LAMINE 25FCR001278</t>
  </si>
  <si>
    <t>25FCR001279</t>
  </si>
  <si>
    <t>Facture SAVANE LAMINE 25FCR001279</t>
  </si>
  <si>
    <t>25FCR001305</t>
  </si>
  <si>
    <t>Facture SAVANE LAMINE 25FCR001305</t>
  </si>
  <si>
    <t>25FCR001306</t>
  </si>
  <si>
    <t>Facture SAVANE LAMINE 25FCR001306</t>
  </si>
  <si>
    <t>25FCR001307</t>
  </si>
  <si>
    <t>Facture SAVANE LAMINE 25FCR001307</t>
  </si>
  <si>
    <t>25FCR001308</t>
  </si>
  <si>
    <t>Facture SAVANE LAMINE 25FCR001308</t>
  </si>
  <si>
    <t>25FCR001309</t>
  </si>
  <si>
    <t>Facture SAVANE LAMINE 25FCR001309</t>
  </si>
  <si>
    <t>25FCR001310</t>
  </si>
  <si>
    <t>Facture SAVANE LAMINE 25FCR001310</t>
  </si>
  <si>
    <t>25FCR001311</t>
  </si>
  <si>
    <t>Facture SAVANE LAMINE 25FCR001311</t>
  </si>
  <si>
    <t>25FCR001312</t>
  </si>
  <si>
    <t>Facture SAVANE LAMINE 25FCR001312</t>
  </si>
  <si>
    <t>25FCR001316</t>
  </si>
  <si>
    <t>Facture SAVANE LAMINE 25FCR001316</t>
  </si>
  <si>
    <t>25FCR001317</t>
  </si>
  <si>
    <t>Facture SAVANE LAMINE 25FCR001317</t>
  </si>
  <si>
    <t>25FCR001318</t>
  </si>
  <si>
    <t>Facture SAVANE LAMINE 25FCR001318</t>
  </si>
  <si>
    <t>25FCR001319</t>
  </si>
  <si>
    <t>Facture SAVANE LAMINE 25FCR001319</t>
  </si>
  <si>
    <t>25FCR001320</t>
  </si>
  <si>
    <t>Facture SAVANE LAMINE 25FCR001320</t>
  </si>
  <si>
    <t>25FCR001321</t>
  </si>
  <si>
    <t>Facture SAVANE LAMINE 25FCR001321</t>
  </si>
  <si>
    <t>25FCR001322</t>
  </si>
  <si>
    <t>Facture SAVANE LAMINE 25FCR001322</t>
  </si>
  <si>
    <t>25FCR001323</t>
  </si>
  <si>
    <t>Facture SAVANE LAMINE 25FCR001323</t>
  </si>
  <si>
    <t>25FCR001324</t>
  </si>
  <si>
    <t>Facture SAVANE LAMINE 25FCR001324</t>
  </si>
  <si>
    <t>Annulation ABN LOYER SCI BINAO ANCIEN SITE MAR</t>
  </si>
  <si>
    <t>VS 113</t>
  </si>
  <si>
    <t>COTE PART VS 113 AA</t>
  </si>
  <si>
    <t>ABN EDIT CAURIS</t>
  </si>
  <si>
    <t>ABN AB SOFT EDIT CAURIS/DSU SOLUT° DE GESTION DE REPORTING</t>
  </si>
  <si>
    <t>ABN LICENCE</t>
  </si>
  <si>
    <t>SOSINFORMATIQUE</t>
  </si>
  <si>
    <t>SOS INFORMATIQUE 3 LICENCE</t>
  </si>
  <si>
    <t>ABN APRIL PYG DCM</t>
  </si>
  <si>
    <t>SAGE</t>
  </si>
  <si>
    <t>ABN RNVLMT SUITE RH+ERP 100 AB SOFT</t>
  </si>
  <si>
    <t>ABN LOYER ASSALE</t>
  </si>
  <si>
    <t xml:space="preserve"> ABN  LOYER CHEF AGENCE YAKRO</t>
  </si>
  <si>
    <t>ABN AKANEA</t>
  </si>
  <si>
    <t>ABN AB SOFT UTILISATION AKANEA</t>
  </si>
  <si>
    <t>ABN CARTE ABIDJAN</t>
  </si>
  <si>
    <t>ABN TAXE DE STATIONNEMENT</t>
  </si>
  <si>
    <t>ABN CARTE FERKE</t>
  </si>
  <si>
    <t>ABN TAXE DE STATIONNEMENT FERKE</t>
  </si>
  <si>
    <t>ABN TAXE STATIONNEMENT YAMOUSSOUKRO</t>
  </si>
  <si>
    <t>FCR04475</t>
  </si>
  <si>
    <t>ABN CFE</t>
  </si>
  <si>
    <t>ABN CAISSE DES FRANCAIS DE L'EXTERIEUR</t>
  </si>
  <si>
    <t>ABN DISA</t>
  </si>
  <si>
    <t>ABN PROVISION DISA</t>
  </si>
  <si>
    <t>ABN FACTOR</t>
  </si>
  <si>
    <t>ABN FACTOR EXPRESS-SERVICE COURSIER</t>
  </si>
  <si>
    <t>ABN VIGA BKE</t>
  </si>
  <si>
    <t>ABN GARDIENNAGE BOUAKE VIGASSISTANCE</t>
  </si>
  <si>
    <t>ABN VIGA YAKRO</t>
  </si>
  <si>
    <t>ABN GARDIENNAGE YAKRO VIGASSISTANCE</t>
  </si>
  <si>
    <t>ABN ASSIS JURIDIQ</t>
  </si>
  <si>
    <t>ABN HONORAIRES JURIDIQUES SAKHO-YAPOBI &amp; ASSOCIES</t>
  </si>
  <si>
    <t>ABONNEMENT INTERNET MTN</t>
  </si>
  <si>
    <t>ABN LIGNE FIXE ORANGE LCR</t>
  </si>
  <si>
    <t>ABN LOYER JULIE</t>
  </si>
  <si>
    <t>LOYERJULIE</t>
  </si>
  <si>
    <t>ABN LOYER JULIE BOUAKE</t>
  </si>
  <si>
    <t>ABN MRH</t>
  </si>
  <si>
    <t>ABN MRH GRAVIERE</t>
  </si>
  <si>
    <t>ABN MRH LCR</t>
  </si>
  <si>
    <t>ABN. KH ASSUR.</t>
  </si>
  <si>
    <t>ABN MRH M. SAMAT</t>
  </si>
  <si>
    <t xml:space="preserve">ABN PATENTE TRANSPORT </t>
  </si>
  <si>
    <t>ABN ETAT 301</t>
  </si>
  <si>
    <t>ABN PROVISION ETAT 301</t>
  </si>
  <si>
    <t>ABN RED MARCORY</t>
  </si>
  <si>
    <t>ABN REDEVANCE MAIRIE MARCORY</t>
  </si>
  <si>
    <t>ABN REMUNERATION ADM AMD</t>
  </si>
  <si>
    <t>ABONNEMENT VODACOM ACCES INTERNET</t>
  </si>
  <si>
    <t>ABN AB SOFT</t>
  </si>
  <si>
    <t>ASSISTANCE INFORMATIQUE</t>
  </si>
  <si>
    <t>ABN KH ASSUR</t>
  </si>
  <si>
    <t>ABN ASSURANCE MALADIE PERSONNEL</t>
  </si>
  <si>
    <t>ABN KH ASSUR.</t>
  </si>
  <si>
    <t>ABN RESPONSABILITE CIVILE</t>
  </si>
  <si>
    <t>ABN ASSUR. TRANSPORT M/SE</t>
  </si>
  <si>
    <t>ABN ORANGE CI</t>
  </si>
  <si>
    <t>ABN INTERNET DGE</t>
  </si>
  <si>
    <t>ABN VIGASSISTANCE</t>
  </si>
  <si>
    <t>GARDIENNAGE AGCE SAN PEDRO VIGAS</t>
  </si>
  <si>
    <t>ABN VIGAS.</t>
  </si>
  <si>
    <t>ABN GARDIENNAGE ATELIER</t>
  </si>
  <si>
    <t>ABN VIGASS</t>
  </si>
  <si>
    <t>ABN GARDIENNAGE DCOM</t>
  </si>
  <si>
    <t>ABN FALCON</t>
  </si>
  <si>
    <t>ABN GEOLOCALISATION POIDS LOURDS</t>
  </si>
  <si>
    <t>ABN ORANGE</t>
  </si>
  <si>
    <t>ABN INTERNET ATELIERS</t>
  </si>
  <si>
    <t>ABN INTERNET SIEGE</t>
  </si>
  <si>
    <t>ABN NOVASH.</t>
  </si>
  <si>
    <t>LICENCE ANTIVIRUS</t>
  </si>
  <si>
    <t>ABN CFAO</t>
  </si>
  <si>
    <t>LOCATION COPIEUR</t>
  </si>
  <si>
    <t>ABN SOCIDA</t>
  </si>
  <si>
    <t>ABN LOCAT° VALISE DIAGNOSTIC</t>
  </si>
  <si>
    <t>ABN LOYER DC</t>
  </si>
  <si>
    <t>ABN ATELE</t>
  </si>
  <si>
    <t>ABN LOYER RESP. ATELIER</t>
  </si>
  <si>
    <t>ABN DIOCESE</t>
  </si>
  <si>
    <t>LOYER SITE YAKRO</t>
  </si>
  <si>
    <t>ABN SOGEPIC</t>
  </si>
  <si>
    <t xml:space="preserve">LOYER SOGEPIC </t>
  </si>
  <si>
    <t>MRP</t>
  </si>
  <si>
    <t>ABN MULTIRISQUE PROFESSIONNEL</t>
  </si>
  <si>
    <t>LCR AERIA</t>
  </si>
  <si>
    <t>REDEVANCE DOMANIALE AERIA</t>
  </si>
  <si>
    <t>ABN DGI</t>
  </si>
  <si>
    <t>ABN REDEVANCE DOM. SAN PEDRO</t>
  </si>
  <si>
    <t>ABN SUDCONTRAC.</t>
  </si>
  <si>
    <t>ABN REDEVANCE TRACKING</t>
  </si>
  <si>
    <t>RENOUVELLEMENT BAIL  ATELE ZEMENE</t>
  </si>
  <si>
    <t>RENOUVELLEMENT BAIL DIOCESE YAMOUSS</t>
  </si>
  <si>
    <t>RENOUVELLEMENT BAIL SCI CORALIE/SOG</t>
  </si>
  <si>
    <t>ABN DISTRICT</t>
  </si>
  <si>
    <t>ABN TAXE SUR LA PUBLICITE 2020</t>
  </si>
  <si>
    <t>FRAIS FINANCEMENT PRIME ASSURANCE</t>
  </si>
  <si>
    <t>ABN ASSURANCE AUTOMOBILES</t>
  </si>
  <si>
    <t>ABN GEOLOCALISATION CITERNES</t>
  </si>
  <si>
    <t>ABN IMPÖTS FONCIERS MARCORY</t>
  </si>
  <si>
    <t>ABN IMPÖTS</t>
  </si>
  <si>
    <t>ABN IMPÖTS FONCIERS BOUAKE 1</t>
  </si>
  <si>
    <t>ABN IMPÖTS FONCIERS BOUAKE 2</t>
  </si>
  <si>
    <t>ABN FONCIER PORT</t>
  </si>
  <si>
    <t>ABN IMPÖTS FONCIERS AERIA</t>
  </si>
  <si>
    <t>ABN CGECI PATRONAT IVOIRIEN</t>
  </si>
  <si>
    <t>ABN CA PAA</t>
  </si>
  <si>
    <t>ABN FRAIS ACCES AU PAA</t>
  </si>
  <si>
    <t>ABN IMPÖTS FONCIERS SP 1</t>
  </si>
  <si>
    <t>ABN IMPOTS</t>
  </si>
  <si>
    <t>ABN IMPÖTS FONCIERS YAKRO</t>
  </si>
  <si>
    <t>ABN ABN KH AUTO CR724-826-798-888-1</t>
  </si>
  <si>
    <t>ABN ABN KH AUTO CR1245 A 1248</t>
  </si>
  <si>
    <t>ABN ABN KH AUTO CR1249-1250</t>
  </si>
  <si>
    <t>ABN ABN KH AUTO CR1252</t>
  </si>
  <si>
    <t>ABN ABN KH AUTO CR1251</t>
  </si>
  <si>
    <t>ABN VISITE MED</t>
  </si>
  <si>
    <t>ABN VISITE MEDICALE ANNUELLE</t>
  </si>
  <si>
    <t>ABN BONUS</t>
  </si>
  <si>
    <t>ALLPERSONNEL</t>
  </si>
  <si>
    <t>ABN BONUS DIRECTEURS</t>
  </si>
  <si>
    <t>CB VS 102-106</t>
  </si>
  <si>
    <t>ABN CB VS 102-106 MITSHIBISHI SGCI</t>
  </si>
  <si>
    <t>CB VS 100</t>
  </si>
  <si>
    <t>ABN CB VS 100 MAZDA CX30 SGCI</t>
  </si>
  <si>
    <t>ABN CB VS 99-97</t>
  </si>
  <si>
    <t>ABN CB VS 99-97 CITROEN SGCI</t>
  </si>
  <si>
    <t>CB VS 111</t>
  </si>
  <si>
    <t>ABN CB VS 111 JAC SGCI ASSINIE</t>
  </si>
  <si>
    <t>CB VS 110</t>
  </si>
  <si>
    <t>ABN CB VS 110 JAC FRISSON SGCI DET</t>
  </si>
  <si>
    <t>CB VS 112</t>
  </si>
  <si>
    <t>ABN CB VS 112 JAC FRISSON SGCI DET</t>
  </si>
  <si>
    <t>CB VS 107</t>
  </si>
  <si>
    <t>ABN CB VS 107 PEUGEOT 301 DCM</t>
  </si>
  <si>
    <t>CB VS 108</t>
  </si>
  <si>
    <t>ABN CB VS 108 PEUGEOT 301 DET EDOUKOU</t>
  </si>
  <si>
    <t>CB VS 109</t>
  </si>
  <si>
    <t>ABN CB VS 109 PEUGEOT 301 DGE BORIS</t>
  </si>
  <si>
    <t>SGCI VS 101</t>
  </si>
  <si>
    <t>ABN CB VS 101 PEUGEOT BOXER SGCI DT</t>
  </si>
  <si>
    <t>VS 113/114</t>
  </si>
  <si>
    <t>ABN CB VS 113/114 CITROEN C5-2023 DFA/CF</t>
  </si>
  <si>
    <t>VS 115</t>
  </si>
  <si>
    <t>ABN CB VS 115 SANTAFE POUR DT</t>
  </si>
  <si>
    <t>CB VS 118</t>
  </si>
  <si>
    <t>ABN CB ALIOS VS 118 DIRSUR</t>
  </si>
  <si>
    <t>ABN VS 120</t>
  </si>
  <si>
    <t>ABN CB VS 120 NISSAN PRADO DG ALIOS</t>
  </si>
  <si>
    <t>CR 1223-1224</t>
  </si>
  <si>
    <t xml:space="preserve">ABN CB ALIOS CR 1223-1224 FRUEHAUF </t>
  </si>
  <si>
    <t>CR 1225-1228</t>
  </si>
  <si>
    <t xml:space="preserve">ABN CB ALIOS CR 1225-1228 FRUEHAUF </t>
  </si>
  <si>
    <t>CR 1229-1232</t>
  </si>
  <si>
    <t xml:space="preserve">ABN CB ALIOS CR 1229-1232 FRUEHAUF </t>
  </si>
  <si>
    <t>CR 1233-1234</t>
  </si>
  <si>
    <t xml:space="preserve">ABN CB ALIOS CR 1233-1234 FRUEHAUF </t>
  </si>
  <si>
    <t>VS 122</t>
  </si>
  <si>
    <t>ABN CB ALIOS VS 122 FORD EXPLORER DRH</t>
  </si>
  <si>
    <t>VS 123</t>
  </si>
  <si>
    <t>ABN CB ALIOS VS 123 MAZDA CX5 POUR CHEF ATELIER</t>
  </si>
  <si>
    <t>VS 124</t>
  </si>
  <si>
    <t>ABN CB ALIOS VS 124 HYUNDAI TUCSON POUR RESPONSABLE FDI</t>
  </si>
  <si>
    <t>VS 125</t>
  </si>
  <si>
    <t>ABN CB ALIOS VS 125 FOURGON PEUGEOT POUR DET</t>
  </si>
  <si>
    <t>VS 126</t>
  </si>
  <si>
    <t>ABN CB ALIOS VS 126 NISSAN X-TERA POUR DCM</t>
  </si>
  <si>
    <t>CR 1235-1236-1239</t>
  </si>
  <si>
    <t>ABN CB ALIOS CR 1235-1236-1239 TRACTEUR JAC</t>
  </si>
  <si>
    <t>CR 1237-1238-1240</t>
  </si>
  <si>
    <t>ABN CB ALIOS CR 1237-1238-1240 TRACTEUR JAC</t>
  </si>
  <si>
    <t>CR 1241-1244</t>
  </si>
  <si>
    <t>ABN CB ALIOS CR 1241-1244 TRACTEUR JAC</t>
  </si>
  <si>
    <t>ABN CR 1022-1024</t>
  </si>
  <si>
    <t>NSIALEASING</t>
  </si>
  <si>
    <t xml:space="preserve">ABN CB NSIA CR 1022 - 1023 -1024 </t>
  </si>
  <si>
    <t>ABN CR 1025</t>
  </si>
  <si>
    <t>ABN CB NSIA CR 1025 TRACTEUR</t>
  </si>
  <si>
    <t>25FCR000698</t>
  </si>
  <si>
    <t>25AV0031</t>
  </si>
  <si>
    <t>K H ASSUREURS- CONSEILS/RISTOURNE ASSURANCE FLOTTE AUTOMOBILE AV N°44</t>
  </si>
  <si>
    <t>25FCR000699</t>
  </si>
  <si>
    <t>25FA0406</t>
  </si>
  <si>
    <t>K H ASSUREURS- CONSEILS/FLOTTE AUTO CR1193 ET CR1239 AV N°45</t>
  </si>
  <si>
    <t>25FCR000828</t>
  </si>
  <si>
    <t>ALLIANCESERVIVESA</t>
  </si>
  <si>
    <t>A.S.A-TRANSPORT DE BOUAKE A BOBO</t>
  </si>
  <si>
    <t>25FCR000829</t>
  </si>
  <si>
    <t>TRANSPOUATTARABAL</t>
  </si>
  <si>
    <t>Transporteur  Ouattara Bala-TRANSPORT DE BOUAKE A BOBO</t>
  </si>
  <si>
    <t>25FCR000830</t>
  </si>
  <si>
    <t>25FCR000831</t>
  </si>
  <si>
    <t>25FCR000602</t>
  </si>
  <si>
    <t>25FA0586</t>
  </si>
  <si>
    <t>K H ASSUREURS- CONSEILS/ASSURANCE MALADIE AV N°84</t>
  </si>
  <si>
    <t>25FCR000603</t>
  </si>
  <si>
    <t>25FA0587</t>
  </si>
  <si>
    <t>K H ASSUREURS- CONSEILS/ASSURANCE MALADIE AV N°85</t>
  </si>
  <si>
    <t>25FCR000604</t>
  </si>
  <si>
    <t>25FA0588</t>
  </si>
  <si>
    <t>K H ASSUREURS- CONSEILS/ASSURANCE MALADIE AV N°86</t>
  </si>
  <si>
    <t>25FCR000700</t>
  </si>
  <si>
    <t>25FA0445</t>
  </si>
  <si>
    <t>K H ASSUREURS- CONSEILS/CHANGEMENT D'IMMATRICULATION</t>
  </si>
  <si>
    <t>25FCR000701</t>
  </si>
  <si>
    <t>25FA0449</t>
  </si>
  <si>
    <t>25FCR000773</t>
  </si>
  <si>
    <t>LAROCHERE</t>
  </si>
  <si>
    <t>LA ROCHERE LOGISTIQUE-LIVRAISON DE CONTENEUR D'ABIDJAN A BOUAKE</t>
  </si>
  <si>
    <t>25FCR000774</t>
  </si>
  <si>
    <t>25FCR000775</t>
  </si>
  <si>
    <t>25FCR000776</t>
  </si>
  <si>
    <t>25FCR000810</t>
  </si>
  <si>
    <t>ATELIER TOPOGRAH KOTOKOU-RATTACHEMENT+RELEVE D'ETAT DES LIEUX+TRAITEM</t>
  </si>
  <si>
    <t>25FCR000594</t>
  </si>
  <si>
    <t>FCVT-244906</t>
  </si>
  <si>
    <t>TRANSIT GENERAL RAPIDE-DETENTION</t>
  </si>
  <si>
    <t>25FCR000595</t>
  </si>
  <si>
    <t>FCVT-244907</t>
  </si>
  <si>
    <t>25FCR000596</t>
  </si>
  <si>
    <t>FCVT-244950</t>
  </si>
  <si>
    <t>25FCR000597</t>
  </si>
  <si>
    <t>FCVT-245189</t>
  </si>
  <si>
    <t>25FCR000777</t>
  </si>
  <si>
    <t>TFMI25P0685</t>
  </si>
  <si>
    <t>TTS-DETENTION</t>
  </si>
  <si>
    <t>25FCR001152</t>
  </si>
  <si>
    <t>FC8058563/046998</t>
  </si>
  <si>
    <t>AFRICAUTO-CHA LITHIUM GREASE EP</t>
  </si>
  <si>
    <t>AFRICAUTO-CHA LITHIUM GREASE EP/2.924.675</t>
  </si>
  <si>
    <t>25FCR000702</t>
  </si>
  <si>
    <t>1700078569/080039</t>
  </si>
  <si>
    <t>TOTALENERGIES MKT CI-LOCATION FM COMMUNICATOR SEPT 2024</t>
  </si>
  <si>
    <t>25FCR000703</t>
  </si>
  <si>
    <t>1700078792/080014</t>
  </si>
  <si>
    <t>TOTALENERGIES MKT CI-LOCATION FM COMMUNICATOR OCT 2024</t>
  </si>
  <si>
    <t>25FCR000704</t>
  </si>
  <si>
    <t>1700078813/080083</t>
  </si>
  <si>
    <t>TOTALENERGIES MKT CI-LOCATION MIX VISION IA OCT 2024</t>
  </si>
  <si>
    <t>25FCR000705</t>
  </si>
  <si>
    <t>1700078848/080049</t>
  </si>
  <si>
    <t>TOTALENERGIES MKT CI-LOCATION MIX VISION IA SEPT 2024</t>
  </si>
  <si>
    <t>25FCR000706</t>
  </si>
  <si>
    <t>1700078858/080025</t>
  </si>
  <si>
    <t>TOTALENERGIES MKT CI-LOCATION MIX VISION IA MIM SEPT 2024</t>
  </si>
  <si>
    <t>25FCR000707</t>
  </si>
  <si>
    <t>1700078867/080006</t>
  </si>
  <si>
    <t>TOTALENERGIES MKT CI-LOCATION MIX VISION 4000 SEPT 2024</t>
  </si>
  <si>
    <t>25FCR000708</t>
  </si>
  <si>
    <t>1900042567/080059</t>
  </si>
  <si>
    <t>TOTALENERGIES MKT CI-AVOIR/LOCATION MIX VISION IA MIM SEPT 2024</t>
  </si>
  <si>
    <t>25FCR000511</t>
  </si>
  <si>
    <t>TFGR25P0177</t>
  </si>
  <si>
    <t>25FCR000512</t>
  </si>
  <si>
    <t>TFGR25P0190</t>
  </si>
  <si>
    <t>25FCR005123</t>
  </si>
  <si>
    <t>IDIS-CASSES</t>
  </si>
  <si>
    <t>25FCR000522</t>
  </si>
  <si>
    <t>25FCR000523</t>
  </si>
  <si>
    <t>25FCR000524</t>
  </si>
  <si>
    <t>25FCR000736</t>
  </si>
  <si>
    <t>25FCR000737</t>
  </si>
  <si>
    <t>25FCR000743</t>
  </si>
  <si>
    <t>25FCR000822</t>
  </si>
  <si>
    <t>4031750573/083773</t>
  </si>
  <si>
    <t>TOTALENERGIES MKT CI-GASOIL LIVRE LE 14/02/2024</t>
  </si>
  <si>
    <t>25FCR000832</t>
  </si>
  <si>
    <t>SOTRATOURISME</t>
  </si>
  <si>
    <t>Sotra tourisme-TRANSPORT DU PERSONNEL MOIS DE FEVRIER</t>
  </si>
  <si>
    <t>25FCR000894</t>
  </si>
  <si>
    <t>FAU29203/003429</t>
  </si>
  <si>
    <t>KABALANE ET CIE S.A-ENTRETIEN ET REPARATION CHARIOT MANUTENT° SERVICE</t>
  </si>
  <si>
    <t>25FCR000827</t>
  </si>
  <si>
    <t>SOCOP COTE D'IVOIRE-TRANSPORT FRET CONTENEURS</t>
  </si>
  <si>
    <t>25FCR000833</t>
  </si>
  <si>
    <t>SB31</t>
  </si>
  <si>
    <t>Guess House LCR BKE (sanogo bassoumassi)-LOYER JULIE MOIS DE MARS</t>
  </si>
  <si>
    <t>25FCR000835</t>
  </si>
  <si>
    <t>EBCO</t>
  </si>
  <si>
    <t>ETABLISSEMENT BERTIN ET COMPAGNIE (EBCO)-RAMASSAGE D'ORDURES FEV</t>
  </si>
  <si>
    <t>25FCR000836</t>
  </si>
  <si>
    <t>ETHICS-EXPERTISE BDA</t>
  </si>
  <si>
    <t>25FCR000838</t>
  </si>
  <si>
    <t>SCPA SAKHO-YAPOBI-FOFANA/AFFAIRE TSK COTE D'IVOIRE</t>
  </si>
  <si>
    <t>25FCR000839</t>
  </si>
  <si>
    <t>2503011/003464</t>
  </si>
  <si>
    <t>VIGASSISTANCE-ASSISTANCE UN GARAGE SIS A MARCORY MOIS DE MARS</t>
  </si>
  <si>
    <t>25FCR000840</t>
  </si>
  <si>
    <t>VIGASSISTANCE-ASSISTANCE VILLA AMD MOIS DE MARS</t>
  </si>
  <si>
    <t>ANNEMARIEDELSUC</t>
  </si>
  <si>
    <t>25FCR000841</t>
  </si>
  <si>
    <t>VIGASSISTANCE-ASSISTANCE VILLA GRAVIERE MOIS DE MARS</t>
  </si>
  <si>
    <t>25FCR000842</t>
  </si>
  <si>
    <t>2503014/003467</t>
  </si>
  <si>
    <t>VIGASSISTANCE-ASSISTANCE VIGILE JOUR ET NUIT SAN-PEDRO MOIS DE MARS</t>
  </si>
  <si>
    <t>25FCR000843</t>
  </si>
  <si>
    <t>2503015/003468</t>
  </si>
  <si>
    <t>VIGASSISTANCE-ASSISTANCE VIGILE JOUR ET NUIT BOUAKE MOIS DE MARS</t>
  </si>
  <si>
    <t>25FCR000844</t>
  </si>
  <si>
    <t>2503016/003469</t>
  </si>
  <si>
    <t>VIGASSISTANCE-ASSISTANCE VIGILE JOUR ET NUIT YAKRO MOIS DE MARS</t>
  </si>
  <si>
    <t>25FCR000834</t>
  </si>
  <si>
    <t>AB SOFT WORK-ASSISTANCE INFORMATQ MOIS DE MARS</t>
  </si>
  <si>
    <t>25FCR000837</t>
  </si>
  <si>
    <t>ETAN2025/846/7326</t>
  </si>
  <si>
    <t>P.A.A-CARTE D'ACCES+MACARON ANNEE 2025</t>
  </si>
  <si>
    <t>25FCR000859</t>
  </si>
  <si>
    <t>TFMI25P0712</t>
  </si>
  <si>
    <t>25FCR000860</t>
  </si>
  <si>
    <t>TFGR25P0257</t>
  </si>
  <si>
    <t>25FCR000846</t>
  </si>
  <si>
    <t>GTCI-DETENTION</t>
  </si>
  <si>
    <t>25FCR000847</t>
  </si>
  <si>
    <t>25FCR000848</t>
  </si>
  <si>
    <t>25FCR000849</t>
  </si>
  <si>
    <t>25FCR000815</t>
  </si>
  <si>
    <t>C I E/GUESS DU 04/12/2024 AU 04/02/2025</t>
  </si>
  <si>
    <t>25FCR000816</t>
  </si>
  <si>
    <t>C I E/OD DU 04/12/2024 AU 04/02/2025</t>
  </si>
  <si>
    <t>25FCR000817</t>
  </si>
  <si>
    <t>C I E/BD DU 04/12/2024 AU 04/02/2025</t>
  </si>
  <si>
    <t>25FCR000818</t>
  </si>
  <si>
    <t>C I E/SAN-PEDRO DU 04/12/2024 AU 04/02/2025</t>
  </si>
  <si>
    <t>25FCR000819</t>
  </si>
  <si>
    <t>C I E/EX-ATELIERS JANVIER 25</t>
  </si>
  <si>
    <t>25FCR000820</t>
  </si>
  <si>
    <t>C I E/BOUAKE JANVIER 25</t>
  </si>
  <si>
    <t>25FCR000821</t>
  </si>
  <si>
    <t>SODECI/OCT,NOV ET DEC 2024</t>
  </si>
  <si>
    <t>25FCR000850</t>
  </si>
  <si>
    <t xml:space="preserve">FARAH JOSEPH SARL-TRANSPORT FRET CONTENEURS </t>
  </si>
  <si>
    <t>25FCR000858</t>
  </si>
  <si>
    <t>F003458/193419</t>
  </si>
  <si>
    <t>PROSUMA-ESSUIE TOUT+JAVEL+SAVON+SAC POUBELLE</t>
  </si>
  <si>
    <t>25FCR000861</t>
  </si>
  <si>
    <t>TFGR25P0286</t>
  </si>
  <si>
    <t>25FCR000862</t>
  </si>
  <si>
    <t>FA2500418/008473</t>
  </si>
  <si>
    <t>CADERAC-TONNES DE CONCASSES</t>
  </si>
  <si>
    <t>25FCR000863</t>
  </si>
  <si>
    <t>GREY SEARCH AFRICA-PRESTATION DE RESSOURCES HUMAINES</t>
  </si>
  <si>
    <t>25FCR000864</t>
  </si>
  <si>
    <t>86368/005974</t>
  </si>
  <si>
    <t>LASSIRE DECHETS SERVICE-RAMASSAGE D'ORDURES AERIA MOIS DE FEVRIER</t>
  </si>
  <si>
    <t>25FCR000865</t>
  </si>
  <si>
    <t>86369/005975</t>
  </si>
  <si>
    <t>LASSIRE DECHETS SERVICE-RAMASSAGE D'ORDURES HINO MOIS DE FEVRIER</t>
  </si>
  <si>
    <t>25FCR000867</t>
  </si>
  <si>
    <t>NANGO SIDIKI-VIDANGE FOSSE SCEPTIQUE</t>
  </si>
  <si>
    <t>25FCR000868</t>
  </si>
  <si>
    <t>25FCR000921</t>
  </si>
  <si>
    <t>SODECI/EX-ATELIERS MOIS DE JANVIER</t>
  </si>
  <si>
    <t>25FCR000922</t>
  </si>
  <si>
    <t>SODECI/GUESS SEPT,OCTOBRE ET NOVEMBRE 2024</t>
  </si>
  <si>
    <t>25FCR000923</t>
  </si>
  <si>
    <t>SODECI/BD SEPT,OCTOBRE ET NOVEMBRE 2024</t>
  </si>
  <si>
    <t>25FCR000924</t>
  </si>
  <si>
    <t>SODECI/OD SEPT,OCTOBRE ET NOVEMBRE 2024</t>
  </si>
  <si>
    <t>25FCR000940</t>
  </si>
  <si>
    <t>FINV-080302496291</t>
  </si>
  <si>
    <t>M T N  COTE D`IVOIRE-FRAIS DE TELECOMMUNICATION MOIS DE FEVRIER</t>
  </si>
  <si>
    <t>25FCR000941</t>
  </si>
  <si>
    <t>FINV-080302498664</t>
  </si>
  <si>
    <t>25FCR000942</t>
  </si>
  <si>
    <t>202503A000020401</t>
  </si>
  <si>
    <t>ORANGE MOBILE-FIXE MOIS DE FEVRIER</t>
  </si>
  <si>
    <t>25FCR000943</t>
  </si>
  <si>
    <t>ORANGE MOBILE-FITH+WIMAX MOIS DE MARS</t>
  </si>
  <si>
    <t>25FCR000944</t>
  </si>
  <si>
    <t>ORANGE MOBILE-LSI MOIS DE MARS</t>
  </si>
  <si>
    <t>25FCR000945</t>
  </si>
  <si>
    <t>ORANGE MOBILE-FLOTTE PREPAYEE MOIS DE FEVRIER</t>
  </si>
  <si>
    <t>25FCR000946</t>
  </si>
  <si>
    <t>ORANGE MOBILE-INTERNET MOIS DE FEVRIER</t>
  </si>
  <si>
    <t>25FCR000947</t>
  </si>
  <si>
    <t>ORANGE MOBILE-PSTPAYEE MOIS DE FEVRIER</t>
  </si>
  <si>
    <t>25FCR000931</t>
  </si>
  <si>
    <t>FALCON SECURITY-ABONNEMENT GEOLOCALISATION JAUGES MOIS DE FEVRIER</t>
  </si>
  <si>
    <t>25FCR000932</t>
  </si>
  <si>
    <t>FALCON SECURITY-ABONNEMENT GEOLOCALISATION FERKE MOIS DE FEVRIER</t>
  </si>
  <si>
    <t>25FCR000933</t>
  </si>
  <si>
    <t>FALCON SECURITY-ABONNEMENT GEOLOCALISAT° VOITURES DE SERV MOIS DE FEV</t>
  </si>
  <si>
    <t>25FCR000934</t>
  </si>
  <si>
    <t>FALCON SECURITY-ABONNEMENT GEOLOCALISAT° CADENA LOCK MOIS DE FEV</t>
  </si>
  <si>
    <t>25FCR000935</t>
  </si>
  <si>
    <t>FALCON SECURITY-ABONNEMENT GEOLOCALISAT° BALISE GPS AVEC  MOIS DE FEV</t>
  </si>
  <si>
    <t>25FCR000936</t>
  </si>
  <si>
    <t>FALCON SECURITY-ABONNEMENT GEOLOCALISAT° MOTOS COURSIERS MOIS DE FEV</t>
  </si>
  <si>
    <t>25FCR000938</t>
  </si>
  <si>
    <t>PHYTO CENTER-TRAITEMENT MENSUEL DE DERATISATION MARCORY MOIS DE MARS</t>
  </si>
  <si>
    <t>25FCR000939</t>
  </si>
  <si>
    <t>PHYTO CENTER-TRAITEMENT MENSUEL DE DERATISATION HINO MOIS DE FEV</t>
  </si>
  <si>
    <t>25FCR000926</t>
  </si>
  <si>
    <t>FCVT-245883</t>
  </si>
  <si>
    <t>25FCR000927</t>
  </si>
  <si>
    <t>FCVT-245884</t>
  </si>
  <si>
    <t>25FCR000928</t>
  </si>
  <si>
    <t>FCVT-245886</t>
  </si>
  <si>
    <t>25FCR000929</t>
  </si>
  <si>
    <t>FCVT-245887</t>
  </si>
  <si>
    <t>25FCR000937</t>
  </si>
  <si>
    <t xml:space="preserve">PHYTO CENTER-TRAITEMENT DE DERATISATION VOLTAIRE MOIS DE FEVRIER </t>
  </si>
  <si>
    <t>PHYTO CENTER-TRAITEMENT DE DERATISATION SITE MARCORY EX ATELIERS MARS</t>
  </si>
  <si>
    <t>25FCR000925</t>
  </si>
  <si>
    <t>FER</t>
  </si>
  <si>
    <t>FONDS D'ENTRETIEN ROUTIER (FER)-RECHARGEMENT DE COMPTE DE VALEUR</t>
  </si>
  <si>
    <t>25FCR000948</t>
  </si>
  <si>
    <t>VRD-152-01/12168</t>
  </si>
  <si>
    <t>MAYELIA</t>
  </si>
  <si>
    <t>MAyelia (visite technique)-VISITE TECHNIQUE+VIGNETTE MOIS DE JANVIER</t>
  </si>
  <si>
    <t>25FCR000949</t>
  </si>
  <si>
    <t>FVE0380182/054050</t>
  </si>
  <si>
    <t>BERNABE-LAMPE TORCHE</t>
  </si>
  <si>
    <t>25FCR000953</t>
  </si>
  <si>
    <t>TOTALENERGIES MKT CI-BUTANE CHARGE</t>
  </si>
  <si>
    <t>25FCR000954</t>
  </si>
  <si>
    <t>FA25/137520</t>
  </si>
  <si>
    <t>TOTALENERGIES MKT CI-PRODUITS ET SERVICES CONSOMMES MOIS DE FEVRIER</t>
  </si>
  <si>
    <t>25FCR000952</t>
  </si>
  <si>
    <t>4031752161/85384</t>
  </si>
  <si>
    <t>TOTALENERGIES MKT CI-GASOIL LIVRE LE 01/03/2025</t>
  </si>
  <si>
    <t>25FCR000930</t>
  </si>
  <si>
    <t>FCVT-246410</t>
  </si>
  <si>
    <t>25FCR001161</t>
  </si>
  <si>
    <t>SOCIDA-CALE DE ROUE</t>
  </si>
  <si>
    <t>25FCR000955</t>
  </si>
  <si>
    <t>103134/003696</t>
  </si>
  <si>
    <t>COCITAM-MAINTENANCE EXTINCTEURS</t>
  </si>
  <si>
    <t>25FCR000958</t>
  </si>
  <si>
    <t>A0780239</t>
  </si>
  <si>
    <t>Etat, Impôt foncier-IMPOT FONCIER BOUAKE ANNEE 2025</t>
  </si>
  <si>
    <t>25FCR000959</t>
  </si>
  <si>
    <t>A0780240</t>
  </si>
  <si>
    <t>25FCR000961</t>
  </si>
  <si>
    <t>CIREC25FC839/0033</t>
  </si>
  <si>
    <t>CFAO TECHNOLOGIES-FORFAIT COPIE FACTUREE MOIS DE FEVRIER</t>
  </si>
  <si>
    <t>25FCR001157</t>
  </si>
  <si>
    <t>FT152289</t>
  </si>
  <si>
    <t xml:space="preserve">SIDECI-RIVET DE 5 POUR VESTIAIRE CHAUFFEUR </t>
  </si>
  <si>
    <t>25FCR000960</t>
  </si>
  <si>
    <t>A1774352</t>
  </si>
  <si>
    <t>Etat, Impôt foncier-IMPOT FONCIER AERIA 1 ANNEE 2025</t>
  </si>
  <si>
    <t>25FCR000962</t>
  </si>
  <si>
    <t>ETUDE DE MAITRE TAPE LIKPIA GHISLAINE-OUVERTURE DE CREDIT BDA</t>
  </si>
  <si>
    <t>25FCR000964</t>
  </si>
  <si>
    <t>PACOCI-MISE A TERRE DU 26/01/2025 AU 25/02/2025</t>
  </si>
  <si>
    <t>25FCR000965</t>
  </si>
  <si>
    <t>25FCR000966</t>
  </si>
  <si>
    <t>25FCR001063</t>
  </si>
  <si>
    <t>25FA0755</t>
  </si>
  <si>
    <t>K H ASSUREURS- CONSEILS/SSURANCE FLOTTE AV N°1</t>
  </si>
  <si>
    <t>25FCR001064</t>
  </si>
  <si>
    <t>25FA0765</t>
  </si>
  <si>
    <t>K H ASSUREURS- CONSEILS/SSURANCE FLOTTE AV N°3 MT017</t>
  </si>
  <si>
    <t>25FCR001065</t>
  </si>
  <si>
    <t>25FA0845</t>
  </si>
  <si>
    <t>K H ASSUREURS- CONSEILS/SSURANCE FLOTTE AV N°071245 A 1248</t>
  </si>
  <si>
    <t>25FCR001066</t>
  </si>
  <si>
    <t>25FA0846</t>
  </si>
  <si>
    <t>K H ASSUREURS- CONSEILS/SSURANCE FLOTTE AV N°667</t>
  </si>
  <si>
    <t>25FCR001067</t>
  </si>
  <si>
    <t>25FA0849</t>
  </si>
  <si>
    <t>K H ASSUREURS- CONSEILS/SSURANCE FLOTTE AV N°2 MT14-16</t>
  </si>
  <si>
    <t>25FCR001068</t>
  </si>
  <si>
    <t>25FA0852</t>
  </si>
  <si>
    <t>K H ASSUREURS- CONSEILS/SSURANCE FLOTTE AV N°8 CR1249-1250</t>
  </si>
  <si>
    <t>25FCR001069</t>
  </si>
  <si>
    <t>25FA0967</t>
  </si>
  <si>
    <t>K H ASSUREURS- CONSEILS/SSURANCE FLOTTE</t>
  </si>
  <si>
    <t>25FCR001070</t>
  </si>
  <si>
    <t>25FA0885</t>
  </si>
  <si>
    <t>K H ASSUREURS- CONSEILS/SSURANCE FLOTTE AV N°6 IMMT FC ET FSB</t>
  </si>
  <si>
    <t>25FCR001072</t>
  </si>
  <si>
    <t>GLOBALHOLDING</t>
  </si>
  <si>
    <t>GLOBAL HOLDING-TRANSPORT DE BOUAKE A BOBO</t>
  </si>
  <si>
    <t>25FCR001073</t>
  </si>
  <si>
    <t>25FCR001074</t>
  </si>
  <si>
    <t>25FCR001075</t>
  </si>
  <si>
    <t>25FCR001076</t>
  </si>
  <si>
    <t>FOURN LOYER ATELE ZEMENE-LOYER SAMAT 2E TRIMESTRE 2025</t>
  </si>
  <si>
    <t>25FCR001077</t>
  </si>
  <si>
    <t>SIGE-FORMATION CONTINUE EN SECURITE GRUE MOBILE</t>
  </si>
  <si>
    <t>25FCR001071</t>
  </si>
  <si>
    <t>25FA1322</t>
  </si>
  <si>
    <t>K H ASSUREURS- CONSEILS/SSURANCE FLOTTE AV N°12 CR1252</t>
  </si>
  <si>
    <t>25FCR001090</t>
  </si>
  <si>
    <t>25FCR001091</t>
  </si>
  <si>
    <t>25FCR001078</t>
  </si>
  <si>
    <t>FAC057289</t>
  </si>
  <si>
    <t>CONTINENTAL SHIPPING-MISE A TERRE</t>
  </si>
  <si>
    <t>25FCR001080</t>
  </si>
  <si>
    <t>TFMI25P0865</t>
  </si>
  <si>
    <t>25FCR001079</t>
  </si>
  <si>
    <t>TFGR25P0333</t>
  </si>
  <si>
    <t>25FCR001081</t>
  </si>
  <si>
    <t>TFMI25P0868</t>
  </si>
  <si>
    <t>25FCR001082</t>
  </si>
  <si>
    <t>FARAH JOSEPH SARL-TRANSPORT POUR FRET CONTENEUR</t>
  </si>
  <si>
    <t>25FCR001083</t>
  </si>
  <si>
    <t>INQ-INTERNET ACCESS FIBRE MOIS DE MARS</t>
  </si>
  <si>
    <t>25FCR001084</t>
  </si>
  <si>
    <t>SUD CONTRACTORS-REDEVANCE DE LA PLATEFORME MOIS MARS</t>
  </si>
  <si>
    <t>25FCR001086</t>
  </si>
  <si>
    <t>250314002/5296</t>
  </si>
  <si>
    <t>CHAMBRE DE COMMERCE ET D'INDUSTRIE-ACHAT DE STICKERS</t>
  </si>
  <si>
    <t>25FCR001088</t>
  </si>
  <si>
    <t>F0615991/013670</t>
  </si>
  <si>
    <t>PAPIGRAPH CI-RAMETTE+POCHE PLASTI</t>
  </si>
  <si>
    <t>A2676062</t>
  </si>
  <si>
    <t>PEtat, Impôt foncier-IMPOT FONCIER MARCORY ANCIEN SITE</t>
  </si>
  <si>
    <t>25FCR001092</t>
  </si>
  <si>
    <t>25FCR001093</t>
  </si>
  <si>
    <t>25FCR001085</t>
  </si>
  <si>
    <t>LA ROCHERE LOGISTIQUE-LIVRAISON DE CONTENEURS</t>
  </si>
  <si>
    <t>25FCR001096</t>
  </si>
  <si>
    <t>ABJR000434242</t>
  </si>
  <si>
    <t>D H L  INTERNATIONAL-TRANSPORT/PLIS</t>
  </si>
  <si>
    <t>25FCR001097</t>
  </si>
  <si>
    <t>ABJR000435811</t>
  </si>
  <si>
    <t>25FCR001105</t>
  </si>
  <si>
    <t>PHYTO CENTER-TRAITEMENT DE DERATISATION SITE HINO MOIS DE MARS</t>
  </si>
  <si>
    <t>25FCR001094</t>
  </si>
  <si>
    <t>4031753326/087103</t>
  </si>
  <si>
    <t>TOTALENERGIES MKT CI-GASOIL LIVRE LE 08/03/2025</t>
  </si>
  <si>
    <t>25FCR001106</t>
  </si>
  <si>
    <t>NANGO SIDIKI-VIDANGE FOSSE SCEPTIQUE HINO</t>
  </si>
  <si>
    <t>25FCR001107</t>
  </si>
  <si>
    <t>25FCR001108</t>
  </si>
  <si>
    <t>NANGO SIDIKI-VIDANGE FOSSE SCEPTIQUE SITE HINO LE 14/02/25</t>
  </si>
  <si>
    <t>25FCR001109</t>
  </si>
  <si>
    <t>NANGO SIDIKI-VIDANGE FOSSE SCEPTIQUE SITE HINO LE 20/03/25</t>
  </si>
  <si>
    <t>25FCR001110</t>
  </si>
  <si>
    <t>NANGO SIDIKI-VIDANGE FOSSE SCEPTIQUE SITE AERIA LE 21/03/25</t>
  </si>
  <si>
    <t>25FCR001113</t>
  </si>
  <si>
    <t>103308/000230</t>
  </si>
  <si>
    <t>COCITAM-SYSTEME GEOLOCALISATION 8 BOITIERS MOIS DE MARS</t>
  </si>
  <si>
    <t>25FCR001112</t>
  </si>
  <si>
    <t>103271/000215</t>
  </si>
  <si>
    <t>COCITAM-REMISE EN ETAT DE LA BORNE DE GESTION SITE AERIA 1</t>
  </si>
  <si>
    <t>25FCR001120</t>
  </si>
  <si>
    <t>25FCR001121</t>
  </si>
  <si>
    <t>25FCR001111</t>
  </si>
  <si>
    <t>NANGO SIDIKI-FOSSE SCEPTIQUE CREUSEE SITE HINO LE 24/03/25</t>
  </si>
  <si>
    <t>25FCR001114</t>
  </si>
  <si>
    <t>FACTOR EXPRESS-COURSIERS A PLEIN TEMPS MOIS DE MARS</t>
  </si>
  <si>
    <t>25FCR001115</t>
  </si>
  <si>
    <t>ALIFAT TECHNOLOGIE SARL-TONER HP</t>
  </si>
  <si>
    <t>25FCR001116</t>
  </si>
  <si>
    <t>00417-2025</t>
  </si>
  <si>
    <t>FOURN LOYER LCI-LOYER RENARD 2E TRIMESTRE 25</t>
  </si>
  <si>
    <t>25FCR001118</t>
  </si>
  <si>
    <t>COMATEC</t>
  </si>
  <si>
    <t>COMATEC-LOCATION CHARIOT CLOG MOIS DE JANVIER</t>
  </si>
  <si>
    <t>25FCR001119</t>
  </si>
  <si>
    <t>COMATEC-LOCATION CHARIOT CLOG MOIS DE FEVRIER</t>
  </si>
  <si>
    <t>25FCR001122</t>
  </si>
  <si>
    <t>25FA0891</t>
  </si>
  <si>
    <t>K H ASSUREURS- CONSEILS/SSURANCE FLOTTE AV N°9 CR1251</t>
  </si>
  <si>
    <t>25FCR001325</t>
  </si>
  <si>
    <t>2025/13/00887</t>
  </si>
  <si>
    <t>25FCR001123</t>
  </si>
  <si>
    <t>FCVT-247343</t>
  </si>
  <si>
    <t>25FCR001164</t>
  </si>
  <si>
    <t>CEPEM-ENTRETIEN SPLIT DOMICILE BD ET AMD 1ER TRIMESTRE 25</t>
  </si>
  <si>
    <t>25FCR001165</t>
  </si>
  <si>
    <t>CEPEM-ENTRETIEN SPLIT DOMICILE SAMAT 1ER TRIMESTRE 25</t>
  </si>
  <si>
    <t>25FCR0001166</t>
  </si>
  <si>
    <t>0748142/43</t>
  </si>
  <si>
    <t>CEPEM-ENTRETIEN SPLIT AERIA 1 1ER TRIMESTRE 25</t>
  </si>
  <si>
    <t>25FCR001167</t>
  </si>
  <si>
    <t>CEPEM-FOURNITURE ET REMPLACEMENT DOM BD( MO15.000)</t>
  </si>
  <si>
    <t>25FCR001168</t>
  </si>
  <si>
    <t>CEPEM-ENTRETIEN SPLIT MARCORY VOLTAIRE 1ER TRIMESTRE</t>
  </si>
  <si>
    <t>25FCR001170</t>
  </si>
  <si>
    <t>TFGR25P0401</t>
  </si>
  <si>
    <t>25FCR001171</t>
  </si>
  <si>
    <t>TFGR25P0402</t>
  </si>
  <si>
    <t>25FCR001172</t>
  </si>
  <si>
    <t>TFGR25P0415</t>
  </si>
  <si>
    <t>25FCR001173</t>
  </si>
  <si>
    <t>TFMI25P1156</t>
  </si>
  <si>
    <t>25FCR001176</t>
  </si>
  <si>
    <t>Transporteur  Ouattara Bala-TRANSPORT DE BOUAKE A BAMAKO</t>
  </si>
  <si>
    <t>25FCR001177</t>
  </si>
  <si>
    <t>Transporteur  Ouattara Bala-TRANSPORT D'ABIDJAN A BOBO</t>
  </si>
  <si>
    <t>25FCR001178</t>
  </si>
  <si>
    <t>Transporteur  Ouattara Bala-TRANSPORT D'ABIDJAN A BAMAKO</t>
  </si>
  <si>
    <t>25FCR001179</t>
  </si>
  <si>
    <t>25FCR001180</t>
  </si>
  <si>
    <t>25FCR001181</t>
  </si>
  <si>
    <t>25FCR001174</t>
  </si>
  <si>
    <t>GLOBAL HOLDING-TRANSPORT DE BOUAKE A BAMAKO</t>
  </si>
  <si>
    <t>24FCR005057</t>
  </si>
  <si>
    <t>001/2025</t>
  </si>
  <si>
    <t>SCI BINAO-LOYER SITE MARCORY VOLTAIRE 1ER TRIMESTRE 25</t>
  </si>
  <si>
    <t>AFFAC</t>
  </si>
  <si>
    <t>FAB2500347</t>
  </si>
  <si>
    <t>TOTAL CI/BORDEREAU DE REMISE 179/FAB2500347</t>
  </si>
  <si>
    <t>FAB2500620</t>
  </si>
  <si>
    <t>TOTAL CI/BORDEREAU DE REMISE 182/FAB2500620</t>
  </si>
  <si>
    <t>FAB2500701</t>
  </si>
  <si>
    <t>TOTAL CI/BORDEREAU DE REMISE 183/FAB2500701</t>
  </si>
  <si>
    <t>FAB2500710</t>
  </si>
  <si>
    <t>TOTAL CI/BORDEREAU DE REMISE 183/FAB2500710</t>
  </si>
  <si>
    <t>FAB2500711</t>
  </si>
  <si>
    <t>TOTAL CI/BORDEREAU DE REMISE 183/FAB2500711</t>
  </si>
  <si>
    <t>FYK2500002</t>
  </si>
  <si>
    <t>TOTAL CI/BORDEREAU DE REMISE 179/FYK2500002</t>
  </si>
  <si>
    <t>FYK2500006</t>
  </si>
  <si>
    <t>TOTAL CI/BORDEREAU DE REMISE 182/FYK2500006</t>
  </si>
  <si>
    <t>BAN01</t>
  </si>
  <si>
    <t xml:space="preserve">VIREMENT PATENTE TRANSPORT DGE </t>
  </si>
  <si>
    <t>VIREMENT PACOCI</t>
  </si>
  <si>
    <t>VIREMENT GEDIMAT</t>
  </si>
  <si>
    <t>VIREMENT A.S.A</t>
  </si>
  <si>
    <t>STOA</t>
  </si>
  <si>
    <t>VIREMENT Société de Transport Ouest Africain</t>
  </si>
  <si>
    <t>VIREMENT LA RESIDENCE</t>
  </si>
  <si>
    <t xml:space="preserve">VIREMENT EFFECTUE COMPTE BBG/ APPRO  </t>
  </si>
  <si>
    <t>REM TRAITE 0064379 SONOCO FROID</t>
  </si>
  <si>
    <t>VIREMENT RECU NESTLE</t>
  </si>
  <si>
    <t>REM CHQ 4180460 TRANSIT CENTER</t>
  </si>
  <si>
    <t>VIREMENT RECU SOCIETE DES MINES D'ITY</t>
  </si>
  <si>
    <t>VIREMENT  NESTLE TRSFERE A CLOG</t>
  </si>
  <si>
    <t>VIREMENTNESTLE TRSFERE A CLOG</t>
  </si>
  <si>
    <t>REM CHQ 4180366 TRANSIT CENTER</t>
  </si>
  <si>
    <t>VIREMENT EFFECTUE  DELOITTE</t>
  </si>
  <si>
    <t>VIREMENT EFFECTUE GC POUR APPRO SGCI GC</t>
  </si>
  <si>
    <t xml:space="preserve">VIREMENT AFFACTURAGE </t>
  </si>
  <si>
    <t xml:space="preserve"> ECHEANCE PRÊT COM ECHANCE 033/060</t>
  </si>
  <si>
    <t>MITSUBISHI L200 DC 4*4 GL 2.5 DID M/T 31534 ECH 032</t>
  </si>
  <si>
    <t>PRELEVEMENT CB SGCI CB 31528 - JAC FRISSON PICK UP 4*4</t>
  </si>
  <si>
    <t>CITROEN C5 AIRCROSS FEEL 1,6L CB 31505 ECH 031</t>
  </si>
  <si>
    <t xml:space="preserve"> PRELEVEMENT CB SGCI CB 31525 - PEUGEOT 301 ACTIVE 4P</t>
  </si>
  <si>
    <t>PRELEVEMENT CB SGCI CB 31809</t>
  </si>
  <si>
    <t>MADZA CX30 2,0 L SKYACTIVE CB 31508 ECH 02</t>
  </si>
  <si>
    <t>VIREMENT TOTALENERGIES MKT CI</t>
  </si>
  <si>
    <t>VIREMENT RECU SUCRERIE D'AFRIQUE-CÔTE D'IVOIRE</t>
  </si>
  <si>
    <t>VIR ETAT TVA DUE JANV 25</t>
  </si>
  <si>
    <t>VIREMENT PETRO-SEA LOGISTICS</t>
  </si>
  <si>
    <t>VIREMENT PR APPRO GROUPE CENTAURE SASU</t>
  </si>
  <si>
    <t>VIREMENT PR APPRO CENTAURES LOGISTIQUE</t>
  </si>
  <si>
    <t>VIREMENT MANUTENTION SERVICES CÔTE D'IVOIRE</t>
  </si>
  <si>
    <t>VIREMENT POUR APPRO LCR BDA</t>
  </si>
  <si>
    <t>VIREMENT IMPOT FONCIER</t>
  </si>
  <si>
    <t>VIREMENT RECU TRACTAFRIC MOTORS COTE D'IVOIRE</t>
  </si>
  <si>
    <t>CHQ 9155459 SCPA SAKHO-YAPOBI-FOFANA</t>
  </si>
  <si>
    <t>CHQ 9155460 Fonds d'Entretien Routier (FER)</t>
  </si>
  <si>
    <t xml:space="preserve">CHQ 9155461 DEPOSIT PR PESAGE </t>
  </si>
  <si>
    <t>SALAIRE LCR MOIS DE MARS 2025</t>
  </si>
  <si>
    <t>AGIOS MOIS DE MARS 25</t>
  </si>
  <si>
    <t>BAN04</t>
  </si>
  <si>
    <t>PLAN EPARGNE ENTREPRISE PRÊT/150 MILLIONS NSIA</t>
  </si>
  <si>
    <t>CHQ 9997605 LA ROCHERE LOGISTIQUE</t>
  </si>
  <si>
    <t>SYNERGIETRANSP</t>
  </si>
  <si>
    <t>CHQ 9997606 Synergie Transport et logistique</t>
  </si>
  <si>
    <t>CHQ 9997607 SOA SN</t>
  </si>
  <si>
    <t>CHQ 9997608 CODIVAL</t>
  </si>
  <si>
    <t>CHQ 9997609 ABIDJAN HYDRAULIQUE</t>
  </si>
  <si>
    <t>CHQ 9997610 CONTINENTAL SHIPPING</t>
  </si>
  <si>
    <t>CHQ 9997611 CAFSI</t>
  </si>
  <si>
    <t>CHQ 9997612 D H L  INTERNATIONAL</t>
  </si>
  <si>
    <t>CHQ 9995165 OUATTRA SERIBA FEV 25</t>
  </si>
  <si>
    <t>CHQ 9995167 RECEVEUR DE L'ENGISTREMENT ET DU TIMBRE</t>
  </si>
  <si>
    <t xml:space="preserve">CHQ 9995166 HOPITAL BAPTISTE </t>
  </si>
  <si>
    <t>CHQ 9995168 OFFICE IVOIRIEN DES CHARGEURS</t>
  </si>
  <si>
    <t>COTISATION APRIL AMD 1T 25/ OD 4T 2024</t>
  </si>
  <si>
    <t>COTISATION APRIL BD  AMD 4T 2024</t>
  </si>
  <si>
    <t>COTISATION APRIL BD AMD 4T 2024</t>
  </si>
  <si>
    <t>CHQ 9997613 PAPIGRAPH CI</t>
  </si>
  <si>
    <t>REM CHQ 3316319 COMPAGNIE CACAOYERE DU BANDAMA</t>
  </si>
  <si>
    <t xml:space="preserve">FRAIS BANCAIRES </t>
  </si>
  <si>
    <t xml:space="preserve"> EFFET ALIOS FINANCES CI N°18/36 FRUEHAUF CI23B11020</t>
  </si>
  <si>
    <t xml:space="preserve"> EFFET ALIOS FINANCES CI N°18/36 FRUEHAUF CI23B11010</t>
  </si>
  <si>
    <t>EFFET ALIOS FINANCES CI N°18/36 FRUEHAUF CI23B11040</t>
  </si>
  <si>
    <t>EFFET ALIOS FINANCES CI N°18/36 TUCSON CI24B00740</t>
  </si>
  <si>
    <t>EFFET ALIOS FINANCES CI N°0/36 EXPLORER NEW ECO CI24B00200</t>
  </si>
  <si>
    <t>PRELEVEMENT ALIOS CI24B00770 003</t>
  </si>
  <si>
    <t>EFFET ALIOS FINANCES CI N°18/36 MADZA CI24B00750</t>
  </si>
  <si>
    <t>EFFET ALIOS FINANCES CI N°7/36 - HYUNDAI SANTAFE DIRSUR VS</t>
  </si>
  <si>
    <t>EFFET ALIOS FINANCES CI N°06/36 TOYOTA PRADO DG</t>
  </si>
  <si>
    <t>EFFET ALIOS FINANCES CI N°002 CI24B05790</t>
  </si>
  <si>
    <t>EFFET ALIOS FINANCES CI N°11/36 - HYUNDAI SANTA FE  VS115</t>
  </si>
  <si>
    <t>PRELEVEMENT ALIOS CI24B00760 003</t>
  </si>
  <si>
    <t>EFFET ALIOS FINANCES CI N°10/36 - CITROEN C5  VS113 -114</t>
  </si>
  <si>
    <t>PRELEVEMENT ALIOS CI24B05780</t>
  </si>
  <si>
    <t>CHQ 9997614 SODECI</t>
  </si>
  <si>
    <t>CHQ 9997615 SODECI</t>
  </si>
  <si>
    <t>CHQ 9997616 SODECI</t>
  </si>
  <si>
    <t>FRAIS FORCAGE</t>
  </si>
  <si>
    <t>VIREMENT RECU VINCI ENERGIES</t>
  </si>
  <si>
    <t>FRAIS DE TENUE DE COMPTE</t>
  </si>
  <si>
    <t>VIREMENT RECU BAYER WEST CENTRAL AFRICA SA</t>
  </si>
  <si>
    <t>BAN05</t>
  </si>
  <si>
    <t>KABALANE ET CIE S.A/CHEQUE A ECHEANCE DU 31/01/25</t>
  </si>
  <si>
    <t>KABALANE ET CIE S.A/CHEQUE A ECHEANCE DU 28/02/25</t>
  </si>
  <si>
    <t>KABALANE ET CIE S.A/CHEQUE A ECHEANCE DU 31/03/25</t>
  </si>
  <si>
    <t>CHQ 6686132 LASSIRE DECHETS SERVICE</t>
  </si>
  <si>
    <t>CHQ 6686133 T H A C</t>
  </si>
  <si>
    <t>CHQ 6686134 CEPEM</t>
  </si>
  <si>
    <t>CHQ 6686135 FACTOR EXPRESS</t>
  </si>
  <si>
    <t>CHQ 6686136 AJ ENTREPRISE</t>
  </si>
  <si>
    <t>Annulation CHQ 6686132 LASSIRE DECHETS SERVICE</t>
  </si>
  <si>
    <t>REM CHQ 0002222 SOLIBRA</t>
  </si>
  <si>
    <t>CHQ 6686131 LASSIRE DECHETS SERVICE</t>
  </si>
  <si>
    <t>REM CHQ 0002262 SOLIBRA</t>
  </si>
  <si>
    <t>VIREMENT POUR APPRO WAVE</t>
  </si>
  <si>
    <t>SABERITRANSIT</t>
  </si>
  <si>
    <t>VIREMENT Saberi-Transit</t>
  </si>
  <si>
    <t>CHQ 6686137 OFFICE IVOIRIEN DES CHARGEURS</t>
  </si>
  <si>
    <t>CHQ 6686138 SNH SYSTEM</t>
  </si>
  <si>
    <t>CHQ 6686139 PROSUMA</t>
  </si>
  <si>
    <t>BAN07</t>
  </si>
  <si>
    <t>CHQ 4952621 AB SOFT WORK</t>
  </si>
  <si>
    <t>CHQ 4952627 NMS INFRASTRUCTURE</t>
  </si>
  <si>
    <t>REM CHQ 1919136  CCB</t>
  </si>
  <si>
    <t>REM CHQ 3886057 NMS INFRASTRUCTURE</t>
  </si>
  <si>
    <t>VIREMENT RECU DE SGCI LCR</t>
  </si>
  <si>
    <t>APPRO COMPTE/ PR CHQ 0000608 ORGBK</t>
  </si>
  <si>
    <t>Annulation REM CHQ 3886057 NMS INFRASTRUCTURE</t>
  </si>
  <si>
    <t xml:space="preserve"> PRÊT  BBG-CI ECH 024</t>
  </si>
  <si>
    <t>VIREMENT RECU ADIALEA</t>
  </si>
  <si>
    <t>REM CHQ 1808485 STRACOTRANS</t>
  </si>
  <si>
    <t>REM CHQ 0000965 POUR APPRO COMPTE BBG LCR</t>
  </si>
  <si>
    <t>REM CHQ 4017346 NAVITRANS CI (Ex CIAM)</t>
  </si>
  <si>
    <t>REM CHQ 1104204 SOCIETE IVOIRIENNE DE DISTRIBUTION</t>
  </si>
  <si>
    <t>CHQ 4952628 OTMC</t>
  </si>
  <si>
    <t>CHQ 4952629 OPPORTUNITY CENTRALE D'ACHAT</t>
  </si>
  <si>
    <t>CHQ 4950868 OUATTARTA ROXANE PR MUTATION PERMIS D'HABITER YAKRO</t>
  </si>
  <si>
    <t>CHQ 4950869 TOURE ISSIAKA</t>
  </si>
  <si>
    <t>CHQ 4952630 OPPORTUNITY CENTRALE D'ACHAT</t>
  </si>
  <si>
    <t>BAN08</t>
  </si>
  <si>
    <t>CHQ 0000603 CFAO TECHNOLOGIES</t>
  </si>
  <si>
    <t>CHQ 0000962 KWAME GOULY/ DEGREVEMENT IMPOTS LCR</t>
  </si>
  <si>
    <t>CHQ 0000961 EDOUKOU CASIMIR/ JAUGEAGE</t>
  </si>
  <si>
    <t>CHQ 0000604 Transporteur  Ouattara Bala</t>
  </si>
  <si>
    <t>CHQ 0000605 GENERAL METAL CONSTRUCTION</t>
  </si>
  <si>
    <t>CHQ 0000606 SIDECI</t>
  </si>
  <si>
    <t>CHQ 0000963 NANGO SIDIKI</t>
  </si>
  <si>
    <t>CHQ 0000607 OFFICE IVOIRIEN DES CHARGEURS</t>
  </si>
  <si>
    <t>VIREMENT RECU DE SITAB INDUSTRIES</t>
  </si>
  <si>
    <t>CHQ 0000608 LCR APPRO BBG</t>
  </si>
  <si>
    <t>CHQ 0000610 CIE SAMAT</t>
  </si>
  <si>
    <t>CHQ 0000609 FARAH JOSEPH SARL</t>
  </si>
  <si>
    <t>VIREMENT RECU SOCIETE IVOIRIENNE DES TABACS SA</t>
  </si>
  <si>
    <t>CHQ 0000611 FER</t>
  </si>
  <si>
    <t>CHQ 0000964 NANGO SIDIKI</t>
  </si>
  <si>
    <t>CHQ 0000964 NANGO SIDIKI/ TROP PAYE</t>
  </si>
  <si>
    <t>CHQ 0000612 GENERAL TRANSIT CI</t>
  </si>
  <si>
    <t>CHQ 0000965/ APPRO COMPTE BBG LCR</t>
  </si>
  <si>
    <t>VIREMENT RECU IMPRIMERIE INDUSTRIELLE IVOIRIENNE SITAB</t>
  </si>
  <si>
    <t>CHQ 0000966 EDOUKOU CASIMIR/ JAUGEAGE</t>
  </si>
  <si>
    <t xml:space="preserve">CHQ 0000613 CNPS_Echéancier </t>
  </si>
  <si>
    <t>CHQ 0000614 CNPS</t>
  </si>
  <si>
    <t>VIREMENT RECU SITAB INDUSTRIES</t>
  </si>
  <si>
    <t>CHQ 0000967 ECKOW KOFFI DIANE PR AMENDE  DROIT DE DOUANE</t>
  </si>
  <si>
    <t>CHQ 0000618 PACOCI</t>
  </si>
  <si>
    <t>VIREMENT RECU JALO LOGISTICS</t>
  </si>
  <si>
    <t>CHQ 0000621 PREMIUM  CI</t>
  </si>
  <si>
    <t>CHQ 0000623 GLOBAL HOLDING</t>
  </si>
  <si>
    <t>CHQ 0000625 Synergie Transport et logistique</t>
  </si>
  <si>
    <t>CHQ 0000929 LELENTA SECOU</t>
  </si>
  <si>
    <t xml:space="preserve"> CMT 3006 M ORANGE BANK ECHEANCE N° 27</t>
  </si>
  <si>
    <t>CHQ 0000619 PACOCI</t>
  </si>
  <si>
    <t>CHQ 000626 GTTP MONDIAL VOYAGES</t>
  </si>
  <si>
    <t>CHQ 000627 Transporteur  Ouattara Bala</t>
  </si>
  <si>
    <t>CHQ 0000970 SALAIRE MARS 25</t>
  </si>
  <si>
    <t>CHQ 0000971  SALAIRE MARS 25</t>
  </si>
  <si>
    <t>CHQ 0000971 SALAIRE MARS 25</t>
  </si>
  <si>
    <t>CHQ 0000972 SALAIRE MARS 25</t>
  </si>
  <si>
    <t>CHQ 0000973 SALAIRE MARS 25</t>
  </si>
  <si>
    <t>CHQ 0000974 SALAIRE MARS 25</t>
  </si>
  <si>
    <t>CHQ 0000975 SALAIRE MARS 25</t>
  </si>
  <si>
    <t>CHQ 0000976 SALAIRE MARS 25</t>
  </si>
  <si>
    <t>CHQ 0000977 SALAIRE MARS 25</t>
  </si>
  <si>
    <t>CHQ 0000978 SALAIRE MARS 25</t>
  </si>
  <si>
    <t>CHQ 0000979 SALAIRE MARS 25</t>
  </si>
  <si>
    <t>CHQ 0000980 SALAIRE MARS 25</t>
  </si>
  <si>
    <t>CHQ 0000981 SALAIRE MARS 25</t>
  </si>
  <si>
    <t>CHQ 0000982 SALAIRE MARS 25</t>
  </si>
  <si>
    <t>CHQ 0000983 SALAIRE MARS 25</t>
  </si>
  <si>
    <t>CHQ 0000984 SALAIRE MARS 25</t>
  </si>
  <si>
    <t>CHQ 0000985 SALAIRE MARS 25</t>
  </si>
  <si>
    <t>CHQ 0000986 SALAIRE MARS 25</t>
  </si>
  <si>
    <t>CHQ 0000987 SALAIRE MARS 25</t>
  </si>
  <si>
    <t>CHQ 0000988 SALAIRE MARS 25</t>
  </si>
  <si>
    <t>CHQ 0000989 SALAIRE MARS 25</t>
  </si>
  <si>
    <t>CHQ 0000990 SALAIRE MARS 25</t>
  </si>
  <si>
    <t>CHQ 0000991 SALAIRE MARS 25</t>
  </si>
  <si>
    <t>CHQ 0000992 SALAIRE MARS 25</t>
  </si>
  <si>
    <t>CHQ 0000993 SALAIRE MARS 25</t>
  </si>
  <si>
    <t>CHQ 0000994 SALAIRE MARS 25</t>
  </si>
  <si>
    <t>CHQ 0000995 SALAIRE MARS 25</t>
  </si>
  <si>
    <t>CHQ 0000996 SALAIRE MARS 25</t>
  </si>
  <si>
    <t>CHQ 0000997 SALAIRE MARS 25</t>
  </si>
  <si>
    <t>CHQ 0000998 SALAIRE MARS 25</t>
  </si>
  <si>
    <t>Emprunt 1.130M ORANGE BANQUE</t>
  </si>
  <si>
    <t>CHQ 000630 GTTP MONDIAL VOYAGES</t>
  </si>
  <si>
    <t>CHQ 000633 AXE IMPRESSION</t>
  </si>
  <si>
    <t xml:space="preserve">CHQ 000999 KONE ABDOULAYE </t>
  </si>
  <si>
    <t>CHQ 000628 LA ROCHERE LOGISTIQUE</t>
  </si>
  <si>
    <t>CHQ 0001000 GBEKE / PAIE SAISONNIERS FERKE MARS 25</t>
  </si>
  <si>
    <t>CHQ 0000634 Fonds d'Entretien Routier (FER)</t>
  </si>
  <si>
    <t>CHQ 0000632/ NIVELLEMENT BBG LCR</t>
  </si>
  <si>
    <t>CHQ 0000629/ NIVELLEMENT NSIA LCR</t>
  </si>
  <si>
    <t>CHQ 0000631/ NIVELLEMENT ECBK LCR</t>
  </si>
  <si>
    <t>BAN09</t>
  </si>
  <si>
    <t>Annulation CHQ 0578647 PORT AUTONOME D'ABIDJAN</t>
  </si>
  <si>
    <t>CHQ 0578647 PORT AUTONOME D'ABIDJAN</t>
  </si>
  <si>
    <t xml:space="preserve">Annulation CHQ 0578853 CNPS_Echéancier </t>
  </si>
  <si>
    <t>REM CHQ 4017158 NAVITRANS CI (Ex CIAM)</t>
  </si>
  <si>
    <t>CHQ 0578640 PACOCI</t>
  </si>
  <si>
    <t>CHQ 0578643 MAyelia (visite technique)</t>
  </si>
  <si>
    <t>CHQ 0578644 SOCIDA</t>
  </si>
  <si>
    <t>CHQ 0578649 BERNABE</t>
  </si>
  <si>
    <t>CHQ 0578650 CHAMBRE DE COMMERCE ET D'INDUSTRIE</t>
  </si>
  <si>
    <t>CHQ 0578455 SAVANE LAMINE</t>
  </si>
  <si>
    <t xml:space="preserve">CHQ 0578456 KOUAKOU AMBROISE </t>
  </si>
  <si>
    <t>Annulation CHQ 0578632 PAIERIE DU DISTRICT D'ABIDJAN/ CARTE DE STATIO</t>
  </si>
  <si>
    <t>CHQ 0578651 PAIERIE DU DISTRICT D'ABIDJAN/ CARTE DE STATIONNEMENT</t>
  </si>
  <si>
    <t>CHQ 0578653 Fonds d'Entretien Routier (FER)</t>
  </si>
  <si>
    <t>CHQ 0578654 SOFID</t>
  </si>
  <si>
    <t>Annulation CHQ 0578653 Fonds d'Entretien Routier (FER)</t>
  </si>
  <si>
    <t>CHQ 05784573 Fonds d'Entretien Routier (FER)</t>
  </si>
  <si>
    <t xml:space="preserve">FRAIS DE CIRCULARISATION </t>
  </si>
  <si>
    <t>CHQ 0578652 KAMA-CI</t>
  </si>
  <si>
    <t>VIREMENT RECU DE LCR SGCI</t>
  </si>
  <si>
    <t>CHQ 0578655 DISTRIBUTION DE MARCHANDISE DIVERSE</t>
  </si>
  <si>
    <t>CHQ 0578656 CACOMIAF</t>
  </si>
  <si>
    <t>CHQ 0578657 ALIFAT TECHNOLOGIE SARL</t>
  </si>
  <si>
    <t>SAISIE ATD SUR PRELEVEMENT 000473</t>
  </si>
  <si>
    <t>Emprunt BDA ECH 002</t>
  </si>
  <si>
    <t>Emprunt BDA ECH  002</t>
  </si>
  <si>
    <t>COUVERTURE COMPTE DE RESERVE/ PRET BDA 002</t>
  </si>
  <si>
    <t>REM CHQ 0500869 GLOBAL MANUT CI (GMCI)</t>
  </si>
  <si>
    <t xml:space="preserve"> REM CHQ 0500682 GLOBAL MANUT CI (GMCI)</t>
  </si>
  <si>
    <t>CAI03</t>
  </si>
  <si>
    <t>REGLEMENT FACTURE SODECI</t>
  </si>
  <si>
    <t>CAI07</t>
  </si>
  <si>
    <t>Prise carburant VS87</t>
  </si>
  <si>
    <t>Paiement facture CIE Logement Bouake</t>
  </si>
  <si>
    <t>Frais escorte CR1049 Mali + FRAIS D ENVOI WAVE 1%</t>
  </si>
  <si>
    <t>Frais de( chauffeur +Apprenti+route )CR1049 Mali</t>
  </si>
  <si>
    <t>Frais de Route et  peage+pesage ( CR1058 Abidjan Port )</t>
  </si>
  <si>
    <t>Frais de route CR1058 Abidjan Port</t>
  </si>
  <si>
    <t>Frais de peage+pesage CR1058 Abidjan Port</t>
  </si>
  <si>
    <t>Frais de  Route et peage+pesage  (CR1055 Abidjan Port )</t>
  </si>
  <si>
    <t>Frais de route CR1055 Abidjan Port</t>
  </si>
  <si>
    <t>Frais de peage+pesage CR1055 Abidjan Port</t>
  </si>
  <si>
    <t>Frais de  Route et peage+pesage  (CR1064 Abidjan Port )</t>
  </si>
  <si>
    <t>Frais de route CR1064 Abidjan Port</t>
  </si>
  <si>
    <t>Frais de  Route et peage+pesage ( CR1048 Abidjan Port )</t>
  </si>
  <si>
    <t>Frais de route CR1048 Abidjan Port</t>
  </si>
  <si>
    <t>Frais de peage+pesage CR1048 Abidjan Port</t>
  </si>
  <si>
    <t>Facture depannage CR1055</t>
  </si>
  <si>
    <t>Achat librairie (reçu en attache)</t>
  </si>
  <si>
    <t>Frais de  Route et peage+pesage ( CR1058 Abidjan Port )</t>
  </si>
  <si>
    <t>Frais de  Route et peage+pesage  (CR1074 Abidjan Port )</t>
  </si>
  <si>
    <t>Frais de route CR1074 Abidjan Port</t>
  </si>
  <si>
    <t>Frais de peage+pesage CR1074 Abidjan Port</t>
  </si>
  <si>
    <t>Frais de  Route et peage+pesage (CR1072 Abidjan Port )</t>
  </si>
  <si>
    <t>Frais de route CR1072 Abidjan Port</t>
  </si>
  <si>
    <t>Frais de peage+pesage CR1072 Abidjan Port</t>
  </si>
  <si>
    <t>Achat sticker DUT (reçu en attache)</t>
  </si>
  <si>
    <t>Frais de route CR1149 Yamoussokro</t>
  </si>
  <si>
    <t>Frais de route CR1147 Daloa</t>
  </si>
  <si>
    <t>Frais de route CR1064 Man</t>
  </si>
  <si>
    <t>Frais de route CR1149 Seguela</t>
  </si>
  <si>
    <t>Frais de route CR1074 Odienne</t>
  </si>
  <si>
    <t>Frais de route CR1058 Soubre</t>
  </si>
  <si>
    <t>Frais de pesage CR1058 Soubre</t>
  </si>
  <si>
    <t>Frais de  Route et peage+pesage (CR1058 Soubre )</t>
  </si>
  <si>
    <t xml:space="preserve">Reapprovisionnement </t>
  </si>
  <si>
    <t>Permanences CR1064 Man</t>
  </si>
  <si>
    <t>Achat DUT Export (reçu en attache)</t>
  </si>
  <si>
    <t xml:space="preserve">4 jours Frais sup Chauffeur +aide chauff CR1057/ hinterland Dakar du </t>
  </si>
  <si>
    <t>Prise carburant VS87 (reçu en attache)</t>
  </si>
  <si>
    <t>Frais de  Route et peage+pesage  (CR1071 Aboisso )</t>
  </si>
  <si>
    <t>Frais de route CR1071 Aboisso</t>
  </si>
  <si>
    <t>Frais de pesage CR1071 Aboisso</t>
  </si>
  <si>
    <t>Frais d'intervention policière CR1149</t>
  </si>
  <si>
    <t>Règlement Facture SODECI LCR BOUAKE (reçu en attache)</t>
  </si>
  <si>
    <t>Frais de  Route et peage+pesage (CR1055 Bondoukou )</t>
  </si>
  <si>
    <t>Frais de route CR1055 Bondoukou</t>
  </si>
  <si>
    <t>Frais de pesage CR1055 Bondoukou</t>
  </si>
  <si>
    <t>Frais de route CR1072 Daloa</t>
  </si>
  <si>
    <t>Frais de  Route et peage+pesage  (CR1057 Abidjan )</t>
  </si>
  <si>
    <t>Frais de route CR1057 Abidjan</t>
  </si>
  <si>
    <t>Frais de pesage CR1057 Abidjan</t>
  </si>
  <si>
    <t>Permanences intervention mecanicien (reçu en attache)</t>
  </si>
  <si>
    <t>Achat paquet RAM (reçu en attache)</t>
  </si>
  <si>
    <t>Frais de  Route et peage+pesage  (CR1071 Odienne )</t>
  </si>
  <si>
    <t>Frais de route CR1071 Odienne</t>
  </si>
  <si>
    <t>Frais de peage+pesage CR1071 Odienne</t>
  </si>
  <si>
    <t>Frais de  Route et peage+pesage  (CR1057 Abidjan Port )</t>
  </si>
  <si>
    <t>Frais de route CR1057 Abidjan Port</t>
  </si>
  <si>
    <t>Frais de peage+pesage CR1057 Abidjan Port</t>
  </si>
  <si>
    <t>Frais de peage+pesage CR1064 Abidjan Port</t>
  </si>
  <si>
    <t>Frais de  Route et peage+pesage  (CR1068 Abidjan Port )</t>
  </si>
  <si>
    <t>Frais de route CR1068 Abidjan Port</t>
  </si>
  <si>
    <t>Frais de peage+pesage CR1068 Abidjan Port</t>
  </si>
  <si>
    <t>Frais de route CR1147 Duekue</t>
  </si>
  <si>
    <t>Frais d'intervention policière CR1074</t>
  </si>
  <si>
    <t>Frais de route CR1057 Korhogo</t>
  </si>
  <si>
    <t>Frais de route CR1068 Man</t>
  </si>
  <si>
    <t>Frais de  Route et peage+pesage (CR1064 San Pedro )</t>
  </si>
  <si>
    <t>Frais de route CR1064 San Pedro</t>
  </si>
  <si>
    <t>Frais de pesage CR1064 San Pedro</t>
  </si>
  <si>
    <t>Frais de route CR1071 Seguela</t>
  </si>
  <si>
    <t>Frais de pesage CR1072 Abidjan Port</t>
  </si>
  <si>
    <t>Frais de pesage CR1074 Abidjan Port</t>
  </si>
  <si>
    <t>Frais de  Route et peage+pesage  (CR1058 Abidjan Port )</t>
  </si>
  <si>
    <t>Frais de pesage CR1058 Abidjan Port</t>
  </si>
  <si>
    <t>Frais de  Route et peage+pesage (CR1050 Abidjan Port )</t>
  </si>
  <si>
    <t>Frais de route CR1050 Abidjan Port</t>
  </si>
  <si>
    <t>Frais de pesage CR1050 Abidjan Port</t>
  </si>
  <si>
    <t>Frais de pesage CR1055 Abidjan Port</t>
  </si>
  <si>
    <t>Frais de  Route et peage+pesage (CR1074 Abidjan Port )</t>
  </si>
  <si>
    <t>Frais de  Route et peage+pesage  (CR1072 Abidjan Port )</t>
  </si>
  <si>
    <t>Frais de route CR1058 Bondoukou</t>
  </si>
  <si>
    <t>Frais de  Route et peage+pesage (CR1057 Abidjan Port )</t>
  </si>
  <si>
    <t>Peage+pesage (CR1057 Abidjan Port )</t>
  </si>
  <si>
    <t>Sejour weekend Abidjan CR1064</t>
  </si>
  <si>
    <t>Sejour weekend Abidjan CR1058</t>
  </si>
  <si>
    <t>Sejour weekend Abidjan CR1068</t>
  </si>
  <si>
    <t>Sejour weekend Abidjan CR1071</t>
  </si>
  <si>
    <t>Sejour weekend Abidjan CR1050</t>
  </si>
  <si>
    <t>Frais de gazoil +Frais de( chauffeur+route+Apprenti) CR1048 Dakar</t>
  </si>
  <si>
    <t>Frais de gazoil CR1048 Dakar</t>
  </si>
  <si>
    <t>Frais de( chauffeur+route+Apprenti) CR1048 Dakar</t>
  </si>
  <si>
    <t>Frais de gazoil +Frais de (chauffeur+route+apprenti) CR1055 Dakar</t>
  </si>
  <si>
    <t>Frais de gazoil CR1055 Dakar</t>
  </si>
  <si>
    <t>Frais de( chauffeur+route+Apprenti) CR1055 Dakar</t>
  </si>
  <si>
    <t>Permanence weekend CR1074</t>
  </si>
  <si>
    <t>Permanence weekend CR1049</t>
  </si>
  <si>
    <t>Permanence weekend Augustin</t>
  </si>
  <si>
    <t>Achat produit entretient (reçu en attache)</t>
  </si>
  <si>
    <t>Frais de  Route et peage+pesage) (CR1147 Abengourou</t>
  </si>
  <si>
    <t>Frais de route CR1147 Abengourou</t>
  </si>
  <si>
    <t>Frais de pesage CR1147 Abengourou</t>
  </si>
  <si>
    <t>Frais de  Route et peage+pesage (CR1064 Abidjan</t>
  </si>
  <si>
    <t>Frais de pesage CR1064 Abidjan</t>
  </si>
  <si>
    <t>Travaux d'entretien site LCR + FRAIS D ENVOI WAVE 1% (reçu en attache</t>
  </si>
  <si>
    <t>Frais de route CR1071 Adzope</t>
  </si>
  <si>
    <t>Travaux maintenance VS87 (reçu en attache)</t>
  </si>
  <si>
    <t>Intervention depannage (reçu en attache)</t>
  </si>
  <si>
    <t>Frais de Route et pesage +FRAIS WAVE 1% (CR1058  )</t>
  </si>
  <si>
    <t>Frais de route CR1058 Soubre + FRAIS D ENVOI WAVE 1%</t>
  </si>
  <si>
    <t>Frais de pesage CR1058 Soubre + FRAIS D ENVOI WAVE 1%</t>
  </si>
  <si>
    <t>Frais de Route et  pesage +FRAIS D WAVE 1% (CR1050 Duekue )</t>
  </si>
  <si>
    <t>Frais de route CR1050 Duekue + FRAIS D ENVOI WAVE 1%</t>
  </si>
  <si>
    <t>Frais de pesage CR1050 Duekue + FRAIS D ENVOI WAVE 1%</t>
  </si>
  <si>
    <t>Frais de  Route et pesage + FRAIS  WAVE 1% (CR1059 ) Abidjan</t>
  </si>
  <si>
    <t>Frais de route CR1059 Abidjan + FRAIS D ENVOI WAVE 1%</t>
  </si>
  <si>
    <t>Frais de pesage CR1059 Abidjan + FRAIS D ENVOI WAVE 1%</t>
  </si>
  <si>
    <t>Frais de route CR1049 Abidjan + FRAIS D ENVOI WAVE 1%</t>
  </si>
  <si>
    <t>Frais de route CR1064 Abidjan</t>
  </si>
  <si>
    <t>Frais de route et  pesage  (CR1072 Abidjan )</t>
  </si>
  <si>
    <t>Frais de route CR1072 Abidjan</t>
  </si>
  <si>
    <t>Frais de pesage CR1072 Abidjan</t>
  </si>
  <si>
    <t>Frais de gazoil CR1074 Dakar</t>
  </si>
  <si>
    <t xml:space="preserve"> Frais de (chauffeur+Route+Apprenti)+Frais de gazoil (CR1074 Dakar)</t>
  </si>
  <si>
    <t>Frais de (chauffeur+Route+Apprenti) CR1074 Dakar</t>
  </si>
  <si>
    <t>Frais de Route + pesage  (CR1149 San Pedro )</t>
  </si>
  <si>
    <t>Frais de route CR1149 San Pedro</t>
  </si>
  <si>
    <t>Frais de pesage CR1149 San Pedro</t>
  </si>
  <si>
    <t xml:space="preserve"> frais de route et Complement carburant + FRAIS WAVE 1% ( CR1147 )</t>
  </si>
  <si>
    <t>Complement carburant CR1147 + FRAIS D ENVOI WAVE 1%</t>
  </si>
  <si>
    <t>Frais de route CR1147 Bondoukou</t>
  </si>
  <si>
    <t>Frais de route CR1059 Man</t>
  </si>
  <si>
    <t>Frais de route +pesage (CR1064 San Pedro )</t>
  </si>
  <si>
    <t xml:space="preserve"> Frais de route et Complement carburant  + FRAIS WAVE 1% (CR1149 )</t>
  </si>
  <si>
    <t>Complement carburant CR1149 + FRAIS D ENVOI WAVE 1%</t>
  </si>
  <si>
    <t>Frais de route CR1049 Adzope</t>
  </si>
  <si>
    <t>Frais de route + pesage (CR1050 Abidjan )</t>
  </si>
  <si>
    <t>Frais de route CR1050 Abidjan</t>
  </si>
  <si>
    <t>Frais de pesage CR1050 Abidjan</t>
  </si>
  <si>
    <t>Frais de route CR1149 Korhogo</t>
  </si>
  <si>
    <t xml:space="preserve">Frais de route et Complement carburant+ FRAIS WAVE 1% ( CR1147 ) </t>
  </si>
  <si>
    <t>Complement carburant CR1147 + FRAIS D ENVOI WAVE 1% (reçu en attache)</t>
  </si>
  <si>
    <t>Frais de route CR1147 Odienne</t>
  </si>
  <si>
    <t>Frais de  route +pesage  (CR1058 Duekue )</t>
  </si>
  <si>
    <t>Frais de route CR1058 Duekue</t>
  </si>
  <si>
    <t>Frais de pesage CR1058 Duekue</t>
  </si>
  <si>
    <t>Frais de route + pesage  (CR1068 Seguela )</t>
  </si>
  <si>
    <t>Frais de route CR1068 Seguela</t>
  </si>
  <si>
    <t>Frais de pesage CR1068 Seguela</t>
  </si>
  <si>
    <t>Sejour + Permanance CR1057</t>
  </si>
  <si>
    <t>Sejour + Permanance CR1050</t>
  </si>
  <si>
    <t>Sejour + Permanance CR1058</t>
  </si>
  <si>
    <t>Sejour + Permanance CR1064</t>
  </si>
  <si>
    <t>Sejour + Permanance CR1068</t>
  </si>
  <si>
    <t>Frais de route + pesage (CR1059 Abidjan )</t>
  </si>
  <si>
    <t>Frais de route CR1059 Abidjan</t>
  </si>
  <si>
    <t>Frais de pesage CR1059 Abidjan</t>
  </si>
  <si>
    <t xml:space="preserve"> Frais de (chauffeur +route+Apprenti)+Frais de gazoil+FRAIS  WAVE 1%</t>
  </si>
  <si>
    <t>Frais de gazoil CR1072 Dakar + FRAIS D ENVOI WAVE 1%</t>
  </si>
  <si>
    <t>Frais de (chauffeur +route+Apprenti) +Frais Wave 1% CR 1072 Dakar</t>
  </si>
  <si>
    <t>Frais de route + pesage (CR1057 Abidjan )</t>
  </si>
  <si>
    <t>Frais de  route +pesage (CR1064 Abidjan )</t>
  </si>
  <si>
    <t>Frais de route + pesage (CR1049 Abidjan )</t>
  </si>
  <si>
    <t>Frais de route CR1049 Abidjan</t>
  </si>
  <si>
    <t>Frais de pesage CR1049 Abidjan</t>
  </si>
  <si>
    <t xml:space="preserve"> frais de route + pesage +Complement carburant +FRAIS WAVE 1% CR1149</t>
  </si>
  <si>
    <t>Complement carburant CR1149 + FRAIS D ENVOI WAVE 1% (reçu en attache)</t>
  </si>
  <si>
    <t>Frais de route CR1149 Bondoukou</t>
  </si>
  <si>
    <t>Frais de pesage CR1149 Bondoukou</t>
  </si>
  <si>
    <t>Frais de route +pesage (CR1050 Abidjan )</t>
  </si>
  <si>
    <t>Frais de  route +pesage  (CR1058 Abidjan )</t>
  </si>
  <si>
    <t>Frais de route CR1058 Abidjan</t>
  </si>
  <si>
    <t>Frais de pesage CR1058 Abidjan</t>
  </si>
  <si>
    <t>Frais de route + pesage  (CR1057 Abidjan )</t>
  </si>
  <si>
    <t>Frais de route + pesage  (CR1059 Abidjan )</t>
  </si>
  <si>
    <t>Frais de route +pesage  (CR1147 Dimbokro )</t>
  </si>
  <si>
    <t>Frais de route CR1147 Dimbokro</t>
  </si>
  <si>
    <t>Frais de pesageCR1147 Dimbokro</t>
  </si>
  <si>
    <t>Frais de route et Contravention  (CR1068 Soubre )</t>
  </si>
  <si>
    <t>Frais de route CR1068 Soubre</t>
  </si>
  <si>
    <t>Contravention CR1068 Soubre</t>
  </si>
  <si>
    <t>Frais de route + pesage ( CR1049 Abidjan )</t>
  </si>
  <si>
    <t>Passage visite technique CR1050</t>
  </si>
  <si>
    <t xml:space="preserve"> Frais (de chauffeur+ route + Aprrenti )+Frais de gazoil CR1050 Dakar</t>
  </si>
  <si>
    <t>Frais de gazoil CR1050 Dakar</t>
  </si>
  <si>
    <t>Frais (de chauffeur+ route + Aprrenti )CR1050 Dakar</t>
  </si>
  <si>
    <t>Frais de  route +pesage  (CR1057 Abidjan )</t>
  </si>
  <si>
    <t>Frais de route + pesage  (CR1064 Abidjan )</t>
  </si>
  <si>
    <t>Permanence jour ferié CR1058</t>
  </si>
  <si>
    <t>Permanence jour ferié CR1059</t>
  </si>
  <si>
    <t>Permanence jour ferié CR1068</t>
  </si>
  <si>
    <t>Permanence jour ferié CR1149</t>
  </si>
  <si>
    <t>Permanence jour ferié Exploitant</t>
  </si>
  <si>
    <t>Frais de route CR1149 Man</t>
  </si>
  <si>
    <t>Frais de route CR1147 Soubre</t>
  </si>
  <si>
    <t xml:space="preserve">2 jours sup Chauffeur et aides-chauffeurs CR1059 hinterland Dakar du </t>
  </si>
  <si>
    <t xml:space="preserve">Frais de (chauffeur+route +Apprenti) CR1049 Bamako </t>
  </si>
  <si>
    <t xml:space="preserve">  Frais de (chauffeur+route+Apprenti)  /Frais de gazoil+ FRAIS WAVE 1</t>
  </si>
  <si>
    <t>Frais de gazoil CR1058 Dakar + FRAIS D ENVOI WAVE 1%</t>
  </si>
  <si>
    <t>Frais de (chauffeur+route+Apprenti) +  FRAIS WAVE 1%   CR1058 Dakar</t>
  </si>
  <si>
    <t>Intervention mecanique + remorquage VS87 (reçu en attache)</t>
  </si>
  <si>
    <t>CAI08</t>
  </si>
  <si>
    <t>Frais de route TOTAL SEGUELA CR 981/809_TRAORE BASSORY</t>
  </si>
  <si>
    <t>Frais de permanence du 01 au 02/03/2025_SANOGO MOUSSA</t>
  </si>
  <si>
    <t>Frais de péage CR 980/810_SORY ARDIOUMAN</t>
  </si>
  <si>
    <t>Frais de péage CR 973/983_KONE KARIM</t>
  </si>
  <si>
    <t>Frais de péage CR 1188/892_KOUMAKPO</t>
  </si>
  <si>
    <t>Frais de péage CR 1076/776_DIABATE SEGBE</t>
  </si>
  <si>
    <t>Frais de péage CR 1077/891_CAMARA ALLASSANE</t>
  </si>
  <si>
    <t>Achat de DUT</t>
  </si>
  <si>
    <t>Frais de route MOTA ENGIL DABAKALA CR 956/778_DIOMANDE DAOUDA</t>
  </si>
  <si>
    <t>Frais de route TOTAL FERKE CR 970/982_TRAORE DRAMANE II</t>
  </si>
  <si>
    <t>Frais de péage CR 972/986_DIALLO BOUBACAR</t>
  </si>
  <si>
    <t>Frais de péage CR 1146/894_KONE IBRAHIMA</t>
  </si>
  <si>
    <t>Frais de péage CR 1146/894_BROU IGNACE</t>
  </si>
  <si>
    <t>Règlement facture SODECI LCR YAKRO</t>
  </si>
  <si>
    <t>Règlement facture SODECI Loyer mécaniciens</t>
  </si>
  <si>
    <t>Frais de route TOTAL KORHOGO CR 951/960_TRAORE MOUSSA</t>
  </si>
  <si>
    <t>Frais de route TOTAL DUEKOUE CR 1076/776_DIABATE SEGBE</t>
  </si>
  <si>
    <t>Frais de route TOTAL ODIENNE CR 1077/891_CAMARA ALLASSANE</t>
  </si>
  <si>
    <t>Frais de péage CR 1078/895_ABDOULAYE BAMBA</t>
  </si>
  <si>
    <t>Frais de péage CR 981/809_TRAORE BASSORY</t>
  </si>
  <si>
    <t>Frais de route TOTAL MAN CR 1188/892_KOUMAKPO</t>
  </si>
  <si>
    <t>Frais de route TOTAL KORHOGO CR 972/986_DIALLO BOUBACAR</t>
  </si>
  <si>
    <t>Frais de route MOTA ENGIL DABAKALA CR 973/983_KONE KARIM</t>
  </si>
  <si>
    <t>Frais de route MINES D'ITY CR 981/809_TRAORE BASSORY</t>
  </si>
  <si>
    <t>Frais de route MOTA ENGIL DABAKALA CR 948/965_GUIPO WAHABOU</t>
  </si>
  <si>
    <t>Achat de kit de dépotage et confection de flexible pneumatique(5M) CR</t>
  </si>
  <si>
    <t>Frais de route MOTA ENGIL DABAKALA CR 953/775_DIABATE HAMIDOU</t>
  </si>
  <si>
    <t>Frais de transport YAKRO - ABIDJAN_BROU IGNACE</t>
  </si>
  <si>
    <t>Frais de transport YAKRO - ABIDJAN_CAMARA ALIOU</t>
  </si>
  <si>
    <t>Frais de transport YAOURE - YAKRO_SORY ARDIOUMAN</t>
  </si>
  <si>
    <t>Règlement facture CIE Loyer mécaniciens</t>
  </si>
  <si>
    <t>Renouvellement Carte de transport CR 1001</t>
  </si>
  <si>
    <t>Renouvellement Carte de transport CR 1002</t>
  </si>
  <si>
    <t>Frais de route MOTA ENGIL DABAKALA CR 980/810_SORY ARDIOUMAN</t>
  </si>
  <si>
    <t>Frais de route SUCRIVOIRE BOROTOU CR 971/985_KONAN IGNACE</t>
  </si>
  <si>
    <t>Frais de route TOTAL BOUNDIALI CR 970/982_TRAORE DRAMANE II</t>
  </si>
  <si>
    <t>Frais de route TOTAL GUIGLO CR 1146/894_KONE IBRAHIMA</t>
  </si>
  <si>
    <t>Frais de route TOTAL KORHOGO CR 946/964_KONATE SEYDOU</t>
  </si>
  <si>
    <t>Frais de permanence du 08 au 09/03/2025_OUATTARA ARDJOUMAN</t>
  </si>
  <si>
    <t>APPROVISIONNEMENT</t>
  </si>
  <si>
    <t>Frais de route TOTAL ODIENNE CR 969/984_DIARRASSOUBA ISSOUF</t>
  </si>
  <si>
    <t>Frais de route TOTAL BOUNDIALI CR 1076/776_DIABATE SEGBE</t>
  </si>
  <si>
    <t>Frais de péage CR 948/965_GUIPO WAHABOU</t>
  </si>
  <si>
    <t>Règlement loyer chef d'agence FEV 25</t>
  </si>
  <si>
    <t>Règlement loyer mécaniciens</t>
  </si>
  <si>
    <t>Frais de route TOTAL SEGUELA CR 980/810_SORY ARDIOUMAN</t>
  </si>
  <si>
    <t>Frais de route TOTAL KORHOGO CR 1188/892_KOUMAKPO</t>
  </si>
  <si>
    <t>Frais de route TOTAL FERKE CR 948/965_KAMBIRE OLLO</t>
  </si>
  <si>
    <t>Frais de route MOTA ENGIL DABAKALA CR 972/986_DIOMANDE GBATO</t>
  </si>
  <si>
    <t>Frais d'installation et entreien des split LCR YAKRO</t>
  </si>
  <si>
    <t>Frais de route IVOIRE COTONM'BENGUE CR 971/985_KONAN IGNACE</t>
  </si>
  <si>
    <t>Frais de route TOTAL DUEKOUE CR 1077/891_GUIPO WAHABOU</t>
  </si>
  <si>
    <t>Frais de route TOTAL SEGUELA CR 1078/895_ABDOULAYE BAMBA</t>
  </si>
  <si>
    <t>12 machoires de freins à regarnir CR 776</t>
  </si>
  <si>
    <t>Achat d'énergie CIE_Loyer chef d'agence</t>
  </si>
  <si>
    <t>Renouvellement Carte de transport_1815GS01</t>
  </si>
  <si>
    <t>Frais de péage CR 948/965_KAMBIRE OLLO</t>
  </si>
  <si>
    <t>Frais de route SUCRIVOIRE BOROTOU CR 973/983_DIALLO BOUBACAR</t>
  </si>
  <si>
    <t>Frais de route MOTA ENGIL DABAKALA CR 953/775_DIOMANDE DAOUDA</t>
  </si>
  <si>
    <t>Frais de route SUCRIVOIRE BOROTOU CR 970/982_TRAORE DRAMANE II</t>
  </si>
  <si>
    <t>Frais de route TOTAL TENGRELA CR 972/986_DIOMANDE GBATO</t>
  </si>
  <si>
    <t>Frais de route TOTAL SEGUELA CR 1146/894_KONE IBRAHIMA</t>
  </si>
  <si>
    <t xml:space="preserve">Frais de permanence du 15 au 16/03/2025_LINGUE MARCELIN </t>
  </si>
  <si>
    <t>Frais de route TOTAL SEGUELA CR 946/964_KONATE SEYDOU</t>
  </si>
  <si>
    <t>Frais de route TOTAL ODIENNE CR 1078/895_ABDOULAYE BAMBA</t>
  </si>
  <si>
    <t>Frais de route TOTAL FERKE CR 1188/892_KOUMAKPO</t>
  </si>
  <si>
    <t>Frais de route OLMA AGRI RUBBER DIBOBLY CR 953/775_DIABATE HAMIDOU</t>
  </si>
  <si>
    <t>Frais de route IVOIRE COTON BOUNDIALI CR 969/984_DIARRASSOUBA ISSOUF</t>
  </si>
  <si>
    <t>Frais de route TOTAL MAN CR 1146/894_GUIPO WAHABOU</t>
  </si>
  <si>
    <t>Frais de route TOTAL DUEKOUE CR 948/965_KAMBIRE OLLO</t>
  </si>
  <si>
    <t>Frais de route MOTA ENGIL DABAKALA CR 974/807_BAMBA ABDOULAYE</t>
  </si>
  <si>
    <t>Frais de route TOTAL KORHOGO CR 981/809_TRAORE BASSORY</t>
  </si>
  <si>
    <t>Frais de route SUCRIVOIRE BOROTOU CR 970/982_DIALLO BOUBACAR</t>
  </si>
  <si>
    <t>Frais de route SUCRIVOIRE BOROTOU CR 973/983_KONE KARIM</t>
  </si>
  <si>
    <t>Frais de route TOTAL FERKE CR 972/986_KONE IBRAHIMA</t>
  </si>
  <si>
    <t>Frais de route TOTAL M'BAHIAKRO CR 980/810_SORY ARDIOUMAN</t>
  </si>
  <si>
    <t xml:space="preserve">Achat de 02 Feuilles de tole noire et 01 Kit de joint de dépotage CR </t>
  </si>
  <si>
    <t>Frais de route TOTAL SEGUELA CR 900/912_BROU IGNACE</t>
  </si>
  <si>
    <t>Frais de route TOTAL GUIGLO CR 1078/895_ABDOULAYE BAMBA</t>
  </si>
  <si>
    <t>Vidange fosse sceptique LCR YAKRO</t>
  </si>
  <si>
    <t>Frais de route TOTAL MAN CR 972/986_DIOMANDE GBATO</t>
  </si>
  <si>
    <t>Frais de route TOTAL TOUBA CR 948/965_KAMBIRE OLLO</t>
  </si>
  <si>
    <t>Frais de route TOTAL ODIENNE CR 1159/890_CAMARA ALIOU</t>
  </si>
  <si>
    <t>Achat de 04 boulons de lame de ressort avec écrou et 02 croisons de c</t>
  </si>
  <si>
    <t>Frais de route TOTAL DUEKOUE CR 1188/892_KOUMAKPO</t>
  </si>
  <si>
    <t>Frais de route MINES DE LAFIGUE DABAKALA CR 981/809_TRAORE BASSORY</t>
  </si>
  <si>
    <t>Frais de route TOTAL TENGRELA CR 946/964_KONATE SEYDOU</t>
  </si>
  <si>
    <t>Frais de route MINES D'ITY CR 1076/776_DIABATE SEGBE</t>
  </si>
  <si>
    <t>Frais de route IVOIRE COTON BOUNDIALI CR 953/775_DIABATE HAMIDOU</t>
  </si>
  <si>
    <t>Frais de route TOTAL M'BAHIAKRO CR 1077/891_CAMARA ALLASSANE</t>
  </si>
  <si>
    <t>Frais de route MINES DE LAFIGUE DABAKALA CR 1078/895_ABDOULAYE BAMBA</t>
  </si>
  <si>
    <t>Frais de route SUCRIVOIRE BOROTOU CR 974/807_BAMBA ABDOULAYE</t>
  </si>
  <si>
    <t>Frais d'hotel  CR 981/809_TRAORE BASSORY</t>
  </si>
  <si>
    <t>Frais d'hotel  CR 1078/895_ABDOULAYE BAMBA</t>
  </si>
  <si>
    <t>Frais de route TOTAL ODIENNE CR 980/810_SORY ARDIOUMAN</t>
  </si>
  <si>
    <t>Frais de route TOTAL SEGUELA CR 970/982_DIALLO BOUBACAR</t>
  </si>
  <si>
    <t>Frais de route TOTAL DANANE CR 948/965_KAMBIRE OLLO</t>
  </si>
  <si>
    <t>Réglage parallélisme CR 970</t>
  </si>
  <si>
    <t>CAI09</t>
  </si>
  <si>
    <t>Rglt facture achat Colle Alpha Atelier</t>
  </si>
  <si>
    <t>Rglt facture achat 01 Cadenas Atelier</t>
  </si>
  <si>
    <t>Rglt frais Consultation Saisonnier FOFANA SIBIRI</t>
  </si>
  <si>
    <t>Rglt frais Analyses Labo Saisonnier FOFANA SIBIRI</t>
  </si>
  <si>
    <t>Rglt frais Soins médicaux Saisonnier FOFANA SIBIRI</t>
  </si>
  <si>
    <t>Rglt facture achat 01 Régulateur+01 Plaquette de diode VS 35</t>
  </si>
  <si>
    <t>Rglt facture N°00004357 achat 03 Néons Agence</t>
  </si>
  <si>
    <t>Rglt frais Consultation Saisonnier OUATTARA SIE</t>
  </si>
  <si>
    <t>REGLEMENT SUCRERIE D'AFRIQUE-CÔTE D'IVOIRE FACTURE MELASSE FFE2500006</t>
  </si>
  <si>
    <t>Rglt facture N°8855684 achat 02 Roulements Machine Démonte Pneu</t>
  </si>
  <si>
    <t>Rglt facture achat 02 Bouteilles Herbicide Agence</t>
  </si>
  <si>
    <t>Rglt facture achat 01 Rallonge electrique Poste Assistante RH</t>
  </si>
  <si>
    <t>Rglt facture Complément Gasoil CR 1072 Rte OUANGOLO</t>
  </si>
  <si>
    <t>Rglt facture achat 01 kg OMO Lavage Camions</t>
  </si>
  <si>
    <t>APPRO POUR PAIEMENT SAISONNIERS FERKE MARS 2025</t>
  </si>
  <si>
    <t>Rglt Paie SAISONNIERS FERKE mars 2025</t>
  </si>
  <si>
    <t>FRAIS SUR ENVOIS PAIE DES SAISONNIERS</t>
  </si>
  <si>
    <t>Rglt facture Ordonnances médicales Saisonniers février 2025</t>
  </si>
  <si>
    <t>CAI_00</t>
  </si>
  <si>
    <t>AC DE CARBURANT POUR LE GROUPE ELECTROGENE VS 101</t>
  </si>
  <si>
    <t>AC DE CARBURANT VS 107  ESTHER AMANI</t>
  </si>
  <si>
    <t>PAIEMENT PEAGE VS 107  ESTHER  AMANI</t>
  </si>
  <si>
    <t>AC DE CARBURANT MOTO COURSIERS M.GBEKE JOACHIM ET KOUAME BI DIMITRI</t>
  </si>
  <si>
    <t xml:space="preserve">TAXPOUR SERVIR DU CARBURANT STATION TOTAL/SP  YOP  ET PERMANENCE </t>
  </si>
  <si>
    <t xml:space="preserve">TAXI / VERIFICATION ET MONTAGE DES FEUX /FABRICAT° DE GARDE A BOUE </t>
  </si>
  <si>
    <t>NETTOYAGE DE LA COUR LE 01/03/2025</t>
  </si>
  <si>
    <t>TAXI POUR ECHANGE DE CHEQUE A NMS/ JACQUELINE Y.</t>
  </si>
  <si>
    <t>ASTREINTE ET PERMANENCE DU 24/02/2025 AU 02/03/2025 S.ATELI</t>
  </si>
  <si>
    <t>ASTREINTE ET PERMANENCE DU 24/02/2025 AU 02/03/2025 S.ATELIER</t>
  </si>
  <si>
    <t>AC CARBURANT POUR Mme BINTOU FOFANA</t>
  </si>
  <si>
    <t>FORMATION EN INTERNE CHAUFFEURS POIDS L.FORMATEUR DU 03 AU 06/03/25</t>
  </si>
  <si>
    <t>SOINS MEDICAUX/ACCIDENT DE TRAVAIL M.DJAYA KRE DESSINUS</t>
  </si>
  <si>
    <t>TAXI POUR INDUCTION HSE SUR LE SITE DE MARCORY</t>
  </si>
  <si>
    <t>AC KABORE TANGA ATBC 94436</t>
  </si>
  <si>
    <t>ATBC 94436 REPARATION SIEGE</t>
  </si>
  <si>
    <t>TAXI / PERMANENCE DU 24/02/2025 AU 02/03/2025</t>
  </si>
  <si>
    <t>AC DE CARBURANT POUR LA VS 108</t>
  </si>
  <si>
    <t>AC DE TABLEAU BLANC POUR LA  SALLE DE FORMATION  MARCORY</t>
  </si>
  <si>
    <t>AC DE PACK D'EAU POUR LES CAC</t>
  </si>
  <si>
    <t xml:space="preserve">DOTATION CARBURANT  SARAN KEITA MARS 2025 </t>
  </si>
  <si>
    <t>DOTATION TELEPHONIQUE SARAN KEITA MARS 2025</t>
  </si>
  <si>
    <t>TAXI POUR /OPERATION ATR CI AU PORT  ET LSCS LE 27/02/25</t>
  </si>
  <si>
    <t>MISSION /PERSONNEL EN OPERATION ATR CI A GRAND LAHOU LE 01/03/2025</t>
  </si>
  <si>
    <t>REMBOURSEMENT FRAIS DE TAXI CONTROLEUR DE GESTION AERIA2-AERIA 1</t>
  </si>
  <si>
    <t>PRAGE+PESAGE  CR 975/805 947/917 909/913 978/777</t>
  </si>
  <si>
    <t>FRAIS DE ROUTE CR 975/805 947/917 909/913 978/777</t>
  </si>
  <si>
    <t>PEAGE + PESAGE CR 1187 906 947 925 1191 929 949</t>
  </si>
  <si>
    <t>FRAIS DE ROUTE CR 1187 906 947 925 1191 929 949</t>
  </si>
  <si>
    <t>TAXI/ DESCENTE TARDIVE TRANSMISION BL A TEMCI DU 21/02/25 AU 01/03/25</t>
  </si>
  <si>
    <t>FRAIS DESCENTE TARDIVE TRANSMISION BL A TEMCI DU 21/02/25 AU 01/03/25</t>
  </si>
  <si>
    <t>REMBOURSEMENT FRAIS IMPAYE/CHEQUE CHIMIE COLLECTIVITES INDUSTRIE 2CI</t>
  </si>
  <si>
    <t>AC DE TUBE GALVANISE  RECUIT</t>
  </si>
  <si>
    <t xml:space="preserve">AC PRESTIGE AUTO CI ATBC 94394 </t>
  </si>
  <si>
    <t>AC CHEHAB-CI ATBC 93283</t>
  </si>
  <si>
    <t>TAXI POUR DEPLACEMENT EMMANUELLE BONI DU 17/02/2025 AU 07/03/2025</t>
  </si>
  <si>
    <t>REGULARISATION PPSI / CHQ 0000963 NANGO SIDIKI</t>
  </si>
  <si>
    <t xml:space="preserve">FRAIS D'EXAMEN MEDICAUX /ACCIDENT DE TRAVAIL  OPI YVES LEPRINCE </t>
  </si>
  <si>
    <t>FRAIS DE ROUTE CR 910/992</t>
  </si>
  <si>
    <t>TAXI/MISE A DISPO DE 06 TCS VIDES CCB CR 924 888 889 907 DU 16 AU 23</t>
  </si>
  <si>
    <t>AC DE CARBURANT VS 091</t>
  </si>
  <si>
    <t>TAXI POUR PERMANENCE /OPERATION BESIX LE 21/01/2025</t>
  </si>
  <si>
    <t>CHAMBRIE MECANIC</t>
  </si>
  <si>
    <t>AC DE CARBURANT MOTO COURSIER ESTEBANE</t>
  </si>
  <si>
    <t>TAXI POUR PERMANENCE ET OMISSION  DU 22/02/25 AU 03/03/2025</t>
  </si>
  <si>
    <t xml:space="preserve">PEAGE +PESAGE </t>
  </si>
  <si>
    <t>AMENDE FORFAITAIRES</t>
  </si>
  <si>
    <t>INTERVENTION GENDARMERIE CR 799</t>
  </si>
  <si>
    <t>INTERVENTION CR 1022 POUR CARTE DE TRANSPORT</t>
  </si>
  <si>
    <t xml:space="preserve">RECHARGEMENT BOX INTERNET MOOV BOUAKE </t>
  </si>
  <si>
    <t>BATTERIE LENOVO X1 CARBONNE/ AC ECRAN DE  LENOVO</t>
  </si>
  <si>
    <t>TAXI POUR PERMANENCE LE 02/03/2025</t>
  </si>
  <si>
    <t>PEAGE+PESAGE CR 1054 1063 1186 1142 1138 725</t>
  </si>
  <si>
    <t>FRAIS DE  CR 1054 1063 1186 1142 1138 725</t>
  </si>
  <si>
    <t>LOCATION CISAILLE</t>
  </si>
  <si>
    <t>CREDIT DE COMMUNICATION/  Mme YANKSON MARS 2025</t>
  </si>
  <si>
    <t>DOTATION CARBURANT Mme YANKSON MARS 2025</t>
  </si>
  <si>
    <t>CREDIT DE COMMUNICATION</t>
  </si>
  <si>
    <t xml:space="preserve">RECHARGEMENT BOX INTERNET SOLIBRA </t>
  </si>
  <si>
    <t xml:space="preserve">RETRAIT DE PIECES CR 1202 888 421 429 1168  </t>
  </si>
  <si>
    <t>CARTE DE STATIONNEMENT ET RENOUV CARTE DE TRANSPORT CR 1207CR1130 781</t>
  </si>
  <si>
    <t xml:space="preserve">ONYX TRANS </t>
  </si>
  <si>
    <t>TAXI POUR INDUCTION DAGO RUFIN HSE</t>
  </si>
  <si>
    <t>RECHARGEMENT BOX INTERNET ORANGE /SYSTEME DE VIDEO SURVEILLANCE YAKRO</t>
  </si>
  <si>
    <t>TAXI /PERMANENCE AGENTS ET CHAUFFEURS SOLIBRA LE 02/03/2025</t>
  </si>
  <si>
    <t>REGULARISATION RC GROUPE CENTAURE SASU</t>
  </si>
  <si>
    <t xml:space="preserve">FRAIS DE ROUTE  CR1209 1207 1203 1204 1206 </t>
  </si>
  <si>
    <t xml:space="preserve">PEAGE+PESAGE CR1209 1207 1203 1204 1206 </t>
  </si>
  <si>
    <t>MISSION FERKE/RECUPERATION VS 110/ AC DE CARBURANT VS 88</t>
  </si>
  <si>
    <t xml:space="preserve">  AC DE MONO STOCK CR 798</t>
  </si>
  <si>
    <t>TRAVAUX DE NETTOYAGE DU 01/03/2025 AU 07/03/2025</t>
  </si>
  <si>
    <t>ANNULATION MISSION FERKE/RECUPERATION VS 110</t>
  </si>
  <si>
    <t>MISSION FERKE / RECUPERATION VS 110</t>
  </si>
  <si>
    <t>APPRO DES BADGES DU RECHARGEMENT DU FER</t>
  </si>
  <si>
    <t>FRAIS D'ENTRETIEN DES LOCAUX AERIA 1 ET 2  MARCORY HINO</t>
  </si>
  <si>
    <t>SALAIRE RESTANT CHAUFFEUR COULIBALY KASSIM FEV 25</t>
  </si>
  <si>
    <t>AC SOS BOULONNERIE ATBC 93708</t>
  </si>
  <si>
    <t>AC DE CARBURANT VS 3112</t>
  </si>
  <si>
    <t xml:space="preserve">AC LELENTA SECOU ATBC 94334 </t>
  </si>
  <si>
    <t>AC DE CARBURANT  GBEKE JOACHIM   KOUAME BI DOUA DIMITRI</t>
  </si>
  <si>
    <t xml:space="preserve">TAXI POUR LA CAMPAGNE DE SENSIBILISATION HSE </t>
  </si>
  <si>
    <t>TAXI POUR LA CAMPAGNE DE SENSIBILISATION HSE</t>
  </si>
  <si>
    <t>ENTRETIEN MOTO DES COURSIERS GBEKE JOACHIM ET KOUAME BI DOUA DIMITRI</t>
  </si>
  <si>
    <t xml:space="preserve">TAXI/ OPERATION P/C JALO LOGISTICS </t>
  </si>
  <si>
    <t>ANNULATION APPRO POUR OPERATION DISTRIBUTION</t>
  </si>
  <si>
    <t>ANNULATION TRANSPORT POUR OPERATION DE MONTAGE GOLD</t>
  </si>
  <si>
    <t>TAXI POUR PERMANENCE  ET LIVRAISON HINO DU 04 AU 05/03/2025</t>
  </si>
  <si>
    <t>TAXI POUR PERMANENCE  ET LIVRAISON HINO DU 08 AU 09/03/2025</t>
  </si>
  <si>
    <t>TAXI POUR SERVIR DU CARBURANT / STATION TOTAL ADN DU 03 AU 09/03/2025</t>
  </si>
  <si>
    <t>TAXI POUR DESCENTE TARDIVE SUITE AU CONTRE PLEIN DU CR 1203</t>
  </si>
  <si>
    <t>TAXI POUR SUPERVISION DES PRESTACKING</t>
  </si>
  <si>
    <t xml:space="preserve">TAXI/MISE A DISPOSIT° DE 06 TCS VIDES ET PRESTACKING CR 888 889 1142 </t>
  </si>
  <si>
    <t xml:space="preserve">PEAGE + PESAGE CR 1206 1203 1207 1209 1204 1202 </t>
  </si>
  <si>
    <t xml:space="preserve">FRAIS DE ROUTE CR 1206 1203 1207 1209 1204 1202 </t>
  </si>
  <si>
    <t>RETOUR EN CAISSE / AC DE TUBE GALVANISE DE RECUIT</t>
  </si>
  <si>
    <t xml:space="preserve">AC DE PAIRES DE RAILLES   DE CARBURANT  DE SERRURE </t>
  </si>
  <si>
    <t>AC DE PAIRES DE RAILLES POUR LE BUREAU DE  CHARLOTTE DELAGO</t>
  </si>
  <si>
    <t>AC DE CARBURANT VS 117</t>
  </si>
  <si>
    <t>AC DE SERRURE ALU POUR  BUREAU SERVICE PARC</t>
  </si>
  <si>
    <t>TAXI POUR PERMANENCE DU 03 AU 09/03/2025 SERVICE PARC</t>
  </si>
  <si>
    <t>INTERVENT° POLICIRE GENDARMERIE/PASSAGE EN SENS INVERSE /OPERAT° SAGE</t>
  </si>
  <si>
    <t>FRAIS DE MISSION MONTAGE MINING ET SAGECI</t>
  </si>
  <si>
    <t>PEAGE / MISSION MINING</t>
  </si>
  <si>
    <t>NAISSANCE ENFANT LEIA DELSUC FILLE DE SEBASTIEN DELSUC</t>
  </si>
  <si>
    <t>DECES DU PERE  DE M.KOUASSI KOFFI SYLVAIN AGENT EXPLOITANT</t>
  </si>
  <si>
    <t>NAISSANCE ENFANT ABDUL RAZACK FILS DE OUEDRAOGO ABDOULAYE</t>
  </si>
  <si>
    <t>SEJOUR A ABIDJAN POUR JAUJEAGE DES CR 900/912 1159/890</t>
  </si>
  <si>
    <t>TAXI POUR PERMANENCE  LE 08/03/2025</t>
  </si>
  <si>
    <t>TAXI/ASTREINTE  ET PERMANENCE DU 03 AU 09/03/2025</t>
  </si>
  <si>
    <t>RETOUR EN CAISSE / DOSSIER FINEX</t>
  </si>
  <si>
    <t xml:space="preserve">TAXI/CONTROLE DES FEUX ET ELECTRICITE  SUR CR 11220 1213 1218 1083 </t>
  </si>
  <si>
    <t>TAXI POUR RDV RECOUVREMENT A NOUVELLE GEDISPA LE 12/03/2025</t>
  </si>
  <si>
    <t>AC DE CARBURANT VS 61</t>
  </si>
  <si>
    <t xml:space="preserve">AC DE MUTIPRISES RALLONGES ET ADAPTATEURS </t>
  </si>
  <si>
    <t xml:space="preserve">RECHARGEMENT BOX INTERNET ORANGE / DIRECTION COMMERCIALE </t>
  </si>
  <si>
    <t xml:space="preserve">AC BERNABE ATBC 94110 </t>
  </si>
  <si>
    <t xml:space="preserve">PENALITE /CHEQUE SCI LAVION  REVENU IMPAYE </t>
  </si>
  <si>
    <t>TRANSPORT POUR ENRELEMENT SUR APBIO S. RH</t>
  </si>
  <si>
    <t>AC DE CARBURANT POUR LA VS 117 /MISSION YAKRO ET BOUAKE</t>
  </si>
  <si>
    <t>AC DE CARBURANT MACHINE A COUPER BETON /TRAVAUX A HINO</t>
  </si>
  <si>
    <t>AC D'HERBICIDES POUR LA COUR AERIA1</t>
  </si>
  <si>
    <t>AC CARBURANT ESTEBAN ET TAXI  PERMANENCE OMISSION DU 02 AU 09/03/2025</t>
  </si>
  <si>
    <t>VIDANGE MOTO ESTEBANE</t>
  </si>
  <si>
    <t>VERIFICATION VGM ET COPARN SAPH CCB</t>
  </si>
  <si>
    <t xml:space="preserve">ACCES AU PORT </t>
  </si>
  <si>
    <t>MISSION/DEPANNAGE CR 1143  1229 1212 1215 ET AC DE VOYANT BOUTON POUS</t>
  </si>
  <si>
    <t>RETOUR EN CAISSE AMDS ATBC 93721</t>
  </si>
  <si>
    <t>RECHARGEMENT DATA INTERNET / TELEPHONE PORTABLE DE M.OLIVIER DELSUC</t>
  </si>
  <si>
    <t>AC DE CARBURANT POUR LE GROUPE LECTROGENE DU FOURGON VS 125</t>
  </si>
  <si>
    <t xml:space="preserve">FRAIS DE ROUTE CR 1054 1061 1142 1186 1053 1063  1136 419 </t>
  </si>
  <si>
    <t>FRAIS DE RESTAURATION/ VISITE MENSUELLE SAPH</t>
  </si>
  <si>
    <t xml:space="preserve">PEAGE+PESAGE CR 1054 1061 1142 1186 1053 1063  1136 419 </t>
  </si>
  <si>
    <t>ACCES AU PORT CR 419</t>
  </si>
  <si>
    <t>ACCES AU PORT ET PEAGE+PESAGE CR 1143/681 SITAB</t>
  </si>
  <si>
    <t>PEAGE+PESAGE CR 1143/681 SITAB</t>
  </si>
  <si>
    <t>FRAIS DE ROUTE ET PEAGE PESAGE  CR 1063/996 726/994 888/995</t>
  </si>
  <si>
    <t>FRAIS DE ROUTE  CR 1063/996 726/994 888/995</t>
  </si>
  <si>
    <t>PEAGE+PESAGE CR 1063/996 726/994 888/995</t>
  </si>
  <si>
    <t xml:space="preserve">FRAIS DE ROUTE  CR889 726 888 </t>
  </si>
  <si>
    <t xml:space="preserve">TAXI/OPERA° DE LIVRAISON / CHARGEMENT/MISE A DISPOSIT° DE 6TCS VIDES </t>
  </si>
  <si>
    <t>AC DE CACHET DE RECOUVREMENT /CARTE PECULLEES YVAN GRAVIERE/STEPHANIE</t>
  </si>
  <si>
    <t>RETOUR EN CAISSE / CHQ AFK TRANSPORT N°0000729</t>
  </si>
  <si>
    <t>AC DE BOULE FLOTTEUR POUR MARCORY</t>
  </si>
  <si>
    <t xml:space="preserve">PEAGE+PESAGE  CR 975/805 1191/958 978/777 925/943 908/914 </t>
  </si>
  <si>
    <t xml:space="preserve">FRAIS DE ROUTE CR 975/805 1191/958 978/777 925/943 908/914 </t>
  </si>
  <si>
    <t xml:space="preserve">PEAGE+PESAGE CR 929/916 947917 1187/893 979/915 976/806 925/943 </t>
  </si>
  <si>
    <t xml:space="preserve">FRAIS DE ROUTE CR 929/916 947917 1187/893 979/915 976/806 925/943 </t>
  </si>
  <si>
    <t>ACCES AU PORT 976/806 979/915</t>
  </si>
  <si>
    <t>TAXI / DESCENTE TARDIVE ET DEPOT DE BL A TEMCI DU 28/02/25 AU 07/03/</t>
  </si>
  <si>
    <t xml:space="preserve">AC ETS BANSE ATBC 94571 </t>
  </si>
  <si>
    <t xml:space="preserve">REPAS DIRECTION GENERALE </t>
  </si>
  <si>
    <t>ANNULATION REGULARISATION RC GROUPE CENTAURES DU 06/03/2025</t>
  </si>
  <si>
    <t>REGULARISATION RC LCR/ ROXANE OUATTARA</t>
  </si>
  <si>
    <t>REGULARISAT° RC  FACILITAT° TCA COPIE HARMONISEE GC</t>
  </si>
  <si>
    <t>PHOTOCOPIE DOSSIER REGULARISATION RC LCR</t>
  </si>
  <si>
    <t xml:space="preserve">TAXI/MISE A DISPOSITION DES CHAUFFEURS REPARATION DE CONTENEUR </t>
  </si>
  <si>
    <t xml:space="preserve">TAXI/MISE A DISPOSITION DES CHAUFFEURS SAPH DU 03 AU 09/03/25 </t>
  </si>
  <si>
    <t>REPARATION DE CONTENEUR VIDE AVARIE</t>
  </si>
  <si>
    <t xml:space="preserve">CLE MINUTE BUREAU COMPTABILITE </t>
  </si>
  <si>
    <t xml:space="preserve">TAX POUR RDV COMMERCIAL ET RECOUVREMENT NOUVELLE GEDISPA </t>
  </si>
  <si>
    <t>TAX POUR DESCENTE TARDIVE STAGIAIRE COMPTABILITE LE 13/03/2025</t>
  </si>
  <si>
    <t>AC DE PACK D'EAU CAFE MOUCHOIRS POUR LES CACS</t>
  </si>
  <si>
    <t>TAXI POUR IMMERSION A L'HYDRO SITE MARCORY BINAO</t>
  </si>
  <si>
    <t>TRAVAUX DE NETTOYAGE A AERIA 2 DU 08 AU 14/03/2025</t>
  </si>
  <si>
    <t>AC DE CARBURANT POUR LIAISON ENTRETIEN REPARATION</t>
  </si>
  <si>
    <t>CARTE DE STATIONNEMENT/CREAT°CARTE DE TP /RENOUVELLEMENT  CR 1242 124</t>
  </si>
  <si>
    <t>DECLARATION DE PERTE CR 407</t>
  </si>
  <si>
    <t>FRAIS DE RECEPTION CR890</t>
  </si>
  <si>
    <t xml:space="preserve">PV DE CONSTAT CR 957 /RETRAIT DE PIECES CR 1168 VS 80 CR 429 CR1207 </t>
  </si>
  <si>
    <t>CONSTRUCTION DE LA FOSSE SEPTIQUE DE HINO</t>
  </si>
  <si>
    <t>RETOUR EN CAISSE BERNABE BON ATBC 94110</t>
  </si>
  <si>
    <t xml:space="preserve">AC ADAMA KANE ATBC 94512 </t>
  </si>
  <si>
    <t xml:space="preserve">FRAIS DE ROUTE PEAGE CR 421 1169 1162 1006 1238 1239 1069 1237 1141 </t>
  </si>
  <si>
    <t xml:space="preserve">FRAIS DE ROUTE CR 421 1169 1162 1006 1238 1239 1069 1237 1141 </t>
  </si>
  <si>
    <t xml:space="preserve">PEAGE+PESAGE CR 421 1169 1162 1006 1238 1239 1069 1237 1141 </t>
  </si>
  <si>
    <t>TAXI / PERMANENCE CHAUFFEURS ET AGENT SOLIBRA LE 09/03/2025</t>
  </si>
  <si>
    <t>TAXI / PERMANENCE DU 14 AU 20/03/25 SERVICE PARC ET MACON/AIDE MACON</t>
  </si>
  <si>
    <t>TAXI / PERMANENCE /OPERATION POUR SERVIR LE CARBURANT/STATION TOTAL</t>
  </si>
  <si>
    <t>SOUDAGE BOUTEUIL D'AIR ET MISSION/DEPANNAGE CR1130 1211 1220 1206 907</t>
  </si>
  <si>
    <t>TAXI/ PERMANENCE ET ASTREINTE DU 15 AU 16/03/2025</t>
  </si>
  <si>
    <t>AC DE CARBURANT COURSIERS GBEKE JOACHIM ET KOUAME BI DOUA DIMITRI</t>
  </si>
  <si>
    <t xml:space="preserve">FRAIS DE ROUTE ET PEAGE PESAGE CR 1209 1203 1207 1204 1203 1202 1206 </t>
  </si>
  <si>
    <t xml:space="preserve">FRAIS DE ROUTE  CR 1209 1203 1207 1204 1203 1202 1206 </t>
  </si>
  <si>
    <t xml:space="preserve">PEAGE+PESAGE CR 1209 1203 1207 1204 1203 1202 1206 </t>
  </si>
  <si>
    <t>TAXI POUR  FORMATION DE TOTAL AU COMITE D'ANALYSE DES ANOMALIES</t>
  </si>
  <si>
    <t>CLIENT DIVERS /DIALLO MAMADOU ABDOULAYE</t>
  </si>
  <si>
    <t>RECHARGEMENT BOX INTERNET ORANGE / SOLIBRA YOPOUGON</t>
  </si>
  <si>
    <t>RECHARGEMENT BOX INTERNET CLOG SCI BINAO</t>
  </si>
  <si>
    <t>ACHAT ET PARAPHER DU REGISTRE DU CA GROUPE CENTAURES</t>
  </si>
  <si>
    <t>ACHAT ET PARAGRAPHE DU REGISTRE DU CA LCR</t>
  </si>
  <si>
    <t>TAXI POUR COURSE A LA BANQUE</t>
  </si>
  <si>
    <t>TAXI POUR RECOUVREMENT GTCI</t>
  </si>
  <si>
    <t>TAXI/SIGNATURE DE CONTRAT CHAUF ET ENROLEMENT A LA POINTEUSE HINO</t>
  </si>
  <si>
    <t>TAXI / PERMANENCE DE L'OPERATION GMCI DU 14 AU 15/03/2025</t>
  </si>
  <si>
    <t>CARTE DE VISITE M.OLIVER DELSUC</t>
  </si>
  <si>
    <t>AC DE JOURNAUX</t>
  </si>
  <si>
    <t>DOTAT° DE CARBURANT POUR MOTO DE LIAISON ET TAXI /RETOUR A LA MAISON</t>
  </si>
  <si>
    <t>AC DE BLANCO POUR CORRECTION DES CARNETS DE CAISSE MINOTAURE ET LCR</t>
  </si>
  <si>
    <t xml:space="preserve">REGULARISATION IMPAYE  CNPS_Echéancier </t>
  </si>
  <si>
    <t>REGULARISATION IMPAYE  CNPS_Echéancier / FRAIS D'IMPAYE</t>
  </si>
  <si>
    <t>FRAIS DE ROUTE ET PEAGE CR 1063 1186 1047 1052 1145 1000 421 911</t>
  </si>
  <si>
    <t>FRAIS DE ROUTE CR 1063 1186 1047 1052 1145 1000 421 911</t>
  </si>
  <si>
    <t>PEAGE+PESAGE CR 1063 1186 1047 1052 1145 1000 421 911</t>
  </si>
  <si>
    <t xml:space="preserve">INTERVENTION GENDARMERIE/OPERATION GMCI AU PASSAGE EN SENS INVERSE </t>
  </si>
  <si>
    <t xml:space="preserve">FRAIS DE ROUTE ET PEAGE+PESAGE  CR 1207 1204 1209 1202 1206 1203 </t>
  </si>
  <si>
    <t xml:space="preserve">FRAIS DE ROUTE  CR 1207 1204 1209 1202 1206 1203 </t>
  </si>
  <si>
    <t xml:space="preserve">PEAGE+PESAGE CR 1207 1204 1209 1202 1206 1203 </t>
  </si>
  <si>
    <t>AC DE VANNE A BILLE / MAMELON DOUBLE MALE /TUBE DE RACCORDEMENT INOX</t>
  </si>
  <si>
    <t>AC KABORE TANGA ATBC 94509</t>
  </si>
  <si>
    <t>AC KABORE TANGA ATBC 94510</t>
  </si>
  <si>
    <t>DEPLACEMENT EMMANUELLE BONI ET CERTIFICAT° PASSEPOTS DES DELSUC</t>
  </si>
  <si>
    <t>TAXI POUR DEPLACEMENT EMMANUELLE BONI DU 10 AU 21/03/2025</t>
  </si>
  <si>
    <t>FRAIS DE CERTIFICATION  PASSEPORTS ANNE MARIE DELSUC/BERTRAND DELSUC</t>
  </si>
  <si>
    <t>TAXI POUR REMBLAYAGE DEVANT LE SITE D'HINO</t>
  </si>
  <si>
    <t>AC DE SERRURE DE PORTE POUR AERIA 2</t>
  </si>
  <si>
    <t>AC DE PIOCHE ET PEL BECHE</t>
  </si>
  <si>
    <t>DEJENEUR  DES CACS APRES VISITE DE AERIA2</t>
  </si>
  <si>
    <t>TAXI POUR DEPLACEMENT DE AERIA1 A AERIA2</t>
  </si>
  <si>
    <t>TAXI POUR LA REUNION DES DELEGUES A HINO</t>
  </si>
  <si>
    <t xml:space="preserve">AC AXE IMPRESSION ATBC 94536 </t>
  </si>
  <si>
    <t>REPARATION ECRAN DE SMARTPHONE ROXANE OUATTARA</t>
  </si>
  <si>
    <t>PEAGE PESAGE /FRAIS DE ROUTE/TAXI/COMPLEMENT CARBURANT</t>
  </si>
  <si>
    <t>COMPLEMENT DE CARBURANT DE LA VS 97 /MISSION FERKE</t>
  </si>
  <si>
    <t xml:space="preserve">FRAIS DE ROUTE  CR 1000/1112 </t>
  </si>
  <si>
    <t xml:space="preserve">TAXI/CHARGEMENT ET MISE EN LIVRAISON DE 07 CONTENEURS SITAB BOUAKE </t>
  </si>
  <si>
    <t>PEAGE+PESAGE CR 1000/1112 1203</t>
  </si>
  <si>
    <t xml:space="preserve">TAXI /OPERATION A ECOBANK PLATEAU </t>
  </si>
  <si>
    <t>PEAGE+PESAGE ET OMISSION DU 09/03/2025</t>
  </si>
  <si>
    <t>OMISSION DU 09/03/2025</t>
  </si>
  <si>
    <t>APPROVISIONNEMENT BADGE DU FER ADMINISTRATION</t>
  </si>
  <si>
    <t>TAXI/ INTERVENTION /CARBURANT/VERIFICATION VGM</t>
  </si>
  <si>
    <t>TAXI/CORECT° EXPORT SAPH FORMATEUR ET PERMANENCE DU 15 AU 16/03/2025</t>
  </si>
  <si>
    <t xml:space="preserve">AC DE CARBURANT MOTO ESTEBANE </t>
  </si>
  <si>
    <t xml:space="preserve">VERIFICATION VGM </t>
  </si>
  <si>
    <t xml:space="preserve">PEAGE+PESAGE </t>
  </si>
  <si>
    <t>INTERVENTION POLICIERE/CARTE DE TRANSPORT DU NOUVEAU TRACTEUR</t>
  </si>
  <si>
    <t>CONSTRUCTION DE FOSSE SEPTIQUE DU 17 AU 21/03/2025</t>
  </si>
  <si>
    <t xml:space="preserve">RENOUV CARTE DE TP CR999 1130 638 888 1117/AUTORISAT°DGH CR890/CARTE </t>
  </si>
  <si>
    <t xml:space="preserve">RETRAIT DE PIECES CR  400 1141 1207 </t>
  </si>
  <si>
    <t xml:space="preserve">FRAIS DE ROUTE CR 906 925 1187 978 975 955 979 1191 976 929 1005 957 </t>
  </si>
  <si>
    <t>DOTATION DE GASOIL EXTERIEUR CR 929/916</t>
  </si>
  <si>
    <t xml:space="preserve">PEAGE+PESAGE CR 906 925 1187 978 975 955 979 1191 976 929 1005 957 </t>
  </si>
  <si>
    <t xml:space="preserve">TAXI/DESCENTE TARDIVE RETOUR A YAKRO /JAUGEAGE ET VISITE CR974 900 </t>
  </si>
  <si>
    <t>AC DE CARBURANT POUR LA MOTO DE LIAISON</t>
  </si>
  <si>
    <t>TRAVAUX DE NETTOYAGE DANS LA COUR DE AERIA 2</t>
  </si>
  <si>
    <t xml:space="preserve">TAXI DES CHAUFFEURS POUR FORMATION RECYCLAGE /CONDUITE DEFINITIVE </t>
  </si>
  <si>
    <t>MISSION /ENVOI DE PIECE A FERKE ET DEPANNAGE DES CR 1214 888 1029 907</t>
  </si>
  <si>
    <t>TAXI / PERMANENCE DES CHAUFFEURS LE 16/03/2025</t>
  </si>
  <si>
    <t>FRAIS DE ROUTE CR 888 726 889 907</t>
  </si>
  <si>
    <t>ACCOMPTE/ PRIME ANNUELLE 2025 LAGBA SERGE TAPE</t>
  </si>
  <si>
    <t>AC D'ECRAN LENOVO X1 CARBONE POUR REPARATION ORDINATEUR GUY AKA</t>
  </si>
  <si>
    <t>AC DE CARBURANT VS 61 POUR LE DSI</t>
  </si>
  <si>
    <t>AC DE CARBURANT GBEKE JOACHIM ET KOUAME BI DOUA DIMITRI</t>
  </si>
  <si>
    <t xml:space="preserve">RETOUR EN CAISSE / AC DE BLANCO </t>
  </si>
  <si>
    <t>RECHARGEMENT BOX INTERNET MTN HUB LOGISTIQUE AERIA2</t>
  </si>
  <si>
    <t>RECHARGEMENT BOX INTERNET ORANGE SOLIBRA TREICHVILLE</t>
  </si>
  <si>
    <t xml:space="preserve">AC TAPISSERIE DJOLOF ADBC04700 </t>
  </si>
  <si>
    <t>TAXI/SERVICE A LA STATION TOTAL YOP/OPERAT° A LA STATION LCR DU 17 AU</t>
  </si>
  <si>
    <t>TAXI POUR LE MACON LE 22/03/2025</t>
  </si>
  <si>
    <t>TAXI POUR PERMANENCE DU 17 AU 23/03/2025 DIRECTION TECHNIQUE</t>
  </si>
  <si>
    <t>TAXI POUR NUIT DE SURVEILLANCE DES SITES D'ABIDJAN</t>
  </si>
  <si>
    <t>NETTOYAGE DU CANIVEAU DE AREIA1</t>
  </si>
  <si>
    <t xml:space="preserve">DEPANNAGE DE LA CR 958/TIASSALE </t>
  </si>
  <si>
    <t>TAXI/ASTREINTE PERMANENCE DU 17 AU 22/03/2025</t>
  </si>
  <si>
    <t>TAXI/MISE A DISPO D'UNE GRUE 14T ET EQUIPE MANUTENTIONNAIRE A NAVITRA</t>
  </si>
  <si>
    <t xml:space="preserve"> MISSION/REMORQUAGE DU CR 954/INTERVENT° POLICIERE ET GENDARMERIE </t>
  </si>
  <si>
    <t xml:space="preserve"> MISSION/REMORQUAGE  DU CR 954 LE 23/03/2025</t>
  </si>
  <si>
    <t>INTERVENT° POLICIERE ET GENDARMERIE /PASSAGE EN SENS INVERSE PONT FHB</t>
  </si>
  <si>
    <t>AC DE CARBURANT POUR VEHICULE DE LIAISON / RETRAIT  ECOBANK</t>
  </si>
  <si>
    <t>POT DE DEPART DE ULRICH KOFFI S. INFORMATIQUE</t>
  </si>
  <si>
    <t>AC DE RUBAN POUR IMPRESSION DE BADGES PROFESIONNELS</t>
  </si>
  <si>
    <t>TAXI POUR SEANCE DE TRAVAIL CHEZ TOTAL CHARLOTTE DELAGO ET SAMIRA YEO</t>
  </si>
  <si>
    <t>TAXI POUR FORMATION PROJET ULYSSE 1ER JOUR M.AKPA ET THIAM</t>
  </si>
  <si>
    <t>AC DE BATTERIE LENOVO T E14 GEN 2/ REPARATION ORDI BINTOU FOFANA</t>
  </si>
  <si>
    <t xml:space="preserve">AC DE FILTRE A HUILE </t>
  </si>
  <si>
    <t xml:space="preserve">AC DE JOURNAUX </t>
  </si>
  <si>
    <t>CHQ N°4851711 / APPRO CAISSE POUR FONCTIONNEMENT</t>
  </si>
  <si>
    <t>AC DE GERFLEXE ET POT DE COLLE SNPC</t>
  </si>
  <si>
    <t>AC TUBE DE RACCORDEMENT/ROBINET CHASSE D'EAU/MECANISME OIL POUSSOIR</t>
  </si>
  <si>
    <t xml:space="preserve">AC D'EMPOULE SPOT LED </t>
  </si>
  <si>
    <t>CONSULTATION OPHTAMOLOGIQUE POUR CHARGEUR DOGBO SALOMON</t>
  </si>
  <si>
    <t>REPAS DIRECTION GENERALE</t>
  </si>
  <si>
    <t>TAXI POUR OPERATION EN FAVEUR DE  NAVITRANS ET M.CHRISTOPHE</t>
  </si>
  <si>
    <t>TAXI POUR OPERATION DE RETRAIT A ECOBANK</t>
  </si>
  <si>
    <t>TAXI /PERMANENCE/ MISE A DISPOSIT° DES CHAUF/OPERATION SAPH ET SITAB</t>
  </si>
  <si>
    <t xml:space="preserve">FRAIS DE ROUTE/PEAGE +PESAGE CR 1206 1207 1209 1202 1204 1203 </t>
  </si>
  <si>
    <t xml:space="preserve">FRAIS DE ROUTE CR 1206 1207 1209 1202 1204 1203 </t>
  </si>
  <si>
    <t xml:space="preserve">PEAGE+PESAGE CR 1206 1207 1209 1202 1204 1203 </t>
  </si>
  <si>
    <t xml:space="preserve">NOUVELLE GEDISPA </t>
  </si>
  <si>
    <t xml:space="preserve">RETOUR EN CAISSE PRESTIGE AUTO ATBC 94394 </t>
  </si>
  <si>
    <t>AC SIAC ATBC 94530</t>
  </si>
  <si>
    <t xml:space="preserve">TAXI/ PRESTACKING DES CONTENEURS ET VERIFICATION VGM </t>
  </si>
  <si>
    <t>TAXI POUR PRESTACKING DES CONTENEURS VIDES SAPH DU 16 AU 23/03/25</t>
  </si>
  <si>
    <t xml:space="preserve">FRAIS DE VERIFICATION VGM </t>
  </si>
  <si>
    <t xml:space="preserve">AC DE CARBURANT OUEDRAOGO ABDOULAYE </t>
  </si>
  <si>
    <t>NETTOYAGE A AERIA2 DU 22 AU 28/03/2025</t>
  </si>
  <si>
    <t>TAXI POUR PERMANENCE ET DESCENTE TARDIVE DU 24 AU 27/03/2025</t>
  </si>
  <si>
    <t>TAXI POUR RDV / RECOUVREMENT A GTCI</t>
  </si>
  <si>
    <t xml:space="preserve">TAXI /PERMANENCE DESCENTE TARDIVE TRANSMISSION BL ET RETOUR/YAKRO </t>
  </si>
  <si>
    <t>FRAIS DE ROUTE/ PEAGE+PESAGE /ACCES AU PORT SERVICE HYDRO</t>
  </si>
  <si>
    <t xml:space="preserve">FRAIS DE ROUTE CR954 908 925 949 957 977 1187 979 978 1191 976 </t>
  </si>
  <si>
    <t xml:space="preserve">PEAGE +PESAGE  CR954 908 925 949 957 977 1187 979 978 1191 976 </t>
  </si>
  <si>
    <t>FRAIS D'ACCES AU PORT CR 975/805</t>
  </si>
  <si>
    <t>TAXI/OPERAT° POUR NAVITRANS CI ET TOTAL ENERGIES DU 26 AU 28/03/25</t>
  </si>
  <si>
    <t>FRAIS DE ROUTE /PEAGE+PESAGE CR 1186 1142 1054 1047 1061 1145 1136 14</t>
  </si>
  <si>
    <t xml:space="preserve">FRAIS DE ROUTE CR 1186 1142 1054 1047 1061 1145 1136 1422 1063 1000 </t>
  </si>
  <si>
    <t>LOCATION DE CISAILLE</t>
  </si>
  <si>
    <t xml:space="preserve">PEAGE+PESAGE CR 1186 1142 1054 1047 1061 1145 1136 1422 1063 1000 </t>
  </si>
  <si>
    <t>ACCES AU PORT POUR OPERATION NAVITRANS LE 21/03/2025</t>
  </si>
  <si>
    <t>INTERVENT° POLICIERE ET GENDARMERIE/PASSAGE EN SENS INVERSE PONT FHB</t>
  </si>
  <si>
    <t>TAXI /PERMANENCE AGENTS ET CHAUFFS SOLIBRA HUB ET INTERVENT° POLICIER</t>
  </si>
  <si>
    <t xml:space="preserve">TAXI /PERMANENCE AGENTS ET CHAUFFS SOLIBRA HUB DU 23 AU 27/03/2025 </t>
  </si>
  <si>
    <t>INTERVENT° POLICIERE/CONDUITE DANS LA PLAGE HORAIRE CR1161 LE 24/03</t>
  </si>
  <si>
    <t>FRAIS DES DOCKERS MARS 2025</t>
  </si>
  <si>
    <t>FRAIS DEROUTE  CR 1169 1162 1238 1237 1006 1004 1069 1166 419</t>
  </si>
  <si>
    <t>FRAIS DE PEAGE+PESAGE CR 1169 1162 1238 1237 1006 1004 1069 1166</t>
  </si>
  <si>
    <t>TAXI DU 24 AU 28/03/25 POUR /FOSSE SEPTIQUE HINO</t>
  </si>
  <si>
    <t xml:space="preserve">AC DE PACK D'EAU ET CAFE POUR LA DIRECTION GENERALE </t>
  </si>
  <si>
    <t>CHQ</t>
  </si>
  <si>
    <t>C REM CHQ 0002262 SOLIBRA</t>
  </si>
  <si>
    <t>C REM CHQ 3886057 NMS INFRASTRUCTURE</t>
  </si>
  <si>
    <t>C REM CHQ NMS INFRASTRUCTURE</t>
  </si>
  <si>
    <t>C REM CHQ 1919136 COMPAGNIE CACAOYERE DU BANDAMA</t>
  </si>
  <si>
    <t>C REM CHQ 4180366 TRANSIT CENTER</t>
  </si>
  <si>
    <t>C REM CHQ 4180460 TRANSIT CENTER</t>
  </si>
  <si>
    <t>Annulation C REM CHQ 3886057 NMS INFRASTRUCTURE</t>
  </si>
  <si>
    <t>C REM CHQ 1808485 STRACOTRANS</t>
  </si>
  <si>
    <t>C REM CHQ 4017346 NAVITRANS CI (Ex CIAM)</t>
  </si>
  <si>
    <t>C REM CHQ 1104204 SOCIETE IVOIRIENNE DE DISTRIBUTION</t>
  </si>
  <si>
    <t>C REM CHQ 1017358 NAVITRANS CI (Ex CIAM)</t>
  </si>
  <si>
    <t>C REM CHQ 0500869 GLOBAL MANUT CI (GMCI)</t>
  </si>
  <si>
    <t>C REM CHQ 0500682 GLOBAL MANUT CI (GMCI)</t>
  </si>
  <si>
    <t>C REM CHQ 4520170 TONGONNAISE DES MINES (TOMI)</t>
  </si>
  <si>
    <t>C REM CHQ 4520118 TONGONNAISE DES MINES (TOMI)</t>
  </si>
  <si>
    <t>FINAFF</t>
  </si>
  <si>
    <t>VIREMENT TOTAL COTE D`IVOI</t>
  </si>
  <si>
    <t>21319I046/000248</t>
  </si>
  <si>
    <t>25-FCR001095</t>
  </si>
  <si>
    <t>SET SERVICES- REHABILITATION DU PARATONNERRE DETERIORE</t>
  </si>
  <si>
    <t>SET SERVICES- REHABILITATION DU PARATONNERRE DETERIORE ET MAINTENANCE</t>
  </si>
  <si>
    <t>SET SERVICES- MAINTENANCE PARATONNERRE</t>
  </si>
  <si>
    <t>25-FCR000850</t>
  </si>
  <si>
    <t>ETS AK - FEUILLES DE TOLE, DECOUPAGE ET SOUDURE MANCHES CORNIERES</t>
  </si>
  <si>
    <t>25-FCR000956</t>
  </si>
  <si>
    <t>COCITAM- SYSTEME DE GEOLOCALISATION POUR TRACTEURS</t>
  </si>
  <si>
    <t>COCITAM- GEOLOCALISAT° POUR TRACTEURS &amp; ABONNEMENT MENSUEL FEV 25</t>
  </si>
  <si>
    <t>COCITAM-  ABONNEMENT MENSUEL FEVRIER 2025</t>
  </si>
  <si>
    <t>COCITAM- ABONNEMENT MENSUEL FEVRIER 2025</t>
  </si>
  <si>
    <t>25-FCR000957</t>
  </si>
  <si>
    <t>SNH SYSTEM - HP ALL IN ONE CORE I5</t>
  </si>
  <si>
    <t>25-FCR001112</t>
  </si>
  <si>
    <t xml:space="preserve">COCITAM- AUTOMATE ALX 808 POUR BORNE DE GESTION </t>
  </si>
  <si>
    <t>25-FCR001099-1104</t>
  </si>
  <si>
    <t>KOUAKOU AMBROISE- TRAVAUX DE REHABILITATION ET AMENAGEMENT SITE BKE</t>
  </si>
  <si>
    <t xml:space="preserve">Annulation COCITAM- AUTOMATE ALX 808 POUR BORNE DE GESTION </t>
  </si>
  <si>
    <t>25-FCR001098</t>
  </si>
  <si>
    <t>TECH OPEN- SWITCH RESEAU ET POINT D'ACCES D-LINK</t>
  </si>
  <si>
    <t>25-FCR001117</t>
  </si>
  <si>
    <t>SOCIETE BIBLOS - SPLITS SMART SITE YAKRO</t>
  </si>
  <si>
    <t>FCR001089</t>
  </si>
  <si>
    <t>LCR/03/03-25</t>
  </si>
  <si>
    <t>PAIEMENT INTERCO-CHEQ EOBANK N°4851152 FRANCETRUCK DU 05/03/2025</t>
  </si>
  <si>
    <t>FCR001169</t>
  </si>
  <si>
    <t>LCR/04/03-25</t>
  </si>
  <si>
    <t>GROUPELOGICIELSCE</t>
  </si>
  <si>
    <t>PAIEMENT INTERCO-CHEQ N°4851154 ECOBANK LOGICIELS SERVICES</t>
  </si>
  <si>
    <t>PAIEMENT INTERCO-CHEQ N°4851155 ECOBANK INQ</t>
  </si>
  <si>
    <t>PAIEMENT INTERCO-CHEQ N°4851156 ECOBANK ETHICS</t>
  </si>
  <si>
    <t>PAIEMENT INTERCO-CHEQ N°4851157 ECOBANK ADIALEA RCI</t>
  </si>
  <si>
    <t>PAIEMENT INTERCO-CHEQ N°4851158 ECOBANK CIE</t>
  </si>
  <si>
    <t>PAIEMENT INTERCO-CHEQ N°4851159 ECOBANK CIE</t>
  </si>
  <si>
    <t>PAIEMENT INTERCO-CHEQ N°4851160 ECOBANK ORANGE</t>
  </si>
  <si>
    <t>PAIEMENT INTERCO-CHEQ N°4851161 ECOBANK MTN</t>
  </si>
  <si>
    <t>LCR/06/03-25</t>
  </si>
  <si>
    <t>AVANCE IDIS/REMBOURSEMENT IDIS</t>
  </si>
  <si>
    <t>AVANCEIDIS</t>
  </si>
  <si>
    <t>FCR001175</t>
  </si>
  <si>
    <t>LCR/05/03-25</t>
  </si>
  <si>
    <t xml:space="preserve">PAIEMENT INTERCO-CHEQUE ECOBANK N°4851708 E.T.S A.K </t>
  </si>
  <si>
    <t>25FCR001380</t>
  </si>
  <si>
    <t>LCR/07/03-25</t>
  </si>
  <si>
    <t>PAIEMENT INTERCO-CHEQUE ECOBANK N°4851709 AYEBA AKA MAMBE</t>
  </si>
  <si>
    <t>25FCR001379</t>
  </si>
  <si>
    <t>PAIEMENT INTERCO-SALAIRES LCR MOIS DE MARS 2025</t>
  </si>
  <si>
    <t>Extourne PNEUMATIQUE / SUIVANT FNP MOIS DE FEVRIER</t>
  </si>
  <si>
    <t>Extourne FOURNITURE D'ATELIER &amp; MAGASIN / SUIVANT FNP MOIS DE FEVRIER</t>
  </si>
  <si>
    <t>Extourne STOCKS PIECES DETACHEES / SUIVANT FNP MOIS DE FEVRIER</t>
  </si>
  <si>
    <t>Extourne AFRICAUTO / SUIVANT FNP MOIS DE FEVRIER</t>
  </si>
  <si>
    <t>Extourne GENERAL METAL CONSTRUCTION / SUIVANT FNP MOIS DE FEVRIER</t>
  </si>
  <si>
    <t>Extourne IPR / SUIVANT FNP MOIS DE FEVRIER</t>
  </si>
  <si>
    <t>Extourne CFAO MOTORS / SUIVANT FNP MOIS DE FEVRIER</t>
  </si>
  <si>
    <t>Extourne SOCIDA / SUIVANT FNP MOIS DE FEVRIER</t>
  </si>
  <si>
    <t>Extourne SPRINT TECH CI / SUIVANT FNP MOIS DE FEVRIER</t>
  </si>
  <si>
    <t>Extourne LA MAISON DU PROFESSIONNEL / SUIVANT FNP MOIS DE FEVRIER</t>
  </si>
  <si>
    <t>Extourne SOACI SN / SUIVANT FNP MOIS DE FEVRIER</t>
  </si>
  <si>
    <t>Extourne ABIDJAN HYDRAULIQUE / SUIVANT FNP MOIS DE FEVRIER</t>
  </si>
  <si>
    <t>Extourne KABALANE ET CIE S.A / SUIVANT FNP MOIS DE FEVRIER</t>
  </si>
  <si>
    <t>Extourne SN PROTEC / SUIVANT FNP MOIS DE FEVRIER</t>
  </si>
  <si>
    <t>Extourne SAVANE LAMINE / SUIVANT FNP MOIS DE FEVRIER</t>
  </si>
  <si>
    <t>Extourne KABORE TANGA / SUIVANT FNP MOIS DE FEVRIER</t>
  </si>
  <si>
    <t>Extourne ADJI ROTOR / SUIVANT FNP MOIS DE FEVRIER</t>
  </si>
  <si>
    <t>Extourne MAISON DE LA PRESSION GENERALE / SUIVANT FNP MOIS DE FEVRIER</t>
  </si>
  <si>
    <t>Extourne LASSIRE INDUSTRIE / SUIVANT FNP MOIS DE FEVRIER</t>
  </si>
  <si>
    <t>Extourne SIDECI / SUIVANT FNP MOIS DE FEVRIER</t>
  </si>
  <si>
    <t>Extourne SERVICE RADIATEUR / SUIVANT FNP MOIS DE FEVRIER</t>
  </si>
  <si>
    <t>Extourne ENTRETIEN VEHICULES / SUIVANT FNP MOIS DE FEVRIER</t>
  </si>
  <si>
    <t>Extourne Sotra tourisme/SUIVANT FNP MOIS DE FEVRIER</t>
  </si>
  <si>
    <t>ABN PIDR</t>
  </si>
  <si>
    <t>Extourne FOURNISSEURS DIVERS/SUIVANT FNP MOIS DE FEVRIER SST EXPLOITA</t>
  </si>
  <si>
    <t>Extourne REGUL STOCK</t>
  </si>
  <si>
    <t xml:space="preserve">Extourne TOTALENERGIES MKT CI-PROVISION CONSO CARBURANT </t>
  </si>
  <si>
    <t>Extourne DECLARATION TVA FEVRIER 2025</t>
  </si>
  <si>
    <t>DECLARATION TVA FEVRIER 2025</t>
  </si>
  <si>
    <t>Charges constatées d'avance-SUIVANTRECLASSEMENT LOYER SAMAT 1ER T 25</t>
  </si>
  <si>
    <t>REMNUNERATION JETONS DE PRESENCE AMD</t>
  </si>
  <si>
    <t>POURREGULVA</t>
  </si>
  <si>
    <t>Extourne REGUL CAFF HYDRO</t>
  </si>
  <si>
    <t>Extourne REGUL CAFF DIST</t>
  </si>
  <si>
    <t>Extourne REGUL CAFF CANNE A SUCRE</t>
  </si>
  <si>
    <t>Extourne REGUL CAFF FRET CONTENEUR</t>
  </si>
  <si>
    <t>Extourne REGUL CAFF COLIS LOURD</t>
  </si>
  <si>
    <t>Extourne REGUL CAFF FRET DIVERS</t>
  </si>
  <si>
    <t>Extourne REGUL CAFF RECETTE LEVAGE ET GRUTAGE</t>
  </si>
  <si>
    <t>Extourne REGUL CAFF RECETTE FRET INTERLAND IMPERIAL</t>
  </si>
  <si>
    <t>Extourne REGUL CAFF RECETTE LOCATION DE SURFACE</t>
  </si>
  <si>
    <t>Extourne REGUL CAFF SERVICE DIVERS</t>
  </si>
  <si>
    <t>Extourne REGUL CAFF MANUTENTION CONTENEUR</t>
  </si>
  <si>
    <t>Extourne REGUL CAFF RECETTE SERVICES DIVERS</t>
  </si>
  <si>
    <t>Extourne REGUL CAFF CONTENEUR REVENUS ANNEXES</t>
  </si>
  <si>
    <t>Extourne SUIVNT TRANSFERT DE CHARGE COMTATEC DE SEPT A DEC 2024</t>
  </si>
  <si>
    <t>NMS INFRASTRUCTURE/SINISTRE</t>
  </si>
  <si>
    <t>Annulation NMS INFRASTRUCTURE/SINISTRE</t>
  </si>
  <si>
    <t>VS 97-99</t>
  </si>
  <si>
    <t>RETRAITEMENT CB MARS VS 97-99</t>
  </si>
  <si>
    <t>VS 100</t>
  </si>
  <si>
    <t>RETRAITEMENT CB MARS VS 100</t>
  </si>
  <si>
    <t>VS 102-106</t>
  </si>
  <si>
    <t>RETRAITEMENT CB MARS VS 102-106</t>
  </si>
  <si>
    <t>VS 107</t>
  </si>
  <si>
    <t>RETRAITEMENT CB MARS VS 107</t>
  </si>
  <si>
    <t>RETRAITEMENT CB MARS VS 126</t>
  </si>
  <si>
    <t xml:space="preserve"> VS 125</t>
  </si>
  <si>
    <t>RETRAITEMENT CB MARS VS 125</t>
  </si>
  <si>
    <t>RETRAITEMENT CB MARS VS 124</t>
  </si>
  <si>
    <t>RETRAITEMENT CB MARS VS 123</t>
  </si>
  <si>
    <t>RETRAITEMENT CB MARS VS 122</t>
  </si>
  <si>
    <t>RETRAITEMENT CB MARS CR 1223-1224</t>
  </si>
  <si>
    <t>RETRAITEMENT CB MARS CR 1225-1228</t>
  </si>
  <si>
    <t>RETRAITEMENT CB MARS CR 1229-1232</t>
  </si>
  <si>
    <t>RETRAITEMENT CB MARS CR 1233-1234</t>
  </si>
  <si>
    <t>VS 118</t>
  </si>
  <si>
    <t>RETRAITEMENT CB MARS VS 118</t>
  </si>
  <si>
    <t>RETRAITEMENT CB MARS VS 113/114</t>
  </si>
  <si>
    <t>RETRAITEMENT CB MARS VS 115</t>
  </si>
  <si>
    <t>VS 110</t>
  </si>
  <si>
    <t>RETRAITEMENT CB MARS VS 110</t>
  </si>
  <si>
    <t>VS 111</t>
  </si>
  <si>
    <t>RETRAITEMENT CB MARS VS 111</t>
  </si>
  <si>
    <t>VS 112</t>
  </si>
  <si>
    <t>RETRAITEMENT CB MARS VS 112</t>
  </si>
  <si>
    <t>VS 108</t>
  </si>
  <si>
    <t>RETRAITEMENT CB MARS VS 108</t>
  </si>
  <si>
    <t>VS 109</t>
  </si>
  <si>
    <t>RETRAITEMENT CB MARS VS 109</t>
  </si>
  <si>
    <t>VS 120</t>
  </si>
  <si>
    <t>RETRAITEMENT CB MARS VS 120</t>
  </si>
  <si>
    <t>RETRAITEMENT CB MARS CR 1235-1236-1239</t>
  </si>
  <si>
    <t>RETRAITEMENT CB MARS CR 1237-1238-1240</t>
  </si>
  <si>
    <t>RETRAITEMENT CB MARS CR 1241-1244</t>
  </si>
  <si>
    <t>FAB2104078</t>
  </si>
  <si>
    <t>ANNULATION CREANCE DOUTEUSE/FACT SICMA</t>
  </si>
  <si>
    <t>FAB2200201</t>
  </si>
  <si>
    <t xml:space="preserve">ANNULATION CREANCE DOUTEUSE/FACT SICMA </t>
  </si>
  <si>
    <t xml:space="preserve">ANNULATION CREANCE DOUTEUSE/QUOTE PART TVA DIFFEREE </t>
  </si>
  <si>
    <t>ANNULATION CREANCE DOUTEUSE/REM CHQ 6856199 SICMA</t>
  </si>
  <si>
    <t>ANNULATION CREANCE DOUTEUSE/REM CHQ 6856232 SICMA</t>
  </si>
  <si>
    <t>FAB2202858</t>
  </si>
  <si>
    <t>ANNULATION PROVISION SICMA/CREANCE DOUTEUSE SELON COMITE CREDIT</t>
  </si>
  <si>
    <t>FAB2403173</t>
  </si>
  <si>
    <t>INEXENCE</t>
  </si>
  <si>
    <t>INEXENCE REALISATION AFRIQUE/QUOTE PART TVA</t>
  </si>
  <si>
    <t>SUPERMARITIME/CREANCE DOUTEUSE</t>
  </si>
  <si>
    <t>SUPERMARITIME/PROVISION CREANCE DOUTEUSE</t>
  </si>
  <si>
    <t>SICMA/QUOTE PART TVA</t>
  </si>
  <si>
    <t>CR 1022-1023-1024</t>
  </si>
  <si>
    <t>RETRAITEMENT CB MARS CR 1022-1023-1024</t>
  </si>
  <si>
    <t>CR 1025</t>
  </si>
  <si>
    <t>RETRAITEMENT CB MARS CR 1025</t>
  </si>
  <si>
    <t>Charges constatées d'av-SVT RECLASSMT PNEUMATIQ FRET CANNE A SUCR MAR</t>
  </si>
  <si>
    <t>Ach. consommé pneumatiq-SUIVANT RECLASSMT PNEUMATIQ FRET CANNE A SUCR</t>
  </si>
  <si>
    <t>AMORTISSEMENTS LOGICIELS FEVRIER</t>
  </si>
  <si>
    <t>AMORTISSEMENTS MARQUES FEVRIER</t>
  </si>
  <si>
    <t>AMORT. TRAVX. MISE EN VAL. TERRAINS FEVRIER</t>
  </si>
  <si>
    <t>AMORT. BATIMENTS ADM &amp; COMMERCIAUX FEVRIER</t>
  </si>
  <si>
    <t>AMORT. CONSTRUCT° /SOL AUTRUI FEVRIER</t>
  </si>
  <si>
    <t>AMORT. INST° TECHNIQUES FEVRIER</t>
  </si>
  <si>
    <t>AMORT. AGCT &amp; INST BUREAU FEVRIER</t>
  </si>
  <si>
    <t>AMORT. AUTRES AGCTS &amp; INST FEVRIER</t>
  </si>
  <si>
    <t>AMORT MATERIEL ET OUTILLAGE FEVRIER</t>
  </si>
  <si>
    <t>AMORT. MATERIEL DE BUREAU FEVRIER</t>
  </si>
  <si>
    <t>AMORT. MATERIEL INFORMATIQUE FEVRIER</t>
  </si>
  <si>
    <t>AMORT. MOB DE BUREAU FEVRIER</t>
  </si>
  <si>
    <t>AMORT. MATER ROULANT DE TRANSPORT FEVRIER</t>
  </si>
  <si>
    <t>AMORT. RECFECTION MOTEUR FEVRIER</t>
  </si>
  <si>
    <t>AMORT. VEHICULES AUTOMOBILES FEVRIER</t>
  </si>
  <si>
    <t>AMORT. MATERIEL MANUTENTION FEVRIER</t>
  </si>
  <si>
    <t>DOTATION AUX AMORTISSEMENTS INCORPORELLES</t>
  </si>
  <si>
    <t>DOTATION AUX AMORTISSEMENTS CORPORELLES</t>
  </si>
  <si>
    <t>PROVISION INTERET EMPRUNT GC MARS 2025</t>
  </si>
  <si>
    <t>INTERET COURU SUR AVANCE FONDS OD MARS 2025</t>
  </si>
  <si>
    <t>CFAO/RETENUE 15% IMPOT FONCIER</t>
  </si>
  <si>
    <t>DECLARATION CNAM MARS 2025</t>
  </si>
  <si>
    <t>CONSOMMATION TELEPHONE MARS 2025 GC</t>
  </si>
  <si>
    <t>CONSOMMATION TELEPHONE COMPL MARS 2025 GC</t>
  </si>
  <si>
    <t>CONSOMMATION TELEPHONE MARS 2025</t>
  </si>
  <si>
    <t>CONSOMMATION CARBURANT MARS 2025 AERIA</t>
  </si>
  <si>
    <t>CONSOMMATION CARBURANT FEVRIER 2025 SAN PEDRO</t>
  </si>
  <si>
    <t>CONSOMMATION CARBURANT FEVRIER 2025 FERKE</t>
  </si>
  <si>
    <t>CONSOMMATION CARBURANT MARS 2025 CENTAURES LOGISTIQUE</t>
  </si>
  <si>
    <t>PROV CONSOMMATION CARBURANT MARS 2025 GROUPE CENTAURE SASU</t>
  </si>
  <si>
    <t>CONSOMMATION CARBURANT MARS 2025 YAKRO</t>
  </si>
  <si>
    <t>CONSOMMATION CARBURANT MARS 2025 ABIDJAN</t>
  </si>
  <si>
    <t>CONSOMMATION CARBURANT MARS 2025 BOUAKE</t>
  </si>
  <si>
    <t>PROV CONSOMMATION CARBURANT MARS 2025 PERSONNEL</t>
  </si>
  <si>
    <t>VIVOENERGIE</t>
  </si>
  <si>
    <t>CONSOMMATION CARBURANT MARS 2025 SUCAF</t>
  </si>
  <si>
    <t>CONSOMMATION CARBURANT MARS 2025 EXPLOITATION</t>
  </si>
  <si>
    <t>CONSOMMATION CARBURANT MARS 2025 GROUPE ELECTROGENE</t>
  </si>
  <si>
    <t>SICMA/CREANCE DOUTEUSE</t>
  </si>
  <si>
    <t>SICMA/PROVISION CREANCE DOUTEUSE</t>
  </si>
  <si>
    <t>FAB2403083</t>
  </si>
  <si>
    <t>TOTAL CI/RELIQUAT A PAYER SUR FACT FAB2403083</t>
  </si>
  <si>
    <t>FYK2400050</t>
  </si>
  <si>
    <t>TOTAL CI/RELIQUAT A PAYER SUR FACT FYK2400050</t>
  </si>
  <si>
    <t>VS 101</t>
  </si>
  <si>
    <t>RETRAITEMENT CB MARS VS 101</t>
  </si>
  <si>
    <t>DOGBO JOEL-SUIVANT RECLASSEMENT BERNABE</t>
  </si>
  <si>
    <t>DOGBO JOEL-SUIVANT RECLASSEMENT AIR LIQUIDE</t>
  </si>
  <si>
    <t>DOGBO JOEL-SUIVANT RECLASSEMENT SIAC</t>
  </si>
  <si>
    <t>DOGBO JOEL-SUIVANT RECLASSEMENT SOS BOULONNERIE</t>
  </si>
  <si>
    <t>DOGBO JOEL-SUIVANT RECLASSEMENT COMPTE FOURNISSEURS</t>
  </si>
  <si>
    <t xml:space="preserve">DISTRIMAX-SUIVANT RECLASSEMENT </t>
  </si>
  <si>
    <t>Sotra tourismeSUIVANT FNP MOIS DE MARS</t>
  </si>
  <si>
    <t>TOTALENERGIES MKT CI-SUIVANT FNP MOIS DE MARS</t>
  </si>
  <si>
    <t>SAVANE LAMINE-SUIVANT RECLASSEMENT CESSION D'IMMO/FOURNISSEURS SAVANE</t>
  </si>
  <si>
    <t>AMORTISSEMENTS LOGICIELS MARS</t>
  </si>
  <si>
    <t>AMORTISSEMENTS MARQUES MARS</t>
  </si>
  <si>
    <t>AMORT. TRAVX. MISE EN VAL. TERRAINS MARS</t>
  </si>
  <si>
    <t>AMORT. BATIMENTS ADM &amp; COMMERCIAUX MARS</t>
  </si>
  <si>
    <t>AMORT. CONSTRUCT° /SOL AUTRUI MARS</t>
  </si>
  <si>
    <t>AMORT. INST° TECHNIQUES MARS</t>
  </si>
  <si>
    <t>AMORT. AGCT &amp; INST BUREAU MARS</t>
  </si>
  <si>
    <t>AMORT. AUTRES AGCTS &amp; INST MARS</t>
  </si>
  <si>
    <t>AMORT MATERIEL ET OUTILLAGE MARS</t>
  </si>
  <si>
    <t>AMORT. MATERIEL DE BUREAU MARS</t>
  </si>
  <si>
    <t>AMORT. MATERIEL INFORMATIQUE MARS</t>
  </si>
  <si>
    <t>AMORT. MOB DE BUREAU MARS</t>
  </si>
  <si>
    <t>AMORT. MATER ROULANT DE TRANSPORT MARS</t>
  </si>
  <si>
    <t>AMORT. RECFECTION MOTEUR MARS</t>
  </si>
  <si>
    <t>AMORT. VEHICULES AUTOMOBILES MARS</t>
  </si>
  <si>
    <t>AMORT. MATERIEL MANUTENTION MARS</t>
  </si>
  <si>
    <t>DOTATION AUX AMORTISSEMENTS INCORPORELLES MARS</t>
  </si>
  <si>
    <t>DOTATION AUX AMORTISSEMENTS CORPORELLES MARS</t>
  </si>
  <si>
    <t>REGUL CAFF MARS 25</t>
  </si>
  <si>
    <t>REGUL CAFF HYDRO</t>
  </si>
  <si>
    <t>REGUL CAFF DIST</t>
  </si>
  <si>
    <t>REGUL CAFF CANNE A SUCRE</t>
  </si>
  <si>
    <t>REGUL CAFF FRET CONTENEUR</t>
  </si>
  <si>
    <t>REGUL CAFF FRET SOLIBRA</t>
  </si>
  <si>
    <t>REGUL CAFF RECETTE COLIS LOURD</t>
  </si>
  <si>
    <t>REGUL CAFF FRET DIVERS</t>
  </si>
  <si>
    <t>REGUL CAFF RECETTE LEVAGE ET GRUTAGE</t>
  </si>
  <si>
    <t>REGUL CAFF RECETTE FRET INTERLAND IMPERIAL</t>
  </si>
  <si>
    <t>REGUL CAFF RECETTE LOCATION DE SURFACE</t>
  </si>
  <si>
    <t>REGUL CAFF RECETTE SERVICES DIVERS</t>
  </si>
  <si>
    <t>REGUL CAFF MANUTENTION CONTENEUR</t>
  </si>
  <si>
    <t>REGUL CAFF RECETTE REVENUS ANNEXES</t>
  </si>
  <si>
    <t>REGUL CAFF Rabais, Remise, Ristournes Accordés</t>
  </si>
  <si>
    <t>CENTAURES LOGISTIQUE-SUIVANT TRANFERT DE CHARGE CIE SAN-PEDRO</t>
  </si>
  <si>
    <t>CENTAURES LOGISTIQUE-SUIVANT TRANFERT DE CHARGE CIE MARCORY</t>
  </si>
  <si>
    <t>CENTAURES LOGISTIQUE-SUIVANT TRANFERT DE CHARGE SODECI MARCORY</t>
  </si>
  <si>
    <t>CENTAURES LOGISTIQUE-SUIVANT TRANFERT DE CHARGE COMATEC MOIS DE JANV</t>
  </si>
  <si>
    <t>CENTAURES LOGISTIQUE-SUIVANT TRANFERT DE CHARGE COMATEC MOIS DE FEV</t>
  </si>
  <si>
    <t>CENTAURES LOGISTIQUE-SUIVANT TRANFERT DE CHARGE PHYTO CENTER FEV</t>
  </si>
  <si>
    <t>CENTAURES LOGISTIQUE-SUIVANT TRANFERT DE CHARGE PHYTO CENTER MAR MARS</t>
  </si>
  <si>
    <t>C I E/MOIS DE MARS</t>
  </si>
  <si>
    <t>PNEUMATIQUE/SUIVANT FNP MOIS MARS</t>
  </si>
  <si>
    <t>FOURNITURE D'ATELIER &amp; MAGASIN/SUIVANT FNP MOIS MARS</t>
  </si>
  <si>
    <t>STOCKS PIECES DETACHEES/SUIVANT FNP MOIS MARS</t>
  </si>
  <si>
    <t>AFRICAUTO/SUIVANT FNP MOIS MARS</t>
  </si>
  <si>
    <t>GENERAL METAL CONSTRUCTION/SUIVANT FNP MOIS MARS</t>
  </si>
  <si>
    <t>IPR/SUIVANT FNP MOIS MARS</t>
  </si>
  <si>
    <t>CFAO MOTORS/SUIVANT FNP MOIS MARS</t>
  </si>
  <si>
    <t>SOCIDA/SUIVANT FNP MOIS MARS</t>
  </si>
  <si>
    <t>SPRINT TECH CI/SUIVANT FNP MOIS MARS</t>
  </si>
  <si>
    <t>LA MAISON DU PROFESSIONNEL/SUIVANT FNP MOIS MARS</t>
  </si>
  <si>
    <t>KABALANE ET CIE S.A/SUIVANT FNP MOIS MARS</t>
  </si>
  <si>
    <t>SN PROTEC/SUIVANT FNP MOIS MARS</t>
  </si>
  <si>
    <t>SAVANE LAMINE/SUIVANT FNP MOIS MARS</t>
  </si>
  <si>
    <t>ADJI ROTOR/SUIVANT FNP MOIS MARS</t>
  </si>
  <si>
    <t>PAPI GARAGE SARL/SUIVANT FNP MOIS MARS</t>
  </si>
  <si>
    <t>MAISON DE LA PRESSION GENERALE/SUIVANT FNP MOIS MARS</t>
  </si>
  <si>
    <t>SIDECI/SUIVANT FNP MOIS MARS</t>
  </si>
  <si>
    <t>POWER DIESEL CI/SUIVANT FNP MOIS MARS</t>
  </si>
  <si>
    <t>ENTRETIEN VEHICULES/SUIVANT FNP MOIS MARS</t>
  </si>
  <si>
    <t>PRESTIGE AUTO CI-ECART/REGLEMENT</t>
  </si>
  <si>
    <t>Annulation AMORTISSEMENTS LOGICIELS FEVRIER</t>
  </si>
  <si>
    <t>Annulation AMORTISSEMENTS MARQUES FEVRIER</t>
  </si>
  <si>
    <t>Annulation AMORT. TRAVX. MISE EN VAL. TERRAINS FEVRIER</t>
  </si>
  <si>
    <t>Annulation AMORT. BATIMENTS ADM &amp; COMMERCIAUX FEVRIER</t>
  </si>
  <si>
    <t>Annulation AMORT. CONSTRUCT° /SOL AUTRUI FEVRIER</t>
  </si>
  <si>
    <t>Annulation AMORT. INST° TECHNIQUES FEVRIER</t>
  </si>
  <si>
    <t>Annulation AMORT. AGCT &amp; INST BUREAU FEVRIER</t>
  </si>
  <si>
    <t>Annulation AMORT. AUTRES AGCTS &amp; INST FEVRIER</t>
  </si>
  <si>
    <t>Annulation AMORT MATERIEL ET OUTILLAGE FEVRIER</t>
  </si>
  <si>
    <t>Annulation AMORT. MATERIEL DE BUREAU FEVRIER</t>
  </si>
  <si>
    <t>Annulation AMORT. MATERIEL INFORMATIQUE FEVRIER</t>
  </si>
  <si>
    <t>Annulation AMORT. MOB DE BUREAU FEVRIER</t>
  </si>
  <si>
    <t>Annulation AMORT. MATER ROULANT DE TRANSPORT FEVRIER</t>
  </si>
  <si>
    <t>Annulation AMORT. RECFECTION MOTEUR FEVRIER</t>
  </si>
  <si>
    <t>Annulation AMORT. VEHICULES AUTOMOBILES FEVRIER</t>
  </si>
  <si>
    <t>Annulation AMORT. MATERIEL MANUTENTION FEVRIER</t>
  </si>
  <si>
    <t>Annulation DOTATION AUX AMORTISSEMENTS INCORPORELLES</t>
  </si>
  <si>
    <t>Annulation DOTATION AUX AMORTISSEMENTS CORPORELLES</t>
  </si>
  <si>
    <t>CONSO FER</t>
  </si>
  <si>
    <t xml:space="preserve">CONSOMMATION PEAGE FER MARS </t>
  </si>
  <si>
    <t>PAI</t>
  </si>
  <si>
    <t>PAIE32025</t>
  </si>
  <si>
    <t>PAIE 3/2025</t>
  </si>
  <si>
    <t xml:space="preserve">RETENUE AVANCE SUR SALAIRS      C              788084N               </t>
  </si>
  <si>
    <t xml:space="preserve">ASSURANCE MALADIE        S      C             5104000N               </t>
  </si>
  <si>
    <t xml:space="preserve">RETENUE TRANSPORT        S      C              990000N               </t>
  </si>
  <si>
    <t xml:space="preserve">ACOMPTE                  S      D              349527N               </t>
  </si>
  <si>
    <t xml:space="preserve">NET A PAYER              S      C           180824310N               </t>
  </si>
  <si>
    <t xml:space="preserve">NET A PAYER              S      C            25781958N               </t>
  </si>
  <si>
    <t xml:space="preserve">C N P S                  S      C            10769380N               </t>
  </si>
  <si>
    <t xml:space="preserve">C N P S                  S      C            17812943N               </t>
  </si>
  <si>
    <t xml:space="preserve">C N P S                  S      C             1726394N               </t>
  </si>
  <si>
    <t xml:space="preserve">C N P S                  S      C             2803459N               </t>
  </si>
  <si>
    <t xml:space="preserve">COTISATION CMU/CNAM      S      C              912000N               </t>
  </si>
  <si>
    <t xml:space="preserve">RETENUE IS               S      C            21547220N               </t>
  </si>
  <si>
    <t xml:space="preserve">ETAT IMPOTS / SALAIRES   S      C             4031932N               </t>
  </si>
  <si>
    <t xml:space="preserve">RETENUE IS               S      C             2733112N               </t>
  </si>
  <si>
    <t xml:space="preserve">ETAT IMPOTS / SALAIRES   S      C              328831N               </t>
  </si>
  <si>
    <t xml:space="preserve">F D F P                  S      C             1819598N               </t>
  </si>
  <si>
    <t xml:space="preserve">F D F P                  S      C              274014N               </t>
  </si>
  <si>
    <t xml:space="preserve">TAXE FPC COMPLEMENTAIRE  S      C             1091767N               </t>
  </si>
  <si>
    <t xml:space="preserve">TAXE FPC COMPLEMENTAIRE  S      C              164409N               </t>
  </si>
  <si>
    <t xml:space="preserve">IMPOTS SUR SALAIRE       S      D             4031932N               </t>
  </si>
  <si>
    <t xml:space="preserve">IMPOTS SUR SALAIRE       S      D              328831N               </t>
  </si>
  <si>
    <t xml:space="preserve">TAXE D'APPRENTISSAGE     S      D              727831N               </t>
  </si>
  <si>
    <t xml:space="preserve">TAXE D'APPRENTISSAGE     S      D              109605N               </t>
  </si>
  <si>
    <t xml:space="preserve">TAXE FPC                 S      D             2183534N               </t>
  </si>
  <si>
    <t xml:space="preserve">TAXE FPC                 S      D              328818N               </t>
  </si>
  <si>
    <t xml:space="preserve">APPOINTEMENT SALAIRE PERSS      D           119955720N               </t>
  </si>
  <si>
    <t xml:space="preserve">APPOINTEMENT SALAIRE PERSS      D            15277963N               </t>
  </si>
  <si>
    <t xml:space="preserve">APPOINTEMENT HEURES SUP. S      D             3291955N               </t>
  </si>
  <si>
    <t xml:space="preserve">APPOINTEMENT HEURES SUP. S      D             1018060N               </t>
  </si>
  <si>
    <t xml:space="preserve">PRIME D'ANCIENNETE       S      D             4992883N               </t>
  </si>
  <si>
    <t xml:space="preserve">PRIME INHERENTE A DES FONS      D            11408350N               </t>
  </si>
  <si>
    <t xml:space="preserve">PRIME INHERENTE A DES FONS      D             1449574N               </t>
  </si>
  <si>
    <t xml:space="preserve">PRIME D'OBJECTIF         S      D            28966143N               </t>
  </si>
  <si>
    <t xml:space="preserve">GRATIFICATION            S      D              589211N               </t>
  </si>
  <si>
    <t xml:space="preserve">GRATIFICATION            S      D             1139619N               </t>
  </si>
  <si>
    <t xml:space="preserve">ALLOCATION CONGES        S      D            10331648N               </t>
  </si>
  <si>
    <t xml:space="preserve">ALLOCATION CONGES        S      D             7323224N               </t>
  </si>
  <si>
    <t xml:space="preserve">INDEMNITE DE DEPART      S      D              741453N               </t>
  </si>
  <si>
    <t xml:space="preserve">INDEMNITE DE DEPART      S      C               46946N               </t>
  </si>
  <si>
    <t xml:space="preserve">INDEMNITE DE DEPART      S      D             2644381N               </t>
  </si>
  <si>
    <t xml:space="preserve">INDEMNITE INHERENTE A DESS      D            21464381N               </t>
  </si>
  <si>
    <t xml:space="preserve">INDEMNITE DE DEPLACEMENT S      D            18890669N               </t>
  </si>
  <si>
    <t xml:space="preserve">INDEMNITE DE DEPLACEMENT S      D             1388643N               </t>
  </si>
  <si>
    <t xml:space="preserve">AF. PERS.  I.  CNPS      S      D             2197069N               </t>
  </si>
  <si>
    <t xml:space="preserve">AF. PERS.  I.  CNPS      S      D              273219N               </t>
  </si>
  <si>
    <t xml:space="preserve">AF. PERS.  I.  CNPS      S      D               17252N               </t>
  </si>
  <si>
    <t xml:space="preserve">AF. PERS.  I.  CNPS      S      D              349353N               </t>
  </si>
  <si>
    <t xml:space="preserve">AF. PERS.  I.  CNPS      S      D               21565N               </t>
  </si>
  <si>
    <t xml:space="preserve">AT PERS I CNPS           S      D             1910278N               </t>
  </si>
  <si>
    <t xml:space="preserve">AT PERS I CNPS           S      D              237555N               </t>
  </si>
  <si>
    <t xml:space="preserve">AT PERS I CNPS           S      D               15000N               </t>
  </si>
  <si>
    <t xml:space="preserve">AT PERS I CNPS           S      D              303750N               </t>
  </si>
  <si>
    <t xml:space="preserve">AT PERS I CNPS           S      D               18750N               </t>
  </si>
  <si>
    <t xml:space="preserve">RETRAITE PERSONNEL IVOIRIS      D            11007669N               </t>
  </si>
  <si>
    <t xml:space="preserve">RETRAITE PERSONNEL IVOIRIS      D             1115401N               </t>
  </si>
  <si>
    <t xml:space="preserve">RETRAITE PERSONNEL IVOIRIS      D             1039500N               </t>
  </si>
  <si>
    <t xml:space="preserve">RETRAITE PERSONNEL IVOIRIS      D             1987117N               </t>
  </si>
  <si>
    <t xml:space="preserve">RETRAITE PERSONNEL IVOIRIS      D              122924N               </t>
  </si>
  <si>
    <t>PAIAP</t>
  </si>
  <si>
    <t>PAIE JOURN 12</t>
  </si>
  <si>
    <t>Extourne PROV REMUNERATIONS JOURNALIERS FEVRIER 2025</t>
  </si>
  <si>
    <t>REMUNERATIONS JOURNALIERS FEVRIER 2025</t>
  </si>
  <si>
    <t>PAIE JOURN 03</t>
  </si>
  <si>
    <t>REMUNERATIONS JOURNALIERS MARS 2025</t>
  </si>
  <si>
    <t>PMN05</t>
  </si>
  <si>
    <t>ABMICROSOFT</t>
  </si>
  <si>
    <t>PAIEMENT MICROSOFT / E0500VHABE</t>
  </si>
  <si>
    <t>FRAIS /PAIEMENT MICROSOFT E0500VHABE</t>
  </si>
  <si>
    <t>PAIEMENT MICROSOFT / E0500VH77V</t>
  </si>
  <si>
    <t>FRAIS /PAIEMENT MICROSOFT E0500VH77V</t>
  </si>
  <si>
    <t>PAIEMENT MICROSOFT / E0500VH6DY</t>
  </si>
  <si>
    <t xml:space="preserve"> FRAIS /PAIEMENT MICROSOFT E0500VH6DY</t>
  </si>
  <si>
    <t>PAIEMENT MICROSOFT / E0500VH1SO</t>
  </si>
  <si>
    <t xml:space="preserve"> FRAIS /PAIEMENT MICROSOFT E0500VH1SO</t>
  </si>
  <si>
    <t>PAIEMENT MICROSOFT /E0500VH6E1</t>
  </si>
  <si>
    <t xml:space="preserve"> FRAIS /PAIEMENT MICROSOFT E0500VH6E1</t>
  </si>
  <si>
    <t>PAIEMENT  MICROSOFT / E0500VH77W</t>
  </si>
  <si>
    <t>FRAIS /PAIEMENT  MICROSOFT E0500VH77W</t>
  </si>
  <si>
    <t>PAIEMENT  MICROSOFT /E0500VH6DZ</t>
  </si>
  <si>
    <t>FRAIS /PAIEMENT  MICROSOFT E0500VH6DZ</t>
  </si>
  <si>
    <t>PAIEMENT  MICROSOFT/ E0500VH6E0</t>
  </si>
  <si>
    <t xml:space="preserve"> FRAIS /PAIEMENT  MICROSOFT E0500VH6E0</t>
  </si>
  <si>
    <t>PAIEMENT  MICROSOFT / E0500VHABF</t>
  </si>
  <si>
    <t>FRAIS /PAIEMENT  MICROSOFT  E0500VHABF</t>
  </si>
  <si>
    <t>PAIEMENT GINGER RESTAURANT</t>
  </si>
  <si>
    <t>FRAIS / PAIEMENT GINGER RESTAURANT</t>
  </si>
  <si>
    <t>PAIEMENT HOTEL  EDEN AU LAC</t>
  </si>
  <si>
    <t>FRAIS / PAIEMENT HOTEL  EDEN AU LAC</t>
  </si>
  <si>
    <t xml:space="preserve">PAIEMENT RANHOTEL BOUAKE </t>
  </si>
  <si>
    <t>PMN06</t>
  </si>
  <si>
    <t xml:space="preserve"> REGUL FRAIS DE RECEPTION DIRECTION FINANCIERE / CONTROLEUR DOUANES</t>
  </si>
  <si>
    <t>PAIE JOURNALIER DU 10 AU 16 FEVRIER 2025</t>
  </si>
  <si>
    <t>PRIME AEJ FEVRIER 20234</t>
  </si>
  <si>
    <t>LOYER CHEF D'AGENCE BOUAKE MOIS DE MARS 2025</t>
  </si>
  <si>
    <t>TRANSPORTEUR TRAORE DIAKARIDIA</t>
  </si>
  <si>
    <t>DOTATION CARBURANT /TELEPHONIQUE CHARLOTTE DELAGO</t>
  </si>
  <si>
    <t>DOTATION CARBURANT CHARLOTTE DELAGO</t>
  </si>
  <si>
    <t>DOTATION TELEPHONIQUE CHARLOTTE DELAGO</t>
  </si>
  <si>
    <t xml:space="preserve">ESCORTE GENDARMERIE </t>
  </si>
  <si>
    <t>DOTATION CARBURANT SERVICE JURIDIQUE FEV ET MARS 2025</t>
  </si>
  <si>
    <t>FRAIS DE MISSION COLIS LOURD</t>
  </si>
  <si>
    <t>FRAIS DE MISSION KARABOUE SOULEYMANE ASSISTANT QHSE</t>
  </si>
  <si>
    <t>REGUL SALAIRE FEVRIER 2025 / GABET KONAN FRANCK</t>
  </si>
  <si>
    <t>APPRO COMPTE WAVE</t>
  </si>
  <si>
    <t xml:space="preserve">APPRO CAISSE BOUAKE / RAIS MOUYABI ET GOLY AUGUSTIN </t>
  </si>
  <si>
    <t xml:space="preserve">APPRO CAISSE YAKRO/ASSALE ARSENE </t>
  </si>
  <si>
    <t>DOCUMENT JURIDIQUE</t>
  </si>
  <si>
    <t>PAIE JOURNALIER DU 17 AU 23/02/2025</t>
  </si>
  <si>
    <t>FRAIS DE MISSION ALEX AKADIE JAMES</t>
  </si>
  <si>
    <t>REGUL PAIE AEJ FEVRIER 2025</t>
  </si>
  <si>
    <t>FRAIS DE MISSION FASSOU FOFANA / COLIS LOURD</t>
  </si>
  <si>
    <t>FRAIS DE TRANSPORT COULIBALY DJAKALIDJA</t>
  </si>
  <si>
    <t xml:space="preserve">FRAIS DE MISSION ROXANE KATY OUATTARA </t>
  </si>
  <si>
    <t>2KJ CONSORTIUM</t>
  </si>
  <si>
    <t>FRAIS DE MISSION ASSALE ARSENE</t>
  </si>
  <si>
    <t>FRAIS DE MISSION  SANOGO MOUSSA</t>
  </si>
  <si>
    <t>FRAIS DE MISSION  FABRICE PERROT ET KEKE ANGELO</t>
  </si>
  <si>
    <t>FRAIS DE MISSION SEBASTIEN DELSUC</t>
  </si>
  <si>
    <t xml:space="preserve">ACCOMPTE/SALAIRE SANA BOUREIMA </t>
  </si>
  <si>
    <t>APPRO CAISSE YAKRO / ASSALE ARSENE</t>
  </si>
  <si>
    <t>APPRO CAISSE BOUAKE / RAIS MOUYABI</t>
  </si>
  <si>
    <t>FRAIS DE MISSION KROU KOFFI EUGEN/ ACCOMPAGENEMENT MISSION SUVEY BETA</t>
  </si>
  <si>
    <t>FRAIS DE MISSION TRAORE ABOU/ACCOMPAGENEMENT MISSION SUVEY BETA</t>
  </si>
  <si>
    <t>FRAIS DE MISSION OUATTARA AZIZ LEON EMILE / MISSION ROAD SURVEY</t>
  </si>
  <si>
    <t>FRAIS DE MISSION M.SAMAT WILLIAM JOEL/SUIVI DES ENTRETIEN VEHICULE</t>
  </si>
  <si>
    <t>FRAIS DE MISSION SEBASTIEN DELSUC/CONTROLE DES CONTEURS SITES</t>
  </si>
  <si>
    <t xml:space="preserve">APPRO CAISSE </t>
  </si>
  <si>
    <t>FRAIS DE MISSION FASSOU FOFANA /COLIS LOURD</t>
  </si>
  <si>
    <t>PAIE JOURNALIER DU 24/02/25 AU 16/03/2025</t>
  </si>
  <si>
    <t xml:space="preserve">LOYER KARABOUE SOUEYMANE </t>
  </si>
  <si>
    <t>FRAIS DE MISSION BORIS COULIBALY POUR LE CMTL BOUAKE</t>
  </si>
  <si>
    <t xml:space="preserve">FRAIS DE  MISSION  ET CARBURANT OUATTARA ROXANE </t>
  </si>
  <si>
    <t xml:space="preserve">FRAIS DE MISSION OUATTARA ROXANE </t>
  </si>
  <si>
    <t xml:space="preserve">FRAIS DE  CARBURANT /MISSION OUATTARA ROXANE </t>
  </si>
  <si>
    <t xml:space="preserve">FRAIS DE  MISSION KONAN KOUADIO IGNACE </t>
  </si>
  <si>
    <t>FRAIS DE  MISSION KONATE SEYDOU</t>
  </si>
  <si>
    <t>AVANCE / SALAIRE M.AKPA AKPESS ARMEL</t>
  </si>
  <si>
    <t>DIVERS FRAIS CONTENEUR HINO</t>
  </si>
  <si>
    <t xml:space="preserve">AC CARBURANT MOTO ESTEBANE ET TAXI  PERMANENCE DU 22 AU 23/03/2025 </t>
  </si>
  <si>
    <t>REPARATION CHAMBRE A AIR</t>
  </si>
  <si>
    <t>DIVERS SERVICE CONTENEUR HINO</t>
  </si>
  <si>
    <t>INTERVENTION POUR CARTE DE STATIONNEMENT CR 1075 1073 1223 1245</t>
  </si>
  <si>
    <t xml:space="preserve">APPRO CAISSE BOUAKE /GOLY AUGUSTIN ET BENIE FRANCIS </t>
  </si>
  <si>
    <t xml:space="preserve">FRAIS DE MISSION FASSOU FOFANA /PERSONNEL EN OPERAT° SAGECI </t>
  </si>
  <si>
    <t xml:space="preserve">AC DE CARTE DE STATIONNEMENT FRANCIS BENIE </t>
  </si>
  <si>
    <t>PAIE DES SAISONNIERS MARS 2025</t>
  </si>
  <si>
    <t>PRIME DE STAGE LCR MARS 2025</t>
  </si>
  <si>
    <t>PRIME DE STAGE CENTAURE LOGISTIQUE</t>
  </si>
  <si>
    <t>STKCDG</t>
  </si>
  <si>
    <t>FV088195</t>
  </si>
  <si>
    <t>Facture SORTIE PIECES DETACHEES FV088195</t>
  </si>
  <si>
    <t>FV088196</t>
  </si>
  <si>
    <t>Facture SORTIE PIECES DETACHEES FV088196</t>
  </si>
  <si>
    <t>FV088197</t>
  </si>
  <si>
    <t>Facture SORTIE PIECES DETACHEES FV088197</t>
  </si>
  <si>
    <t>FV088198</t>
  </si>
  <si>
    <t>Facture SORTIE PIECES DETACHEES FV088198</t>
  </si>
  <si>
    <t>FV088254</t>
  </si>
  <si>
    <t>Facture SORTIE PIECES DETACHEES FV088254</t>
  </si>
  <si>
    <t>FV088255</t>
  </si>
  <si>
    <t>Facture SORTIE PIECES DETACHEES FV088255</t>
  </si>
  <si>
    <t>FV088206</t>
  </si>
  <si>
    <t>Facture SORTIE PIECES DETACHEES FV088206</t>
  </si>
  <si>
    <t>FV088207</t>
  </si>
  <si>
    <t>Facture SORTIE PIECES DETACHEES FV088207</t>
  </si>
  <si>
    <t>FV087054</t>
  </si>
  <si>
    <t>Facture SORTIE PIECES DETACHEES FV087054</t>
  </si>
  <si>
    <t>FV087126</t>
  </si>
  <si>
    <t>Facture SORTIE FOURNITURE ATELIER ET MAGASIN FV087126</t>
  </si>
  <si>
    <t>FV087083</t>
  </si>
  <si>
    <t>Facture SORTIE FOURNITURE ATELIER ET MAGASIN FV087083</t>
  </si>
  <si>
    <t>FV087061</t>
  </si>
  <si>
    <t>Facture SORTIE FOURNITURE ATELIER ET MAGASIN FV087061</t>
  </si>
  <si>
    <t>FV087112</t>
  </si>
  <si>
    <t>Facture SORTIE FOURNITURE ATELIER ET MAGASIN FV087112</t>
  </si>
  <si>
    <t>FV087081</t>
  </si>
  <si>
    <t>Facture SORTIE PNEUMATIQUE FV087081</t>
  </si>
  <si>
    <t>FV088212</t>
  </si>
  <si>
    <t>Facture SORTIE LUBRIFIANT FV088212</t>
  </si>
  <si>
    <t>FV088215</t>
  </si>
  <si>
    <t>Facture SORTIE LUBRIFIANT FV088215</t>
  </si>
  <si>
    <t>FV088217</t>
  </si>
  <si>
    <t>Facture SORTIE PIECES DETACHEES FV088217</t>
  </si>
  <si>
    <t>FV087108</t>
  </si>
  <si>
    <t>Facture SORTIE PIECES DETACHEES FV087108</t>
  </si>
  <si>
    <t>FV087110</t>
  </si>
  <si>
    <t>Facture SORTIE PIECES DETACHEES FV087110</t>
  </si>
  <si>
    <t>FV088223</t>
  </si>
  <si>
    <t>Facture SORTIE LUBRIFIANT FV088223</t>
  </si>
  <si>
    <t>FV087082</t>
  </si>
  <si>
    <t>Facture SORTIE PNEUMATIQUE FV087082</t>
  </si>
  <si>
    <t>FV087084</t>
  </si>
  <si>
    <t>Facture SORTIE PIECES DETACHEES FV087084</t>
  </si>
  <si>
    <t>FV087085</t>
  </si>
  <si>
    <t>Facture SORTIE LUBRIFIANT FV087085</t>
  </si>
  <si>
    <t>FV087086</t>
  </si>
  <si>
    <t>Facture SORTIE PIECES DETACHEES FV087086</t>
  </si>
  <si>
    <t>FV087087</t>
  </si>
  <si>
    <t>Facture SORTIE FOURNITURE ATELIER ET MAGASIN FV087087</t>
  </si>
  <si>
    <t>FV087088</t>
  </si>
  <si>
    <t>Facture SORTIE FOURNITURE ATELIER ET MAGASIN FV087088</t>
  </si>
  <si>
    <t>FV087393</t>
  </si>
  <si>
    <t>Facture SORTIE PIECES DETACHEES FV087393</t>
  </si>
  <si>
    <t>FV087089</t>
  </si>
  <si>
    <t>Facture SORTIE PIECES DETACHEES FV087089</t>
  </si>
  <si>
    <t>FV087090</t>
  </si>
  <si>
    <t>Facture SORTIE FOURNITURE ATELIER ET MAGASIN FV087090</t>
  </si>
  <si>
    <t>FV087091</t>
  </si>
  <si>
    <t>Facture SORTIE FOURNITURE ATELIER ET MAGASIN FV087091</t>
  </si>
  <si>
    <t>FV087093</t>
  </si>
  <si>
    <t>Facture SORTIE FOURNITURE ATELIER ET MAGASIN FV087093</t>
  </si>
  <si>
    <t>FV087094</t>
  </si>
  <si>
    <t>Facture SORTIE PIECES DETACHEES FV087094</t>
  </si>
  <si>
    <t>FV087096</t>
  </si>
  <si>
    <t>Facture SORTIE FOURNITURE ATELIER ET MAGASIN FV087096</t>
  </si>
  <si>
    <t>FV087114</t>
  </si>
  <si>
    <t>Facture SORTIE PIECES DETACHEES FV087114</t>
  </si>
  <si>
    <t>FV087115</t>
  </si>
  <si>
    <t>Facture SORTIE PIECES DETACHEES FV087115</t>
  </si>
  <si>
    <t>FV087117</t>
  </si>
  <si>
    <t>Facture SORTIE FOURNITURE ATELIER ET MAGASIN FV087117</t>
  </si>
  <si>
    <t>FV087127</t>
  </si>
  <si>
    <t>Facture SORTIE FOURNITURE ATELIER ET MAGASIN FV087127</t>
  </si>
  <si>
    <t>FV087137</t>
  </si>
  <si>
    <t>Facture SORTIE PIECES DETACHEES FV087137</t>
  </si>
  <si>
    <t>FV088006</t>
  </si>
  <si>
    <t>Facture SORTIE PIECES DETACHEES FV088006</t>
  </si>
  <si>
    <t>FV088054</t>
  </si>
  <si>
    <t>Facture SORTIE LUBRIFIANT FV088054</t>
  </si>
  <si>
    <t>FV088055</t>
  </si>
  <si>
    <t>Facture SORTIE PIECES DETACHEES FV088055</t>
  </si>
  <si>
    <t>FV088056</t>
  </si>
  <si>
    <t>Facture SORTIE FOURNITURE ATELIER ET MAGASIN FV088056</t>
  </si>
  <si>
    <t>FV088249</t>
  </si>
  <si>
    <t>Facture SORTIE LUBRIFIANT FV088249</t>
  </si>
  <si>
    <t>FV088250</t>
  </si>
  <si>
    <t>Facture SORTIE PIECES DETACHEES FV088250</t>
  </si>
  <si>
    <t>FV088251</t>
  </si>
  <si>
    <t>Facture SORTIE LUBRIFIANT FV088251</t>
  </si>
  <si>
    <t>FV088252</t>
  </si>
  <si>
    <t>Facture SORTIE PIECES DETACHEES FV088252</t>
  </si>
  <si>
    <t>FV088256</t>
  </si>
  <si>
    <t>Facture SORTIE PIECES DETACHEES FV088256</t>
  </si>
  <si>
    <t>FV088257</t>
  </si>
  <si>
    <t>Facture SORTIE PIECES DETACHEES FV088257</t>
  </si>
  <si>
    <t>FV088258</t>
  </si>
  <si>
    <t>Facture SORTIE PIECES DETACHEES FV088258</t>
  </si>
  <si>
    <t>FV087207</t>
  </si>
  <si>
    <t>Facture SORTIE PIECES DETACHEES FV087207</t>
  </si>
  <si>
    <t>FV087211</t>
  </si>
  <si>
    <t>Facture SORTIE PIECES DETACHEES FV087211</t>
  </si>
  <si>
    <t>FV087996</t>
  </si>
  <si>
    <t>Facture SORTIE FOURNITURE ATELIER ET MAGASIN FV087996</t>
  </si>
  <si>
    <t>FV088017</t>
  </si>
  <si>
    <t>Facture SORTIE PIECES DETACHEES FV088017</t>
  </si>
  <si>
    <t>FV087213</t>
  </si>
  <si>
    <t>Facture SORTIE PIECES DETACHEES FV087213</t>
  </si>
  <si>
    <t>FV087072</t>
  </si>
  <si>
    <t>Facture SORTIE PIECES DETACHEES FV087072</t>
  </si>
  <si>
    <t>FV088019</t>
  </si>
  <si>
    <t>Facture SORTIE LUBRIFIANT FV088019</t>
  </si>
  <si>
    <t>FV088000</t>
  </si>
  <si>
    <t>Facture SORTIE PIECES DETACHEES FV088000</t>
  </si>
  <si>
    <t>FV088349</t>
  </si>
  <si>
    <t>Facture SORTIE PNEUMATIQUE FV088349</t>
  </si>
  <si>
    <t>FV088001</t>
  </si>
  <si>
    <t>Facture SORTIE LUBRIFIANT FV088001</t>
  </si>
  <si>
    <t>FV087166</t>
  </si>
  <si>
    <t>Facture SORTIE LUBRIFIANT FV087166</t>
  </si>
  <si>
    <t>FV088002</t>
  </si>
  <si>
    <t>Facture SORTIE LUBRIFIANT FV088002</t>
  </si>
  <si>
    <t>FV087168</t>
  </si>
  <si>
    <t>Facture SORTIE PIECES DETACHEES FV087168</t>
  </si>
  <si>
    <t>FV087169</t>
  </si>
  <si>
    <t>Facture SORTIE PIECES DETACHEES FV087169</t>
  </si>
  <si>
    <t>FV087171</t>
  </si>
  <si>
    <t>Facture SORTIE FOURNITURE ATELIER ET MAGASIN FV087171</t>
  </si>
  <si>
    <t>FV087173</t>
  </si>
  <si>
    <t>Facture SORTIE PIECES DETACHEES FV087173</t>
  </si>
  <si>
    <t>FV087174</t>
  </si>
  <si>
    <t>Facture SORTIE FOURNITURE ATELIER ET MAGASIN FV087174</t>
  </si>
  <si>
    <t>FV087177</t>
  </si>
  <si>
    <t>Facture SORTIE PNEUMATIQUE FV087177</t>
  </si>
  <si>
    <t>FV087092</t>
  </si>
  <si>
    <t>Facture SORTIE FOURNITURE ATELIER ET MAGASIN FV087092</t>
  </si>
  <si>
    <t>FV088213</t>
  </si>
  <si>
    <t>Facture SORTIE LUBRIFIANT FV088213</t>
  </si>
  <si>
    <t>FV087183</t>
  </si>
  <si>
    <t>Facture SORTIE FOURNITURE ATELIER ET MAGASIN FV087183</t>
  </si>
  <si>
    <t>FV087095</t>
  </si>
  <si>
    <t>Facture SORTIE FOURNITURE ATELIER ET MAGASIN FV087095</t>
  </si>
  <si>
    <t>FV087097</t>
  </si>
  <si>
    <t>Facture SORTIE FOURNITURE ATELIER ET MAGASIN FV087097</t>
  </si>
  <si>
    <t>FV087098</t>
  </si>
  <si>
    <t>Facture SORTIE PIECES DETACHEES FV087098</t>
  </si>
  <si>
    <t>FV087759</t>
  </si>
  <si>
    <t>Facture SORTIE PIECES DETACHEES FV087759</t>
  </si>
  <si>
    <t>FV087100</t>
  </si>
  <si>
    <t>Facture SORTIE FOURNITURE ATELIER ET MAGASIN FV087100</t>
  </si>
  <si>
    <t>FV087099</t>
  </si>
  <si>
    <t>Facture SORTIE FOURNITURE ATELIER ET MAGASIN FV087099</t>
  </si>
  <si>
    <t>FV087101</t>
  </si>
  <si>
    <t>Facture SORTIE FOURNITURE ATELIER ET MAGASIN FV087101</t>
  </si>
  <si>
    <t>FV087760</t>
  </si>
  <si>
    <t>Facture SORTIE LUBRIFIANT FV087760</t>
  </si>
  <si>
    <t>FV087102</t>
  </si>
  <si>
    <t>Facture SORTIE FOURNITURE ATELIER ET MAGASIN FV087102</t>
  </si>
  <si>
    <t>FV087103</t>
  </si>
  <si>
    <t>Facture SORTIE PIECES DETACHEES FV087103</t>
  </si>
  <si>
    <t>FV087104</t>
  </si>
  <si>
    <t>Facture SORTIE FOURNITURE ATELIER ET MAGASIN FV087104</t>
  </si>
  <si>
    <t>FV087761</t>
  </si>
  <si>
    <t>Facture SORTIE PIECES DETACHEES FV087761</t>
  </si>
  <si>
    <t>FV087105</t>
  </si>
  <si>
    <t>Facture SORTIE FOURNITURE ATELIER ET MAGASIN FV087105</t>
  </si>
  <si>
    <t>FV087762</t>
  </si>
  <si>
    <t>Facture SORTIE LUBRIFIANT FV087762</t>
  </si>
  <si>
    <t>FV087106</t>
  </si>
  <si>
    <t>Facture SORTIE LUBRIFIANT FV087106</t>
  </si>
  <si>
    <t>FV087107</t>
  </si>
  <si>
    <t>Facture SORTIE PNEUMATIQUE FV087107</t>
  </si>
  <si>
    <t>FV087109</t>
  </si>
  <si>
    <t>Facture SORTIE PIECES DETACHEES FV087109</t>
  </si>
  <si>
    <t>FV087191</t>
  </si>
  <si>
    <t>Facture SORTIE FOURNITURE ATELIER ET MAGASIN FV087191</t>
  </si>
  <si>
    <t>FV087113</t>
  </si>
  <si>
    <t>Facture SORTIE PIECES DETACHEES FV087113</t>
  </si>
  <si>
    <t>FV087116</t>
  </si>
  <si>
    <t>Facture SORTIE PIECES DETACHEES FV087116</t>
  </si>
  <si>
    <t>FV087118</t>
  </si>
  <si>
    <t>Facture SORTIE PIECES DETACHEES FV087118</t>
  </si>
  <si>
    <t>FV087194</t>
  </si>
  <si>
    <t>Facture SORTIE PIECES DETACHEES FV087194</t>
  </si>
  <si>
    <t>FV087119</t>
  </si>
  <si>
    <t>Facture SORTIE FOURNITURE ATELIER ET MAGASIN FV087119</t>
  </si>
  <si>
    <t>FV087120</t>
  </si>
  <si>
    <t>Facture SORTIE PIECES DETACHEES FV087120</t>
  </si>
  <si>
    <t>FV087195</t>
  </si>
  <si>
    <t>Facture SORTIE FOURNITURE ATELIER ET MAGASIN FV087195</t>
  </si>
  <si>
    <t>FV087121</t>
  </si>
  <si>
    <t>Facture SORTIE PIECES DETACHEES FV087121</t>
  </si>
  <si>
    <t>FV087196</t>
  </si>
  <si>
    <t>Facture SORTIE PIECES DETACHEES FV087196</t>
  </si>
  <si>
    <t>FV087122</t>
  </si>
  <si>
    <t>Facture SORTIE FOURNITURE ATELIER ET MAGASIN FV087122</t>
  </si>
  <si>
    <t>FV087197</t>
  </si>
  <si>
    <t>Facture SORTIE PIECES DETACHEES FV087197</t>
  </si>
  <si>
    <t>FV087198</t>
  </si>
  <si>
    <t>Facture SORTIE FOURNITURE ATELIER ET MAGASIN FV087198</t>
  </si>
  <si>
    <t>FV087199</t>
  </si>
  <si>
    <t>Facture SORTIE PIECES DETACHEES FV087199</t>
  </si>
  <si>
    <t>FV088225</t>
  </si>
  <si>
    <t>Facture SORTIE LUBRIFIANT FV088225</t>
  </si>
  <si>
    <t>FV087128</t>
  </si>
  <si>
    <t>Facture SORTIE FOURNITURE ATELIER ET MAGASIN FV087128</t>
  </si>
  <si>
    <t>FV088226</t>
  </si>
  <si>
    <t>Facture SORTIE LUBRIFIANT FV088226</t>
  </si>
  <si>
    <t>FV087129</t>
  </si>
  <si>
    <t>Facture SORTIE FOURNITURE ATELIER ET MAGASIN FV087129</t>
  </si>
  <si>
    <t>FV087130</t>
  </si>
  <si>
    <t>Facture SORTIE FOURNITURE ATELIER ET MAGASIN FV087130</t>
  </si>
  <si>
    <t>FV087131</t>
  </si>
  <si>
    <t>Facture SORTIE FOURNITURE ATELIER ET MAGASIN FV087131</t>
  </si>
  <si>
    <t>FV087132</t>
  </si>
  <si>
    <t>Facture SORTIE FOURNITURE ATELIER ET MAGASIN FV087132</t>
  </si>
  <si>
    <t>FV087203</t>
  </si>
  <si>
    <t>Facture SORTIE PIECES DETACHEES FV087203</t>
  </si>
  <si>
    <t>FV087204</t>
  </si>
  <si>
    <t>Facture SORTIE PNEUMATIQUE FV087204</t>
  </si>
  <si>
    <t>FV087205</t>
  </si>
  <si>
    <t>Facture SORTIE PNEUMATIQUE FV087205</t>
  </si>
  <si>
    <t>FV087206</t>
  </si>
  <si>
    <t>Facture SORTIE FOURNITURE ATELIER ET MAGASIN FV087206</t>
  </si>
  <si>
    <t>FV088269</t>
  </si>
  <si>
    <t>Facture SORTIE PIECES DETACHEES FV088269</t>
  </si>
  <si>
    <t>FV088247</t>
  </si>
  <si>
    <t>Facture SORTIE PIECES DETACHEES FV088247</t>
  </si>
  <si>
    <t>FV087264</t>
  </si>
  <si>
    <t>Facture SORTIE PNEUMATIQUE FV087264</t>
  </si>
  <si>
    <t>FV087265</t>
  </si>
  <si>
    <t>Facture SORTIE PNEUMATIQUE FV087265</t>
  </si>
  <si>
    <t>FV087138</t>
  </si>
  <si>
    <t>Facture SORTIE FOURNITURE ATELIER ET MAGASIN FV087138</t>
  </si>
  <si>
    <t>FV087266</t>
  </si>
  <si>
    <t>Facture SORTIE PNEUMATIQUE FV087266</t>
  </si>
  <si>
    <t>FV087267</t>
  </si>
  <si>
    <t>Facture SORTIE PNEUMATIQUE FV087267</t>
  </si>
  <si>
    <t>FV087139</t>
  </si>
  <si>
    <t>Facture SORTIE FOURNITURE ATELIER ET MAGASIN FV087139</t>
  </si>
  <si>
    <t>FV087268</t>
  </si>
  <si>
    <t>Facture SORTIE PNEUMATIQUE FV087268</t>
  </si>
  <si>
    <t>FV087140</t>
  </si>
  <si>
    <t>Facture SORTIE PIECES DETACHEES FV087140</t>
  </si>
  <si>
    <t>FV087141</t>
  </si>
  <si>
    <t>Facture SORTIE FOURNITURE ATELIER ET MAGASIN FV087141</t>
  </si>
  <si>
    <t>FV087269</t>
  </si>
  <si>
    <t>Facture SORTIE PNEUMATIQUE FV087269</t>
  </si>
  <si>
    <t>FV087142</t>
  </si>
  <si>
    <t>Facture SORTIE FOURNITURE ATELIER ET MAGASIN FV087142</t>
  </si>
  <si>
    <t>FV087270</t>
  </si>
  <si>
    <t>Facture SORTIE PNEUMATIQUE FV087270</t>
  </si>
  <si>
    <t>FV087143</t>
  </si>
  <si>
    <t>Facture SORTIE FOURNITURE ATELIER ET MAGASIN FV087143</t>
  </si>
  <si>
    <t>FV087144</t>
  </si>
  <si>
    <t>Facture SORTIE PIECES DETACHEES FV087144</t>
  </si>
  <si>
    <t>FV087145</t>
  </si>
  <si>
    <t>Facture SORTIE FOURNITURE ATELIER ET MAGASIN FV087145</t>
  </si>
  <si>
    <t>FV086919</t>
  </si>
  <si>
    <t>Facture SORTIE PIECES DETACHEES FV086919</t>
  </si>
  <si>
    <t>FV087146</t>
  </si>
  <si>
    <t>Facture SORTIE FOURNITURE ATELIER ET MAGASIN FV087146</t>
  </si>
  <si>
    <t>FV087147</t>
  </si>
  <si>
    <t>Facture SORTIE FOURNITURE ATELIER ET MAGASIN FV087147</t>
  </si>
  <si>
    <t>FV087148</t>
  </si>
  <si>
    <t>Facture SORTIE FOURNITURE ATELIER ET MAGASIN FV087148</t>
  </si>
  <si>
    <t>FV087149</t>
  </si>
  <si>
    <t>Facture SORTIE PIECES DETACHEES FV087149</t>
  </si>
  <si>
    <t>FV087150</t>
  </si>
  <si>
    <t>Facture SORTIE PIECES DETACHEES FV087150</t>
  </si>
  <si>
    <t>FV087151</t>
  </si>
  <si>
    <t>Facture SORTIE PIECES DETACHEES FV087151</t>
  </si>
  <si>
    <t>FV087152</t>
  </si>
  <si>
    <t>Facture SORTIE FOURNITURE ATELIER ET MAGASIN FV087152</t>
  </si>
  <si>
    <t>FV087208</t>
  </si>
  <si>
    <t>Facture SORTIE FOURNITURE ATELIER ET MAGASIN FV087208</t>
  </si>
  <si>
    <t>FV087209</t>
  </si>
  <si>
    <t>Facture SORTIE FOURNITURE ATELIER ET MAGASIN FV087209</t>
  </si>
  <si>
    <t>FV087210</t>
  </si>
  <si>
    <t>Facture SORTIE FOURNITURE ATELIER ET MAGASIN FV087210</t>
  </si>
  <si>
    <t>FV087212</t>
  </si>
  <si>
    <t>Facture SORTIE FOURNITURE ATELIER ET MAGASIN FV087212</t>
  </si>
  <si>
    <t>FV087214</t>
  </si>
  <si>
    <t>Facture SORTIE FOURNITURE ATELIER ET MAGASIN FV087214</t>
  </si>
  <si>
    <t>FV087153</t>
  </si>
  <si>
    <t>Facture SORTIE PIECES DETACHEES FV087153</t>
  </si>
  <si>
    <t>FV087154</t>
  </si>
  <si>
    <t>Facture SORTIE PIECES DETACHEES FV087154</t>
  </si>
  <si>
    <t>FV087155</t>
  </si>
  <si>
    <t>Facture SORTIE PIECES DETACHEES FV087155</t>
  </si>
  <si>
    <t>FV087156</t>
  </si>
  <si>
    <t>Facture SORTIE PIECES DETACHEES FV087156</t>
  </si>
  <si>
    <t>FV087223</t>
  </si>
  <si>
    <t>Facture SORTIE FOURNITURE ATELIER ET MAGASIN FV087223</t>
  </si>
  <si>
    <t>FV087224</t>
  </si>
  <si>
    <t>Facture SORTIE PIECES DETACHEES FV087224</t>
  </si>
  <si>
    <t>FV087225</t>
  </si>
  <si>
    <t>Facture SORTIE FOURNITURE ATELIER ET MAGASIN FV087225</t>
  </si>
  <si>
    <t>FV087158</t>
  </si>
  <si>
    <t>Facture SORTIE PIECES DETACHEES FV087158</t>
  </si>
  <si>
    <t>FV087283</t>
  </si>
  <si>
    <t>Facture SORTIE PIECES DETACHEES FV087283</t>
  </si>
  <si>
    <t>FV087227</t>
  </si>
  <si>
    <t>Facture SORTIE FOURNITURE ATELIER ET MAGASIN FV087227</t>
  </si>
  <si>
    <t>FV087159</t>
  </si>
  <si>
    <t>Facture SORTIE PIECES DETACHEES FV087159</t>
  </si>
  <si>
    <t>FV087160</t>
  </si>
  <si>
    <t>Facture SORTIE PIECES DETACHEES FV087160</t>
  </si>
  <si>
    <t>FV087161</t>
  </si>
  <si>
    <t>Facture SORTIE FOURNITURE ATELIER ET MAGASIN FV087161</t>
  </si>
  <si>
    <t>FV087162</t>
  </si>
  <si>
    <t>Facture SORTIE PIECES DETACHEES FV087162</t>
  </si>
  <si>
    <t>FV087163</t>
  </si>
  <si>
    <t>Facture SORTIE PIECES DETACHEES FV087163</t>
  </si>
  <si>
    <t>FV087235</t>
  </si>
  <si>
    <t>Facture SORTIE PIECES DETACHEES FV087235</t>
  </si>
  <si>
    <t>FV087799</t>
  </si>
  <si>
    <t>Facture SORTIE FOURNITURE ATELIER ET MAGASIN FV087799</t>
  </si>
  <si>
    <t>FV087164</t>
  </si>
  <si>
    <t>Facture SORTIE PIECES DETACHEES FV087164</t>
  </si>
  <si>
    <t>FV087236</t>
  </si>
  <si>
    <t>Facture SORTIE FOURNITURE ATELIER ET MAGASIN FV087236</t>
  </si>
  <si>
    <t>FV087238</t>
  </si>
  <si>
    <t>Facture SORTIE PIECES DETACHEES FV087238</t>
  </si>
  <si>
    <t>FV087165</t>
  </si>
  <si>
    <t>Facture SORTIE PIECES DETACHEES FV087165</t>
  </si>
  <si>
    <t>FV087239</t>
  </si>
  <si>
    <t>Facture SORTIE PIECES DETACHEES FV087239</t>
  </si>
  <si>
    <t>FV087167</t>
  </si>
  <si>
    <t>Facture SORTIE PIECES DETACHEES FV087167</t>
  </si>
  <si>
    <t>FV087240</t>
  </si>
  <si>
    <t>Facture SORTIE PIECES DETACHEES FV087240</t>
  </si>
  <si>
    <t>FV087241</t>
  </si>
  <si>
    <t>Facture SORTIE PIECES DETACHEES FV087241</t>
  </si>
  <si>
    <t>FV087242</t>
  </si>
  <si>
    <t>Facture SORTIE FOURNITURE ATELIER ET MAGASIN FV087242</t>
  </si>
  <si>
    <t>FV087243</t>
  </si>
  <si>
    <t>Facture SORTIE PIECES DETACHEES FV087243</t>
  </si>
  <si>
    <t>FV087244</t>
  </si>
  <si>
    <t>Facture SORTIE PIECES DETACHEES FV087244</t>
  </si>
  <si>
    <t>FV087170</t>
  </si>
  <si>
    <t>Facture SORTIE PIECES DETACHEES FV087170</t>
  </si>
  <si>
    <t>FV087172</t>
  </si>
  <si>
    <t>Facture SORTIE PIECES DETACHEES FV087172</t>
  </si>
  <si>
    <t>FV087175</t>
  </si>
  <si>
    <t>Facture SORTIE FOURNITURE ATELIER ET MAGASIN FV087175</t>
  </si>
  <si>
    <t>FV087176</t>
  </si>
  <si>
    <t>Facture SORTIE FOURNITURE ATELIER ET MAGASIN FV087176</t>
  </si>
  <si>
    <t>FV087178</t>
  </si>
  <si>
    <t>Facture SORTIE PIECES DETACHEES FV087178</t>
  </si>
  <si>
    <t>FV087179</t>
  </si>
  <si>
    <t>Facture SORTIE PNEUMATIQUE FV087179</t>
  </si>
  <si>
    <t>FV087180</t>
  </si>
  <si>
    <t>Facture SORTIE LUBRIFIANT FV087180</t>
  </si>
  <si>
    <t>FV087181</t>
  </si>
  <si>
    <t>Facture SORTIE PNEUMATIQUE FV087181</t>
  </si>
  <si>
    <t>FV087182</t>
  </si>
  <si>
    <t>Facture SORTIE FOURNITURE ATELIER ET MAGASIN FV087182</t>
  </si>
  <si>
    <t>FV087184</t>
  </si>
  <si>
    <t>Facture SORTIE FOURNITURE ATELIER ET MAGASIN FV087184</t>
  </si>
  <si>
    <t>FV087185</t>
  </si>
  <si>
    <t>Facture SORTIE FOURNITURE ATELIER ET MAGASIN FV087185</t>
  </si>
  <si>
    <t>FV087659</t>
  </si>
  <si>
    <t>Facture SORTIE FOURNITURE ATELIER ET MAGASIN FV087659</t>
  </si>
  <si>
    <t>FV087186</t>
  </si>
  <si>
    <t>Facture SORTIE PIECES DETACHEES FV087186</t>
  </si>
  <si>
    <t>FV088374</t>
  </si>
  <si>
    <t>Facture SORTIE PIECES DETACHEES FV088374</t>
  </si>
  <si>
    <t>FV087187</t>
  </si>
  <si>
    <t>Facture SORTIE LUBRIFIANT FV087187</t>
  </si>
  <si>
    <t>FV087188</t>
  </si>
  <si>
    <t>Facture SORTIE LUBRIFIANT FV087188</t>
  </si>
  <si>
    <t>FV088376</t>
  </si>
  <si>
    <t>Facture SORTIE PIECES DETACHEES FV088376</t>
  </si>
  <si>
    <t>FV087189</t>
  </si>
  <si>
    <t>Facture SORTIE PIECES DETACHEES FV087189</t>
  </si>
  <si>
    <t>FV087190</t>
  </si>
  <si>
    <t>Facture SORTIE LUBRIFIANT FV087190</t>
  </si>
  <si>
    <t>FV087192</t>
  </si>
  <si>
    <t>Facture SORTIE FOURNITURE ATELIER ET MAGASIN FV087192</t>
  </si>
  <si>
    <t>FV087193</t>
  </si>
  <si>
    <t>Facture SORTIE FOURNITURE ATELIER ET MAGASIN FV087193</t>
  </si>
  <si>
    <t>FV087200</t>
  </si>
  <si>
    <t>Facture SORTIE PIECES DETACHEES FV087200</t>
  </si>
  <si>
    <t>FV087565</t>
  </si>
  <si>
    <t>Facture SORTIE FOURNITURE ATELIER ET MAGASIN FV087565</t>
  </si>
  <si>
    <t>FV087201</t>
  </si>
  <si>
    <t>Facture SORTIE PNEUMATIQUE FV087201</t>
  </si>
  <si>
    <t>FV087202</t>
  </si>
  <si>
    <t>Facture SORTIE PNEUMATIQUE FV087202</t>
  </si>
  <si>
    <t>FV087260</t>
  </si>
  <si>
    <t>Facture SORTIE PIECES DETACHEES FV087260</t>
  </si>
  <si>
    <t>FV087262</t>
  </si>
  <si>
    <t>Facture SORTIE PIECES DETACHEES FV087262</t>
  </si>
  <si>
    <t>FV087504</t>
  </si>
  <si>
    <t>Facture SORTIE PIECES DETACHEES FV087504</t>
  </si>
  <si>
    <t>FV087215</t>
  </si>
  <si>
    <t>Facture SORTIE PIECES DETACHEES FV087215</t>
  </si>
  <si>
    <t>FV087216</t>
  </si>
  <si>
    <t>Facture SORTIE PIECES DETACHEES FV087216</t>
  </si>
  <si>
    <t>FV087217</t>
  </si>
  <si>
    <t>Facture SORTIE PIECES DETACHEES FV087217</t>
  </si>
  <si>
    <t>FV087218</t>
  </si>
  <si>
    <t>Facture SORTIE FOURNITURE ATELIER ET MAGASIN FV087218</t>
  </si>
  <si>
    <t>FV087219</t>
  </si>
  <si>
    <t>Facture SORTIE PIECES DETACHEES FV087219</t>
  </si>
  <si>
    <t>FV087221</t>
  </si>
  <si>
    <t>Facture SORTIE FOURNITURE ATELIER ET MAGASIN FV087221</t>
  </si>
  <si>
    <t>FV087222</t>
  </si>
  <si>
    <t>Facture SORTIE PIECES DETACHEES FV087222</t>
  </si>
  <si>
    <t>FV088208</t>
  </si>
  <si>
    <t>Facture SORTIE PIECES DETACHEES FV088208</t>
  </si>
  <si>
    <t>FV087226</t>
  </si>
  <si>
    <t>Facture SORTIE LUBRIFIANT FV087226</t>
  </si>
  <si>
    <t>FV087228</t>
  </si>
  <si>
    <t>Facture SORTIE FOURNITURE ATELIER ET MAGASIN FV087228</t>
  </si>
  <si>
    <t>FV087229</t>
  </si>
  <si>
    <t>Facture SORTIE FOURNITURE ATELIER ET MAGASIN FV087229</t>
  </si>
  <si>
    <t>FV087230</t>
  </si>
  <si>
    <t>Facture SORTIE LUBRIFIANT FV087230</t>
  </si>
  <si>
    <t>FV087231</t>
  </si>
  <si>
    <t>Facture SORTIE FOURNITURE ATELIER ET MAGASIN FV087231</t>
  </si>
  <si>
    <t>FV087232</t>
  </si>
  <si>
    <t>Facture SORTIE FOURNITURE ATELIER ET MAGASIN FV087232</t>
  </si>
  <si>
    <t>FV087233</t>
  </si>
  <si>
    <t>Facture SORTIE FOURNITURE ATELIER ET MAGASIN FV087233</t>
  </si>
  <si>
    <t>FV087284</t>
  </si>
  <si>
    <t>Facture SORTIE PIECES DETACHEES FV087284</t>
  </si>
  <si>
    <t>FV087234</t>
  </si>
  <si>
    <t>Facture SORTIE FOURNITURE ATELIER ET MAGASIN FV087234</t>
  </si>
  <si>
    <t>FV087285</t>
  </si>
  <si>
    <t>Facture SORTIE PIECES DETACHEES FV087285</t>
  </si>
  <si>
    <t>FV087286</t>
  </si>
  <si>
    <t>Facture SORTIE PIECES DETACHEES FV087286</t>
  </si>
  <si>
    <t>FV087287</t>
  </si>
  <si>
    <t>Facture SORTIE PIECES DETACHEES FV087287</t>
  </si>
  <si>
    <t>FV087237</t>
  </si>
  <si>
    <t>Facture SORTIE FOURNITURE ATELIER ET MAGASIN FV087237</t>
  </si>
  <si>
    <t>FV087288</t>
  </si>
  <si>
    <t>Facture SORTIE PIECES DETACHEES FV087288</t>
  </si>
  <si>
    <t>FV087289</t>
  </si>
  <si>
    <t>Facture SORTIE PIECES DETACHEES FV087289</t>
  </si>
  <si>
    <t>FV087290</t>
  </si>
  <si>
    <t>Facture SORTIE PIECES DETACHEES FV087290</t>
  </si>
  <si>
    <t>FV087291</t>
  </si>
  <si>
    <t>Facture SORTIE FOURNITURE ATELIER ET MAGASIN FV087291</t>
  </si>
  <si>
    <t>FV087292</t>
  </si>
  <si>
    <t>Facture SORTIE PIECES DETACHEES FV087292</t>
  </si>
  <si>
    <t>FV087245</t>
  </si>
  <si>
    <t>Facture SORTIE PNEUMATIQUE FV087245</t>
  </si>
  <si>
    <t>FV087246</t>
  </si>
  <si>
    <t>Facture SORTIE PNEUMATIQUE FV087246</t>
  </si>
  <si>
    <t>FV087247</t>
  </si>
  <si>
    <t>Facture SORTIE FOURNITURE ATELIER ET MAGASIN FV087247</t>
  </si>
  <si>
    <t>FV087293</t>
  </si>
  <si>
    <t>Facture SORTIE PIECES DETACHEES FV087293</t>
  </si>
  <si>
    <t>FV087248</t>
  </si>
  <si>
    <t>Facture SORTIE FOURNITURE ATELIER ET MAGASIN FV087248</t>
  </si>
  <si>
    <t>FV087294</t>
  </si>
  <si>
    <t>Facture SORTIE PIECES DETACHEES FV087294</t>
  </si>
  <si>
    <t>FV087249</t>
  </si>
  <si>
    <t>Facture SORTIE FOURNITURE ATELIER ET MAGASIN FV087249</t>
  </si>
  <si>
    <t>FV087250</t>
  </si>
  <si>
    <t>Facture SORTIE FOURNITURE ATELIER ET MAGASIN FV087250</t>
  </si>
  <si>
    <t>FV087251</t>
  </si>
  <si>
    <t>Facture SORTIE PIECES DETACHEES FV087251</t>
  </si>
  <si>
    <t>FV087252</t>
  </si>
  <si>
    <t>Facture SORTIE LUBRIFIANT FV087252</t>
  </si>
  <si>
    <t>FV087253</t>
  </si>
  <si>
    <t>Facture SORTIE FOURNITURE ATELIER ET MAGASIN FV087253</t>
  </si>
  <si>
    <t>FV087254</t>
  </si>
  <si>
    <t>Facture SORTIE FOURNITURE ATELIER ET MAGASIN FV087254</t>
  </si>
  <si>
    <t>FV087255</t>
  </si>
  <si>
    <t>Facture SORTIE LUBRIFIANT FV087255</t>
  </si>
  <si>
    <t>FV087299</t>
  </si>
  <si>
    <t>Facture SORTIE FOURNITURE ATELIER ET MAGASIN FV087299</t>
  </si>
  <si>
    <t>FV087256</t>
  </si>
  <si>
    <t>Facture SORTIE PIECES DETACHEES FV087256</t>
  </si>
  <si>
    <t>FV087300</t>
  </si>
  <si>
    <t>Facture SORTIE FOURNITURE ATELIER ET MAGASIN FV087300</t>
  </si>
  <si>
    <t>FV087257</t>
  </si>
  <si>
    <t>Facture SORTIE FOURNITURE ATELIER ET MAGASIN FV087257</t>
  </si>
  <si>
    <t>FV087258</t>
  </si>
  <si>
    <t>Facture SORTIE PIECES DETACHEES FV087258</t>
  </si>
  <si>
    <t>FV087313</t>
  </si>
  <si>
    <t>Facture SORTIE PNEUMATIQUE FV087313</t>
  </si>
  <si>
    <t>FV087723</t>
  </si>
  <si>
    <t>Facture SORTIE PIECES DETACHEES FV087723</t>
  </si>
  <si>
    <t>FV087263</t>
  </si>
  <si>
    <t>Facture SORTIE PNEUMATIQUE FV087263</t>
  </si>
  <si>
    <t>FV087271</t>
  </si>
  <si>
    <t>Facture SORTIE PIECES DETACHEES FV087271</t>
  </si>
  <si>
    <t>FV087272</t>
  </si>
  <si>
    <t>Facture SORTIE PIECES DETACHEES FV087272</t>
  </si>
  <si>
    <t>FV087273</t>
  </si>
  <si>
    <t>Facture SORTIE FOURNITURE ATELIER ET MAGASIN FV087273</t>
  </si>
  <si>
    <t>FV087274</t>
  </si>
  <si>
    <t>Facture SORTIE FOURNITURE ATELIER ET MAGASIN FV087274</t>
  </si>
  <si>
    <t>FV087275</t>
  </si>
  <si>
    <t>Facture SORTIE FOURNITURE ATELIER ET MAGASIN FV087275</t>
  </si>
  <si>
    <t>FV087276</t>
  </si>
  <si>
    <t>Facture SORTIE FOURNITURE ATELIER ET MAGASIN FV087276</t>
  </si>
  <si>
    <t>FV087277</t>
  </si>
  <si>
    <t>Facture SORTIE PNEUMATIQUE FV087277</t>
  </si>
  <si>
    <t>FV087278</t>
  </si>
  <si>
    <t>Facture SORTIE PNEUMATIQUE FV087278</t>
  </si>
  <si>
    <t>FV087279</t>
  </si>
  <si>
    <t>Facture SORTIE PNEUMATIQUE FV087279</t>
  </si>
  <si>
    <t>FV087280</t>
  </si>
  <si>
    <t>Facture SORTIE PIECES DETACHEES FV087280</t>
  </si>
  <si>
    <t>FV087281</t>
  </si>
  <si>
    <t>Facture SORTIE PIECES DETACHEES FV087281</t>
  </si>
  <si>
    <t>FV087282</t>
  </si>
  <si>
    <t>Facture SORTIE FOURNITURE ATELIER ET MAGASIN FV087282</t>
  </si>
  <si>
    <t>FV087364</t>
  </si>
  <si>
    <t>Facture SORTIE PIECES DETACHEES FV087364</t>
  </si>
  <si>
    <t>FV087366</t>
  </si>
  <si>
    <t>Facture SORTIE LUBRIFIANT FV087366</t>
  </si>
  <si>
    <t>FV087367</t>
  </si>
  <si>
    <t>Facture SORTIE LUBRIFIANT FV087367</t>
  </si>
  <si>
    <t>FV087370</t>
  </si>
  <si>
    <t>Facture SORTIE FOURNITURE FV087370</t>
  </si>
  <si>
    <t>FV087371</t>
  </si>
  <si>
    <t>Facture SORTIE FOURNITURE ATELIER ET MAGASIN FV087371</t>
  </si>
  <si>
    <t>FV087380</t>
  </si>
  <si>
    <t>Facture SORTIE FOURNITURE ATELIER ET MAGASIN FV087380</t>
  </si>
  <si>
    <t>FV087386</t>
  </si>
  <si>
    <t>Facture SORTIE PNEUMATIQUE FV087386</t>
  </si>
  <si>
    <t>FV087295</t>
  </si>
  <si>
    <t>Facture SORTIE PIECES DETACHEES FV087295</t>
  </si>
  <si>
    <t>FV087296</t>
  </si>
  <si>
    <t>Facture SORTIE LUBRIFIANT FV087296</t>
  </si>
  <si>
    <t>FV087297</t>
  </si>
  <si>
    <t>Facture SORTIE PIECES DETACHEES FV087297</t>
  </si>
  <si>
    <t>FV087298</t>
  </si>
  <si>
    <t>Facture SORTIE PIECES DETACHEES FV087298</t>
  </si>
  <si>
    <t>FV087301</t>
  </si>
  <si>
    <t>Facture SORTIE FOURNITURE ATELIER ET MAGASIN FV087301</t>
  </si>
  <si>
    <t>FV087302</t>
  </si>
  <si>
    <t>Facture SORTIE FOURNITURE ATELIER ET MAGASIN FV087302</t>
  </si>
  <si>
    <t>FV087303</t>
  </si>
  <si>
    <t>Facture SORTIE PIECES DETACHEES FV087303</t>
  </si>
  <si>
    <t>FV087304</t>
  </si>
  <si>
    <t>Facture SORTIE PIECES DETACHEES FV087304</t>
  </si>
  <si>
    <t>FV087306</t>
  </si>
  <si>
    <t>Facture SORTIE FOURNITURE ATELIER ET MAGASIN FV087306</t>
  </si>
  <si>
    <t>FV087307</t>
  </si>
  <si>
    <t>Facture SORTIE PIECES DETACHEES FV087307</t>
  </si>
  <si>
    <t>FV087308</t>
  </si>
  <si>
    <t>Facture SORTIE FOURNITURE ATELIER ET MAGASIN FV087308</t>
  </si>
  <si>
    <t>FV087309</t>
  </si>
  <si>
    <t>Facture SORTIE PIECES DETACHEES FV087309</t>
  </si>
  <si>
    <t>FV087310</t>
  </si>
  <si>
    <t>Facture SORTIE PIECES DETACHEES FV087310</t>
  </si>
  <si>
    <t>FV087311</t>
  </si>
  <si>
    <t>Facture SORTIE PIECES DETACHEES FV087311</t>
  </si>
  <si>
    <t>FV087312</t>
  </si>
  <si>
    <t>Facture SORTIE PIECES DETACHEES FV087312</t>
  </si>
  <si>
    <t>FV087314</t>
  </si>
  <si>
    <t>Facture SORTIE FOURNITURE ATELIER ET MAGASIN FV087314</t>
  </si>
  <si>
    <t>FV087315</t>
  </si>
  <si>
    <t>Facture SORTIE PIECES DETACHEES FV087315</t>
  </si>
  <si>
    <t>FV087316</t>
  </si>
  <si>
    <t>Facture SORTIE FOURNITURE ATELIER ET MAGASIN FV087316</t>
  </si>
  <si>
    <t>FV087317</t>
  </si>
  <si>
    <t>Facture SORTIE PIECES DETACHEES FV087317</t>
  </si>
  <si>
    <t>FV087319</t>
  </si>
  <si>
    <t>Facture SORTIE PIECES DETACHEES FV087319</t>
  </si>
  <si>
    <t>FV087320</t>
  </si>
  <si>
    <t>Facture SORTIE PIECES DETACHEES FV087320</t>
  </si>
  <si>
    <t>FV087321</t>
  </si>
  <si>
    <t>Facture SORTIE PIECES DETACHEES FV087321</t>
  </si>
  <si>
    <t>FV087322</t>
  </si>
  <si>
    <t>Facture SORTIE PIECES DETACHEES FV087322</t>
  </si>
  <si>
    <t>FV087323</t>
  </si>
  <si>
    <t>Facture SORTIE PIECES DETACHEES FV087323</t>
  </si>
  <si>
    <t>FV087324</t>
  </si>
  <si>
    <t>Facture SORTIE PIECES DETACHEES FV087324</t>
  </si>
  <si>
    <t>FV087325</t>
  </si>
  <si>
    <t>Facture SORTIE FOURNITURE ATELIER ET MAGASIN FV087325</t>
  </si>
  <si>
    <t>FV087505</t>
  </si>
  <si>
    <t>Facture SORTIE PIECES DETACHEES FV087505</t>
  </si>
  <si>
    <t>FV087326</t>
  </si>
  <si>
    <t>Facture SORTIE PIECES DETACHEES FV087326</t>
  </si>
  <si>
    <t>FV087327</t>
  </si>
  <si>
    <t>Facture SORTIE PIECES DETACHEES FV087327</t>
  </si>
  <si>
    <t>FV087328</t>
  </si>
  <si>
    <t>Facture SORTIE PIECES DETACHEES FV087328</t>
  </si>
  <si>
    <t>FV087329</t>
  </si>
  <si>
    <t>Facture SORTIE PIECES DETACHEES FV087329</t>
  </si>
  <si>
    <t>FV087330</t>
  </si>
  <si>
    <t>Facture SORTIE PIECES DETACHEES FV087330</t>
  </si>
  <si>
    <t>FV087331</t>
  </si>
  <si>
    <t>Facture SORTIE PIECES DETACHEES FV087331</t>
  </si>
  <si>
    <t>FV087332</t>
  </si>
  <si>
    <t>Facture SORTIE PIECES DETACHEES FV087332</t>
  </si>
  <si>
    <t>FV087333</t>
  </si>
  <si>
    <t>Facture SORTIE PIECES DETACHEES FV087333</t>
  </si>
  <si>
    <t>FV087334</t>
  </si>
  <si>
    <t>Facture SORTIE PIECES DETACHEES FV087334</t>
  </si>
  <si>
    <t>FV087335</t>
  </si>
  <si>
    <t>Facture SORTIE PIECES DETACHEES FV087335</t>
  </si>
  <si>
    <t>FV087336</t>
  </si>
  <si>
    <t>Facture SORTIE PIECES DETACHEES FV087336</t>
  </si>
  <si>
    <t>FV087337</t>
  </si>
  <si>
    <t>Facture SORTIE PIECES DETACHEES FV087337</t>
  </si>
  <si>
    <t>FV087338</t>
  </si>
  <si>
    <t>Facture SORTIE PIECES DETACHEES FV087338</t>
  </si>
  <si>
    <t>FV087339</t>
  </si>
  <si>
    <t>Facture SORTIE PIECES DETACHEES FV087339</t>
  </si>
  <si>
    <t>FV087340</t>
  </si>
  <si>
    <t>Facture SORTIE PIECES DETACHEES FV087340</t>
  </si>
  <si>
    <t>FV087341</t>
  </si>
  <si>
    <t>Facture SORTIE PIECES DETACHEES FV087341</t>
  </si>
  <si>
    <t>FV087342</t>
  </si>
  <si>
    <t>Facture SORTIE PIECES DETACHEES FV087342</t>
  </si>
  <si>
    <t>FV087343</t>
  </si>
  <si>
    <t>Facture SORTIE PIECES DETACHEES FV087343</t>
  </si>
  <si>
    <t>FV087344</t>
  </si>
  <si>
    <t>Facture SORTIE PIECES DETACHEES FV087344</t>
  </si>
  <si>
    <t>FV087345</t>
  </si>
  <si>
    <t>Facture SORTIE PIECES DETACHEES FV087345</t>
  </si>
  <si>
    <t>FV087346</t>
  </si>
  <si>
    <t>Facture SORTIE PIECES DETACHEES FV087346</t>
  </si>
  <si>
    <t>FV087347</t>
  </si>
  <si>
    <t>Facture SORTIE PIECES DETACHEES FV087347</t>
  </si>
  <si>
    <t>FV087419</t>
  </si>
  <si>
    <t>Facture SORTIE PIECES DETACHEES FV087419</t>
  </si>
  <si>
    <t>FV087421</t>
  </si>
  <si>
    <t>Facture SORTIE PIECES DETACHEES FV087421</t>
  </si>
  <si>
    <t>FV087422</t>
  </si>
  <si>
    <t>Facture SORTIE PIECES DETACHEES FV087422</t>
  </si>
  <si>
    <t>FV087348</t>
  </si>
  <si>
    <t>Facture SORTIE FOURNITURE ATELIER ET MAGASIN FV087348</t>
  </si>
  <si>
    <t>FV087349</t>
  </si>
  <si>
    <t>Facture SORTIE PIECES DETACHEES FV087349</t>
  </si>
  <si>
    <t>FV087350</t>
  </si>
  <si>
    <t>Facture SORTIE PIECES DETACHEES FV087350</t>
  </si>
  <si>
    <t>FV087351</t>
  </si>
  <si>
    <t>Facture SORTIE PIECES DETACHEES FV087351</t>
  </si>
  <si>
    <t>FV087352</t>
  </si>
  <si>
    <t>Facture SORTIE PIECES DETACHEES FV087352</t>
  </si>
  <si>
    <t>FV087353</t>
  </si>
  <si>
    <t>Facture SORTIE PIECES DETACHEES FV087353</t>
  </si>
  <si>
    <t>FV087354</t>
  </si>
  <si>
    <t>Facture SORTIE PIECES DETACHEES FV087354</t>
  </si>
  <si>
    <t>FV087355</t>
  </si>
  <si>
    <t>Facture SORTIE PIECES DETACHEES FV087355</t>
  </si>
  <si>
    <t>FV087356</t>
  </si>
  <si>
    <t>Facture SORTIE PIECES DETACHEES FV087356</t>
  </si>
  <si>
    <t>FV087357</t>
  </si>
  <si>
    <t>Facture SORTIE PIECES DETACHEES FV087357</t>
  </si>
  <si>
    <t>FV087358</t>
  </si>
  <si>
    <t>Facture SORTIE PIECES DETACHEES FV087358</t>
  </si>
  <si>
    <t>FV087359</t>
  </si>
  <si>
    <t>Facture SORTIE PIECES DETACHEES FV087359</t>
  </si>
  <si>
    <t>FV087360</t>
  </si>
  <si>
    <t>Facture SORTIE PIECES DETACHEES FV087360</t>
  </si>
  <si>
    <t>FV087361</t>
  </si>
  <si>
    <t>Facture SORTIE PIECES DETACHEES FV087361</t>
  </si>
  <si>
    <t>FV087362</t>
  </si>
  <si>
    <t>Facture SORTIE PIECES DETACHEES FV087362</t>
  </si>
  <si>
    <t>FV087363</t>
  </si>
  <si>
    <t>Facture SORTIE PIECES DETACHEES FV087363</t>
  </si>
  <si>
    <t>FV087365</t>
  </si>
  <si>
    <t>Facture SORTIE PIECES DETACHEES FV087365</t>
  </si>
  <si>
    <t>FV087368</t>
  </si>
  <si>
    <t>Facture SORTIE FOURNITURE ATELIER ET MAGASIN FV087368</t>
  </si>
  <si>
    <t>FV087369</t>
  </si>
  <si>
    <t>Facture SORTIE PIECES DETACHEES FV087369</t>
  </si>
  <si>
    <t>FV087372</t>
  </si>
  <si>
    <t>Facture SORTIE PIECES DETACHEES FV087372</t>
  </si>
  <si>
    <t>FV087373</t>
  </si>
  <si>
    <t>Facture SORTIE FOURNITURE ATELIER ET MAGASIN FV087373</t>
  </si>
  <si>
    <t>FV087374</t>
  </si>
  <si>
    <t>Facture SORTIE FOURNITURE ATELIER ET MAGASIN FV087374</t>
  </si>
  <si>
    <t>FV087375</t>
  </si>
  <si>
    <t>Facture SORTIE PIECES DETACHEES FV087375</t>
  </si>
  <si>
    <t>FV087376</t>
  </si>
  <si>
    <t>Facture SORTIE PIECES DETACHEES FV087376</t>
  </si>
  <si>
    <t>FV087377</t>
  </si>
  <si>
    <t>Facture SORTIE PIECES DETACHEES FV087377</t>
  </si>
  <si>
    <t>FV087378</t>
  </si>
  <si>
    <t>Facture SORTIE PIECES DETACHEES FV087378</t>
  </si>
  <si>
    <t>FV087379</t>
  </si>
  <si>
    <t>Facture SORTIE FOURNITURE ATELIER ET MAGASIN FV087379</t>
  </si>
  <si>
    <t>FV087381</t>
  </si>
  <si>
    <t>Facture SORTIE FOURNITURE ATELIER ET MAGASIN FV087381</t>
  </si>
  <si>
    <t>FV087382</t>
  </si>
  <si>
    <t>Facture SORTIE FOURNITURE ATELIER ET MAGASIN FV087382</t>
  </si>
  <si>
    <t>FV087383</t>
  </si>
  <si>
    <t>Facture SORTIE PIECES DETACHEES FV087383</t>
  </si>
  <si>
    <t>FV087384</t>
  </si>
  <si>
    <t>Facture SORTIE FOURNITURE ATELIER ET MAGASIN FV087384</t>
  </si>
  <si>
    <t>FV087385</t>
  </si>
  <si>
    <t>Facture SORTIE PIECES DETACHEES FV087385</t>
  </si>
  <si>
    <t>FV087388</t>
  </si>
  <si>
    <t>Facture SORTIE PNEUMATIQUE FV087388</t>
  </si>
  <si>
    <t>FV087387</t>
  </si>
  <si>
    <t>Facture SORTIE PIECES DETACHEES FV087387</t>
  </si>
  <si>
    <t>FV087408</t>
  </si>
  <si>
    <t>Facture SORTIE PIECES DETACHEES FV087408</t>
  </si>
  <si>
    <t>FV087390</t>
  </si>
  <si>
    <t>Facture SORTIE PIECES DETACHEES FV087390</t>
  </si>
  <si>
    <t>FV087389</t>
  </si>
  <si>
    <t>Facture SORTIE PIECES DETACHEES FV087389</t>
  </si>
  <si>
    <t>FV087409</t>
  </si>
  <si>
    <t>Facture SORTIE LUBRIFIANT FV087409</t>
  </si>
  <si>
    <t>FV087391</t>
  </si>
  <si>
    <t>Facture SORTIE PIECES DETACHEES FV087391</t>
  </si>
  <si>
    <t>FV087411</t>
  </si>
  <si>
    <t>Facture SORTIE FOURNITURE ATELIER ET MAGASIN FV087411</t>
  </si>
  <si>
    <t>FV087392</t>
  </si>
  <si>
    <t>Facture SORTIE FOURNITURE ATELIER ET MAGASIN FV087392</t>
  </si>
  <si>
    <t>FV087413</t>
  </si>
  <si>
    <t>Facture SORTIE PNEUMATIQUE FV087413</t>
  </si>
  <si>
    <t>FV087394</t>
  </si>
  <si>
    <t>Facture SORTIE PIECES DETACHEES FV087394</t>
  </si>
  <si>
    <t>FV087395</t>
  </si>
  <si>
    <t>Facture SORTIE PIECES DETACHEES FV087395</t>
  </si>
  <si>
    <t>FV087396</t>
  </si>
  <si>
    <t>Facture SORTIE PIECES DETACHEES FV087396</t>
  </si>
  <si>
    <t>FV087397</t>
  </si>
  <si>
    <t>Facture SORTIE PIECES DETACHEES FV087397</t>
  </si>
  <si>
    <t>FV087398</t>
  </si>
  <si>
    <t>Facture SORTIE PIECES DETACHEES FV087398</t>
  </si>
  <si>
    <t>FV087399</t>
  </si>
  <si>
    <t>Facture SORTIE PIECES DETACHEES FV087399</t>
  </si>
  <si>
    <t>FV087400</t>
  </si>
  <si>
    <t>Facture SORTIE PIECES DETACHEES FV087400</t>
  </si>
  <si>
    <t>FV087401</t>
  </si>
  <si>
    <t>Facture SORTIE PIECES DETACHEES FV087401</t>
  </si>
  <si>
    <t>FV087402</t>
  </si>
  <si>
    <t>Facture SORTIE PIECES DETACHEES FV087402</t>
  </si>
  <si>
    <t>FV087455</t>
  </si>
  <si>
    <t>Facture SORTIE PIECES DETACHEES FV087455</t>
  </si>
  <si>
    <t>FV087403</t>
  </si>
  <si>
    <t>Facture SORTIE PIECES DETACHEES FV087403</t>
  </si>
  <si>
    <t>FV087456</t>
  </si>
  <si>
    <t>Facture SORTIE FOURNITURE ATELIER ET MAGASIN FV087456</t>
  </si>
  <si>
    <t>FV087457</t>
  </si>
  <si>
    <t>Facture SORTIE FOURNITURE ATELIER ET MAGASIN FV087457</t>
  </si>
  <si>
    <t>FV087458</t>
  </si>
  <si>
    <t>Facture SORTIE FOURNITURE ATELIER ET MAGASIN FV087458</t>
  </si>
  <si>
    <t>FV087459</t>
  </si>
  <si>
    <t>Facture SORTIE FOURNITURE ATELIER ET MAGASIN FV087459</t>
  </si>
  <si>
    <t>FV087460</t>
  </si>
  <si>
    <t>Facture SORTIE FOURNITURE ATELIER ET MAGASIN FV087460</t>
  </si>
  <si>
    <t>FV087461</t>
  </si>
  <si>
    <t>Facture SORTIE FOURNITURE ATELIER ET MAGASIN FV087461</t>
  </si>
  <si>
    <t>FV087560</t>
  </si>
  <si>
    <t>Facture SORTIE LUBRIFIANT FV087560</t>
  </si>
  <si>
    <t>FV087462</t>
  </si>
  <si>
    <t>Facture SORTIE FOURNITURE ATELIER ET MAGASIN FV087462</t>
  </si>
  <si>
    <t>FV087463</t>
  </si>
  <si>
    <t>Facture SORTIE FOURNITURE ATELIER ET MAGASIN FV087463</t>
  </si>
  <si>
    <t>FV087464</t>
  </si>
  <si>
    <t>Facture SORTIE FOURNITURE ATELIER ET MAGASIN FV087464</t>
  </si>
  <si>
    <t>FV087506</t>
  </si>
  <si>
    <t>Facture SORTIE PIECES DETACHEES FV087506</t>
  </si>
  <si>
    <t>FV087423</t>
  </si>
  <si>
    <t>Facture SORTIE PIECES DETACHEES FV087423</t>
  </si>
  <si>
    <t>FV087424</t>
  </si>
  <si>
    <t>Facture SORTIE PIECES DETACHEES FV087424</t>
  </si>
  <si>
    <t>FV087425</t>
  </si>
  <si>
    <t>Facture SORTIE PIECES DETACHEES FV087425</t>
  </si>
  <si>
    <t>FV087426</t>
  </si>
  <si>
    <t>Facture SORTIE PIECES DETACHEES FV087426</t>
  </si>
  <si>
    <t>FV087404</t>
  </si>
  <si>
    <t>Facture SORTIE PIECES DETACHEES FV087404</t>
  </si>
  <si>
    <t>FV087405</t>
  </si>
  <si>
    <t>Facture SORTIE PIECES DETACHEES FV087405</t>
  </si>
  <si>
    <t>FV087406</t>
  </si>
  <si>
    <t>Facture SORTIE PIECES DETACHEES FV087406</t>
  </si>
  <si>
    <t>FV087407</t>
  </si>
  <si>
    <t>Facture SORTIE PIECES DETACHEES FV087407</t>
  </si>
  <si>
    <t>FV087410</t>
  </si>
  <si>
    <t>Facture SORTIE PIECES DETACHEES FV087410</t>
  </si>
  <si>
    <t>FV087412</t>
  </si>
  <si>
    <t>Facture SORTIE FOURNITURE ATELIER ET MAGASIN FV087412</t>
  </si>
  <si>
    <t>FV087444</t>
  </si>
  <si>
    <t>Facture SORTIE PNEUMATIQUE FV087444</t>
  </si>
  <si>
    <t>FV087445</t>
  </si>
  <si>
    <t>Facture SORTIE PNEUMATIQUE FV087445</t>
  </si>
  <si>
    <t>FV087446</t>
  </si>
  <si>
    <t>Facture SORTIE PNEUMATIQUE FV087446</t>
  </si>
  <si>
    <t>FV087451</t>
  </si>
  <si>
    <t>Facture SORTIE FOURNITURE ATELIER ET MAGASIN FV087451</t>
  </si>
  <si>
    <t>FV087427</t>
  </si>
  <si>
    <t>Facture SORTIE PIECES DETACHEES FV087427</t>
  </si>
  <si>
    <t>FV087428</t>
  </si>
  <si>
    <t>Facture SORTIE PIECES DETACHEES FV087428</t>
  </si>
  <si>
    <t>FV087429</t>
  </si>
  <si>
    <t>Facture SORTIE PIECES DETACHEES FV087429</t>
  </si>
  <si>
    <t>FV087430</t>
  </si>
  <si>
    <t>Facture SORTIE PIECES DETACHEES FV087430</t>
  </si>
  <si>
    <t>FV087431</t>
  </si>
  <si>
    <t>Facture SORTIE PIECES DETACHEES FV087431</t>
  </si>
  <si>
    <t>FV087432</t>
  </si>
  <si>
    <t>Facture SORTIE FOURNITURE ATELIER ET MAGASIN FV087432</t>
  </si>
  <si>
    <t>FV087433</t>
  </si>
  <si>
    <t>Facture SORTIE PIECES DETACHEES FV087433</t>
  </si>
  <si>
    <t>FV087435</t>
  </si>
  <si>
    <t>Facture SORTIE FOURNITURE ATELIER ET MAGASIN FV087435</t>
  </si>
  <si>
    <t>FV087437</t>
  </si>
  <si>
    <t>Facture SORTIE LUBRIFIANT FV087437</t>
  </si>
  <si>
    <t>FV087438</t>
  </si>
  <si>
    <t>Facture SORTIE PIECES DETACHEES FV087438</t>
  </si>
  <si>
    <t>FV087439</t>
  </si>
  <si>
    <t>Facture SORTIE FOURNITURE ATELIER ET MAGASIN FV087439</t>
  </si>
  <si>
    <t>FV087447</t>
  </si>
  <si>
    <t>Facture SORTIE PNEUMATIQUE FV087447</t>
  </si>
  <si>
    <t>FV087448</t>
  </si>
  <si>
    <t>Facture SORTIE PNEUMATIQUE FV087448</t>
  </si>
  <si>
    <t>FV087449</t>
  </si>
  <si>
    <t>Facture SORTIE PNEUMATIQUE FV087449</t>
  </si>
  <si>
    <t>FV087450</t>
  </si>
  <si>
    <t>Facture SORTIE PNEUMATIQUE FV087450</t>
  </si>
  <si>
    <t>FV087507</t>
  </si>
  <si>
    <t>Facture SORTIE PNEUMATIQUE FV087507</t>
  </si>
  <si>
    <t>FV087509</t>
  </si>
  <si>
    <t>Facture SORTIE PIECES DETACHEES FV087509</t>
  </si>
  <si>
    <t>FV087511</t>
  </si>
  <si>
    <t>Facture SORTIE PIECES DETACHEES FV087511</t>
  </si>
  <si>
    <t>FV087512</t>
  </si>
  <si>
    <t>Facture SORTIE PIECES DETACHEES FV087512</t>
  </si>
  <si>
    <t>FV088058</t>
  </si>
  <si>
    <t>Facture SORTIE FOURNITURE ATELIER ET MAGASIN FV088058</t>
  </si>
  <si>
    <t>FV087513</t>
  </si>
  <si>
    <t>Facture SORTIE FOURNITURE ATELIER ET MAGASIN FV087513</t>
  </si>
  <si>
    <t>FV087514</t>
  </si>
  <si>
    <t>Facture SORTIE PIECES DETACHEES FV087514</t>
  </si>
  <si>
    <t>FV087414</t>
  </si>
  <si>
    <t>Facture SORTIE PIECES DETACHEES FV087414</t>
  </si>
  <si>
    <t>FV087415</t>
  </si>
  <si>
    <t>Facture SORTIE PIECES DETACHEES FV087415</t>
  </si>
  <si>
    <t>FV087416</t>
  </si>
  <si>
    <t>Facture SORTIE PIECES DETACHEES FV087416</t>
  </si>
  <si>
    <t>FV087417</t>
  </si>
  <si>
    <t>Facture SORTIE PIECES DETACHEES FV087417</t>
  </si>
  <si>
    <t>FV087418</t>
  </si>
  <si>
    <t>Facture SORTIE PIECES DETACHEES FV087418</t>
  </si>
  <si>
    <t>FV088333</t>
  </si>
  <si>
    <t>Facture SORTIE PIECES DETACHEES FV088333</t>
  </si>
  <si>
    <t>FV088334</t>
  </si>
  <si>
    <t>Facture SORTIE FOURNITURE ATELIER ET MAGASIN FV088334</t>
  </si>
  <si>
    <t>FV088342</t>
  </si>
  <si>
    <t>Facture SORTIE PIECES DETACHEES FV088342</t>
  </si>
  <si>
    <t>FV088344</t>
  </si>
  <si>
    <t>Facture SORTIE PIECES DETACHEES FV088344</t>
  </si>
  <si>
    <t>FV088346</t>
  </si>
  <si>
    <t>Facture SORTIE PIECES DETACHEES FV088346</t>
  </si>
  <si>
    <t>FV087434</t>
  </si>
  <si>
    <t>Facture SORTIE PIECES DETACHEES FV087434</t>
  </si>
  <si>
    <t>FV087531</t>
  </si>
  <si>
    <t>Facture SORTIE PIECES DETACHEES FV087531</t>
  </si>
  <si>
    <t>FV087436</t>
  </si>
  <si>
    <t>Facture SORTIE PIECES DETACHEES FV087436</t>
  </si>
  <si>
    <t>FV088210</t>
  </si>
  <si>
    <t>Facture SORTIE LUBRIFIANT FV088210</t>
  </si>
  <si>
    <t>FV087538</t>
  </si>
  <si>
    <t>Facture SORTIE PIECES DETACHEES FV087538</t>
  </si>
  <si>
    <t>FV087539</t>
  </si>
  <si>
    <t>Facture SORTIE PIECES DETACHEES FV087539</t>
  </si>
  <si>
    <t>FV087440</t>
  </si>
  <si>
    <t>Facture SORTIE PIECES DETACHEES FV087440</t>
  </si>
  <si>
    <t>FV087540</t>
  </si>
  <si>
    <t>Facture SORTIE PIECES DETACHEES FV087540</t>
  </si>
  <si>
    <t>FV087441</t>
  </si>
  <si>
    <t>Facture SORTIE FOURNITURE ATELIER ET MAGASIN FV087441</t>
  </si>
  <si>
    <t>FV087442</t>
  </si>
  <si>
    <t>Facture SORTIE LUBRIFIANT FV087442</t>
  </si>
  <si>
    <t>FV087443</t>
  </si>
  <si>
    <t>Facture SORTIE FOURNITURE ATELIER ET MAGASIN FV087443</t>
  </si>
  <si>
    <t>FV087490</t>
  </si>
  <si>
    <t>Facture SORTIE PIECES DETACHEES FV087490</t>
  </si>
  <si>
    <t>FV087544</t>
  </si>
  <si>
    <t>Facture SORTIE FOURNITURE ATELIER ET MAGASIN FV087544</t>
  </si>
  <si>
    <t>FV087452</t>
  </si>
  <si>
    <t>Facture SORTIE FOURNITURE ATELIER ET MAGASIN FV087452</t>
  </si>
  <si>
    <t>FV087453</t>
  </si>
  <si>
    <t>Facture SORTIE FOURNITURE ATELIER ET MAGASIN FV087453</t>
  </si>
  <si>
    <t>FV087545</t>
  </si>
  <si>
    <t>Facture SORTIE FOURNITURE ATELIER ET MAGASIN FV087545</t>
  </si>
  <si>
    <t>FV087454</t>
  </si>
  <si>
    <t>Facture SORTIE FOURNITURE ATELIER ET MAGASIN FV087454</t>
  </si>
  <si>
    <t>FV087546</t>
  </si>
  <si>
    <t>Facture SORTIE FOURNITURE ATELIER ET MAGASIN FV087546</t>
  </si>
  <si>
    <t>FV087557</t>
  </si>
  <si>
    <t>Facture SORTIE PNEUMATIQUE FV087557</t>
  </si>
  <si>
    <t>FV087562</t>
  </si>
  <si>
    <t>Facture SORTIE LUBRIFIANT FV087562</t>
  </si>
  <si>
    <t>FV087465</t>
  </si>
  <si>
    <t>Facture SORTIE PIECES DETACHEES FV087465</t>
  </si>
  <si>
    <t>FV087466</t>
  </si>
  <si>
    <t>Facture SORTIE FOURNITURE ATELIER ET MAGASIN FV087466</t>
  </si>
  <si>
    <t>FV087467</t>
  </si>
  <si>
    <t>Facture SORTIE FOURNITURE ATELIER ET MAGASIN FV087467</t>
  </si>
  <si>
    <t>FV087468</t>
  </si>
  <si>
    <t>Facture SORTIE LUBRIFIANT FV087468</t>
  </si>
  <si>
    <t>FV087469</t>
  </si>
  <si>
    <t>Facture SORTIE PIECES DETACHEES FV087469</t>
  </si>
  <si>
    <t>FV087470</t>
  </si>
  <si>
    <t>Facture SORTIE PIECES DETACHEES FV087470</t>
  </si>
  <si>
    <t>FV087471</t>
  </si>
  <si>
    <t>Facture SORTIE PIECES DETACHEES FV087471</t>
  </si>
  <si>
    <t>FV087472</t>
  </si>
  <si>
    <t>Facture SORTIE PIECES DETACHEES FV087472</t>
  </si>
  <si>
    <t>FV087473</t>
  </si>
  <si>
    <t>Facture SORTIE PIECES DETACHEES FV087473</t>
  </si>
  <si>
    <t>FV087474</t>
  </si>
  <si>
    <t>Facture SORTIE FOURNITURE ATELIER ET MAGASIN FV087474</t>
  </si>
  <si>
    <t>FV087475</t>
  </si>
  <si>
    <t>Facture SORTIE FOURNITURE ATELIER ET MAGASIN FV087475</t>
  </si>
  <si>
    <t>FV087476</t>
  </si>
  <si>
    <t>Facture SORTIE FOURNITURE ATELIER ET MAGASIN FV087476</t>
  </si>
  <si>
    <t>FV087477</t>
  </si>
  <si>
    <t>Facture SORTIE PIECES DETACHEES FV087477</t>
  </si>
  <si>
    <t>FV087478</t>
  </si>
  <si>
    <t>Facture SORTIE PIECES DETACHEES FV087478</t>
  </si>
  <si>
    <t>FV087479</t>
  </si>
  <si>
    <t>Facture SORTIE PNEUMATIQUE FV087479</t>
  </si>
  <si>
    <t>FV087566</t>
  </si>
  <si>
    <t>Facture SORTIE FOURNITURE ATELIER ET MAGASIN FV087566</t>
  </si>
  <si>
    <t>FV088011</t>
  </si>
  <si>
    <t>Facture SORTIE PIECES DETACHEES FV088011</t>
  </si>
  <si>
    <t>FV088013</t>
  </si>
  <si>
    <t>Facture SORTIE PIECES DETACHEES FV088013</t>
  </si>
  <si>
    <t>FV087480</t>
  </si>
  <si>
    <t>Facture SORTIE PIECES DETACHEES FV087480</t>
  </si>
  <si>
    <t>FV087515</t>
  </si>
  <si>
    <t>Facture SORTIE PIECES DETACHEES FV087515</t>
  </si>
  <si>
    <t>FV087516</t>
  </si>
  <si>
    <t>Facture SORTIE PNEUMATIQUE FV087516</t>
  </si>
  <si>
    <t>FV088332</t>
  </si>
  <si>
    <t>Facture SORTIE PIECES DETACHEES FV088332</t>
  </si>
  <si>
    <t>FV087481</t>
  </si>
  <si>
    <t>Facture SORTIE FOURNITURE ATELIER ET MAGASIN FV087481</t>
  </si>
  <si>
    <t>FV087999</t>
  </si>
  <si>
    <t>Facture SORTIE FOURNITURE ATELIER ET MAGASIN FV087999</t>
  </si>
  <si>
    <t>FV087532</t>
  </si>
  <si>
    <t>Facture SORTIE PIECES DETACHEES FV087532</t>
  </si>
  <si>
    <t>FV087533</t>
  </si>
  <si>
    <t>Facture SORTIE LUBRIFIANT FV087533</t>
  </si>
  <si>
    <t>FV087534</t>
  </si>
  <si>
    <t>Facture SORTIE PIECES DETACHEES FV087534</t>
  </si>
  <si>
    <t>FV087482</t>
  </si>
  <si>
    <t>Facture SORTIE PIECES DETACHEES FV087482</t>
  </si>
  <si>
    <t>FV087535</t>
  </si>
  <si>
    <t>Facture SORTIE FOURNITURE ATELIER ET MAGASIN FV087535</t>
  </si>
  <si>
    <t>FV087483</t>
  </si>
  <si>
    <t>Facture SORTIE FOURNITURE ATELIER ET MAGASIN FV087483</t>
  </si>
  <si>
    <t>FV087484</t>
  </si>
  <si>
    <t>Facture SORTIE PNEUMATIQUE FV087484</t>
  </si>
  <si>
    <t>FV087485</t>
  </si>
  <si>
    <t>Facture SORTIE FOURNITURE ATELIER ET MAGASIN FV087485</t>
  </si>
  <si>
    <t>FV087486</t>
  </si>
  <si>
    <t>Facture SORTIE FOURNITURE ATELIER ET MAGASIN FV087486</t>
  </si>
  <si>
    <t>FV087487</t>
  </si>
  <si>
    <t>Facture SORTIE PIECES DETACHEES FV087487</t>
  </si>
  <si>
    <t>FV087488</t>
  </si>
  <si>
    <t>Facture SORTIE FOURNITURE ATELIER ET MAGASIN FV087488</t>
  </si>
  <si>
    <t>FV087541</t>
  </si>
  <si>
    <t>Facture SORTIE PIECES DETACHEES FV087541</t>
  </si>
  <si>
    <t>FV087542</t>
  </si>
  <si>
    <t>Facture SORTIE PIECES DETACHEES FV087542</t>
  </si>
  <si>
    <t>FV087543</t>
  </si>
  <si>
    <t>Facture SORTIE FOURNITURE ATELIER ET MAGASIN FV087543</t>
  </si>
  <si>
    <t>FV087548</t>
  </si>
  <si>
    <t>Facture SORTIE FOURNITURE ATELIER ET MAGASIN FV087548</t>
  </si>
  <si>
    <t>FV087491</t>
  </si>
  <si>
    <t>Facture SORTIE PIECES DETACHEES FV087491</t>
  </si>
  <si>
    <t>FV087492</t>
  </si>
  <si>
    <t>Facture SORTIE PIECES DETACHEES FV087492</t>
  </si>
  <si>
    <t>FV087555</t>
  </si>
  <si>
    <t>Facture SORTIE LUBRIFIANT FV087555</t>
  </si>
  <si>
    <t>FV087558</t>
  </si>
  <si>
    <t>Facture SORTIE LUBRIFIANT FV087558</t>
  </si>
  <si>
    <t>FV087493</t>
  </si>
  <si>
    <t>Facture SORTIE FOURNITURE ATELIER ET MAGASIN FV087493</t>
  </si>
  <si>
    <t>FV087494</t>
  </si>
  <si>
    <t>Facture SORTIE PIECES DETACHEES FV087494</t>
  </si>
  <si>
    <t>FV087495</t>
  </si>
  <si>
    <t>Facture SORTIE PIECES DETACHEES FV087495</t>
  </si>
  <si>
    <t>FV087496</t>
  </si>
  <si>
    <t>Facture SORTIE FOURNITURE ATELIER ET MAGASIN FV087496</t>
  </si>
  <si>
    <t>FV087497</t>
  </si>
  <si>
    <t>Facture SORTIE FOURNITURE ATELIER ET MAGASIN FV087497</t>
  </si>
  <si>
    <t>FV087498</t>
  </si>
  <si>
    <t>Facture SORTIE PNEUMATIQUE FV087498</t>
  </si>
  <si>
    <t>FV087499</t>
  </si>
  <si>
    <t>Facture SORTIE PNEUMATIQUE FV087499</t>
  </si>
  <si>
    <t>FV087500</t>
  </si>
  <si>
    <t>Facture SORTIE PNEUMATIQUE FV087500</t>
  </si>
  <si>
    <t>FV087501</t>
  </si>
  <si>
    <t>Facture SORTIE PNEUMATIQUE FV087501</t>
  </si>
  <si>
    <t>FV087502</t>
  </si>
  <si>
    <t>Facture SORTIE FOURNITURE ATELIER ET MAGASIN FV087502</t>
  </si>
  <si>
    <t>FV087503</t>
  </si>
  <si>
    <t>Facture SORTIE FOURNITURE ATELIER ET MAGASIN FV087503</t>
  </si>
  <si>
    <t>FV087567</t>
  </si>
  <si>
    <t>Facture SORTIE PNEUMATIQUE FV087567</t>
  </si>
  <si>
    <t>FV087576</t>
  </si>
  <si>
    <t>Facture SORTIE FOURNITURE ATELIER ET MAGASIN FV087576</t>
  </si>
  <si>
    <t>FV087577</t>
  </si>
  <si>
    <t>Facture SORTIE FOURNITURE ATELIER ET MAGASIN FV087577</t>
  </si>
  <si>
    <t>FV087517</t>
  </si>
  <si>
    <t>Facture SORTIE FOURNITURE ATELIER ET MAGASIN FV087517</t>
  </si>
  <si>
    <t>FV087518</t>
  </si>
  <si>
    <t>Facture SORTIE FOURNITURE ATELIER ET MAGASIN FV087518</t>
  </si>
  <si>
    <t>FV087519</t>
  </si>
  <si>
    <t>Facture SORTIE FOURNITURE ATELIER ET MAGASIN FV087519</t>
  </si>
  <si>
    <t>FV087520</t>
  </si>
  <si>
    <t>Facture SORTIE PIECES DETACHEES FV087520</t>
  </si>
  <si>
    <t>FV087521</t>
  </si>
  <si>
    <t>Facture SORTIE PIECES DETACHEES FV087521</t>
  </si>
  <si>
    <t>FV087522</t>
  </si>
  <si>
    <t>Facture SORTIE PIECES DETACHEES FV087522</t>
  </si>
  <si>
    <t>FV087523</t>
  </si>
  <si>
    <t>Facture SORTIE FOURNITURE ATELIER ET MAGASIN FV087523</t>
  </si>
  <si>
    <t>FV087524</t>
  </si>
  <si>
    <t>Facture SORTIE FOURNITURE ATELIER ET MAGASIN FV087524</t>
  </si>
  <si>
    <t>FV087525</t>
  </si>
  <si>
    <t>Facture SORTIE PIECES DETACHEES FV087525</t>
  </si>
  <si>
    <t>FV087749</t>
  </si>
  <si>
    <t>Facture SORTIE FOURNITURE ATELIER ET MAGASIN FV087749</t>
  </si>
  <si>
    <t>FV087635</t>
  </si>
  <si>
    <t>Facture SORTIE FOURNITURE ATELIER ET MAGASIN FV087635</t>
  </si>
  <si>
    <t>FV087526</t>
  </si>
  <si>
    <t>Facture SORTIE FOURNITURE ATELIER ET MAGASIN FV087526</t>
  </si>
  <si>
    <t>FV087527</t>
  </si>
  <si>
    <t>Facture SORTIE PIECES DETACHEES FV087527</t>
  </si>
  <si>
    <t>FV087528</t>
  </si>
  <si>
    <t>Facture SORTIE FOURNITURE ATELIER ET MAGASIN FV087528</t>
  </si>
  <si>
    <t>FV087529</t>
  </si>
  <si>
    <t>Facture SORTIE FOURNITURE ATELIER ET MAGASIN FV087529</t>
  </si>
  <si>
    <t>FV087757</t>
  </si>
  <si>
    <t>Facture SORTIE PIECES DETACHEES FV087757</t>
  </si>
  <si>
    <t>FV087530</t>
  </si>
  <si>
    <t>Facture SORTIE PIECES DETACHEES FV087530</t>
  </si>
  <si>
    <t>FV087536</t>
  </si>
  <si>
    <t>Facture SORTIE FOURNITURE ATELIER ET MAGASIN FV087536</t>
  </si>
  <si>
    <t>FV087537</t>
  </si>
  <si>
    <t>Facture SORTIE PIECES DETACHEES FV087537</t>
  </si>
  <si>
    <t>FV087609</t>
  </si>
  <si>
    <t>Facture SORTIE FOURNITURE ATELIER ET MAGASIN FV087609</t>
  </si>
  <si>
    <t>FV088216</t>
  </si>
  <si>
    <t>Facture SORTIE PIECES DETACHEES FV088216</t>
  </si>
  <si>
    <t>FV087610</t>
  </si>
  <si>
    <t>Facture SORTIE PIECES DETACHEES FV087610</t>
  </si>
  <si>
    <t>FV087664</t>
  </si>
  <si>
    <t>Facture SORTIE FOURNITURE ATELIER ET MAGASIN FV087664</t>
  </si>
  <si>
    <t>FV087665</t>
  </si>
  <si>
    <t>Facture SORTIE FOURNITURE ATELIER ET MAGASIN FV087665</t>
  </si>
  <si>
    <t>FV087666</t>
  </si>
  <si>
    <t>Facture SORTIE FOURNITURE ATELIER ET MAGASIN FV087666</t>
  </si>
  <si>
    <t>FV087615</t>
  </si>
  <si>
    <t>Facture SORTIE FOURNITURE ATELIER ET MAGASIN FV087615</t>
  </si>
  <si>
    <t>FV087547</t>
  </si>
  <si>
    <t>Facture SORTIE PIECES DETACHEES FV087547</t>
  </si>
  <si>
    <t>FV087549</t>
  </si>
  <si>
    <t>Facture SORTIE LUBRIFIANT FV087549</t>
  </si>
  <si>
    <t>FV087550</t>
  </si>
  <si>
    <t>Facture SORTIE PIECES DETACHEES FV087550</t>
  </si>
  <si>
    <t>FV087552</t>
  </si>
  <si>
    <t>Facture SORTIE FOURNITURE ATELIER ET MAGASIN FV087552</t>
  </si>
  <si>
    <t>FV087551</t>
  </si>
  <si>
    <t>Facture SORTIE PNEUMATIQUE FV087551</t>
  </si>
  <si>
    <t>FV087553</t>
  </si>
  <si>
    <t>Facture SORTIE PNEUMATIQUE FV087553</t>
  </si>
  <si>
    <t>FV087554</t>
  </si>
  <si>
    <t>Facture SORTIE PNEUMATIQUE FV087554</t>
  </si>
  <si>
    <t>FV087559</t>
  </si>
  <si>
    <t>Facture SORTIE PNEUMATIQUE FV087559</t>
  </si>
  <si>
    <t>FV087561</t>
  </si>
  <si>
    <t>Facture SORTIE PNEUMATIQUE FV087561</t>
  </si>
  <si>
    <t>FV087563</t>
  </si>
  <si>
    <t>Facture SORTIE PIECES DETACHEES FV087563</t>
  </si>
  <si>
    <t>FV087564</t>
  </si>
  <si>
    <t>Facture SORTIE PIECES DETACHEES FV087564</t>
  </si>
  <si>
    <t>FV087569</t>
  </si>
  <si>
    <t>Facture SORTIE PIECES DETACHEES FV087569</t>
  </si>
  <si>
    <t>FV087570</t>
  </si>
  <si>
    <t>Facture SORTIE PIECES DETACHEES FV087570</t>
  </si>
  <si>
    <t>FV087571</t>
  </si>
  <si>
    <t>Facture SORTIE PIECES DETACHEES FV087571</t>
  </si>
  <si>
    <t>FV088245</t>
  </si>
  <si>
    <t>Facture SORTIE LUBRIFIANT FV088245</t>
  </si>
  <si>
    <t>FV087572</t>
  </si>
  <si>
    <t>Facture SORTIE PIECES DETACHEES FV087572</t>
  </si>
  <si>
    <t>FV087573</t>
  </si>
  <si>
    <t>Facture SORTIE PIECES DETACHEES FV087573</t>
  </si>
  <si>
    <t>FV087574</t>
  </si>
  <si>
    <t>Facture SORTIE PIECES DETACHEES FV087574</t>
  </si>
  <si>
    <t>FV087575</t>
  </si>
  <si>
    <t>Facture SORTIE PIECES DETACHEES FV087575</t>
  </si>
  <si>
    <t>FV087578</t>
  </si>
  <si>
    <t>Facture SORTIE FOURNITURE ATELIER ET MAGASIN FV087578</t>
  </si>
  <si>
    <t>FV087620</t>
  </si>
  <si>
    <t>Facture SORTIE PNEUMATIQUE FV087620</t>
  </si>
  <si>
    <t>FV087622</t>
  </si>
  <si>
    <t>Facture SORTIE PIECES DETACHEES FV087622</t>
  </si>
  <si>
    <t>FV087579</t>
  </si>
  <si>
    <t>Facture SORTIE PIECES DETACHEES FV087579</t>
  </si>
  <si>
    <t>FV087580</t>
  </si>
  <si>
    <t>Facture SORTIE PIECES DETACHEES FV087580</t>
  </si>
  <si>
    <t>FV087581</t>
  </si>
  <si>
    <t>Facture SORTIE PIECES DETACHEES FV087581</t>
  </si>
  <si>
    <t>FV087582</t>
  </si>
  <si>
    <t>Facture SORTIE PIECES DETACHEES FV087582</t>
  </si>
  <si>
    <t>FV087583</t>
  </si>
  <si>
    <t>Facture SORTIE PIECES DETACHEES FV087583</t>
  </si>
  <si>
    <t>FV087584</t>
  </si>
  <si>
    <t>Facture SORTIE PIECES DETACHEES FV087584</t>
  </si>
  <si>
    <t>FV087585</t>
  </si>
  <si>
    <t>Facture SORTIE PIECES DETACHEES FV087585</t>
  </si>
  <si>
    <t>FV087586</t>
  </si>
  <si>
    <t>Facture SORTIE PIECES DETACHEES FV087586</t>
  </si>
  <si>
    <t>FV087587</t>
  </si>
  <si>
    <t>Facture SORTIE PIECES DETACHEES FV087587</t>
  </si>
  <si>
    <t>FV087588</t>
  </si>
  <si>
    <t>Facture SORTIE FOURNITURE ATELIER ET MAGASIN FV087588</t>
  </si>
  <si>
    <t>FV087628</t>
  </si>
  <si>
    <t>Facture SORTIE PIECES DETACHEES FV087628</t>
  </si>
  <si>
    <t>FV087589</t>
  </si>
  <si>
    <t>Facture SORTIE PIECES DETACHEES FV087589</t>
  </si>
  <si>
    <t>FV087590</t>
  </si>
  <si>
    <t>Facture SORTIE FOURNITURE ATELIER ET MAGASIN FV087590</t>
  </si>
  <si>
    <t>FV087591</t>
  </si>
  <si>
    <t>Facture SORTIE LUBRIFIANT FV087591</t>
  </si>
  <si>
    <t>FV087592</t>
  </si>
  <si>
    <t>Facture SORTIE FOURNITURE ATELIER ET MAGASIN FV087592</t>
  </si>
  <si>
    <t>FV087593</t>
  </si>
  <si>
    <t>Facture SORTIE FOURNITURE ATELIER ET MAGASIN FV087593</t>
  </si>
  <si>
    <t>FV087594</t>
  </si>
  <si>
    <t>Facture SORTIE PIECES DETACHEES FV087594</t>
  </si>
  <si>
    <t>FV087595</t>
  </si>
  <si>
    <t>Facture SORTIE PIECES DETACHEES FV087595</t>
  </si>
  <si>
    <t>FV087596</t>
  </si>
  <si>
    <t>Facture SORTIE FOURNITURE ATELIER ET MAGASIN FV087596</t>
  </si>
  <si>
    <t>FV087597</t>
  </si>
  <si>
    <t>Facture SORTIE PIECES DETACHEES FV087597</t>
  </si>
  <si>
    <t>FV087598</t>
  </si>
  <si>
    <t>Facture SORTIE FOURNITURE ATELIER ET MAGASIN FV087598</t>
  </si>
  <si>
    <t>FV087599</t>
  </si>
  <si>
    <t>Facture SORTIE PIECES DETACHEES FV087599</t>
  </si>
  <si>
    <t>FV087600</t>
  </si>
  <si>
    <t>Facture SORTIE LUBRIFIANT FV087600</t>
  </si>
  <si>
    <t>FV087601</t>
  </si>
  <si>
    <t>Facture SORTIE FOURNITURE ATELIER ET MAGASIN FV087601</t>
  </si>
  <si>
    <t>FV087602</t>
  </si>
  <si>
    <t>Facture SORTIE PIECES DETACHEES FV087602</t>
  </si>
  <si>
    <t>FV087603</t>
  </si>
  <si>
    <t>Facture SORTIE PIECES DETACHEES FV087603</t>
  </si>
  <si>
    <t>FV087604</t>
  </si>
  <si>
    <t>Facture SORTIE PIECES DETACHEES FV087604</t>
  </si>
  <si>
    <t>FV087605</t>
  </si>
  <si>
    <t>Facture SORTIE PIECES DETACHEES FV087605</t>
  </si>
  <si>
    <t>FV087641</t>
  </si>
  <si>
    <t>Facture SORTIE FOURNITURE ATELIER ET MAGASIN FV087641</t>
  </si>
  <si>
    <t>FV088351</t>
  </si>
  <si>
    <t>Facture SORTIE PIECES DETACHEES FV088351</t>
  </si>
  <si>
    <t>FV087606</t>
  </si>
  <si>
    <t>Facture SORTIE PIECES DETACHEES FV087606</t>
  </si>
  <si>
    <t>FV087607</t>
  </si>
  <si>
    <t>Facture SORTIE LUBRIFIANT FV087607</t>
  </si>
  <si>
    <t>FV087651</t>
  </si>
  <si>
    <t>Facture SORTIE PIECES DETACHEES FV087651</t>
  </si>
  <si>
    <t>FV087652</t>
  </si>
  <si>
    <t>Facture SORTIE FOURNITURE ATELIER ET MAGASIN FV087652</t>
  </si>
  <si>
    <t>FV087653</t>
  </si>
  <si>
    <t>Facture SORTIE PIECES DETACHEES FV087653</t>
  </si>
  <si>
    <t>FV087656</t>
  </si>
  <si>
    <t>Facture SORTIE PNEUMATIQUE FV087656</t>
  </si>
  <si>
    <t>FV087658</t>
  </si>
  <si>
    <t>Facture SORTIE LUBRIFIANT FV087658</t>
  </si>
  <si>
    <t>FV087611</t>
  </si>
  <si>
    <t>Facture SORTIE PIECES DETACHEES FV087611</t>
  </si>
  <si>
    <t>FV087612</t>
  </si>
  <si>
    <t>Facture SORTIE FOURNITURE ATELIER ET MAGASIN FV087612</t>
  </si>
  <si>
    <t>FV087667</t>
  </si>
  <si>
    <t>Facture SORTIE FOURNITURE ATELIER ET MAGASIN FV087667</t>
  </si>
  <si>
    <t>FV087613</t>
  </si>
  <si>
    <t>Facture SORTIE FOURNITURE ATELIER ET MAGASIN FV087613</t>
  </si>
  <si>
    <t>FV087614</t>
  </si>
  <si>
    <t>Facture SORTIE FOURNITURE ATELIER ET MAGASIN FV087614</t>
  </si>
  <si>
    <t>FV088053</t>
  </si>
  <si>
    <t>Facture SORTIE PIECES DETACHEES FV088053</t>
  </si>
  <si>
    <t>FV087616</t>
  </si>
  <si>
    <t>Facture SORTIE PIECES DETACHEES FV087616</t>
  </si>
  <si>
    <t>FV087617</t>
  </si>
  <si>
    <t>Facture SORTIE PIECES DETACHEES FV087617</t>
  </si>
  <si>
    <t>FV087619</t>
  </si>
  <si>
    <t>Facture SORTIE PIECES DETACHEES FV087619</t>
  </si>
  <si>
    <t>FV087621</t>
  </si>
  <si>
    <t>Facture SORTIE PIECES DETACHEES FV087621</t>
  </si>
  <si>
    <t>FV087623</t>
  </si>
  <si>
    <t>Facture SORTIE PIECES DETACHEES FV087623</t>
  </si>
  <si>
    <t>FV087673</t>
  </si>
  <si>
    <t>Facture SORTIE PIECES DETACHEES FV087673</t>
  </si>
  <si>
    <t>FV087674</t>
  </si>
  <si>
    <t>Facture SORTIE PIECES DETACHEES FV087674</t>
  </si>
  <si>
    <t>FV087675</t>
  </si>
  <si>
    <t>Facture SORTIE PIECES DETACHEES FV087675</t>
  </si>
  <si>
    <t>FV087676</t>
  </si>
  <si>
    <t>Facture SORTIE PIECES DETACHEES FV087676</t>
  </si>
  <si>
    <t>FV087686</t>
  </si>
  <si>
    <t>Facture SORTIE FOURNITURE ATELIER ET MAGASIN FV087686</t>
  </si>
  <si>
    <t>FV087687</t>
  </si>
  <si>
    <t>Facture SORTIE FOURNITURE ATELIER ET MAGASIN FV087687</t>
  </si>
  <si>
    <t>FV087693</t>
  </si>
  <si>
    <t>Facture SORTIE FOURNITURE ATELIER ET MAGASIN FV087693</t>
  </si>
  <si>
    <t>FV087696</t>
  </si>
  <si>
    <t>Facture SORTIE PNEUMATIQUE FV087696</t>
  </si>
  <si>
    <t>FV087624</t>
  </si>
  <si>
    <t>Facture SORTIE PNEUMATIQUE FV087624</t>
  </si>
  <si>
    <t>FV087625</t>
  </si>
  <si>
    <t>Facture SORTIE PNEUMATIQUE FV087625</t>
  </si>
  <si>
    <t>FV087626</t>
  </si>
  <si>
    <t>Facture SORTIE PIECES DETACHEES FV087626</t>
  </si>
  <si>
    <t>FV087627</t>
  </si>
  <si>
    <t>Facture SORTIE FOURNITURE ATELIER ET MAGASIN FV087627</t>
  </si>
  <si>
    <t>FV087629</t>
  </si>
  <si>
    <t>Facture SORTIE LUBRIFIANT FV087629</t>
  </si>
  <si>
    <t>FV087630</t>
  </si>
  <si>
    <t>Facture SORTIE FOURNITURE ATELIER ET MAGASIN FV087630</t>
  </si>
  <si>
    <t>FV087631</t>
  </si>
  <si>
    <t>Facture SORTIE PIECES DETACHEES FV087631</t>
  </si>
  <si>
    <t>FV087632</t>
  </si>
  <si>
    <t>Facture SORTIE FOURNITURE ATELIER ET MAGASIN FV087632</t>
  </si>
  <si>
    <t>FV087633</t>
  </si>
  <si>
    <t>Facture SORTIE FOURNITURE ATELIER ET MAGASIN FV087633</t>
  </si>
  <si>
    <t>FV087634</t>
  </si>
  <si>
    <t>Facture SORTIE PIECES DETACHEES FV087634</t>
  </si>
  <si>
    <t>FV087636</t>
  </si>
  <si>
    <t>Facture SORTIE PIECES DETACHEES FV087636</t>
  </si>
  <si>
    <t>FV087637</t>
  </si>
  <si>
    <t>Facture SORTIE FOURNITURE ATELIER ET MAGASIN FV087637</t>
  </si>
  <si>
    <t>FV087638</t>
  </si>
  <si>
    <t>Facture SORTIE FOURNITURE ATELIER ET MAGASIN FV087638</t>
  </si>
  <si>
    <t>FV087639</t>
  </si>
  <si>
    <t>Facture SORTIE FOURNITURE ATELIER ET MAGASIN FV087639</t>
  </si>
  <si>
    <t>FV087640</t>
  </si>
  <si>
    <t>Facture SORTIE PIECES DETACHEES FV087640</t>
  </si>
  <si>
    <t>FV087642</t>
  </si>
  <si>
    <t>Facture SORTIE PIECES DETACHEES FV087642</t>
  </si>
  <si>
    <t>FV088352</t>
  </si>
  <si>
    <t>Facture SORTIE PNEUMATIQUE FV088352</t>
  </si>
  <si>
    <t>FV087643</t>
  </si>
  <si>
    <t>Facture SORTIE FOURNITURE ATELIER ET MAGASIN FV087643</t>
  </si>
  <si>
    <t>FV088354</t>
  </si>
  <si>
    <t>Facture SORTIE FOURNITURE ATELIER ET MAGASIN FV088354</t>
  </si>
  <si>
    <t>FV087644</t>
  </si>
  <si>
    <t>Facture SORTIE FOURNITURE ATELIER ET MAGASIN FV087644</t>
  </si>
  <si>
    <t>FV087645</t>
  </si>
  <si>
    <t>Facture SORTIE PIECES DETACHEES FV087645</t>
  </si>
  <si>
    <t>FV087646</t>
  </si>
  <si>
    <t>Facture SORTIE PIECES DETACHEES FV087646</t>
  </si>
  <si>
    <t>FV087647</t>
  </si>
  <si>
    <t>Facture SORTIE FOURNITURE ATELIER ET MAGASIN FV087647</t>
  </si>
  <si>
    <t>FV087648</t>
  </si>
  <si>
    <t>Facture SORTIE FOURNITURE ATELIER ET MAGASIN FV087648</t>
  </si>
  <si>
    <t>FV087650</t>
  </si>
  <si>
    <t>Facture SORTIE LUBRIFIANT FV087650</t>
  </si>
  <si>
    <t>FV087649</t>
  </si>
  <si>
    <t>Facture SORTIE LUBRIFIANT FV087649</t>
  </si>
  <si>
    <t>FV087672</t>
  </si>
  <si>
    <t>Facture SORTIE FOURNITURE ATELIER ET MAGASIN FV087672</t>
  </si>
  <si>
    <t>FV087663</t>
  </si>
  <si>
    <t>Facture SORTIE FOURNITURE ATELIER ET MAGASIN FV087663</t>
  </si>
  <si>
    <t>FV087669</t>
  </si>
  <si>
    <t>Facture SORTIE FOURNITURE ATELIER ET MAGASIN FV087669</t>
  </si>
  <si>
    <t>FV087671</t>
  </si>
  <si>
    <t>Facture SORTIE FOURNITURE ATELIER ET MAGASIN FV087671</t>
  </si>
  <si>
    <t>FV087655</t>
  </si>
  <si>
    <t>Facture SORTIE PNEUMATIQUE FV087655</t>
  </si>
  <si>
    <t>FV087657</t>
  </si>
  <si>
    <t>Facture SORTIE PNEUMATIQUE FV087657</t>
  </si>
  <si>
    <t>FV087660</t>
  </si>
  <si>
    <t>Facture SORTIE PNEUMATIQUE FV087660</t>
  </si>
  <si>
    <t>FV087661</t>
  </si>
  <si>
    <t>Facture SORTIE PNEUMATIQUE FV087661</t>
  </si>
  <si>
    <t>FV087758</t>
  </si>
  <si>
    <t>Facture SORTIE PIECES DETACHEES FV087758</t>
  </si>
  <si>
    <t>FV087670</t>
  </si>
  <si>
    <t>Facture SORTIE PIECES DETACHEES FV087670</t>
  </si>
  <si>
    <t>FV087668</t>
  </si>
  <si>
    <t>Facture SORTIE PIECES DETACHEES FV087668</t>
  </si>
  <si>
    <t>FV087662</t>
  </si>
  <si>
    <t>Facture SORTIE PIECES DETACHEES FV087662</t>
  </si>
  <si>
    <t>FV087678</t>
  </si>
  <si>
    <t>Facture SORTIE PIECES DETACHEES FV087678</t>
  </si>
  <si>
    <t>FV087679</t>
  </si>
  <si>
    <t>Facture SORTIE PIECES DETACHEES FV087679</t>
  </si>
  <si>
    <t>FV087680</t>
  </si>
  <si>
    <t>Facture SORTIE PIECES DETACHEES FV087680</t>
  </si>
  <si>
    <t>FV087681</t>
  </si>
  <si>
    <t>Facture SORTIE PIECES DETACHEES FV087681</t>
  </si>
  <si>
    <t>FV087682</t>
  </si>
  <si>
    <t>Facture SORTIE PIECES DETACHEES FV087682</t>
  </si>
  <si>
    <t>FV087683</t>
  </si>
  <si>
    <t>Facture SORTIE PIECES DETACHEES FV087683</t>
  </si>
  <si>
    <t>FV087688</t>
  </si>
  <si>
    <t>Facture SORTIE PIECES DETACHEES FV087688</t>
  </si>
  <si>
    <t>FV087677</t>
  </si>
  <si>
    <t>Facture SORTIE FOURNITURE ATELIER ET MAGASIN FV087677</t>
  </si>
  <si>
    <t>FV087689</t>
  </si>
  <si>
    <t>Facture SORTIE FOURNITURE ATELIER ET MAGASIN FV087689</t>
  </si>
  <si>
    <t>FV087690</t>
  </si>
  <si>
    <t>Facture SORTIE PIECES DETACHEES FV087690</t>
  </si>
  <si>
    <t>FV088211</t>
  </si>
  <si>
    <t>Facture SORTIE LUBRIFIANT FV088211</t>
  </si>
  <si>
    <t>FV088363</t>
  </si>
  <si>
    <t>Facture SORTIE PNEUMATIQUE FV088363</t>
  </si>
  <si>
    <t>FV088365</t>
  </si>
  <si>
    <t>Facture SORTIE FOURNITURE ATELIER ET MAGASIN FV088365</t>
  </si>
  <si>
    <t>FV087684</t>
  </si>
  <si>
    <t>Facture SORTIE PIECES DETACHEES FV087684</t>
  </si>
  <si>
    <t>FV087685</t>
  </si>
  <si>
    <t>Facture SORTIE PIECES DETACHEES FV087685</t>
  </si>
  <si>
    <t>FV087691</t>
  </si>
  <si>
    <t>Facture SORTIE FOURNITURE ATELIER ET MAGASIN FV087691</t>
  </si>
  <si>
    <t>FV087694</t>
  </si>
  <si>
    <t>Facture SORTIE FOURNITURE ATELIER ET MAGASIN FV087694</t>
  </si>
  <si>
    <t>FV087695</t>
  </si>
  <si>
    <t>Facture SORTIE FOURNITURE ATELIER ET MAGASIN FV087695</t>
  </si>
  <si>
    <t>FV087697</t>
  </si>
  <si>
    <t>Facture SORTIE PNEUMATIQUE FV087697</t>
  </si>
  <si>
    <t>FV087743</t>
  </si>
  <si>
    <t>Facture SORTIE FOURNITURE ATELIER ET MAGASIN FV087743</t>
  </si>
  <si>
    <t>FV087747</t>
  </si>
  <si>
    <t>Facture SORTIE FOURNITURE ATELIER ET MAGASIN FV087747</t>
  </si>
  <si>
    <t>FV087789</t>
  </si>
  <si>
    <t>Facture SORTIE FOURNITURE ATELIER ET MAGASIN FV087789</t>
  </si>
  <si>
    <t>FV087791</t>
  </si>
  <si>
    <t>Facture SORTIE FOURNITURE ATELIER ET MAGASIN FV087791</t>
  </si>
  <si>
    <t>FV088367</t>
  </si>
  <si>
    <t>Facture SORTIE FOURNITURE ATELIER ET MAGASIN FV088367</t>
  </si>
  <si>
    <t>FV088368</t>
  </si>
  <si>
    <t>Facture SORTIE FOURNITURE ATELIER ET MAGASIN FV088368</t>
  </si>
  <si>
    <t>FV087836</t>
  </si>
  <si>
    <t>Facture SORTIE FOURNITURE ATELIER ET MAGASIN FV087836</t>
  </si>
  <si>
    <t>FV087846</t>
  </si>
  <si>
    <t>Facture SORTIE FOURNITURE ATELIER ET MAGASIN FV087846</t>
  </si>
  <si>
    <t>FV087847</t>
  </si>
  <si>
    <t>Facture SORTIE FOURNITURE ATELIER ET MAGASIN FV087847</t>
  </si>
  <si>
    <t>FV087849</t>
  </si>
  <si>
    <t>Facture SORTIE FOURNITURE ATELIER ET MAGASIN FV087849</t>
  </si>
  <si>
    <t>FV087715</t>
  </si>
  <si>
    <t>Facture SORTIE FOURNITURE ATELIER ET MAGASIN FV087715</t>
  </si>
  <si>
    <t>FV087718</t>
  </si>
  <si>
    <t>Facture SORTIE LUBRIFIANT FV087718</t>
  </si>
  <si>
    <t>FV087720</t>
  </si>
  <si>
    <t>Facture SORTIE LUBRIFIANT FV087720</t>
  </si>
  <si>
    <t>FV087727</t>
  </si>
  <si>
    <t>Facture SORTIE FOURNITURE ATELIER ET MAGASIN FV087727</t>
  </si>
  <si>
    <t>FV087731</t>
  </si>
  <si>
    <t>Facture SORTIE PNEUMATIQUE FV087731</t>
  </si>
  <si>
    <t>FV087732</t>
  </si>
  <si>
    <t>Facture SORTIE FOURNITURE ATELIER ET MAGASIN FV087732</t>
  </si>
  <si>
    <t>FV087692</t>
  </si>
  <si>
    <t>Facture SORTIE FOURNITURE ATELIER ET MAGASIN FV087692</t>
  </si>
  <si>
    <t>FV087737</t>
  </si>
  <si>
    <t>Facture SORTIE FOURNITURE ATELIER ET MAGASIN FV087737</t>
  </si>
  <si>
    <t>FV087741</t>
  </si>
  <si>
    <t>Facture SORTIE FOURNITURE ATELIER ET MAGASIN FV087741</t>
  </si>
  <si>
    <t>FV087756</t>
  </si>
  <si>
    <t>Facture SORTIE LUBRIFIANT FV087756</t>
  </si>
  <si>
    <t>FV087707</t>
  </si>
  <si>
    <t>Facture SORTIE FOURNITURE ATELIER ET MAGASIN FV087707</t>
  </si>
  <si>
    <t>FV088366</t>
  </si>
  <si>
    <t>Facture SORTIE PNEUMATIQUE FV088366</t>
  </si>
  <si>
    <t>FV087829</t>
  </si>
  <si>
    <t>Facture SORTIE PNEUMATIQUE FV087829</t>
  </si>
  <si>
    <t>FV087830</t>
  </si>
  <si>
    <t>Facture SORTIE PNEUMATIQUE FV087830</t>
  </si>
  <si>
    <t>FV088369</t>
  </si>
  <si>
    <t>Facture SORTIE PNEUMATIQUE FV088369</t>
  </si>
  <si>
    <t>FV087834</t>
  </si>
  <si>
    <t>Facture SORTIE PNEUMATIQUE FV087834</t>
  </si>
  <si>
    <t>FV087716</t>
  </si>
  <si>
    <t>Facture SORTIE PNEUMATIQUE FV087716</t>
  </si>
  <si>
    <t>FV087719</t>
  </si>
  <si>
    <t>Facture SORTIE PIECES DETACHEES FV087719</t>
  </si>
  <si>
    <t>FV087721</t>
  </si>
  <si>
    <t>Facture SORTIE PIECES DETACHEES FV087721</t>
  </si>
  <si>
    <t>FV087724</t>
  </si>
  <si>
    <t>Facture SORTIE PIECES DETACHEES FV087724</t>
  </si>
  <si>
    <t>FV088253</t>
  </si>
  <si>
    <t>Facture SORTIE PIECES DETACHEES FV088253</t>
  </si>
  <si>
    <t>FV087729</t>
  </si>
  <si>
    <t>Facture SORTIE PNEUMATIQUE FV087729</t>
  </si>
  <si>
    <t>FV087730</t>
  </si>
  <si>
    <t>Facture SORTIE PNEUMATIQUE FV087730</t>
  </si>
  <si>
    <t>FV087735</t>
  </si>
  <si>
    <t>Facture SORTIE PIECES DETACHEES FV087735</t>
  </si>
  <si>
    <t>FV087736</t>
  </si>
  <si>
    <t>Facture SORTIE PIECES DETACHEES FV087736</t>
  </si>
  <si>
    <t>FV087738</t>
  </si>
  <si>
    <t>Facture SORTIE PIECES DETACHEES FV087738</t>
  </si>
  <si>
    <t>FV087740</t>
  </si>
  <si>
    <t>Facture SORTIE PIECES DETACHEES FV087740</t>
  </si>
  <si>
    <t>FV087742</t>
  </si>
  <si>
    <t>Facture SORTIE PIECES DETACHEES FV087742</t>
  </si>
  <si>
    <t>FV087698</t>
  </si>
  <si>
    <t>Facture SORTIE PIECES DETACHEES FV087698</t>
  </si>
  <si>
    <t>FV087744</t>
  </si>
  <si>
    <t>Facture SORTIE PIECES DETACHEES FV087744</t>
  </si>
  <si>
    <t>FV087745</t>
  </si>
  <si>
    <t>Facture SORTIE PIECES DETACHEES FV087745</t>
  </si>
  <si>
    <t>FV087746</t>
  </si>
  <si>
    <t>Facture SORTIE PIECES DETACHEES FV087746</t>
  </si>
  <si>
    <t>FV087699</t>
  </si>
  <si>
    <t>Facture SORTIE PIECES DETACHEES FV087699</t>
  </si>
  <si>
    <t>FV087700</t>
  </si>
  <si>
    <t>Facture SORTIE PIECES DETACHEES FV087700</t>
  </si>
  <si>
    <t>FV087701</t>
  </si>
  <si>
    <t>Facture SORTIE PIECES DETACHEES FV087701</t>
  </si>
  <si>
    <t>FV087702</t>
  </si>
  <si>
    <t>Facture SORTIE PIECES DETACHEES FV087702</t>
  </si>
  <si>
    <t>FV087703</t>
  </si>
  <si>
    <t>Facture SORTIE PIECES DETACHEES FV087703</t>
  </si>
  <si>
    <t>FV087704</t>
  </si>
  <si>
    <t>Facture SORTIE PIECES DETACHEES FV087704</t>
  </si>
  <si>
    <t>FV087705</t>
  </si>
  <si>
    <t>Facture SORTIE PIECES DETACHEES FV087705</t>
  </si>
  <si>
    <t>FV087706</t>
  </si>
  <si>
    <t>Facture SORTIE PIECES DETACHEES FV087706</t>
  </si>
  <si>
    <t>FV087788</t>
  </si>
  <si>
    <t>Facture SORTIE PIECES DETACHEES FV087788</t>
  </si>
  <si>
    <t>FV087708</t>
  </si>
  <si>
    <t>Facture SORTIE PIECES DETACHEES FV087708</t>
  </si>
  <si>
    <t>FV087709</t>
  </si>
  <si>
    <t>Facture SORTIE PIECES DETACHEES FV087709</t>
  </si>
  <si>
    <t>FV087710</t>
  </si>
  <si>
    <t>Facture SORTIE PIECES DETACHEES FV087710</t>
  </si>
  <si>
    <t>FV087711</t>
  </si>
  <si>
    <t>Facture SORTIE PIECES DETACHEES FV087711</t>
  </si>
  <si>
    <t>FV087712</t>
  </si>
  <si>
    <t>Facture SORTIE PIECES DETACHEES FV087712</t>
  </si>
  <si>
    <t>FV087713</t>
  </si>
  <si>
    <t>Facture SORTIE PIECES DETACHEES FV087713</t>
  </si>
  <si>
    <t>FV087714</t>
  </si>
  <si>
    <t>Facture SORTIE PIECES DETACHEES FV087714</t>
  </si>
  <si>
    <t>FV087819</t>
  </si>
  <si>
    <t>Facture SORTIE PIECES DETACHEES FV087819</t>
  </si>
  <si>
    <t>FV087859</t>
  </si>
  <si>
    <t>Facture SORTIE PIECES DETACHEES FV087859</t>
  </si>
  <si>
    <t>FV087860</t>
  </si>
  <si>
    <t>Facture SORTIE PIECES DETACHEES FV087860</t>
  </si>
  <si>
    <t>FV087725</t>
  </si>
  <si>
    <t>Facture SORTIE FOURNITURE ATELIER ET MAGASIN FV087725</t>
  </si>
  <si>
    <t>FV087726</t>
  </si>
  <si>
    <t>Facture SORTIE FOURNITURE ATELIER ET MAGASIN FV087726</t>
  </si>
  <si>
    <t>FV087728</t>
  </si>
  <si>
    <t>Facture SORTIE FOURNITURE ATELIER ET MAGASIN FV087728</t>
  </si>
  <si>
    <t>FV087925</t>
  </si>
  <si>
    <t>Facture SORTIE PIECES DETACHEES FV087925</t>
  </si>
  <si>
    <t>FV087973</t>
  </si>
  <si>
    <t>Facture SORTIE LUBRIFIANT FV087973</t>
  </si>
  <si>
    <t>FV087980</t>
  </si>
  <si>
    <t>Facture SORTIE PIECES DETACHEES FV087980</t>
  </si>
  <si>
    <t>FV087733</t>
  </si>
  <si>
    <t>Facture SORTIE FOURNITURE ATELIER ET MAGASIN FV087733</t>
  </si>
  <si>
    <t>FV087734</t>
  </si>
  <si>
    <t>Facture SORTIE PIECES DETACHEES FV087734</t>
  </si>
  <si>
    <t>FV087739</t>
  </si>
  <si>
    <t>Facture SORTIE PIECES DETACHEES FV087739</t>
  </si>
  <si>
    <t>FV087748</t>
  </si>
  <si>
    <t>Facture SORTIE FOURNITURE ATELIER ET MAGASIN FV087748</t>
  </si>
  <si>
    <t>FV087750</t>
  </si>
  <si>
    <t>Facture SORTIE FOURNITURE ATELIER ET MAGASIN FV087750</t>
  </si>
  <si>
    <t>FV087751</t>
  </si>
  <si>
    <t>Facture SORTIE PNEUMATIQUE FV087751</t>
  </si>
  <si>
    <t>FV087752</t>
  </si>
  <si>
    <t>Facture SORTIE PNEUMATIQUE FV087752</t>
  </si>
  <si>
    <t>FV087753</t>
  </si>
  <si>
    <t>Facture SORTIE PNEUMATIQUE FV087753</t>
  </si>
  <si>
    <t>FV087754</t>
  </si>
  <si>
    <t>Facture SORTIE PIECES DETACHEES FV087754</t>
  </si>
  <si>
    <t>FV087755</t>
  </si>
  <si>
    <t>Facture SORTIE FOURNITURE ATELIER ET MAGASIN FV087755</t>
  </si>
  <si>
    <t>FV087793</t>
  </si>
  <si>
    <t>Facture SORTIE LUBRIFIANT FV087793</t>
  </si>
  <si>
    <t>FV087796</t>
  </si>
  <si>
    <t>Facture SORTIE FOURNITURE ATELIER ET MAGASIN FV087796</t>
  </si>
  <si>
    <t>FV087801</t>
  </si>
  <si>
    <t>Facture SORTIE FOURNITURE ATELIER ET MAGASIN FV087801</t>
  </si>
  <si>
    <t>FV087803</t>
  </si>
  <si>
    <t>Facture SORTIE PIECES DETACHEES FV087803</t>
  </si>
  <si>
    <t>FV087806</t>
  </si>
  <si>
    <t>Facture SORTIE LUBRIFIANT FV087806</t>
  </si>
  <si>
    <t>FV087807</t>
  </si>
  <si>
    <t>Facture SORTIE FOURNITURE ATELIER ET MAGASIN FV087807</t>
  </si>
  <si>
    <t>FV087809</t>
  </si>
  <si>
    <t>Facture SORTIE FOURNITURE ATELIER ET MAGASIN FV087809</t>
  </si>
  <si>
    <t>FV087810</t>
  </si>
  <si>
    <t>Facture SORTIE FOURNITURE ATELIER ET MAGASIN FV087810</t>
  </si>
  <si>
    <t>FV087821</t>
  </si>
  <si>
    <t>Facture SORTIE PIECES DETACHEES FV087821</t>
  </si>
  <si>
    <t>FV087822</t>
  </si>
  <si>
    <t>Facture SORTIE PIECES DETACHEES FV087822</t>
  </si>
  <si>
    <t>FV087823</t>
  </si>
  <si>
    <t>Facture SORTIE PIECES DETACHEES FV087823</t>
  </si>
  <si>
    <t>FV087825</t>
  </si>
  <si>
    <t>Facture SORTIE FOURNITURE ATELIER ET MAGASIN FV087825</t>
  </si>
  <si>
    <t>FV087763</t>
  </si>
  <si>
    <t>Facture SORTIE FOURNITURE ATELIER ET MAGASIN FV087763</t>
  </si>
  <si>
    <t>FV087764</t>
  </si>
  <si>
    <t>Facture SORTIE PIECES DETACHEES FV087764</t>
  </si>
  <si>
    <t>FV087765</t>
  </si>
  <si>
    <t>Facture SORTIE FOURNITURE ATELIER ET MAGASIN FV087765</t>
  </si>
  <si>
    <t>FV087766</t>
  </si>
  <si>
    <t>Facture SORTIE FOURNITURE ATELIER ET MAGASIN FV087766</t>
  </si>
  <si>
    <t>FV088220</t>
  </si>
  <si>
    <t>Facture SORTIE LUBRIFIANT FV088220</t>
  </si>
  <si>
    <t>FV087767</t>
  </si>
  <si>
    <t>Facture SORTIE PIECES DETACHEES FV087767</t>
  </si>
  <si>
    <t>FV087851</t>
  </si>
  <si>
    <t>Facture SORTIE FOURNITURE ATELIER ET MAGASIN FV087851</t>
  </si>
  <si>
    <t>FV087853</t>
  </si>
  <si>
    <t>Facture SORTIE FOURNITURE ATELIER ET MAGASIN FV087853</t>
  </si>
  <si>
    <t>FV087869</t>
  </si>
  <si>
    <t>Facture SORTIE PIECES DETACHEES FV087869</t>
  </si>
  <si>
    <t>FV087870</t>
  </si>
  <si>
    <t>Facture SORTIE LUBRIFIANT FV087870</t>
  </si>
  <si>
    <t>FV087873</t>
  </si>
  <si>
    <t>Facture SORTIE PIECES DETACHEES FV087873</t>
  </si>
  <si>
    <t>FV087874</t>
  </si>
  <si>
    <t>Facture SORTIE PIECES DETACHEES FV087874</t>
  </si>
  <si>
    <t>FV087877</t>
  </si>
  <si>
    <t>Facture SORTIE FOURNITURE ATELIER ET MAGASIN FV087877</t>
  </si>
  <si>
    <t>FV087881</t>
  </si>
  <si>
    <t>Facture SORTIE PIECES DETACHEES FV087881</t>
  </si>
  <si>
    <t>FV087884</t>
  </si>
  <si>
    <t>Facture SORTIE PIECES DETACHEES FV087884</t>
  </si>
  <si>
    <t>FV087899</t>
  </si>
  <si>
    <t>Facture SORTIE FOURNITURE ATELIER ET MAGASIN FV087899</t>
  </si>
  <si>
    <t>FV087900</t>
  </si>
  <si>
    <t>Facture SORTIE FOURNITURE ATELIER ET MAGASIN FV087900</t>
  </si>
  <si>
    <t>FV087903</t>
  </si>
  <si>
    <t>Facture SORTIE FOURNITURE ATELIER ET MAGASIN FV087903</t>
  </si>
  <si>
    <t>FV087906</t>
  </si>
  <si>
    <t>Facture SORTIE FOURNITURE ATELIER ET MAGASIN FV087906</t>
  </si>
  <si>
    <t>FV087908</t>
  </si>
  <si>
    <t>Facture SORTIE FOURNITURE ATELIER ET MAGASIN FV087908</t>
  </si>
  <si>
    <t>FV087956</t>
  </si>
  <si>
    <t>Facture SORTIE PNEUMATIQUE FV087956</t>
  </si>
  <si>
    <t>FV087957</t>
  </si>
  <si>
    <t>Facture SORTIE PNEUMATIQUE FV087957</t>
  </si>
  <si>
    <t>FV087909</t>
  </si>
  <si>
    <t>Facture SORTIE FOURNITURE ATELIER ET MAGASIN FV087909</t>
  </si>
  <si>
    <t>FV087912</t>
  </si>
  <si>
    <t>Facture SORTIE PIECES DETACHEES FV087912</t>
  </si>
  <si>
    <t>FV087913</t>
  </si>
  <si>
    <t>Facture SORTIE PIECES DETACHEES FV087913</t>
  </si>
  <si>
    <t>FV087915</t>
  </si>
  <si>
    <t>Facture SORTIE FOURNITURE ATELIER ET MAGASIN FV087915</t>
  </si>
  <si>
    <t>FV087918</t>
  </si>
  <si>
    <t>Facture SORTIE PNEUMATIQUE FV087918</t>
  </si>
  <si>
    <t>FV087919</t>
  </si>
  <si>
    <t>Facture SORTIE PNEUMATIQUE FV087919</t>
  </si>
  <si>
    <t>FV087920</t>
  </si>
  <si>
    <t>Facture SORTIE PIECES DETACHEES FV087920</t>
  </si>
  <si>
    <t>FV087921</t>
  </si>
  <si>
    <t>Facture SORTIE LUBRIFIANT FV087921</t>
  </si>
  <si>
    <t>FV087922</t>
  </si>
  <si>
    <t>Facture SORTIE PIECES DETACHEES FV087922</t>
  </si>
  <si>
    <t>FV087923</t>
  </si>
  <si>
    <t>Facture SORTIE PIECES DETACHEES FV087923</t>
  </si>
  <si>
    <t>FV087928</t>
  </si>
  <si>
    <t>Facture SORTIE FOURNITURE ATELIER ET MAGASIN FV087928</t>
  </si>
  <si>
    <t>FV087778</t>
  </si>
  <si>
    <t>Facture SORTIE FOURNITURE ATELIER ET MAGASIN FV087778</t>
  </si>
  <si>
    <t>FV087782</t>
  </si>
  <si>
    <t>Facture SORTIE FOURNITURE ATELIER ET MAGASIN FV087782</t>
  </si>
  <si>
    <t>FV087783</t>
  </si>
  <si>
    <t>Facture SORTIE FOURNITURE ATELIER ET MAGASIN FV087783</t>
  </si>
  <si>
    <t>FV087786</t>
  </si>
  <si>
    <t>Facture SORTIE FOURNITURE ATELIER ET MAGASIN FV087786</t>
  </si>
  <si>
    <t>FV087787</t>
  </si>
  <si>
    <t>Facture SORTIE FOURNITURE ATELIER ET MAGASIN FV087787</t>
  </si>
  <si>
    <t>FV087790</t>
  </si>
  <si>
    <t>Facture SORTIE FOURNITURE ATELIER ET MAGASIN FV087790</t>
  </si>
  <si>
    <t>FV087792</t>
  </si>
  <si>
    <t>Facture SORTIE FOURNITURE ATELIER ET MAGASIN FV087792</t>
  </si>
  <si>
    <t>FV087794</t>
  </si>
  <si>
    <t>Facture SORTIE FOURNITURE ATELIER ET MAGASIN FV087794</t>
  </si>
  <si>
    <t>FV087795</t>
  </si>
  <si>
    <t>Facture SORTIE FOURNITURE ATELIER ET MAGASIN FV087795</t>
  </si>
  <si>
    <t>FV087798</t>
  </si>
  <si>
    <t>Facture SORTIE FOURNITURE ATELIER ET MAGASIN FV087798</t>
  </si>
  <si>
    <t>FV087800</t>
  </si>
  <si>
    <t>Facture SORTIE PNEUMATIQUE FV087800</t>
  </si>
  <si>
    <t>FV087802</t>
  </si>
  <si>
    <t>Facture SORTIE FOURNITURE ATELIER ET MAGASIN FV087802</t>
  </si>
  <si>
    <t>FV087804</t>
  </si>
  <si>
    <t>Facture SORTIE FOURNITURE ATELIER ET MAGASIN FV087804</t>
  </si>
  <si>
    <t>FV087805</t>
  </si>
  <si>
    <t>Facture SORTIE FOURNITURE ATELIER ET MAGASIN FV087805</t>
  </si>
  <si>
    <t>FV087808</t>
  </si>
  <si>
    <t>Facture SORTIE FOURNITURE ATELIER ET MAGASIN FV087808</t>
  </si>
  <si>
    <t>FV087811</t>
  </si>
  <si>
    <t>Facture SORTIE FOURNITURE ATELIER ET MAGASIN FV087811</t>
  </si>
  <si>
    <t>FV087813</t>
  </si>
  <si>
    <t>Facture SORTIE FOURNITURE ATELIER ET MAGASIN FV087813</t>
  </si>
  <si>
    <t>FV087814</t>
  </si>
  <si>
    <t>Facture SORTIE FOURNITURE ATELIER ET MAGASIN FV087814</t>
  </si>
  <si>
    <t>FV087817</t>
  </si>
  <si>
    <t>Facture SORTIE FOURNITURE ATELIER ET MAGASIN FV087817</t>
  </si>
  <si>
    <t>FV087824</t>
  </si>
  <si>
    <t>Facture SORTIE FOURNITURE ATELIER ET MAGASIN FV087824</t>
  </si>
  <si>
    <t>FV087827</t>
  </si>
  <si>
    <t>Facture SORTIE FOURNITURE ATELIER ET MAGASIN FV087827</t>
  </si>
  <si>
    <t>FV087831</t>
  </si>
  <si>
    <t>Facture SORTIE PIECES DETACHEES FV087831</t>
  </si>
  <si>
    <t>FV087832</t>
  </si>
  <si>
    <t>Facture SORTIE PIECES DETACHEES FV087832</t>
  </si>
  <si>
    <t>FV087833</t>
  </si>
  <si>
    <t>Facture SORTIE PIECES DETACHEES FV087833</t>
  </si>
  <si>
    <t>FV087835</t>
  </si>
  <si>
    <t>Facture SORTIE FOURNITURE ATELIER ET MAGASIN FV087835</t>
  </si>
  <si>
    <t>FV087837</t>
  </si>
  <si>
    <t>Facture SORTIE PNEUMATIQUE FV087837</t>
  </si>
  <si>
    <t>FV087838</t>
  </si>
  <si>
    <t>Facture SORTIE FOURNITURE ATELIER ET MAGASIN FV087838</t>
  </si>
  <si>
    <t>FV087839</t>
  </si>
  <si>
    <t>Facture SORTIE PNEUMATIQUE FV087839</t>
  </si>
  <si>
    <t>FV087840</t>
  </si>
  <si>
    <t>Facture SORTIE PNEUMATIQUE FV087840</t>
  </si>
  <si>
    <t>FV087841</t>
  </si>
  <si>
    <t>Facture SORTIE PIECES DETACHEES FV087841</t>
  </si>
  <si>
    <t>FV087842</t>
  </si>
  <si>
    <t>Facture SORTIE PNEUMATIQUE FV087842</t>
  </si>
  <si>
    <t>FV087843</t>
  </si>
  <si>
    <t>Facture SORTIE PIECES DETACHEES FV087843</t>
  </si>
  <si>
    <t>FV087844</t>
  </si>
  <si>
    <t>Facture SORTIE FOURNITURE ATELIER ET MAGASIN FV087844</t>
  </si>
  <si>
    <t>FV087845</t>
  </si>
  <si>
    <t>Facture SORTIE PIECES DETACHEES FV087845</t>
  </si>
  <si>
    <t>FV087848</t>
  </si>
  <si>
    <t>Facture SORTIE PIECES DETACHEES FV087848</t>
  </si>
  <si>
    <t>FV087850</t>
  </si>
  <si>
    <t>Facture SORTIE PIECES DETACHEES FV087850</t>
  </si>
  <si>
    <t>FV088383</t>
  </si>
  <si>
    <t>Facture SORTIE PIECES DETACHEES FV088383</t>
  </si>
  <si>
    <t>FV087852</t>
  </si>
  <si>
    <t>Facture SORTIE FOURNITURE ATELIER ET MAGASIN FV087852</t>
  </si>
  <si>
    <t>FV087855</t>
  </si>
  <si>
    <t>Facture SORTIE FOURNITURE ATELIER ET MAGASIN FV087855</t>
  </si>
  <si>
    <t>FV087854</t>
  </si>
  <si>
    <t>Facture SORTIE PIECES DETACHEES FV087854</t>
  </si>
  <si>
    <t>FV087856</t>
  </si>
  <si>
    <t>Facture SORTIE PIECES DETACHEES FV087856</t>
  </si>
  <si>
    <t>FV087857</t>
  </si>
  <si>
    <t>Facture SORTIE FOURNITURE ATELIER ET MAGASIN FV087857</t>
  </si>
  <si>
    <t>FV087858</t>
  </si>
  <si>
    <t>Facture SORTIE FOURNITURE ATELIER ET MAGASIN FV087858</t>
  </si>
  <si>
    <t>FV087768</t>
  </si>
  <si>
    <t>Facture SORTIE PIECES DETACHEES FV087768</t>
  </si>
  <si>
    <t>FV087769</t>
  </si>
  <si>
    <t>Facture SORTIE PIECES DETACHEES FV087769</t>
  </si>
  <si>
    <t>FV087770</t>
  </si>
  <si>
    <t>Facture SORTIE PIECES DETACHEES FV087770</t>
  </si>
  <si>
    <t>FV087771</t>
  </si>
  <si>
    <t>Facture SORTIE PIECES DETACHEES FV087771</t>
  </si>
  <si>
    <t>FV087772</t>
  </si>
  <si>
    <t>Facture SORTIE PIECES DETACHEES FV087772</t>
  </si>
  <si>
    <t>FV087773</t>
  </si>
  <si>
    <t>Facture SORTIE PIECES DETACHEES FV087773</t>
  </si>
  <si>
    <t>FV087775</t>
  </si>
  <si>
    <t>Facture SORTIE PIECES DETACHEES FV087775</t>
  </si>
  <si>
    <t>FV087776</t>
  </si>
  <si>
    <t>Facture SORTIE PIECES DETACHEES FV087776</t>
  </si>
  <si>
    <t>FV087777</t>
  </si>
  <si>
    <t>Facture SORTIE PIECES DETACHEES FV087777</t>
  </si>
  <si>
    <t>FV087779</t>
  </si>
  <si>
    <t>Facture SORTIE PIECES DETACHEES FV087779</t>
  </si>
  <si>
    <t>FV087780</t>
  </si>
  <si>
    <t>Facture SORTIE PIECES DETACHEES FV087780</t>
  </si>
  <si>
    <t>FV087781</t>
  </si>
  <si>
    <t>Facture SORTIE PIECES DETACHEES FV087781</t>
  </si>
  <si>
    <t>FV087784</t>
  </si>
  <si>
    <t>Facture SORTIE PIECES DETACHEES FV087784</t>
  </si>
  <si>
    <t>FV087785</t>
  </si>
  <si>
    <t>Facture SORTIE PIECES DETACHEES FV087785</t>
  </si>
  <si>
    <t>FV087797</t>
  </si>
  <si>
    <t>Facture SORTIE PIECES DETACHEES FV087797</t>
  </si>
  <si>
    <t>FV087812</t>
  </si>
  <si>
    <t>Facture SORTIE PIECES DETACHEES FV087812</t>
  </si>
  <si>
    <t>FV087815</t>
  </si>
  <si>
    <t>Facture SORTIE PIECES DETACHEES FV087815</t>
  </si>
  <si>
    <t>FV087816</t>
  </si>
  <si>
    <t>Facture SORTIE PIECES DETACHEES FV087816</t>
  </si>
  <si>
    <t>FV087818</t>
  </si>
  <si>
    <t>Facture SORTIE PIECES DETACHEES FV087818</t>
  </si>
  <si>
    <t>FV087820</t>
  </si>
  <si>
    <t>Facture SORTIE PIECES DETACHEES FV087820</t>
  </si>
  <si>
    <t>FV087826</t>
  </si>
  <si>
    <t>Facture SORTIE PIECES DETACHEES FV087826</t>
  </si>
  <si>
    <t>FV087828</t>
  </si>
  <si>
    <t>Facture SORTIE PIECES DETACHEES FV087828</t>
  </si>
  <si>
    <t>FV087949</t>
  </si>
  <si>
    <t>Facture SORTIE FOURNITURE ATELIER ET MAGASIN FV087949</t>
  </si>
  <si>
    <t>FV088060</t>
  </si>
  <si>
    <t>Facture SORTIE FOURNITURE ATELIER ET MAGASIN FV088060</t>
  </si>
  <si>
    <t>FV087952</t>
  </si>
  <si>
    <t>Facture SORTIE FOURNITURE ATELIER ET MAGASIN FV087952</t>
  </si>
  <si>
    <t>FV087953</t>
  </si>
  <si>
    <t>Facture SORTIE FOURNITURE ATELIER ET MAGASIN FV087953</t>
  </si>
  <si>
    <t>FV087960</t>
  </si>
  <si>
    <t>Facture SORTIE FOURNITURE ATELIER ET MAGASIN FV087960</t>
  </si>
  <si>
    <t>FV087961</t>
  </si>
  <si>
    <t>Facture SORTIE FOURNITURE ATELIER ET MAGASIN FV087961</t>
  </si>
  <si>
    <t>FV087962</t>
  </si>
  <si>
    <t>Facture SORTIE FOURNITURE ATELIER ET MAGASIN FV087962</t>
  </si>
  <si>
    <t>FV088259</t>
  </si>
  <si>
    <t>Facture SORTIE FOURNITURE ATELIER ET MAGASIN FV088259</t>
  </si>
  <si>
    <t>FV087963</t>
  </si>
  <si>
    <t>Facture SORTIE FOURNITURE ATELIER ET MAGASIN FV087963</t>
  </si>
  <si>
    <t>FV087964</t>
  </si>
  <si>
    <t>Facture SORTIE FOURNITURE ATELIER ET MAGASIN FV087964</t>
  </si>
  <si>
    <t>FV087965</t>
  </si>
  <si>
    <t>Facture SORTIE FOURNITURE ATELIER ET MAGASIN FV087965</t>
  </si>
  <si>
    <t>FV087966</t>
  </si>
  <si>
    <t>Facture SORTIE FOURNITURE ATELIER ET MAGASIN FV087966</t>
  </si>
  <si>
    <t>FV087967</t>
  </si>
  <si>
    <t>Facture SORTIE FOURNITURE ATELIER ET MAGASIN FV087967</t>
  </si>
  <si>
    <t>FV087969</t>
  </si>
  <si>
    <t>Facture SORTIE FOURNITURE ATELIER ET MAGASIN FV087969</t>
  </si>
  <si>
    <t>FV087987</t>
  </si>
  <si>
    <t>Facture SORTIE FOURNITURE ATELIER ET MAGASIN FV087987</t>
  </si>
  <si>
    <t>FV087939</t>
  </si>
  <si>
    <t>Facture SORTIE FOURNITURE ATELIER ET MAGASIN FV087939</t>
  </si>
  <si>
    <t>FV087866</t>
  </si>
  <si>
    <t>Facture SORTIE FOURNITURE ATELIER ET MAGASIN FV087866</t>
  </si>
  <si>
    <t>FV087880</t>
  </si>
  <si>
    <t>Facture SORTIE FOURNITURE ATELIER ET MAGASIN FV087880</t>
  </si>
  <si>
    <t>FV087882</t>
  </si>
  <si>
    <t>Facture SORTIE FOURNITURE ATELIER ET MAGASIN FV087882</t>
  </si>
  <si>
    <t>FV087889</t>
  </si>
  <si>
    <t>Facture SORTIE FOURNITURE ATELIER ET MAGASIN FV087889</t>
  </si>
  <si>
    <t>FV087958</t>
  </si>
  <si>
    <t>Facture SORTIE PNEUMATIQUE FV087958</t>
  </si>
  <si>
    <t>FV087959</t>
  </si>
  <si>
    <t>Facture SORTIE PNEUMATIQUE FV087959</t>
  </si>
  <si>
    <t>FV087924</t>
  </si>
  <si>
    <t>Facture SORTIE LUBRIFIANT FV087924</t>
  </si>
  <si>
    <t>FV087926</t>
  </si>
  <si>
    <t>Facture SORTIE FOURNITURE ATELIER ET MAGASIN FV087926</t>
  </si>
  <si>
    <t>FV087927</t>
  </si>
  <si>
    <t>Facture SORTIE FOURNITURE ATELIER ET MAGASIN FV087927</t>
  </si>
  <si>
    <t>FV087929</t>
  </si>
  <si>
    <t>Facture SORTIE FOURNITURE ATELIER ET MAGASIN FV087929</t>
  </si>
  <si>
    <t>FV087931</t>
  </si>
  <si>
    <t>Facture SORTIE PNEUMATIQUE FV087931</t>
  </si>
  <si>
    <t>FV087932</t>
  </si>
  <si>
    <t>Facture SORTIE PNEUMATIQUE FV087932</t>
  </si>
  <si>
    <t>FV087934</t>
  </si>
  <si>
    <t>Facture SORTIE FOURNITURE ATELIER ET MAGASIN FV087934</t>
  </si>
  <si>
    <t>FV087937</t>
  </si>
  <si>
    <t>Facture SORTIE FOURNITURE ATELIER ET MAGASIN FV087937</t>
  </si>
  <si>
    <t>FV087938</t>
  </si>
  <si>
    <t>Facture SORTIE FOURNITURE ATELIER ET MAGASIN FV087938</t>
  </si>
  <si>
    <t>FV087941</t>
  </si>
  <si>
    <t>Facture SORTIE PNEUMATIQUE FV087941</t>
  </si>
  <si>
    <t>FV087862</t>
  </si>
  <si>
    <t>Facture SORTIE PIECES DETACHEES FV087862</t>
  </si>
  <si>
    <t>FV087863</t>
  </si>
  <si>
    <t>Facture SORTIE PIECES DETACHEES FV087863</t>
  </si>
  <si>
    <t>FV087864</t>
  </si>
  <si>
    <t>Facture SORTIE PIECES DETACHEES FV087864</t>
  </si>
  <si>
    <t>FV087865</t>
  </si>
  <si>
    <t>Facture SORTIE PIECES DETACHEES FV087865</t>
  </si>
  <si>
    <t>FV087867</t>
  </si>
  <si>
    <t>Facture SORTIE PIECES DETACHEES FV087867</t>
  </si>
  <si>
    <t>FV087868</t>
  </si>
  <si>
    <t>Facture SORTIE PIECES DETACHEES FV087868</t>
  </si>
  <si>
    <t>FV087871</t>
  </si>
  <si>
    <t>Facture SORTIE PIECES DETACHEES FV087871</t>
  </si>
  <si>
    <t>FV087872</t>
  </si>
  <si>
    <t>Facture SORTIE PIECES DETACHEES FV087872</t>
  </si>
  <si>
    <t>FV087875</t>
  </si>
  <si>
    <t>Facture SORTIE PIECES DETACHEES FV087875</t>
  </si>
  <si>
    <t>FV087876</t>
  </si>
  <si>
    <t>Facture SORTIE PIECES DETACHEES FV087876</t>
  </si>
  <si>
    <t>FV087878</t>
  </si>
  <si>
    <t>Facture SORTIE PIECES DETACHEES FV087878</t>
  </si>
  <si>
    <t>FV087879</t>
  </si>
  <si>
    <t>Facture SORTIE PIECES DETACHEES FV087879</t>
  </si>
  <si>
    <t>FV087883</t>
  </si>
  <si>
    <t>Facture SORTIE PIECES DETACHEES FV087883</t>
  </si>
  <si>
    <t>FV087885</t>
  </si>
  <si>
    <t>Facture SORTIE PIECES DETACHEES FV087885</t>
  </si>
  <si>
    <t>FV087886</t>
  </si>
  <si>
    <t>Facture SORTIE PIECES DETACHEES FV087886</t>
  </si>
  <si>
    <t>FV087887</t>
  </si>
  <si>
    <t>Facture SORTIE PIECES DETACHEES FV087887</t>
  </si>
  <si>
    <t>FV087888</t>
  </si>
  <si>
    <t>Facture SORTIE PIECES DETACHEES FV087888</t>
  </si>
  <si>
    <t>FV087890</t>
  </si>
  <si>
    <t>Facture SORTIE PIECES DETACHEES FV087890</t>
  </si>
  <si>
    <t>FV087891</t>
  </si>
  <si>
    <t>Facture SORTIE PIECES DETACHEES FV087891</t>
  </si>
  <si>
    <t>FV087892</t>
  </si>
  <si>
    <t>Facture SORTIE PIECES DETACHEES FV087892</t>
  </si>
  <si>
    <t>FV087893</t>
  </si>
  <si>
    <t>Facture SORTIE PIECES DETACHEES FV087893</t>
  </si>
  <si>
    <t>FV087894</t>
  </si>
  <si>
    <t>Facture SORTIE PIECES DETACHEES FV087894</t>
  </si>
  <si>
    <t>FV087895</t>
  </si>
  <si>
    <t>Facture SORTIE PIECES DETACHEES FV087895</t>
  </si>
  <si>
    <t>FV087896</t>
  </si>
  <si>
    <t>Facture SORTIE PIECES DETACHEES FV087896</t>
  </si>
  <si>
    <t>FV087897</t>
  </si>
  <si>
    <t>Facture SORTIE PIECES DETACHEES FV087897</t>
  </si>
  <si>
    <t>FV087898</t>
  </si>
  <si>
    <t>Facture SORTIE PIECES DETACHEES FV087898</t>
  </si>
  <si>
    <t>FV087901</t>
  </si>
  <si>
    <t>Facture SORTIE PIECES DETACHEES FV087901</t>
  </si>
  <si>
    <t>FV087902</t>
  </si>
  <si>
    <t>Facture SORTIE PIECES DETACHEES FV087902</t>
  </si>
  <si>
    <t>FV087904</t>
  </si>
  <si>
    <t>Facture SORTIE PIECES DETACHEES FV087904</t>
  </si>
  <si>
    <t>FV088061</t>
  </si>
  <si>
    <t>Facture SORTIE PIECES DETACHEES FV088061</t>
  </si>
  <si>
    <t>FV087905</t>
  </si>
  <si>
    <t>Facture SORTIE PIECES DETACHEES FV087905</t>
  </si>
  <si>
    <t>FV087907</t>
  </si>
  <si>
    <t>Facture SORTIE PIECES DETACHEES FV087907</t>
  </si>
  <si>
    <t>FV087910</t>
  </si>
  <si>
    <t>Facture SORTIE PIECES DETACHEES FV087910</t>
  </si>
  <si>
    <t>FV087911</t>
  </si>
  <si>
    <t>Facture SORTIE PIECES DETACHEES FV087911</t>
  </si>
  <si>
    <t>FV087914</t>
  </si>
  <si>
    <t>Facture SORTIE PIECES DETACHEES FV087914</t>
  </si>
  <si>
    <t>FV087916</t>
  </si>
  <si>
    <t>Facture SORTIE PIECES DETACHEES FV087916</t>
  </si>
  <si>
    <t>FV087917</t>
  </si>
  <si>
    <t>Facture SORTIE PIECES DETACHEES FV087917</t>
  </si>
  <si>
    <t>FV087930</t>
  </si>
  <si>
    <t>Facture SORTIE PNEUMATIQUE FV087930</t>
  </si>
  <si>
    <t>FV087935</t>
  </si>
  <si>
    <t>Facture SORTIE PIECES DETACHEES FV087935</t>
  </si>
  <si>
    <t>FV087988</t>
  </si>
  <si>
    <t>Facture SORTIE PIECES DETACHEES FV087988</t>
  </si>
  <si>
    <t>FV087936</t>
  </si>
  <si>
    <t>Facture SORTIE PIECES DETACHEES FV087936</t>
  </si>
  <si>
    <t>FV087943</t>
  </si>
  <si>
    <t>Facture SORTIE FOURNITURE ATELIER ET MAGASIN FV087943</t>
  </si>
  <si>
    <t>FV087945</t>
  </si>
  <si>
    <t>Facture SORTIE LUBRIFIANT FV087945</t>
  </si>
  <si>
    <t>FV087950</t>
  </si>
  <si>
    <t>Facture SORTIE FOURNITURE ATELIER ET MAGASIN FV087950</t>
  </si>
  <si>
    <t>FV087951</t>
  </si>
  <si>
    <t>Facture SORTIE FOURNITURE ATELIER ET MAGASIN FV087951</t>
  </si>
  <si>
    <t>FV087955</t>
  </si>
  <si>
    <t>Facture SORTIE FOURNITURE ATELIER ET MAGASIN FV087955</t>
  </si>
  <si>
    <t>FV087968</t>
  </si>
  <si>
    <t>Facture SORTIE FOURNITURE ATELIER ET MAGASIN FV087968</t>
  </si>
  <si>
    <t>FV087974</t>
  </si>
  <si>
    <t>Facture SORTIE LUBRIFIANT FV087974</t>
  </si>
  <si>
    <t>FV087979</t>
  </si>
  <si>
    <t>Facture SORTIE FOURNITURE ATELIER ET MAGASIN FV087979</t>
  </si>
  <si>
    <t>FV087981</t>
  </si>
  <si>
    <t>Facture SORTIE FOURNITURE ATELIER ET MAGASIN FV087981</t>
  </si>
  <si>
    <t>FV087990</t>
  </si>
  <si>
    <t>Facture SORTIE FOURNITURE ATELIER ET MAGASIN FV087990</t>
  </si>
  <si>
    <t>FV087995</t>
  </si>
  <si>
    <t>Facture SORTIE FOURNITURE ATELIER ET MAGASIN FV087995</t>
  </si>
  <si>
    <t>FV087998</t>
  </si>
  <si>
    <t>Facture SORTIE LUBRIFIANT FV087998</t>
  </si>
  <si>
    <t>FV088089</t>
  </si>
  <si>
    <t>Facture SORTIE FOURNITURE ATELIER ET MAGASIN FV088089</t>
  </si>
  <si>
    <t>FV088004</t>
  </si>
  <si>
    <t>Facture SORTIE LUBRIFIANT FV088004</t>
  </si>
  <si>
    <t>FV088010</t>
  </si>
  <si>
    <t>Facture SORTIE PIECES DETACHEES FV088010</t>
  </si>
  <si>
    <t>FV088016</t>
  </si>
  <si>
    <t>Facture SORTIE PIECES DETACHEES FV088016</t>
  </si>
  <si>
    <t>FV087971</t>
  </si>
  <si>
    <t>Facture SORTIE PNEUMATIQUE FV087971</t>
  </si>
  <si>
    <t>FV087984</t>
  </si>
  <si>
    <t>Facture SORTIE PIECES DETACHEES FV087984</t>
  </si>
  <si>
    <t>FV087985</t>
  </si>
  <si>
    <t>Facture SORTIE PIECES DETACHEES FV087985</t>
  </si>
  <si>
    <t>FV087986</t>
  </si>
  <si>
    <t>Facture SORTIE PIECES DETACHEES FV087986</t>
  </si>
  <si>
    <t>FV087989</t>
  </si>
  <si>
    <t>Facture SORTIE PIECES DETACHEES FV087989</t>
  </si>
  <si>
    <t>FV087991</t>
  </si>
  <si>
    <t>Facture SORTIE PIECES DETACHEES FV087991</t>
  </si>
  <si>
    <t>FV087992</t>
  </si>
  <si>
    <t>Facture SORTIE PNEUMATIQUE FV087992</t>
  </si>
  <si>
    <t>FV087993</t>
  </si>
  <si>
    <t>Facture SORTIE PIECES DETACHEES FV087993</t>
  </si>
  <si>
    <t>FV088339</t>
  </si>
  <si>
    <t>Facture SORTIE PIECES DETACHEES FV088339</t>
  </si>
  <si>
    <t>FV088085</t>
  </si>
  <si>
    <t>Facture SORTIE PIECES DETACHEES FV088085</t>
  </si>
  <si>
    <t>FV088003</t>
  </si>
  <si>
    <t>Facture SORTIE PIECES DETACHEES FV088003</t>
  </si>
  <si>
    <t>FV088133</t>
  </si>
  <si>
    <t>Facture SORTIE PIECES DETACHEES FV088133</t>
  </si>
  <si>
    <t>FV088005</t>
  </si>
  <si>
    <t>Facture SORTIE PNEUMATIQUE FV088005</t>
  </si>
  <si>
    <t>FV088137</t>
  </si>
  <si>
    <t>Facture SORTIE PIECES DETACHEES FV088137</t>
  </si>
  <si>
    <t>FV087942</t>
  </si>
  <si>
    <t>Facture SORTIE PIECES DETACHEES FV087942</t>
  </si>
  <si>
    <t>FV087944</t>
  </si>
  <si>
    <t>Facture SORTIE PIECES DETACHEES FV087944</t>
  </si>
  <si>
    <t>FV087946</t>
  </si>
  <si>
    <t>Facture SORTIE PIECES DETACHEES FV087946</t>
  </si>
  <si>
    <t>FV087947</t>
  </si>
  <si>
    <t>Facture SORTIE PIECES DETACHEES FV087947</t>
  </si>
  <si>
    <t>FV087948</t>
  </si>
  <si>
    <t>Facture SORTIE PIECES DETACHEES FV087948</t>
  </si>
  <si>
    <t>FV087954</t>
  </si>
  <si>
    <t>Facture SORTIE PIECES DETACHEES FV087954</t>
  </si>
  <si>
    <t>FV087970</t>
  </si>
  <si>
    <t>Facture SORTIE PIECES DETACHEES FV087970</t>
  </si>
  <si>
    <t>FV087972</t>
  </si>
  <si>
    <t>Facture SORTIE PIECES DETACHEES FV087972</t>
  </si>
  <si>
    <t>FV087976</t>
  </si>
  <si>
    <t>Facture SORTIE PIECES DETACHEES FV087976</t>
  </si>
  <si>
    <t>FV087975</t>
  </si>
  <si>
    <t>Facture SORTIE PIECES DETACHEES FV087975</t>
  </si>
  <si>
    <t>FV087977</t>
  </si>
  <si>
    <t>Facture SORTIE PIECES DETACHEES FV087977</t>
  </si>
  <si>
    <t>FV087978</t>
  </si>
  <si>
    <t>Facture SORTIE PIECES DETACHEES FV087978</t>
  </si>
  <si>
    <t>FV087982</t>
  </si>
  <si>
    <t>Facture SORTIE PIECES DETACHEES FV087982</t>
  </si>
  <si>
    <t>FV087983</t>
  </si>
  <si>
    <t>Facture SORTIE PIECES DETACHEES FV087983</t>
  </si>
  <si>
    <t>FV088336</t>
  </si>
  <si>
    <t>Facture SORTIE PIECES DETACHEES FV088336</t>
  </si>
  <si>
    <t>FV088361</t>
  </si>
  <si>
    <t>Facture SORTIE PNEUMATIQUE FV088361</t>
  </si>
  <si>
    <t>FV088094</t>
  </si>
  <si>
    <t>Facture SORTIE FOURNITURE ATELIER ET MAGASIN FV088094</t>
  </si>
  <si>
    <t>FV088362</t>
  </si>
  <si>
    <t>Facture SORTIE FOURNITURE ATELIER ET MAGASIN FV088362</t>
  </si>
  <si>
    <t>FV088080</t>
  </si>
  <si>
    <t>Facture SORTIE FOURNITURE ATELIER ET MAGASIN FV088080</t>
  </si>
  <si>
    <t>FV088092</t>
  </si>
  <si>
    <t>Facture SORTIE FOURNITURE ATELIER ET MAGASIN FV088092</t>
  </si>
  <si>
    <t>FV088038</t>
  </si>
  <si>
    <t>Facture SORTIE FOURNITURE ATELIER ET MAGASIN FV088038</t>
  </si>
  <si>
    <t>FV088045</t>
  </si>
  <si>
    <t>Facture SORTIE FOURNITURE ATELIER ET MAGASIN FV088045</t>
  </si>
  <si>
    <t>FV088049</t>
  </si>
  <si>
    <t>Facture SORTIE FOURNITURE ATELIER ET MAGASIN FV088049</t>
  </si>
  <si>
    <t>FV088015</t>
  </si>
  <si>
    <t>Facture SORTIE FOURNITURE ATELIER ET MAGASIN FV088015</t>
  </si>
  <si>
    <t>FV088018</t>
  </si>
  <si>
    <t>Facture SORTIE FOURNITURE ATELIER ET MAGASIN FV088018</t>
  </si>
  <si>
    <t>FV088020</t>
  </si>
  <si>
    <t>Facture SORTIE FOURNITURE ATELIER ET MAGASIN FV088020</t>
  </si>
  <si>
    <t>FV088021</t>
  </si>
  <si>
    <t>Facture SORTIE FOURNITURE ATELIER ET MAGASIN FV088021</t>
  </si>
  <si>
    <t>FV088370</t>
  </si>
  <si>
    <t>Facture SORTIE PNEUMATIQUE FV088370</t>
  </si>
  <si>
    <t>FV088022</t>
  </si>
  <si>
    <t>Facture SORTIE FOURNITURE ATELIER ET MAGASIN FV088022</t>
  </si>
  <si>
    <t>FV088023</t>
  </si>
  <si>
    <t>Facture SORTIE FOURNITURE ATELIER ET MAGASIN FV088023</t>
  </si>
  <si>
    <t>FV088025</t>
  </si>
  <si>
    <t>Facture SORTIE LUBRIFIANT FV088025</t>
  </si>
  <si>
    <t>FV088026</t>
  </si>
  <si>
    <t>Facture SORTIE FOURNITURE ATELIER ET MAGASIN FV088026</t>
  </si>
  <si>
    <t>FV087111</t>
  </si>
  <si>
    <t>Facture SORTIE LUBRIFIANT FV087111</t>
  </si>
  <si>
    <t>FV088027</t>
  </si>
  <si>
    <t>Facture SORTIE FOURNITURE ATELIER ET MAGASIN FV088027</t>
  </si>
  <si>
    <t>FV088218</t>
  </si>
  <si>
    <t>Facture SORTIE LUBRIFIANT FV088218</t>
  </si>
  <si>
    <t>FV088030</t>
  </si>
  <si>
    <t>Facture SORTIE FOURNITURE ATELIER ET MAGASIN FV088030</t>
  </si>
  <si>
    <t>FV088032</t>
  </si>
  <si>
    <t>Facture SORTIE FOURNITURE ATELIER ET MAGASIN FV088032</t>
  </si>
  <si>
    <t>FV088034</t>
  </si>
  <si>
    <t>Facture SORTIE FOURNITURE ATELIER ET MAGASIN FV088034</t>
  </si>
  <si>
    <t>FV088040</t>
  </si>
  <si>
    <t>Facture SORTIE LUBRIFIANT FV088040</t>
  </si>
  <si>
    <t>FV088308</t>
  </si>
  <si>
    <t>Facture SORTIE PIECES DETACHEES FV088308</t>
  </si>
  <si>
    <t>FV088012</t>
  </si>
  <si>
    <t>Facture SORTIE PNEUMATIQUE FV088012</t>
  </si>
  <si>
    <t>FV088078</t>
  </si>
  <si>
    <t>Facture SORTIE PIECES DETACHEES FV088078</t>
  </si>
  <si>
    <t>FV088081</t>
  </si>
  <si>
    <t>Facture SORTIE PIECES DETACHEES FV088081</t>
  </si>
  <si>
    <t>FV088084</t>
  </si>
  <si>
    <t>Facture SORTIE PIECES DETACHEES FV088084</t>
  </si>
  <si>
    <t>FV088108</t>
  </si>
  <si>
    <t>Facture SORTIE PNEUMATIQUE FV088108</t>
  </si>
  <si>
    <t>FV088371</t>
  </si>
  <si>
    <t>Facture SORTIE PIECES DETACHEES FV088371</t>
  </si>
  <si>
    <t>FV088024</t>
  </si>
  <si>
    <t>Facture SORTIE PNEUMATIQUE FV088024</t>
  </si>
  <si>
    <t>FV088028</t>
  </si>
  <si>
    <t>Facture SORTIE PNEUMATIQUE FV088028</t>
  </si>
  <si>
    <t>FV088031</t>
  </si>
  <si>
    <t>Facture SORTIE PNEUMATIQUE FV088031</t>
  </si>
  <si>
    <t>FV088033</t>
  </si>
  <si>
    <t>Facture SORTIE PNEUMATIQUE FV088033</t>
  </si>
  <si>
    <t>FV088041</t>
  </si>
  <si>
    <t>Facture SORTIE PNEUMATIQUE FV088041</t>
  </si>
  <si>
    <t>FV088042</t>
  </si>
  <si>
    <t>Facture SORTIE PNEUMATIQUE FV088042</t>
  </si>
  <si>
    <t>FV088043</t>
  </si>
  <si>
    <t>Facture SORTIE PNEUMATIQUE FV088043</t>
  </si>
  <si>
    <t>FV088044</t>
  </si>
  <si>
    <t>Facture SORTIE PNEUMATIQUE FV088044</t>
  </si>
  <si>
    <t>FV088050</t>
  </si>
  <si>
    <t>Facture SORTIE PIECES DETACHEES FV088050</t>
  </si>
  <si>
    <t>FV088051</t>
  </si>
  <si>
    <t>Facture SORTIE PIECES DETACHEES FV088051</t>
  </si>
  <si>
    <t>FV088007</t>
  </si>
  <si>
    <t>Facture SORTIE PIECES DETACHEES FV088007</t>
  </si>
  <si>
    <t>FV088008</t>
  </si>
  <si>
    <t>Facture SORTIE PIECES DETACHEES FV088008</t>
  </si>
  <si>
    <t>FV088009</t>
  </si>
  <si>
    <t>Facture SORTIE PIECES DETACHEES FV088009</t>
  </si>
  <si>
    <t>FV088014</t>
  </si>
  <si>
    <t>Facture SORTIE PIECES DETACHEES FV088014</t>
  </si>
  <si>
    <t>FV088076</t>
  </si>
  <si>
    <t>Facture SORTIE PIECES DETACHEES FV088076</t>
  </si>
  <si>
    <t>FV087157</t>
  </si>
  <si>
    <t>Facture SORTIE PIECES DETACHEES FV087157</t>
  </si>
  <si>
    <t>FV088029</t>
  </si>
  <si>
    <t>Facture SORTIE PIECES DETACHEES FV088029</t>
  </si>
  <si>
    <t>FV088035</t>
  </si>
  <si>
    <t>Facture SORTIE PIECES DETACHEES FV088035</t>
  </si>
  <si>
    <t>FV088036</t>
  </si>
  <si>
    <t>Facture SORTIE PIECES DETACHEES FV088036</t>
  </si>
  <si>
    <t>FV088037</t>
  </si>
  <si>
    <t>Facture SORTIE PIECES DETACHEES FV088037</t>
  </si>
  <si>
    <t>FV088039</t>
  </si>
  <si>
    <t>Facture SORTIE PIECES DETACHEES FV088039</t>
  </si>
  <si>
    <t>FV088046</t>
  </si>
  <si>
    <t>Facture SORTIE PIECES DETACHEES FV088046</t>
  </si>
  <si>
    <t>FV088047</t>
  </si>
  <si>
    <t>Facture SORTIE PIECES DETACHEES FV088047</t>
  </si>
  <si>
    <t>FV088048</t>
  </si>
  <si>
    <t>Facture SORTIE PIECES DETACHEES FV088048</t>
  </si>
  <si>
    <t>FV088159</t>
  </si>
  <si>
    <t>Facture SORTIE PIECES DETACHEES FV088159</t>
  </si>
  <si>
    <t>FV088160</t>
  </si>
  <si>
    <t>Facture SORTIE LUBRIFIANT FV088160</t>
  </si>
  <si>
    <t>FV088057</t>
  </si>
  <si>
    <t>Facture SORTIE PIECES DETACHEES FV088057</t>
  </si>
  <si>
    <t>FV088059</t>
  </si>
  <si>
    <t>Facture SORTIE PIECES DETACHEES FV088059</t>
  </si>
  <si>
    <t>FV088062</t>
  </si>
  <si>
    <t>Facture SORTIE FOURNITURE ATELIER ET MAGASIN FV088062</t>
  </si>
  <si>
    <t>FV088063</t>
  </si>
  <si>
    <t>Facture SORTIE PIECES DETACHEES FV088063</t>
  </si>
  <si>
    <t>FV088064</t>
  </si>
  <si>
    <t>Facture SORTIE PIECES DETACHEES FV088064</t>
  </si>
  <si>
    <t>FV088065</t>
  </si>
  <si>
    <t>Facture SORTIE FOURNITURE ATELIER ET MAGASIN FV088065</t>
  </si>
  <si>
    <t>FV088066</t>
  </si>
  <si>
    <t>Facture SORTIE PIECES DETACHEES FV088066</t>
  </si>
  <si>
    <t>FV088067</t>
  </si>
  <si>
    <t>Facture SORTIE FOURNITURE ATELIER ET MAGASIN FV088067</t>
  </si>
  <si>
    <t>FV088068</t>
  </si>
  <si>
    <t>Facture SORTIE PIECES DETACHEES FV088068</t>
  </si>
  <si>
    <t>FV088069</t>
  </si>
  <si>
    <t>Facture SORTIE PIECES DETACHEES FV088069</t>
  </si>
  <si>
    <t>FV088070</t>
  </si>
  <si>
    <t>Facture SORTIE FOURNITURE ATELIER ET MAGASIN FV088070</t>
  </si>
  <si>
    <t>FV088071</t>
  </si>
  <si>
    <t>Facture SORTIE PIECES DETACHEES FV088071</t>
  </si>
  <si>
    <t>FV088072</t>
  </si>
  <si>
    <t>Facture SORTIE FOURNITURE ATELIER ET MAGASIN FV088072</t>
  </si>
  <si>
    <t>FV088073</t>
  </si>
  <si>
    <t>Facture SORTIE PIECES DETACHEES FV088073</t>
  </si>
  <si>
    <t>FV088074</t>
  </si>
  <si>
    <t>Facture SORTIE FOURNITURE ATELIER ET MAGASIN FV088074</t>
  </si>
  <si>
    <t>FV088075</t>
  </si>
  <si>
    <t>Facture SORTIE PIECES DETACHEES FV088075</t>
  </si>
  <si>
    <t>FV088077</t>
  </si>
  <si>
    <t>Facture SORTIE PIECES DETACHEES FV088077</t>
  </si>
  <si>
    <t>FV088079</t>
  </si>
  <si>
    <t>Facture SORTIE PIECES DETACHEES FV088079</t>
  </si>
  <si>
    <t>FV088082</t>
  </si>
  <si>
    <t>Facture SORTIE FOURNITURE ATELIER ET MAGASIN FV088082</t>
  </si>
  <si>
    <t>FV088083</t>
  </si>
  <si>
    <t>Facture SORTIE PIECES DETACHEES FV088083</t>
  </si>
  <si>
    <t>FV088086</t>
  </si>
  <si>
    <t>Facture SORTIE PIECES DETACHEES FV088086</t>
  </si>
  <si>
    <t>FV088087</t>
  </si>
  <si>
    <t>Facture SORTIE FOURNITURE ATELIER ET MAGASIN FV088087</t>
  </si>
  <si>
    <t>FV088088</t>
  </si>
  <si>
    <t>Facture SORTIE PIECES DETACHEES FV088088</t>
  </si>
  <si>
    <t>FV088090</t>
  </si>
  <si>
    <t>Facture SORTIE FOURNITURE ATELIER ET MAGASIN FV088090</t>
  </si>
  <si>
    <t>FV088091</t>
  </si>
  <si>
    <t>Facture SORTIE PIECES DETACHEES FV088091</t>
  </si>
  <si>
    <t>FV088093</t>
  </si>
  <si>
    <t>Facture SORTIE PIECES DETACHEES FV088093</t>
  </si>
  <si>
    <t>FV088095</t>
  </si>
  <si>
    <t>Facture SORTIE PIECES DETACHEES FV088095</t>
  </si>
  <si>
    <t>FV088096</t>
  </si>
  <si>
    <t>Facture SORTIE PIECES DETACHEES FV088096</t>
  </si>
  <si>
    <t>FV088097</t>
  </si>
  <si>
    <t>Facture SORTIE PIECES DETACHEES FV088097</t>
  </si>
  <si>
    <t>FV088098</t>
  </si>
  <si>
    <t>Facture SORTIE PIECES DETACHEES FV088098</t>
  </si>
  <si>
    <t>FV088099</t>
  </si>
  <si>
    <t>Facture SORTIE FOURNITURE ATELIER ET MAGASIN FV088099</t>
  </si>
  <si>
    <t>FV088100</t>
  </si>
  <si>
    <t>Facture SORTIE PIECES DETACHEES FV088100</t>
  </si>
  <si>
    <t>FV088101</t>
  </si>
  <si>
    <t>Facture SORTIE FOURNITURE ATELIER ET MAGASIN FV088101</t>
  </si>
  <si>
    <t>FV088102</t>
  </si>
  <si>
    <t>Facture SORTIE PIECES DETACHEES FV088102</t>
  </si>
  <si>
    <t>FV088103</t>
  </si>
  <si>
    <t>Facture SORTIE FOURNITURE ATELIER ET MAGASIN FV088103</t>
  </si>
  <si>
    <t>FV088104</t>
  </si>
  <si>
    <t>Facture SORTIE FOURNITURE ATELIER ET MAGASIN FV088104</t>
  </si>
  <si>
    <t>FV088105</t>
  </si>
  <si>
    <t>Facture SORTIE PIECES DETACHEES FV088105</t>
  </si>
  <si>
    <t>FV088106</t>
  </si>
  <si>
    <t>Facture SORTIE PNEUMATIQUE FV088106</t>
  </si>
  <si>
    <t>FV088107</t>
  </si>
  <si>
    <t>Facture SORTIE PNEUMATIQUE FV088107</t>
  </si>
  <si>
    <t>FV088109</t>
  </si>
  <si>
    <t>Facture SORTIE PIECES DETACHEES FV088109</t>
  </si>
  <si>
    <t>FV088110</t>
  </si>
  <si>
    <t>Facture SORTIE PNEUMATIQUE FV088110</t>
  </si>
  <si>
    <t>FV088111</t>
  </si>
  <si>
    <t>Facture SORTIE PNEUMATIQUE FV088111</t>
  </si>
  <si>
    <t>FV088112</t>
  </si>
  <si>
    <t>Facture SORTIE PIECES DETACHEES FV088112</t>
  </si>
  <si>
    <t>FV088113</t>
  </si>
  <si>
    <t>Facture SORTIE PIECES DETACHEES FV088113</t>
  </si>
  <si>
    <t>FV088114</t>
  </si>
  <si>
    <t>Facture SORTIE PIECES DETACHEES FV088114</t>
  </si>
  <si>
    <t>FV088115</t>
  </si>
  <si>
    <t>Facture SORTIE FOURNITURE ATELIER ET MAGASIN FV088115</t>
  </si>
  <si>
    <t>FV088116</t>
  </si>
  <si>
    <t>Facture SORTIE PNEUMATIQUE FV088116</t>
  </si>
  <si>
    <t>FV088117</t>
  </si>
  <si>
    <t>Facture SORTIE FOURNITURE ATELIER ET MAGASIN FV088117</t>
  </si>
  <si>
    <t>FV088118</t>
  </si>
  <si>
    <t>Facture SORTIE PIECES DETACHEES FV088118</t>
  </si>
  <si>
    <t>FV088119</t>
  </si>
  <si>
    <t>Facture SORTIE FOURNITURE ATELIER ET MAGASIN FV088119</t>
  </si>
  <si>
    <t>FV088120</t>
  </si>
  <si>
    <t>Facture SORTIE PIECES DETACHEES FV088120</t>
  </si>
  <si>
    <t>FV088121</t>
  </si>
  <si>
    <t>Facture SORTIE FOURNITURE ATELIER ET MAGASIN FV088121</t>
  </si>
  <si>
    <t>FV088122</t>
  </si>
  <si>
    <t>Facture SORTIE PIECES DETACHEES FV088122</t>
  </si>
  <si>
    <t>FV088123</t>
  </si>
  <si>
    <t>Facture SORTIE PIECES DETACHEES FV088123</t>
  </si>
  <si>
    <t>FV088124</t>
  </si>
  <si>
    <t>Facture SORTIE PIECES DETACHEES FV088124</t>
  </si>
  <si>
    <t>FV088214</t>
  </si>
  <si>
    <t>Facture SORTIE LUBRIFIANT FV088214</t>
  </si>
  <si>
    <t>FV088125</t>
  </si>
  <si>
    <t>Facture SORTIE FOURNITURE ATELIER ET MAGASIN FV088125</t>
  </si>
  <si>
    <t>FV088126</t>
  </si>
  <si>
    <t>Facture SORTIE PIECES DETACHEES FV088126</t>
  </si>
  <si>
    <t>FV088127</t>
  </si>
  <si>
    <t>Facture SORTIE PIECES DETACHEES FV088127</t>
  </si>
  <si>
    <t>FV088128</t>
  </si>
  <si>
    <t>Facture SORTIE LUBRIFIANT FV088128</t>
  </si>
  <si>
    <t>FV088129</t>
  </si>
  <si>
    <t>Facture SORTIE FOURNITURE ATELIER ET MAGASIN FV088129</t>
  </si>
  <si>
    <t>FV088130</t>
  </si>
  <si>
    <t>Facture SORTIE PIECES DETACHEES FV088130</t>
  </si>
  <si>
    <t>FV088131</t>
  </si>
  <si>
    <t>Facture SORTIE PIECES DETACHEES FV088131</t>
  </si>
  <si>
    <t>FV088132</t>
  </si>
  <si>
    <t>Facture SORTIE FOURNITURE ATELIER ET MAGASIN FV088132</t>
  </si>
  <si>
    <t>FV088134</t>
  </si>
  <si>
    <t>Facture SORTIE PIECES DETACHEES FV088134</t>
  </si>
  <si>
    <t>FV088135</t>
  </si>
  <si>
    <t>Facture SORTIE PIECES DETACHEES FV088135</t>
  </si>
  <si>
    <t>FV088136</t>
  </si>
  <si>
    <t>Facture SORTIE PIECES DETACHEES FV088136</t>
  </si>
  <si>
    <t>FV088138</t>
  </si>
  <si>
    <t>Facture SORTIE PIECES DETACHEES FV088138</t>
  </si>
  <si>
    <t>FV088139</t>
  </si>
  <si>
    <t>Facture SORTIE PIECES DETACHEES FV088139</t>
  </si>
  <si>
    <t>FV088140</t>
  </si>
  <si>
    <t>Facture SORTIE FOURNITURE ATELIER ET MAGASIN FV088140</t>
  </si>
  <si>
    <t>FV088141</t>
  </si>
  <si>
    <t>Facture SORTIE PIECES DETACHEES FV088141</t>
  </si>
  <si>
    <t>FV088142</t>
  </si>
  <si>
    <t>Facture SORTIE PIECES DETACHEES FV088142</t>
  </si>
  <si>
    <t>FV088221</t>
  </si>
  <si>
    <t>Facture SORTIE LUBRIFIANT FV088221</t>
  </si>
  <si>
    <t>FV088143</t>
  </si>
  <si>
    <t>Facture SORTIE PIECES DETACHEES FV088143</t>
  </si>
  <si>
    <t>FV088144</t>
  </si>
  <si>
    <t>Facture SORTIE PIECES DETACHEES FV088144</t>
  </si>
  <si>
    <t>FV088145</t>
  </si>
  <si>
    <t>Facture SORTIE PIECES DETACHEES FV088145</t>
  </si>
  <si>
    <t>FV088146</t>
  </si>
  <si>
    <t>Facture SORTIE FOURNITURE ATELIER ET MAGASIN FV088146</t>
  </si>
  <si>
    <t>FV088147</t>
  </si>
  <si>
    <t>Facture SORTIE PIECES DETACHEES FV088147</t>
  </si>
  <si>
    <t>FV088148</t>
  </si>
  <si>
    <t>Facture SORTIE FOURNITURE ATELIER ET MAGASIN FV088148</t>
  </si>
  <si>
    <t>FV088149</t>
  </si>
  <si>
    <t>Facture SORTIE PIECES DETACHEES FV088149</t>
  </si>
  <si>
    <t>FV088150</t>
  </si>
  <si>
    <t>Facture SORTIE FOURNITURE ATELIER ET MAGASIN FV088150</t>
  </si>
  <si>
    <t>FV088151</t>
  </si>
  <si>
    <t>Facture SORTIE PIECES DETACHEES FV088151</t>
  </si>
  <si>
    <t>FV088152</t>
  </si>
  <si>
    <t>Facture SORTIE FOURNITURE ATELIER ET MAGASIN FV088152</t>
  </si>
  <si>
    <t>FV088153</t>
  </si>
  <si>
    <t>Facture SORTIE PIECES DETACHEES FV088153</t>
  </si>
  <si>
    <t>FV088154</t>
  </si>
  <si>
    <t>Facture SORTIE PIECES DETACHEES FV088154</t>
  </si>
  <si>
    <t>FV088155</t>
  </si>
  <si>
    <t>Facture SORTIE PIECES DETACHEES FV088155</t>
  </si>
  <si>
    <t>FV088156</t>
  </si>
  <si>
    <t>Facture SORTIE PIECES DETACHEES FV088156</t>
  </si>
  <si>
    <t>FV088157</t>
  </si>
  <si>
    <t>Facture SORTIE PIECES DETACHEES FV088157</t>
  </si>
  <si>
    <t>FV088158</t>
  </si>
  <si>
    <t>Facture SORTIE PIECES DETACHEES FV088158</t>
  </si>
  <si>
    <t>FV088267</t>
  </si>
  <si>
    <t>Facture SORTIE PIECES DETACHEES FV088267</t>
  </si>
  <si>
    <t>FV088270</t>
  </si>
  <si>
    <t>Facture SORTIE FOURNITURE ATELIER ET MAGASIN FV088270</t>
  </si>
  <si>
    <t>FV088271</t>
  </si>
  <si>
    <t>Facture SORTIE FOURNITURE ATELIER ET MAGASIN FV088271</t>
  </si>
  <si>
    <t>FV088272</t>
  </si>
  <si>
    <t>Facture SORTIE PIECES DETACHEES FV088272</t>
  </si>
  <si>
    <t>FV088162</t>
  </si>
  <si>
    <t>Facture SORTIE PIECES DETACHEES FV088162</t>
  </si>
  <si>
    <t>FV088273</t>
  </si>
  <si>
    <t>Facture SORTIE PIECES DETACHEES FV088273</t>
  </si>
  <si>
    <t>FV088163</t>
  </si>
  <si>
    <t>Facture SORTIE FOURNITURE ATELIER ET MAGASIN FV088163</t>
  </si>
  <si>
    <t>FV088274</t>
  </si>
  <si>
    <t>Facture SORTIE FOURNITURE ATELIER ET MAGASIN FV088274</t>
  </si>
  <si>
    <t>FV088275</t>
  </si>
  <si>
    <t>Facture SORTIE FOURNITURE ATELIER ET MAGASIN FV088275</t>
  </si>
  <si>
    <t>FV088248</t>
  </si>
  <si>
    <t>Facture SORTIE PIECES DETACHEES FV088248</t>
  </si>
  <si>
    <t>FV088276</t>
  </si>
  <si>
    <t>Facture SORTIE PIECES DETACHEES FV088276</t>
  </si>
  <si>
    <t>FV088277</t>
  </si>
  <si>
    <t>Facture SORTIE FOURNITURE ATELIER ET MAGASIN FV088277</t>
  </si>
  <si>
    <t>FV088164</t>
  </si>
  <si>
    <t>Facture SORTIE FOURNITURE ATELIER ET MAGASIN FV088164</t>
  </si>
  <si>
    <t>FV088165</t>
  </si>
  <si>
    <t>Facture SORTIE PIECES DETACHEES FV088165</t>
  </si>
  <si>
    <t>FV088166</t>
  </si>
  <si>
    <t>Facture SORTIE PIECES DETACHEES FV088166</t>
  </si>
  <si>
    <t>FV088167</t>
  </si>
  <si>
    <t>Facture SORTIE PIECES DETACHEES FV088167</t>
  </si>
  <si>
    <t>FV088168</t>
  </si>
  <si>
    <t>Facture SORTIE PIECES DETACHEES FV088168</t>
  </si>
  <si>
    <t>FV088169</t>
  </si>
  <si>
    <t>Facture SORTIE PIECES DETACHEES FV088169</t>
  </si>
  <si>
    <t>FV088170</t>
  </si>
  <si>
    <t>Facture SORTIE PIECES DETACHEES FV088170</t>
  </si>
  <si>
    <t>FV088171</t>
  </si>
  <si>
    <t>Facture SORTIE PIECES DETACHEES FV088171</t>
  </si>
  <si>
    <t>FV088172</t>
  </si>
  <si>
    <t>Facture SORTIE FOURNITURE ATELIER ET MAGASIN FV088172</t>
  </si>
  <si>
    <t>FV088173</t>
  </si>
  <si>
    <t>Facture SORTIE PNEUMATIQUE FV088173</t>
  </si>
  <si>
    <t>FV088174</t>
  </si>
  <si>
    <t>Facture SORTIE FOURNITURE ATELIER ET MAGASIN FV088174</t>
  </si>
  <si>
    <t>FV088175</t>
  </si>
  <si>
    <t>Facture SORTIE PIECES DETACHEES FV088175</t>
  </si>
  <si>
    <t>FV088176</t>
  </si>
  <si>
    <t>Facture SORTIE PIECES DETACHEES FV088176</t>
  </si>
  <si>
    <t>FV088177</t>
  </si>
  <si>
    <t>Facture SORTIE FOURNITURE ATELIER ET MAGASIN FV088177</t>
  </si>
  <si>
    <t>FV088178</t>
  </si>
  <si>
    <t>Facture SORTIE PNEUMATIQUE FV088178</t>
  </si>
  <si>
    <t>FV088179</t>
  </si>
  <si>
    <t>Facture SORTIE PNEUMATIQUE FV088179</t>
  </si>
  <si>
    <t>FV088180</t>
  </si>
  <si>
    <t>Facture SORTIE PIECES DETACHEES FV088180</t>
  </si>
  <si>
    <t>FV088181</t>
  </si>
  <si>
    <t>Facture SORTIE FOURNITURE ATELIER ET MAGASIN FV088181</t>
  </si>
  <si>
    <t>FV088182</t>
  </si>
  <si>
    <t>Facture SORTIE FOURNITURE ATELIER ET MAGASIN FV088182</t>
  </si>
  <si>
    <t>FV088183</t>
  </si>
  <si>
    <t>Facture SORTIE FOURNITURE ATELIER ET MAGASIN FV088183</t>
  </si>
  <si>
    <t>FV088184</t>
  </si>
  <si>
    <t>Facture SORTIE FOURNITURE ATELIER ET MAGASIN FV088184</t>
  </si>
  <si>
    <t>FV088186</t>
  </si>
  <si>
    <t>Facture SORTIE FOURNITURE ATELIER ET MAGASIN FV088186</t>
  </si>
  <si>
    <t>FV088187</t>
  </si>
  <si>
    <t>Facture SORTIE FOURNITURE ATELIER ET MAGASIN FV088187</t>
  </si>
  <si>
    <t>FV088188</t>
  </si>
  <si>
    <t>Facture SORTIE FOURNITURE ATELIER ET MAGASIN FV088188</t>
  </si>
  <si>
    <t>FV088189</t>
  </si>
  <si>
    <t>Facture SORTIE PIECES DETACHEES FV088189</t>
  </si>
  <si>
    <t>FV088190</t>
  </si>
  <si>
    <t>Facture SORTIE FOURNITURE ATELIER ET MAGASIN FV088190</t>
  </si>
  <si>
    <t>FV088191</t>
  </si>
  <si>
    <t>Facture SORTIE FOURNITURE ATELIER ET MAGASIN FV088191</t>
  </si>
  <si>
    <t>FV088192</t>
  </si>
  <si>
    <t>Facture SORTIE PIECES DETACHEES FV088192</t>
  </si>
  <si>
    <t>FV088231</t>
  </si>
  <si>
    <t>Facture SORTIE FOURNITURE ATELIER ET MAGASIN FV088231</t>
  </si>
  <si>
    <t>FV088235</t>
  </si>
  <si>
    <t>Facture SORTIE FOURNITURE ATELIER ET MAGASIN FV088235</t>
  </si>
  <si>
    <t>FV088236</t>
  </si>
  <si>
    <t>Facture SORTIE FOURNITURE ATELIER ET MAGASIN FV088236</t>
  </si>
  <si>
    <t>FV088237</t>
  </si>
  <si>
    <t>Facture SORTIE FOURNITURE ATELIER ET MAGASIN FV088237</t>
  </si>
  <si>
    <t>FV088238</t>
  </si>
  <si>
    <t>Facture SORTIE FOURNITURE ATELIER ET MAGASIN FV088238</t>
  </si>
  <si>
    <t>FV088240</t>
  </si>
  <si>
    <t>Facture SORTIE PNEUMATIQUE FV088240</t>
  </si>
  <si>
    <t>FV088241</t>
  </si>
  <si>
    <t>Facture SORTIE FOURNITURE ATELIER ET MAGASIN FV088241</t>
  </si>
  <si>
    <t>FV088244</t>
  </si>
  <si>
    <t>Facture SORTIE FOURNITURE ATELIER ET MAGASIN FV088244</t>
  </si>
  <si>
    <t>FV088246</t>
  </si>
  <si>
    <t>Facture SORTIE FOURNITURE ATELIER ET MAGASIN FV088246</t>
  </si>
  <si>
    <t>FV088199</t>
  </si>
  <si>
    <t>Facture SORTIE FOURNITURE ATELIER ET MAGASIN FV088199</t>
  </si>
  <si>
    <t>FV088260</t>
  </si>
  <si>
    <t>Facture SORTIE FOURNITURE ATELIER ET MAGASIN FV088260</t>
  </si>
  <si>
    <t>FV088261</t>
  </si>
  <si>
    <t>Facture SORTIE FOURNITURE ATELIER ET MAGASIN FV088261</t>
  </si>
  <si>
    <t>FV088203</t>
  </si>
  <si>
    <t>Facture SORTIE LUBRIFIANT FV088203</t>
  </si>
  <si>
    <t>FV088205</t>
  </si>
  <si>
    <t>Facture SORTIE FOURNITURE ATELIER ET MAGASIN FV088205</t>
  </si>
  <si>
    <t>FV088209</t>
  </si>
  <si>
    <t>Facture SORTIE FOURNITURE ATELIER ET MAGASIN FV088209</t>
  </si>
  <si>
    <t>FV088227</t>
  </si>
  <si>
    <t>Facture SORTIE PIECES DETACHEES FV088227</t>
  </si>
  <si>
    <t>FV088228</t>
  </si>
  <si>
    <t>Facture SORTIE PIECES DETACHEES FV088228</t>
  </si>
  <si>
    <t>FV088229</t>
  </si>
  <si>
    <t>Facture SORTIE PIECES DETACHEES FV088229</t>
  </si>
  <si>
    <t>FV088230</t>
  </si>
  <si>
    <t>Facture SORTIE PIECES DETACHEES FV088230</t>
  </si>
  <si>
    <t>FV088232</t>
  </si>
  <si>
    <t>Facture SORTIE PIECES DETACHEES FV088232</t>
  </si>
  <si>
    <t>FV088233</t>
  </si>
  <si>
    <t>Facture SORTIE PIECES DETACHEES FV088233</t>
  </si>
  <si>
    <t>FV088234</t>
  </si>
  <si>
    <t>Facture SORTIE PIECES DETACHEES FV088234</t>
  </si>
  <si>
    <t>FV088239</t>
  </si>
  <si>
    <t>Facture SORTIE PNEUMATIQUE FV088239</t>
  </si>
  <si>
    <t>FV088242</t>
  </si>
  <si>
    <t>Facture SORTIE PIECES DETACHEES FV088242</t>
  </si>
  <si>
    <t>FV088243</t>
  </si>
  <si>
    <t>Facture SORTIE PIECES DETACHEES FV088243</t>
  </si>
  <si>
    <t>FV088200</t>
  </si>
  <si>
    <t>Facture SORTIE PIECES DETACHEES FV088200</t>
  </si>
  <si>
    <t>FV088201</t>
  </si>
  <si>
    <t>Facture SORTIE PIECES DETACHEES FV088201</t>
  </si>
  <si>
    <t>FV088202</t>
  </si>
  <si>
    <t>Facture SORTIE PIECES DETACHEES FV088202</t>
  </si>
  <si>
    <t>FV088262</t>
  </si>
  <si>
    <t>Facture SORTIE PIECES DETACHEES FV088262</t>
  </si>
  <si>
    <t>FV088263</t>
  </si>
  <si>
    <t>Facture SORTIE PIECES DETACHEES FV088263</t>
  </si>
  <si>
    <t>FV088204</t>
  </si>
  <si>
    <t>Facture SORTIE PNEUMATIQUE FV088204</t>
  </si>
  <si>
    <t>FV088222</t>
  </si>
  <si>
    <t>Facture SORTIE PIECES DETACHEES FV088222</t>
  </si>
  <si>
    <t>FV088224</t>
  </si>
  <si>
    <t>Facture SORTIE PIECES DETACHEES FV088224</t>
  </si>
  <si>
    <t>FV088264</t>
  </si>
  <si>
    <t>Facture SORTIE PIECES DETACHEES FV088264</t>
  </si>
  <si>
    <t>FAB2500321</t>
  </si>
  <si>
    <t>Extourne Annulation FACT  SA SITAB INDUSTRIES</t>
  </si>
  <si>
    <t>FAB2500324</t>
  </si>
  <si>
    <t>FACT TOTAL COTE D`IVOIRE</t>
  </si>
  <si>
    <t>FAB2500540</t>
  </si>
  <si>
    <t>FACT  ADIALEA CI</t>
  </si>
  <si>
    <t>FAB2500612</t>
  </si>
  <si>
    <t>Extourne Annulation FACT  STE AFRIC. DE PLANTATION D'HE</t>
  </si>
  <si>
    <t>Extourne Annulation FACT  TOTALENERGIES MARKETING CI SA</t>
  </si>
  <si>
    <t>FAB2500621</t>
  </si>
  <si>
    <t>FBK2500072</t>
  </si>
  <si>
    <t>FBK2500088</t>
  </si>
  <si>
    <t>FACT  SOCIETE IVOIRIENNE DES TABACS</t>
  </si>
  <si>
    <t>FBK2500168</t>
  </si>
  <si>
    <t>FACT  SA SITAB INDUSTRIES</t>
  </si>
  <si>
    <t>FFE2500001</t>
  </si>
  <si>
    <t>FACT MAIRIE DE KORHOGO</t>
  </si>
  <si>
    <t>FAB2500541</t>
  </si>
  <si>
    <t>FACT  TGR ( TRANSIT GENRAL RAPIDE)</t>
  </si>
  <si>
    <t>FBK2500162</t>
  </si>
  <si>
    <t>Av.   SA SITAB INDUSTRIES/FBK250001</t>
  </si>
  <si>
    <t>FAB2500625</t>
  </si>
  <si>
    <t>FACT  MATIERE IVOIRE</t>
  </si>
  <si>
    <t>FAB2500553</t>
  </si>
  <si>
    <t>FACT  TRANSIT CENTER</t>
  </si>
  <si>
    <t>FAB2500554</t>
  </si>
  <si>
    <t>FAB2500555</t>
  </si>
  <si>
    <t>FAB2500556</t>
  </si>
  <si>
    <t>FACT  TTS(TRANSIT TRANSPORT SERVICE</t>
  </si>
  <si>
    <t>FBK2500169</t>
  </si>
  <si>
    <t>FAB2500559</t>
  </si>
  <si>
    <t>FAB2500560</t>
  </si>
  <si>
    <t>FACT  3I</t>
  </si>
  <si>
    <t>FBK2500171</t>
  </si>
  <si>
    <t>FAB2500561</t>
  </si>
  <si>
    <t>FAB2500562</t>
  </si>
  <si>
    <t>FAB2500563</t>
  </si>
  <si>
    <t>FAB2500564</t>
  </si>
  <si>
    <t>FAB2500565</t>
  </si>
  <si>
    <t>FAB2500566</t>
  </si>
  <si>
    <t>FAB2500567</t>
  </si>
  <si>
    <t>FAB2500568</t>
  </si>
  <si>
    <t>FAB2500569</t>
  </si>
  <si>
    <t>FAB2500570</t>
  </si>
  <si>
    <t>FAB2500571</t>
  </si>
  <si>
    <t>FAB2500572</t>
  </si>
  <si>
    <t>FAB2500573</t>
  </si>
  <si>
    <t>FAB2500574</t>
  </si>
  <si>
    <t>FAB2500575</t>
  </si>
  <si>
    <t>FAB2500576</t>
  </si>
  <si>
    <t>FAB2500601</t>
  </si>
  <si>
    <t>FAB2500602</t>
  </si>
  <si>
    <t>FAB2500603</t>
  </si>
  <si>
    <t>FAB2500604</t>
  </si>
  <si>
    <t>FAB2500605</t>
  </si>
  <si>
    <t>FAB2500606</t>
  </si>
  <si>
    <t>FAB2500607</t>
  </si>
  <si>
    <t>FACT  TTS ( TRANSIT TRANSPORT SERVI</t>
  </si>
  <si>
    <t>FAB2500608</t>
  </si>
  <si>
    <t>FAB2500609</t>
  </si>
  <si>
    <t>FAB2500610</t>
  </si>
  <si>
    <t>FACT  STRACOTRANS</t>
  </si>
  <si>
    <t>FBK2500181</t>
  </si>
  <si>
    <t>FBK2500182</t>
  </si>
  <si>
    <t>FBK2500183</t>
  </si>
  <si>
    <t>FBK2500184</t>
  </si>
  <si>
    <t>FBK2500185</t>
  </si>
  <si>
    <t>FAB2500611</t>
  </si>
  <si>
    <t>FAB2500613</t>
  </si>
  <si>
    <t>FAB2500614</t>
  </si>
  <si>
    <t>FAB2500615</t>
  </si>
  <si>
    <t>FAB2500616</t>
  </si>
  <si>
    <t>FAB2500617</t>
  </si>
  <si>
    <t>FAB2500618</t>
  </si>
  <si>
    <t>FAB2500619</t>
  </si>
  <si>
    <t>FAB2500622</t>
  </si>
  <si>
    <t>FAB2500623</t>
  </si>
  <si>
    <t>FAB2500624</t>
  </si>
  <si>
    <t>FAB2500626</t>
  </si>
  <si>
    <t>FACT  ATR ( ATELIER TECHNIQUE REPAR</t>
  </si>
  <si>
    <t>FAB2500627</t>
  </si>
  <si>
    <t>FAB2500628</t>
  </si>
  <si>
    <t>FACT  TRACTAFRIC MOTORS COTE D'IVOI</t>
  </si>
  <si>
    <t>FAB2500680</t>
  </si>
  <si>
    <t>FACT  BESIX COTE D'IVOIRE / PFO AFR</t>
  </si>
  <si>
    <t>FAB2500681</t>
  </si>
  <si>
    <t>FAB2500820</t>
  </si>
  <si>
    <t>FACT  SOLIBRA SA</t>
  </si>
  <si>
    <t>FAB2500821</t>
  </si>
  <si>
    <t>FBK2500186</t>
  </si>
  <si>
    <t>FFE2500006</t>
  </si>
  <si>
    <t>FACT  SUCAF-CI</t>
  </si>
  <si>
    <t>FAB2500629</t>
  </si>
  <si>
    <t>Av.   ROWAD MODERN ENGINEERING-SUCC</t>
  </si>
  <si>
    <t>FAB2500630</t>
  </si>
  <si>
    <t>FACT  KEDA COTE D'IVOIRE CERAMICS C</t>
  </si>
  <si>
    <t>FAB2500631</t>
  </si>
  <si>
    <t>FBK2500187</t>
  </si>
  <si>
    <t>FBK2500188</t>
  </si>
  <si>
    <t>FBK2500189</t>
  </si>
  <si>
    <t>FBK2500190</t>
  </si>
  <si>
    <t>FBK2500191</t>
  </si>
  <si>
    <t>FBK2500192</t>
  </si>
  <si>
    <t>FBK2500193</t>
  </si>
  <si>
    <t>FAB2500632</t>
  </si>
  <si>
    <t>FAB2500633</t>
  </si>
  <si>
    <t>FAB2500634</t>
  </si>
  <si>
    <t>FAB2500635</t>
  </si>
  <si>
    <t>FACT  TGR( TRANSIT GENERAL RAPIDE)</t>
  </si>
  <si>
    <t>FAB2500636</t>
  </si>
  <si>
    <t>FBK2500194</t>
  </si>
  <si>
    <t>FBK2500195</t>
  </si>
  <si>
    <t>FAB2500637</t>
  </si>
  <si>
    <t>FACT  IVOIRIENNE DE DISTRIBUTION</t>
  </si>
  <si>
    <t>FAB2500638</t>
  </si>
  <si>
    <t>Av.   COMPAGNIE CACAOYERE DU BANDAM</t>
  </si>
  <si>
    <t>FBK2500196</t>
  </si>
  <si>
    <t>Annulation FACT  SA SITAB INDUSTRIES</t>
  </si>
  <si>
    <t>FAB2500639</t>
  </si>
  <si>
    <t>FAB2500640</t>
  </si>
  <si>
    <t>FAB2500641</t>
  </si>
  <si>
    <t>FAB2500642</t>
  </si>
  <si>
    <t>FAB2500643</t>
  </si>
  <si>
    <t>FAB2500644</t>
  </si>
  <si>
    <t>FAB2500645</t>
  </si>
  <si>
    <t>FAB2500646</t>
  </si>
  <si>
    <t>FAB2500716</t>
  </si>
  <si>
    <t>FACT  STE AFRIC. DE PLANTATION D'HE</t>
  </si>
  <si>
    <t>FBK2500197</t>
  </si>
  <si>
    <t>FBK2500198</t>
  </si>
  <si>
    <t>FBK2500199</t>
  </si>
  <si>
    <t>FBK2500203</t>
  </si>
  <si>
    <t>FBK2500204</t>
  </si>
  <si>
    <t>FBK2500205</t>
  </si>
  <si>
    <t>FBK2500206</t>
  </si>
  <si>
    <t>FAB2500647</t>
  </si>
  <si>
    <t>FBK2500200</t>
  </si>
  <si>
    <t>FBK2500201</t>
  </si>
  <si>
    <t>FBK2500202</t>
  </si>
  <si>
    <t>FAB2500648</t>
  </si>
  <si>
    <t>FAB2500649</t>
  </si>
  <si>
    <t>FAB2500650</t>
  </si>
  <si>
    <t>FAB2500651</t>
  </si>
  <si>
    <t>FAB2500652</t>
  </si>
  <si>
    <t>FAB2500653</t>
  </si>
  <si>
    <t>FAB2500654</t>
  </si>
  <si>
    <t>FAB2500655</t>
  </si>
  <si>
    <t>FAB2500656</t>
  </si>
  <si>
    <t>FAB2500657</t>
  </si>
  <si>
    <t>FAB2500658</t>
  </si>
  <si>
    <t>FAB2500659</t>
  </si>
  <si>
    <t>FAB2500660</t>
  </si>
  <si>
    <t>FAB2500661</t>
  </si>
  <si>
    <t>FAB2500662</t>
  </si>
  <si>
    <t>FAB2500663</t>
  </si>
  <si>
    <t>FAB2500664</t>
  </si>
  <si>
    <t>FAB2500665</t>
  </si>
  <si>
    <t>FAB2500666</t>
  </si>
  <si>
    <t>FAB2500667</t>
  </si>
  <si>
    <t>FAB2500668</t>
  </si>
  <si>
    <t>FAB2500669</t>
  </si>
  <si>
    <t>FAB2500670</t>
  </si>
  <si>
    <t>FAB2500671</t>
  </si>
  <si>
    <t>FAB2500672</t>
  </si>
  <si>
    <t>FAB2500673</t>
  </si>
  <si>
    <t>FAB2500674</t>
  </si>
  <si>
    <t>FAB2500675</t>
  </si>
  <si>
    <t>FAB2500676</t>
  </si>
  <si>
    <t>FAB2500677</t>
  </si>
  <si>
    <t>FAB2500678</t>
  </si>
  <si>
    <t>FAB2500679</t>
  </si>
  <si>
    <t>FAB2500836</t>
  </si>
  <si>
    <t>Annulation FACT  SOLIBRA SA</t>
  </si>
  <si>
    <t>FAB2500837</t>
  </si>
  <si>
    <t>FBK2500207</t>
  </si>
  <si>
    <t>FBK2500208</t>
  </si>
  <si>
    <t>FAB2500682</t>
  </si>
  <si>
    <t>FACT  GLOBAL MANUTENTION COTE DÆIVO</t>
  </si>
  <si>
    <t>FAB2500683</t>
  </si>
  <si>
    <t>FAB2500684</t>
  </si>
  <si>
    <t>FACT  SAGECI</t>
  </si>
  <si>
    <t>FAB2500685</t>
  </si>
  <si>
    <t>Annulation FACT  TRANSIT CENTER</t>
  </si>
  <si>
    <t>FAB2500686</t>
  </si>
  <si>
    <t>Annulation FACT  TTS ( TRANSIT TRANSPORT SERVI</t>
  </si>
  <si>
    <t>FAB2500687</t>
  </si>
  <si>
    <t>Annulation FACT  TTS(TRANSIT TRANSPORT SERVICE</t>
  </si>
  <si>
    <t>FAB2500688</t>
  </si>
  <si>
    <t>FAB2500689</t>
  </si>
  <si>
    <t>FAB2500690</t>
  </si>
  <si>
    <t>FAB2500691</t>
  </si>
  <si>
    <t>FAB2500700</t>
  </si>
  <si>
    <t>FACT  TOTALENERGIES MARKETING CI SA</t>
  </si>
  <si>
    <t>Annulation FACT  TOTALENERGIES MARKETING CI SA</t>
  </si>
  <si>
    <t>FAB2500702</t>
  </si>
  <si>
    <t>Annulation FACT  TGR ( TRANSIT GENRAL RAPIDE)</t>
  </si>
  <si>
    <t>FAB2500703</t>
  </si>
  <si>
    <t>FAB2500704</t>
  </si>
  <si>
    <t>FAB2500705</t>
  </si>
  <si>
    <t>FAB2500706</t>
  </si>
  <si>
    <t>FAB2500707</t>
  </si>
  <si>
    <t>FBK2500209</t>
  </si>
  <si>
    <t>FBK2500210</t>
  </si>
  <si>
    <t>FBK2500211</t>
  </si>
  <si>
    <t>FBK2500212</t>
  </si>
  <si>
    <t>FBK2500213</t>
  </si>
  <si>
    <t>FAB2500708</t>
  </si>
  <si>
    <t>FAB2500709</t>
  </si>
  <si>
    <t>FAB2500714</t>
  </si>
  <si>
    <t>FAB2500734</t>
  </si>
  <si>
    <t>FBK2500214</t>
  </si>
  <si>
    <t>FBK2500215</t>
  </si>
  <si>
    <t>FAB2500712</t>
  </si>
  <si>
    <t>FAB2500713</t>
  </si>
  <si>
    <t>FAB2500715</t>
  </si>
  <si>
    <t>FAB2500717</t>
  </si>
  <si>
    <t>FAB2500718</t>
  </si>
  <si>
    <t>FAB2500719</t>
  </si>
  <si>
    <t>FAB2500720</t>
  </si>
  <si>
    <t>FAB2500721</t>
  </si>
  <si>
    <t>FAB2500722</t>
  </si>
  <si>
    <t>FAB2500723</t>
  </si>
  <si>
    <t>FAB2500724</t>
  </si>
  <si>
    <t>FAB2500725</t>
  </si>
  <si>
    <t>FAB2500726</t>
  </si>
  <si>
    <t>FAB2500727</t>
  </si>
  <si>
    <t>FAB2500728</t>
  </si>
  <si>
    <t>FAB2500729</t>
  </si>
  <si>
    <t>FAB2500730</t>
  </si>
  <si>
    <t>FAB2500731</t>
  </si>
  <si>
    <t>FAB2500732</t>
  </si>
  <si>
    <t>FAB2500733</t>
  </si>
  <si>
    <t>FAB2500735</t>
  </si>
  <si>
    <t>FAB2500736</t>
  </si>
  <si>
    <t>FBK2500216</t>
  </si>
  <si>
    <t>FBK2500217</t>
  </si>
  <si>
    <t>FBK2500218</t>
  </si>
  <si>
    <t>FAB2500737</t>
  </si>
  <si>
    <t>FAB2500738</t>
  </si>
  <si>
    <t>FAB2500739</t>
  </si>
  <si>
    <t>FAB2500740</t>
  </si>
  <si>
    <t>FAB2500741</t>
  </si>
  <si>
    <t>FAB2500742</t>
  </si>
  <si>
    <t>FAB2500743</t>
  </si>
  <si>
    <t>FAB2500744</t>
  </si>
  <si>
    <t>FAB2500745</t>
  </si>
  <si>
    <t>FACT  KEDA CÈTE D'IVOIRE CERAMICS C</t>
  </si>
  <si>
    <t>FAB2500746</t>
  </si>
  <si>
    <t>FBK2500219</t>
  </si>
  <si>
    <t>FBK2500220</t>
  </si>
  <si>
    <t>FBK2500221</t>
  </si>
  <si>
    <t>FBK2500222</t>
  </si>
  <si>
    <t>FAB2500747</t>
  </si>
  <si>
    <t>FAB2500748</t>
  </si>
  <si>
    <t>FACT  COMPAGNIE CACAOYERE DU BANDAM</t>
  </si>
  <si>
    <t>FAB2500749</t>
  </si>
  <si>
    <t>FAB2500750</t>
  </si>
  <si>
    <t>FAB2500751</t>
  </si>
  <si>
    <t>FAB2500752</t>
  </si>
  <si>
    <t>FAB2500753</t>
  </si>
  <si>
    <t>FAB2500754</t>
  </si>
  <si>
    <t>FAB2500755</t>
  </si>
  <si>
    <t>FAB2500756</t>
  </si>
  <si>
    <t>FAB2500757</t>
  </si>
  <si>
    <t>FBK2500161</t>
  </si>
  <si>
    <t>FBK2500223</t>
  </si>
  <si>
    <t>FBK2500224</t>
  </si>
  <si>
    <t>FBK2500225</t>
  </si>
  <si>
    <t>FBK2500226</t>
  </si>
  <si>
    <t>FBK2500227</t>
  </si>
  <si>
    <t>FBK2500228</t>
  </si>
  <si>
    <t>FBK2500229</t>
  </si>
  <si>
    <t>FBK2500230</t>
  </si>
  <si>
    <t>FBK2500231</t>
  </si>
  <si>
    <t>FBK2500232</t>
  </si>
  <si>
    <t>FAB2500758</t>
  </si>
  <si>
    <t>FACT  CELUSA CI</t>
  </si>
  <si>
    <t>FAB2500759</t>
  </si>
  <si>
    <t>FAB2500760</t>
  </si>
  <si>
    <t>FAB2500761</t>
  </si>
  <si>
    <t>FAB2500763</t>
  </si>
  <si>
    <t>FAB2500764</t>
  </si>
  <si>
    <t>FAB2500765</t>
  </si>
  <si>
    <t>FAB2500766</t>
  </si>
  <si>
    <t>FAB2500767</t>
  </si>
  <si>
    <t>FAB2500768</t>
  </si>
  <si>
    <t>FAB2500769</t>
  </si>
  <si>
    <t>FAB2500770</t>
  </si>
  <si>
    <t>FAB2500771</t>
  </si>
  <si>
    <t>FAB2500772</t>
  </si>
  <si>
    <t>FAB2500773</t>
  </si>
  <si>
    <t>FAB2500774</t>
  </si>
  <si>
    <t>FAB2500775</t>
  </si>
  <si>
    <t>FAB2500776</t>
  </si>
  <si>
    <t>FAB2500777</t>
  </si>
  <si>
    <t>FACT  Mr SERVANT</t>
  </si>
  <si>
    <t>FAB2500778</t>
  </si>
  <si>
    <t>FAB2500779</t>
  </si>
  <si>
    <t>FACT  SOUTHEY CONTRACTING LIMITED</t>
  </si>
  <si>
    <t>FBK2500233</t>
  </si>
  <si>
    <t>FACT  MABUCIG INDUSTRIES SA</t>
  </si>
  <si>
    <t>FBK2500234</t>
  </si>
  <si>
    <t>FBK2500235</t>
  </si>
  <si>
    <t>FBK2500236</t>
  </si>
  <si>
    <t>FBK2500237</t>
  </si>
  <si>
    <t>FBK2500238</t>
  </si>
  <si>
    <t>FBK2500239</t>
  </si>
  <si>
    <t>FBK2500240</t>
  </si>
  <si>
    <t>FBK2500241</t>
  </si>
  <si>
    <t>FBK2500242</t>
  </si>
  <si>
    <t>FBK2500243</t>
  </si>
  <si>
    <t>FBK2500244</t>
  </si>
  <si>
    <t>FBK2500260</t>
  </si>
  <si>
    <t>FYK2500007</t>
  </si>
  <si>
    <t>FYK2500008</t>
  </si>
  <si>
    <t>FAB2500780</t>
  </si>
  <si>
    <t>FAB2500781</t>
  </si>
  <si>
    <t>FAB2500782</t>
  </si>
  <si>
    <t>FBK2500245</t>
  </si>
  <si>
    <t>FBK2500246</t>
  </si>
  <si>
    <t>FAB2500762</t>
  </si>
  <si>
    <t>FAB2500783</t>
  </si>
  <si>
    <t>FACT  AZELIS COTE D'IVOIRE SA</t>
  </si>
  <si>
    <t>FAB2500784</t>
  </si>
  <si>
    <t>FAB2500785</t>
  </si>
  <si>
    <t>Av.   TGR (TRANSIT GENERAL RAPIDE)</t>
  </si>
  <si>
    <t>FAB2500786</t>
  </si>
  <si>
    <t>FAB2500787</t>
  </si>
  <si>
    <t>FAB2500788</t>
  </si>
  <si>
    <t>FAB2500789</t>
  </si>
  <si>
    <t>FAB2500790</t>
  </si>
  <si>
    <t>FACT  TGR (TRANSIT GENRAL RAPIDE)</t>
  </si>
  <si>
    <t>FAB2500791</t>
  </si>
  <si>
    <t>FAB2500792</t>
  </si>
  <si>
    <t>FAB2500793</t>
  </si>
  <si>
    <t>FAB2500794</t>
  </si>
  <si>
    <t>FAB2500795</t>
  </si>
  <si>
    <t>FAB2500796</t>
  </si>
  <si>
    <t>FAB2500797</t>
  </si>
  <si>
    <t>FAB2500798</t>
  </si>
  <si>
    <t>FAB2500799</t>
  </si>
  <si>
    <t>FAB2500800</t>
  </si>
  <si>
    <t>FAB2500801</t>
  </si>
  <si>
    <t>FAB2500802</t>
  </si>
  <si>
    <t>FAB2500803</t>
  </si>
  <si>
    <t>FAB2500804</t>
  </si>
  <si>
    <t>FAB2500805</t>
  </si>
  <si>
    <t>FAB2500806</t>
  </si>
  <si>
    <t>FAB2500807</t>
  </si>
  <si>
    <t>FAB2500808</t>
  </si>
  <si>
    <t>FAB2500809</t>
  </si>
  <si>
    <t>FAB2500810</t>
  </si>
  <si>
    <t>FAB2500811</t>
  </si>
  <si>
    <t>FAB2500812</t>
  </si>
  <si>
    <t>FAB2500813</t>
  </si>
  <si>
    <t>FAB2500814</t>
  </si>
  <si>
    <t>FAB2500815</t>
  </si>
  <si>
    <t>FAB2500816</t>
  </si>
  <si>
    <t>FAB2500819</t>
  </si>
  <si>
    <t>FAB2500822</t>
  </si>
  <si>
    <t>FAB2500823</t>
  </si>
  <si>
    <t>FAB2500835</t>
  </si>
  <si>
    <t>FACT  PROFOND FRANCE METRO D'ABIDJA</t>
  </si>
  <si>
    <t>FBK2500247</t>
  </si>
  <si>
    <t>FBK2500248</t>
  </si>
  <si>
    <t>FBK2500249</t>
  </si>
  <si>
    <t>FBK2500250</t>
  </si>
  <si>
    <t>FBK2500251</t>
  </si>
  <si>
    <t>FBK2500252</t>
  </si>
  <si>
    <t>FBK2500253</t>
  </si>
  <si>
    <t>FBK2500254</t>
  </si>
  <si>
    <t>FBK2500255</t>
  </si>
  <si>
    <t>FBK2500256</t>
  </si>
  <si>
    <t>FBK2500257</t>
  </si>
  <si>
    <t>FBK2500258</t>
  </si>
  <si>
    <t>FBK2500259</t>
  </si>
  <si>
    <t>FFE2500007</t>
  </si>
  <si>
    <t>FFE2500008</t>
  </si>
  <si>
    <t>FYK2500009</t>
  </si>
  <si>
    <t>210DET0001</t>
  </si>
  <si>
    <t>950FSB0001</t>
  </si>
  <si>
    <t>950FDI0001</t>
  </si>
  <si>
    <t>950FTC0001</t>
  </si>
  <si>
    <t>210DCM0000</t>
  </si>
  <si>
    <t>210DGE0000</t>
  </si>
  <si>
    <t>210DEX0001</t>
  </si>
  <si>
    <t>950FHY0001</t>
  </si>
  <si>
    <t>950COL0001</t>
  </si>
  <si>
    <t>960FHY0001</t>
  </si>
  <si>
    <t>960FHY0008</t>
  </si>
  <si>
    <t>960COL0001</t>
  </si>
  <si>
    <t>Activité</t>
  </si>
  <si>
    <t>230DCM0000</t>
  </si>
  <si>
    <t>250DRH0000</t>
  </si>
  <si>
    <t>930FHY0008</t>
  </si>
  <si>
    <t>250DEX0001</t>
  </si>
  <si>
    <t>210DET0009</t>
  </si>
  <si>
    <t>920COL0001</t>
  </si>
  <si>
    <t>920DIS0001</t>
  </si>
  <si>
    <t>920FCS0009</t>
  </si>
  <si>
    <t>920FDI0001</t>
  </si>
  <si>
    <t>920FHY0001</t>
  </si>
  <si>
    <t>920FSB0001</t>
  </si>
  <si>
    <t>920FTC0001</t>
  </si>
  <si>
    <t>920LEV0001</t>
  </si>
  <si>
    <t>920DIS0007</t>
  </si>
  <si>
    <t>920FHY0008</t>
  </si>
  <si>
    <t>210DET0008</t>
  </si>
  <si>
    <t>230DET0001</t>
  </si>
  <si>
    <t>230SGM0000</t>
  </si>
  <si>
    <t>960DIS0007</t>
  </si>
  <si>
    <t>200SGM0000</t>
  </si>
  <si>
    <t>960FDI0007</t>
  </si>
  <si>
    <t>250DCM0000</t>
  </si>
  <si>
    <t>960LOG0001</t>
  </si>
  <si>
    <t>230DCF0000</t>
  </si>
  <si>
    <t>230DET0008</t>
  </si>
  <si>
    <t>230DET0009</t>
  </si>
  <si>
    <t>230DEX0001</t>
  </si>
  <si>
    <t>230DGE0000</t>
  </si>
  <si>
    <t>230DRH0000</t>
  </si>
  <si>
    <t>930COL0001</t>
  </si>
  <si>
    <t>930DIS0001</t>
  </si>
  <si>
    <t>930FCS0009</t>
  </si>
  <si>
    <t>930FDI0001</t>
  </si>
  <si>
    <t>930FDI0007</t>
  </si>
  <si>
    <t>930FHY0001</t>
  </si>
  <si>
    <t>930FTC0001</t>
  </si>
  <si>
    <t>930LEV0001</t>
  </si>
  <si>
    <t>930LOC0003</t>
  </si>
  <si>
    <t>930LOC0007</t>
  </si>
  <si>
    <t>930SDI0001</t>
  </si>
  <si>
    <t>960LOC0003</t>
  </si>
  <si>
    <t>960LOC0001</t>
  </si>
  <si>
    <t>960FTC0001</t>
  </si>
  <si>
    <t>250DET0001</t>
  </si>
  <si>
    <t>910LOG0001</t>
  </si>
  <si>
    <t>260DGE0000</t>
  </si>
  <si>
    <t>960FDI0001</t>
  </si>
  <si>
    <t>960LEV0001</t>
  </si>
  <si>
    <t>910LOC0003</t>
  </si>
  <si>
    <t>230DSI0000</t>
  </si>
  <si>
    <t>230DSU0000</t>
  </si>
  <si>
    <t>960FCS0009</t>
  </si>
  <si>
    <t>210DCF0000</t>
  </si>
  <si>
    <t>210DSU0000</t>
  </si>
  <si>
    <t>960DIS0001</t>
  </si>
  <si>
    <t>210DRH0000</t>
  </si>
  <si>
    <t>960FSB0001</t>
  </si>
  <si>
    <t>910FDI0007</t>
  </si>
  <si>
    <t>910FDI0001</t>
  </si>
  <si>
    <t>910FTC0001</t>
  </si>
  <si>
    <t>950LEV0001</t>
  </si>
  <si>
    <t>210DSI0000</t>
  </si>
  <si>
    <t>210SGM0000</t>
  </si>
  <si>
    <t>220DET0001</t>
  </si>
  <si>
    <t>220SGM0000</t>
  </si>
  <si>
    <t>250DGE0000</t>
  </si>
  <si>
    <t>910FHY0001</t>
  </si>
  <si>
    <t>910COL0001</t>
  </si>
  <si>
    <t>280DCF0000</t>
  </si>
  <si>
    <t>950FDI0007</t>
  </si>
  <si>
    <t>920FDI0007</t>
  </si>
  <si>
    <t>910FHY0008</t>
  </si>
  <si>
    <t>950FHY0008</t>
  </si>
  <si>
    <t>910FCS0009</t>
  </si>
  <si>
    <t>260DRH0000</t>
  </si>
  <si>
    <t>930FSB0001</t>
  </si>
  <si>
    <t>260DCF0000</t>
  </si>
  <si>
    <t>220DCM0000</t>
  </si>
  <si>
    <t>220DGE0000</t>
  </si>
  <si>
    <t>910FSB0001</t>
  </si>
  <si>
    <t>950FCS0009</t>
  </si>
  <si>
    <t>220DRH0000</t>
  </si>
  <si>
    <t>230DET0003</t>
  </si>
  <si>
    <t>900FHY01</t>
  </si>
  <si>
    <t>900DIS01</t>
  </si>
  <si>
    <t>900FCS09</t>
  </si>
  <si>
    <t>900FTC01</t>
  </si>
  <si>
    <t>900FSB01</t>
  </si>
  <si>
    <t>900COL01</t>
  </si>
  <si>
    <t>900FDI01</t>
  </si>
  <si>
    <t>900LEV01</t>
  </si>
  <si>
    <t>900FDI07</t>
  </si>
  <si>
    <t>900LOC01</t>
  </si>
  <si>
    <t>900SDI01</t>
  </si>
  <si>
    <t>280DEX0001</t>
  </si>
  <si>
    <t>280DCM0000</t>
  </si>
  <si>
    <t>240DCF0000</t>
  </si>
  <si>
    <t>240DET0001</t>
  </si>
  <si>
    <t>240DEX0001</t>
  </si>
  <si>
    <t>240DRH0000</t>
  </si>
  <si>
    <t>240SGM0000</t>
  </si>
  <si>
    <t>240DCM0000</t>
  </si>
  <si>
    <t>240DET0007</t>
  </si>
  <si>
    <t>240DGE0000</t>
  </si>
  <si>
    <t>240DSU0000</t>
  </si>
  <si>
    <t>940COL0001</t>
  </si>
  <si>
    <t>940DIS0001</t>
  </si>
  <si>
    <t>940DIS0007</t>
  </si>
  <si>
    <t>940FCS0009</t>
  </si>
  <si>
    <t>940FDI0001</t>
  </si>
  <si>
    <t>940FDI0007</t>
  </si>
  <si>
    <t>940FHY0001</t>
  </si>
  <si>
    <t>940FHY0008</t>
  </si>
  <si>
    <t>940FSB0001</t>
  </si>
  <si>
    <t>940LEV0001</t>
  </si>
  <si>
    <t>940LOC0001</t>
  </si>
  <si>
    <t>940LOC0003</t>
  </si>
  <si>
    <t>940LOG0001</t>
  </si>
  <si>
    <t>940SDI0001</t>
  </si>
  <si>
    <t>930DIS0007</t>
  </si>
  <si>
    <t>930LOG0001</t>
  </si>
  <si>
    <t>910DIS0001</t>
  </si>
  <si>
    <t>910LEV0001</t>
  </si>
  <si>
    <t>910DIS0007</t>
  </si>
  <si>
    <t>950DIS0007</t>
  </si>
  <si>
    <t>220DET0008</t>
  </si>
  <si>
    <t>220DET0009</t>
  </si>
  <si>
    <t>950DIS0001</t>
  </si>
  <si>
    <t>220DEX0001</t>
  </si>
  <si>
    <t>200DET0001</t>
  </si>
  <si>
    <t>220DET0000</t>
  </si>
  <si>
    <t>900DIS07</t>
  </si>
  <si>
    <t>900FHY08</t>
  </si>
  <si>
    <t>AB</t>
  </si>
  <si>
    <t>ABN BAIL</t>
  </si>
  <si>
    <t>ABN ENREGISTREMENT BAIL BINAO</t>
  </si>
  <si>
    <t>RENARJA</t>
  </si>
  <si>
    <t>ABN CFE M. RENARD</t>
  </si>
  <si>
    <t>ABN LOYER RENARD</t>
  </si>
  <si>
    <t>ABN LOYER M. RENARD LCI</t>
  </si>
  <si>
    <t>ABN LOYER SCI BINAO MARCORY</t>
  </si>
  <si>
    <t>ABN ETB</t>
  </si>
  <si>
    <t>ETB</t>
  </si>
  <si>
    <t>ABN TRANSPORT PERSONNEL ETB</t>
  </si>
  <si>
    <t>VIGASSISTANCE</t>
  </si>
  <si>
    <t>ABN GARDIENNAGE VIGASSISTANCE</t>
  </si>
  <si>
    <t>ABN PATENTE</t>
  </si>
  <si>
    <t xml:space="preserve">ABN PATENTE COMMERCIALE </t>
  </si>
  <si>
    <t>DELOITTE</t>
  </si>
  <si>
    <t>LOYER MAR</t>
  </si>
  <si>
    <t>SCIBINAO</t>
  </si>
  <si>
    <t>ABN LOYER BINAO MARCORY</t>
  </si>
  <si>
    <t>FCL0022</t>
  </si>
  <si>
    <t>LOYER BINAO-LOYER  ANCIEN SITE MARCORY 1ER TRIMESTRE 2025</t>
  </si>
  <si>
    <t>Annulation LOYER BINAO-LOYER  ANCIEN SITE MARCORY 1ER TRIMESTRE 2025</t>
  </si>
  <si>
    <t>FCL0058</t>
  </si>
  <si>
    <t>VIGASSISTANCE-VIGILE JOUR ET NUIT+CHIEN+MAITRE CHIEN/NUIT MOIS DE MAR</t>
  </si>
  <si>
    <t>FCL0059</t>
  </si>
  <si>
    <t>VIGASSISTANCE-VIGILE JOUR ET NUIT MOIS DE MARS</t>
  </si>
  <si>
    <t>FCL0060</t>
  </si>
  <si>
    <t>VIGASSISTANCE-ASSISTANCE ENTREPOTS VERS VOLTAIRE MOIS DE MARS</t>
  </si>
  <si>
    <t>FCL0061</t>
  </si>
  <si>
    <t>VIGASSISTANCE-RONDIER</t>
  </si>
  <si>
    <t>FCL0062</t>
  </si>
  <si>
    <t>Entreprise Tortia et Béatrice-TRANSPORT DU PERSONNEL MOIS DE MARS</t>
  </si>
  <si>
    <t>FCL0063</t>
  </si>
  <si>
    <t>FCL0064</t>
  </si>
  <si>
    <t>LASSIREDECHETS</t>
  </si>
  <si>
    <t xml:space="preserve">LASSIRE DECHETS-RAMASSAGE D'ORDURES MARCORY VOLTAIRE MOIS DE FEVRIER </t>
  </si>
  <si>
    <t>FCL0065</t>
  </si>
  <si>
    <t xml:space="preserve">LASSIRE DECHETS-RAMASSAGE D'ORDURES AERIA 2 MOIS DE FEVRIER </t>
  </si>
  <si>
    <t>FCL0066</t>
  </si>
  <si>
    <t>LOCATEC</t>
  </si>
  <si>
    <t>LOCATEC-LOCATION PHOTOCOPIEUR MOIS DE FEVRIER</t>
  </si>
  <si>
    <t>FCL0068</t>
  </si>
  <si>
    <t>ORANGECI</t>
  </si>
  <si>
    <t>ORANGE CI-LSI MOIS DE MARS</t>
  </si>
  <si>
    <t>FCL0069</t>
  </si>
  <si>
    <t>ORANGE CI-FRAIS DE TELEPHONE MOIS DE FEV</t>
  </si>
  <si>
    <t>FCL0070</t>
  </si>
  <si>
    <t>OFFICEBUREAU</t>
  </si>
  <si>
    <t>OFFICE BUREAU-SURLIGNEUR+MARQUEUR+CAHIER+AGRAFFEUSE</t>
  </si>
  <si>
    <t>FCL0071</t>
  </si>
  <si>
    <t>LAVIVA</t>
  </si>
  <si>
    <t>LAVIVA-RECHARGES DE BONBONNES D'EAU PURIFIEE MOIS DE FEVRIER</t>
  </si>
  <si>
    <t>FCL0100</t>
  </si>
  <si>
    <t>CL/21/03-25</t>
  </si>
  <si>
    <t>NOTE DE DEBIT FACTURE PHYTO CENTAURES VOLTAIRE MOIS DE FEVRIER 25</t>
  </si>
  <si>
    <t>LCR</t>
  </si>
  <si>
    <t>Annulation NOTE DE DEBIT FACTURE PHYTO CENTAURES VOLTAIRE MOIS DE FEV</t>
  </si>
  <si>
    <t>FCL0074</t>
  </si>
  <si>
    <t>0237-2025</t>
  </si>
  <si>
    <t>LCI</t>
  </si>
  <si>
    <t>LCI-LOYER RENARD 2E TRIMESTRE 25</t>
  </si>
  <si>
    <t>FCL0075</t>
  </si>
  <si>
    <t>FM094888</t>
  </si>
  <si>
    <t>RMO</t>
  </si>
  <si>
    <t>RMO-PRESTATIONS RESSOURCES HUMAINES MOIS DE FEVRIER</t>
  </si>
  <si>
    <t>FCL0076</t>
  </si>
  <si>
    <t>FM095383</t>
  </si>
  <si>
    <t>FCL0077</t>
  </si>
  <si>
    <t>EXCELIAM</t>
  </si>
  <si>
    <t>EXCELIAM-PRESTATIONS RESSOURCES HUMAINES MOIS DE FEVRIER</t>
  </si>
  <si>
    <t>FCL0078</t>
  </si>
  <si>
    <t>FCL0079</t>
  </si>
  <si>
    <t>FC2500324</t>
  </si>
  <si>
    <t>ADEMAT</t>
  </si>
  <si>
    <t>ADEMAT -LOCATION GROUPE ELECTROGENE HEURE DE FONCTIONNEMENT</t>
  </si>
  <si>
    <t>FCR0080</t>
  </si>
  <si>
    <t>MDHCI</t>
  </si>
  <si>
    <t>MDHCI-ACHAT ENSEMBLE EQUIPEMENT</t>
  </si>
  <si>
    <t>FCL0081</t>
  </si>
  <si>
    <t>MDHCI-LUNETTE</t>
  </si>
  <si>
    <t>FCL0082</t>
  </si>
  <si>
    <t>FCL0083</t>
  </si>
  <si>
    <t>CIE</t>
  </si>
  <si>
    <t>CIE, Frs d'électricité/RENARD DU 04/01/2025 AU 04/03/2025</t>
  </si>
  <si>
    <t>FCL0089</t>
  </si>
  <si>
    <t>FOURNISDIVERS</t>
  </si>
  <si>
    <t>ETS KABORE TANGA-BACHES CONFECTIONNEES</t>
  </si>
  <si>
    <t>FCL0090</t>
  </si>
  <si>
    <t>PHYTOCENTER</t>
  </si>
  <si>
    <t>PHYTO CENTER-TRAITEMENT DERATISATION AERIA 2 MOIS DE MARS</t>
  </si>
  <si>
    <t>FCL0092</t>
  </si>
  <si>
    <t>SODECI</t>
  </si>
  <si>
    <t>SODECI-RENARD NOV,DEC 24 ET JANVIER 25</t>
  </si>
  <si>
    <t>FCL0091</t>
  </si>
  <si>
    <t>IVOIRETONER</t>
  </si>
  <si>
    <t>IVOIRE TONER-TONER HP</t>
  </si>
  <si>
    <t>FCL0093</t>
  </si>
  <si>
    <t>OFFICE BUREAU-AGRAFFEUSE+SURLIGNEUR+MARQUEUR</t>
  </si>
  <si>
    <t>FCL0094</t>
  </si>
  <si>
    <t>CEPEM</t>
  </si>
  <si>
    <t>CEPEM-ENTRETIEN SPLIT MOIS DE MARS</t>
  </si>
  <si>
    <t>FCL0050</t>
  </si>
  <si>
    <t>CL/08/02-25</t>
  </si>
  <si>
    <t>PAIEMENT INTERCO-CHEQUE N°0000520 ALL IN ONE</t>
  </si>
  <si>
    <t>FCL0085</t>
  </si>
  <si>
    <t>CL/12/03-25</t>
  </si>
  <si>
    <t>NOTE DE DEBIT-FACTURE CIE CLOG SAN-PEDRO DU 04/12/24 AU 04/02/25</t>
  </si>
  <si>
    <t>FCL0086</t>
  </si>
  <si>
    <t>CL/13/03-25</t>
  </si>
  <si>
    <t>NOTE DE DEBIT-FACTURE CIE CLOG MARCORY MOIS DE JANVIER</t>
  </si>
  <si>
    <t>FCL0088</t>
  </si>
  <si>
    <t>CL/15/02-25</t>
  </si>
  <si>
    <t>GEDIMAT</t>
  </si>
  <si>
    <t>PAIEMENT INTERCO-VIREMENT SGCI GEDIMAT</t>
  </si>
  <si>
    <t>FCL0087</t>
  </si>
  <si>
    <t>CL/14/03-25</t>
  </si>
  <si>
    <t>NOTE DE DEBIT-FACTURE SODECI CLOG MARCORY MOIS DE JANVIER</t>
  </si>
  <si>
    <t>NOTE DE DEBIT-FACTURE PHYTO CENTER VOLTAIRE MOIS DE FEV</t>
  </si>
  <si>
    <t>FCL0101</t>
  </si>
  <si>
    <t>CL/22/03-25</t>
  </si>
  <si>
    <t>NOTE DE DEBIT-FACTURE PHYTO CENTER MARC EX ATELIERS MOIS DE FEV</t>
  </si>
  <si>
    <t>FCL0095</t>
  </si>
  <si>
    <t>CL/16/03-25</t>
  </si>
  <si>
    <t>NOTE DE DEBIT-REFACTURAT° FACTURE TOTAL ENERGIES POUR BUTANE CHARGE</t>
  </si>
  <si>
    <t>FCL0096</t>
  </si>
  <si>
    <t>CL/17/03-25</t>
  </si>
  <si>
    <t>NOTE DE DEBIT-FACTURE COMATEC/LOCATION DE CHARIOT DE SEPT A DEC 2024</t>
  </si>
  <si>
    <t>FCL0097</t>
  </si>
  <si>
    <t>CL/18/03-25</t>
  </si>
  <si>
    <t>NOTE DE DEBIT-FACTURE COMATEC/LOCATION DE CHARIOT MOIS DE JANVIER 25</t>
  </si>
  <si>
    <t>FCL0098</t>
  </si>
  <si>
    <t>CL/19/03-25</t>
  </si>
  <si>
    <t>NOTE DE DEBIT-FACTURE COMATEC/LOCATION DE CHARIOT MOIS DE FEVRIER 25</t>
  </si>
  <si>
    <t>FCL0111</t>
  </si>
  <si>
    <t>CL/25/03-25</t>
  </si>
  <si>
    <t xml:space="preserve">PAIEMENT INTERCO-CONSULTATION OPHTAMOLOGIQUE POUR SALARIE ACCIDENTE </t>
  </si>
  <si>
    <t>FCL0099</t>
  </si>
  <si>
    <t>CL/20/03-25</t>
  </si>
  <si>
    <t>PAIEMENT INTERCO-RECHARGEMENT BOX INTERNET ORANGE CLOG</t>
  </si>
  <si>
    <t>PAIEMENT INTERCO-RECHARGEMENT BOX INTERNET INTERNET MTN HUB LOGISTQ</t>
  </si>
  <si>
    <t>SITABINDUSTRIES</t>
  </si>
  <si>
    <t>SITAB INDUSTRIES/RGLT FACT FEVRIER</t>
  </si>
  <si>
    <t>FCL0110</t>
  </si>
  <si>
    <t>CL/23/03-25</t>
  </si>
  <si>
    <t>PAIEMENT INTERCO-PRIME DE STAGE CLOG MARS 2025</t>
  </si>
  <si>
    <t>NS</t>
  </si>
  <si>
    <t>SATOCI</t>
  </si>
  <si>
    <t>CHQ 7572020 SATOCI</t>
  </si>
  <si>
    <t>PROMASTER</t>
  </si>
  <si>
    <t>CHQ 7572021 PROMASTER</t>
  </si>
  <si>
    <t>CHQ 7572022 LOCATEC</t>
  </si>
  <si>
    <t>Extourne FOURNISSEURS DIVERS-SUIVANT RECLASSEMENT AVANCE</t>
  </si>
  <si>
    <t>Extourne SUIVANT RECLASSEMENT AVANCE</t>
  </si>
  <si>
    <t>Extourne COMATEC-SUIVANT FACTURE MOIS DE SEPT,OCT,NOV ET DEC 2024</t>
  </si>
  <si>
    <t>Extourne COMATEC-SUIVANT FNP MOIS DE JANVIER 25</t>
  </si>
  <si>
    <t>Extourne COMATEC-SUIVANT FNP MOIS DE FEVRIER 25</t>
  </si>
  <si>
    <t>Extourne PROVISION LAVIVA ACHAT DE BONBONNES D'EAU</t>
  </si>
  <si>
    <t>Extourne PROVISION LASSIRE RAMASSAGE ORDURES</t>
  </si>
  <si>
    <t xml:space="preserve">Extourne PROVISION RMO </t>
  </si>
  <si>
    <t>Extourne PROVISION RMO</t>
  </si>
  <si>
    <t>Extourne PROVISION EXCELIAM INTERIM</t>
  </si>
  <si>
    <t>Extourne REGUL CAFF CA_ logistique contractuelle FEVRIER</t>
  </si>
  <si>
    <t>Extourne REGUL CAFF</t>
  </si>
  <si>
    <t xml:space="preserve"> DECLARATION ITS MARS 2025</t>
  </si>
  <si>
    <t xml:space="preserve"> DECLARATION FDFP MARS 2025</t>
  </si>
  <si>
    <t>DECLARATION CNPS MARS 2025</t>
  </si>
  <si>
    <t>LOCATION</t>
  </si>
  <si>
    <t>PROVISION LOCATION VEHICULE SABINE DIARRASSOUBA ET PAUL AMANI</t>
  </si>
  <si>
    <t>PROVISION CONSOMMATIONS CARBURANT CLOG MARS 2025</t>
  </si>
  <si>
    <t>PROVISION LAVIVA ACHAT DE BONBONNES D'EAU</t>
  </si>
  <si>
    <t>PROVISION LASSIRE RAMASSAGE ORDURES</t>
  </si>
  <si>
    <t>PROVISION ORANGE CI/FRAIS DE TELEPHONE MARS 2025</t>
  </si>
  <si>
    <t>M 02/2024</t>
  </si>
  <si>
    <t>LCI-SUIVANR RECLASSEMENT LOYER RENARD 1ER TRIMESTRE</t>
  </si>
  <si>
    <t>AMORT LICENCES &amp; BREVETS MARS</t>
  </si>
  <si>
    <t>AMORT AMENAGEMENT &amp; INSTALLATION MARS</t>
  </si>
  <si>
    <t>AMORT MATERIEL &amp; OUTILLAGE MARS</t>
  </si>
  <si>
    <t>AMORT MATERIEL &amp; MOBILIER MARS</t>
  </si>
  <si>
    <t>AMORT MATERIEL INFORMATIQUE MARS</t>
  </si>
  <si>
    <t>DOTATIONS AUX AMORTISSEMENTS INCORPORELLEES MARS</t>
  </si>
  <si>
    <t>DOTATIONS AUX AMORTISSEMENTS CORPORELLEES MARS</t>
  </si>
  <si>
    <t>BKSYSTEMES</t>
  </si>
  <si>
    <t>BK SYSTEME-SUIVANT ECART/REGLEMENT</t>
  </si>
  <si>
    <t>COMPL DECLARATION ITS MARS 2025</t>
  </si>
  <si>
    <t>LALAVANDIERE</t>
  </si>
  <si>
    <t>PROVISION LA LAVANDIERE-NETTOYAGE ET ENTRETIEN</t>
  </si>
  <si>
    <t xml:space="preserve">PROVISION RMO </t>
  </si>
  <si>
    <t>PROVISION RMO</t>
  </si>
  <si>
    <t>PROVISION EXCELIAM INTERIM</t>
  </si>
  <si>
    <t>REGUL CAFF  MARS 25</t>
  </si>
  <si>
    <t xml:space="preserve">REGUL CAFF </t>
  </si>
  <si>
    <t>REGUL CAFF  CA_ logistique contractuelle</t>
  </si>
  <si>
    <t>COMATEC-PROVISION FACTURE MOIS DE MARS</t>
  </si>
  <si>
    <t>PA</t>
  </si>
  <si>
    <t>PAIE 03/2025</t>
  </si>
  <si>
    <t>SALAIRE CENTAURES LOGISTIQUE MARS 2025</t>
  </si>
  <si>
    <t>SG</t>
  </si>
  <si>
    <t>CHQ 1987486 PHYTO CENTER</t>
  </si>
  <si>
    <t>CHQ 1987479 POLYCLINIQUE DE L'INDENIE</t>
  </si>
  <si>
    <t>BULTEAUSYST</t>
  </si>
  <si>
    <t>CHQ 1987126 BULTEAU SYSTEMS</t>
  </si>
  <si>
    <t>BMONEC</t>
  </si>
  <si>
    <t>CHQ 1987127 BUREAU DE MAIN D'OEUVRE OCCASIONNELLE DE NETTOYAGE D'ENTR</t>
  </si>
  <si>
    <t>CHQ 1987128 LA LAVANDIERE</t>
  </si>
  <si>
    <t>CHQ 1987480 LCI</t>
  </si>
  <si>
    <t>WIRELESSDEVICE</t>
  </si>
  <si>
    <t>CHQ 1987481 WIRELESS DEVICE TECHNOLOGIE</t>
  </si>
  <si>
    <t>CHQ 1987482 LASSIRE DECHETS</t>
  </si>
  <si>
    <t>CHQ 1987483 IVOIRE TONER</t>
  </si>
  <si>
    <t>CHQ 1987484 Entreprise Tortia et Béatrice</t>
  </si>
  <si>
    <t>CHQ 1987485 CEPEM</t>
  </si>
  <si>
    <t>RETOUR VIREMENT NESTLE</t>
  </si>
  <si>
    <t>CLIENTSDIVERS</t>
  </si>
  <si>
    <t>CHQ 1987130 EXCELIAM</t>
  </si>
  <si>
    <t>CHQ 1987487 DELOITTE</t>
  </si>
  <si>
    <t>CHQ 1987129 RMO</t>
  </si>
  <si>
    <t>CHQ 1987488 CNPS_ prestations familiales</t>
  </si>
  <si>
    <t>CHQ 1987488 CNPS_ accident de travail</t>
  </si>
  <si>
    <t>CHQ 1987488 CNPS_Caisse de retraite</t>
  </si>
  <si>
    <t>CHQ 19874490 IPS-CNAM</t>
  </si>
  <si>
    <t>VIREMENT RECU LCR</t>
  </si>
  <si>
    <t>FRAIS DE FORCAGE</t>
  </si>
  <si>
    <t>CHQ 1987492 ORANGE CI</t>
  </si>
  <si>
    <t>CHQ 1987491 CIE, Frs d'électricité</t>
  </si>
  <si>
    <t>C REM CHQ 1605390 IDIS</t>
  </si>
  <si>
    <t>VIREMENT SALAIRE LCR MARS 25</t>
  </si>
  <si>
    <t>GROUPECENTAURES</t>
  </si>
  <si>
    <t>VIREMENT SALAIRE GC MARS 25</t>
  </si>
  <si>
    <t>FRAIS / VIREMENT</t>
  </si>
  <si>
    <t>FACTURATION PACK IBE PREMIUM</t>
  </si>
  <si>
    <t>VIREMENT SALAIRE CLOG MARS 25</t>
  </si>
  <si>
    <t>AZELIS</t>
  </si>
  <si>
    <t>VIREMENT RECU AZELIS CI</t>
  </si>
  <si>
    <t>CHQ 1987131 SALAIRE CLOG MARS 25</t>
  </si>
  <si>
    <t>CHQ 1987132 SALAIRE CLOG MARS 25</t>
  </si>
  <si>
    <t>CHQ 1987133 SALAIRE CLOG MARS 25</t>
  </si>
  <si>
    <t>AGIOS MARS 25</t>
  </si>
  <si>
    <t>VE</t>
  </si>
  <si>
    <t>CELUSA/PRESTATIONS LOGISTIQUES MOIS DE FEVRIER</t>
  </si>
  <si>
    <t>AV FACT SITAB INDUSTRIES</t>
  </si>
  <si>
    <t>IDIS/PRESTATIONS LOGISTIQUES MOIS DE FEVRIER</t>
  </si>
  <si>
    <t>SITABSA</t>
  </si>
  <si>
    <t>SITAB SA/PRESTATIONS LOGISTIQUES MOIS DE FEVRIER</t>
  </si>
  <si>
    <t>CELUSA/PRESTATIONS LOGISTIQUES MOIS DE MARS</t>
  </si>
  <si>
    <t>TRACTRAFRIC/PRESTATIONS LOGISTIQUES MOIS DE MARS</t>
  </si>
  <si>
    <t>AZELIS CI/PRESTATIONS LOGISTIQUES MOIS DE MARS</t>
  </si>
  <si>
    <t>SONOCO</t>
  </si>
  <si>
    <t>SON OPTIQUE COMPAGNIE/PRESTATIONS LOGISTIQUES MOIS DE MARS</t>
  </si>
  <si>
    <t>RACE AFRICA/PRESTATIONS LOGISTIQUES MOIS DE MARS</t>
  </si>
  <si>
    <t>EUROLAIT/PRESTATIONS LOGISTIQUES MOIS DE MARS</t>
  </si>
  <si>
    <t>SITAB SA/PRESTATIONS LOGISTIQUES MOIS DE MARS</t>
  </si>
  <si>
    <t>NESTLE/PRESTATIONS LOGISTIQUES MOIS DE MARS</t>
  </si>
  <si>
    <t>SECTION</t>
  </si>
  <si>
    <t>960CCL0000</t>
  </si>
  <si>
    <t>940CCL0000</t>
  </si>
  <si>
    <t>960SIT0031</t>
  </si>
  <si>
    <t>960NES0031</t>
  </si>
  <si>
    <t>930SOL0011</t>
  </si>
  <si>
    <t>950SOL0011</t>
  </si>
  <si>
    <t>960MAR0021</t>
  </si>
  <si>
    <t>960SOL0011</t>
  </si>
  <si>
    <t>930CCL0000</t>
  </si>
  <si>
    <t>960EUR0003</t>
  </si>
  <si>
    <t>910NES0031</t>
  </si>
  <si>
    <t>910SIT0031</t>
  </si>
  <si>
    <t>910MAR0021</t>
  </si>
  <si>
    <t>940NES0031</t>
  </si>
  <si>
    <t>920SOL0011</t>
  </si>
  <si>
    <t>900SOL0011</t>
  </si>
  <si>
    <t>900EUR0007</t>
  </si>
  <si>
    <t>900MAR0021</t>
  </si>
  <si>
    <t>900NES0021</t>
  </si>
  <si>
    <t>900SIT0031</t>
  </si>
  <si>
    <t>930EUR0003</t>
  </si>
  <si>
    <t>930EUR0007</t>
  </si>
  <si>
    <t>930MAR0021</t>
  </si>
  <si>
    <t>930NES0021</t>
  </si>
  <si>
    <t>960EUR0007</t>
  </si>
  <si>
    <t>940SOL0011</t>
  </si>
  <si>
    <t>ABN ASSURANCE MRP</t>
  </si>
  <si>
    <t>ABN IMPOT FONCIER AERIA 2</t>
  </si>
  <si>
    <t>ABN LOYER</t>
  </si>
  <si>
    <t>ABN REDEVANCE DOMANIALE/LOYER AERIA</t>
  </si>
  <si>
    <t>ABN KH ASSURANCE MULTIRIQ IMMEUBLE</t>
  </si>
  <si>
    <t>FLAV0013</t>
  </si>
  <si>
    <t>25FA0530</t>
  </si>
  <si>
    <t>K H ASSUREURS- CONSEILS/ASSURANCE MULTIRISQUE 2025</t>
  </si>
  <si>
    <t>FLAV0006</t>
  </si>
  <si>
    <t>SOCOTEC AFRICA-CONSTRUCTION EN COURS MOIS OCT-NOV-DEC</t>
  </si>
  <si>
    <t>FLAV0004</t>
  </si>
  <si>
    <t>COCITAM-CONTRUCTION EN COURS</t>
  </si>
  <si>
    <t>FLAV0016</t>
  </si>
  <si>
    <t>COCITAM-VERIFICATION EXTINCTEURS</t>
  </si>
  <si>
    <t>FLAV0018</t>
  </si>
  <si>
    <t>OBTIMA-DET/OPC JANVIER 2025</t>
  </si>
  <si>
    <t>FLAV0019</t>
  </si>
  <si>
    <t>OBTIMA-DET/OPC FEVRIER 2025</t>
  </si>
  <si>
    <t>FLAV0017</t>
  </si>
  <si>
    <t>25/1908</t>
  </si>
  <si>
    <t>DELOITTE-FACTURAT° HONORAIRES UDIT INDEPENDANT 2024</t>
  </si>
  <si>
    <t>FLAV0021</t>
  </si>
  <si>
    <t>NANGO SIDIKI-VIDANGE SCEPTIQUE</t>
  </si>
  <si>
    <t>FLAV0023</t>
  </si>
  <si>
    <t>FLAV0024</t>
  </si>
  <si>
    <t>FLAV0025</t>
  </si>
  <si>
    <t>EAF SERVICES-ALIMENTATION EN EAU POTABLE EN COURS</t>
  </si>
  <si>
    <t>FLAV0026</t>
  </si>
  <si>
    <t>FLAV0027</t>
  </si>
  <si>
    <t>FLAV0028</t>
  </si>
  <si>
    <t>NANGO SIDIKI-VIDANGE FOSSE SCEPTIQUE DU 21/02/2025</t>
  </si>
  <si>
    <t>BQ4</t>
  </si>
  <si>
    <t xml:space="preserve">Annulation CHQ 7971000 RECEVEUR DES IMPOTS </t>
  </si>
  <si>
    <t xml:space="preserve">Annulation  CHQ 5922537 RECEVEUR DES IMPOTS </t>
  </si>
  <si>
    <t>ECHEANCE PRÊT COM 952392 009/036</t>
  </si>
  <si>
    <t>ECHEANCE PRET 007/034 975840</t>
  </si>
  <si>
    <t>VIREMENT PPSI DEC 2024</t>
  </si>
  <si>
    <t xml:space="preserve">CHQ 5921836 RECEVEUR DES IMPOTS </t>
  </si>
  <si>
    <t xml:space="preserve">Annulation CHQ 5921836 RECEVEUR DES IMPOTS </t>
  </si>
  <si>
    <t>VIREMENT Etat, impôt foncier 25</t>
  </si>
  <si>
    <t>FLAV0022</t>
  </si>
  <si>
    <t>SCIL/05/03-25</t>
  </si>
  <si>
    <t>PAIEMENT INTERCO-PENALITE/CHEQUE REVENU IMPAYE SCI LAVION</t>
  </si>
  <si>
    <t>PAIEMENT INTERCO CHEQ N°963 NANGO SIDIKI</t>
  </si>
  <si>
    <t>PAIEMENT INTERCO-ACHAT DE GERFLEXE ET POT DE COLLE SNPC</t>
  </si>
  <si>
    <t>Extourne DELOITTE-PROVISION HONRAIRES CAC 2024</t>
  </si>
  <si>
    <t>DECLARATION FONCIERE 2025</t>
  </si>
  <si>
    <t>Extourne Extourne Extourne REGUL CAFF Recette location de surface</t>
  </si>
  <si>
    <t>PROVISION ASSISTANCE TECHNIQUE MARS 2025 GC</t>
  </si>
  <si>
    <t>MF 03/2025</t>
  </si>
  <si>
    <t>AMORTISSEMENTS DU DROIT AU BAIL MARS</t>
  </si>
  <si>
    <t>AMORTISSEMENT BATIMENT MODULAIRE ET INST MARS</t>
  </si>
  <si>
    <t>AMORTISSEMENT INSTALLATION MAT MARS</t>
  </si>
  <si>
    <t>DOTATIONS AUX AMORTISSEMENTS INCORPORELLES MARS</t>
  </si>
  <si>
    <t>DOTATIONS AUX AMORTISSEMENTS CORPORELLES MARS</t>
  </si>
  <si>
    <t>REGUL CAFF Recette location de surface</t>
  </si>
  <si>
    <t>C I E/SUIVANT FNP MOIS DE MARS</t>
  </si>
  <si>
    <t>CFAOAERIA2</t>
  </si>
  <si>
    <t>CFAO Motors_aeria2/ mise a disposition surface periode 01-04 au 30-06</t>
  </si>
  <si>
    <t>IDIS</t>
  </si>
  <si>
    <t>Ivoirienne de DIStribution/Mise a disposition periode 01-04 au 30-06</t>
  </si>
  <si>
    <t>ABN HUMANIS</t>
  </si>
  <si>
    <t>ABN APRIL OD</t>
  </si>
  <si>
    <t>ABN CFE OLIVIER DELSUC</t>
  </si>
  <si>
    <t>ABN FISCAL</t>
  </si>
  <si>
    <t>ABN FISCAL CIFIDEC</t>
  </si>
  <si>
    <t>ABN ADM BD</t>
  </si>
  <si>
    <t>ABN FRAIS REPRESENTATION BD</t>
  </si>
  <si>
    <t>ABN GARD OD</t>
  </si>
  <si>
    <t>ABN GARDIENNAGE OD</t>
  </si>
  <si>
    <t xml:space="preserve">ABN IMF </t>
  </si>
  <si>
    <t>ABN PATCOM</t>
  </si>
  <si>
    <t>ABN PATENTE COMMERCIALE</t>
  </si>
  <si>
    <t>ETAT301</t>
  </si>
  <si>
    <t>ABN-LOYER OD</t>
  </si>
  <si>
    <t>Abonnement loyer DG</t>
  </si>
  <si>
    <t>LCR-LOYER</t>
  </si>
  <si>
    <t>ABN loyer batiment</t>
  </si>
  <si>
    <t>ABN LA RESIDENCE</t>
  </si>
  <si>
    <t>ABN CORPORATE LA RESIDENCE</t>
  </si>
  <si>
    <t>ACH</t>
  </si>
  <si>
    <t>FGC0020</t>
  </si>
  <si>
    <t>25/1828</t>
  </si>
  <si>
    <t>Deloitte, CAC-FACTURATION AUGMENTATION DE CAPITAL</t>
  </si>
  <si>
    <t>FGC0024</t>
  </si>
  <si>
    <t>VAGASSISTANCE</t>
  </si>
  <si>
    <t>VIGASSISTANCE-ASSISTANCE VILLA BD MOIS DE MARS</t>
  </si>
  <si>
    <t>ADMBERTRANDDELSUC</t>
  </si>
  <si>
    <t>FGC0025</t>
  </si>
  <si>
    <t>VIGASSISTANCE-ASSISTANCE VILLA OD MOIS DE MARS</t>
  </si>
  <si>
    <t>FGC0028</t>
  </si>
  <si>
    <t>LARESIDENCE</t>
  </si>
  <si>
    <t>LA residence-ABONNEMENT CORPORATE ANNEE 2025</t>
  </si>
  <si>
    <t>FGC0029</t>
  </si>
  <si>
    <t>S0015674</t>
  </si>
  <si>
    <t>BLAISEPASCAL</t>
  </si>
  <si>
    <t>Lycée Français Blaise Pascal-FRAIS D'ACTIVITES EXTRA-SCOLAIRES ENFT D</t>
  </si>
  <si>
    <t>BAN</t>
  </si>
  <si>
    <t>CHQ 0000351 RECEVEUR DES IMPOTS FDFP JAN 25</t>
  </si>
  <si>
    <t>CHQ 0000352 RECEVEUR DES IMPOTS FDFP DEC 24</t>
  </si>
  <si>
    <t>CHQ 0000353 Deloitte, CAC</t>
  </si>
  <si>
    <t>VIREMENT interet courru sur emprunt BD 750M</t>
  </si>
  <si>
    <t xml:space="preserve"> VIREMENT interet courru emprunt AMD 750M</t>
  </si>
  <si>
    <t>TNP</t>
  </si>
  <si>
    <t>CHQ 0000354 TNP coute d'ivoire</t>
  </si>
  <si>
    <t>BAN02</t>
  </si>
  <si>
    <t>CHQ 4851275 VIGASSISTANCE</t>
  </si>
  <si>
    <t>CHQ 4851263 Lycée Français Blaise Pascal</t>
  </si>
  <si>
    <t xml:space="preserve">VIREMENT RECU DE LCR </t>
  </si>
  <si>
    <t>25-FGC0026</t>
  </si>
  <si>
    <t>TNP- PRESTATION PROJET D'ACCOMPAGNEMENT</t>
  </si>
  <si>
    <t>FGC0030</t>
  </si>
  <si>
    <t>GCS/10/03-25</t>
  </si>
  <si>
    <t>NOTE DE DEBIT-FACTURE CIE BD DU 04/12/24 AU 04/02/25</t>
  </si>
  <si>
    <t>FGC0031</t>
  </si>
  <si>
    <t>GCS/11/03-25</t>
  </si>
  <si>
    <t>NOTE DE DEBIT-FACTURE CIE OD DU 04/12/24 AU 04/02/25</t>
  </si>
  <si>
    <t>FGC0032</t>
  </si>
  <si>
    <t>GCS/12/03-25</t>
  </si>
  <si>
    <t>NOTE DE DEBIT-FACTURE SODECI SEPT,OCT ET DEC</t>
  </si>
  <si>
    <t>FGC0033</t>
  </si>
  <si>
    <t>GCS/13/03-25</t>
  </si>
  <si>
    <t>NOTE DE DEBIT-FACTURE SODECI BD SEPT,OCT ET DEC</t>
  </si>
  <si>
    <t>FGC0040</t>
  </si>
  <si>
    <t>GCS//24/03-25</t>
  </si>
  <si>
    <t>PAIEMENT INTERCO-AC ET SIGNATURE DU REGISTRE DES BENEFICIAIRES GC</t>
  </si>
  <si>
    <t>FGC0034</t>
  </si>
  <si>
    <t>GCS/14/03-25</t>
  </si>
  <si>
    <t>PAIEMENT INTERCO-VIREMENT SGCI LA RESIDENCE LE 04/03/2025</t>
  </si>
  <si>
    <t>PAIEMENT INTERCO-REGULARISAT° RC GROUPE CENTAURES+FACILITA°AGENT TCA+</t>
  </si>
  <si>
    <t>PAIEMENT INTERCO-FRAIS DE MISSION BORIS COULIBALY POUR LE CMTL BOUAKE</t>
  </si>
  <si>
    <t>FGC0039</t>
  </si>
  <si>
    <t>GCS/23/03-25</t>
  </si>
  <si>
    <t>PAIEMENT INTERCO-VIREMENT SALAIRE GC DU 26/03/2025</t>
  </si>
  <si>
    <t>CIHL</t>
  </si>
  <si>
    <t>FGC0035</t>
  </si>
  <si>
    <t>GCS/21/03-25</t>
  </si>
  <si>
    <t>PAIEMENT INTERCO-DOTATION CARBURANT ROXANE FEV ET MARS 25</t>
  </si>
  <si>
    <t>PAIEMENT INTERCO-ACHAT PARAPHER POUR REGISTRE GC</t>
  </si>
  <si>
    <t>FGC0038</t>
  </si>
  <si>
    <t>GCS/22/03-25</t>
  </si>
  <si>
    <t>MONDIALV</t>
  </si>
  <si>
    <t>PAIEMENT INTERCO-CHQ000626 GTTP MONDIAL VOYAGE DU 25/03/2025</t>
  </si>
  <si>
    <t>FRAIS DE REPRESENTATION BD</t>
  </si>
  <si>
    <t>PROVISION INTERETS COURUS EXODUS MARS 2025</t>
  </si>
  <si>
    <t>PROVISION INTERET COURUS SUR EMPRUNT AMD 750M MARS 2025</t>
  </si>
  <si>
    <t>PROVISION INTERET COURUS SUR EMPRUNT BD 750M MARS 2025</t>
  </si>
  <si>
    <t>PROVISION INTERET EMPRUNT LCR MARS 2025</t>
  </si>
  <si>
    <t>DECLARATION ITS MARS 2025</t>
  </si>
  <si>
    <t>INTERET COURUS SUR EMPRUNT BD BBG 500M MARS 2025</t>
  </si>
  <si>
    <t>PROVISION INTERETS COURUS SIPO MARS 2025</t>
  </si>
  <si>
    <t>PROVISION CONSOMMATION CARBURANT MARS 2025</t>
  </si>
  <si>
    <t>PROVISION CONSO TELEPHONE FEVRIER 2025</t>
  </si>
  <si>
    <t>Annulation DECLARATION PATENTE COMMERCIALE 2025</t>
  </si>
  <si>
    <t>AMORTISSEMENT SITE INTERNET MARS</t>
  </si>
  <si>
    <t>AMORTISSEMENT MATERIEL ET OUTILLAGE MARS</t>
  </si>
  <si>
    <t>AMORTISSEMENT MATERIEL ET MOBILIER MARS</t>
  </si>
  <si>
    <t>DOTATION AUX AMORTISSEMENT INCORPORELLE MARS</t>
  </si>
  <si>
    <t>DOTATION AUX AMORTISSEMENT CORPORELLE MARS</t>
  </si>
  <si>
    <t>PROVISION INTERETS COURUS EXODUS 350M JANV A MARS 2025</t>
  </si>
  <si>
    <t>SALAIRE GROUPE CENTAURES MARS 2025</t>
  </si>
  <si>
    <t>AUGUSTINFOFFIE</t>
  </si>
  <si>
    <t>EMMANUELLENGUESSA</t>
  </si>
  <si>
    <t>GUILLAUMELAROSSE</t>
  </si>
  <si>
    <t>HAMZADRAME</t>
  </si>
  <si>
    <t>900PAF0000</t>
  </si>
  <si>
    <t>Total 16202001</t>
  </si>
  <si>
    <t>Total 16203000</t>
  </si>
  <si>
    <t>Total 16204000</t>
  </si>
  <si>
    <t>Total 16205000</t>
  </si>
  <si>
    <t>Total 16206000</t>
  </si>
  <si>
    <t>Total 16860000</t>
  </si>
  <si>
    <t>Total 17300017</t>
  </si>
  <si>
    <t>Total 17300018</t>
  </si>
  <si>
    <t>Total 17300019</t>
  </si>
  <si>
    <t>Total 17300020</t>
  </si>
  <si>
    <t>Total 17300021</t>
  </si>
  <si>
    <t>Total 17300022</t>
  </si>
  <si>
    <t>Total 17300024</t>
  </si>
  <si>
    <t>Total 17300025</t>
  </si>
  <si>
    <t>Total 17300026</t>
  </si>
  <si>
    <t>Total 17300027</t>
  </si>
  <si>
    <t>Total 17300028</t>
  </si>
  <si>
    <t>Total 17300029</t>
  </si>
  <si>
    <t>Total 17300031</t>
  </si>
  <si>
    <t>Total 17300032</t>
  </si>
  <si>
    <t>Total 17300034</t>
  </si>
  <si>
    <t>Total 17300036</t>
  </si>
  <si>
    <t>Total 17300037</t>
  </si>
  <si>
    <t>Total 17300039</t>
  </si>
  <si>
    <t>Total 17300040</t>
  </si>
  <si>
    <t>Total 17300041</t>
  </si>
  <si>
    <t>Total 17300042</t>
  </si>
  <si>
    <t>Total 17300043</t>
  </si>
  <si>
    <t>Total 17300044</t>
  </si>
  <si>
    <t>Total 17300045</t>
  </si>
  <si>
    <t>Total 17300046</t>
  </si>
  <si>
    <t>Total 17300047</t>
  </si>
  <si>
    <t>Total 17300048</t>
  </si>
  <si>
    <t>Total 17300049</t>
  </si>
  <si>
    <t>Total 19610000</t>
  </si>
  <si>
    <t>Total 23510000</t>
  </si>
  <si>
    <t>Total 23800000</t>
  </si>
  <si>
    <t>Total 24410000</t>
  </si>
  <si>
    <t>Total 24420000</t>
  </si>
  <si>
    <t>Total 24700000</t>
  </si>
  <si>
    <t>Total 24951000</t>
  </si>
  <si>
    <t>Total 27500000</t>
  </si>
  <si>
    <t>Total 27500200</t>
  </si>
  <si>
    <t>Total 28131000</t>
  </si>
  <si>
    <t>Total 28140000</t>
  </si>
  <si>
    <t>Total 28240000</t>
  </si>
  <si>
    <t>Total 28313000</t>
  </si>
  <si>
    <t>Total 28320000</t>
  </si>
  <si>
    <t>Total 28341000</t>
  </si>
  <si>
    <t>Total 28350000</t>
  </si>
  <si>
    <t>Total 28380000</t>
  </si>
  <si>
    <t>Total 28411000</t>
  </si>
  <si>
    <t>Total 28441000</t>
  </si>
  <si>
    <t>Total 28442000</t>
  </si>
  <si>
    <t>Total 28444000</t>
  </si>
  <si>
    <t>Total 28447000</t>
  </si>
  <si>
    <t>Total 28451000</t>
  </si>
  <si>
    <t>Total 28451010</t>
  </si>
  <si>
    <t>Total 28451100</t>
  </si>
  <si>
    <t>Total 28451200</t>
  </si>
  <si>
    <t>Total 33110000</t>
  </si>
  <si>
    <t>Total 33120000</t>
  </si>
  <si>
    <t>Total 33130000</t>
  </si>
  <si>
    <t>Total 33140000</t>
  </si>
  <si>
    <t>Total 33200000</t>
  </si>
  <si>
    <t>Total 40110000</t>
  </si>
  <si>
    <t>Total 40210000</t>
  </si>
  <si>
    <t>Total 40420000</t>
  </si>
  <si>
    <t>Total 40810000</t>
  </si>
  <si>
    <t>Total 41110000</t>
  </si>
  <si>
    <t>Total 41112000</t>
  </si>
  <si>
    <t>Total 41410000</t>
  </si>
  <si>
    <t>Total 41620000</t>
  </si>
  <si>
    <t>Total 41810000</t>
  </si>
  <si>
    <t>Total 42110000</t>
  </si>
  <si>
    <t>Total 42110100</t>
  </si>
  <si>
    <t>Total 42110200</t>
  </si>
  <si>
    <t>Total 42110301</t>
  </si>
  <si>
    <t>Total 42120000</t>
  </si>
  <si>
    <t>Total 42130000</t>
  </si>
  <si>
    <t>Total 42200000</t>
  </si>
  <si>
    <t>Total 42200100</t>
  </si>
  <si>
    <t>Total 42860000</t>
  </si>
  <si>
    <t>Total 43130000</t>
  </si>
  <si>
    <t>Total 43130001</t>
  </si>
  <si>
    <t>Total 43180000</t>
  </si>
  <si>
    <t>Total 44210200</t>
  </si>
  <si>
    <t>Total 44210300</t>
  </si>
  <si>
    <t>Total 44210400</t>
  </si>
  <si>
    <t>Total 44310000</t>
  </si>
  <si>
    <t>Total 44320000</t>
  </si>
  <si>
    <t>Total 44410000</t>
  </si>
  <si>
    <t>Total 44510000</t>
  </si>
  <si>
    <t>Total 44510100</t>
  </si>
  <si>
    <t>Total 44510200</t>
  </si>
  <si>
    <t>Total 44520000</t>
  </si>
  <si>
    <t>Total 44540000</t>
  </si>
  <si>
    <t>Total 44601000</t>
  </si>
  <si>
    <t>Total 44720000</t>
  </si>
  <si>
    <t>Total 44720100</t>
  </si>
  <si>
    <t>Total 44721000</t>
  </si>
  <si>
    <t>Total 44721200</t>
  </si>
  <si>
    <t>Total 44780100</t>
  </si>
  <si>
    <t>Total 44920100</t>
  </si>
  <si>
    <t>Total 46212000</t>
  </si>
  <si>
    <t>Total 47100000</t>
  </si>
  <si>
    <t>Total 47110000</t>
  </si>
  <si>
    <t>Total 47110120</t>
  </si>
  <si>
    <t>Total 47110130</t>
  </si>
  <si>
    <t>Total 47110150</t>
  </si>
  <si>
    <t>Total 47112600</t>
  </si>
  <si>
    <t>Total 47112700</t>
  </si>
  <si>
    <t>Total 47112800</t>
  </si>
  <si>
    <t>Total 47120200</t>
  </si>
  <si>
    <t>Total 47150000</t>
  </si>
  <si>
    <t>Total 47160000</t>
  </si>
  <si>
    <t>Total 47310100</t>
  </si>
  <si>
    <t>Total 47460000</t>
  </si>
  <si>
    <t>Total 47467000</t>
  </si>
  <si>
    <t>Total 47600000</t>
  </si>
  <si>
    <t>Total 49120000</t>
  </si>
  <si>
    <t>Total 51400100</t>
  </si>
  <si>
    <t>Total 51400400</t>
  </si>
  <si>
    <t>Total 51400500</t>
  </si>
  <si>
    <t>Total 51400700</t>
  </si>
  <si>
    <t>Total 51400900</t>
  </si>
  <si>
    <t>Total 52110100</t>
  </si>
  <si>
    <t>Total 52110400</t>
  </si>
  <si>
    <t>Total 52110500</t>
  </si>
  <si>
    <t>Total 52110700</t>
  </si>
  <si>
    <t>Total 52110800</t>
  </si>
  <si>
    <t>Total 52110900</t>
  </si>
  <si>
    <t>Total 55410500</t>
  </si>
  <si>
    <t>Total 55810200</t>
  </si>
  <si>
    <t>Total 56100100</t>
  </si>
  <si>
    <t>Total 57110200</t>
  </si>
  <si>
    <t>Total 57210100</t>
  </si>
  <si>
    <t>Total 57210200</t>
  </si>
  <si>
    <t>Total 57210300</t>
  </si>
  <si>
    <t>Total 57210400</t>
  </si>
  <si>
    <t>Total 58500000</t>
  </si>
  <si>
    <t>Total 60410000</t>
  </si>
  <si>
    <t>Total 60420000</t>
  </si>
  <si>
    <t>Total 60430000</t>
  </si>
  <si>
    <t>Total 60440000</t>
  </si>
  <si>
    <t>Total 60440300</t>
  </si>
  <si>
    <t>Total 60440500</t>
  </si>
  <si>
    <t>Total 60460000</t>
  </si>
  <si>
    <t>Total 60470000</t>
  </si>
  <si>
    <t>Total 60470100</t>
  </si>
  <si>
    <t>Total 60470200</t>
  </si>
  <si>
    <t>Total 60510000</t>
  </si>
  <si>
    <t>Total 60520000</t>
  </si>
  <si>
    <t>Total 60520100</t>
  </si>
  <si>
    <t>Total 60540000</t>
  </si>
  <si>
    <t>Total 60560000</t>
  </si>
  <si>
    <t>Total 60570000</t>
  </si>
  <si>
    <t>Total 61400000</t>
  </si>
  <si>
    <t>Total 61600000</t>
  </si>
  <si>
    <t>Total 61810000</t>
  </si>
  <si>
    <t>Total 61810100</t>
  </si>
  <si>
    <t>Total 61830000</t>
  </si>
  <si>
    <t>Total 62100000</t>
  </si>
  <si>
    <t>Total 62100200</t>
  </si>
  <si>
    <t>Total 62210000</t>
  </si>
  <si>
    <t>Total 62220000</t>
  </si>
  <si>
    <t>Total 62230000</t>
  </si>
  <si>
    <t>Total 62280000</t>
  </si>
  <si>
    <t>Total 62330000</t>
  </si>
  <si>
    <t>Total 62330100</t>
  </si>
  <si>
    <t>Total 62410000</t>
  </si>
  <si>
    <t>Total 62411000</t>
  </si>
  <si>
    <t>Total 62420000</t>
  </si>
  <si>
    <t>Total 62425000</t>
  </si>
  <si>
    <t>Total 62430000</t>
  </si>
  <si>
    <t>Total 62439000</t>
  </si>
  <si>
    <t>Total 62480000</t>
  </si>
  <si>
    <t>Total 62521000</t>
  </si>
  <si>
    <t>Total 62530000</t>
  </si>
  <si>
    <t>Total 62531000</t>
  </si>
  <si>
    <t>Total 62540000</t>
  </si>
  <si>
    <t>Total 62582000</t>
  </si>
  <si>
    <t>Total 62650000</t>
  </si>
  <si>
    <t>Total 62720000</t>
  </si>
  <si>
    <t>Total 62810000</t>
  </si>
  <si>
    <t>Total 62880000</t>
  </si>
  <si>
    <t>Total 62881000</t>
  </si>
  <si>
    <t>Total 63170000</t>
  </si>
  <si>
    <t>Total 63180000</t>
  </si>
  <si>
    <t>Total 63240000</t>
  </si>
  <si>
    <t>Total 63240100</t>
  </si>
  <si>
    <t>Total 63250000</t>
  </si>
  <si>
    <t>Total 63270000</t>
  </si>
  <si>
    <t>Total 63271000</t>
  </si>
  <si>
    <t>Total 63280000</t>
  </si>
  <si>
    <t>Total 63280100</t>
  </si>
  <si>
    <t>Total 63430000</t>
  </si>
  <si>
    <t>Total 63510000</t>
  </si>
  <si>
    <t>Total 63810000</t>
  </si>
  <si>
    <t>Total 63830000</t>
  </si>
  <si>
    <t>Total 63883000</t>
  </si>
  <si>
    <t>Total 64110000</t>
  </si>
  <si>
    <t>Total 64111000</t>
  </si>
  <si>
    <t>Total 64121000</t>
  </si>
  <si>
    <t>Total 64130000</t>
  </si>
  <si>
    <t>Total 64140000</t>
  </si>
  <si>
    <t>Total 64150000</t>
  </si>
  <si>
    <t>Total 64501000</t>
  </si>
  <si>
    <t>Total 64611000</t>
  </si>
  <si>
    <t>Total 64620000</t>
  </si>
  <si>
    <t>Total 64630000</t>
  </si>
  <si>
    <t>Total 64630100</t>
  </si>
  <si>
    <t>Total 64640000</t>
  </si>
  <si>
    <t>Total 64680000</t>
  </si>
  <si>
    <t>Total 64685000</t>
  </si>
  <si>
    <t>Total 64810000</t>
  </si>
  <si>
    <t>Total 65110100</t>
  </si>
  <si>
    <t>Total 65110200</t>
  </si>
  <si>
    <t>Total 65810000</t>
  </si>
  <si>
    <t>Total 65820000</t>
  </si>
  <si>
    <t>Total 65880000</t>
  </si>
  <si>
    <t>Total 65889000</t>
  </si>
  <si>
    <t>Total 65940000</t>
  </si>
  <si>
    <t>Total 66110000</t>
  </si>
  <si>
    <t>Total 66110100</t>
  </si>
  <si>
    <t>Total 66120010</t>
  </si>
  <si>
    <t>Total 66120100</t>
  </si>
  <si>
    <t>Total 66120200</t>
  </si>
  <si>
    <t>Total 66120300</t>
  </si>
  <si>
    <t>Total 66130000</t>
  </si>
  <si>
    <t>Total 66140000</t>
  </si>
  <si>
    <t>Total 66181000</t>
  </si>
  <si>
    <t>Total 66182000</t>
  </si>
  <si>
    <t>Total 66183000</t>
  </si>
  <si>
    <t>Total 66310000</t>
  </si>
  <si>
    <t>Total 66320000</t>
  </si>
  <si>
    <t>Total 66340000</t>
  </si>
  <si>
    <t>Total 66381000</t>
  </si>
  <si>
    <t>Total 66410000</t>
  </si>
  <si>
    <t>Total 66411000</t>
  </si>
  <si>
    <t>Total 66412000</t>
  </si>
  <si>
    <t>Total 66413000</t>
  </si>
  <si>
    <t>Total 66830000</t>
  </si>
  <si>
    <t>Total 66840000</t>
  </si>
  <si>
    <t>Total 66850000</t>
  </si>
  <si>
    <t>Total 66850010</t>
  </si>
  <si>
    <t>Total 67120000</t>
  </si>
  <si>
    <t>Total 67130100</t>
  </si>
  <si>
    <t>Total 67210000</t>
  </si>
  <si>
    <t>Total 67410000</t>
  </si>
  <si>
    <t>Total 67450000</t>
  </si>
  <si>
    <t>Total 68120000</t>
  </si>
  <si>
    <t>Total 68130000</t>
  </si>
  <si>
    <t>Total 69110030</t>
  </si>
  <si>
    <t>Total 70610010</t>
  </si>
  <si>
    <t>Total 70610012</t>
  </si>
  <si>
    <t>Total 70610020</t>
  </si>
  <si>
    <t>Total 70610030</t>
  </si>
  <si>
    <t>Total 70610040</t>
  </si>
  <si>
    <t>Total 70610050</t>
  </si>
  <si>
    <t>Total 70690000</t>
  </si>
  <si>
    <t>Total 75880000</t>
  </si>
  <si>
    <t>Total 75940000</t>
  </si>
  <si>
    <t>Total général</t>
  </si>
  <si>
    <t>Total 23900000</t>
  </si>
  <si>
    <t>Total 28311000</t>
  </si>
  <si>
    <t>Total 44210000</t>
  </si>
  <si>
    <t>Total 44860000</t>
  </si>
  <si>
    <t>Total 47110110</t>
  </si>
  <si>
    <t>Total 48120000</t>
  </si>
  <si>
    <t>Total 52100200</t>
  </si>
  <si>
    <t>Total 52100300</t>
  </si>
  <si>
    <t>Total 57110000</t>
  </si>
  <si>
    <t>Total 60550000</t>
  </si>
  <si>
    <t>Total 64120000</t>
  </si>
  <si>
    <t>Total 89500000</t>
  </si>
  <si>
    <t>Total 47461000</t>
  </si>
  <si>
    <t>Total 66380000</t>
  </si>
  <si>
    <t>Total 63720000</t>
  </si>
  <si>
    <t>Total 47112300</t>
  </si>
  <si>
    <t>Total 66720000</t>
  </si>
  <si>
    <t>Total 60580000</t>
  </si>
  <si>
    <t>Total 60551000</t>
  </si>
  <si>
    <t>Total 60545000</t>
  </si>
  <si>
    <t>Total 66184000</t>
  </si>
  <si>
    <t>Total 52115000</t>
  </si>
  <si>
    <t>Total 40910000</t>
  </si>
  <si>
    <t>Total 70611100</t>
  </si>
  <si>
    <t>Total 43100100</t>
  </si>
  <si>
    <t>Total 66410002</t>
  </si>
  <si>
    <t>Total 43110000</t>
  </si>
  <si>
    <t>Total 43120000</t>
  </si>
  <si>
    <t>Total 44660000</t>
  </si>
  <si>
    <t>Total 64180000</t>
  </si>
  <si>
    <t>Total 28120000</t>
  </si>
  <si>
    <t>Total 28351000</t>
  </si>
  <si>
    <t>Total 28412000</t>
  </si>
  <si>
    <t>Total 44490000</t>
  </si>
  <si>
    <t>Total 42110010</t>
  </si>
  <si>
    <t>Total 66121000</t>
  </si>
  <si>
    <t>Total 66122000</t>
  </si>
  <si>
    <t>Total 52110000</t>
  </si>
  <si>
    <t>Total 44920000</t>
  </si>
  <si>
    <t>Total 47112400</t>
  </si>
  <si>
    <t>Total AC</t>
  </si>
  <si>
    <t>Total OD</t>
  </si>
  <si>
    <t>Total ND</t>
  </si>
  <si>
    <t>Total VTE</t>
  </si>
  <si>
    <t>Total BQ4</t>
  </si>
  <si>
    <t>Total ABN</t>
  </si>
  <si>
    <t>Total 16640000</t>
  </si>
  <si>
    <t>Total 16640010</t>
  </si>
  <si>
    <t>Total 16640020</t>
  </si>
  <si>
    <t>Total 16640030</t>
  </si>
  <si>
    <t>Total 16640050</t>
  </si>
  <si>
    <t>Total 21930000</t>
  </si>
  <si>
    <t>Total 28130000</t>
  </si>
  <si>
    <t>Total 28410000</t>
  </si>
  <si>
    <t>Total 28440000</t>
  </si>
  <si>
    <t>Total 46601000</t>
  </si>
  <si>
    <t>Total 47110010</t>
  </si>
  <si>
    <t>Total 47470000</t>
  </si>
  <si>
    <t>Total 48110000</t>
  </si>
  <si>
    <t>Total 52110010</t>
  </si>
  <si>
    <t>Total 62200000</t>
  </si>
  <si>
    <t>Total 62610000</t>
  </si>
  <si>
    <t>Total 62780000</t>
  </si>
  <si>
    <t>Total 63270200</t>
  </si>
  <si>
    <t>Total 66120000</t>
  </si>
  <si>
    <t>Total 67130000</t>
  </si>
  <si>
    <t>Total 70610100</t>
  </si>
  <si>
    <t>Total 77120000</t>
  </si>
  <si>
    <t>Total 89110000</t>
  </si>
  <si>
    <t>cle</t>
  </si>
  <si>
    <t>section ana</t>
  </si>
  <si>
    <t>sectio ana</t>
  </si>
  <si>
    <t>910LOC0001</t>
  </si>
  <si>
    <t>553</t>
  </si>
  <si>
    <t>33200000</t>
  </si>
  <si>
    <t/>
  </si>
  <si>
    <t>40110000</t>
  </si>
  <si>
    <t>40110049</t>
  </si>
  <si>
    <t>44520000</t>
  </si>
  <si>
    <t>485</t>
  </si>
  <si>
    <t>33130000</t>
  </si>
  <si>
    <t>40110042</t>
  </si>
  <si>
    <t>486</t>
  </si>
  <si>
    <t>33140000</t>
  </si>
  <si>
    <t>487</t>
  </si>
  <si>
    <t>0001558</t>
  </si>
  <si>
    <t>40110721</t>
  </si>
  <si>
    <t>488</t>
  </si>
  <si>
    <t>0001559</t>
  </si>
  <si>
    <t>489</t>
  </si>
  <si>
    <t>0001560</t>
  </si>
  <si>
    <t>44540000</t>
  </si>
  <si>
    <t>62420000</t>
  </si>
  <si>
    <t>490</t>
  </si>
  <si>
    <t>40110038</t>
  </si>
  <si>
    <t>491</t>
  </si>
  <si>
    <t>492</t>
  </si>
  <si>
    <t>493</t>
  </si>
  <si>
    <t>40110081</t>
  </si>
  <si>
    <t>494</t>
  </si>
  <si>
    <t>495</t>
  </si>
  <si>
    <t>496</t>
  </si>
  <si>
    <t>497</t>
  </si>
  <si>
    <t>498</t>
  </si>
  <si>
    <t>40110088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</si>
  <si>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</si>
  <si>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</si>
  <si>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</si>
  <si>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</si>
  <si>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</si>
  <si>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</si>
  <si>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</si>
  <si>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</si>
  <si>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</si>
  <si>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</si>
  <si>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40110278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</si>
  <si>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</si>
  <si>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</si>
  <si>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</si>
  <si>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</si>
  <si>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</si>
  <si>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</si>
  <si>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</si>
  <si>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</si>
  <si>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</si>
  <si>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</si>
  <si>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</si>
  <si>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</si>
  <si>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</si>
  <si>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</si>
  <si>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</si>
  <si>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</si>
  <si>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</si>
  <si>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</si>
  <si>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</si>
  <si>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</si>
  <si>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</si>
  <si>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</si>
  <si>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</si>
  <si>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</si>
  <si>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</si>
  <si>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</si>
  <si>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538</t>
  </si>
  <si>
    <t>0001818</t>
  </si>
  <si>
    <t>579</t>
  </si>
  <si>
    <t>0089399</t>
  </si>
  <si>
    <t>40110494</t>
  </si>
  <si>
    <t>707</t>
  </si>
  <si>
    <t>484</t>
  </si>
  <si>
    <t>40110485</t>
  </si>
  <si>
    <t>578</t>
  </si>
  <si>
    <t>0000258</t>
  </si>
  <si>
    <t>40120627</t>
  </si>
  <si>
    <t>560</t>
  </si>
  <si>
    <t>561</t>
  </si>
  <si>
    <t>581</t>
  </si>
  <si>
    <t>966426</t>
  </si>
  <si>
    <t>40110493</t>
  </si>
  <si>
    <t>582</t>
  </si>
  <si>
    <t>966427</t>
  </si>
  <si>
    <t>583</t>
  </si>
  <si>
    <t>966428</t>
  </si>
  <si>
    <t>584</t>
  </si>
  <si>
    <t>966429</t>
  </si>
  <si>
    <t>585</t>
  </si>
  <si>
    <t>966430</t>
  </si>
  <si>
    <t>587</t>
  </si>
  <si>
    <t>966432</t>
  </si>
  <si>
    <t>588</t>
  </si>
  <si>
    <t>966434</t>
  </si>
  <si>
    <t>628</t>
  </si>
  <si>
    <t>966433</t>
  </si>
  <si>
    <t>535</t>
  </si>
  <si>
    <t>00001115</t>
  </si>
  <si>
    <t>40110268</t>
  </si>
  <si>
    <t>536</t>
  </si>
  <si>
    <t>40110026</t>
  </si>
  <si>
    <t>544</t>
  </si>
  <si>
    <t>40110010</t>
  </si>
  <si>
    <t>545</t>
  </si>
  <si>
    <t>546</t>
  </si>
  <si>
    <t>547</t>
  </si>
  <si>
    <t>548</t>
  </si>
  <si>
    <t>549</t>
  </si>
  <si>
    <t>550</t>
  </si>
  <si>
    <t>551</t>
  </si>
  <si>
    <t>552</t>
  </si>
  <si>
    <t>33120000</t>
  </si>
  <si>
    <t>562</t>
  </si>
  <si>
    <t>563</t>
  </si>
  <si>
    <t>565</t>
  </si>
  <si>
    <t>40110124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</si>
  <si>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</si>
  <si>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</si>
  <si>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</si>
  <si>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</si>
  <si>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</si>
  <si>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</si>
  <si>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</si>
  <si>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</si>
  <si>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</si>
  <si>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</si>
  <si>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</si>
  <si>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</si>
  <si>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591</t>
  </si>
  <si>
    <t>0023352</t>
  </si>
  <si>
    <t>40110397</t>
  </si>
  <si>
    <t>592</t>
  </si>
  <si>
    <t>00233353</t>
  </si>
  <si>
    <t>593</t>
  </si>
  <si>
    <t>00233354</t>
  </si>
  <si>
    <t>594</t>
  </si>
  <si>
    <t>00233355</t>
  </si>
  <si>
    <t>595</t>
  </si>
  <si>
    <t>00233356</t>
  </si>
  <si>
    <t>596</t>
  </si>
  <si>
    <t>00233357</t>
  </si>
  <si>
    <t>597</t>
  </si>
  <si>
    <t>00233358</t>
  </si>
  <si>
    <t>598</t>
  </si>
  <si>
    <t>00233359</t>
  </si>
  <si>
    <t>599</t>
  </si>
  <si>
    <t>00233360</t>
  </si>
  <si>
    <t>600</t>
  </si>
  <si>
    <t>00233361</t>
  </si>
  <si>
    <t>601</t>
  </si>
  <si>
    <t>00233363</t>
  </si>
  <si>
    <t>602</t>
  </si>
  <si>
    <t>00233364</t>
  </si>
  <si>
    <t>603</t>
  </si>
  <si>
    <t>00233365</t>
  </si>
  <si>
    <t>604</t>
  </si>
  <si>
    <t>00233366</t>
  </si>
  <si>
    <t>605</t>
  </si>
  <si>
    <t>00233367</t>
  </si>
  <si>
    <t>606</t>
  </si>
  <si>
    <t>00233368</t>
  </si>
  <si>
    <t>607</t>
  </si>
  <si>
    <t>00233369</t>
  </si>
  <si>
    <t>608</t>
  </si>
  <si>
    <t>00233370</t>
  </si>
  <si>
    <t>609</t>
  </si>
  <si>
    <t>00233371</t>
  </si>
  <si>
    <t>610</t>
  </si>
  <si>
    <t>00233372</t>
  </si>
  <si>
    <t>611</t>
  </si>
  <si>
    <t>00233373</t>
  </si>
  <si>
    <t>612</t>
  </si>
  <si>
    <t>00233374</t>
  </si>
  <si>
    <t>613</t>
  </si>
  <si>
    <t>00233375</t>
  </si>
  <si>
    <t>650</t>
  </si>
  <si>
    <t>00880977</t>
  </si>
  <si>
    <t>40110496</t>
  </si>
  <si>
    <t>654</t>
  </si>
  <si>
    <t>40110603</t>
  </si>
  <si>
    <t>655</t>
  </si>
  <si>
    <t>657</t>
  </si>
  <si>
    <t>537</t>
  </si>
  <si>
    <t>40111012</t>
  </si>
  <si>
    <t>539</t>
  </si>
  <si>
    <t>40111060</t>
  </si>
  <si>
    <t>540</t>
  </si>
  <si>
    <t>0000256</t>
  </si>
  <si>
    <t>40110625</t>
  </si>
  <si>
    <t>541</t>
  </si>
  <si>
    <t>0000267</t>
  </si>
  <si>
    <t>542</t>
  </si>
  <si>
    <t>0000304</t>
  </si>
  <si>
    <t>543</t>
  </si>
  <si>
    <t>0000305</t>
  </si>
  <si>
    <t>554</t>
  </si>
  <si>
    <t>555</t>
  </si>
  <si>
    <t>556</t>
  </si>
  <si>
    <t>557</t>
  </si>
  <si>
    <t>558</t>
  </si>
  <si>
    <t>559</t>
  </si>
  <si>
    <t>564</t>
  </si>
  <si>
    <t>580</t>
  </si>
  <si>
    <t>9666425</t>
  </si>
  <si>
    <t>586</t>
  </si>
  <si>
    <t>966431</t>
  </si>
  <si>
    <t>589</t>
  </si>
  <si>
    <t>966444</t>
  </si>
  <si>
    <t>590</t>
  </si>
  <si>
    <t>966446</t>
  </si>
  <si>
    <t>614</t>
  </si>
  <si>
    <t>00233376</t>
  </si>
  <si>
    <t>615</t>
  </si>
  <si>
    <t>00233377</t>
  </si>
  <si>
    <t>616</t>
  </si>
  <si>
    <t>00233378</t>
  </si>
  <si>
    <t>617</t>
  </si>
  <si>
    <t>00233379</t>
  </si>
  <si>
    <t>618</t>
  </si>
  <si>
    <t>00233380</t>
  </si>
  <si>
    <t>619</t>
  </si>
  <si>
    <t>00233381</t>
  </si>
  <si>
    <t>620</t>
  </si>
  <si>
    <t>00233382</t>
  </si>
  <si>
    <t>621</t>
  </si>
  <si>
    <t>00233383</t>
  </si>
  <si>
    <t>622</t>
  </si>
  <si>
    <t>00233384</t>
  </si>
  <si>
    <t>623</t>
  </si>
  <si>
    <t>00233385</t>
  </si>
  <si>
    <t>624</t>
  </si>
  <si>
    <t>00233386</t>
  </si>
  <si>
    <t>625</t>
  </si>
  <si>
    <t>00233387</t>
  </si>
  <si>
    <t>626</t>
  </si>
  <si>
    <t>00233388</t>
  </si>
  <si>
    <t>627</t>
  </si>
  <si>
    <t>00233390</t>
  </si>
  <si>
    <t>676</t>
  </si>
  <si>
    <t>751</t>
  </si>
  <si>
    <t>000405</t>
  </si>
  <si>
    <t>40110572</t>
  </si>
  <si>
    <t>658</t>
  </si>
  <si>
    <t>659</t>
  </si>
  <si>
    <t>660</t>
  </si>
  <si>
    <t>40112098</t>
  </si>
  <si>
    <t>661</t>
  </si>
  <si>
    <t>662</t>
  </si>
  <si>
    <t>807</t>
  </si>
  <si>
    <t>629</t>
  </si>
  <si>
    <t>00233362</t>
  </si>
  <si>
    <t>630</t>
  </si>
  <si>
    <t>00233391</t>
  </si>
  <si>
    <t>631</t>
  </si>
  <si>
    <t>00233392</t>
  </si>
  <si>
    <t>632</t>
  </si>
  <si>
    <t>00233394</t>
  </si>
  <si>
    <t>633</t>
  </si>
  <si>
    <t>00233395</t>
  </si>
  <si>
    <t>634</t>
  </si>
  <si>
    <t>00233397</t>
  </si>
  <si>
    <t>635</t>
  </si>
  <si>
    <t>00233398</t>
  </si>
  <si>
    <t>636</t>
  </si>
  <si>
    <t>00233399</t>
  </si>
  <si>
    <t>637</t>
  </si>
  <si>
    <t>00233400</t>
  </si>
  <si>
    <t>638</t>
  </si>
  <si>
    <t>00290672</t>
  </si>
  <si>
    <t>639</t>
  </si>
  <si>
    <t>00290673</t>
  </si>
  <si>
    <t>640</t>
  </si>
  <si>
    <t>00290674</t>
  </si>
  <si>
    <t>641</t>
  </si>
  <si>
    <t>00290677</t>
  </si>
  <si>
    <t>642</t>
  </si>
  <si>
    <t>0290678</t>
  </si>
  <si>
    <t>643</t>
  </si>
  <si>
    <t>00290679</t>
  </si>
  <si>
    <t>644</t>
  </si>
  <si>
    <t>00290680</t>
  </si>
  <si>
    <t>645</t>
  </si>
  <si>
    <t>00290681</t>
  </si>
  <si>
    <t>646</t>
  </si>
  <si>
    <t>00290682</t>
  </si>
  <si>
    <t>647</t>
  </si>
  <si>
    <t>00290683</t>
  </si>
  <si>
    <t>648</t>
  </si>
  <si>
    <t>00290684</t>
  </si>
  <si>
    <t>649</t>
  </si>
  <si>
    <t>00290685</t>
  </si>
  <si>
    <t>653</t>
  </si>
  <si>
    <t>0286528</t>
  </si>
  <si>
    <t>40110001</t>
  </si>
  <si>
    <t>796</t>
  </si>
  <si>
    <t>00290675</t>
  </si>
  <si>
    <t>651</t>
  </si>
  <si>
    <t>00880978</t>
  </si>
  <si>
    <t>652</t>
  </si>
  <si>
    <t>40112043</t>
  </si>
  <si>
    <t>663</t>
  </si>
  <si>
    <t>664</t>
  </si>
  <si>
    <t>665</t>
  </si>
  <si>
    <t>656</t>
  </si>
  <si>
    <t>691</t>
  </si>
  <si>
    <t>692</t>
  </si>
  <si>
    <t>693</t>
  </si>
  <si>
    <t>694</t>
  </si>
  <si>
    <t>695</t>
  </si>
  <si>
    <t>696</t>
  </si>
  <si>
    <t>699</t>
  </si>
  <si>
    <t>700</t>
  </si>
  <si>
    <t>701</t>
  </si>
  <si>
    <t>702</t>
  </si>
  <si>
    <t>725</t>
  </si>
  <si>
    <t>40110342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</si>
  <si>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</si>
  <si>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</si>
  <si>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</si>
  <si>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</si>
  <si>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</si>
  <si>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</si>
  <si>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</si>
  <si>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</si>
  <si>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</si>
  <si>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</si>
  <si>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</si>
  <si>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</si>
  <si>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</si>
  <si>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740</t>
  </si>
  <si>
    <t>741</t>
  </si>
  <si>
    <t>671</t>
  </si>
  <si>
    <t>0005575</t>
  </si>
  <si>
    <t>40111047</t>
  </si>
  <si>
    <t>754</t>
  </si>
  <si>
    <t>755</t>
  </si>
  <si>
    <t>757</t>
  </si>
  <si>
    <t>779405</t>
  </si>
  <si>
    <t>667</t>
  </si>
  <si>
    <t>674</t>
  </si>
  <si>
    <t>0000318</t>
  </si>
  <si>
    <t>675</t>
  </si>
  <si>
    <t>0000319</t>
  </si>
  <si>
    <t>678</t>
  </si>
  <si>
    <t>679</t>
  </si>
  <si>
    <t>680</t>
  </si>
  <si>
    <t>681</t>
  </si>
  <si>
    <t>0001888</t>
  </si>
  <si>
    <t>758</t>
  </si>
  <si>
    <t>0000362</t>
  </si>
  <si>
    <t>40110205</t>
  </si>
  <si>
    <t>759</t>
  </si>
  <si>
    <t>0000367</t>
  </si>
  <si>
    <t>739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</si>
  <si>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</si>
  <si>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</si>
  <si>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</si>
  <si>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</si>
  <si>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</si>
  <si>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</si>
  <si>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</si>
  <si>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</si>
  <si>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</si>
  <si>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752</t>
  </si>
  <si>
    <t>0416687</t>
  </si>
  <si>
    <t>40110579</t>
  </si>
  <si>
    <t>756</t>
  </si>
  <si>
    <t>779401</t>
  </si>
  <si>
    <t>669</t>
  </si>
  <si>
    <t>27</t>
  </si>
  <si>
    <t>40120644</t>
  </si>
  <si>
    <t>672</t>
  </si>
  <si>
    <t>0000338</t>
  </si>
  <si>
    <t>40112100</t>
  </si>
  <si>
    <t>673</t>
  </si>
  <si>
    <t>0000339</t>
  </si>
  <si>
    <t>682</t>
  </si>
  <si>
    <t>0001909</t>
  </si>
  <si>
    <t>683</t>
  </si>
  <si>
    <t>0001910</t>
  </si>
  <si>
    <t>685</t>
  </si>
  <si>
    <t>686</t>
  </si>
  <si>
    <t>687</t>
  </si>
  <si>
    <t>688</t>
  </si>
  <si>
    <t>689</t>
  </si>
  <si>
    <t>690</t>
  </si>
  <si>
    <t>760</t>
  </si>
  <si>
    <t>0000381</t>
  </si>
  <si>
    <t>797</t>
  </si>
  <si>
    <t>00290689</t>
  </si>
  <si>
    <t>798</t>
  </si>
  <si>
    <t>00290690</t>
  </si>
  <si>
    <t>684</t>
  </si>
  <si>
    <t>0001922</t>
  </si>
  <si>
    <t>708</t>
  </si>
  <si>
    <t>709</t>
  </si>
  <si>
    <t>710</t>
  </si>
  <si>
    <t>711</t>
  </si>
  <si>
    <t>712</t>
  </si>
  <si>
    <t>713</t>
  </si>
  <si>
    <t>714</t>
  </si>
  <si>
    <t>715</t>
  </si>
  <si>
    <t>721</t>
  </si>
  <si>
    <t>722</t>
  </si>
  <si>
    <t>723</t>
  </si>
  <si>
    <t>724</t>
  </si>
  <si>
    <t>763</t>
  </si>
  <si>
    <t>00190415</t>
  </si>
  <si>
    <t>764</t>
  </si>
  <si>
    <t>00190416</t>
  </si>
  <si>
    <t>765</t>
  </si>
  <si>
    <t>00190418</t>
  </si>
  <si>
    <t>766</t>
  </si>
  <si>
    <t>00190419</t>
  </si>
  <si>
    <t>767</t>
  </si>
  <si>
    <t>00190420</t>
  </si>
  <si>
    <t>768</t>
  </si>
  <si>
    <t>00190421</t>
  </si>
  <si>
    <t>769</t>
  </si>
  <si>
    <t>00190423</t>
  </si>
  <si>
    <t>770</t>
  </si>
  <si>
    <t>00190424</t>
  </si>
  <si>
    <t>771</t>
  </si>
  <si>
    <t>00190427</t>
  </si>
  <si>
    <t>772</t>
  </si>
  <si>
    <t>00190428</t>
  </si>
  <si>
    <t>773</t>
  </si>
  <si>
    <t>00190429</t>
  </si>
  <si>
    <t>774</t>
  </si>
  <si>
    <t>00190431</t>
  </si>
  <si>
    <t>775</t>
  </si>
  <si>
    <t>00190432</t>
  </si>
  <si>
    <t>776</t>
  </si>
  <si>
    <t>00190433</t>
  </si>
  <si>
    <t>777</t>
  </si>
  <si>
    <t>00190434</t>
  </si>
  <si>
    <t>778</t>
  </si>
  <si>
    <t>00190435</t>
  </si>
  <si>
    <t>779</t>
  </si>
  <si>
    <t>00190436</t>
  </si>
  <si>
    <t>780</t>
  </si>
  <si>
    <t>00190437</t>
  </si>
  <si>
    <t>781</t>
  </si>
  <si>
    <t>00190438</t>
  </si>
  <si>
    <t>782</t>
  </si>
  <si>
    <t>00190439</t>
  </si>
  <si>
    <t>783</t>
  </si>
  <si>
    <t>00190440</t>
  </si>
  <si>
    <t>784</t>
  </si>
  <si>
    <t>00190441</t>
  </si>
  <si>
    <t>785</t>
  </si>
  <si>
    <t>00190442</t>
  </si>
  <si>
    <t>786</t>
  </si>
  <si>
    <t>00190443</t>
  </si>
  <si>
    <t>787</t>
  </si>
  <si>
    <t>00190444</t>
  </si>
  <si>
    <t>677</t>
  </si>
  <si>
    <t>697</t>
  </si>
  <si>
    <t>698</t>
  </si>
  <si>
    <t>703</t>
  </si>
  <si>
    <t>704</t>
  </si>
  <si>
    <t>705</t>
  </si>
  <si>
    <t>706</t>
  </si>
  <si>
    <t>666</t>
  </si>
  <si>
    <t>668</t>
  </si>
  <si>
    <t>40110115</t>
  </si>
  <si>
    <t>670</t>
  </si>
  <si>
    <t>40111083</t>
  </si>
  <si>
    <t>716</t>
  </si>
  <si>
    <t>717</t>
  </si>
  <si>
    <t>718</t>
  </si>
  <si>
    <t>719</t>
  </si>
  <si>
    <t>720</t>
  </si>
  <si>
    <t>753</t>
  </si>
  <si>
    <t>0416689</t>
  </si>
  <si>
    <t>761</t>
  </si>
  <si>
    <t>00190412</t>
  </si>
  <si>
    <t>762</t>
  </si>
  <si>
    <t>00190413</t>
  </si>
  <si>
    <t>788</t>
  </si>
  <si>
    <t>00190445</t>
  </si>
  <si>
    <t>789</t>
  </si>
  <si>
    <t>00190446</t>
  </si>
  <si>
    <t>790</t>
  </si>
  <si>
    <t>00190448</t>
  </si>
  <si>
    <t>791</t>
  </si>
  <si>
    <t>00190449</t>
  </si>
  <si>
    <t>792</t>
  </si>
  <si>
    <t>00233951</t>
  </si>
  <si>
    <t>793</t>
  </si>
  <si>
    <t>00233952</t>
  </si>
  <si>
    <t>794</t>
  </si>
  <si>
    <t>00233954</t>
  </si>
  <si>
    <t>795</t>
  </si>
  <si>
    <t>00233955</t>
  </si>
  <si>
    <t>799</t>
  </si>
  <si>
    <t>00290962</t>
  </si>
  <si>
    <t>800</t>
  </si>
  <si>
    <t>00290693</t>
  </si>
  <si>
    <t>801</t>
  </si>
  <si>
    <t>00290694</t>
  </si>
  <si>
    <t>802</t>
  </si>
  <si>
    <t>00290695</t>
  </si>
  <si>
    <t>803</t>
  </si>
  <si>
    <t>00290696</t>
  </si>
  <si>
    <t>804</t>
  </si>
  <si>
    <t>00290697</t>
  </si>
  <si>
    <t>805</t>
  </si>
  <si>
    <t>00290698</t>
  </si>
  <si>
    <t>806</t>
  </si>
  <si>
    <t>00290699</t>
  </si>
  <si>
    <t>808</t>
  </si>
  <si>
    <t>00290700</t>
  </si>
  <si>
    <t>107</t>
  </si>
  <si>
    <t>47460000</t>
  </si>
  <si>
    <t>40112067</t>
  </si>
  <si>
    <t>62220000</t>
  </si>
  <si>
    <t>202</t>
  </si>
  <si>
    <t>203</t>
  </si>
  <si>
    <t>42110301</t>
  </si>
  <si>
    <t>75880000</t>
  </si>
  <si>
    <t>204</t>
  </si>
  <si>
    <t>40110340</t>
  </si>
  <si>
    <t>63430000</t>
  </si>
  <si>
    <t>205</t>
  </si>
  <si>
    <t>206</t>
  </si>
  <si>
    <t>40112066</t>
  </si>
  <si>
    <t>66850010</t>
  </si>
  <si>
    <t>207</t>
  </si>
  <si>
    <t>208</t>
  </si>
  <si>
    <t>00510</t>
  </si>
  <si>
    <t>66381000</t>
  </si>
  <si>
    <t>209</t>
  </si>
  <si>
    <t>210</t>
  </si>
  <si>
    <t>47600000</t>
  </si>
  <si>
    <t>64630100</t>
  </si>
  <si>
    <t>211</t>
  </si>
  <si>
    <t>212</t>
  </si>
  <si>
    <t>213</t>
  </si>
  <si>
    <t>40110966</t>
  </si>
  <si>
    <t>214</t>
  </si>
  <si>
    <t>66410000</t>
  </si>
  <si>
    <t>215</t>
  </si>
  <si>
    <t>40120662</t>
  </si>
  <si>
    <t>63270000</t>
  </si>
  <si>
    <t>216</t>
  </si>
  <si>
    <t>40110123</t>
  </si>
  <si>
    <t>63271000</t>
  </si>
  <si>
    <t>217</t>
  </si>
  <si>
    <t>218</t>
  </si>
  <si>
    <t>40110665</t>
  </si>
  <si>
    <t>63240000</t>
  </si>
  <si>
    <t>219</t>
  </si>
  <si>
    <t>40110102</t>
  </si>
  <si>
    <t>62880000</t>
  </si>
  <si>
    <t>220</t>
  </si>
  <si>
    <t>40110056</t>
  </si>
  <si>
    <t>221</t>
  </si>
  <si>
    <t>222</t>
  </si>
  <si>
    <t>62582000</t>
  </si>
  <si>
    <t>223</t>
  </si>
  <si>
    <t>224</t>
  </si>
  <si>
    <t>225</t>
  </si>
  <si>
    <t>64121000</t>
  </si>
  <si>
    <t>226</t>
  </si>
  <si>
    <t>44720100</t>
  </si>
  <si>
    <t>64130000</t>
  </si>
  <si>
    <t>227</t>
  </si>
  <si>
    <t>64680000</t>
  </si>
  <si>
    <t>228</t>
  </si>
  <si>
    <t>65810000</t>
  </si>
  <si>
    <t>229</t>
  </si>
  <si>
    <t>40112103</t>
  </si>
  <si>
    <t>230</t>
  </si>
  <si>
    <t>62439000</t>
  </si>
  <si>
    <t>231</t>
  </si>
  <si>
    <t>66850000</t>
  </si>
  <si>
    <t>232</t>
  </si>
  <si>
    <t>62540000</t>
  </si>
  <si>
    <t>233</t>
  </si>
  <si>
    <t>62531000</t>
  </si>
  <si>
    <t>234</t>
  </si>
  <si>
    <t>235</t>
  </si>
  <si>
    <t>236</t>
  </si>
  <si>
    <t>237</t>
  </si>
  <si>
    <t>238</t>
  </si>
  <si>
    <t>40110536</t>
  </si>
  <si>
    <t>62881000</t>
  </si>
  <si>
    <t>239</t>
  </si>
  <si>
    <t>240</t>
  </si>
  <si>
    <t>241</t>
  </si>
  <si>
    <t>40110700</t>
  </si>
  <si>
    <t>242</t>
  </si>
  <si>
    <t>40110576</t>
  </si>
  <si>
    <t>62280000</t>
  </si>
  <si>
    <t>243</t>
  </si>
  <si>
    <t>244</t>
  </si>
  <si>
    <t>40112075</t>
  </si>
  <si>
    <t>245</t>
  </si>
  <si>
    <t>40112087</t>
  </si>
  <si>
    <t>246</t>
  </si>
  <si>
    <t>40112073</t>
  </si>
  <si>
    <t>62210000</t>
  </si>
  <si>
    <t>247</t>
  </si>
  <si>
    <t>40112077</t>
  </si>
  <si>
    <t>248</t>
  </si>
  <si>
    <t>62530000</t>
  </si>
  <si>
    <t>249</t>
  </si>
  <si>
    <t>40110720</t>
  </si>
  <si>
    <t>250</t>
  </si>
  <si>
    <t>64111000</t>
  </si>
  <si>
    <t>251</t>
  </si>
  <si>
    <t>40112059</t>
  </si>
  <si>
    <t>252</t>
  </si>
  <si>
    <t>64620000</t>
  </si>
  <si>
    <t>253</t>
  </si>
  <si>
    <t>254</t>
  </si>
  <si>
    <t>255</t>
  </si>
  <si>
    <t>64810000</t>
  </si>
  <si>
    <t>256</t>
  </si>
  <si>
    <t>67450000</t>
  </si>
  <si>
    <t>257</t>
  </si>
  <si>
    <t>62521000</t>
  </si>
  <si>
    <t>258</t>
  </si>
  <si>
    <t>259</t>
  </si>
  <si>
    <t>64110000</t>
  </si>
  <si>
    <t>260</t>
  </si>
  <si>
    <t>261</t>
  </si>
  <si>
    <t>262</t>
  </si>
  <si>
    <t>263</t>
  </si>
  <si>
    <t>63510000</t>
  </si>
  <si>
    <t>264</t>
  </si>
  <si>
    <t>265</t>
  </si>
  <si>
    <t>266</t>
  </si>
  <si>
    <t>298</t>
  </si>
  <si>
    <t>299</t>
  </si>
  <si>
    <t>300</t>
  </si>
  <si>
    <t>301</t>
  </si>
  <si>
    <t>302</t>
  </si>
  <si>
    <t>267</t>
  </si>
  <si>
    <t>40111070</t>
  </si>
  <si>
    <t>268</t>
  </si>
  <si>
    <t>40112063</t>
  </si>
  <si>
    <t>66840000</t>
  </si>
  <si>
    <t>269</t>
  </si>
  <si>
    <t>42860000</t>
  </si>
  <si>
    <t>66183000</t>
  </si>
  <si>
    <t>270</t>
  </si>
  <si>
    <t>40112102</t>
  </si>
  <si>
    <t>62330000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</si>
  <si>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</si>
  <si>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</si>
  <si>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</si>
  <si>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</si>
  <si>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</si>
  <si>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</si>
  <si>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</si>
  <si>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</si>
  <si>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</si>
  <si>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</si>
  <si>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40110220</t>
  </si>
  <si>
    <t>281</t>
  </si>
  <si>
    <t>282</t>
  </si>
  <si>
    <t>283</t>
  </si>
  <si>
    <t>284</t>
  </si>
  <si>
    <t>62330100</t>
  </si>
  <si>
    <t>285</t>
  </si>
  <si>
    <t>286</t>
  </si>
  <si>
    <t>287</t>
  </si>
  <si>
    <t>288</t>
  </si>
  <si>
    <t>289</t>
  </si>
  <si>
    <t>290</t>
  </si>
  <si>
    <t>291</t>
  </si>
  <si>
    <t>292</t>
  </si>
  <si>
    <t>295</t>
  </si>
  <si>
    <t>296</t>
  </si>
  <si>
    <t>297</t>
  </si>
  <si>
    <t>293</t>
  </si>
  <si>
    <t>294</t>
  </si>
  <si>
    <t>1</t>
  </si>
  <si>
    <t>40110054</t>
  </si>
  <si>
    <t>2</t>
  </si>
  <si>
    <t>11</t>
  </si>
  <si>
    <t>0000419</t>
  </si>
  <si>
    <t>62100200</t>
  </si>
  <si>
    <t>12</t>
  </si>
  <si>
    <t>0000120</t>
  </si>
  <si>
    <t>13</t>
  </si>
  <si>
    <t>0000121</t>
  </si>
  <si>
    <t>14</t>
  </si>
  <si>
    <t>0000122</t>
  </si>
  <si>
    <t>47</t>
  </si>
  <si>
    <t>48</t>
  </si>
  <si>
    <t>49</t>
  </si>
  <si>
    <t>50</t>
  </si>
  <si>
    <t>51</t>
  </si>
  <si>
    <t>58</t>
  </si>
  <si>
    <t>00138</t>
  </si>
  <si>
    <t>62100000</t>
  </si>
  <si>
    <t>59</t>
  </si>
  <si>
    <t>00139</t>
  </si>
  <si>
    <t>60</t>
  </si>
  <si>
    <t>00140</t>
  </si>
  <si>
    <t>61</t>
  </si>
  <si>
    <t>00141</t>
  </si>
  <si>
    <t>95</t>
  </si>
  <si>
    <t>0000795</t>
  </si>
  <si>
    <t>40110228</t>
  </si>
  <si>
    <t>60570000</t>
  </si>
  <si>
    <t>99</t>
  </si>
  <si>
    <t>47110000</t>
  </si>
  <si>
    <t>41111486</t>
  </si>
  <si>
    <t>65110200</t>
  </si>
  <si>
    <t>100</t>
  </si>
  <si>
    <t>101</t>
  </si>
  <si>
    <t>102</t>
  </si>
  <si>
    <t>103</t>
  </si>
  <si>
    <t>41111478</t>
  </si>
  <si>
    <t>149</t>
  </si>
  <si>
    <t>150</t>
  </si>
  <si>
    <t>40110143</t>
  </si>
  <si>
    <t>151</t>
  </si>
  <si>
    <t>152</t>
  </si>
  <si>
    <t>153</t>
  </si>
  <si>
    <t>154</t>
  </si>
  <si>
    <t>155</t>
  </si>
  <si>
    <t>156</t>
  </si>
  <si>
    <t>165</t>
  </si>
  <si>
    <t>166</t>
  </si>
  <si>
    <t>181</t>
  </si>
  <si>
    <t>241095251</t>
  </si>
  <si>
    <t>40110409</t>
  </si>
  <si>
    <t>65110100</t>
  </si>
  <si>
    <t>182</t>
  </si>
  <si>
    <t>251010286</t>
  </si>
  <si>
    <t>183</t>
  </si>
  <si>
    <t>251010377</t>
  </si>
  <si>
    <t>184</t>
  </si>
  <si>
    <t>251014164</t>
  </si>
  <si>
    <t>185</t>
  </si>
  <si>
    <t>251014551</t>
  </si>
  <si>
    <t>186</t>
  </si>
  <si>
    <t>251016856</t>
  </si>
  <si>
    <t>187</t>
  </si>
  <si>
    <t>251018605</t>
  </si>
  <si>
    <t>10</t>
  </si>
  <si>
    <t>33110000</t>
  </si>
  <si>
    <t>15</t>
  </si>
  <si>
    <t>1469</t>
  </si>
  <si>
    <t>42110200</t>
  </si>
  <si>
    <t>61400000</t>
  </si>
  <si>
    <t>34</t>
  </si>
  <si>
    <t>62480000</t>
  </si>
  <si>
    <t>69</t>
  </si>
  <si>
    <t>000102</t>
  </si>
  <si>
    <t>16</t>
  </si>
  <si>
    <t>44780100</t>
  </si>
  <si>
    <t>17</t>
  </si>
  <si>
    <t>0311858</t>
  </si>
  <si>
    <t>63280100</t>
  </si>
  <si>
    <t>18</t>
  </si>
  <si>
    <t>0000168</t>
  </si>
  <si>
    <t>19</t>
  </si>
  <si>
    <t>313</t>
  </si>
  <si>
    <t>63250000</t>
  </si>
  <si>
    <t>20</t>
  </si>
  <si>
    <t>21</t>
  </si>
  <si>
    <t>2503012</t>
  </si>
  <si>
    <t>47150000</t>
  </si>
  <si>
    <t>22</t>
  </si>
  <si>
    <t>2503013</t>
  </si>
  <si>
    <t>23</t>
  </si>
  <si>
    <t>24</t>
  </si>
  <si>
    <t>25</t>
  </si>
  <si>
    <t>68</t>
  </si>
  <si>
    <t>0001677</t>
  </si>
  <si>
    <t>96</t>
  </si>
  <si>
    <t>40110261</t>
  </si>
  <si>
    <t>104</t>
  </si>
  <si>
    <t>105</t>
  </si>
  <si>
    <t>115</t>
  </si>
  <si>
    <t>86462</t>
  </si>
  <si>
    <t>41111375</t>
  </si>
  <si>
    <t>116</t>
  </si>
  <si>
    <t>86476</t>
  </si>
  <si>
    <t>117</t>
  </si>
  <si>
    <t>86477</t>
  </si>
  <si>
    <t>118</t>
  </si>
  <si>
    <t>86840</t>
  </si>
  <si>
    <t>3</t>
  </si>
  <si>
    <t>40110027</t>
  </si>
  <si>
    <t>60520000</t>
  </si>
  <si>
    <t>4</t>
  </si>
  <si>
    <t>47112800</t>
  </si>
  <si>
    <t>5</t>
  </si>
  <si>
    <t>6</t>
  </si>
  <si>
    <t>7</t>
  </si>
  <si>
    <t>8</t>
  </si>
  <si>
    <t>317</t>
  </si>
  <si>
    <t>9</t>
  </si>
  <si>
    <t>9741110212202401</t>
  </si>
  <si>
    <t>40110072</t>
  </si>
  <si>
    <t>60510000</t>
  </si>
  <si>
    <t>26</t>
  </si>
  <si>
    <t>0188941</t>
  </si>
  <si>
    <t>40120686</t>
  </si>
  <si>
    <t>40110133</t>
  </si>
  <si>
    <t>60540000</t>
  </si>
  <si>
    <t>106</t>
  </si>
  <si>
    <t>28</t>
  </si>
  <si>
    <t>40110962</t>
  </si>
  <si>
    <t>62411000</t>
  </si>
  <si>
    <t>29</t>
  </si>
  <si>
    <t>40120665</t>
  </si>
  <si>
    <t>63810000</t>
  </si>
  <si>
    <t>30</t>
  </si>
  <si>
    <t>40110341</t>
  </si>
  <si>
    <t>31</t>
  </si>
  <si>
    <t>32</t>
  </si>
  <si>
    <t>0235662</t>
  </si>
  <si>
    <t>40111022</t>
  </si>
  <si>
    <t>33</t>
  </si>
  <si>
    <t>0235668</t>
  </si>
  <si>
    <t>35</t>
  </si>
  <si>
    <t>5100970101202501</t>
  </si>
  <si>
    <t>36</t>
  </si>
  <si>
    <t>5292900111202401</t>
  </si>
  <si>
    <t>37</t>
  </si>
  <si>
    <t>5127760111202401</t>
  </si>
  <si>
    <t>38</t>
  </si>
  <si>
    <t>2090010111202401</t>
  </si>
  <si>
    <t>39</t>
  </si>
  <si>
    <t>40</t>
  </si>
  <si>
    <t>41</t>
  </si>
  <si>
    <t>42</t>
  </si>
  <si>
    <t>8890732032025</t>
  </si>
  <si>
    <t>43</t>
  </si>
  <si>
    <t>8892042032025</t>
  </si>
  <si>
    <t>44</t>
  </si>
  <si>
    <t>8991929032025</t>
  </si>
  <si>
    <t>47467000</t>
  </si>
  <si>
    <t>45</t>
  </si>
  <si>
    <t>8991930032025</t>
  </si>
  <si>
    <t>46</t>
  </si>
  <si>
    <t>8998068032025</t>
  </si>
  <si>
    <t>52</t>
  </si>
  <si>
    <t>0001919</t>
  </si>
  <si>
    <t>53</t>
  </si>
  <si>
    <t>0001920</t>
  </si>
  <si>
    <t>54</t>
  </si>
  <si>
    <t>0001921</t>
  </si>
  <si>
    <t>55</t>
  </si>
  <si>
    <t>001922</t>
  </si>
  <si>
    <t>56</t>
  </si>
  <si>
    <t>0001923</t>
  </si>
  <si>
    <t>57</t>
  </si>
  <si>
    <t>0001962</t>
  </si>
  <si>
    <t>62</t>
  </si>
  <si>
    <t>0000064</t>
  </si>
  <si>
    <t>40110179</t>
  </si>
  <si>
    <t>41111871</t>
  </si>
  <si>
    <t>63</t>
  </si>
  <si>
    <t>0001867</t>
  </si>
  <si>
    <t>108</t>
  </si>
  <si>
    <t>109</t>
  </si>
  <si>
    <t>110</t>
  </si>
  <si>
    <t>125</t>
  </si>
  <si>
    <t>0000048</t>
  </si>
  <si>
    <t>157</t>
  </si>
  <si>
    <t>188</t>
  </si>
  <si>
    <t>0006456</t>
  </si>
  <si>
    <t>47110150</t>
  </si>
  <si>
    <t>64</t>
  </si>
  <si>
    <t>64611000</t>
  </si>
  <si>
    <t>64640000</t>
  </si>
  <si>
    <t>65</t>
  </si>
  <si>
    <t>40110014</t>
  </si>
  <si>
    <t>60440500</t>
  </si>
  <si>
    <t>66</t>
  </si>
  <si>
    <t>4031752646</t>
  </si>
  <si>
    <t>67</t>
  </si>
  <si>
    <t>70</t>
  </si>
  <si>
    <t>111</t>
  </si>
  <si>
    <t>136</t>
  </si>
  <si>
    <t>4166711</t>
  </si>
  <si>
    <t>169</t>
  </si>
  <si>
    <t>71</t>
  </si>
  <si>
    <t>44210300</t>
  </si>
  <si>
    <t>72</t>
  </si>
  <si>
    <t>74</t>
  </si>
  <si>
    <t>135</t>
  </si>
  <si>
    <t>73</t>
  </si>
  <si>
    <t>97</t>
  </si>
  <si>
    <t>0010</t>
  </si>
  <si>
    <t>112</t>
  </si>
  <si>
    <t>25100615</t>
  </si>
  <si>
    <t>40110941</t>
  </si>
  <si>
    <t>47310100</t>
  </si>
  <si>
    <t>113</t>
  </si>
  <si>
    <t>25100620</t>
  </si>
  <si>
    <t>114</t>
  </si>
  <si>
    <t>25100628</t>
  </si>
  <si>
    <t>170</t>
  </si>
  <si>
    <t>171</t>
  </si>
  <si>
    <t>172</t>
  </si>
  <si>
    <t>173</t>
  </si>
  <si>
    <t>174</t>
  </si>
  <si>
    <t>175</t>
  </si>
  <si>
    <t>176</t>
  </si>
  <si>
    <t>177</t>
  </si>
  <si>
    <t>75</t>
  </si>
  <si>
    <t>00176</t>
  </si>
  <si>
    <t>76</t>
  </si>
  <si>
    <t>00177</t>
  </si>
  <si>
    <t>77</t>
  </si>
  <si>
    <t>00178</t>
  </si>
  <si>
    <t>78</t>
  </si>
  <si>
    <t>00179</t>
  </si>
  <si>
    <t>79</t>
  </si>
  <si>
    <t>80</t>
  </si>
  <si>
    <t>00011</t>
  </si>
  <si>
    <t>47110120</t>
  </si>
  <si>
    <t>178</t>
  </si>
  <si>
    <t>86</t>
  </si>
  <si>
    <t>0000123</t>
  </si>
  <si>
    <t>87</t>
  </si>
  <si>
    <t>0000124</t>
  </si>
  <si>
    <t>122</t>
  </si>
  <si>
    <t>40110849</t>
  </si>
  <si>
    <t>146</t>
  </si>
  <si>
    <t>147</t>
  </si>
  <si>
    <t>148</t>
  </si>
  <si>
    <t>81</t>
  </si>
  <si>
    <t>000548</t>
  </si>
  <si>
    <t>83</t>
  </si>
  <si>
    <t>001385</t>
  </si>
  <si>
    <t>123</t>
  </si>
  <si>
    <t>0953</t>
  </si>
  <si>
    <t>82</t>
  </si>
  <si>
    <t>40110812</t>
  </si>
  <si>
    <t>60470000</t>
  </si>
  <si>
    <t>84</t>
  </si>
  <si>
    <t>40110290</t>
  </si>
  <si>
    <t>85</t>
  </si>
  <si>
    <t>88</t>
  </si>
  <si>
    <t>0000469</t>
  </si>
  <si>
    <t>89</t>
  </si>
  <si>
    <t>0000470</t>
  </si>
  <si>
    <t>124</t>
  </si>
  <si>
    <t>00146</t>
  </si>
  <si>
    <t>90</t>
  </si>
  <si>
    <t>40110031</t>
  </si>
  <si>
    <t>61600000</t>
  </si>
  <si>
    <t>91</t>
  </si>
  <si>
    <t>92</t>
  </si>
  <si>
    <t>0000103</t>
  </si>
  <si>
    <t>62410000</t>
  </si>
  <si>
    <t>98</t>
  </si>
  <si>
    <t>93</t>
  </si>
  <si>
    <t>0235671</t>
  </si>
  <si>
    <t>94</t>
  </si>
  <si>
    <t>0235673</t>
  </si>
  <si>
    <t>126</t>
  </si>
  <si>
    <t>0235680</t>
  </si>
  <si>
    <t>127</t>
  </si>
  <si>
    <t>0235687</t>
  </si>
  <si>
    <t>128</t>
  </si>
  <si>
    <t>0235688</t>
  </si>
  <si>
    <t>158</t>
  </si>
  <si>
    <t>168</t>
  </si>
  <si>
    <t>119</t>
  </si>
  <si>
    <t>87269</t>
  </si>
  <si>
    <t>120</t>
  </si>
  <si>
    <t>87323</t>
  </si>
  <si>
    <t>129</t>
  </si>
  <si>
    <t>0235690</t>
  </si>
  <si>
    <t>130</t>
  </si>
  <si>
    <t>001181</t>
  </si>
  <si>
    <t>131</t>
  </si>
  <si>
    <t>0000322</t>
  </si>
  <si>
    <t>40110860</t>
  </si>
  <si>
    <t>60470200</t>
  </si>
  <si>
    <t>132</t>
  </si>
  <si>
    <t>133</t>
  </si>
  <si>
    <t>0000450</t>
  </si>
  <si>
    <t>62230000</t>
  </si>
  <si>
    <t>134</t>
  </si>
  <si>
    <t>0000502</t>
  </si>
  <si>
    <t>179</t>
  </si>
  <si>
    <t>189</t>
  </si>
  <si>
    <t>121</t>
  </si>
  <si>
    <t>137</t>
  </si>
  <si>
    <t>0748127</t>
  </si>
  <si>
    <t>40120684</t>
  </si>
  <si>
    <t>138</t>
  </si>
  <si>
    <t>0748141</t>
  </si>
  <si>
    <t>139</t>
  </si>
  <si>
    <t>140</t>
  </si>
  <si>
    <t>0748146</t>
  </si>
  <si>
    <t>141</t>
  </si>
  <si>
    <t>0748147</t>
  </si>
  <si>
    <t>142</t>
  </si>
  <si>
    <t>143</t>
  </si>
  <si>
    <t>144</t>
  </si>
  <si>
    <t>145</t>
  </si>
  <si>
    <t>159</t>
  </si>
  <si>
    <t>0000125</t>
  </si>
  <si>
    <t>160</t>
  </si>
  <si>
    <t>0000126</t>
  </si>
  <si>
    <t>161</t>
  </si>
  <si>
    <t>0000128</t>
  </si>
  <si>
    <t>162</t>
  </si>
  <si>
    <t>0000442</t>
  </si>
  <si>
    <t>163</t>
  </si>
  <si>
    <t>164</t>
  </si>
  <si>
    <t>0000453</t>
  </si>
  <si>
    <t>167</t>
  </si>
  <si>
    <t>00180</t>
  </si>
  <si>
    <t>180</t>
  </si>
  <si>
    <t>41112000</t>
  </si>
  <si>
    <t>41111181</t>
  </si>
  <si>
    <t>47160000</t>
  </si>
  <si>
    <t>44210200</t>
  </si>
  <si>
    <t>52110100</t>
  </si>
  <si>
    <t>63180000</t>
  </si>
  <si>
    <t>58500000</t>
  </si>
  <si>
    <t>51400100</t>
  </si>
  <si>
    <t>41110000</t>
  </si>
  <si>
    <t>41111340</t>
  </si>
  <si>
    <t>16202001</t>
  </si>
  <si>
    <t>67120000</t>
  </si>
  <si>
    <t>41111160</t>
  </si>
  <si>
    <t>44410000</t>
  </si>
  <si>
    <t>40110831</t>
  </si>
  <si>
    <t>190</t>
  </si>
  <si>
    <t>191</t>
  </si>
  <si>
    <t>40120681</t>
  </si>
  <si>
    <t>198</t>
  </si>
  <si>
    <t>199</t>
  </si>
  <si>
    <t>200</t>
  </si>
  <si>
    <t>201</t>
  </si>
  <si>
    <t>41111818</t>
  </si>
  <si>
    <t>192</t>
  </si>
  <si>
    <t>42200000</t>
  </si>
  <si>
    <t>194</t>
  </si>
  <si>
    <t>195</t>
  </si>
  <si>
    <t>193</t>
  </si>
  <si>
    <t>196</t>
  </si>
  <si>
    <t>197</t>
  </si>
  <si>
    <t>27500200</t>
  </si>
  <si>
    <t>52110400</t>
  </si>
  <si>
    <t>40120604</t>
  </si>
  <si>
    <t>40110121</t>
  </si>
  <si>
    <t>44210400</t>
  </si>
  <si>
    <t>64630000</t>
  </si>
  <si>
    <t>51400400</t>
  </si>
  <si>
    <t>41111662</t>
  </si>
  <si>
    <t>41112001</t>
  </si>
  <si>
    <t>40210000</t>
  </si>
  <si>
    <t>52110500</t>
  </si>
  <si>
    <t>40110330</t>
  </si>
  <si>
    <t>44920100</t>
  </si>
  <si>
    <t>51400500</t>
  </si>
  <si>
    <t>40420000</t>
  </si>
  <si>
    <t>52110700</t>
  </si>
  <si>
    <t>41111833</t>
  </si>
  <si>
    <t>51400700</t>
  </si>
  <si>
    <t>16203000</t>
  </si>
  <si>
    <t>41111454</t>
  </si>
  <si>
    <t>52110800</t>
  </si>
  <si>
    <t>47100000</t>
  </si>
  <si>
    <t>42110000</t>
  </si>
  <si>
    <t>47112700</t>
  </si>
  <si>
    <t>41111929</t>
  </si>
  <si>
    <t>66310000</t>
  </si>
  <si>
    <t>41111930</t>
  </si>
  <si>
    <t>65889000</t>
  </si>
  <si>
    <t>41112009</t>
  </si>
  <si>
    <t>43130001</t>
  </si>
  <si>
    <t>43130000</t>
  </si>
  <si>
    <t>24951000</t>
  </si>
  <si>
    <t>41112014</t>
  </si>
  <si>
    <t>40111075</t>
  </si>
  <si>
    <t>16204000</t>
  </si>
  <si>
    <t>16205000</t>
  </si>
  <si>
    <t>40110499</t>
  </si>
  <si>
    <t>40110486</t>
  </si>
  <si>
    <t>52110900</t>
  </si>
  <si>
    <t>51400900</t>
  </si>
  <si>
    <t>41111864</t>
  </si>
  <si>
    <t>40119054</t>
  </si>
  <si>
    <t>40110015</t>
  </si>
  <si>
    <t>47120200</t>
  </si>
  <si>
    <t>16206000</t>
  </si>
  <si>
    <t>27500000</t>
  </si>
  <si>
    <t>57210100</t>
  </si>
  <si>
    <t>344</t>
  </si>
  <si>
    <t>57210400</t>
  </si>
  <si>
    <t>60420000</t>
  </si>
  <si>
    <t>345</t>
  </si>
  <si>
    <t>346</t>
  </si>
  <si>
    <t>61810100</t>
  </si>
  <si>
    <t>347</t>
  </si>
  <si>
    <t>348</t>
  </si>
  <si>
    <t>63883000</t>
  </si>
  <si>
    <t>349</t>
  </si>
  <si>
    <t>350</t>
  </si>
  <si>
    <t>351</t>
  </si>
  <si>
    <t>352</t>
  </si>
  <si>
    <t>353</t>
  </si>
  <si>
    <t>60470100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</si>
  <si>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</si>
  <si>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</si>
  <si>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</si>
  <si>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</si>
  <si>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</si>
  <si>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</si>
  <si>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</si>
  <si>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</si>
  <si>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</si>
  <si>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</si>
  <si>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</si>
  <si>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</si>
  <si>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</si>
  <si>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61830000</t>
  </si>
  <si>
    <t>367</t>
  </si>
  <si>
    <t>368</t>
  </si>
  <si>
    <t>369</t>
  </si>
  <si>
    <t>370</t>
  </si>
  <si>
    <t>371</t>
  </si>
  <si>
    <t>64685000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</si>
  <si>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</si>
  <si>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</si>
  <si>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</si>
  <si>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</si>
  <si>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</si>
  <si>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</si>
  <si>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</si>
  <si>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</si>
  <si>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</si>
  <si>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</si>
  <si>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</si>
  <si>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</si>
  <si>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</si>
  <si>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</si>
  <si>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</si>
  <si>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</si>
  <si>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</si>
  <si>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</si>
  <si>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</si>
  <si>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</si>
  <si>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</si>
  <si>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</si>
  <si>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</si>
  <si>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</si>
  <si>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</si>
  <si>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</si>
  <si>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</si>
  <si>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</si>
  <si>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</si>
  <si>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</si>
  <si>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</si>
  <si>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</si>
  <si>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</si>
  <si>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</si>
  <si>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</si>
  <si>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</si>
  <si>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</si>
  <si>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</si>
  <si>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</si>
  <si>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</si>
  <si>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</si>
  <si>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</si>
  <si>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</si>
  <si>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</si>
  <si>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</si>
  <si>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</si>
  <si>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</si>
  <si>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</si>
  <si>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60560000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</si>
  <si>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</si>
  <si>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</si>
  <si>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</si>
  <si>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</si>
  <si>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</si>
  <si>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</si>
  <si>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</si>
  <si>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</si>
  <si>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</si>
  <si>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</si>
  <si>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</si>
  <si>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</si>
  <si>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</si>
  <si>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</si>
  <si>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</si>
  <si>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</si>
  <si>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</si>
  <si>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</si>
  <si>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</si>
  <si>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</si>
  <si>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</si>
  <si>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</si>
  <si>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</si>
  <si>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</si>
  <si>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</si>
  <si>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</si>
  <si>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</si>
  <si>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</si>
  <si>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</si>
  <si>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</si>
  <si>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</si>
  <si>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</si>
  <si>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</si>
  <si>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</si>
  <si>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</si>
  <si>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</si>
  <si>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</si>
  <si>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</si>
  <si>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</si>
  <si>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</si>
  <si>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</si>
  <si>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</si>
  <si>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</si>
  <si>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</si>
  <si>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</si>
  <si>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</si>
  <si>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</si>
  <si>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</si>
  <si>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</si>
  <si>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</si>
  <si>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</si>
  <si>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</si>
  <si>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</si>
  <si>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</si>
  <si>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</si>
  <si>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</si>
  <si>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</si>
  <si>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</si>
  <si>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</si>
  <si>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</si>
  <si>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</si>
  <si>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</si>
  <si>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</si>
  <si>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</si>
  <si>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57210200</t>
  </si>
  <si>
    <t>57210300</t>
  </si>
  <si>
    <t>63170000</t>
  </si>
  <si>
    <t>17262</t>
  </si>
  <si>
    <t>57110200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</si>
  <si>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</si>
  <si>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</si>
  <si>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</si>
  <si>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</si>
  <si>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</si>
  <si>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</si>
  <si>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</si>
  <si>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</si>
  <si>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</si>
  <si>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</si>
  <si>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63830000</t>
  </si>
  <si>
    <t>17273</t>
  </si>
  <si>
    <t>17274</t>
  </si>
  <si>
    <t>17275</t>
  </si>
  <si>
    <t>17276</t>
  </si>
  <si>
    <t>17277</t>
  </si>
  <si>
    <t>17278</t>
  </si>
  <si>
    <t>62810000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</si>
  <si>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</si>
  <si>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</si>
  <si>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</si>
  <si>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</si>
  <si>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</si>
  <si>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</si>
  <si>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</si>
  <si>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</si>
  <si>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40120670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</si>
  <si>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</si>
  <si>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</si>
  <si>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</si>
  <si>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</si>
  <si>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</si>
  <si>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</si>
  <si>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</si>
  <si>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</si>
  <si>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</si>
  <si>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</si>
  <si>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</si>
  <si>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60440300</t>
  </si>
  <si>
    <t>17299</t>
  </si>
  <si>
    <t>17300</t>
  </si>
  <si>
    <t>17301</t>
  </si>
  <si>
    <t>17302</t>
  </si>
  <si>
    <t>17303</t>
  </si>
  <si>
    <t>1307</t>
  </si>
  <si>
    <t>47112600</t>
  </si>
  <si>
    <t>17034</t>
  </si>
  <si>
    <t>17305</t>
  </si>
  <si>
    <t>17306</t>
  </si>
  <si>
    <t>17307</t>
  </si>
  <si>
    <t>17308</t>
  </si>
  <si>
    <t>17309</t>
  </si>
  <si>
    <t>61810000</t>
  </si>
  <si>
    <t>17310</t>
  </si>
  <si>
    <t>17311</t>
  </si>
  <si>
    <t>17312</t>
  </si>
  <si>
    <t>17313</t>
  </si>
  <si>
    <t>17314</t>
  </si>
  <si>
    <t>17315</t>
  </si>
  <si>
    <t>17316</t>
  </si>
  <si>
    <t>40111985</t>
  </si>
  <si>
    <t>17317</t>
  </si>
  <si>
    <t>17318</t>
  </si>
  <si>
    <t>17319</t>
  </si>
  <si>
    <t>17320</t>
  </si>
  <si>
    <t>17321</t>
  </si>
  <si>
    <t>17322</t>
  </si>
  <si>
    <t>17323</t>
  </si>
  <si>
    <t>42130000</t>
  </si>
  <si>
    <t>00001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</si>
  <si>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</si>
  <si>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</si>
  <si>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</si>
  <si>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</si>
  <si>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</si>
  <si>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</si>
  <si>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</si>
  <si>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</si>
  <si>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</si>
  <si>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</si>
  <si>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</si>
  <si>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66830000</t>
  </si>
  <si>
    <t>17335</t>
  </si>
  <si>
    <t>17336</t>
  </si>
  <si>
    <t>17337</t>
  </si>
  <si>
    <t>17338</t>
  </si>
  <si>
    <t>17339</t>
  </si>
  <si>
    <t>17340</t>
  </si>
  <si>
    <t>65880000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</si>
  <si>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</si>
  <si>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</si>
  <si>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</si>
  <si>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</si>
  <si>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</si>
  <si>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</si>
  <si>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</si>
  <si>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</si>
  <si>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</si>
  <si>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</si>
  <si>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</si>
  <si>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62425000</t>
  </si>
  <si>
    <t>63280000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</si>
  <si>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</si>
  <si>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</si>
  <si>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</si>
  <si>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</si>
  <si>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</si>
  <si>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</si>
  <si>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</si>
  <si>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</si>
  <si>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</si>
  <si>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</si>
  <si>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</si>
  <si>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</si>
  <si>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</si>
  <si>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</si>
  <si>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</si>
  <si>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</si>
  <si>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</si>
  <si>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</si>
  <si>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</si>
  <si>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00006</t>
  </si>
  <si>
    <t>17371</t>
  </si>
  <si>
    <t>17372</t>
  </si>
  <si>
    <t>62720000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</si>
  <si>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</si>
  <si>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</si>
  <si>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</si>
  <si>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</si>
  <si>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</si>
  <si>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</si>
  <si>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</si>
  <si>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</si>
  <si>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</si>
  <si>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</si>
  <si>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</si>
  <si>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</si>
  <si>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</si>
  <si>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</si>
  <si>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</si>
  <si>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</si>
  <si>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</si>
  <si>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</si>
  <si>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</si>
  <si>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</si>
  <si>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</si>
  <si>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</si>
  <si>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</si>
  <si>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</si>
  <si>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</si>
  <si>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</si>
  <si>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</si>
  <si>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</si>
  <si>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</si>
  <si>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</si>
  <si>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</si>
  <si>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</si>
  <si>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</si>
  <si>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17394</t>
  </si>
  <si>
    <t>17395</t>
  </si>
  <si>
    <t>17396</t>
  </si>
  <si>
    <t>17397</t>
  </si>
  <si>
    <t>17398</t>
  </si>
  <si>
    <t>17399</t>
  </si>
  <si>
    <t>17400</t>
  </si>
  <si>
    <t>17451</t>
  </si>
  <si>
    <t>17452</t>
  </si>
  <si>
    <t>17453</t>
  </si>
  <si>
    <t>62650000</t>
  </si>
  <si>
    <t>1320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</si>
  <si>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</si>
  <si>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</si>
  <si>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</si>
  <si>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</si>
  <si>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</si>
  <si>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</si>
  <si>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</si>
  <si>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</si>
  <si>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</si>
  <si>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</si>
  <si>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</si>
  <si>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809</t>
  </si>
  <si>
    <t>17465</t>
  </si>
  <si>
    <t>810</t>
  </si>
  <si>
    <t>17466</t>
  </si>
  <si>
    <t>811</t>
  </si>
  <si>
    <t>17467</t>
  </si>
  <si>
    <t>812</t>
  </si>
  <si>
    <t>17468</t>
  </si>
  <si>
    <t>813</t>
  </si>
  <si>
    <t>17469</t>
  </si>
  <si>
    <t>814</t>
  </si>
  <si>
    <t>17470</t>
  </si>
  <si>
    <t>815</t>
  </si>
  <si>
    <t>17471</t>
  </si>
  <si>
    <t>816</t>
  </si>
  <si>
    <t>17472</t>
  </si>
  <si>
    <t>817</t>
  </si>
  <si>
    <t>17473</t>
  </si>
  <si>
    <t>818</t>
  </si>
  <si>
    <t>17474</t>
  </si>
  <si>
    <t>819</t>
  </si>
  <si>
    <t>17475</t>
  </si>
  <si>
    <t>820</t>
  </si>
  <si>
    <t>17476</t>
  </si>
  <si>
    <t>821</t>
  </si>
  <si>
    <t>17477</t>
  </si>
  <si>
    <t>822</t>
  </si>
  <si>
    <t>17478</t>
  </si>
  <si>
    <t>823</t>
  </si>
  <si>
    <t>17479</t>
  </si>
  <si>
    <t>824</t>
  </si>
  <si>
    <t>17480</t>
  </si>
  <si>
    <t>825</t>
  </si>
  <si>
    <t>17481</t>
  </si>
  <si>
    <t>826</t>
  </si>
  <si>
    <t>17482</t>
  </si>
  <si>
    <t>827</t>
  </si>
  <si>
    <t>17483</t>
  </si>
  <si>
    <t>828</t>
  </si>
  <si>
    <t>17484</t>
  </si>
  <si>
    <t>829</t>
  </si>
  <si>
    <t>17485</t>
  </si>
  <si>
    <t>830</t>
  </si>
  <si>
    <t>17486</t>
  </si>
  <si>
    <t>831</t>
  </si>
  <si>
    <t>17487</t>
  </si>
  <si>
    <t>832</t>
  </si>
  <si>
    <t>17488</t>
  </si>
  <si>
    <t>01424</t>
  </si>
  <si>
    <t>833</t>
  </si>
  <si>
    <t>17489</t>
  </si>
  <si>
    <t>834</t>
  </si>
  <si>
    <t>17490</t>
  </si>
  <si>
    <t>835</t>
  </si>
  <si>
    <t>17491</t>
  </si>
  <si>
    <t>836</t>
  </si>
  <si>
    <t>17492</t>
  </si>
  <si>
    <t>837</t>
  </si>
  <si>
    <t>17493</t>
  </si>
  <si>
    <t>838</t>
  </si>
  <si>
    <t>17494</t>
  </si>
  <si>
    <t>839</t>
  </si>
  <si>
    <t>17495</t>
  </si>
  <si>
    <t>840</t>
  </si>
  <si>
    <t>17496</t>
  </si>
  <si>
    <t>841</t>
  </si>
  <si>
    <t>17497</t>
  </si>
  <si>
    <t>842</t>
  </si>
  <si>
    <t>17498</t>
  </si>
  <si>
    <t>843</t>
  </si>
  <si>
    <t>17499</t>
  </si>
  <si>
    <t>844</t>
  </si>
  <si>
    <t>17500</t>
  </si>
  <si>
    <t>845</t>
  </si>
  <si>
    <t>15854</t>
  </si>
  <si>
    <t>846</t>
  </si>
  <si>
    <t>15855</t>
  </si>
  <si>
    <t>847</t>
  </si>
  <si>
    <t>15856</t>
  </si>
  <si>
    <t>848</t>
  </si>
  <si>
    <t>15857</t>
  </si>
  <si>
    <t>849</t>
  </si>
  <si>
    <t>1321</t>
  </si>
  <si>
    <t>850</t>
  </si>
  <si>
    <t>15858</t>
  </si>
  <si>
    <t>851</t>
  </si>
  <si>
    <t>15859</t>
  </si>
  <si>
    <t>852</t>
  </si>
  <si>
    <t>15860</t>
  </si>
  <si>
    <t>853</t>
  </si>
  <si>
    <t>15861</t>
  </si>
  <si>
    <t>854</t>
  </si>
  <si>
    <t>15862</t>
  </si>
  <si>
    <t>855</t>
  </si>
  <si>
    <t>15863</t>
  </si>
  <si>
    <t>856</t>
  </si>
  <si>
    <t>15864</t>
  </si>
  <si>
    <t>857</t>
  </si>
  <si>
    <t>15865</t>
  </si>
  <si>
    <t>858</t>
  </si>
  <si>
    <t>859</t>
  </si>
  <si>
    <t>15866</t>
  </si>
  <si>
    <t>860</t>
  </si>
  <si>
    <t>15867</t>
  </si>
  <si>
    <t>861</t>
  </si>
  <si>
    <t>15868</t>
  </si>
  <si>
    <t>862</t>
  </si>
  <si>
    <t>15869</t>
  </si>
  <si>
    <t>863</t>
  </si>
  <si>
    <t>15870</t>
  </si>
  <si>
    <t>864</t>
  </si>
  <si>
    <t>15871</t>
  </si>
  <si>
    <t>865</t>
  </si>
  <si>
    <t>15872</t>
  </si>
  <si>
    <t>866</t>
  </si>
  <si>
    <t>15873</t>
  </si>
  <si>
    <t>867</t>
  </si>
  <si>
    <t>15874</t>
  </si>
  <si>
    <t>868</t>
  </si>
  <si>
    <t>1322</t>
  </si>
  <si>
    <t>869</t>
  </si>
  <si>
    <t>15875</t>
  </si>
  <si>
    <t>870</t>
  </si>
  <si>
    <t>15876</t>
  </si>
  <si>
    <t>40110613</t>
  </si>
  <si>
    <t>871</t>
  </si>
  <si>
    <t>15877</t>
  </si>
  <si>
    <t>872</t>
  </si>
  <si>
    <t>15878</t>
  </si>
  <si>
    <t>873</t>
  </si>
  <si>
    <t>15879</t>
  </si>
  <si>
    <t>874</t>
  </si>
  <si>
    <t>15880</t>
  </si>
  <si>
    <t>875</t>
  </si>
  <si>
    <t>15881</t>
  </si>
  <si>
    <t>876</t>
  </si>
  <si>
    <t>15882</t>
  </si>
  <si>
    <t>877</t>
  </si>
  <si>
    <t>15883</t>
  </si>
  <si>
    <t>878</t>
  </si>
  <si>
    <t>15884</t>
  </si>
  <si>
    <t>879</t>
  </si>
  <si>
    <t>15885</t>
  </si>
  <si>
    <t>880</t>
  </si>
  <si>
    <t>15886</t>
  </si>
  <si>
    <t>881</t>
  </si>
  <si>
    <t>15887</t>
  </si>
  <si>
    <t>65820000</t>
  </si>
  <si>
    <t>882</t>
  </si>
  <si>
    <t>15888</t>
  </si>
  <si>
    <t>883</t>
  </si>
  <si>
    <t>15889</t>
  </si>
  <si>
    <t>884</t>
  </si>
  <si>
    <t>15890</t>
  </si>
  <si>
    <t>885</t>
  </si>
  <si>
    <t>15891</t>
  </si>
  <si>
    <t>00004</t>
  </si>
  <si>
    <t>41111237</t>
  </si>
  <si>
    <t>41111916</t>
  </si>
  <si>
    <t>41111371</t>
  </si>
  <si>
    <t>41101420</t>
  </si>
  <si>
    <t>41111415</t>
  </si>
  <si>
    <t>41111259</t>
  </si>
  <si>
    <t>41111643</t>
  </si>
  <si>
    <t>41111169</t>
  </si>
  <si>
    <t>41111200</t>
  </si>
  <si>
    <t>56100100</t>
  </si>
  <si>
    <t>24700000</t>
  </si>
  <si>
    <t>44510000</t>
  </si>
  <si>
    <t>62430000</t>
  </si>
  <si>
    <t>23800000</t>
  </si>
  <si>
    <t>40110944</t>
  </si>
  <si>
    <t>103148</t>
  </si>
  <si>
    <t>0000096</t>
  </si>
  <si>
    <t>24420000</t>
  </si>
  <si>
    <t>103271</t>
  </si>
  <si>
    <t>23510000</t>
  </si>
  <si>
    <t>0000031</t>
  </si>
  <si>
    <t>0104809</t>
  </si>
  <si>
    <t>24410000</t>
  </si>
  <si>
    <t>40112047</t>
  </si>
  <si>
    <t>40810000</t>
  </si>
  <si>
    <t>40110157</t>
  </si>
  <si>
    <t>19610000</t>
  </si>
  <si>
    <t>69110030</t>
  </si>
  <si>
    <t>44320000</t>
  </si>
  <si>
    <t>44510100</t>
  </si>
  <si>
    <t>44510200</t>
  </si>
  <si>
    <t>41810000</t>
  </si>
  <si>
    <t>70610010</t>
  </si>
  <si>
    <t>70610012</t>
  </si>
  <si>
    <t>70610020</t>
  </si>
  <si>
    <t>70610030</t>
  </si>
  <si>
    <t>70610040</t>
  </si>
  <si>
    <t>70610050</t>
  </si>
  <si>
    <t>70690000</t>
  </si>
  <si>
    <t>44310000</t>
  </si>
  <si>
    <t>47110130</t>
  </si>
  <si>
    <t>17300019</t>
  </si>
  <si>
    <t>67210000</t>
  </si>
  <si>
    <t>17300020</t>
  </si>
  <si>
    <t>17300021</t>
  </si>
  <si>
    <t>17300027</t>
  </si>
  <si>
    <t>17300043</t>
  </si>
  <si>
    <t>17300042</t>
  </si>
  <si>
    <t>17300041</t>
  </si>
  <si>
    <t>17300040</t>
  </si>
  <si>
    <t>17300039</t>
  </si>
  <si>
    <t>17300037</t>
  </si>
  <si>
    <t>17300044</t>
  </si>
  <si>
    <t>17300045</t>
  </si>
  <si>
    <t>17300046</t>
  </si>
  <si>
    <t>17300034</t>
  </si>
  <si>
    <t>17300031</t>
  </si>
  <si>
    <t>17300032</t>
  </si>
  <si>
    <t>17300024</t>
  </si>
  <si>
    <t>17300025</t>
  </si>
  <si>
    <t>17300026</t>
  </si>
  <si>
    <t>17300028</t>
  </si>
  <si>
    <t>17300029</t>
  </si>
  <si>
    <t>17300036</t>
  </si>
  <si>
    <t>17300047</t>
  </si>
  <si>
    <t>17300048</t>
  </si>
  <si>
    <t>17300049</t>
  </si>
  <si>
    <t>41111710</t>
  </si>
  <si>
    <t>41620000</t>
  </si>
  <si>
    <t>41111595</t>
  </si>
  <si>
    <t>49120000</t>
  </si>
  <si>
    <t>65940000</t>
  </si>
  <si>
    <t>44601000</t>
  </si>
  <si>
    <t>64501000</t>
  </si>
  <si>
    <t>17300017</t>
  </si>
  <si>
    <t>17300018</t>
  </si>
  <si>
    <t>60410000</t>
  </si>
  <si>
    <t>28131000</t>
  </si>
  <si>
    <t>28140000</t>
  </si>
  <si>
    <t>28240000</t>
  </si>
  <si>
    <t>28313000</t>
  </si>
  <si>
    <t>28320000</t>
  </si>
  <si>
    <t>28341000</t>
  </si>
  <si>
    <t>28350000</t>
  </si>
  <si>
    <t>28380000</t>
  </si>
  <si>
    <t>28411000</t>
  </si>
  <si>
    <t>28441000</t>
  </si>
  <si>
    <t>28442000</t>
  </si>
  <si>
    <t>28444000</t>
  </si>
  <si>
    <t>28447000</t>
  </si>
  <si>
    <t>28451000</t>
  </si>
  <si>
    <t>28451010</t>
  </si>
  <si>
    <t>28451100</t>
  </si>
  <si>
    <t>28451200</t>
  </si>
  <si>
    <t>68120000</t>
  </si>
  <si>
    <t>68130000</t>
  </si>
  <si>
    <t>46212000</t>
  </si>
  <si>
    <t>67130100</t>
  </si>
  <si>
    <t>16860000</t>
  </si>
  <si>
    <t>67410000</t>
  </si>
  <si>
    <t>41111384</t>
  </si>
  <si>
    <t>43180000</t>
  </si>
  <si>
    <t>60520100</t>
  </si>
  <si>
    <t>63240100</t>
  </si>
  <si>
    <t>75940000</t>
  </si>
  <si>
    <t>17300022</t>
  </si>
  <si>
    <t>40110597</t>
  </si>
  <si>
    <t>42120000</t>
  </si>
  <si>
    <t>1448</t>
  </si>
  <si>
    <t>40112035</t>
  </si>
  <si>
    <t>41410000</t>
  </si>
  <si>
    <t>42110100</t>
  </si>
  <si>
    <t>44720000</t>
  </si>
  <si>
    <t>44721000</t>
  </si>
  <si>
    <t>44721200</t>
  </si>
  <si>
    <t>64140000</t>
  </si>
  <si>
    <t>64150000</t>
  </si>
  <si>
    <t>66110000</t>
  </si>
  <si>
    <t>66110100</t>
  </si>
  <si>
    <t>66120010</t>
  </si>
  <si>
    <t>66120100</t>
  </si>
  <si>
    <t>66120200</t>
  </si>
  <si>
    <t>66120300</t>
  </si>
  <si>
    <t>66130000</t>
  </si>
  <si>
    <t>66140000</t>
  </si>
  <si>
    <t>66320000</t>
  </si>
  <si>
    <t>66340000</t>
  </si>
  <si>
    <t>66411000</t>
  </si>
  <si>
    <t>66412000</t>
  </si>
  <si>
    <t>66413000</t>
  </si>
  <si>
    <t>42200100</t>
  </si>
  <si>
    <t>66182000</t>
  </si>
  <si>
    <t>55810200</t>
  </si>
  <si>
    <t>55410500</t>
  </si>
  <si>
    <t>66181000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</si>
  <si>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</si>
  <si>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</si>
  <si>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</si>
  <si>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</si>
  <si>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</si>
  <si>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</si>
  <si>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</si>
  <si>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</si>
  <si>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</si>
  <si>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1170</t>
  </si>
  <si>
    <t>181173</t>
  </si>
  <si>
    <t>60440000</t>
  </si>
  <si>
    <t>60440001</t>
  </si>
  <si>
    <t>1171</t>
  </si>
  <si>
    <t>181165</t>
  </si>
  <si>
    <t>1172</t>
  </si>
  <si>
    <t>181196</t>
  </si>
  <si>
    <t>1173</t>
  </si>
  <si>
    <t>181179</t>
  </si>
  <si>
    <t>1174</t>
  </si>
  <si>
    <t>183406</t>
  </si>
  <si>
    <t>1175</t>
  </si>
  <si>
    <t>181167</t>
  </si>
  <si>
    <t>1176</t>
  </si>
  <si>
    <t>181190</t>
  </si>
  <si>
    <t>1177</t>
  </si>
  <si>
    <t>181176</t>
  </si>
  <si>
    <t>1178</t>
  </si>
  <si>
    <t>182309</t>
  </si>
  <si>
    <t>1179</t>
  </si>
  <si>
    <t>182414</t>
  </si>
  <si>
    <t>60460000</t>
  </si>
  <si>
    <t>60440004</t>
  </si>
  <si>
    <t>1180</t>
  </si>
  <si>
    <t>182481</t>
  </si>
  <si>
    <t>1181</t>
  </si>
  <si>
    <t>182479</t>
  </si>
  <si>
    <t>1182</t>
  </si>
  <si>
    <t>182311</t>
  </si>
  <si>
    <t>1183</t>
  </si>
  <si>
    <t>180374</t>
  </si>
  <si>
    <t>60440002</t>
  </si>
  <si>
    <t>1184</t>
  </si>
  <si>
    <t>60430000</t>
  </si>
  <si>
    <t>60440003</t>
  </si>
  <si>
    <t>1185</t>
  </si>
  <si>
    <t>1186</t>
  </si>
  <si>
    <t>181182</t>
  </si>
  <si>
    <t>1187</t>
  </si>
  <si>
    <t>1188</t>
  </si>
  <si>
    <t>182312</t>
  </si>
  <si>
    <t>1189</t>
  </si>
  <si>
    <t>181172</t>
  </si>
  <si>
    <t>1153</t>
  </si>
  <si>
    <t>180348</t>
  </si>
  <si>
    <t>1154</t>
  </si>
  <si>
    <t>182482</t>
  </si>
  <si>
    <t>1155</t>
  </si>
  <si>
    <t>1156</t>
  </si>
  <si>
    <t>182485</t>
  </si>
  <si>
    <t>1157</t>
  </si>
  <si>
    <t>182484</t>
  </si>
  <si>
    <t>1158</t>
  </si>
  <si>
    <t>1159</t>
  </si>
  <si>
    <t>182483</t>
  </si>
  <si>
    <t>1160</t>
  </si>
  <si>
    <t>182486</t>
  </si>
  <si>
    <t>1161</t>
  </si>
  <si>
    <t>182487</t>
  </si>
  <si>
    <t>1162</t>
  </si>
  <si>
    <t>182488</t>
  </si>
  <si>
    <t>1163</t>
  </si>
  <si>
    <t>1164</t>
  </si>
  <si>
    <t>182489</t>
  </si>
  <si>
    <t>1165</t>
  </si>
  <si>
    <t>1166</t>
  </si>
  <si>
    <t>182313</t>
  </si>
  <si>
    <t>1167</t>
  </si>
  <si>
    <t>182314</t>
  </si>
  <si>
    <t>1168</t>
  </si>
  <si>
    <t>1169</t>
  </si>
  <si>
    <t>182415</t>
  </si>
  <si>
    <t>147254</t>
  </si>
  <si>
    <t>181234</t>
  </si>
  <si>
    <t>181233</t>
  </si>
  <si>
    <t>181231</t>
  </si>
  <si>
    <t>183501</t>
  </si>
  <si>
    <t>181189</t>
  </si>
  <si>
    <t>181183</t>
  </si>
  <si>
    <t>181199</t>
  </si>
  <si>
    <t>181193</t>
  </si>
  <si>
    <t>181192</t>
  </si>
  <si>
    <t>182015</t>
  </si>
  <si>
    <t>182073</t>
  </si>
  <si>
    <t>181236</t>
  </si>
  <si>
    <t>181235</t>
  </si>
  <si>
    <t>181837</t>
  </si>
  <si>
    <t>180947</t>
  </si>
  <si>
    <t>181230</t>
  </si>
  <si>
    <t>182494</t>
  </si>
  <si>
    <t>182495</t>
  </si>
  <si>
    <t>182496</t>
  </si>
  <si>
    <t>182497</t>
  </si>
  <si>
    <t>182188</t>
  </si>
  <si>
    <t>182125</t>
  </si>
  <si>
    <t>183502</t>
  </si>
  <si>
    <t>182129</t>
  </si>
  <si>
    <t>182123</t>
  </si>
  <si>
    <t>182124</t>
  </si>
  <si>
    <t>182490</t>
  </si>
  <si>
    <t>181187</t>
  </si>
  <si>
    <t>183312</t>
  </si>
  <si>
    <t>182491</t>
  </si>
  <si>
    <t>182492</t>
  </si>
  <si>
    <t>182493</t>
  </si>
  <si>
    <t>182122</t>
  </si>
  <si>
    <t>181186</t>
  </si>
  <si>
    <t>182127</t>
  </si>
  <si>
    <t>182187</t>
  </si>
  <si>
    <t>182421</t>
  </si>
  <si>
    <t>181918</t>
  </si>
  <si>
    <t>181919</t>
  </si>
  <si>
    <t>182317</t>
  </si>
  <si>
    <t>182315</t>
  </si>
  <si>
    <t>182316</t>
  </si>
  <si>
    <t>182318</t>
  </si>
  <si>
    <t>182319</t>
  </si>
  <si>
    <t>182320</t>
  </si>
  <si>
    <t>181168</t>
  </si>
  <si>
    <t>182416</t>
  </si>
  <si>
    <t>181169</t>
  </si>
  <si>
    <t>182417</t>
  </si>
  <si>
    <t>182418</t>
  </si>
  <si>
    <t>182419</t>
  </si>
  <si>
    <t>182420</t>
  </si>
  <si>
    <t>147256</t>
  </si>
  <si>
    <t>170685</t>
  </si>
  <si>
    <t>170683</t>
  </si>
  <si>
    <t>170531</t>
  </si>
  <si>
    <t>181237</t>
  </si>
  <si>
    <t>183407</t>
  </si>
  <si>
    <t>181785</t>
  </si>
  <si>
    <t>181784</t>
  </si>
  <si>
    <t>180183</t>
  </si>
  <si>
    <t>181764</t>
  </si>
  <si>
    <t>181000</t>
  </si>
  <si>
    <t>180177</t>
  </si>
  <si>
    <t>181754</t>
  </si>
  <si>
    <t>162585</t>
  </si>
  <si>
    <t>180175</t>
  </si>
  <si>
    <t>181776</t>
  </si>
  <si>
    <t>180185</t>
  </si>
  <si>
    <t>181777</t>
  </si>
  <si>
    <t>180182</t>
  </si>
  <si>
    <t>179578</t>
  </si>
  <si>
    <t>180170</t>
  </si>
  <si>
    <t>179793</t>
  </si>
  <si>
    <t>180178</t>
  </si>
  <si>
    <t>180184</t>
  </si>
  <si>
    <t>180186</t>
  </si>
  <si>
    <t>181888</t>
  </si>
  <si>
    <t>181994</t>
  </si>
  <si>
    <t>181880</t>
  </si>
  <si>
    <t>180188</t>
  </si>
  <si>
    <t>183453</t>
  </si>
  <si>
    <t>183452</t>
  </si>
  <si>
    <t>183455</t>
  </si>
  <si>
    <t>182131</t>
  </si>
  <si>
    <t>182130</t>
  </si>
  <si>
    <t>183273</t>
  </si>
  <si>
    <t>183272</t>
  </si>
  <si>
    <t>183269</t>
  </si>
  <si>
    <t>181921</t>
  </si>
  <si>
    <t>177505</t>
  </si>
  <si>
    <t>177506</t>
  </si>
  <si>
    <t>182011</t>
  </si>
  <si>
    <t>177507</t>
  </si>
  <si>
    <t>182012</t>
  </si>
  <si>
    <t>183274</t>
  </si>
  <si>
    <t>886</t>
  </si>
  <si>
    <t>2506</t>
  </si>
  <si>
    <t>887</t>
  </si>
  <si>
    <t>182013</t>
  </si>
  <si>
    <t>888</t>
  </si>
  <si>
    <t>182014</t>
  </si>
  <si>
    <t>889</t>
  </si>
  <si>
    <t>182323</t>
  </si>
  <si>
    <t>890</t>
  </si>
  <si>
    <t>182075</t>
  </si>
  <si>
    <t>891</t>
  </si>
  <si>
    <t>182016</t>
  </si>
  <si>
    <t>892</t>
  </si>
  <si>
    <t>893</t>
  </si>
  <si>
    <t>182324</t>
  </si>
  <si>
    <t>894</t>
  </si>
  <si>
    <t>183271</t>
  </si>
  <si>
    <t>895</t>
  </si>
  <si>
    <t>182325</t>
  </si>
  <si>
    <t>896</t>
  </si>
  <si>
    <t>183268</t>
  </si>
  <si>
    <t>897</t>
  </si>
  <si>
    <t>182326</t>
  </si>
  <si>
    <t>898</t>
  </si>
  <si>
    <t>182327</t>
  </si>
  <si>
    <t>899</t>
  </si>
  <si>
    <t>180197</t>
  </si>
  <si>
    <t>900</t>
  </si>
  <si>
    <t>182328</t>
  </si>
  <si>
    <t>901</t>
  </si>
  <si>
    <t>182329</t>
  </si>
  <si>
    <t>902</t>
  </si>
  <si>
    <t>183270</t>
  </si>
  <si>
    <t>903</t>
  </si>
  <si>
    <t>183267</t>
  </si>
  <si>
    <t>904</t>
  </si>
  <si>
    <t>182498</t>
  </si>
  <si>
    <t>905</t>
  </si>
  <si>
    <t>182499</t>
  </si>
  <si>
    <t>906</t>
  </si>
  <si>
    <t>182500</t>
  </si>
  <si>
    <t>907</t>
  </si>
  <si>
    <t>182190</t>
  </si>
  <si>
    <t>908</t>
  </si>
  <si>
    <t>909</t>
  </si>
  <si>
    <t>182189</t>
  </si>
  <si>
    <t>910</t>
  </si>
  <si>
    <t>177501</t>
  </si>
  <si>
    <t>911</t>
  </si>
  <si>
    <t>182076</t>
  </si>
  <si>
    <t>912</t>
  </si>
  <si>
    <t>183317</t>
  </si>
  <si>
    <t>913</t>
  </si>
  <si>
    <t>181838</t>
  </si>
  <si>
    <t>914</t>
  </si>
  <si>
    <t>177502</t>
  </si>
  <si>
    <t>915</t>
  </si>
  <si>
    <t>181239</t>
  </si>
  <si>
    <t>916</t>
  </si>
  <si>
    <t>917</t>
  </si>
  <si>
    <t>177503</t>
  </si>
  <si>
    <t>918</t>
  </si>
  <si>
    <t>181238</t>
  </si>
  <si>
    <t>919</t>
  </si>
  <si>
    <t>177504</t>
  </si>
  <si>
    <t>920</t>
  </si>
  <si>
    <t>921</t>
  </si>
  <si>
    <t>182422</t>
  </si>
  <si>
    <t>922</t>
  </si>
  <si>
    <t>182423</t>
  </si>
  <si>
    <t>923</t>
  </si>
  <si>
    <t>182322</t>
  </si>
  <si>
    <t>924</t>
  </si>
  <si>
    <t>183454</t>
  </si>
  <si>
    <t>925</t>
  </si>
  <si>
    <t>180350</t>
  </si>
  <si>
    <t>926</t>
  </si>
  <si>
    <t>180349</t>
  </si>
  <si>
    <t>927</t>
  </si>
  <si>
    <t>147260</t>
  </si>
  <si>
    <t>928</t>
  </si>
  <si>
    <t>147206</t>
  </si>
  <si>
    <t>929</t>
  </si>
  <si>
    <t>147259</t>
  </si>
  <si>
    <t>930</t>
  </si>
  <si>
    <t>183276</t>
  </si>
  <si>
    <t>931</t>
  </si>
  <si>
    <t>183275</t>
  </si>
  <si>
    <t>932</t>
  </si>
  <si>
    <t>183279</t>
  </si>
  <si>
    <t>933</t>
  </si>
  <si>
    <t>934</t>
  </si>
  <si>
    <t>183278</t>
  </si>
  <si>
    <t>935</t>
  </si>
  <si>
    <t>936</t>
  </si>
  <si>
    <t>183503</t>
  </si>
  <si>
    <t>937</t>
  </si>
  <si>
    <t>181175</t>
  </si>
  <si>
    <t>938</t>
  </si>
  <si>
    <t>939</t>
  </si>
  <si>
    <t>177508</t>
  </si>
  <si>
    <t>940</t>
  </si>
  <si>
    <t>177509</t>
  </si>
  <si>
    <t>941</t>
  </si>
  <si>
    <t>180069</t>
  </si>
  <si>
    <t>942</t>
  </si>
  <si>
    <t>177510</t>
  </si>
  <si>
    <t>943</t>
  </si>
  <si>
    <t>177511</t>
  </si>
  <si>
    <t>944</t>
  </si>
  <si>
    <t>183277</t>
  </si>
  <si>
    <t>945</t>
  </si>
  <si>
    <t>182330</t>
  </si>
  <si>
    <t>946</t>
  </si>
  <si>
    <t>180199</t>
  </si>
  <si>
    <t>947</t>
  </si>
  <si>
    <t>182331</t>
  </si>
  <si>
    <t>948</t>
  </si>
  <si>
    <t>182332</t>
  </si>
  <si>
    <t>949</t>
  </si>
  <si>
    <t>182333</t>
  </si>
  <si>
    <t>950</t>
  </si>
  <si>
    <t>180198</t>
  </si>
  <si>
    <t>951</t>
  </si>
  <si>
    <t>182334</t>
  </si>
  <si>
    <t>952</t>
  </si>
  <si>
    <t>182335</t>
  </si>
  <si>
    <t>953</t>
  </si>
  <si>
    <t>177512</t>
  </si>
  <si>
    <t>954</t>
  </si>
  <si>
    <t>177518</t>
  </si>
  <si>
    <t>955</t>
  </si>
  <si>
    <t>177514</t>
  </si>
  <si>
    <t>956</t>
  </si>
  <si>
    <t>182251</t>
  </si>
  <si>
    <t>957</t>
  </si>
  <si>
    <t>182252</t>
  </si>
  <si>
    <t>958</t>
  </si>
  <si>
    <t>183320</t>
  </si>
  <si>
    <t>959</t>
  </si>
  <si>
    <t>177515</t>
  </si>
  <si>
    <t>960</t>
  </si>
  <si>
    <t>182424</t>
  </si>
  <si>
    <t>961</t>
  </si>
  <si>
    <t>177517</t>
  </si>
  <si>
    <t>962</t>
  </si>
  <si>
    <t>183318</t>
  </si>
  <si>
    <t>963</t>
  </si>
  <si>
    <t>183319</t>
  </si>
  <si>
    <t>964</t>
  </si>
  <si>
    <t>182078</t>
  </si>
  <si>
    <t>965</t>
  </si>
  <si>
    <t>180845</t>
  </si>
  <si>
    <t>966</t>
  </si>
  <si>
    <t>183451</t>
  </si>
  <si>
    <t>967</t>
  </si>
  <si>
    <t>183456</t>
  </si>
  <si>
    <t>968</t>
  </si>
  <si>
    <t>180846</t>
  </si>
  <si>
    <t>969</t>
  </si>
  <si>
    <t>182425</t>
  </si>
  <si>
    <t>970</t>
  </si>
  <si>
    <t>182079</t>
  </si>
  <si>
    <t>971</t>
  </si>
  <si>
    <t>182426</t>
  </si>
  <si>
    <t>972</t>
  </si>
  <si>
    <t>182132</t>
  </si>
  <si>
    <t>973</t>
  </si>
  <si>
    <t>183280</t>
  </si>
  <si>
    <t>974</t>
  </si>
  <si>
    <t>170686</t>
  </si>
  <si>
    <t>975</t>
  </si>
  <si>
    <t>147261</t>
  </si>
  <si>
    <t>976</t>
  </si>
  <si>
    <t>179803</t>
  </si>
  <si>
    <t>977</t>
  </si>
  <si>
    <t>178443</t>
  </si>
  <si>
    <t>978</t>
  </si>
  <si>
    <t>178439</t>
  </si>
  <si>
    <t>979</t>
  </si>
  <si>
    <t>183323</t>
  </si>
  <si>
    <t>980</t>
  </si>
  <si>
    <t>183457</t>
  </si>
  <si>
    <t>981</t>
  </si>
  <si>
    <t>183321</t>
  </si>
  <si>
    <t>982</t>
  </si>
  <si>
    <t>1822133</t>
  </si>
  <si>
    <t>983</t>
  </si>
  <si>
    <t>182194</t>
  </si>
  <si>
    <t>984</t>
  </si>
  <si>
    <t>182193</t>
  </si>
  <si>
    <t>985</t>
  </si>
  <si>
    <t>182192</t>
  </si>
  <si>
    <t>986</t>
  </si>
  <si>
    <t>183281</t>
  </si>
  <si>
    <t>987</t>
  </si>
  <si>
    <t>183282</t>
  </si>
  <si>
    <t>988</t>
  </si>
  <si>
    <t>989</t>
  </si>
  <si>
    <t>177521</t>
  </si>
  <si>
    <t>990</t>
  </si>
  <si>
    <t>991</t>
  </si>
  <si>
    <t>177522</t>
  </si>
  <si>
    <t>992</t>
  </si>
  <si>
    <t>177523</t>
  </si>
  <si>
    <t>993</t>
  </si>
  <si>
    <t>177524</t>
  </si>
  <si>
    <t>994</t>
  </si>
  <si>
    <t>182429</t>
  </si>
  <si>
    <t>995</t>
  </si>
  <si>
    <t>182253</t>
  </si>
  <si>
    <t>996</t>
  </si>
  <si>
    <t>997</t>
  </si>
  <si>
    <t>998</t>
  </si>
  <si>
    <t>177519</t>
  </si>
  <si>
    <t>999</t>
  </si>
  <si>
    <t>177520</t>
  </si>
  <si>
    <t>1000</t>
  </si>
  <si>
    <t>182427</t>
  </si>
  <si>
    <t>1001</t>
  </si>
  <si>
    <t>182428</t>
  </si>
  <si>
    <t>1002</t>
  </si>
  <si>
    <t>180358</t>
  </si>
  <si>
    <t>1003</t>
  </si>
  <si>
    <t>180361</t>
  </si>
  <si>
    <t>1004</t>
  </si>
  <si>
    <t>182134</t>
  </si>
  <si>
    <t>1005</t>
  </si>
  <si>
    <t>177672</t>
  </si>
  <si>
    <t>1006</t>
  </si>
  <si>
    <t>183324</t>
  </si>
  <si>
    <t>1007</t>
  </si>
  <si>
    <t>181922</t>
  </si>
  <si>
    <t>1008</t>
  </si>
  <si>
    <t>183284</t>
  </si>
  <si>
    <t>1009</t>
  </si>
  <si>
    <t>183286</t>
  </si>
  <si>
    <t>1010</t>
  </si>
  <si>
    <t>183285</t>
  </si>
  <si>
    <t>1011</t>
  </si>
  <si>
    <t>177966</t>
  </si>
  <si>
    <t>1012</t>
  </si>
  <si>
    <t>179553</t>
  </si>
  <si>
    <t>1013</t>
  </si>
  <si>
    <t>179434</t>
  </si>
  <si>
    <t>1014</t>
  </si>
  <si>
    <t>182066</t>
  </si>
  <si>
    <t>1015</t>
  </si>
  <si>
    <t>180943</t>
  </si>
  <si>
    <t>1016</t>
  </si>
  <si>
    <t>181975</t>
  </si>
  <si>
    <t>1017</t>
  </si>
  <si>
    <t>181721</t>
  </si>
  <si>
    <t>1018</t>
  </si>
  <si>
    <t>180062</t>
  </si>
  <si>
    <t>1019</t>
  </si>
  <si>
    <t>180139</t>
  </si>
  <si>
    <t>1020</t>
  </si>
  <si>
    <t>180131</t>
  </si>
  <si>
    <t>1021</t>
  </si>
  <si>
    <t>181971</t>
  </si>
  <si>
    <t>1022</t>
  </si>
  <si>
    <t>147207</t>
  </si>
  <si>
    <t>1023</t>
  </si>
  <si>
    <t>181811</t>
  </si>
  <si>
    <t>1024</t>
  </si>
  <si>
    <t>181719</t>
  </si>
  <si>
    <t>1025</t>
  </si>
  <si>
    <t>179885</t>
  </si>
  <si>
    <t>1026</t>
  </si>
  <si>
    <t>181868</t>
  </si>
  <si>
    <t>1027</t>
  </si>
  <si>
    <t>181720</t>
  </si>
  <si>
    <t>1028</t>
  </si>
  <si>
    <t>180060</t>
  </si>
  <si>
    <t>1029</t>
  </si>
  <si>
    <t>1030</t>
  </si>
  <si>
    <t>181995</t>
  </si>
  <si>
    <t>1031</t>
  </si>
  <si>
    <t>181821</t>
  </si>
  <si>
    <t>1032</t>
  </si>
  <si>
    <t>181990</t>
  </si>
  <si>
    <t>1033</t>
  </si>
  <si>
    <t>1034</t>
  </si>
  <si>
    <t>1035</t>
  </si>
  <si>
    <t>1036</t>
  </si>
  <si>
    <t>182053</t>
  </si>
  <si>
    <t>1037</t>
  </si>
  <si>
    <t>181870</t>
  </si>
  <si>
    <t>1038</t>
  </si>
  <si>
    <t>182058</t>
  </si>
  <si>
    <t>1039</t>
  </si>
  <si>
    <t>181729</t>
  </si>
  <si>
    <t>1040</t>
  </si>
  <si>
    <t>181823</t>
  </si>
  <si>
    <t>1041</t>
  </si>
  <si>
    <t>181822</t>
  </si>
  <si>
    <t>1042</t>
  </si>
  <si>
    <t>181988</t>
  </si>
  <si>
    <t>1043</t>
  </si>
  <si>
    <t>181191</t>
  </si>
  <si>
    <t>1044</t>
  </si>
  <si>
    <t>1045</t>
  </si>
  <si>
    <t>183289</t>
  </si>
  <si>
    <t>1046</t>
  </si>
  <si>
    <t>183287</t>
  </si>
  <si>
    <t>1047</t>
  </si>
  <si>
    <t>182136</t>
  </si>
  <si>
    <t>1048</t>
  </si>
  <si>
    <t>181866</t>
  </si>
  <si>
    <t>1049</t>
  </si>
  <si>
    <t>181718</t>
  </si>
  <si>
    <t>1050</t>
  </si>
  <si>
    <t>181814</t>
  </si>
  <si>
    <t>1051</t>
  </si>
  <si>
    <t>179880</t>
  </si>
  <si>
    <t>1052</t>
  </si>
  <si>
    <t>181813</t>
  </si>
  <si>
    <t>1053</t>
  </si>
  <si>
    <t>182052</t>
  </si>
  <si>
    <t>1054</t>
  </si>
  <si>
    <t>181723</t>
  </si>
  <si>
    <t>1055</t>
  </si>
  <si>
    <t>181804</t>
  </si>
  <si>
    <t>1056</t>
  </si>
  <si>
    <t>181973</t>
  </si>
  <si>
    <t>1057</t>
  </si>
  <si>
    <t>181722</t>
  </si>
  <si>
    <t>1058</t>
  </si>
  <si>
    <t>180129</t>
  </si>
  <si>
    <t>1059</t>
  </si>
  <si>
    <t>180762</t>
  </si>
  <si>
    <t>1060</t>
  </si>
  <si>
    <t>174446</t>
  </si>
  <si>
    <t>1061</t>
  </si>
  <si>
    <t>181982</t>
  </si>
  <si>
    <t>1062</t>
  </si>
  <si>
    <t>182055</t>
  </si>
  <si>
    <t>1063</t>
  </si>
  <si>
    <t>1064</t>
  </si>
  <si>
    <t>182010</t>
  </si>
  <si>
    <t>1065</t>
  </si>
  <si>
    <t>1066</t>
  </si>
  <si>
    <t>182008</t>
  </si>
  <si>
    <t>1067</t>
  </si>
  <si>
    <t>177525</t>
  </si>
  <si>
    <t>1068</t>
  </si>
  <si>
    <t>177526</t>
  </si>
  <si>
    <t>1069</t>
  </si>
  <si>
    <t>177527</t>
  </si>
  <si>
    <t>1070</t>
  </si>
  <si>
    <t>182336</t>
  </si>
  <si>
    <t>1071</t>
  </si>
  <si>
    <t>182337</t>
  </si>
  <si>
    <t>1072</t>
  </si>
  <si>
    <t>182338</t>
  </si>
  <si>
    <t>1073</t>
  </si>
  <si>
    <t>181825</t>
  </si>
  <si>
    <t>1074</t>
  </si>
  <si>
    <t>1075</t>
  </si>
  <si>
    <t>182430</t>
  </si>
  <si>
    <t>1076</t>
  </si>
  <si>
    <t>182431</t>
  </si>
  <si>
    <t>1077</t>
  </si>
  <si>
    <t>181997</t>
  </si>
  <si>
    <t>1078</t>
  </si>
  <si>
    <t>182432</t>
  </si>
  <si>
    <t>1079</t>
  </si>
  <si>
    <t>182062</t>
  </si>
  <si>
    <t>1080</t>
  </si>
  <si>
    <t>182254</t>
  </si>
  <si>
    <t>1081</t>
  </si>
  <si>
    <t>180767</t>
  </si>
  <si>
    <t>1082</t>
  </si>
  <si>
    <t>177528</t>
  </si>
  <si>
    <t>1083</t>
  </si>
  <si>
    <t>182306</t>
  </si>
  <si>
    <t>1084</t>
  </si>
  <si>
    <t>180143</t>
  </si>
  <si>
    <t>1085</t>
  </si>
  <si>
    <t>1086</t>
  </si>
  <si>
    <t>182004</t>
  </si>
  <si>
    <t>1087</t>
  </si>
  <si>
    <t>182433</t>
  </si>
  <si>
    <t>1088</t>
  </si>
  <si>
    <t>1089</t>
  </si>
  <si>
    <t>182255</t>
  </si>
  <si>
    <t>1090</t>
  </si>
  <si>
    <t>182005</t>
  </si>
  <si>
    <t>1091</t>
  </si>
  <si>
    <t>181188</t>
  </si>
  <si>
    <t>1092</t>
  </si>
  <si>
    <t>181726</t>
  </si>
  <si>
    <t>1093</t>
  </si>
  <si>
    <t>1094</t>
  </si>
  <si>
    <t>180757</t>
  </si>
  <si>
    <t>1095</t>
  </si>
  <si>
    <t>180805</t>
  </si>
  <si>
    <t>1096</t>
  </si>
  <si>
    <t>179891</t>
  </si>
  <si>
    <t>1097</t>
  </si>
  <si>
    <t>180948</t>
  </si>
  <si>
    <t>1098</t>
  </si>
  <si>
    <t>182061</t>
  </si>
  <si>
    <t>1099</t>
  </si>
  <si>
    <t>181923</t>
  </si>
  <si>
    <t>1100</t>
  </si>
  <si>
    <t>180763</t>
  </si>
  <si>
    <t>1101</t>
  </si>
  <si>
    <t>1102</t>
  </si>
  <si>
    <t>180200</t>
  </si>
  <si>
    <t>1103</t>
  </si>
  <si>
    <t>182137</t>
  </si>
  <si>
    <t>1104</t>
  </si>
  <si>
    <t>182135</t>
  </si>
  <si>
    <t>1105</t>
  </si>
  <si>
    <t>183325</t>
  </si>
  <si>
    <t>1106</t>
  </si>
  <si>
    <t>182197</t>
  </si>
  <si>
    <t>1107</t>
  </si>
  <si>
    <t>179593</t>
  </si>
  <si>
    <t>1108</t>
  </si>
  <si>
    <t>182196</t>
  </si>
  <si>
    <t>1109</t>
  </si>
  <si>
    <t>182138</t>
  </si>
  <si>
    <t>1110</t>
  </si>
  <si>
    <t>182139</t>
  </si>
  <si>
    <t>1111</t>
  </si>
  <si>
    <t>147208</t>
  </si>
  <si>
    <t>1112</t>
  </si>
  <si>
    <t>182343</t>
  </si>
  <si>
    <t>1113</t>
  </si>
  <si>
    <t>182344</t>
  </si>
  <si>
    <t>1114</t>
  </si>
  <si>
    <t>182345</t>
  </si>
  <si>
    <t>1115</t>
  </si>
  <si>
    <t>182346</t>
  </si>
  <si>
    <t>1116</t>
  </si>
  <si>
    <t>182339</t>
  </si>
  <si>
    <t>1117</t>
  </si>
  <si>
    <t>182340</t>
  </si>
  <si>
    <t>1118</t>
  </si>
  <si>
    <t>182341</t>
  </si>
  <si>
    <t>1119</t>
  </si>
  <si>
    <t>182342</t>
  </si>
  <si>
    <t>1120</t>
  </si>
  <si>
    <t>177531</t>
  </si>
  <si>
    <t>1121</t>
  </si>
  <si>
    <t>182434</t>
  </si>
  <si>
    <t>1122</t>
  </si>
  <si>
    <t>182256</t>
  </si>
  <si>
    <t>1123</t>
  </si>
  <si>
    <t>182257</t>
  </si>
  <si>
    <t>1124</t>
  </si>
  <si>
    <t>182258</t>
  </si>
  <si>
    <t>1125</t>
  </si>
  <si>
    <t>182435</t>
  </si>
  <si>
    <t>1126</t>
  </si>
  <si>
    <t>182347</t>
  </si>
  <si>
    <t>1127</t>
  </si>
  <si>
    <t>182348</t>
  </si>
  <si>
    <t>1128</t>
  </si>
  <si>
    <t>182349</t>
  </si>
  <si>
    <t>1129</t>
  </si>
  <si>
    <t>182350</t>
  </si>
  <si>
    <t>1130</t>
  </si>
  <si>
    <t>182451</t>
  </si>
  <si>
    <t>1131</t>
  </si>
  <si>
    <t>180451</t>
  </si>
  <si>
    <t>1132</t>
  </si>
  <si>
    <t>180452</t>
  </si>
  <si>
    <t>1133</t>
  </si>
  <si>
    <t>177534</t>
  </si>
  <si>
    <t>1134</t>
  </si>
  <si>
    <t>177535</t>
  </si>
  <si>
    <t>1135</t>
  </si>
  <si>
    <t>177536</t>
  </si>
  <si>
    <t>1136</t>
  </si>
  <si>
    <t>1137</t>
  </si>
  <si>
    <t>182259</t>
  </si>
  <si>
    <t>1138</t>
  </si>
  <si>
    <t>182260</t>
  </si>
  <si>
    <t>1139</t>
  </si>
  <si>
    <t>182261</t>
  </si>
  <si>
    <t>1140</t>
  </si>
  <si>
    <t>182262</t>
  </si>
  <si>
    <t>170688</t>
  </si>
  <si>
    <t>147209</t>
  </si>
  <si>
    <t>147211</t>
  </si>
  <si>
    <t>147210</t>
  </si>
  <si>
    <t>178434</t>
  </si>
  <si>
    <t>170532</t>
  </si>
  <si>
    <t>147212</t>
  </si>
  <si>
    <t>181998</t>
  </si>
  <si>
    <t>181735</t>
  </si>
  <si>
    <t>179288</t>
  </si>
  <si>
    <t>181728</t>
  </si>
  <si>
    <t>181240</t>
  </si>
  <si>
    <t>181241</t>
  </si>
  <si>
    <t>181242</t>
  </si>
  <si>
    <t>180453</t>
  </si>
  <si>
    <t>177542</t>
  </si>
  <si>
    <t>183504</t>
  </si>
  <si>
    <t>180454</t>
  </si>
  <si>
    <t>180455</t>
  </si>
  <si>
    <t>177537</t>
  </si>
  <si>
    <t>180456</t>
  </si>
  <si>
    <t>177539</t>
  </si>
  <si>
    <t>177540</t>
  </si>
  <si>
    <t>176320</t>
  </si>
  <si>
    <t>182440</t>
  </si>
  <si>
    <t>182436</t>
  </si>
  <si>
    <t>182437</t>
  </si>
  <si>
    <t>182441</t>
  </si>
  <si>
    <t>182438</t>
  </si>
  <si>
    <t>182442</t>
  </si>
  <si>
    <t>182264</t>
  </si>
  <si>
    <t>162590</t>
  </si>
  <si>
    <t>181925</t>
  </si>
  <si>
    <t>183351</t>
  </si>
  <si>
    <t>183326</t>
  </si>
  <si>
    <t>182018</t>
  </si>
  <si>
    <t>182020</t>
  </si>
  <si>
    <t>182019</t>
  </si>
  <si>
    <t>182021</t>
  </si>
  <si>
    <t>181926</t>
  </si>
  <si>
    <t>182140</t>
  </si>
  <si>
    <t>183459</t>
  </si>
  <si>
    <t>183292</t>
  </si>
  <si>
    <t>182017</t>
  </si>
  <si>
    <t>180990</t>
  </si>
  <si>
    <t>147213</t>
  </si>
  <si>
    <t>180842</t>
  </si>
  <si>
    <t>180841</t>
  </si>
  <si>
    <t>181195</t>
  </si>
  <si>
    <t>170690</t>
  </si>
  <si>
    <t>181243</t>
  </si>
  <si>
    <t>181013</t>
  </si>
  <si>
    <t>181032</t>
  </si>
  <si>
    <t>177543</t>
  </si>
  <si>
    <t>177544</t>
  </si>
  <si>
    <t>183297</t>
  </si>
  <si>
    <t>177545</t>
  </si>
  <si>
    <t>183465</t>
  </si>
  <si>
    <t>183655</t>
  </si>
  <si>
    <t>183298</t>
  </si>
  <si>
    <t>181929</t>
  </si>
  <si>
    <t>182146</t>
  </si>
  <si>
    <t>180457</t>
  </si>
  <si>
    <t>180458</t>
  </si>
  <si>
    <t>182443</t>
  </si>
  <si>
    <t>1183294</t>
  </si>
  <si>
    <t>183295</t>
  </si>
  <si>
    <t>179596</t>
  </si>
  <si>
    <t>179595</t>
  </si>
  <si>
    <t>183293</t>
  </si>
  <si>
    <t>183296</t>
  </si>
  <si>
    <t>180847</t>
  </si>
  <si>
    <t>180848</t>
  </si>
  <si>
    <t>183653</t>
  </si>
  <si>
    <t>183652</t>
  </si>
  <si>
    <t>183654</t>
  </si>
  <si>
    <t>182145</t>
  </si>
  <si>
    <t>182144</t>
  </si>
  <si>
    <t>170691</t>
  </si>
  <si>
    <t>170534</t>
  </si>
  <si>
    <t>170533</t>
  </si>
  <si>
    <t>183467</t>
  </si>
  <si>
    <t>183466</t>
  </si>
  <si>
    <t>183329</t>
  </si>
  <si>
    <t>181931</t>
  </si>
  <si>
    <t>181934</t>
  </si>
  <si>
    <t>181933</t>
  </si>
  <si>
    <t>176321</t>
  </si>
  <si>
    <t>183353</t>
  </si>
  <si>
    <t>183299</t>
  </si>
  <si>
    <t>183330</t>
  </si>
  <si>
    <t>180850</t>
  </si>
  <si>
    <t>183656</t>
  </si>
  <si>
    <t>181932</t>
  </si>
  <si>
    <t>183352</t>
  </si>
  <si>
    <t>181745</t>
  </si>
  <si>
    <t>183300</t>
  </si>
  <si>
    <t>177546</t>
  </si>
  <si>
    <t>181936</t>
  </si>
  <si>
    <t>180459</t>
  </si>
  <si>
    <t>180460</t>
  </si>
  <si>
    <t>182447</t>
  </si>
  <si>
    <t>182448</t>
  </si>
  <si>
    <t>182449</t>
  </si>
  <si>
    <t>182446</t>
  </si>
  <si>
    <t>183505</t>
  </si>
  <si>
    <t>181937</t>
  </si>
  <si>
    <t>182444</t>
  </si>
  <si>
    <t>183661</t>
  </si>
  <si>
    <t>183659</t>
  </si>
  <si>
    <t>183660</t>
  </si>
  <si>
    <t>182265</t>
  </si>
  <si>
    <t>182266</t>
  </si>
  <si>
    <t>181938</t>
  </si>
  <si>
    <t>181939</t>
  </si>
  <si>
    <t>170630</t>
  </si>
  <si>
    <t>170628</t>
  </si>
  <si>
    <t>170621</t>
  </si>
  <si>
    <t>183506</t>
  </si>
  <si>
    <t>170626</t>
  </si>
  <si>
    <t>170646</t>
  </si>
  <si>
    <t>170649</t>
  </si>
  <si>
    <t>147252</t>
  </si>
  <si>
    <t>170535</t>
  </si>
  <si>
    <t>170692</t>
  </si>
  <si>
    <t>147266</t>
  </si>
  <si>
    <t>147205</t>
  </si>
  <si>
    <t>156869</t>
  </si>
  <si>
    <t>156886</t>
  </si>
  <si>
    <t>156999</t>
  </si>
  <si>
    <t>170275</t>
  </si>
  <si>
    <t>170596</t>
  </si>
  <si>
    <t>170326</t>
  </si>
  <si>
    <t>170283</t>
  </si>
  <si>
    <t>183470</t>
  </si>
  <si>
    <t>183509</t>
  </si>
  <si>
    <t>181944</t>
  </si>
  <si>
    <t>180849</t>
  </si>
  <si>
    <t>183331</t>
  </si>
  <si>
    <t>183469</t>
  </si>
  <si>
    <t>1811940</t>
  </si>
  <si>
    <t>181942</t>
  </si>
  <si>
    <t>178446</t>
  </si>
  <si>
    <t>181941</t>
  </si>
  <si>
    <t>183507</t>
  </si>
  <si>
    <t>182148</t>
  </si>
  <si>
    <t>181943</t>
  </si>
  <si>
    <t>181843</t>
  </si>
  <si>
    <t>182085</t>
  </si>
  <si>
    <t>182201</t>
  </si>
  <si>
    <t>181245</t>
  </si>
  <si>
    <t>183508</t>
  </si>
  <si>
    <t>180464</t>
  </si>
  <si>
    <t>180465</t>
  </si>
  <si>
    <t>182267</t>
  </si>
  <si>
    <t>182268</t>
  </si>
  <si>
    <t>180463</t>
  </si>
  <si>
    <t>177548</t>
  </si>
  <si>
    <t>182450</t>
  </si>
  <si>
    <t>177549</t>
  </si>
  <si>
    <t>177550</t>
  </si>
  <si>
    <t>176319</t>
  </si>
  <si>
    <t>183408</t>
  </si>
  <si>
    <t>179582</t>
  </si>
  <si>
    <t>179581</t>
  </si>
  <si>
    <t>180065</t>
  </si>
  <si>
    <t>183561</t>
  </si>
  <si>
    <t>181948</t>
  </si>
  <si>
    <t>183560</t>
  </si>
  <si>
    <t>183559</t>
  </si>
  <si>
    <t>182208</t>
  </si>
  <si>
    <t>182209</t>
  </si>
  <si>
    <t>180501</t>
  </si>
  <si>
    <t>182271</t>
  </si>
  <si>
    <t>170472</t>
  </si>
  <si>
    <t>170653</t>
  </si>
  <si>
    <t>181996</t>
  </si>
  <si>
    <t>176324</t>
  </si>
  <si>
    <t>162592</t>
  </si>
  <si>
    <t>181945</t>
  </si>
  <si>
    <t>181841</t>
  </si>
  <si>
    <t>183334</t>
  </si>
  <si>
    <t>183557</t>
  </si>
  <si>
    <t>181946</t>
  </si>
  <si>
    <t>183473</t>
  </si>
  <si>
    <t>183355</t>
  </si>
  <si>
    <t>183354</t>
  </si>
  <si>
    <t>182087</t>
  </si>
  <si>
    <t>182203</t>
  </si>
  <si>
    <t>181246</t>
  </si>
  <si>
    <t>183471</t>
  </si>
  <si>
    <t>183472</t>
  </si>
  <si>
    <t>182204</t>
  </si>
  <si>
    <t>182205</t>
  </si>
  <si>
    <t>181748</t>
  </si>
  <si>
    <t>182206</t>
  </si>
  <si>
    <t>182207</t>
  </si>
  <si>
    <t>176326</t>
  </si>
  <si>
    <t>1141</t>
  </si>
  <si>
    <t>181949</t>
  </si>
  <si>
    <t>1142</t>
  </si>
  <si>
    <t>162591</t>
  </si>
  <si>
    <t>1143</t>
  </si>
  <si>
    <t>183335</t>
  </si>
  <si>
    <t>1144</t>
  </si>
  <si>
    <t>1145</t>
  </si>
  <si>
    <t>183683</t>
  </si>
  <si>
    <t>1146</t>
  </si>
  <si>
    <t>183684</t>
  </si>
  <si>
    <t>1147</t>
  </si>
  <si>
    <t>182269</t>
  </si>
  <si>
    <t>1148</t>
  </si>
  <si>
    <t>182270</t>
  </si>
  <si>
    <t>1149</t>
  </si>
  <si>
    <t>181746</t>
  </si>
  <si>
    <t>1150</t>
  </si>
  <si>
    <t>181947</t>
  </si>
  <si>
    <t>1151</t>
  </si>
  <si>
    <t>181950</t>
  </si>
  <si>
    <t>1152</t>
  </si>
  <si>
    <t>147267</t>
  </si>
  <si>
    <t>180469</t>
  </si>
  <si>
    <t>180470</t>
  </si>
  <si>
    <t>180471</t>
  </si>
  <si>
    <t>180472</t>
  </si>
  <si>
    <t>180473</t>
  </si>
  <si>
    <t>180474</t>
  </si>
  <si>
    <t>182211</t>
  </si>
  <si>
    <t>183474</t>
  </si>
  <si>
    <t>182212</t>
  </si>
  <si>
    <t>181247</t>
  </si>
  <si>
    <t>180475</t>
  </si>
  <si>
    <t>180478</t>
  </si>
  <si>
    <t>182214</t>
  </si>
  <si>
    <t>180502</t>
  </si>
  <si>
    <t>180503</t>
  </si>
  <si>
    <t>182272</t>
  </si>
  <si>
    <t>183476</t>
  </si>
  <si>
    <t>183356</t>
  </si>
  <si>
    <t>182218</t>
  </si>
  <si>
    <t>182219</t>
  </si>
  <si>
    <t>181250</t>
  </si>
  <si>
    <t>182276</t>
  </si>
  <si>
    <t>180505</t>
  </si>
  <si>
    <t>180506</t>
  </si>
  <si>
    <t>145672</t>
  </si>
  <si>
    <t>147269</t>
  </si>
  <si>
    <t>147271</t>
  </si>
  <si>
    <t>182149</t>
  </si>
  <si>
    <t>183685</t>
  </si>
  <si>
    <t>183686</t>
  </si>
  <si>
    <t>182216</t>
  </si>
  <si>
    <t>182024</t>
  </si>
  <si>
    <t>183336</t>
  </si>
  <si>
    <t>176329</t>
  </si>
  <si>
    <t>181826</t>
  </si>
  <si>
    <t>181249</t>
  </si>
  <si>
    <t>182273</t>
  </si>
  <si>
    <t>182274</t>
  </si>
  <si>
    <t>181248</t>
  </si>
  <si>
    <t>182275</t>
  </si>
  <si>
    <t>170698</t>
  </si>
  <si>
    <t>147268</t>
  </si>
  <si>
    <t>147270</t>
  </si>
  <si>
    <t>147272</t>
  </si>
  <si>
    <t>183510</t>
  </si>
  <si>
    <t>183687</t>
  </si>
  <si>
    <t>183688</t>
  </si>
  <si>
    <t>182023</t>
  </si>
  <si>
    <t>182026</t>
  </si>
  <si>
    <t>182025</t>
  </si>
  <si>
    <t>183420</t>
  </si>
  <si>
    <t>182070</t>
  </si>
  <si>
    <t>183421</t>
  </si>
  <si>
    <t>162593</t>
  </si>
  <si>
    <t>182022</t>
  </si>
  <si>
    <t>183311</t>
  </si>
  <si>
    <t>183553</t>
  </si>
  <si>
    <t>183554</t>
  </si>
  <si>
    <t>181740</t>
  </si>
  <si>
    <t>178697</t>
  </si>
  <si>
    <t>182217</t>
  </si>
  <si>
    <t>183460</t>
  </si>
  <si>
    <t>182108</t>
  </si>
  <si>
    <t>182109</t>
  </si>
  <si>
    <t>183461</t>
  </si>
  <si>
    <t>183462</t>
  </si>
  <si>
    <t>183463</t>
  </si>
  <si>
    <t>182074</t>
  </si>
  <si>
    <t>180480</t>
  </si>
  <si>
    <t>147214</t>
  </si>
  <si>
    <t>147215</t>
  </si>
  <si>
    <t>180194</t>
  </si>
  <si>
    <t>180193</t>
  </si>
  <si>
    <t>183340</t>
  </si>
  <si>
    <t>183513</t>
  </si>
  <si>
    <t>183514</t>
  </si>
  <si>
    <t>182088</t>
  </si>
  <si>
    <t>183478</t>
  </si>
  <si>
    <t>183565</t>
  </si>
  <si>
    <t>183563</t>
  </si>
  <si>
    <t>183477</t>
  </si>
  <si>
    <t>183337</t>
  </si>
  <si>
    <t>183692</t>
  </si>
  <si>
    <t>183690</t>
  </si>
  <si>
    <t>183691</t>
  </si>
  <si>
    <t>182091</t>
  </si>
  <si>
    <t>182220</t>
  </si>
  <si>
    <t>182221</t>
  </si>
  <si>
    <t>182223</t>
  </si>
  <si>
    <t>182224</t>
  </si>
  <si>
    <t>182225</t>
  </si>
  <si>
    <t>182226</t>
  </si>
  <si>
    <t>180483</t>
  </si>
  <si>
    <t>180484</t>
  </si>
  <si>
    <t>180485</t>
  </si>
  <si>
    <t>180486</t>
  </si>
  <si>
    <t>183341</t>
  </si>
  <si>
    <t>181750</t>
  </si>
  <si>
    <t>183479</t>
  </si>
  <si>
    <t>181749</t>
  </si>
  <si>
    <t>180507</t>
  </si>
  <si>
    <t>180508</t>
  </si>
  <si>
    <t>338</t>
  </si>
  <si>
    <t>147216</t>
  </si>
  <si>
    <t>339</t>
  </si>
  <si>
    <t>147275</t>
  </si>
  <si>
    <t>340</t>
  </si>
  <si>
    <t>147274</t>
  </si>
  <si>
    <t>341</t>
  </si>
  <si>
    <t>183568</t>
  </si>
  <si>
    <t>342</t>
  </si>
  <si>
    <t>147273</t>
  </si>
  <si>
    <t>343</t>
  </si>
  <si>
    <t>183571</t>
  </si>
  <si>
    <t>183569</t>
  </si>
  <si>
    <t>183566</t>
  </si>
  <si>
    <t>183357</t>
  </si>
  <si>
    <t>183342</t>
  </si>
  <si>
    <t>183343</t>
  </si>
  <si>
    <t>183344</t>
  </si>
  <si>
    <t>182281</t>
  </si>
  <si>
    <t>182282</t>
  </si>
  <si>
    <t>183346</t>
  </si>
  <si>
    <t>183429</t>
  </si>
  <si>
    <t>183430</t>
  </si>
  <si>
    <t>183696</t>
  </si>
  <si>
    <t>183695</t>
  </si>
  <si>
    <t>183517</t>
  </si>
  <si>
    <t>183516</t>
  </si>
  <si>
    <t>183515</t>
  </si>
  <si>
    <t>182093</t>
  </si>
  <si>
    <t>183251</t>
  </si>
  <si>
    <t>176314</t>
  </si>
  <si>
    <t>181902</t>
  </si>
  <si>
    <t>181884</t>
  </si>
  <si>
    <t>181881</t>
  </si>
  <si>
    <t>181886</t>
  </si>
  <si>
    <t>183481</t>
  </si>
  <si>
    <t>181883</t>
  </si>
  <si>
    <t>179598</t>
  </si>
  <si>
    <t>183694</t>
  </si>
  <si>
    <t>183482</t>
  </si>
  <si>
    <t>181345</t>
  </si>
  <si>
    <t>181882</t>
  </si>
  <si>
    <t>181113</t>
  </si>
  <si>
    <t>182227</t>
  </si>
  <si>
    <t>181137</t>
  </si>
  <si>
    <t>182228</t>
  </si>
  <si>
    <t>180487</t>
  </si>
  <si>
    <t>182071</t>
  </si>
  <si>
    <t>183555</t>
  </si>
  <si>
    <t>182277</t>
  </si>
  <si>
    <t>182278</t>
  </si>
  <si>
    <t>182279</t>
  </si>
  <si>
    <t>181915</t>
  </si>
  <si>
    <t>182280</t>
  </si>
  <si>
    <t>183556</t>
  </si>
  <si>
    <t>180504</t>
  </si>
  <si>
    <t>181738</t>
  </si>
  <si>
    <t>180509</t>
  </si>
  <si>
    <t>181737</t>
  </si>
  <si>
    <t>180769</t>
  </si>
  <si>
    <t>181116</t>
  </si>
  <si>
    <t>181112</t>
  </si>
  <si>
    <t>183401</t>
  </si>
  <si>
    <t>181830</t>
  </si>
  <si>
    <t>181733</t>
  </si>
  <si>
    <t>180840</t>
  </si>
  <si>
    <t>181828</t>
  </si>
  <si>
    <t>181829</t>
  </si>
  <si>
    <t>181831</t>
  </si>
  <si>
    <t>181736</t>
  </si>
  <si>
    <t>182069</t>
  </si>
  <si>
    <t>180068</t>
  </si>
  <si>
    <t>183301</t>
  </si>
  <si>
    <t>179892</t>
  </si>
  <si>
    <t>181836</t>
  </si>
  <si>
    <t>181897</t>
  </si>
  <si>
    <t>182092</t>
  </si>
  <si>
    <t>181734</t>
  </si>
  <si>
    <t>182128</t>
  </si>
  <si>
    <t>183265</t>
  </si>
  <si>
    <t>306</t>
  </si>
  <si>
    <t>182229</t>
  </si>
  <si>
    <t>307</t>
  </si>
  <si>
    <t>181920</t>
  </si>
  <si>
    <t>308</t>
  </si>
  <si>
    <t>182232</t>
  </si>
  <si>
    <t>309</t>
  </si>
  <si>
    <t>180488</t>
  </si>
  <si>
    <t>310</t>
  </si>
  <si>
    <t>180510</t>
  </si>
  <si>
    <t>311</t>
  </si>
  <si>
    <t>180511</t>
  </si>
  <si>
    <t>312</t>
  </si>
  <si>
    <t>180512</t>
  </si>
  <si>
    <t>183486</t>
  </si>
  <si>
    <t>314</t>
  </si>
  <si>
    <t>183349</t>
  </si>
  <si>
    <t>315</t>
  </si>
  <si>
    <t>184201</t>
  </si>
  <si>
    <t>316</t>
  </si>
  <si>
    <t>183487</t>
  </si>
  <si>
    <t>183350</t>
  </si>
  <si>
    <t>318</t>
  </si>
  <si>
    <t>184351</t>
  </si>
  <si>
    <t>319</t>
  </si>
  <si>
    <t>184353</t>
  </si>
  <si>
    <t>320</t>
  </si>
  <si>
    <t>182094</t>
  </si>
  <si>
    <t>321</t>
  </si>
  <si>
    <t>182126</t>
  </si>
  <si>
    <t>322</t>
  </si>
  <si>
    <t>183263</t>
  </si>
  <si>
    <t>323</t>
  </si>
  <si>
    <t>181874</t>
  </si>
  <si>
    <t>324</t>
  </si>
  <si>
    <t>181876</t>
  </si>
  <si>
    <t>325</t>
  </si>
  <si>
    <t>183347</t>
  </si>
  <si>
    <t>326</t>
  </si>
  <si>
    <t>182283</t>
  </si>
  <si>
    <t>327</t>
  </si>
  <si>
    <t>182284</t>
  </si>
  <si>
    <t>328</t>
  </si>
  <si>
    <t>329</t>
  </si>
  <si>
    <t>183348</t>
  </si>
  <si>
    <t>330</t>
  </si>
  <si>
    <t>183485</t>
  </si>
  <si>
    <t>331</t>
  </si>
  <si>
    <t>183483</t>
  </si>
  <si>
    <t>332</t>
  </si>
  <si>
    <t>183699</t>
  </si>
  <si>
    <t>333</t>
  </si>
  <si>
    <t>183697</t>
  </si>
  <si>
    <t>334</t>
  </si>
  <si>
    <t>181850</t>
  </si>
  <si>
    <t>335</t>
  </si>
  <si>
    <t>336</t>
  </si>
  <si>
    <t>180187</t>
  </si>
  <si>
    <t>337</t>
  </si>
  <si>
    <t>147303</t>
  </si>
  <si>
    <t>156995</t>
  </si>
  <si>
    <t>183308</t>
  </si>
  <si>
    <t>183307</t>
  </si>
  <si>
    <t>183262</t>
  </si>
  <si>
    <t>179894</t>
  </si>
  <si>
    <t>183405</t>
  </si>
  <si>
    <t>182064</t>
  </si>
  <si>
    <t>181900</t>
  </si>
  <si>
    <t>181898</t>
  </si>
  <si>
    <t>180838</t>
  </si>
  <si>
    <t>183254</t>
  </si>
  <si>
    <t>181730</t>
  </si>
  <si>
    <t>180145</t>
  </si>
  <si>
    <t>181889</t>
  </si>
  <si>
    <t>183570</t>
  </si>
  <si>
    <t>180835</t>
  </si>
  <si>
    <t>181890</t>
  </si>
  <si>
    <t>181820</t>
  </si>
  <si>
    <t>181731</t>
  </si>
  <si>
    <t>181732</t>
  </si>
  <si>
    <t>180764</t>
  </si>
  <si>
    <t>181827</t>
  </si>
  <si>
    <t>162586</t>
  </si>
  <si>
    <t>176316</t>
  </si>
  <si>
    <t>180144</t>
  </si>
  <si>
    <t>179893</t>
  </si>
  <si>
    <t>182067</t>
  </si>
  <si>
    <t>181834</t>
  </si>
  <si>
    <t>182060</t>
  </si>
  <si>
    <t>182063</t>
  </si>
  <si>
    <t>179416</t>
  </si>
  <si>
    <t>183428</t>
  </si>
  <si>
    <t>180151</t>
  </si>
  <si>
    <t>183427</t>
  </si>
  <si>
    <t>182141</t>
  </si>
  <si>
    <t>183698</t>
  </si>
  <si>
    <t>183518</t>
  </si>
  <si>
    <t>184502</t>
  </si>
  <si>
    <t>179888</t>
  </si>
  <si>
    <t>147277</t>
  </si>
  <si>
    <t>182230</t>
  </si>
  <si>
    <t>182231</t>
  </si>
  <si>
    <t>180489</t>
  </si>
  <si>
    <t>184352</t>
  </si>
  <si>
    <t>183519</t>
  </si>
  <si>
    <t>183489</t>
  </si>
  <si>
    <t>184355</t>
  </si>
  <si>
    <t>1181232</t>
  </si>
  <si>
    <t>181223</t>
  </si>
  <si>
    <t>180490</t>
  </si>
  <si>
    <t>162598</t>
  </si>
  <si>
    <t>178448</t>
  </si>
  <si>
    <t>179878</t>
  </si>
  <si>
    <t>183700</t>
  </si>
  <si>
    <t>183431</t>
  </si>
  <si>
    <t>183432</t>
  </si>
  <si>
    <t>184503</t>
  </si>
  <si>
    <t>183520</t>
  </si>
  <si>
    <t>181232</t>
  </si>
  <si>
    <t>181222</t>
  </si>
  <si>
    <t>181226</t>
  </si>
  <si>
    <t>162599</t>
  </si>
  <si>
    <t>182041</t>
  </si>
  <si>
    <t>184651</t>
  </si>
  <si>
    <t>14507</t>
  </si>
  <si>
    <t>181225</t>
  </si>
  <si>
    <t>182000</t>
  </si>
  <si>
    <t>147276</t>
  </si>
  <si>
    <t>183436</t>
  </si>
  <si>
    <t>184506</t>
  </si>
  <si>
    <t>181224</t>
  </si>
  <si>
    <t>184505</t>
  </si>
  <si>
    <t>183433</t>
  </si>
  <si>
    <t>303</t>
  </si>
  <si>
    <t>183434</t>
  </si>
  <si>
    <t>304</t>
  </si>
  <si>
    <t>184203</t>
  </si>
  <si>
    <t>305</t>
  </si>
  <si>
    <t>184202</t>
  </si>
  <si>
    <t>181221</t>
  </si>
  <si>
    <t>181301</t>
  </si>
  <si>
    <t>180492</t>
  </si>
  <si>
    <t>181303</t>
  </si>
  <si>
    <t>180513</t>
  </si>
  <si>
    <t>180491</t>
  </si>
  <si>
    <t>184253</t>
  </si>
  <si>
    <t>178450</t>
  </si>
  <si>
    <t>183358</t>
  </si>
  <si>
    <t>181229</t>
  </si>
  <si>
    <t>181050</t>
  </si>
  <si>
    <t>181044</t>
  </si>
  <si>
    <t>181039</t>
  </si>
  <si>
    <t>181304</t>
  </si>
  <si>
    <t>182086</t>
  </si>
  <si>
    <t>176334</t>
  </si>
  <si>
    <t>184552</t>
  </si>
  <si>
    <t>183491</t>
  </si>
  <si>
    <t>183521</t>
  </si>
  <si>
    <t>184658</t>
  </si>
  <si>
    <t>183468</t>
  </si>
  <si>
    <t>183490</t>
  </si>
  <si>
    <t>184551</t>
  </si>
  <si>
    <t>182234</t>
  </si>
  <si>
    <t>181228</t>
  </si>
  <si>
    <t>182035</t>
  </si>
  <si>
    <t>182031</t>
  </si>
  <si>
    <t>182030</t>
  </si>
  <si>
    <t>182285</t>
  </si>
  <si>
    <t>181302</t>
  </si>
  <si>
    <t>184659</t>
  </si>
  <si>
    <t>184657</t>
  </si>
  <si>
    <t>184656</t>
  </si>
  <si>
    <t>184653</t>
  </si>
  <si>
    <t>184654</t>
  </si>
  <si>
    <t>184652</t>
  </si>
  <si>
    <t>184655</t>
  </si>
  <si>
    <t>147280</t>
  </si>
  <si>
    <t>147217</t>
  </si>
  <si>
    <t>178445</t>
  </si>
  <si>
    <t>181227</t>
  </si>
  <si>
    <t>178447</t>
  </si>
  <si>
    <t>182032</t>
  </si>
  <si>
    <t>184509</t>
  </si>
  <si>
    <t>181927</t>
  </si>
  <si>
    <t>183438</t>
  </si>
  <si>
    <t>183562</t>
  </si>
  <si>
    <t>183415</t>
  </si>
  <si>
    <t>182028</t>
  </si>
  <si>
    <t>182036</t>
  </si>
  <si>
    <t>182033</t>
  </si>
  <si>
    <t>147218</t>
  </si>
  <si>
    <t>147282</t>
  </si>
  <si>
    <t>180063</t>
  </si>
  <si>
    <t>180149</t>
  </si>
  <si>
    <t>181985</t>
  </si>
  <si>
    <t>181983</t>
  </si>
  <si>
    <t>181744</t>
  </si>
  <si>
    <t>181743</t>
  </si>
  <si>
    <t>176068</t>
  </si>
  <si>
    <t>180514</t>
  </si>
  <si>
    <t>183291</t>
  </si>
  <si>
    <t>183290</t>
  </si>
  <si>
    <t>184705</t>
  </si>
  <si>
    <t>184360</t>
  </si>
  <si>
    <t>182083</t>
  </si>
  <si>
    <t>184512</t>
  </si>
  <si>
    <t>182084</t>
  </si>
  <si>
    <t>184511</t>
  </si>
  <si>
    <t>181928</t>
  </si>
  <si>
    <t>184703</t>
  </si>
  <si>
    <t>184453</t>
  </si>
  <si>
    <t>182072</t>
  </si>
  <si>
    <t>184452</t>
  </si>
  <si>
    <t>180493</t>
  </si>
  <si>
    <t>184706</t>
  </si>
  <si>
    <t>184661</t>
  </si>
  <si>
    <t>184660</t>
  </si>
  <si>
    <t>181833</t>
  </si>
  <si>
    <t>182286</t>
  </si>
  <si>
    <t>182287</t>
  </si>
  <si>
    <t>184702</t>
  </si>
  <si>
    <t>182288</t>
  </si>
  <si>
    <t>182034</t>
  </si>
  <si>
    <t>183259</t>
  </si>
  <si>
    <t>183283</t>
  </si>
  <si>
    <t>184701</t>
  </si>
  <si>
    <t>183264</t>
  </si>
  <si>
    <t>183524</t>
  </si>
  <si>
    <t>180829</t>
  </si>
  <si>
    <t>181739</t>
  </si>
  <si>
    <t>179592</t>
  </si>
  <si>
    <t>183523</t>
  </si>
  <si>
    <t>182080</t>
  </si>
  <si>
    <t>182077</t>
  </si>
  <si>
    <t>181878</t>
  </si>
  <si>
    <t>182081</t>
  </si>
  <si>
    <t>181914</t>
  </si>
  <si>
    <t>183439</t>
  </si>
  <si>
    <t>171728</t>
  </si>
  <si>
    <t>184358</t>
  </si>
  <si>
    <t>183288</t>
  </si>
  <si>
    <t>184357</t>
  </si>
  <si>
    <t>183577</t>
  </si>
  <si>
    <t>183576</t>
  </si>
  <si>
    <t>182049</t>
  </si>
  <si>
    <t>182050</t>
  </si>
  <si>
    <t>182047</t>
  </si>
  <si>
    <t>183423</t>
  </si>
  <si>
    <t>182046</t>
  </si>
  <si>
    <t>183526</t>
  </si>
  <si>
    <t>182048</t>
  </si>
  <si>
    <t>178441</t>
  </si>
  <si>
    <t>183328</t>
  </si>
  <si>
    <t>183567</t>
  </si>
  <si>
    <t>184708</t>
  </si>
  <si>
    <t>183494</t>
  </si>
  <si>
    <t>184662</t>
  </si>
  <si>
    <t>184210</t>
  </si>
  <si>
    <t>184209</t>
  </si>
  <si>
    <t>183525</t>
  </si>
  <si>
    <t>183441</t>
  </si>
  <si>
    <t>184664</t>
  </si>
  <si>
    <t>184663</t>
  </si>
  <si>
    <t>184709</t>
  </si>
  <si>
    <t>183495</t>
  </si>
  <si>
    <t>183361</t>
  </si>
  <si>
    <t>183362</t>
  </si>
  <si>
    <t>184364</t>
  </si>
  <si>
    <t>184363</t>
  </si>
  <si>
    <t>184365</t>
  </si>
  <si>
    <t>184459</t>
  </si>
  <si>
    <t>184603</t>
  </si>
  <si>
    <t>184517</t>
  </si>
  <si>
    <t>184601</t>
  </si>
  <si>
    <t>182045</t>
  </si>
  <si>
    <t>182042</t>
  </si>
  <si>
    <t>184368</t>
  </si>
  <si>
    <t>184369</t>
  </si>
  <si>
    <t>184367</t>
  </si>
  <si>
    <t>184665</t>
  </si>
  <si>
    <t>183496</t>
  </si>
  <si>
    <t>184604</t>
  </si>
  <si>
    <t>183363</t>
  </si>
  <si>
    <t>183339</t>
  </si>
  <si>
    <t>183497</t>
  </si>
  <si>
    <t>184461</t>
  </si>
  <si>
    <t>178684</t>
  </si>
  <si>
    <t>181003</t>
  </si>
  <si>
    <t>178428</t>
  </si>
  <si>
    <t>182097</t>
  </si>
  <si>
    <t>184710</t>
  </si>
  <si>
    <t>182043</t>
  </si>
  <si>
    <t>182040</t>
  </si>
  <si>
    <t>182039</t>
  </si>
  <si>
    <t>184666</t>
  </si>
  <si>
    <t>182096</t>
  </si>
  <si>
    <t>184519</t>
  </si>
  <si>
    <t>179570</t>
  </si>
  <si>
    <t>182082</t>
  </si>
  <si>
    <t>183578</t>
  </si>
  <si>
    <t>184712</t>
  </si>
  <si>
    <t>184667</t>
  </si>
  <si>
    <t>147220</t>
  </si>
  <si>
    <t>147221</t>
  </si>
  <si>
    <t>184715</t>
  </si>
  <si>
    <t>41111991</t>
  </si>
  <si>
    <t>41111000</t>
  </si>
  <si>
    <t>41111417</t>
  </si>
  <si>
    <t>41111475</t>
  </si>
  <si>
    <t>41111847</t>
  </si>
  <si>
    <t>41112012</t>
  </si>
  <si>
    <t>41112035</t>
  </si>
  <si>
    <t>41111913</t>
  </si>
  <si>
    <t>41112029</t>
  </si>
  <si>
    <t>41112037</t>
  </si>
  <si>
    <t>41111914</t>
  </si>
  <si>
    <t>41111633</t>
  </si>
  <si>
    <t>41112015</t>
  </si>
  <si>
    <t>64120000</t>
  </si>
  <si>
    <t>44860000</t>
  </si>
  <si>
    <t>89500000</t>
  </si>
  <si>
    <t>0000036</t>
  </si>
  <si>
    <t>60550000</t>
  </si>
  <si>
    <t>0571</t>
  </si>
  <si>
    <t>40110650</t>
  </si>
  <si>
    <t>41100500</t>
  </si>
  <si>
    <t>52100200</t>
  </si>
  <si>
    <t>41100507</t>
  </si>
  <si>
    <t>41111900</t>
  </si>
  <si>
    <t>48120000</t>
  </si>
  <si>
    <t>41111992</t>
  </si>
  <si>
    <t>41111895</t>
  </si>
  <si>
    <t>4111998</t>
  </si>
  <si>
    <t>52100300</t>
  </si>
  <si>
    <t>41111887</t>
  </si>
  <si>
    <t>47110110</t>
  </si>
  <si>
    <t>57110000</t>
  </si>
  <si>
    <t>41100653</t>
  </si>
  <si>
    <t>41111937</t>
  </si>
  <si>
    <t>41101222</t>
  </si>
  <si>
    <t>8582336</t>
  </si>
  <si>
    <t>23900000</t>
  </si>
  <si>
    <t>44210000</t>
  </si>
  <si>
    <t>28311000</t>
  </si>
  <si>
    <t>41100730</t>
  </si>
  <si>
    <t>47461000</t>
  </si>
  <si>
    <t>66380000</t>
  </si>
  <si>
    <t>63720000</t>
  </si>
  <si>
    <t>2503266</t>
  </si>
  <si>
    <t>2503267</t>
  </si>
  <si>
    <t>2503268</t>
  </si>
  <si>
    <t>2503269</t>
  </si>
  <si>
    <t>000493</t>
  </si>
  <si>
    <t>000495</t>
  </si>
  <si>
    <t>86366</t>
  </si>
  <si>
    <t>86367</t>
  </si>
  <si>
    <t>03532</t>
  </si>
  <si>
    <t>8890522032025</t>
  </si>
  <si>
    <t>8998053032025</t>
  </si>
  <si>
    <t>000758</t>
  </si>
  <si>
    <t>0001872</t>
  </si>
  <si>
    <t>47112300</t>
  </si>
  <si>
    <t>66720000</t>
  </si>
  <si>
    <t>1772</t>
  </si>
  <si>
    <t>1773</t>
  </si>
  <si>
    <t>0000012</t>
  </si>
  <si>
    <t>60580000</t>
  </si>
  <si>
    <t>0000013</t>
  </si>
  <si>
    <t>0000014</t>
  </si>
  <si>
    <t>0536556</t>
  </si>
  <si>
    <t>000094</t>
  </si>
  <si>
    <t>6110380101202501</t>
  </si>
  <si>
    <t>000019</t>
  </si>
  <si>
    <t>60551000</t>
  </si>
  <si>
    <t>000890</t>
  </si>
  <si>
    <t>0748145</t>
  </si>
  <si>
    <t>60545000</t>
  </si>
  <si>
    <t>66184000</t>
  </si>
  <si>
    <t>52115000</t>
  </si>
  <si>
    <t>40910000</t>
  </si>
  <si>
    <t>70611100</t>
  </si>
  <si>
    <t>43100100</t>
  </si>
  <si>
    <t>66410002</t>
  </si>
  <si>
    <t>43110000</t>
  </si>
  <si>
    <t>43120000</t>
  </si>
  <si>
    <t>44660000</t>
  </si>
  <si>
    <t>64180000</t>
  </si>
  <si>
    <t>28120000</t>
  </si>
  <si>
    <t>28351000</t>
  </si>
  <si>
    <t>28412000</t>
  </si>
  <si>
    <t>44490000</t>
  </si>
  <si>
    <t>42110010</t>
  </si>
  <si>
    <t>66121000</t>
  </si>
  <si>
    <t>66122000</t>
  </si>
  <si>
    <t>52110000</t>
  </si>
  <si>
    <t>44920000</t>
  </si>
  <si>
    <t>47112400</t>
  </si>
  <si>
    <t>00130</t>
  </si>
  <si>
    <t>00136</t>
  </si>
  <si>
    <t>00134</t>
  </si>
  <si>
    <t>00137</t>
  </si>
  <si>
    <t>00144</t>
  </si>
  <si>
    <t>00142</t>
  </si>
  <si>
    <t>00143</t>
  </si>
  <si>
    <t>62510000</t>
  </si>
  <si>
    <t>000971</t>
  </si>
  <si>
    <t>23910000</t>
  </si>
  <si>
    <t>40110565</t>
  </si>
  <si>
    <t>102614</t>
  </si>
  <si>
    <t>103112</t>
  </si>
  <si>
    <t>000143</t>
  </si>
  <si>
    <t>40112072</t>
  </si>
  <si>
    <t>000144</t>
  </si>
  <si>
    <t>0235685</t>
  </si>
  <si>
    <t>0235678</t>
  </si>
  <si>
    <t>0235683</t>
  </si>
  <si>
    <t>000162</t>
  </si>
  <si>
    <t>000163</t>
  </si>
  <si>
    <t>000164</t>
  </si>
  <si>
    <t>0235694</t>
  </si>
  <si>
    <t>44210100</t>
  </si>
  <si>
    <t>52300100</t>
  </si>
  <si>
    <t>47120500</t>
  </si>
  <si>
    <t>28160000</t>
  </si>
  <si>
    <t>28310000</t>
  </si>
  <si>
    <t>28470000</t>
  </si>
  <si>
    <t>000103</t>
  </si>
  <si>
    <t>000100</t>
  </si>
  <si>
    <t>1918</t>
  </si>
  <si>
    <t>1919</t>
  </si>
  <si>
    <t>1920</t>
  </si>
  <si>
    <t>63270200</t>
  </si>
  <si>
    <t>1921</t>
  </si>
  <si>
    <t>1922</t>
  </si>
  <si>
    <t>1923</t>
  </si>
  <si>
    <t>89110000</t>
  </si>
  <si>
    <t>1924</t>
  </si>
  <si>
    <t>1925</t>
  </si>
  <si>
    <t>1926</t>
  </si>
  <si>
    <t>1927</t>
  </si>
  <si>
    <t>62200000</t>
  </si>
  <si>
    <t>1928</t>
  </si>
  <si>
    <t>62780000</t>
  </si>
  <si>
    <t>1929</t>
  </si>
  <si>
    <t>1879</t>
  </si>
  <si>
    <t>1880</t>
  </si>
  <si>
    <t>2503033</t>
  </si>
  <si>
    <t>1881</t>
  </si>
  <si>
    <t>2503034</t>
  </si>
  <si>
    <t>1882</t>
  </si>
  <si>
    <t>0001493</t>
  </si>
  <si>
    <t>1888</t>
  </si>
  <si>
    <t>1884</t>
  </si>
  <si>
    <t>1885</t>
  </si>
  <si>
    <t>1886</t>
  </si>
  <si>
    <t>1887</t>
  </si>
  <si>
    <t>1889</t>
  </si>
  <si>
    <t>1904</t>
  </si>
  <si>
    <t>16640010</t>
  </si>
  <si>
    <t>1905</t>
  </si>
  <si>
    <t>16640020</t>
  </si>
  <si>
    <t>1936</t>
  </si>
  <si>
    <t>1906</t>
  </si>
  <si>
    <t>1937</t>
  </si>
  <si>
    <t>1938</t>
  </si>
  <si>
    <t>1935</t>
  </si>
  <si>
    <t>52110010</t>
  </si>
  <si>
    <t>1883</t>
  </si>
  <si>
    <t>1907</t>
  </si>
  <si>
    <t>1933</t>
  </si>
  <si>
    <t>1934</t>
  </si>
  <si>
    <t>00082</t>
  </si>
  <si>
    <t>21930000</t>
  </si>
  <si>
    <t>48110000</t>
  </si>
  <si>
    <t>1909</t>
  </si>
  <si>
    <t>1910</t>
  </si>
  <si>
    <t>1911</t>
  </si>
  <si>
    <t>1912</t>
  </si>
  <si>
    <t>1942</t>
  </si>
  <si>
    <t>62610000</t>
  </si>
  <si>
    <t>1913</t>
  </si>
  <si>
    <t>1914</t>
  </si>
  <si>
    <t>1943</t>
  </si>
  <si>
    <t>47110010</t>
  </si>
  <si>
    <t>1941</t>
  </si>
  <si>
    <t>1930</t>
  </si>
  <si>
    <t>1931</t>
  </si>
  <si>
    <t>1939</t>
  </si>
  <si>
    <t>1915</t>
  </si>
  <si>
    <t>1917</t>
  </si>
  <si>
    <t>1890</t>
  </si>
  <si>
    <t>47470000</t>
  </si>
  <si>
    <t>70610100</t>
  </si>
  <si>
    <t>1891</t>
  </si>
  <si>
    <t>16640050</t>
  </si>
  <si>
    <t>67130000</t>
  </si>
  <si>
    <t>1892</t>
  </si>
  <si>
    <t>1893</t>
  </si>
  <si>
    <t>1894</t>
  </si>
  <si>
    <t>46601000</t>
  </si>
  <si>
    <t>77120000</t>
  </si>
  <si>
    <t>1895</t>
  </si>
  <si>
    <t>1896</t>
  </si>
  <si>
    <t>1897</t>
  </si>
  <si>
    <t>1898</t>
  </si>
  <si>
    <t>1899</t>
  </si>
  <si>
    <t>16640030</t>
  </si>
  <si>
    <t>1900</t>
  </si>
  <si>
    <t>16640000</t>
  </si>
  <si>
    <t>1901</t>
  </si>
  <si>
    <t>1902</t>
  </si>
  <si>
    <t>1903</t>
  </si>
  <si>
    <t>1916</t>
  </si>
  <si>
    <t>1932</t>
  </si>
  <si>
    <t>28130000</t>
  </si>
  <si>
    <t>28410000</t>
  </si>
  <si>
    <t>28440000</t>
  </si>
  <si>
    <t>1944</t>
  </si>
  <si>
    <t>1908</t>
  </si>
  <si>
    <t>66120000</t>
  </si>
  <si>
    <t>section analytique</t>
  </si>
  <si>
    <t>960MAR0001</t>
  </si>
  <si>
    <t>960EUR0001</t>
  </si>
  <si>
    <t>910MAR0001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</si>
</sst>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\ _C_F_A_-;\-* #,##0\ _C_F_A_-;_-* &quot;-&quot;\ _C_F_A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16" fontId="0" fillId="0" borderId="0" xfId="0" applyNumberFormat="1"/>
    <xf numFmtId="0" fontId="2" fillId="0" borderId="0" xfId="0" applyFont="1"/>
    <xf numFmtId="164" fontId="0" fillId="0" borderId="0" xfId="1" applyFont="1"/>
  </cellXfs>
  <cellStyles count="2">
    <cellStyle name="Milliers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18312-0287-46AF-A3CD-65B917029987}">
  <dimension ref="A1:L7905"/>
  <sheetViews>
    <sheetView tabSelected="1" topLeftCell="G1" workbookViewId="0">
      <selection activeCell="M3763" sqref="M3763"/>
    </sheetView>
  </sheetViews>
  <sheetFormatPr baseColWidth="10" defaultRowHeight="14.5" x14ac:dyDescent="0.35"/>
  <cols>
    <col min="8" max="8" width="34.453125" customWidth="1"/>
    <col min="12" max="12" width="18.269531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10114</v>
      </c>
    </row>
    <row r="2" spans="1:12" x14ac:dyDescent="0.35">
      <c r="A2" t="s">
        <v>354</v>
      </c>
      <c r="B2" s="1">
        <v>45717</v>
      </c>
      <c r="C2" t="s">
        <v>6801</v>
      </c>
      <c r="D2" t="s">
        <v>355</v>
      </c>
      <c r="E2" t="s">
        <v>356</v>
      </c>
      <c r="F2" t="s">
        <v>6802</v>
      </c>
      <c r="H2" t="s">
        <v>357</v>
      </c>
      <c r="J2">
        <v>23304</v>
      </c>
      <c r="L2" t="s">
        <v>6803</v>
      </c>
    </row>
    <row r="3" spans="1:12" x14ac:dyDescent="0.35">
      <c r="A3" t="s">
        <v>354</v>
      </c>
      <c r="B3" s="1">
        <v>45717</v>
      </c>
      <c r="C3" t="s">
        <v>6801</v>
      </c>
      <c r="D3" t="s">
        <v>355</v>
      </c>
      <c r="E3" t="s">
        <v>356</v>
      </c>
      <c r="F3" t="s">
        <v>6804</v>
      </c>
      <c r="G3" t="s">
        <v>6805</v>
      </c>
      <c r="H3" t="s">
        <v>357</v>
      </c>
      <c r="I3" s="1">
        <v>45777</v>
      </c>
      <c r="K3">
        <v>26329</v>
      </c>
      <c r="L3" t="s">
        <v>6803</v>
      </c>
    </row>
    <row r="4" spans="1:12" x14ac:dyDescent="0.35">
      <c r="A4" t="s">
        <v>354</v>
      </c>
      <c r="B4" s="1">
        <v>45717</v>
      </c>
      <c r="C4" t="s">
        <v>6801</v>
      </c>
      <c r="D4" t="s">
        <v>355</v>
      </c>
      <c r="E4" t="s">
        <v>356</v>
      </c>
      <c r="F4" t="s">
        <v>6806</v>
      </c>
      <c r="H4" t="s">
        <v>357</v>
      </c>
      <c r="J4">
        <v>3025</v>
      </c>
      <c r="L4" t="s">
        <v>6803</v>
      </c>
    </row>
    <row r="5" spans="1:12" x14ac:dyDescent="0.35">
      <c r="A5" t="s">
        <v>354</v>
      </c>
      <c r="B5" s="1">
        <v>45719</v>
      </c>
      <c r="C5" t="s">
        <v>6807</v>
      </c>
      <c r="D5" t="s">
        <v>358</v>
      </c>
      <c r="E5" t="s">
        <v>359</v>
      </c>
      <c r="F5" t="s">
        <v>6808</v>
      </c>
      <c r="H5" t="s">
        <v>360</v>
      </c>
      <c r="J5">
        <v>100425</v>
      </c>
      <c r="L5" t="s">
        <v>6803</v>
      </c>
    </row>
    <row r="6" spans="1:12" x14ac:dyDescent="0.35">
      <c r="A6" t="s">
        <v>354</v>
      </c>
      <c r="B6" s="1">
        <v>45719</v>
      </c>
      <c r="C6" t="s">
        <v>6807</v>
      </c>
      <c r="D6" t="s">
        <v>358</v>
      </c>
      <c r="E6" t="s">
        <v>359</v>
      </c>
      <c r="F6" t="s">
        <v>6804</v>
      </c>
      <c r="G6" t="s">
        <v>6809</v>
      </c>
      <c r="H6" t="s">
        <v>360</v>
      </c>
      <c r="I6" s="1">
        <v>45779</v>
      </c>
      <c r="K6">
        <v>118502</v>
      </c>
      <c r="L6" t="s">
        <v>6803</v>
      </c>
    </row>
    <row r="7" spans="1:12" x14ac:dyDescent="0.35">
      <c r="A7" t="s">
        <v>354</v>
      </c>
      <c r="B7" s="1">
        <v>45719</v>
      </c>
      <c r="C7" t="s">
        <v>6807</v>
      </c>
      <c r="D7" t="s">
        <v>358</v>
      </c>
      <c r="E7" t="s">
        <v>359</v>
      </c>
      <c r="F7" t="s">
        <v>6806</v>
      </c>
      <c r="H7" t="s">
        <v>360</v>
      </c>
      <c r="J7">
        <v>18077</v>
      </c>
      <c r="L7" t="s">
        <v>6803</v>
      </c>
    </row>
    <row r="8" spans="1:12" x14ac:dyDescent="0.35">
      <c r="A8" t="s">
        <v>354</v>
      </c>
      <c r="B8" s="1">
        <v>45719</v>
      </c>
      <c r="C8" t="s">
        <v>6810</v>
      </c>
      <c r="D8" t="s">
        <v>361</v>
      </c>
      <c r="E8" t="s">
        <v>362</v>
      </c>
      <c r="F8" t="s">
        <v>6808</v>
      </c>
      <c r="H8" t="s">
        <v>363</v>
      </c>
      <c r="J8">
        <v>98949</v>
      </c>
      <c r="L8" t="s">
        <v>6803</v>
      </c>
    </row>
    <row r="9" spans="1:12" x14ac:dyDescent="0.35">
      <c r="A9" t="s">
        <v>354</v>
      </c>
      <c r="B9" s="1">
        <v>45719</v>
      </c>
      <c r="C9" t="s">
        <v>6810</v>
      </c>
      <c r="D9" t="s">
        <v>361</v>
      </c>
      <c r="E9" t="s">
        <v>362</v>
      </c>
      <c r="F9" t="s">
        <v>6811</v>
      </c>
      <c r="H9" t="s">
        <v>363</v>
      </c>
      <c r="J9">
        <v>15000</v>
      </c>
      <c r="L9" t="s">
        <v>6803</v>
      </c>
    </row>
    <row r="10" spans="1:12" x14ac:dyDescent="0.35">
      <c r="A10" t="s">
        <v>354</v>
      </c>
      <c r="B10" s="1">
        <v>45719</v>
      </c>
      <c r="C10" t="s">
        <v>6810</v>
      </c>
      <c r="D10" t="s">
        <v>361</v>
      </c>
      <c r="E10" t="s">
        <v>362</v>
      </c>
      <c r="F10" t="s">
        <v>6802</v>
      </c>
      <c r="H10" t="s">
        <v>363</v>
      </c>
      <c r="J10">
        <v>63560</v>
      </c>
      <c r="L10" t="s">
        <v>6803</v>
      </c>
    </row>
    <row r="11" spans="1:12" x14ac:dyDescent="0.35">
      <c r="A11" t="s">
        <v>354</v>
      </c>
      <c r="B11" s="1">
        <v>45719</v>
      </c>
      <c r="C11" t="s">
        <v>6810</v>
      </c>
      <c r="D11" t="s">
        <v>361</v>
      </c>
      <c r="E11" t="s">
        <v>362</v>
      </c>
      <c r="F11" t="s">
        <v>6804</v>
      </c>
      <c r="G11" t="s">
        <v>6809</v>
      </c>
      <c r="H11" t="s">
        <v>363</v>
      </c>
      <c r="I11" s="1">
        <v>45779</v>
      </c>
      <c r="K11">
        <v>209461</v>
      </c>
      <c r="L11" t="s">
        <v>6803</v>
      </c>
    </row>
    <row r="12" spans="1:12" x14ac:dyDescent="0.35">
      <c r="A12" t="s">
        <v>354</v>
      </c>
      <c r="B12" s="1">
        <v>45719</v>
      </c>
      <c r="C12" t="s">
        <v>6810</v>
      </c>
      <c r="D12" t="s">
        <v>361</v>
      </c>
      <c r="E12" t="s">
        <v>362</v>
      </c>
      <c r="F12" t="s">
        <v>6806</v>
      </c>
      <c r="H12" t="s">
        <v>363</v>
      </c>
      <c r="J12">
        <v>31952</v>
      </c>
      <c r="L12" t="s">
        <v>6803</v>
      </c>
    </row>
    <row r="13" spans="1:12" x14ac:dyDescent="0.35">
      <c r="A13" t="s">
        <v>354</v>
      </c>
      <c r="B13" s="1">
        <v>45719</v>
      </c>
      <c r="C13" t="s">
        <v>6812</v>
      </c>
      <c r="D13" t="s">
        <v>364</v>
      </c>
      <c r="E13" t="s">
        <v>6813</v>
      </c>
      <c r="F13" t="s">
        <v>6802</v>
      </c>
      <c r="H13" t="s">
        <v>365</v>
      </c>
      <c r="J13">
        <v>64400</v>
      </c>
      <c r="L13" t="s">
        <v>6803</v>
      </c>
    </row>
    <row r="14" spans="1:12" x14ac:dyDescent="0.35">
      <c r="A14" t="s">
        <v>354</v>
      </c>
      <c r="B14" s="1">
        <v>45719</v>
      </c>
      <c r="C14" t="s">
        <v>6812</v>
      </c>
      <c r="D14" t="s">
        <v>364</v>
      </c>
      <c r="E14" t="s">
        <v>6813</v>
      </c>
      <c r="F14" t="s">
        <v>6804</v>
      </c>
      <c r="G14" t="s">
        <v>6814</v>
      </c>
      <c r="H14" t="s">
        <v>365</v>
      </c>
      <c r="I14" s="1">
        <v>45809</v>
      </c>
      <c r="K14">
        <v>75992</v>
      </c>
      <c r="L14" t="s">
        <v>6803</v>
      </c>
    </row>
    <row r="15" spans="1:12" x14ac:dyDescent="0.35">
      <c r="A15" t="s">
        <v>354</v>
      </c>
      <c r="B15" s="1">
        <v>45719</v>
      </c>
      <c r="C15" t="s">
        <v>6812</v>
      </c>
      <c r="D15" t="s">
        <v>364</v>
      </c>
      <c r="E15" t="s">
        <v>6813</v>
      </c>
      <c r="F15" t="s">
        <v>6806</v>
      </c>
      <c r="H15" t="s">
        <v>365</v>
      </c>
      <c r="J15">
        <v>11592</v>
      </c>
      <c r="L15" t="s">
        <v>6803</v>
      </c>
    </row>
    <row r="16" spans="1:12" x14ac:dyDescent="0.35">
      <c r="A16" t="s">
        <v>354</v>
      </c>
      <c r="B16" s="1">
        <v>45719</v>
      </c>
      <c r="C16" t="s">
        <v>6815</v>
      </c>
      <c r="D16" t="s">
        <v>366</v>
      </c>
      <c r="E16" t="s">
        <v>6816</v>
      </c>
      <c r="F16" t="s">
        <v>6802</v>
      </c>
      <c r="H16" t="s">
        <v>367</v>
      </c>
      <c r="J16">
        <v>51800</v>
      </c>
      <c r="L16" t="s">
        <v>6803</v>
      </c>
    </row>
    <row r="17" spans="1:12" x14ac:dyDescent="0.35">
      <c r="A17" t="s">
        <v>354</v>
      </c>
      <c r="B17" s="1">
        <v>45719</v>
      </c>
      <c r="C17" t="s">
        <v>6815</v>
      </c>
      <c r="D17" t="s">
        <v>366</v>
      </c>
      <c r="E17" t="s">
        <v>6816</v>
      </c>
      <c r="F17" t="s">
        <v>6804</v>
      </c>
      <c r="G17" t="s">
        <v>6814</v>
      </c>
      <c r="H17" t="s">
        <v>367</v>
      </c>
      <c r="I17" s="1">
        <v>45809</v>
      </c>
      <c r="K17">
        <v>61124</v>
      </c>
      <c r="L17" t="s">
        <v>6803</v>
      </c>
    </row>
    <row r="18" spans="1:12" x14ac:dyDescent="0.35">
      <c r="A18" t="s">
        <v>354</v>
      </c>
      <c r="B18" s="1">
        <v>45719</v>
      </c>
      <c r="C18" t="s">
        <v>6815</v>
      </c>
      <c r="D18" t="s">
        <v>366</v>
      </c>
      <c r="E18" t="s">
        <v>6816</v>
      </c>
      <c r="F18" t="s">
        <v>6806</v>
      </c>
      <c r="H18" t="s">
        <v>367</v>
      </c>
      <c r="J18">
        <v>9324</v>
      </c>
      <c r="L18" t="s">
        <v>6803</v>
      </c>
    </row>
    <row r="19" spans="1:12" x14ac:dyDescent="0.35">
      <c r="A19" t="s">
        <v>354</v>
      </c>
      <c r="B19" s="1">
        <v>45719</v>
      </c>
      <c r="C19" t="s">
        <v>6817</v>
      </c>
      <c r="D19" t="s">
        <v>368</v>
      </c>
      <c r="E19" t="s">
        <v>6818</v>
      </c>
      <c r="F19" t="s">
        <v>6804</v>
      </c>
      <c r="G19" t="s">
        <v>6814</v>
      </c>
      <c r="H19" t="s">
        <v>369</v>
      </c>
      <c r="I19" s="1">
        <v>45809</v>
      </c>
      <c r="K19">
        <v>17842</v>
      </c>
      <c r="L19" t="s">
        <v>6803</v>
      </c>
    </row>
    <row r="20" spans="1:12" x14ac:dyDescent="0.35">
      <c r="A20" t="s">
        <v>354</v>
      </c>
      <c r="B20" s="1">
        <v>45719</v>
      </c>
      <c r="C20" t="s">
        <v>6817</v>
      </c>
      <c r="D20" t="s">
        <v>368</v>
      </c>
      <c r="E20" t="s">
        <v>6818</v>
      </c>
      <c r="F20" t="s">
        <v>6819</v>
      </c>
      <c r="H20" t="s">
        <v>369</v>
      </c>
      <c r="J20">
        <v>2722</v>
      </c>
      <c r="L20" t="s">
        <v>6803</v>
      </c>
    </row>
    <row r="21" spans="1:12" x14ac:dyDescent="0.35">
      <c r="A21" t="s">
        <v>354</v>
      </c>
      <c r="B21" s="1">
        <v>45719</v>
      </c>
      <c r="C21" t="s">
        <v>6817</v>
      </c>
      <c r="D21" t="s">
        <v>368</v>
      </c>
      <c r="E21" t="s">
        <v>6818</v>
      </c>
      <c r="F21" t="s">
        <v>6820</v>
      </c>
      <c r="H21" t="s">
        <v>369</v>
      </c>
      <c r="J21">
        <v>15120</v>
      </c>
      <c r="L21" t="s">
        <v>5873</v>
      </c>
    </row>
    <row r="22" spans="1:12" x14ac:dyDescent="0.35">
      <c r="A22" t="s">
        <v>354</v>
      </c>
      <c r="B22" s="1">
        <v>45719</v>
      </c>
      <c r="C22" t="s">
        <v>6821</v>
      </c>
      <c r="D22" t="s">
        <v>370</v>
      </c>
      <c r="E22" t="s">
        <v>371</v>
      </c>
      <c r="F22" t="s">
        <v>6811</v>
      </c>
      <c r="H22" t="s">
        <v>372</v>
      </c>
      <c r="J22">
        <v>10850</v>
      </c>
      <c r="L22" t="s">
        <v>6803</v>
      </c>
    </row>
    <row r="23" spans="1:12" x14ac:dyDescent="0.35">
      <c r="A23" t="s">
        <v>354</v>
      </c>
      <c r="B23" s="1">
        <v>45719</v>
      </c>
      <c r="C23" t="s">
        <v>6821</v>
      </c>
      <c r="D23" t="s">
        <v>370</v>
      </c>
      <c r="E23" t="s">
        <v>371</v>
      </c>
      <c r="F23" t="s">
        <v>6804</v>
      </c>
      <c r="G23" t="s">
        <v>6822</v>
      </c>
      <c r="H23" t="s">
        <v>372</v>
      </c>
      <c r="I23" s="1">
        <v>45808</v>
      </c>
      <c r="K23">
        <v>12803</v>
      </c>
      <c r="L23" t="s">
        <v>6803</v>
      </c>
    </row>
    <row r="24" spans="1:12" x14ac:dyDescent="0.35">
      <c r="A24" t="s">
        <v>354</v>
      </c>
      <c r="B24" s="1">
        <v>45719</v>
      </c>
      <c r="C24" t="s">
        <v>6821</v>
      </c>
      <c r="D24" t="s">
        <v>370</v>
      </c>
      <c r="E24" t="s">
        <v>371</v>
      </c>
      <c r="F24" t="s">
        <v>6806</v>
      </c>
      <c r="H24" t="s">
        <v>372</v>
      </c>
      <c r="J24">
        <v>1953</v>
      </c>
      <c r="L24" t="s">
        <v>6803</v>
      </c>
    </row>
    <row r="25" spans="1:12" x14ac:dyDescent="0.35">
      <c r="A25" t="s">
        <v>354</v>
      </c>
      <c r="B25" s="1">
        <v>45719</v>
      </c>
      <c r="C25" t="s">
        <v>6823</v>
      </c>
      <c r="D25" t="s">
        <v>373</v>
      </c>
      <c r="E25" t="s">
        <v>374</v>
      </c>
      <c r="F25" t="s">
        <v>6811</v>
      </c>
      <c r="H25" t="s">
        <v>375</v>
      </c>
      <c r="J25">
        <v>196000</v>
      </c>
      <c r="L25" t="s">
        <v>6803</v>
      </c>
    </row>
    <row r="26" spans="1:12" x14ac:dyDescent="0.35">
      <c r="A26" t="s">
        <v>354</v>
      </c>
      <c r="B26" s="1">
        <v>45719</v>
      </c>
      <c r="C26" t="s">
        <v>6823</v>
      </c>
      <c r="D26" t="s">
        <v>373</v>
      </c>
      <c r="E26" t="s">
        <v>374</v>
      </c>
      <c r="F26" t="s">
        <v>6804</v>
      </c>
      <c r="G26" t="s">
        <v>6822</v>
      </c>
      <c r="H26" t="s">
        <v>375</v>
      </c>
      <c r="I26" s="1">
        <v>45808</v>
      </c>
      <c r="K26">
        <v>231280</v>
      </c>
      <c r="L26" t="s">
        <v>6803</v>
      </c>
    </row>
    <row r="27" spans="1:12" x14ac:dyDescent="0.35">
      <c r="A27" t="s">
        <v>354</v>
      </c>
      <c r="B27" s="1">
        <v>45719</v>
      </c>
      <c r="C27" t="s">
        <v>6823</v>
      </c>
      <c r="D27" t="s">
        <v>373</v>
      </c>
      <c r="E27" t="s">
        <v>374</v>
      </c>
      <c r="F27" t="s">
        <v>6806</v>
      </c>
      <c r="H27" t="s">
        <v>375</v>
      </c>
      <c r="J27">
        <v>35280</v>
      </c>
      <c r="L27" t="s">
        <v>6803</v>
      </c>
    </row>
    <row r="28" spans="1:12" x14ac:dyDescent="0.35">
      <c r="A28" t="s">
        <v>354</v>
      </c>
      <c r="B28" s="1">
        <v>45719</v>
      </c>
      <c r="C28" t="s">
        <v>6824</v>
      </c>
      <c r="D28" t="s">
        <v>376</v>
      </c>
      <c r="E28" t="s">
        <v>377</v>
      </c>
      <c r="F28" t="s">
        <v>6811</v>
      </c>
      <c r="H28" t="s">
        <v>378</v>
      </c>
      <c r="J28">
        <v>97000</v>
      </c>
      <c r="L28" t="s">
        <v>6803</v>
      </c>
    </row>
    <row r="29" spans="1:12" x14ac:dyDescent="0.35">
      <c r="A29" t="s">
        <v>354</v>
      </c>
      <c r="B29" s="1">
        <v>45719</v>
      </c>
      <c r="C29" t="s">
        <v>6824</v>
      </c>
      <c r="D29" t="s">
        <v>376</v>
      </c>
      <c r="E29" t="s">
        <v>377</v>
      </c>
      <c r="F29" t="s">
        <v>6804</v>
      </c>
      <c r="G29" t="s">
        <v>6822</v>
      </c>
      <c r="H29" t="s">
        <v>378</v>
      </c>
      <c r="I29" s="1">
        <v>45808</v>
      </c>
      <c r="K29">
        <v>114460</v>
      </c>
      <c r="L29" t="s">
        <v>6803</v>
      </c>
    </row>
    <row r="30" spans="1:12" x14ac:dyDescent="0.35">
      <c r="A30" t="s">
        <v>354</v>
      </c>
      <c r="B30" s="1">
        <v>45719</v>
      </c>
      <c r="C30" t="s">
        <v>6824</v>
      </c>
      <c r="D30" t="s">
        <v>376</v>
      </c>
      <c r="E30" t="s">
        <v>377</v>
      </c>
      <c r="F30" t="s">
        <v>6806</v>
      </c>
      <c r="H30" t="s">
        <v>378</v>
      </c>
      <c r="J30">
        <v>17460</v>
      </c>
      <c r="L30" t="s">
        <v>6803</v>
      </c>
    </row>
    <row r="31" spans="1:12" x14ac:dyDescent="0.35">
      <c r="A31" t="s">
        <v>354</v>
      </c>
      <c r="B31" s="1">
        <v>45719</v>
      </c>
      <c r="C31" t="s">
        <v>6825</v>
      </c>
      <c r="D31" t="s">
        <v>379</v>
      </c>
      <c r="E31" t="s">
        <v>380</v>
      </c>
      <c r="F31" t="s">
        <v>6802</v>
      </c>
      <c r="H31" t="s">
        <v>381</v>
      </c>
      <c r="J31">
        <v>509063</v>
      </c>
      <c r="L31" t="s">
        <v>6803</v>
      </c>
    </row>
    <row r="32" spans="1:12" x14ac:dyDescent="0.35">
      <c r="A32" t="s">
        <v>354</v>
      </c>
      <c r="B32" s="1">
        <v>45719</v>
      </c>
      <c r="C32" t="s">
        <v>6825</v>
      </c>
      <c r="D32" t="s">
        <v>379</v>
      </c>
      <c r="E32" t="s">
        <v>380</v>
      </c>
      <c r="F32" t="s">
        <v>6804</v>
      </c>
      <c r="G32" t="s">
        <v>6826</v>
      </c>
      <c r="H32" t="s">
        <v>381</v>
      </c>
      <c r="I32" s="1">
        <v>45808</v>
      </c>
      <c r="K32">
        <v>600694</v>
      </c>
      <c r="L32" t="s">
        <v>6803</v>
      </c>
    </row>
    <row r="33" spans="1:12" x14ac:dyDescent="0.35">
      <c r="A33" t="s">
        <v>354</v>
      </c>
      <c r="B33" s="1">
        <v>45719</v>
      </c>
      <c r="C33" t="s">
        <v>6825</v>
      </c>
      <c r="D33" t="s">
        <v>379</v>
      </c>
      <c r="E33" t="s">
        <v>380</v>
      </c>
      <c r="F33" t="s">
        <v>6806</v>
      </c>
      <c r="H33" t="s">
        <v>381</v>
      </c>
      <c r="J33">
        <v>91631</v>
      </c>
      <c r="L33" t="s">
        <v>6803</v>
      </c>
    </row>
    <row r="34" spans="1:12" x14ac:dyDescent="0.35">
      <c r="A34" t="s">
        <v>354</v>
      </c>
      <c r="B34" s="1">
        <v>45719</v>
      </c>
      <c r="C34" t="s">
        <v>6827</v>
      </c>
      <c r="D34" t="s">
        <v>382</v>
      </c>
      <c r="E34" t="s">
        <v>383</v>
      </c>
      <c r="F34" t="s">
        <v>6802</v>
      </c>
      <c r="H34" t="s">
        <v>384</v>
      </c>
      <c r="J34">
        <v>20489</v>
      </c>
      <c r="L34" t="s">
        <v>6803</v>
      </c>
    </row>
    <row r="35" spans="1:12" x14ac:dyDescent="0.35">
      <c r="A35" t="s">
        <v>354</v>
      </c>
      <c r="B35" s="1">
        <v>45719</v>
      </c>
      <c r="C35" t="s">
        <v>6827</v>
      </c>
      <c r="D35" t="s">
        <v>382</v>
      </c>
      <c r="E35" t="s">
        <v>383</v>
      </c>
      <c r="F35" t="s">
        <v>6804</v>
      </c>
      <c r="G35" t="s">
        <v>6826</v>
      </c>
      <c r="H35" t="s">
        <v>384</v>
      </c>
      <c r="I35" s="1">
        <v>45808</v>
      </c>
      <c r="K35">
        <v>24177</v>
      </c>
      <c r="L35" t="s">
        <v>6803</v>
      </c>
    </row>
    <row r="36" spans="1:12" x14ac:dyDescent="0.35">
      <c r="A36" t="s">
        <v>354</v>
      </c>
      <c r="B36" s="1">
        <v>45719</v>
      </c>
      <c r="C36" t="s">
        <v>6827</v>
      </c>
      <c r="D36" t="s">
        <v>382</v>
      </c>
      <c r="E36" t="s">
        <v>383</v>
      </c>
      <c r="F36" t="s">
        <v>6806</v>
      </c>
      <c r="H36" t="s">
        <v>384</v>
      </c>
      <c r="J36">
        <v>3688</v>
      </c>
      <c r="L36" t="s">
        <v>6803</v>
      </c>
    </row>
    <row r="37" spans="1:12" x14ac:dyDescent="0.35">
      <c r="A37" t="s">
        <v>354</v>
      </c>
      <c r="B37" s="1">
        <v>45719</v>
      </c>
      <c r="C37" t="s">
        <v>6828</v>
      </c>
      <c r="D37" t="s">
        <v>385</v>
      </c>
      <c r="E37" t="s">
        <v>386</v>
      </c>
      <c r="F37" t="s">
        <v>6802</v>
      </c>
      <c r="H37" t="s">
        <v>387</v>
      </c>
      <c r="J37">
        <v>231548</v>
      </c>
      <c r="L37" t="s">
        <v>6803</v>
      </c>
    </row>
    <row r="38" spans="1:12" x14ac:dyDescent="0.35">
      <c r="A38" t="s">
        <v>354</v>
      </c>
      <c r="B38" s="1">
        <v>45719</v>
      </c>
      <c r="C38" t="s">
        <v>6828</v>
      </c>
      <c r="D38" t="s">
        <v>385</v>
      </c>
      <c r="E38" t="s">
        <v>386</v>
      </c>
      <c r="F38" t="s">
        <v>6804</v>
      </c>
      <c r="G38" t="s">
        <v>6826</v>
      </c>
      <c r="H38" t="s">
        <v>387</v>
      </c>
      <c r="I38" s="1">
        <v>45808</v>
      </c>
      <c r="K38">
        <v>273227</v>
      </c>
      <c r="L38" t="s">
        <v>6803</v>
      </c>
    </row>
    <row r="39" spans="1:12" x14ac:dyDescent="0.35">
      <c r="A39" t="s">
        <v>354</v>
      </c>
      <c r="B39" s="1">
        <v>45719</v>
      </c>
      <c r="C39" t="s">
        <v>6828</v>
      </c>
      <c r="D39" t="s">
        <v>385</v>
      </c>
      <c r="E39" t="s">
        <v>386</v>
      </c>
      <c r="F39" t="s">
        <v>6806</v>
      </c>
      <c r="H39" t="s">
        <v>387</v>
      </c>
      <c r="J39">
        <v>41679</v>
      </c>
      <c r="L39" t="s">
        <v>6803</v>
      </c>
    </row>
    <row r="40" spans="1:12" x14ac:dyDescent="0.35">
      <c r="A40" t="s">
        <v>354</v>
      </c>
      <c r="B40" s="1">
        <v>45719</v>
      </c>
      <c r="C40" t="s">
        <v>6829</v>
      </c>
      <c r="D40" t="s">
        <v>388</v>
      </c>
      <c r="E40" t="s">
        <v>389</v>
      </c>
      <c r="F40" t="s">
        <v>6802</v>
      </c>
      <c r="H40" t="s">
        <v>390</v>
      </c>
      <c r="J40">
        <v>87359</v>
      </c>
      <c r="L40" t="s">
        <v>6803</v>
      </c>
    </row>
    <row r="41" spans="1:12" x14ac:dyDescent="0.35">
      <c r="A41" t="s">
        <v>354</v>
      </c>
      <c r="B41" s="1">
        <v>45719</v>
      </c>
      <c r="C41" t="s">
        <v>6829</v>
      </c>
      <c r="D41" t="s">
        <v>388</v>
      </c>
      <c r="E41" t="s">
        <v>389</v>
      </c>
      <c r="F41" t="s">
        <v>6804</v>
      </c>
      <c r="G41" t="s">
        <v>6826</v>
      </c>
      <c r="H41" t="s">
        <v>390</v>
      </c>
      <c r="I41" s="1">
        <v>45808</v>
      </c>
      <c r="K41">
        <v>103084</v>
      </c>
      <c r="L41" t="s">
        <v>6803</v>
      </c>
    </row>
    <row r="42" spans="1:12" x14ac:dyDescent="0.35">
      <c r="A42" t="s">
        <v>354</v>
      </c>
      <c r="B42" s="1">
        <v>45719</v>
      </c>
      <c r="C42" t="s">
        <v>6829</v>
      </c>
      <c r="D42" t="s">
        <v>388</v>
      </c>
      <c r="E42" t="s">
        <v>389</v>
      </c>
      <c r="F42" t="s">
        <v>6806</v>
      </c>
      <c r="H42" t="s">
        <v>390</v>
      </c>
      <c r="J42">
        <v>15725</v>
      </c>
      <c r="L42" t="s">
        <v>6803</v>
      </c>
    </row>
    <row r="43" spans="1:12" x14ac:dyDescent="0.35">
      <c r="A43" t="s">
        <v>354</v>
      </c>
      <c r="B43" s="1">
        <v>45719</v>
      </c>
      <c r="C43" t="s">
        <v>6830</v>
      </c>
      <c r="D43" t="s">
        <v>391</v>
      </c>
      <c r="E43" t="s">
        <v>392</v>
      </c>
      <c r="F43" t="s">
        <v>6802</v>
      </c>
      <c r="H43" t="s">
        <v>393</v>
      </c>
      <c r="J43">
        <v>22282</v>
      </c>
      <c r="L43" t="s">
        <v>6803</v>
      </c>
    </row>
    <row r="44" spans="1:12" x14ac:dyDescent="0.35">
      <c r="A44" t="s">
        <v>354</v>
      </c>
      <c r="B44" s="1">
        <v>45719</v>
      </c>
      <c r="C44" t="s">
        <v>6830</v>
      </c>
      <c r="D44" t="s">
        <v>391</v>
      </c>
      <c r="E44" t="s">
        <v>392</v>
      </c>
      <c r="F44" t="s">
        <v>6804</v>
      </c>
      <c r="G44" t="s">
        <v>6826</v>
      </c>
      <c r="H44" t="s">
        <v>393</v>
      </c>
      <c r="I44" s="1">
        <v>45808</v>
      </c>
      <c r="K44">
        <v>26293</v>
      </c>
      <c r="L44" t="s">
        <v>6803</v>
      </c>
    </row>
    <row r="45" spans="1:12" x14ac:dyDescent="0.35">
      <c r="A45" t="s">
        <v>354</v>
      </c>
      <c r="B45" s="1">
        <v>45719</v>
      </c>
      <c r="C45" t="s">
        <v>6830</v>
      </c>
      <c r="D45" t="s">
        <v>391</v>
      </c>
      <c r="E45" t="s">
        <v>392</v>
      </c>
      <c r="F45" t="s">
        <v>6806</v>
      </c>
      <c r="H45" t="s">
        <v>393</v>
      </c>
      <c r="J45">
        <v>4011</v>
      </c>
      <c r="L45" t="s">
        <v>6803</v>
      </c>
    </row>
    <row r="46" spans="1:12" x14ac:dyDescent="0.35">
      <c r="A46" t="s">
        <v>354</v>
      </c>
      <c r="B46" s="1">
        <v>45719</v>
      </c>
      <c r="C46" t="s">
        <v>6831</v>
      </c>
      <c r="D46" t="s">
        <v>394</v>
      </c>
      <c r="E46" t="s">
        <v>395</v>
      </c>
      <c r="F46" t="s">
        <v>6802</v>
      </c>
      <c r="H46" t="s">
        <v>396</v>
      </c>
      <c r="J46">
        <v>53530</v>
      </c>
      <c r="L46" t="s">
        <v>6803</v>
      </c>
    </row>
    <row r="47" spans="1:12" x14ac:dyDescent="0.35">
      <c r="A47" t="s">
        <v>354</v>
      </c>
      <c r="B47" s="1">
        <v>45719</v>
      </c>
      <c r="C47" t="s">
        <v>6831</v>
      </c>
      <c r="D47" t="s">
        <v>394</v>
      </c>
      <c r="E47" t="s">
        <v>395</v>
      </c>
      <c r="F47" t="s">
        <v>6804</v>
      </c>
      <c r="G47" t="s">
        <v>6832</v>
      </c>
      <c r="H47" t="s">
        <v>396</v>
      </c>
      <c r="I47" s="1">
        <v>45808</v>
      </c>
      <c r="K47">
        <v>63165</v>
      </c>
      <c r="L47" t="s">
        <v>6803</v>
      </c>
    </row>
    <row r="48" spans="1:12" x14ac:dyDescent="0.35">
      <c r="A48" t="s">
        <v>354</v>
      </c>
      <c r="B48" s="1">
        <v>45719</v>
      </c>
      <c r="C48" t="s">
        <v>6831</v>
      </c>
      <c r="D48" t="s">
        <v>394</v>
      </c>
      <c r="E48" t="s">
        <v>395</v>
      </c>
      <c r="F48" t="s">
        <v>6806</v>
      </c>
      <c r="H48" t="s">
        <v>396</v>
      </c>
      <c r="J48">
        <v>9635</v>
      </c>
      <c r="L48" t="s">
        <v>6803</v>
      </c>
    </row>
    <row r="49" spans="1:12" x14ac:dyDescent="0.35">
      <c r="A49" t="s">
        <v>354</v>
      </c>
      <c r="B49" s="1">
        <v>45719</v>
      </c>
      <c r="C49" t="s">
        <v>6833</v>
      </c>
      <c r="D49" t="s">
        <v>397</v>
      </c>
      <c r="E49" t="s">
        <v>398</v>
      </c>
      <c r="F49" t="s">
        <v>6802</v>
      </c>
      <c r="H49" t="s">
        <v>399</v>
      </c>
      <c r="J49">
        <v>7944</v>
      </c>
      <c r="L49" t="s">
        <v>6803</v>
      </c>
    </row>
    <row r="50" spans="1:12" x14ac:dyDescent="0.35">
      <c r="A50" t="s">
        <v>354</v>
      </c>
      <c r="B50" s="1">
        <v>45719</v>
      </c>
      <c r="C50" t="s">
        <v>6833</v>
      </c>
      <c r="D50" t="s">
        <v>397</v>
      </c>
      <c r="E50" t="s">
        <v>398</v>
      </c>
      <c r="F50" t="s">
        <v>6804</v>
      </c>
      <c r="G50" t="s">
        <v>6832</v>
      </c>
      <c r="H50" t="s">
        <v>399</v>
      </c>
      <c r="I50" s="1">
        <v>45808</v>
      </c>
      <c r="K50">
        <v>9374</v>
      </c>
      <c r="L50" t="s">
        <v>6803</v>
      </c>
    </row>
    <row r="51" spans="1:12" x14ac:dyDescent="0.35">
      <c r="A51" t="s">
        <v>354</v>
      </c>
      <c r="B51" s="1">
        <v>45719</v>
      </c>
      <c r="C51" t="s">
        <v>6833</v>
      </c>
      <c r="D51" t="s">
        <v>397</v>
      </c>
      <c r="E51" t="s">
        <v>398</v>
      </c>
      <c r="F51" t="s">
        <v>6806</v>
      </c>
      <c r="H51" t="s">
        <v>399</v>
      </c>
      <c r="J51">
        <v>1430</v>
      </c>
      <c r="L51" t="s">
        <v>6803</v>
      </c>
    </row>
    <row r="52" spans="1:12" x14ac:dyDescent="0.35">
      <c r="A52" t="s">
        <v>354</v>
      </c>
      <c r="B52" s="1">
        <v>45719</v>
      </c>
      <c r="C52" t="s">
        <v>6834</v>
      </c>
      <c r="D52" t="s">
        <v>400</v>
      </c>
      <c r="E52" t="s">
        <v>401</v>
      </c>
      <c r="F52" t="s">
        <v>6802</v>
      </c>
      <c r="H52" t="s">
        <v>402</v>
      </c>
      <c r="J52">
        <v>44460</v>
      </c>
      <c r="L52" t="s">
        <v>6803</v>
      </c>
    </row>
    <row r="53" spans="1:12" x14ac:dyDescent="0.35">
      <c r="A53" t="s">
        <v>354</v>
      </c>
      <c r="B53" s="1">
        <v>45719</v>
      </c>
      <c r="C53" t="s">
        <v>6834</v>
      </c>
      <c r="D53" t="s">
        <v>400</v>
      </c>
      <c r="E53" t="s">
        <v>401</v>
      </c>
      <c r="F53" t="s">
        <v>6804</v>
      </c>
      <c r="G53" t="s">
        <v>6832</v>
      </c>
      <c r="H53" t="s">
        <v>402</v>
      </c>
      <c r="I53" s="1">
        <v>45808</v>
      </c>
      <c r="K53">
        <v>52463</v>
      </c>
      <c r="L53" t="s">
        <v>6803</v>
      </c>
    </row>
    <row r="54" spans="1:12" x14ac:dyDescent="0.35">
      <c r="A54" t="s">
        <v>354</v>
      </c>
      <c r="B54" s="1">
        <v>45719</v>
      </c>
      <c r="C54" t="s">
        <v>6834</v>
      </c>
      <c r="D54" t="s">
        <v>400</v>
      </c>
      <c r="E54" t="s">
        <v>401</v>
      </c>
      <c r="F54" t="s">
        <v>6806</v>
      </c>
      <c r="H54" t="s">
        <v>402</v>
      </c>
      <c r="J54">
        <v>8003</v>
      </c>
      <c r="L54" t="s">
        <v>6803</v>
      </c>
    </row>
    <row r="55" spans="1:12" x14ac:dyDescent="0.35">
      <c r="A55" t="s">
        <v>354</v>
      </c>
      <c r="B55" s="1">
        <v>45719</v>
      </c>
      <c r="C55" t="s">
        <v>6835</v>
      </c>
      <c r="D55" t="s">
        <v>403</v>
      </c>
      <c r="E55" t="s">
        <v>404</v>
      </c>
      <c r="F55" t="s">
        <v>6802</v>
      </c>
      <c r="H55" t="s">
        <v>405</v>
      </c>
      <c r="J55">
        <v>58287</v>
      </c>
      <c r="L55" t="s">
        <v>6803</v>
      </c>
    </row>
    <row r="56" spans="1:12" x14ac:dyDescent="0.35">
      <c r="A56" t="s">
        <v>354</v>
      </c>
      <c r="B56" s="1">
        <v>45719</v>
      </c>
      <c r="C56" t="s">
        <v>6835</v>
      </c>
      <c r="D56" t="s">
        <v>403</v>
      </c>
      <c r="E56" t="s">
        <v>404</v>
      </c>
      <c r="F56" t="s">
        <v>6804</v>
      </c>
      <c r="G56" t="s">
        <v>6832</v>
      </c>
      <c r="H56" t="s">
        <v>405</v>
      </c>
      <c r="I56" s="1">
        <v>45808</v>
      </c>
      <c r="K56">
        <v>68779</v>
      </c>
      <c r="L56" t="s">
        <v>6803</v>
      </c>
    </row>
    <row r="57" spans="1:12" x14ac:dyDescent="0.35">
      <c r="A57" t="s">
        <v>354</v>
      </c>
      <c r="B57" s="1">
        <v>45719</v>
      </c>
      <c r="C57" t="s">
        <v>6835</v>
      </c>
      <c r="D57" t="s">
        <v>403</v>
      </c>
      <c r="E57" t="s">
        <v>404</v>
      </c>
      <c r="F57" t="s">
        <v>6806</v>
      </c>
      <c r="H57" t="s">
        <v>405</v>
      </c>
      <c r="J57">
        <v>10492</v>
      </c>
      <c r="L57" t="s">
        <v>6803</v>
      </c>
    </row>
    <row r="58" spans="1:12" x14ac:dyDescent="0.35">
      <c r="A58" t="s">
        <v>354</v>
      </c>
      <c r="B58" s="1">
        <v>45719</v>
      </c>
      <c r="C58" t="s">
        <v>6836</v>
      </c>
      <c r="D58" t="s">
        <v>406</v>
      </c>
      <c r="E58" t="s">
        <v>407</v>
      </c>
      <c r="F58" t="s">
        <v>6802</v>
      </c>
      <c r="H58" t="s">
        <v>408</v>
      </c>
      <c r="J58">
        <v>122100</v>
      </c>
      <c r="L58" t="s">
        <v>6803</v>
      </c>
    </row>
    <row r="59" spans="1:12" x14ac:dyDescent="0.35">
      <c r="A59" t="s">
        <v>354</v>
      </c>
      <c r="B59" s="1">
        <v>45719</v>
      </c>
      <c r="C59" t="s">
        <v>6836</v>
      </c>
      <c r="D59" t="s">
        <v>406</v>
      </c>
      <c r="E59" t="s">
        <v>407</v>
      </c>
      <c r="F59" t="s">
        <v>6804</v>
      </c>
      <c r="G59" t="s">
        <v>6832</v>
      </c>
      <c r="H59" t="s">
        <v>408</v>
      </c>
      <c r="I59" s="1">
        <v>45808</v>
      </c>
      <c r="K59">
        <v>144078</v>
      </c>
      <c r="L59" t="s">
        <v>6803</v>
      </c>
    </row>
    <row r="60" spans="1:12" x14ac:dyDescent="0.35">
      <c r="A60" t="s">
        <v>354</v>
      </c>
      <c r="B60" s="1">
        <v>45719</v>
      </c>
      <c r="C60" t="s">
        <v>6836</v>
      </c>
      <c r="D60" t="s">
        <v>406</v>
      </c>
      <c r="E60" t="s">
        <v>407</v>
      </c>
      <c r="F60" t="s">
        <v>6806</v>
      </c>
      <c r="H60" t="s">
        <v>408</v>
      </c>
      <c r="J60">
        <v>21978</v>
      </c>
      <c r="L60" t="s">
        <v>6803</v>
      </c>
    </row>
    <row r="61" spans="1:12" x14ac:dyDescent="0.35">
      <c r="A61" t="s">
        <v>354</v>
      </c>
      <c r="B61" s="1">
        <v>45719</v>
      </c>
      <c r="C61" t="s">
        <v>6837</v>
      </c>
      <c r="D61" t="s">
        <v>409</v>
      </c>
      <c r="E61" t="s">
        <v>410</v>
      </c>
      <c r="F61" t="s">
        <v>6802</v>
      </c>
      <c r="H61" t="s">
        <v>411</v>
      </c>
      <c r="J61">
        <v>122100</v>
      </c>
      <c r="L61" t="s">
        <v>6803</v>
      </c>
    </row>
    <row r="62" spans="1:12" x14ac:dyDescent="0.35">
      <c r="A62" t="s">
        <v>354</v>
      </c>
      <c r="B62" s="1">
        <v>45719</v>
      </c>
      <c r="C62" t="s">
        <v>6837</v>
      </c>
      <c r="D62" t="s">
        <v>409</v>
      </c>
      <c r="E62" t="s">
        <v>410</v>
      </c>
      <c r="F62" t="s">
        <v>6804</v>
      </c>
      <c r="G62" t="s">
        <v>6832</v>
      </c>
      <c r="H62" t="s">
        <v>411</v>
      </c>
      <c r="I62" s="1">
        <v>45808</v>
      </c>
      <c r="K62">
        <v>144078</v>
      </c>
      <c r="L62" t="s">
        <v>6803</v>
      </c>
    </row>
    <row r="63" spans="1:12" x14ac:dyDescent="0.35">
      <c r="A63" t="s">
        <v>354</v>
      </c>
      <c r="B63" s="1">
        <v>45719</v>
      </c>
      <c r="C63" t="s">
        <v>6837</v>
      </c>
      <c r="D63" t="s">
        <v>409</v>
      </c>
      <c r="E63" t="s">
        <v>410</v>
      </c>
      <c r="F63" t="s">
        <v>6806</v>
      </c>
      <c r="H63" t="s">
        <v>411</v>
      </c>
      <c r="J63">
        <v>21978</v>
      </c>
      <c r="L63" t="s">
        <v>6803</v>
      </c>
    </row>
    <row r="64" spans="1:12" x14ac:dyDescent="0.35">
      <c r="A64" t="s">
        <v>354</v>
      </c>
      <c r="B64" s="1">
        <v>45719</v>
      </c>
      <c r="C64" t="s">
        <v>6838</v>
      </c>
      <c r="D64" t="s">
        <v>412</v>
      </c>
      <c r="E64" t="s">
        <v>413</v>
      </c>
      <c r="F64" t="s">
        <v>6802</v>
      </c>
      <c r="H64" t="s">
        <v>414</v>
      </c>
      <c r="J64">
        <v>4087</v>
      </c>
      <c r="L64" t="s">
        <v>6803</v>
      </c>
    </row>
    <row r="65" spans="1:12" x14ac:dyDescent="0.35">
      <c r="A65" t="s">
        <v>354</v>
      </c>
      <c r="B65" s="1">
        <v>45719</v>
      </c>
      <c r="C65" t="s">
        <v>6838</v>
      </c>
      <c r="D65" t="s">
        <v>412</v>
      </c>
      <c r="E65" t="s">
        <v>413</v>
      </c>
      <c r="F65" t="s">
        <v>6804</v>
      </c>
      <c r="G65" t="s">
        <v>6832</v>
      </c>
      <c r="H65" t="s">
        <v>414</v>
      </c>
      <c r="I65" s="1">
        <v>45808</v>
      </c>
      <c r="K65">
        <v>4823</v>
      </c>
      <c r="L65" t="s">
        <v>6803</v>
      </c>
    </row>
    <row r="66" spans="1:12" x14ac:dyDescent="0.35">
      <c r="A66" t="s">
        <v>354</v>
      </c>
      <c r="B66" s="1">
        <v>45719</v>
      </c>
      <c r="C66" t="s">
        <v>6838</v>
      </c>
      <c r="D66" t="s">
        <v>412</v>
      </c>
      <c r="E66" t="s">
        <v>413</v>
      </c>
      <c r="F66" t="s">
        <v>6806</v>
      </c>
      <c r="H66" t="s">
        <v>414</v>
      </c>
      <c r="J66">
        <v>736</v>
      </c>
      <c r="L66" t="s">
        <v>6803</v>
      </c>
    </row>
    <row r="67" spans="1:12" x14ac:dyDescent="0.35">
      <c r="A67" t="s">
        <v>354</v>
      </c>
      <c r="B67" s="1">
        <v>45719</v>
      </c>
      <c r="C67" t="s">
        <v>6839</v>
      </c>
      <c r="D67" t="s">
        <v>415</v>
      </c>
      <c r="E67" t="s">
        <v>416</v>
      </c>
      <c r="F67" t="s">
        <v>6802</v>
      </c>
      <c r="H67" t="s">
        <v>417</v>
      </c>
      <c r="J67">
        <v>65200</v>
      </c>
      <c r="L67" t="s">
        <v>6803</v>
      </c>
    </row>
    <row r="68" spans="1:12" x14ac:dyDescent="0.35">
      <c r="A68" t="s">
        <v>354</v>
      </c>
      <c r="B68" s="1">
        <v>45719</v>
      </c>
      <c r="C68" t="s">
        <v>6839</v>
      </c>
      <c r="D68" t="s">
        <v>415</v>
      </c>
      <c r="E68" t="s">
        <v>416</v>
      </c>
      <c r="F68" t="s">
        <v>6804</v>
      </c>
      <c r="G68" t="s">
        <v>6832</v>
      </c>
      <c r="H68" t="s">
        <v>417</v>
      </c>
      <c r="I68" s="1">
        <v>45808</v>
      </c>
      <c r="K68">
        <v>76936</v>
      </c>
      <c r="L68" t="s">
        <v>6803</v>
      </c>
    </row>
    <row r="69" spans="1:12" x14ac:dyDescent="0.35">
      <c r="A69" t="s">
        <v>354</v>
      </c>
      <c r="B69" s="1">
        <v>45719</v>
      </c>
      <c r="C69" t="s">
        <v>6839</v>
      </c>
      <c r="D69" t="s">
        <v>415</v>
      </c>
      <c r="E69" t="s">
        <v>416</v>
      </c>
      <c r="F69" t="s">
        <v>6806</v>
      </c>
      <c r="H69" t="s">
        <v>417</v>
      </c>
      <c r="J69">
        <v>11736</v>
      </c>
      <c r="L69" t="s">
        <v>6803</v>
      </c>
    </row>
    <row r="70" spans="1:12" x14ac:dyDescent="0.35">
      <c r="A70" t="s">
        <v>354</v>
      </c>
      <c r="B70" s="1">
        <v>45719</v>
      </c>
      <c r="C70" t="s">
        <v>6840</v>
      </c>
      <c r="D70" t="s">
        <v>418</v>
      </c>
      <c r="E70" t="s">
        <v>419</v>
      </c>
      <c r="F70" t="s">
        <v>6802</v>
      </c>
      <c r="H70" t="s">
        <v>420</v>
      </c>
      <c r="J70">
        <v>25974</v>
      </c>
      <c r="L70" t="s">
        <v>6803</v>
      </c>
    </row>
    <row r="71" spans="1:12" x14ac:dyDescent="0.35">
      <c r="A71" t="s">
        <v>354</v>
      </c>
      <c r="B71" s="1">
        <v>45719</v>
      </c>
      <c r="C71" t="s">
        <v>6840</v>
      </c>
      <c r="D71" t="s">
        <v>418</v>
      </c>
      <c r="E71" t="s">
        <v>419</v>
      </c>
      <c r="F71" t="s">
        <v>6804</v>
      </c>
      <c r="G71" t="s">
        <v>6832</v>
      </c>
      <c r="H71" t="s">
        <v>420</v>
      </c>
      <c r="I71" s="1">
        <v>45808</v>
      </c>
      <c r="K71">
        <v>30649</v>
      </c>
      <c r="L71" t="s">
        <v>6803</v>
      </c>
    </row>
    <row r="72" spans="1:12" x14ac:dyDescent="0.35">
      <c r="A72" t="s">
        <v>354</v>
      </c>
      <c r="B72" s="1">
        <v>45719</v>
      </c>
      <c r="C72" t="s">
        <v>6840</v>
      </c>
      <c r="D72" t="s">
        <v>418</v>
      </c>
      <c r="E72" t="s">
        <v>419</v>
      </c>
      <c r="F72" t="s">
        <v>6806</v>
      </c>
      <c r="H72" t="s">
        <v>420</v>
      </c>
      <c r="J72">
        <v>4675</v>
      </c>
      <c r="L72" t="s">
        <v>6803</v>
      </c>
    </row>
    <row r="73" spans="1:12" x14ac:dyDescent="0.35">
      <c r="A73" t="s">
        <v>354</v>
      </c>
      <c r="B73" s="1">
        <v>45719</v>
      </c>
      <c r="C73" t="s">
        <v>6841</v>
      </c>
      <c r="D73" t="s">
        <v>421</v>
      </c>
      <c r="E73" t="s">
        <v>422</v>
      </c>
      <c r="F73" t="s">
        <v>6802</v>
      </c>
      <c r="H73" t="s">
        <v>423</v>
      </c>
      <c r="J73">
        <v>84000</v>
      </c>
      <c r="L73" t="s">
        <v>6803</v>
      </c>
    </row>
    <row r="74" spans="1:12" x14ac:dyDescent="0.35">
      <c r="A74" t="s">
        <v>354</v>
      </c>
      <c r="B74" s="1">
        <v>45719</v>
      </c>
      <c r="C74" t="s">
        <v>6841</v>
      </c>
      <c r="D74" t="s">
        <v>421</v>
      </c>
      <c r="E74" t="s">
        <v>422</v>
      </c>
      <c r="F74" t="s">
        <v>6804</v>
      </c>
      <c r="G74" t="s">
        <v>6832</v>
      </c>
      <c r="H74" t="s">
        <v>423</v>
      </c>
      <c r="I74" s="1">
        <v>45808</v>
      </c>
      <c r="K74">
        <v>99120</v>
      </c>
      <c r="L74" t="s">
        <v>6803</v>
      </c>
    </row>
    <row r="75" spans="1:12" x14ac:dyDescent="0.35">
      <c r="A75" t="s">
        <v>354</v>
      </c>
      <c r="B75" s="1">
        <v>45719</v>
      </c>
      <c r="C75" t="s">
        <v>6841</v>
      </c>
      <c r="D75" t="s">
        <v>421</v>
      </c>
      <c r="E75" t="s">
        <v>422</v>
      </c>
      <c r="F75" t="s">
        <v>6806</v>
      </c>
      <c r="H75" t="s">
        <v>423</v>
      </c>
      <c r="J75">
        <v>15120</v>
      </c>
      <c r="L75" t="s">
        <v>6803</v>
      </c>
    </row>
    <row r="76" spans="1:12" x14ac:dyDescent="0.35">
      <c r="A76" t="s">
        <v>354</v>
      </c>
      <c r="B76" s="1">
        <v>45719</v>
      </c>
      <c r="C76" t="s">
        <v>6842</v>
      </c>
      <c r="D76" t="s">
        <v>424</v>
      </c>
      <c r="E76" t="s">
        <v>425</v>
      </c>
      <c r="F76" t="s">
        <v>6808</v>
      </c>
      <c r="H76" t="s">
        <v>426</v>
      </c>
      <c r="J76">
        <v>1680000</v>
      </c>
      <c r="L76" t="s">
        <v>6803</v>
      </c>
    </row>
    <row r="77" spans="1:12" x14ac:dyDescent="0.35">
      <c r="A77" t="s">
        <v>354</v>
      </c>
      <c r="B77" s="1">
        <v>45719</v>
      </c>
      <c r="C77" t="s">
        <v>6842</v>
      </c>
      <c r="D77" t="s">
        <v>424</v>
      </c>
      <c r="E77" t="s">
        <v>425</v>
      </c>
      <c r="F77" t="s">
        <v>6804</v>
      </c>
      <c r="G77" t="s">
        <v>6843</v>
      </c>
      <c r="H77" t="s">
        <v>426</v>
      </c>
      <c r="I77" s="1">
        <v>45719</v>
      </c>
      <c r="K77">
        <v>1982400</v>
      </c>
      <c r="L77" t="s">
        <v>6803</v>
      </c>
    </row>
    <row r="78" spans="1:12" x14ac:dyDescent="0.35">
      <c r="A78" t="s">
        <v>354</v>
      </c>
      <c r="B78" s="1">
        <v>45719</v>
      </c>
      <c r="C78" t="s">
        <v>6842</v>
      </c>
      <c r="D78" t="s">
        <v>424</v>
      </c>
      <c r="E78" t="s">
        <v>425</v>
      </c>
      <c r="F78" t="s">
        <v>6806</v>
      </c>
      <c r="H78" t="s">
        <v>426</v>
      </c>
      <c r="J78">
        <v>302400</v>
      </c>
      <c r="L78" t="s">
        <v>6803</v>
      </c>
    </row>
    <row r="79" spans="1:12" x14ac:dyDescent="0.35">
      <c r="A79" t="s">
        <v>354</v>
      </c>
      <c r="B79" s="1">
        <v>45719</v>
      </c>
      <c r="C79" t="s">
        <v>6844</v>
      </c>
      <c r="D79" t="s">
        <v>427</v>
      </c>
      <c r="E79" t="s">
        <v>428</v>
      </c>
      <c r="F79" t="s">
        <v>6808</v>
      </c>
      <c r="H79" t="s">
        <v>429</v>
      </c>
      <c r="J79">
        <v>580000</v>
      </c>
      <c r="L79" t="s">
        <v>6803</v>
      </c>
    </row>
    <row r="80" spans="1:12" x14ac:dyDescent="0.35">
      <c r="A80" t="s">
        <v>354</v>
      </c>
      <c r="B80" s="1">
        <v>45719</v>
      </c>
      <c r="C80" t="s">
        <v>6844</v>
      </c>
      <c r="D80" t="s">
        <v>427</v>
      </c>
      <c r="E80" t="s">
        <v>428</v>
      </c>
      <c r="F80" t="s">
        <v>6804</v>
      </c>
      <c r="G80" t="s">
        <v>6843</v>
      </c>
      <c r="H80" t="s">
        <v>429</v>
      </c>
      <c r="I80" s="1">
        <v>45719</v>
      </c>
      <c r="K80">
        <v>684400</v>
      </c>
      <c r="L80" t="s">
        <v>6803</v>
      </c>
    </row>
    <row r="81" spans="1:12" x14ac:dyDescent="0.35">
      <c r="A81" t="s">
        <v>354</v>
      </c>
      <c r="B81" s="1">
        <v>45719</v>
      </c>
      <c r="C81" t="s">
        <v>6844</v>
      </c>
      <c r="D81" t="s">
        <v>427</v>
      </c>
      <c r="E81" t="s">
        <v>428</v>
      </c>
      <c r="F81" t="s">
        <v>6806</v>
      </c>
      <c r="H81" t="s">
        <v>429</v>
      </c>
      <c r="J81">
        <v>104400</v>
      </c>
      <c r="L81" t="s">
        <v>6803</v>
      </c>
    </row>
    <row r="82" spans="1:12" x14ac:dyDescent="0.35">
      <c r="A82" t="s">
        <v>354</v>
      </c>
      <c r="B82" s="1">
        <v>45719</v>
      </c>
      <c r="C82" t="s">
        <v>6845</v>
      </c>
      <c r="D82" t="s">
        <v>430</v>
      </c>
      <c r="E82" t="s">
        <v>431</v>
      </c>
      <c r="F82" t="s">
        <v>6808</v>
      </c>
      <c r="H82" t="s">
        <v>432</v>
      </c>
      <c r="J82">
        <v>2320000</v>
      </c>
      <c r="L82" t="s">
        <v>6803</v>
      </c>
    </row>
    <row r="83" spans="1:12" x14ac:dyDescent="0.35">
      <c r="A83" t="s">
        <v>354</v>
      </c>
      <c r="B83" s="1">
        <v>45719</v>
      </c>
      <c r="C83" t="s">
        <v>6845</v>
      </c>
      <c r="D83" t="s">
        <v>430</v>
      </c>
      <c r="E83" t="s">
        <v>431</v>
      </c>
      <c r="F83" t="s">
        <v>6804</v>
      </c>
      <c r="G83" t="s">
        <v>6843</v>
      </c>
      <c r="H83" t="s">
        <v>432</v>
      </c>
      <c r="I83" s="1">
        <v>45719</v>
      </c>
      <c r="K83">
        <v>2737600</v>
      </c>
      <c r="L83" t="s">
        <v>6803</v>
      </c>
    </row>
    <row r="84" spans="1:12" x14ac:dyDescent="0.35">
      <c r="A84" t="s">
        <v>354</v>
      </c>
      <c r="B84" s="1">
        <v>45719</v>
      </c>
      <c r="C84" t="s">
        <v>6845</v>
      </c>
      <c r="D84" t="s">
        <v>430</v>
      </c>
      <c r="E84" t="s">
        <v>431</v>
      </c>
      <c r="F84" t="s">
        <v>6806</v>
      </c>
      <c r="H84" t="s">
        <v>432</v>
      </c>
      <c r="J84">
        <v>417600</v>
      </c>
      <c r="L84" t="s">
        <v>6803</v>
      </c>
    </row>
    <row r="85" spans="1:12" x14ac:dyDescent="0.35">
      <c r="A85" t="s">
        <v>354</v>
      </c>
      <c r="B85" s="1">
        <v>45719</v>
      </c>
      <c r="C85" t="s">
        <v>6846</v>
      </c>
      <c r="D85" t="s">
        <v>433</v>
      </c>
      <c r="E85" t="s">
        <v>434</v>
      </c>
      <c r="F85" t="s">
        <v>6808</v>
      </c>
      <c r="H85" t="s">
        <v>435</v>
      </c>
      <c r="J85">
        <v>1740000</v>
      </c>
      <c r="L85" t="s">
        <v>6803</v>
      </c>
    </row>
    <row r="86" spans="1:12" x14ac:dyDescent="0.35">
      <c r="A86" t="s">
        <v>354</v>
      </c>
      <c r="B86" s="1">
        <v>45719</v>
      </c>
      <c r="C86" t="s">
        <v>6846</v>
      </c>
      <c r="D86" t="s">
        <v>433</v>
      </c>
      <c r="E86" t="s">
        <v>434</v>
      </c>
      <c r="F86" t="s">
        <v>6804</v>
      </c>
      <c r="G86" t="s">
        <v>6843</v>
      </c>
      <c r="H86" t="s">
        <v>435</v>
      </c>
      <c r="I86" s="1">
        <v>45719</v>
      </c>
      <c r="K86">
        <v>2053200</v>
      </c>
      <c r="L86" t="s">
        <v>6803</v>
      </c>
    </row>
    <row r="87" spans="1:12" x14ac:dyDescent="0.35">
      <c r="A87" t="s">
        <v>354</v>
      </c>
      <c r="B87" s="1">
        <v>45719</v>
      </c>
      <c r="C87" t="s">
        <v>6846</v>
      </c>
      <c r="D87" t="s">
        <v>433</v>
      </c>
      <c r="E87" t="s">
        <v>434</v>
      </c>
      <c r="F87" t="s">
        <v>6806</v>
      </c>
      <c r="H87" t="s">
        <v>435</v>
      </c>
      <c r="J87">
        <v>313200</v>
      </c>
      <c r="L87" t="s">
        <v>6803</v>
      </c>
    </row>
    <row r="88" spans="1:12" x14ac:dyDescent="0.35">
      <c r="A88" t="s">
        <v>354</v>
      </c>
      <c r="B88" s="1">
        <v>45719</v>
      </c>
      <c r="C88" t="s">
        <v>6847</v>
      </c>
      <c r="D88" t="s">
        <v>436</v>
      </c>
      <c r="E88" t="s">
        <v>437</v>
      </c>
      <c r="F88" t="s">
        <v>6808</v>
      </c>
      <c r="H88" t="s">
        <v>438</v>
      </c>
      <c r="J88">
        <v>990000</v>
      </c>
      <c r="L88" t="s">
        <v>6803</v>
      </c>
    </row>
    <row r="89" spans="1:12" x14ac:dyDescent="0.35">
      <c r="A89" t="s">
        <v>354</v>
      </c>
      <c r="B89" s="1">
        <v>45719</v>
      </c>
      <c r="C89" t="s">
        <v>6847</v>
      </c>
      <c r="D89" t="s">
        <v>436</v>
      </c>
      <c r="E89" t="s">
        <v>437</v>
      </c>
      <c r="F89" t="s">
        <v>6804</v>
      </c>
      <c r="G89" t="s">
        <v>6843</v>
      </c>
      <c r="H89" t="s">
        <v>438</v>
      </c>
      <c r="I89" s="1">
        <v>45719</v>
      </c>
      <c r="K89">
        <v>1168200</v>
      </c>
      <c r="L89" t="s">
        <v>6803</v>
      </c>
    </row>
    <row r="90" spans="1:12" x14ac:dyDescent="0.35">
      <c r="A90" t="s">
        <v>354</v>
      </c>
      <c r="B90" s="1">
        <v>45719</v>
      </c>
      <c r="C90" t="s">
        <v>6847</v>
      </c>
      <c r="D90" t="s">
        <v>436</v>
      </c>
      <c r="E90" t="s">
        <v>437</v>
      </c>
      <c r="F90" t="s">
        <v>6806</v>
      </c>
      <c r="H90" t="s">
        <v>438</v>
      </c>
      <c r="J90">
        <v>178200</v>
      </c>
      <c r="L90" t="s">
        <v>6803</v>
      </c>
    </row>
    <row r="91" spans="1:12" x14ac:dyDescent="0.35">
      <c r="A91" t="s">
        <v>354</v>
      </c>
      <c r="B91" s="1">
        <v>45719</v>
      </c>
      <c r="C91" t="s">
        <v>6848</v>
      </c>
      <c r="D91" t="s">
        <v>439</v>
      </c>
      <c r="E91" t="s">
        <v>440</v>
      </c>
      <c r="F91" t="s">
        <v>6808</v>
      </c>
      <c r="H91" t="s">
        <v>441</v>
      </c>
      <c r="J91">
        <v>1650000</v>
      </c>
      <c r="L91" t="s">
        <v>6803</v>
      </c>
    </row>
    <row r="92" spans="1:12" x14ac:dyDescent="0.35">
      <c r="A92" t="s">
        <v>354</v>
      </c>
      <c r="B92" s="1">
        <v>45719</v>
      </c>
      <c r="C92" t="s">
        <v>6848</v>
      </c>
      <c r="D92" t="s">
        <v>439</v>
      </c>
      <c r="E92" t="s">
        <v>440</v>
      </c>
      <c r="F92" t="s">
        <v>6804</v>
      </c>
      <c r="G92" t="s">
        <v>6843</v>
      </c>
      <c r="H92" t="s">
        <v>441</v>
      </c>
      <c r="I92" s="1">
        <v>45719</v>
      </c>
      <c r="K92">
        <v>1947000</v>
      </c>
      <c r="L92" t="s">
        <v>6803</v>
      </c>
    </row>
    <row r="93" spans="1:12" x14ac:dyDescent="0.35">
      <c r="A93" t="s">
        <v>354</v>
      </c>
      <c r="B93" s="1">
        <v>45719</v>
      </c>
      <c r="C93" t="s">
        <v>6848</v>
      </c>
      <c r="D93" t="s">
        <v>439</v>
      </c>
      <c r="E93" t="s">
        <v>440</v>
      </c>
      <c r="F93" t="s">
        <v>6806</v>
      </c>
      <c r="H93" t="s">
        <v>441</v>
      </c>
      <c r="J93">
        <v>297000</v>
      </c>
      <c r="L93" t="s">
        <v>6803</v>
      </c>
    </row>
    <row r="94" spans="1:12" x14ac:dyDescent="0.35">
      <c r="A94" t="s">
        <v>354</v>
      </c>
      <c r="B94" s="1">
        <v>45719</v>
      </c>
      <c r="C94" t="s">
        <v>6849</v>
      </c>
      <c r="D94" t="s">
        <v>442</v>
      </c>
      <c r="E94" t="s">
        <v>443</v>
      </c>
      <c r="F94" t="s">
        <v>6808</v>
      </c>
      <c r="H94" t="s">
        <v>444</v>
      </c>
      <c r="J94">
        <v>2870000</v>
      </c>
      <c r="L94" t="s">
        <v>6803</v>
      </c>
    </row>
    <row r="95" spans="1:12" x14ac:dyDescent="0.35">
      <c r="A95" t="s">
        <v>354</v>
      </c>
      <c r="B95" s="1">
        <v>45719</v>
      </c>
      <c r="C95" t="s">
        <v>6849</v>
      </c>
      <c r="D95" t="s">
        <v>442</v>
      </c>
      <c r="E95" t="s">
        <v>443</v>
      </c>
      <c r="F95" t="s">
        <v>6804</v>
      </c>
      <c r="G95" t="s">
        <v>6843</v>
      </c>
      <c r="H95" t="s">
        <v>444</v>
      </c>
      <c r="I95" s="1">
        <v>45719</v>
      </c>
      <c r="K95">
        <v>3386600</v>
      </c>
      <c r="L95" t="s">
        <v>6803</v>
      </c>
    </row>
    <row r="96" spans="1:12" x14ac:dyDescent="0.35">
      <c r="A96" t="s">
        <v>354</v>
      </c>
      <c r="B96" s="1">
        <v>45719</v>
      </c>
      <c r="C96" t="s">
        <v>6849</v>
      </c>
      <c r="D96" t="s">
        <v>442</v>
      </c>
      <c r="E96" t="s">
        <v>443</v>
      </c>
      <c r="F96" t="s">
        <v>6806</v>
      </c>
      <c r="H96" t="s">
        <v>444</v>
      </c>
      <c r="J96">
        <v>516600</v>
      </c>
      <c r="L96" t="s">
        <v>6803</v>
      </c>
    </row>
    <row r="97" spans="1:12" x14ac:dyDescent="0.35">
      <c r="A97" t="s">
        <v>354</v>
      </c>
      <c r="B97" s="1">
        <v>45719</v>
      </c>
      <c r="C97" t="s">
        <v>6850</v>
      </c>
      <c r="D97" t="s">
        <v>445</v>
      </c>
      <c r="E97" t="s">
        <v>446</v>
      </c>
      <c r="F97" t="s">
        <v>6808</v>
      </c>
      <c r="H97" t="s">
        <v>447</v>
      </c>
      <c r="J97">
        <v>1560000</v>
      </c>
      <c r="L97" t="s">
        <v>6803</v>
      </c>
    </row>
    <row r="98" spans="1:12" x14ac:dyDescent="0.35">
      <c r="A98" t="s">
        <v>354</v>
      </c>
      <c r="B98" s="1">
        <v>45719</v>
      </c>
      <c r="C98" t="s">
        <v>6850</v>
      </c>
      <c r="D98" t="s">
        <v>445</v>
      </c>
      <c r="E98" t="s">
        <v>446</v>
      </c>
      <c r="F98" t="s">
        <v>6804</v>
      </c>
      <c r="G98" t="s">
        <v>6843</v>
      </c>
      <c r="H98" t="s">
        <v>447</v>
      </c>
      <c r="I98" s="1">
        <v>45719</v>
      </c>
      <c r="K98">
        <v>1840800</v>
      </c>
      <c r="L98" t="s">
        <v>6803</v>
      </c>
    </row>
    <row r="99" spans="1:12" x14ac:dyDescent="0.35">
      <c r="A99" t="s">
        <v>354</v>
      </c>
      <c r="B99" s="1">
        <v>45719</v>
      </c>
      <c r="C99" t="s">
        <v>6850</v>
      </c>
      <c r="D99" t="s">
        <v>445</v>
      </c>
      <c r="E99" t="s">
        <v>446</v>
      </c>
      <c r="F99" t="s">
        <v>6806</v>
      </c>
      <c r="H99" t="s">
        <v>447</v>
      </c>
      <c r="J99">
        <v>280800</v>
      </c>
      <c r="L99" t="s">
        <v>6803</v>
      </c>
    </row>
    <row r="100" spans="1:12" x14ac:dyDescent="0.35">
      <c r="A100" t="s">
        <v>354</v>
      </c>
      <c r="B100" s="1">
        <v>45719</v>
      </c>
      <c r="C100" t="s">
        <v>6851</v>
      </c>
      <c r="D100" t="s">
        <v>448</v>
      </c>
      <c r="E100" t="s">
        <v>449</v>
      </c>
      <c r="F100" t="s">
        <v>6811</v>
      </c>
      <c r="H100" t="s">
        <v>450</v>
      </c>
      <c r="J100">
        <v>175000</v>
      </c>
      <c r="L100" t="s">
        <v>6803</v>
      </c>
    </row>
    <row r="101" spans="1:12" x14ac:dyDescent="0.35">
      <c r="A101" t="s">
        <v>354</v>
      </c>
      <c r="B101" s="1">
        <v>45719</v>
      </c>
      <c r="C101" t="s">
        <v>6851</v>
      </c>
      <c r="D101" t="s">
        <v>448</v>
      </c>
      <c r="E101" t="s">
        <v>449</v>
      </c>
      <c r="F101" t="s">
        <v>6804</v>
      </c>
      <c r="G101" t="s">
        <v>6843</v>
      </c>
      <c r="H101" t="s">
        <v>450</v>
      </c>
      <c r="I101" s="1">
        <v>45719</v>
      </c>
      <c r="K101">
        <v>206500</v>
      </c>
      <c r="L101" t="s">
        <v>6803</v>
      </c>
    </row>
    <row r="102" spans="1:12" x14ac:dyDescent="0.35">
      <c r="A102" t="s">
        <v>354</v>
      </c>
      <c r="B102" s="1">
        <v>45719</v>
      </c>
      <c r="C102" t="s">
        <v>6851</v>
      </c>
      <c r="D102" t="s">
        <v>448</v>
      </c>
      <c r="E102" t="s">
        <v>449</v>
      </c>
      <c r="F102" t="s">
        <v>6806</v>
      </c>
      <c r="H102" t="s">
        <v>450</v>
      </c>
      <c r="J102">
        <v>31500</v>
      </c>
      <c r="L102" t="s">
        <v>6803</v>
      </c>
    </row>
    <row r="103" spans="1:12" x14ac:dyDescent="0.35">
      <c r="A103" t="s">
        <v>354</v>
      </c>
      <c r="B103" s="1">
        <v>45719</v>
      </c>
      <c r="C103" t="s">
        <v>6852</v>
      </c>
      <c r="D103" t="s">
        <v>451</v>
      </c>
      <c r="E103" t="s">
        <v>452</v>
      </c>
      <c r="F103" t="s">
        <v>6808</v>
      </c>
      <c r="H103" t="s">
        <v>453</v>
      </c>
      <c r="J103">
        <v>2240000</v>
      </c>
      <c r="L103" t="s">
        <v>6803</v>
      </c>
    </row>
    <row r="104" spans="1:12" x14ac:dyDescent="0.35">
      <c r="A104" t="s">
        <v>354</v>
      </c>
      <c r="B104" s="1">
        <v>45719</v>
      </c>
      <c r="C104" t="s">
        <v>6852</v>
      </c>
      <c r="D104" t="s">
        <v>451</v>
      </c>
      <c r="E104" t="s">
        <v>452</v>
      </c>
      <c r="F104" t="s">
        <v>6804</v>
      </c>
      <c r="G104" t="s">
        <v>6843</v>
      </c>
      <c r="H104" t="s">
        <v>453</v>
      </c>
      <c r="I104" s="1">
        <v>45719</v>
      </c>
      <c r="K104">
        <v>2643200</v>
      </c>
      <c r="L104" t="s">
        <v>6803</v>
      </c>
    </row>
    <row r="105" spans="1:12" x14ac:dyDescent="0.35">
      <c r="A105" t="s">
        <v>354</v>
      </c>
      <c r="B105" s="1">
        <v>45719</v>
      </c>
      <c r="C105" t="s">
        <v>6852</v>
      </c>
      <c r="D105" t="s">
        <v>451</v>
      </c>
      <c r="E105" t="s">
        <v>452</v>
      </c>
      <c r="F105" t="s">
        <v>6806</v>
      </c>
      <c r="H105" t="s">
        <v>453</v>
      </c>
      <c r="J105">
        <v>403200</v>
      </c>
      <c r="L105" t="s">
        <v>6803</v>
      </c>
    </row>
    <row r="106" spans="1:12" x14ac:dyDescent="0.35">
      <c r="A106" t="s">
        <v>354</v>
      </c>
      <c r="B106" s="1">
        <v>45719</v>
      </c>
      <c r="C106" t="s">
        <v>6853</v>
      </c>
      <c r="D106" t="s">
        <v>454</v>
      </c>
      <c r="E106" t="s">
        <v>455</v>
      </c>
      <c r="F106" t="s">
        <v>6808</v>
      </c>
      <c r="H106" t="s">
        <v>456</v>
      </c>
      <c r="J106">
        <v>3360000</v>
      </c>
      <c r="L106" t="s">
        <v>6803</v>
      </c>
    </row>
    <row r="107" spans="1:12" x14ac:dyDescent="0.35">
      <c r="A107" t="s">
        <v>354</v>
      </c>
      <c r="B107" s="1">
        <v>45719</v>
      </c>
      <c r="C107" t="s">
        <v>6853</v>
      </c>
      <c r="D107" t="s">
        <v>454</v>
      </c>
      <c r="E107" t="s">
        <v>455</v>
      </c>
      <c r="F107" t="s">
        <v>6804</v>
      </c>
      <c r="G107" t="s">
        <v>6843</v>
      </c>
      <c r="H107" t="s">
        <v>456</v>
      </c>
      <c r="I107" s="1">
        <v>45719</v>
      </c>
      <c r="K107">
        <v>3964800</v>
      </c>
      <c r="L107" t="s">
        <v>6803</v>
      </c>
    </row>
    <row r="108" spans="1:12" x14ac:dyDescent="0.35">
      <c r="A108" t="s">
        <v>354</v>
      </c>
      <c r="B108" s="1">
        <v>45719</v>
      </c>
      <c r="C108" t="s">
        <v>6853</v>
      </c>
      <c r="D108" t="s">
        <v>454</v>
      </c>
      <c r="E108" t="s">
        <v>455</v>
      </c>
      <c r="F108" t="s">
        <v>6806</v>
      </c>
      <c r="H108" t="s">
        <v>456</v>
      </c>
      <c r="J108">
        <v>604800</v>
      </c>
      <c r="L108" t="s">
        <v>6803</v>
      </c>
    </row>
    <row r="109" spans="1:12" x14ac:dyDescent="0.35">
      <c r="A109" t="s">
        <v>354</v>
      </c>
      <c r="B109" s="1">
        <v>45719</v>
      </c>
      <c r="C109" t="s">
        <v>6854</v>
      </c>
      <c r="D109" t="s">
        <v>457</v>
      </c>
      <c r="E109" t="s">
        <v>458</v>
      </c>
      <c r="F109" t="s">
        <v>6808</v>
      </c>
      <c r="H109" t="s">
        <v>459</v>
      </c>
      <c r="J109">
        <v>300000</v>
      </c>
      <c r="L109" t="s">
        <v>6803</v>
      </c>
    </row>
    <row r="110" spans="1:12" x14ac:dyDescent="0.35">
      <c r="A110" t="s">
        <v>354</v>
      </c>
      <c r="B110" s="1">
        <v>45719</v>
      </c>
      <c r="C110" t="s">
        <v>6854</v>
      </c>
      <c r="D110" t="s">
        <v>457</v>
      </c>
      <c r="E110" t="s">
        <v>458</v>
      </c>
      <c r="F110" t="s">
        <v>6804</v>
      </c>
      <c r="G110" t="s">
        <v>6843</v>
      </c>
      <c r="H110" t="s">
        <v>459</v>
      </c>
      <c r="I110" s="1">
        <v>45719</v>
      </c>
      <c r="K110">
        <v>354000</v>
      </c>
      <c r="L110" t="s">
        <v>6803</v>
      </c>
    </row>
    <row r="111" spans="1:12" x14ac:dyDescent="0.35">
      <c r="A111" t="s">
        <v>354</v>
      </c>
      <c r="B111" s="1">
        <v>45719</v>
      </c>
      <c r="C111" t="s">
        <v>6854</v>
      </c>
      <c r="D111" t="s">
        <v>457</v>
      </c>
      <c r="E111" t="s">
        <v>458</v>
      </c>
      <c r="F111" t="s">
        <v>6806</v>
      </c>
      <c r="H111" t="s">
        <v>459</v>
      </c>
      <c r="J111">
        <v>54000</v>
      </c>
      <c r="L111" t="s">
        <v>6803</v>
      </c>
    </row>
    <row r="112" spans="1:12" x14ac:dyDescent="0.35">
      <c r="A112" t="s">
        <v>354</v>
      </c>
      <c r="B112" s="1">
        <v>45719</v>
      </c>
      <c r="C112" t="s">
        <v>6855</v>
      </c>
      <c r="D112" t="s">
        <v>460</v>
      </c>
      <c r="E112" t="s">
        <v>461</v>
      </c>
      <c r="F112" t="s">
        <v>6808</v>
      </c>
      <c r="H112" t="s">
        <v>462</v>
      </c>
      <c r="J112">
        <v>780000</v>
      </c>
      <c r="L112" t="s">
        <v>6803</v>
      </c>
    </row>
    <row r="113" spans="1:12" x14ac:dyDescent="0.35">
      <c r="A113" t="s">
        <v>354</v>
      </c>
      <c r="B113" s="1">
        <v>45719</v>
      </c>
      <c r="C113" t="s">
        <v>6855</v>
      </c>
      <c r="D113" t="s">
        <v>460</v>
      </c>
      <c r="E113" t="s">
        <v>461</v>
      </c>
      <c r="F113" t="s">
        <v>6804</v>
      </c>
      <c r="G113" t="s">
        <v>6843</v>
      </c>
      <c r="H113" t="s">
        <v>462</v>
      </c>
      <c r="I113" s="1">
        <v>45719</v>
      </c>
      <c r="K113">
        <v>920400</v>
      </c>
      <c r="L113" t="s">
        <v>6803</v>
      </c>
    </row>
    <row r="114" spans="1:12" x14ac:dyDescent="0.35">
      <c r="A114" t="s">
        <v>354</v>
      </c>
      <c r="B114" s="1">
        <v>45719</v>
      </c>
      <c r="C114" t="s">
        <v>6855</v>
      </c>
      <c r="D114" t="s">
        <v>460</v>
      </c>
      <c r="E114" t="s">
        <v>461</v>
      </c>
      <c r="F114" t="s">
        <v>6806</v>
      </c>
      <c r="H114" t="s">
        <v>462</v>
      </c>
      <c r="J114">
        <v>140400</v>
      </c>
      <c r="L114" t="s">
        <v>6803</v>
      </c>
    </row>
    <row r="115" spans="1:12" x14ac:dyDescent="0.35">
      <c r="A115" t="s">
        <v>354</v>
      </c>
      <c r="B115" s="1">
        <v>45719</v>
      </c>
      <c r="C115" t="s">
        <v>6856</v>
      </c>
      <c r="D115" t="s">
        <v>463</v>
      </c>
      <c r="E115" t="s">
        <v>464</v>
      </c>
      <c r="F115" t="s">
        <v>6808</v>
      </c>
      <c r="H115" t="s">
        <v>465</v>
      </c>
      <c r="J115">
        <v>3360000</v>
      </c>
      <c r="L115" t="s">
        <v>6803</v>
      </c>
    </row>
    <row r="116" spans="1:12" x14ac:dyDescent="0.35">
      <c r="A116" t="s">
        <v>354</v>
      </c>
      <c r="B116" s="1">
        <v>45719</v>
      </c>
      <c r="C116" t="s">
        <v>6856</v>
      </c>
      <c r="D116" t="s">
        <v>463</v>
      </c>
      <c r="E116" t="s">
        <v>464</v>
      </c>
      <c r="F116" t="s">
        <v>6804</v>
      </c>
      <c r="G116" t="s">
        <v>6843</v>
      </c>
      <c r="H116" t="s">
        <v>465</v>
      </c>
      <c r="I116" s="1">
        <v>45719</v>
      </c>
      <c r="K116">
        <v>3964800</v>
      </c>
      <c r="L116" t="s">
        <v>6803</v>
      </c>
    </row>
    <row r="117" spans="1:12" x14ac:dyDescent="0.35">
      <c r="A117" t="s">
        <v>354</v>
      </c>
      <c r="B117" s="1">
        <v>45719</v>
      </c>
      <c r="C117" t="s">
        <v>6856</v>
      </c>
      <c r="D117" t="s">
        <v>463</v>
      </c>
      <c r="E117" t="s">
        <v>464</v>
      </c>
      <c r="F117" t="s">
        <v>6806</v>
      </c>
      <c r="H117" t="s">
        <v>465</v>
      </c>
      <c r="J117">
        <v>604800</v>
      </c>
      <c r="L117" t="s">
        <v>6803</v>
      </c>
    </row>
    <row r="118" spans="1:12" x14ac:dyDescent="0.35">
      <c r="A118" t="s">
        <v>354</v>
      </c>
      <c r="B118" s="1">
        <v>45719</v>
      </c>
      <c r="C118" t="s">
        <v>6857</v>
      </c>
      <c r="D118" t="s">
        <v>466</v>
      </c>
      <c r="E118" t="s">
        <v>467</v>
      </c>
      <c r="F118" t="s">
        <v>6808</v>
      </c>
      <c r="H118" t="s">
        <v>468</v>
      </c>
      <c r="J118">
        <v>1560000</v>
      </c>
      <c r="L118" t="s">
        <v>6803</v>
      </c>
    </row>
    <row r="119" spans="1:12" x14ac:dyDescent="0.35">
      <c r="A119" t="s">
        <v>354</v>
      </c>
      <c r="B119" s="1">
        <v>45719</v>
      </c>
      <c r="C119" t="s">
        <v>6857</v>
      </c>
      <c r="D119" t="s">
        <v>466</v>
      </c>
      <c r="E119" t="s">
        <v>467</v>
      </c>
      <c r="F119" t="s">
        <v>6804</v>
      </c>
      <c r="G119" t="s">
        <v>6843</v>
      </c>
      <c r="H119" t="s">
        <v>468</v>
      </c>
      <c r="I119" s="1">
        <v>45719</v>
      </c>
      <c r="K119">
        <v>1840800</v>
      </c>
      <c r="L119" t="s">
        <v>6803</v>
      </c>
    </row>
    <row r="120" spans="1:12" x14ac:dyDescent="0.35">
      <c r="A120" t="s">
        <v>354</v>
      </c>
      <c r="B120" s="1">
        <v>45719</v>
      </c>
      <c r="C120" t="s">
        <v>6857</v>
      </c>
      <c r="D120" t="s">
        <v>466</v>
      </c>
      <c r="E120" t="s">
        <v>467</v>
      </c>
      <c r="F120" t="s">
        <v>6806</v>
      </c>
      <c r="H120" t="s">
        <v>468</v>
      </c>
      <c r="J120">
        <v>280800</v>
      </c>
      <c r="L120" t="s">
        <v>6803</v>
      </c>
    </row>
    <row r="121" spans="1:12" x14ac:dyDescent="0.35">
      <c r="A121" t="s">
        <v>354</v>
      </c>
      <c r="B121" s="1">
        <v>45719</v>
      </c>
      <c r="C121" t="s">
        <v>6858</v>
      </c>
      <c r="D121" t="s">
        <v>469</v>
      </c>
      <c r="E121" t="s">
        <v>470</v>
      </c>
      <c r="F121" t="s">
        <v>6808</v>
      </c>
      <c r="H121" t="s">
        <v>471</v>
      </c>
      <c r="J121">
        <v>2340000</v>
      </c>
      <c r="L121" t="s">
        <v>6803</v>
      </c>
    </row>
    <row r="122" spans="1:12" x14ac:dyDescent="0.35">
      <c r="A122" t="s">
        <v>354</v>
      </c>
      <c r="B122" s="1">
        <v>45719</v>
      </c>
      <c r="C122" t="s">
        <v>6858</v>
      </c>
      <c r="D122" t="s">
        <v>469</v>
      </c>
      <c r="E122" t="s">
        <v>470</v>
      </c>
      <c r="F122" t="s">
        <v>6804</v>
      </c>
      <c r="G122" t="s">
        <v>6843</v>
      </c>
      <c r="H122" t="s">
        <v>471</v>
      </c>
      <c r="I122" s="1">
        <v>45719</v>
      </c>
      <c r="K122">
        <v>2761200</v>
      </c>
      <c r="L122" t="s">
        <v>6803</v>
      </c>
    </row>
    <row r="123" spans="1:12" x14ac:dyDescent="0.35">
      <c r="A123" t="s">
        <v>354</v>
      </c>
      <c r="B123" s="1">
        <v>45719</v>
      </c>
      <c r="C123" t="s">
        <v>6858</v>
      </c>
      <c r="D123" t="s">
        <v>469</v>
      </c>
      <c r="E123" t="s">
        <v>470</v>
      </c>
      <c r="F123" t="s">
        <v>6806</v>
      </c>
      <c r="H123" t="s">
        <v>471</v>
      </c>
      <c r="J123">
        <v>421200</v>
      </c>
      <c r="L123" t="s">
        <v>6803</v>
      </c>
    </row>
    <row r="124" spans="1:12" x14ac:dyDescent="0.35">
      <c r="A124" t="s">
        <v>354</v>
      </c>
      <c r="B124" s="1">
        <v>45719</v>
      </c>
      <c r="C124" t="s">
        <v>6859</v>
      </c>
      <c r="D124" t="s">
        <v>472</v>
      </c>
      <c r="E124" t="s">
        <v>473</v>
      </c>
      <c r="F124" t="s">
        <v>6808</v>
      </c>
      <c r="H124" t="s">
        <v>474</v>
      </c>
      <c r="J124">
        <v>3360000</v>
      </c>
      <c r="L124" t="s">
        <v>6803</v>
      </c>
    </row>
    <row r="125" spans="1:12" x14ac:dyDescent="0.35">
      <c r="A125" t="s">
        <v>354</v>
      </c>
      <c r="B125" s="1">
        <v>45719</v>
      </c>
      <c r="C125" t="s">
        <v>6859</v>
      </c>
      <c r="D125" t="s">
        <v>472</v>
      </c>
      <c r="E125" t="s">
        <v>473</v>
      </c>
      <c r="F125" t="s">
        <v>6804</v>
      </c>
      <c r="G125" t="s">
        <v>6843</v>
      </c>
      <c r="H125" t="s">
        <v>474</v>
      </c>
      <c r="I125" s="1">
        <v>45719</v>
      </c>
      <c r="K125">
        <v>3964800</v>
      </c>
      <c r="L125" t="s">
        <v>6803</v>
      </c>
    </row>
    <row r="126" spans="1:12" x14ac:dyDescent="0.35">
      <c r="A126" t="s">
        <v>354</v>
      </c>
      <c r="B126" s="1">
        <v>45719</v>
      </c>
      <c r="C126" t="s">
        <v>6859</v>
      </c>
      <c r="D126" t="s">
        <v>472</v>
      </c>
      <c r="E126" t="s">
        <v>473</v>
      </c>
      <c r="F126" t="s">
        <v>6806</v>
      </c>
      <c r="H126" t="s">
        <v>474</v>
      </c>
      <c r="J126">
        <v>604800</v>
      </c>
      <c r="L126" t="s">
        <v>6803</v>
      </c>
    </row>
    <row r="127" spans="1:12" x14ac:dyDescent="0.35">
      <c r="A127" t="s">
        <v>354</v>
      </c>
      <c r="B127" s="1">
        <v>45719</v>
      </c>
      <c r="C127" t="s">
        <v>6860</v>
      </c>
      <c r="D127" t="s">
        <v>475</v>
      </c>
      <c r="E127" t="s">
        <v>476</v>
      </c>
      <c r="F127" t="s">
        <v>6808</v>
      </c>
      <c r="H127" t="s">
        <v>477</v>
      </c>
      <c r="J127">
        <v>300000</v>
      </c>
      <c r="L127" t="s">
        <v>6803</v>
      </c>
    </row>
    <row r="128" spans="1:12" x14ac:dyDescent="0.35">
      <c r="A128" t="s">
        <v>354</v>
      </c>
      <c r="B128" s="1">
        <v>45719</v>
      </c>
      <c r="C128" t="s">
        <v>6860</v>
      </c>
      <c r="D128" t="s">
        <v>475</v>
      </c>
      <c r="E128" t="s">
        <v>476</v>
      </c>
      <c r="F128" t="s">
        <v>6804</v>
      </c>
      <c r="G128" t="s">
        <v>6843</v>
      </c>
      <c r="H128" t="s">
        <v>477</v>
      </c>
      <c r="I128" s="1">
        <v>45719</v>
      </c>
      <c r="K128">
        <v>354000</v>
      </c>
      <c r="L128" t="s">
        <v>6803</v>
      </c>
    </row>
    <row r="129" spans="1:12" x14ac:dyDescent="0.35">
      <c r="A129" t="s">
        <v>354</v>
      </c>
      <c r="B129" s="1">
        <v>45719</v>
      </c>
      <c r="C129" t="s">
        <v>6860</v>
      </c>
      <c r="D129" t="s">
        <v>475</v>
      </c>
      <c r="E129" t="s">
        <v>476</v>
      </c>
      <c r="F129" t="s">
        <v>6806</v>
      </c>
      <c r="H129" t="s">
        <v>477</v>
      </c>
      <c r="J129">
        <v>54000</v>
      </c>
      <c r="L129" t="s">
        <v>6803</v>
      </c>
    </row>
    <row r="130" spans="1:12" x14ac:dyDescent="0.35">
      <c r="A130" t="s">
        <v>354</v>
      </c>
      <c r="B130" s="1">
        <v>45719</v>
      </c>
      <c r="C130" t="s">
        <v>6861</v>
      </c>
      <c r="D130" t="s">
        <v>478</v>
      </c>
      <c r="E130" t="s">
        <v>479</v>
      </c>
      <c r="F130" t="s">
        <v>6808</v>
      </c>
      <c r="H130" t="s">
        <v>480</v>
      </c>
      <c r="J130">
        <v>900000</v>
      </c>
      <c r="L130" t="s">
        <v>6803</v>
      </c>
    </row>
    <row r="131" spans="1:12" x14ac:dyDescent="0.35">
      <c r="A131" t="s">
        <v>354</v>
      </c>
      <c r="B131" s="1">
        <v>45719</v>
      </c>
      <c r="C131" t="s">
        <v>6861</v>
      </c>
      <c r="D131" t="s">
        <v>478</v>
      </c>
      <c r="E131" t="s">
        <v>479</v>
      </c>
      <c r="F131" t="s">
        <v>6804</v>
      </c>
      <c r="G131" t="s">
        <v>6843</v>
      </c>
      <c r="H131" t="s">
        <v>480</v>
      </c>
      <c r="I131" s="1">
        <v>45719</v>
      </c>
      <c r="K131">
        <v>1062000</v>
      </c>
      <c r="L131" t="s">
        <v>6803</v>
      </c>
    </row>
    <row r="132" spans="1:12" x14ac:dyDescent="0.35">
      <c r="A132" t="s">
        <v>354</v>
      </c>
      <c r="B132" s="1">
        <v>45719</v>
      </c>
      <c r="C132" t="s">
        <v>6861</v>
      </c>
      <c r="D132" t="s">
        <v>478</v>
      </c>
      <c r="E132" t="s">
        <v>479</v>
      </c>
      <c r="F132" t="s">
        <v>6806</v>
      </c>
      <c r="H132" t="s">
        <v>480</v>
      </c>
      <c r="J132">
        <v>162000</v>
      </c>
      <c r="L132" t="s">
        <v>6803</v>
      </c>
    </row>
    <row r="133" spans="1:12" x14ac:dyDescent="0.35">
      <c r="A133" t="s">
        <v>354</v>
      </c>
      <c r="B133" s="1">
        <v>45719</v>
      </c>
      <c r="C133" t="s">
        <v>6862</v>
      </c>
      <c r="D133" t="s">
        <v>481</v>
      </c>
      <c r="E133" t="s">
        <v>482</v>
      </c>
      <c r="F133" t="s">
        <v>6808</v>
      </c>
      <c r="H133" t="s">
        <v>483</v>
      </c>
      <c r="J133">
        <v>2400000</v>
      </c>
      <c r="L133" t="s">
        <v>6803</v>
      </c>
    </row>
    <row r="134" spans="1:12" x14ac:dyDescent="0.35">
      <c r="A134" t="s">
        <v>354</v>
      </c>
      <c r="B134" s="1">
        <v>45719</v>
      </c>
      <c r="C134" t="s">
        <v>6862</v>
      </c>
      <c r="D134" t="s">
        <v>481</v>
      </c>
      <c r="E134" t="s">
        <v>482</v>
      </c>
      <c r="F134" t="s">
        <v>6804</v>
      </c>
      <c r="G134" t="s">
        <v>6843</v>
      </c>
      <c r="H134" t="s">
        <v>483</v>
      </c>
      <c r="I134" s="1">
        <v>45719</v>
      </c>
      <c r="K134">
        <v>2832000</v>
      </c>
      <c r="L134" t="s">
        <v>6803</v>
      </c>
    </row>
    <row r="135" spans="1:12" x14ac:dyDescent="0.35">
      <c r="A135" t="s">
        <v>354</v>
      </c>
      <c r="B135" s="1">
        <v>45719</v>
      </c>
      <c r="C135" t="s">
        <v>6862</v>
      </c>
      <c r="D135" t="s">
        <v>481</v>
      </c>
      <c r="E135" t="s">
        <v>482</v>
      </c>
      <c r="F135" t="s">
        <v>6806</v>
      </c>
      <c r="H135" t="s">
        <v>483</v>
      </c>
      <c r="J135">
        <v>432000</v>
      </c>
      <c r="L135" t="s">
        <v>6803</v>
      </c>
    </row>
    <row r="136" spans="1:12" x14ac:dyDescent="0.35">
      <c r="A136" t="s">
        <v>354</v>
      </c>
      <c r="B136" s="1">
        <v>45719</v>
      </c>
      <c r="C136" t="s">
        <v>6863</v>
      </c>
      <c r="D136" t="s">
        <v>484</v>
      </c>
      <c r="E136" t="s">
        <v>485</v>
      </c>
      <c r="F136" t="s">
        <v>6808</v>
      </c>
      <c r="H136" t="s">
        <v>486</v>
      </c>
      <c r="J136">
        <v>600000</v>
      </c>
      <c r="L136" t="s">
        <v>6803</v>
      </c>
    </row>
    <row r="137" spans="1:12" x14ac:dyDescent="0.35">
      <c r="A137" t="s">
        <v>354</v>
      </c>
      <c r="B137" s="1">
        <v>45719</v>
      </c>
      <c r="C137" t="s">
        <v>6863</v>
      </c>
      <c r="D137" t="s">
        <v>484</v>
      </c>
      <c r="E137" t="s">
        <v>485</v>
      </c>
      <c r="F137" t="s">
        <v>6804</v>
      </c>
      <c r="G137" t="s">
        <v>6843</v>
      </c>
      <c r="H137" t="s">
        <v>486</v>
      </c>
      <c r="I137" s="1">
        <v>45719</v>
      </c>
      <c r="K137">
        <v>708000</v>
      </c>
      <c r="L137" t="s">
        <v>6803</v>
      </c>
    </row>
    <row r="138" spans="1:12" x14ac:dyDescent="0.35">
      <c r="A138" t="s">
        <v>354</v>
      </c>
      <c r="B138" s="1">
        <v>45719</v>
      </c>
      <c r="C138" t="s">
        <v>6863</v>
      </c>
      <c r="D138" t="s">
        <v>484</v>
      </c>
      <c r="E138" t="s">
        <v>485</v>
      </c>
      <c r="F138" t="s">
        <v>6806</v>
      </c>
      <c r="H138" t="s">
        <v>486</v>
      </c>
      <c r="J138">
        <v>108000</v>
      </c>
      <c r="L138" t="s">
        <v>6803</v>
      </c>
    </row>
    <row r="139" spans="1:12" x14ac:dyDescent="0.35">
      <c r="A139" t="s">
        <v>354</v>
      </c>
      <c r="B139" s="1">
        <v>45719</v>
      </c>
      <c r="C139" t="s">
        <v>6864</v>
      </c>
      <c r="D139" t="s">
        <v>487</v>
      </c>
      <c r="E139" t="s">
        <v>488</v>
      </c>
      <c r="F139" t="s">
        <v>6808</v>
      </c>
      <c r="H139" t="s">
        <v>489</v>
      </c>
      <c r="J139">
        <v>1020000</v>
      </c>
      <c r="L139" t="s">
        <v>6803</v>
      </c>
    </row>
    <row r="140" spans="1:12" x14ac:dyDescent="0.35">
      <c r="A140" t="s">
        <v>354</v>
      </c>
      <c r="B140" s="1">
        <v>45719</v>
      </c>
      <c r="C140" t="s">
        <v>6864</v>
      </c>
      <c r="D140" t="s">
        <v>487</v>
      </c>
      <c r="E140" t="s">
        <v>488</v>
      </c>
      <c r="F140" t="s">
        <v>6804</v>
      </c>
      <c r="G140" t="s">
        <v>6843</v>
      </c>
      <c r="H140" t="s">
        <v>489</v>
      </c>
      <c r="I140" s="1">
        <v>45719</v>
      </c>
      <c r="K140">
        <v>1203600</v>
      </c>
      <c r="L140" t="s">
        <v>6803</v>
      </c>
    </row>
    <row r="141" spans="1:12" x14ac:dyDescent="0.35">
      <c r="A141" t="s">
        <v>354</v>
      </c>
      <c r="B141" s="1">
        <v>45719</v>
      </c>
      <c r="C141" t="s">
        <v>6864</v>
      </c>
      <c r="D141" t="s">
        <v>487</v>
      </c>
      <c r="E141" t="s">
        <v>488</v>
      </c>
      <c r="F141" t="s">
        <v>6806</v>
      </c>
      <c r="H141" t="s">
        <v>489</v>
      </c>
      <c r="J141">
        <v>183600</v>
      </c>
      <c r="L141" t="s">
        <v>6803</v>
      </c>
    </row>
    <row r="142" spans="1:12" x14ac:dyDescent="0.35">
      <c r="A142" t="s">
        <v>354</v>
      </c>
      <c r="B142" s="1">
        <v>45719</v>
      </c>
      <c r="C142" t="s">
        <v>6865</v>
      </c>
      <c r="D142" t="s">
        <v>490</v>
      </c>
      <c r="E142" t="s">
        <v>491</v>
      </c>
      <c r="F142" t="s">
        <v>6808</v>
      </c>
      <c r="H142" t="s">
        <v>492</v>
      </c>
      <c r="J142">
        <v>2340000</v>
      </c>
      <c r="L142" t="s">
        <v>6803</v>
      </c>
    </row>
    <row r="143" spans="1:12" x14ac:dyDescent="0.35">
      <c r="A143" t="s">
        <v>354</v>
      </c>
      <c r="B143" s="1">
        <v>45719</v>
      </c>
      <c r="C143" t="s">
        <v>6865</v>
      </c>
      <c r="D143" t="s">
        <v>490</v>
      </c>
      <c r="E143" t="s">
        <v>491</v>
      </c>
      <c r="F143" t="s">
        <v>6804</v>
      </c>
      <c r="G143" t="s">
        <v>6843</v>
      </c>
      <c r="H143" t="s">
        <v>492</v>
      </c>
      <c r="I143" s="1">
        <v>45719</v>
      </c>
      <c r="K143">
        <v>2761200</v>
      </c>
      <c r="L143" t="s">
        <v>6803</v>
      </c>
    </row>
    <row r="144" spans="1:12" x14ac:dyDescent="0.35">
      <c r="A144" t="s">
        <v>354</v>
      </c>
      <c r="B144" s="1">
        <v>45719</v>
      </c>
      <c r="C144" t="s">
        <v>6865</v>
      </c>
      <c r="D144" t="s">
        <v>490</v>
      </c>
      <c r="E144" t="s">
        <v>491</v>
      </c>
      <c r="F144" t="s">
        <v>6806</v>
      </c>
      <c r="H144" t="s">
        <v>492</v>
      </c>
      <c r="J144">
        <v>421200</v>
      </c>
      <c r="L144" t="s">
        <v>6803</v>
      </c>
    </row>
    <row r="145" spans="1:12" x14ac:dyDescent="0.35">
      <c r="A145" t="s">
        <v>354</v>
      </c>
      <c r="B145" s="1">
        <v>45719</v>
      </c>
      <c r="C145" t="s">
        <v>6866</v>
      </c>
      <c r="D145" t="s">
        <v>493</v>
      </c>
      <c r="E145" t="s">
        <v>494</v>
      </c>
      <c r="F145" t="s">
        <v>6808</v>
      </c>
      <c r="H145" t="s">
        <v>495</v>
      </c>
      <c r="J145">
        <v>3220000</v>
      </c>
      <c r="L145" t="s">
        <v>6803</v>
      </c>
    </row>
    <row r="146" spans="1:12" x14ac:dyDescent="0.35">
      <c r="A146" t="s">
        <v>354</v>
      </c>
      <c r="B146" s="1">
        <v>45719</v>
      </c>
      <c r="C146" t="s">
        <v>6866</v>
      </c>
      <c r="D146" t="s">
        <v>493</v>
      </c>
      <c r="E146" t="s">
        <v>494</v>
      </c>
      <c r="F146" t="s">
        <v>6804</v>
      </c>
      <c r="G146" t="s">
        <v>6843</v>
      </c>
      <c r="H146" t="s">
        <v>495</v>
      </c>
      <c r="I146" s="1">
        <v>45719</v>
      </c>
      <c r="K146">
        <v>3799600</v>
      </c>
      <c r="L146" t="s">
        <v>6803</v>
      </c>
    </row>
    <row r="147" spans="1:12" x14ac:dyDescent="0.35">
      <c r="A147" t="s">
        <v>354</v>
      </c>
      <c r="B147" s="1">
        <v>45719</v>
      </c>
      <c r="C147" t="s">
        <v>6866</v>
      </c>
      <c r="D147" t="s">
        <v>493</v>
      </c>
      <c r="E147" t="s">
        <v>494</v>
      </c>
      <c r="F147" t="s">
        <v>6806</v>
      </c>
      <c r="H147" t="s">
        <v>495</v>
      </c>
      <c r="J147">
        <v>579600</v>
      </c>
      <c r="L147" t="s">
        <v>6803</v>
      </c>
    </row>
    <row r="148" spans="1:12" x14ac:dyDescent="0.35">
      <c r="A148" t="s">
        <v>354</v>
      </c>
      <c r="B148" s="1">
        <v>45719</v>
      </c>
      <c r="C148" t="s">
        <v>6867</v>
      </c>
      <c r="D148" t="s">
        <v>496</v>
      </c>
      <c r="E148" t="s">
        <v>497</v>
      </c>
      <c r="F148" t="s">
        <v>6808</v>
      </c>
      <c r="H148" t="s">
        <v>498</v>
      </c>
      <c r="J148">
        <v>3060000</v>
      </c>
      <c r="L148" t="s">
        <v>6803</v>
      </c>
    </row>
    <row r="149" spans="1:12" x14ac:dyDescent="0.35">
      <c r="A149" t="s">
        <v>354</v>
      </c>
      <c r="B149" s="1">
        <v>45719</v>
      </c>
      <c r="C149" t="s">
        <v>6867</v>
      </c>
      <c r="D149" t="s">
        <v>496</v>
      </c>
      <c r="E149" t="s">
        <v>497</v>
      </c>
      <c r="F149" t="s">
        <v>6804</v>
      </c>
      <c r="G149" t="s">
        <v>6843</v>
      </c>
      <c r="H149" t="s">
        <v>498</v>
      </c>
      <c r="I149" s="1">
        <v>45719</v>
      </c>
      <c r="K149">
        <v>3610800</v>
      </c>
      <c r="L149" t="s">
        <v>6803</v>
      </c>
    </row>
    <row r="150" spans="1:12" x14ac:dyDescent="0.35">
      <c r="A150" t="s">
        <v>354</v>
      </c>
      <c r="B150" s="1">
        <v>45719</v>
      </c>
      <c r="C150" t="s">
        <v>6867</v>
      </c>
      <c r="D150" t="s">
        <v>496</v>
      </c>
      <c r="E150" t="s">
        <v>497</v>
      </c>
      <c r="F150" t="s">
        <v>6806</v>
      </c>
      <c r="H150" t="s">
        <v>498</v>
      </c>
      <c r="J150">
        <v>550800</v>
      </c>
      <c r="L150" t="s">
        <v>6803</v>
      </c>
    </row>
    <row r="151" spans="1:12" x14ac:dyDescent="0.35">
      <c r="A151" t="s">
        <v>354</v>
      </c>
      <c r="B151" s="1">
        <v>45719</v>
      </c>
      <c r="C151" t="s">
        <v>6868</v>
      </c>
      <c r="D151" t="s">
        <v>499</v>
      </c>
      <c r="E151" t="s">
        <v>500</v>
      </c>
      <c r="F151" t="s">
        <v>6808</v>
      </c>
      <c r="H151" t="s">
        <v>501</v>
      </c>
      <c r="J151">
        <v>1740000</v>
      </c>
      <c r="L151" t="s">
        <v>6803</v>
      </c>
    </row>
    <row r="152" spans="1:12" x14ac:dyDescent="0.35">
      <c r="A152" t="s">
        <v>354</v>
      </c>
      <c r="B152" s="1">
        <v>45719</v>
      </c>
      <c r="C152" t="s">
        <v>6868</v>
      </c>
      <c r="D152" t="s">
        <v>499</v>
      </c>
      <c r="E152" t="s">
        <v>500</v>
      </c>
      <c r="F152" t="s">
        <v>6804</v>
      </c>
      <c r="G152" t="s">
        <v>6843</v>
      </c>
      <c r="H152" t="s">
        <v>501</v>
      </c>
      <c r="I152" s="1">
        <v>45719</v>
      </c>
      <c r="K152">
        <v>2053200</v>
      </c>
      <c r="L152" t="s">
        <v>6803</v>
      </c>
    </row>
    <row r="153" spans="1:12" x14ac:dyDescent="0.35">
      <c r="A153" t="s">
        <v>354</v>
      </c>
      <c r="B153" s="1">
        <v>45719</v>
      </c>
      <c r="C153" t="s">
        <v>6868</v>
      </c>
      <c r="D153" t="s">
        <v>499</v>
      </c>
      <c r="E153" t="s">
        <v>500</v>
      </c>
      <c r="F153" t="s">
        <v>6806</v>
      </c>
      <c r="H153" t="s">
        <v>501</v>
      </c>
      <c r="J153">
        <v>313200</v>
      </c>
      <c r="L153" t="s">
        <v>6803</v>
      </c>
    </row>
    <row r="154" spans="1:12" x14ac:dyDescent="0.35">
      <c r="A154" t="s">
        <v>354</v>
      </c>
      <c r="B154" s="1">
        <v>45719</v>
      </c>
      <c r="C154" t="s">
        <v>6869</v>
      </c>
      <c r="D154" t="s">
        <v>502</v>
      </c>
      <c r="E154" t="s">
        <v>503</v>
      </c>
      <c r="F154" t="s">
        <v>6808</v>
      </c>
      <c r="H154" t="s">
        <v>504</v>
      </c>
      <c r="J154">
        <v>1560000</v>
      </c>
      <c r="L154" t="s">
        <v>6803</v>
      </c>
    </row>
    <row r="155" spans="1:12" x14ac:dyDescent="0.35">
      <c r="A155" t="s">
        <v>354</v>
      </c>
      <c r="B155" s="1">
        <v>45719</v>
      </c>
      <c r="C155" t="s">
        <v>6869</v>
      </c>
      <c r="D155" t="s">
        <v>502</v>
      </c>
      <c r="E155" t="s">
        <v>503</v>
      </c>
      <c r="F155" t="s">
        <v>6804</v>
      </c>
      <c r="G155" t="s">
        <v>6843</v>
      </c>
      <c r="H155" t="s">
        <v>504</v>
      </c>
      <c r="I155" s="1">
        <v>45719</v>
      </c>
      <c r="K155">
        <v>1840800</v>
      </c>
      <c r="L155" t="s">
        <v>6803</v>
      </c>
    </row>
    <row r="156" spans="1:12" x14ac:dyDescent="0.35">
      <c r="A156" t="s">
        <v>354</v>
      </c>
      <c r="B156" s="1">
        <v>45719</v>
      </c>
      <c r="C156" t="s">
        <v>6869</v>
      </c>
      <c r="D156" t="s">
        <v>502</v>
      </c>
      <c r="E156" t="s">
        <v>503</v>
      </c>
      <c r="F156" t="s">
        <v>6806</v>
      </c>
      <c r="H156" t="s">
        <v>504</v>
      </c>
      <c r="J156">
        <v>280800</v>
      </c>
      <c r="L156" t="s">
        <v>6803</v>
      </c>
    </row>
    <row r="157" spans="1:12" x14ac:dyDescent="0.35">
      <c r="A157" t="s">
        <v>354</v>
      </c>
      <c r="B157" s="1">
        <v>45719</v>
      </c>
      <c r="C157" t="s">
        <v>6870</v>
      </c>
      <c r="D157" t="s">
        <v>505</v>
      </c>
      <c r="E157" t="s">
        <v>6871</v>
      </c>
      <c r="F157" t="s">
        <v>6802</v>
      </c>
      <c r="H157" t="s">
        <v>506</v>
      </c>
      <c r="J157">
        <v>182000</v>
      </c>
      <c r="L157" t="s">
        <v>6803</v>
      </c>
    </row>
    <row r="158" spans="1:12" x14ac:dyDescent="0.35">
      <c r="A158" t="s">
        <v>354</v>
      </c>
      <c r="B158" s="1">
        <v>45719</v>
      </c>
      <c r="C158" t="s">
        <v>6870</v>
      </c>
      <c r="D158" t="s">
        <v>505</v>
      </c>
      <c r="E158" t="s">
        <v>6871</v>
      </c>
      <c r="F158" t="s">
        <v>6804</v>
      </c>
      <c r="G158" t="s">
        <v>6814</v>
      </c>
      <c r="H158" t="s">
        <v>506</v>
      </c>
      <c r="I158" s="1">
        <v>45809</v>
      </c>
      <c r="K158">
        <v>214760</v>
      </c>
      <c r="L158" t="s">
        <v>6803</v>
      </c>
    </row>
    <row r="159" spans="1:12" x14ac:dyDescent="0.35">
      <c r="A159" t="s">
        <v>354</v>
      </c>
      <c r="B159" s="1">
        <v>45719</v>
      </c>
      <c r="C159" t="s">
        <v>6870</v>
      </c>
      <c r="D159" t="s">
        <v>505</v>
      </c>
      <c r="E159" t="s">
        <v>6871</v>
      </c>
      <c r="F159" t="s">
        <v>6806</v>
      </c>
      <c r="H159" t="s">
        <v>506</v>
      </c>
      <c r="J159">
        <v>32760</v>
      </c>
      <c r="L159" t="s">
        <v>6803</v>
      </c>
    </row>
    <row r="160" spans="1:12" x14ac:dyDescent="0.35">
      <c r="A160" t="s">
        <v>354</v>
      </c>
      <c r="B160" s="1">
        <v>45719</v>
      </c>
      <c r="C160" t="s">
        <v>6872</v>
      </c>
      <c r="D160" t="s">
        <v>507</v>
      </c>
      <c r="E160" t="s">
        <v>6873</v>
      </c>
      <c r="F160" t="s">
        <v>6802</v>
      </c>
      <c r="H160" t="s">
        <v>508</v>
      </c>
      <c r="J160">
        <v>1985000</v>
      </c>
      <c r="L160" t="s">
        <v>6803</v>
      </c>
    </row>
    <row r="161" spans="1:12" x14ac:dyDescent="0.35">
      <c r="A161" t="s">
        <v>354</v>
      </c>
      <c r="B161" s="1">
        <v>45719</v>
      </c>
      <c r="C161" t="s">
        <v>6872</v>
      </c>
      <c r="D161" t="s">
        <v>507</v>
      </c>
      <c r="E161" t="s">
        <v>6873</v>
      </c>
      <c r="F161" t="s">
        <v>6804</v>
      </c>
      <c r="G161" t="s">
        <v>6874</v>
      </c>
      <c r="H161" t="s">
        <v>508</v>
      </c>
      <c r="I161" s="1">
        <v>45749</v>
      </c>
      <c r="K161">
        <v>1985000</v>
      </c>
      <c r="L161" t="s">
        <v>6803</v>
      </c>
    </row>
    <row r="162" spans="1:12" x14ac:dyDescent="0.35">
      <c r="A162" t="s">
        <v>354</v>
      </c>
      <c r="B162" s="1">
        <v>45719</v>
      </c>
      <c r="C162" t="s">
        <v>6875</v>
      </c>
      <c r="D162" t="s">
        <v>509</v>
      </c>
      <c r="E162" t="s">
        <v>510</v>
      </c>
      <c r="F162" t="s">
        <v>6811</v>
      </c>
      <c r="H162" t="s">
        <v>511</v>
      </c>
      <c r="J162">
        <v>273000</v>
      </c>
      <c r="L162" t="s">
        <v>6803</v>
      </c>
    </row>
    <row r="163" spans="1:12" x14ac:dyDescent="0.35">
      <c r="A163" t="s">
        <v>354</v>
      </c>
      <c r="B163" s="1">
        <v>45719</v>
      </c>
      <c r="C163" t="s">
        <v>6875</v>
      </c>
      <c r="D163" t="s">
        <v>509</v>
      </c>
      <c r="E163" t="s">
        <v>510</v>
      </c>
      <c r="F163" t="s">
        <v>6804</v>
      </c>
      <c r="G163" t="s">
        <v>6822</v>
      </c>
      <c r="H163" t="s">
        <v>511</v>
      </c>
      <c r="I163" s="1">
        <v>45808</v>
      </c>
      <c r="K163">
        <v>322140</v>
      </c>
      <c r="L163" t="s">
        <v>6803</v>
      </c>
    </row>
    <row r="164" spans="1:12" x14ac:dyDescent="0.35">
      <c r="A164" t="s">
        <v>354</v>
      </c>
      <c r="B164" s="1">
        <v>45719</v>
      </c>
      <c r="C164" t="s">
        <v>6875</v>
      </c>
      <c r="D164" t="s">
        <v>509</v>
      </c>
      <c r="E164" t="s">
        <v>510</v>
      </c>
      <c r="F164" t="s">
        <v>6806</v>
      </c>
      <c r="H164" t="s">
        <v>511</v>
      </c>
      <c r="J164">
        <v>49140</v>
      </c>
      <c r="L164" t="s">
        <v>6803</v>
      </c>
    </row>
    <row r="165" spans="1:12" x14ac:dyDescent="0.35">
      <c r="A165" t="s">
        <v>354</v>
      </c>
      <c r="B165" s="1">
        <v>45720</v>
      </c>
      <c r="C165" t="s">
        <v>6876</v>
      </c>
      <c r="D165" t="s">
        <v>512</v>
      </c>
      <c r="E165" s="2">
        <v>46015</v>
      </c>
      <c r="F165" t="s">
        <v>6804</v>
      </c>
      <c r="G165" t="s">
        <v>6877</v>
      </c>
      <c r="H165" t="s">
        <v>513</v>
      </c>
      <c r="I165" s="1">
        <v>45750</v>
      </c>
      <c r="K165">
        <v>96000</v>
      </c>
      <c r="L165" t="s">
        <v>6803</v>
      </c>
    </row>
    <row r="166" spans="1:12" x14ac:dyDescent="0.35">
      <c r="A166" t="s">
        <v>354</v>
      </c>
      <c r="B166" s="1">
        <v>45720</v>
      </c>
      <c r="C166" t="s">
        <v>6876</v>
      </c>
      <c r="D166" t="s">
        <v>512</v>
      </c>
      <c r="E166" s="2">
        <v>46015</v>
      </c>
      <c r="F166" t="s">
        <v>6820</v>
      </c>
      <c r="H166" t="s">
        <v>513</v>
      </c>
      <c r="J166">
        <v>96000</v>
      </c>
      <c r="L166" t="s">
        <v>5874</v>
      </c>
    </row>
    <row r="167" spans="1:12" x14ac:dyDescent="0.35">
      <c r="A167" t="s">
        <v>354</v>
      </c>
      <c r="B167" s="1">
        <v>45720</v>
      </c>
      <c r="C167" t="s">
        <v>6878</v>
      </c>
      <c r="D167" t="s">
        <v>514</v>
      </c>
      <c r="E167" t="s">
        <v>6879</v>
      </c>
      <c r="F167" t="s">
        <v>6804</v>
      </c>
      <c r="G167" t="s">
        <v>6880</v>
      </c>
      <c r="H167" t="s">
        <v>515</v>
      </c>
      <c r="I167" s="1">
        <v>45720</v>
      </c>
      <c r="K167">
        <v>450000</v>
      </c>
      <c r="L167" t="s">
        <v>6803</v>
      </c>
    </row>
    <row r="168" spans="1:12" x14ac:dyDescent="0.35">
      <c r="A168" t="s">
        <v>354</v>
      </c>
      <c r="B168" s="1">
        <v>45720</v>
      </c>
      <c r="C168" t="s">
        <v>6878</v>
      </c>
      <c r="D168" t="s">
        <v>514</v>
      </c>
      <c r="E168" t="s">
        <v>6879</v>
      </c>
      <c r="F168" t="s">
        <v>6820</v>
      </c>
      <c r="H168" t="s">
        <v>515</v>
      </c>
      <c r="J168">
        <v>450000</v>
      </c>
      <c r="L168" t="s">
        <v>5875</v>
      </c>
    </row>
    <row r="169" spans="1:12" x14ac:dyDescent="0.35">
      <c r="A169" t="s">
        <v>354</v>
      </c>
      <c r="B169" s="1">
        <v>45721</v>
      </c>
      <c r="C169" t="s">
        <v>6881</v>
      </c>
      <c r="D169" t="s">
        <v>516</v>
      </c>
      <c r="E169" t="s">
        <v>517</v>
      </c>
      <c r="F169" t="s">
        <v>6802</v>
      </c>
      <c r="H169" t="s">
        <v>518</v>
      </c>
      <c r="J169">
        <v>357500</v>
      </c>
      <c r="L169" t="s">
        <v>6803</v>
      </c>
    </row>
    <row r="170" spans="1:12" x14ac:dyDescent="0.35">
      <c r="A170" t="s">
        <v>354</v>
      </c>
      <c r="B170" s="1">
        <v>45721</v>
      </c>
      <c r="C170" t="s">
        <v>6881</v>
      </c>
      <c r="D170" t="s">
        <v>516</v>
      </c>
      <c r="E170" t="s">
        <v>517</v>
      </c>
      <c r="F170" t="s">
        <v>6804</v>
      </c>
      <c r="G170" t="s">
        <v>6805</v>
      </c>
      <c r="H170" t="s">
        <v>518</v>
      </c>
      <c r="I170" s="1">
        <v>45781</v>
      </c>
      <c r="K170">
        <v>421850</v>
      </c>
      <c r="L170" t="s">
        <v>6803</v>
      </c>
    </row>
    <row r="171" spans="1:12" x14ac:dyDescent="0.35">
      <c r="A171" t="s">
        <v>354</v>
      </c>
      <c r="B171" s="1">
        <v>45721</v>
      </c>
      <c r="C171" t="s">
        <v>6881</v>
      </c>
      <c r="D171" t="s">
        <v>516</v>
      </c>
      <c r="E171" t="s">
        <v>517</v>
      </c>
      <c r="F171" t="s">
        <v>6806</v>
      </c>
      <c r="H171" t="s">
        <v>518</v>
      </c>
      <c r="J171">
        <v>64350</v>
      </c>
      <c r="L171" t="s">
        <v>6803</v>
      </c>
    </row>
    <row r="172" spans="1:12" x14ac:dyDescent="0.35">
      <c r="A172" t="s">
        <v>354</v>
      </c>
      <c r="B172" s="1">
        <v>45721</v>
      </c>
      <c r="C172" t="s">
        <v>6882</v>
      </c>
      <c r="D172" t="s">
        <v>519</v>
      </c>
      <c r="E172" t="s">
        <v>520</v>
      </c>
      <c r="F172" t="s">
        <v>6802</v>
      </c>
      <c r="H172" t="s">
        <v>521</v>
      </c>
      <c r="J172">
        <v>15580</v>
      </c>
      <c r="L172" t="s">
        <v>6803</v>
      </c>
    </row>
    <row r="173" spans="1:12" x14ac:dyDescent="0.35">
      <c r="A173" t="s">
        <v>354</v>
      </c>
      <c r="B173" s="1">
        <v>45721</v>
      </c>
      <c r="C173" t="s">
        <v>6882</v>
      </c>
      <c r="D173" t="s">
        <v>519</v>
      </c>
      <c r="E173" t="s">
        <v>520</v>
      </c>
      <c r="F173" t="s">
        <v>6804</v>
      </c>
      <c r="G173" t="s">
        <v>6805</v>
      </c>
      <c r="H173" t="s">
        <v>521</v>
      </c>
      <c r="I173" s="1">
        <v>45781</v>
      </c>
      <c r="K173">
        <v>18384</v>
      </c>
      <c r="L173" t="s">
        <v>6803</v>
      </c>
    </row>
    <row r="174" spans="1:12" x14ac:dyDescent="0.35">
      <c r="A174" t="s">
        <v>354</v>
      </c>
      <c r="B174" s="1">
        <v>45721</v>
      </c>
      <c r="C174" t="s">
        <v>6882</v>
      </c>
      <c r="D174" t="s">
        <v>519</v>
      </c>
      <c r="E174" t="s">
        <v>520</v>
      </c>
      <c r="F174" t="s">
        <v>6806</v>
      </c>
      <c r="H174" t="s">
        <v>521</v>
      </c>
      <c r="J174">
        <v>2804</v>
      </c>
      <c r="L174" t="s">
        <v>6803</v>
      </c>
    </row>
    <row r="175" spans="1:12" x14ac:dyDescent="0.35">
      <c r="A175" t="s">
        <v>354</v>
      </c>
      <c r="B175" s="1">
        <v>45721</v>
      </c>
      <c r="C175" t="s">
        <v>6883</v>
      </c>
      <c r="D175" t="s">
        <v>522</v>
      </c>
      <c r="E175" t="s">
        <v>6884</v>
      </c>
      <c r="F175" t="s">
        <v>6802</v>
      </c>
      <c r="H175" t="s">
        <v>523</v>
      </c>
      <c r="J175">
        <v>75000</v>
      </c>
      <c r="L175" t="s">
        <v>6803</v>
      </c>
    </row>
    <row r="176" spans="1:12" x14ac:dyDescent="0.35">
      <c r="A176" t="s">
        <v>354</v>
      </c>
      <c r="B176" s="1">
        <v>45721</v>
      </c>
      <c r="C176" t="s">
        <v>6883</v>
      </c>
      <c r="D176" t="s">
        <v>522</v>
      </c>
      <c r="E176" t="s">
        <v>6884</v>
      </c>
      <c r="F176" t="s">
        <v>6804</v>
      </c>
      <c r="G176" t="s">
        <v>6885</v>
      </c>
      <c r="H176" t="s">
        <v>523</v>
      </c>
      <c r="I176" s="1">
        <v>45721</v>
      </c>
      <c r="K176">
        <v>75000</v>
      </c>
      <c r="L176" t="s">
        <v>6803</v>
      </c>
    </row>
    <row r="177" spans="1:12" x14ac:dyDescent="0.35">
      <c r="A177" t="s">
        <v>354</v>
      </c>
      <c r="B177" s="1">
        <v>45721</v>
      </c>
      <c r="C177" t="s">
        <v>6886</v>
      </c>
      <c r="D177" t="s">
        <v>524</v>
      </c>
      <c r="E177" t="s">
        <v>6887</v>
      </c>
      <c r="F177" t="s">
        <v>6802</v>
      </c>
      <c r="H177" t="s">
        <v>525</v>
      </c>
      <c r="J177">
        <v>125000</v>
      </c>
      <c r="L177" t="s">
        <v>6803</v>
      </c>
    </row>
    <row r="178" spans="1:12" x14ac:dyDescent="0.35">
      <c r="A178" t="s">
        <v>354</v>
      </c>
      <c r="B178" s="1">
        <v>45721</v>
      </c>
      <c r="C178" t="s">
        <v>6886</v>
      </c>
      <c r="D178" t="s">
        <v>524</v>
      </c>
      <c r="E178" t="s">
        <v>6887</v>
      </c>
      <c r="F178" t="s">
        <v>6804</v>
      </c>
      <c r="G178" t="s">
        <v>6885</v>
      </c>
      <c r="H178" t="s">
        <v>525</v>
      </c>
      <c r="I178" s="1">
        <v>45721</v>
      </c>
      <c r="K178">
        <v>125000</v>
      </c>
      <c r="L178" t="s">
        <v>6803</v>
      </c>
    </row>
    <row r="179" spans="1:12" x14ac:dyDescent="0.35">
      <c r="A179" t="s">
        <v>354</v>
      </c>
      <c r="B179" s="1">
        <v>45721</v>
      </c>
      <c r="C179" t="s">
        <v>6888</v>
      </c>
      <c r="D179" t="s">
        <v>526</v>
      </c>
      <c r="E179" t="s">
        <v>6889</v>
      </c>
      <c r="F179" t="s">
        <v>6802</v>
      </c>
      <c r="H179" t="s">
        <v>527</v>
      </c>
      <c r="J179">
        <v>38000</v>
      </c>
      <c r="L179" t="s">
        <v>6803</v>
      </c>
    </row>
    <row r="180" spans="1:12" x14ac:dyDescent="0.35">
      <c r="A180" t="s">
        <v>354</v>
      </c>
      <c r="B180" s="1">
        <v>45721</v>
      </c>
      <c r="C180" t="s">
        <v>6888</v>
      </c>
      <c r="D180" t="s">
        <v>526</v>
      </c>
      <c r="E180" t="s">
        <v>6889</v>
      </c>
      <c r="F180" t="s">
        <v>6804</v>
      </c>
      <c r="G180" t="s">
        <v>6885</v>
      </c>
      <c r="H180" t="s">
        <v>527</v>
      </c>
      <c r="I180" s="1">
        <v>45721</v>
      </c>
      <c r="K180">
        <v>38000</v>
      </c>
      <c r="L180" t="s">
        <v>6803</v>
      </c>
    </row>
    <row r="181" spans="1:12" x14ac:dyDescent="0.35">
      <c r="A181" t="s">
        <v>354</v>
      </c>
      <c r="B181" s="1">
        <v>45721</v>
      </c>
      <c r="C181" t="s">
        <v>6890</v>
      </c>
      <c r="D181" t="s">
        <v>528</v>
      </c>
      <c r="E181" t="s">
        <v>6891</v>
      </c>
      <c r="F181" t="s">
        <v>6802</v>
      </c>
      <c r="H181" t="s">
        <v>529</v>
      </c>
      <c r="J181">
        <v>85000</v>
      </c>
      <c r="L181" t="s">
        <v>6803</v>
      </c>
    </row>
    <row r="182" spans="1:12" x14ac:dyDescent="0.35">
      <c r="A182" t="s">
        <v>354</v>
      </c>
      <c r="B182" s="1">
        <v>45721</v>
      </c>
      <c r="C182" t="s">
        <v>6890</v>
      </c>
      <c r="D182" t="s">
        <v>528</v>
      </c>
      <c r="E182" t="s">
        <v>6891</v>
      </c>
      <c r="F182" t="s">
        <v>6804</v>
      </c>
      <c r="G182" t="s">
        <v>6885</v>
      </c>
      <c r="H182" t="s">
        <v>529</v>
      </c>
      <c r="I182" s="1">
        <v>45721</v>
      </c>
      <c r="K182">
        <v>85000</v>
      </c>
      <c r="L182" t="s">
        <v>6803</v>
      </c>
    </row>
    <row r="183" spans="1:12" x14ac:dyDescent="0.35">
      <c r="A183" t="s">
        <v>354</v>
      </c>
      <c r="B183" s="1">
        <v>45721</v>
      </c>
      <c r="C183" t="s">
        <v>6892</v>
      </c>
      <c r="D183" t="s">
        <v>530</v>
      </c>
      <c r="E183" t="s">
        <v>6893</v>
      </c>
      <c r="F183" t="s">
        <v>6802</v>
      </c>
      <c r="H183" t="s">
        <v>531</v>
      </c>
      <c r="J183">
        <v>95000</v>
      </c>
      <c r="L183" t="s">
        <v>6803</v>
      </c>
    </row>
    <row r="184" spans="1:12" x14ac:dyDescent="0.35">
      <c r="A184" t="s">
        <v>354</v>
      </c>
      <c r="B184" s="1">
        <v>45721</v>
      </c>
      <c r="C184" t="s">
        <v>6892</v>
      </c>
      <c r="D184" t="s">
        <v>530</v>
      </c>
      <c r="E184" t="s">
        <v>6893</v>
      </c>
      <c r="F184" t="s">
        <v>6804</v>
      </c>
      <c r="G184" t="s">
        <v>6885</v>
      </c>
      <c r="H184" t="s">
        <v>531</v>
      </c>
      <c r="I184" s="1">
        <v>45721</v>
      </c>
      <c r="K184">
        <v>95000</v>
      </c>
      <c r="L184" t="s">
        <v>6803</v>
      </c>
    </row>
    <row r="185" spans="1:12" x14ac:dyDescent="0.35">
      <c r="A185" t="s">
        <v>354</v>
      </c>
      <c r="B185" s="1">
        <v>45721</v>
      </c>
      <c r="C185" t="s">
        <v>6894</v>
      </c>
      <c r="D185" t="s">
        <v>532</v>
      </c>
      <c r="E185" t="s">
        <v>6895</v>
      </c>
      <c r="F185" t="s">
        <v>6802</v>
      </c>
      <c r="H185" t="s">
        <v>533</v>
      </c>
      <c r="J185">
        <v>36000</v>
      </c>
      <c r="L185" t="s">
        <v>6803</v>
      </c>
    </row>
    <row r="186" spans="1:12" x14ac:dyDescent="0.35">
      <c r="A186" t="s">
        <v>354</v>
      </c>
      <c r="B186" s="1">
        <v>45721</v>
      </c>
      <c r="C186" t="s">
        <v>6894</v>
      </c>
      <c r="D186" t="s">
        <v>532</v>
      </c>
      <c r="E186" t="s">
        <v>6895</v>
      </c>
      <c r="F186" t="s">
        <v>6804</v>
      </c>
      <c r="G186" t="s">
        <v>6885</v>
      </c>
      <c r="H186" t="s">
        <v>533</v>
      </c>
      <c r="I186" s="1">
        <v>45721</v>
      </c>
      <c r="K186">
        <v>36000</v>
      </c>
      <c r="L186" t="s">
        <v>6803</v>
      </c>
    </row>
    <row r="187" spans="1:12" x14ac:dyDescent="0.35">
      <c r="A187" t="s">
        <v>354</v>
      </c>
      <c r="B187" s="1">
        <v>45721</v>
      </c>
      <c r="C187" t="s">
        <v>6896</v>
      </c>
      <c r="D187" t="s">
        <v>534</v>
      </c>
      <c r="E187" t="s">
        <v>6897</v>
      </c>
      <c r="F187" t="s">
        <v>6802</v>
      </c>
      <c r="H187" t="s">
        <v>535</v>
      </c>
      <c r="J187">
        <v>51000</v>
      </c>
      <c r="L187" t="s">
        <v>6803</v>
      </c>
    </row>
    <row r="188" spans="1:12" x14ac:dyDescent="0.35">
      <c r="A188" t="s">
        <v>354</v>
      </c>
      <c r="B188" s="1">
        <v>45721</v>
      </c>
      <c r="C188" t="s">
        <v>6896</v>
      </c>
      <c r="D188" t="s">
        <v>534</v>
      </c>
      <c r="E188" t="s">
        <v>6897</v>
      </c>
      <c r="F188" t="s">
        <v>6804</v>
      </c>
      <c r="G188" t="s">
        <v>6885</v>
      </c>
      <c r="H188" t="s">
        <v>535</v>
      </c>
      <c r="I188" s="1">
        <v>45721</v>
      </c>
      <c r="K188">
        <v>51000</v>
      </c>
      <c r="L188" t="s">
        <v>6803</v>
      </c>
    </row>
    <row r="189" spans="1:12" x14ac:dyDescent="0.35">
      <c r="A189" t="s">
        <v>354</v>
      </c>
      <c r="B189" s="1">
        <v>45721</v>
      </c>
      <c r="C189" t="s">
        <v>6898</v>
      </c>
      <c r="D189" t="s">
        <v>536</v>
      </c>
      <c r="E189" t="s">
        <v>6899</v>
      </c>
      <c r="F189" t="s">
        <v>6802</v>
      </c>
      <c r="H189" t="s">
        <v>537</v>
      </c>
      <c r="J189">
        <v>66000</v>
      </c>
      <c r="L189" t="s">
        <v>6803</v>
      </c>
    </row>
    <row r="190" spans="1:12" x14ac:dyDescent="0.35">
      <c r="A190" t="s">
        <v>354</v>
      </c>
      <c r="B190" s="1">
        <v>45721</v>
      </c>
      <c r="C190" t="s">
        <v>6898</v>
      </c>
      <c r="D190" t="s">
        <v>536</v>
      </c>
      <c r="E190" t="s">
        <v>6899</v>
      </c>
      <c r="F190" t="s">
        <v>6804</v>
      </c>
      <c r="G190" t="s">
        <v>6885</v>
      </c>
      <c r="H190" t="s">
        <v>537</v>
      </c>
      <c r="I190" s="1">
        <v>45721</v>
      </c>
      <c r="K190">
        <v>66000</v>
      </c>
      <c r="L190" t="s">
        <v>6803</v>
      </c>
    </row>
    <row r="191" spans="1:12" x14ac:dyDescent="0.35">
      <c r="A191" t="s">
        <v>354</v>
      </c>
      <c r="B191" s="1">
        <v>45722</v>
      </c>
      <c r="C191" t="s">
        <v>6900</v>
      </c>
      <c r="D191" t="s">
        <v>538</v>
      </c>
      <c r="E191" t="s">
        <v>6901</v>
      </c>
      <c r="F191" t="s">
        <v>6811</v>
      </c>
      <c r="H191" t="s">
        <v>539</v>
      </c>
      <c r="J191">
        <v>20000</v>
      </c>
      <c r="L191" t="s">
        <v>6803</v>
      </c>
    </row>
    <row r="192" spans="1:12" x14ac:dyDescent="0.35">
      <c r="A192" t="s">
        <v>354</v>
      </c>
      <c r="B192" s="1">
        <v>45722</v>
      </c>
      <c r="C192" t="s">
        <v>6900</v>
      </c>
      <c r="D192" t="s">
        <v>538</v>
      </c>
      <c r="E192" t="s">
        <v>6901</v>
      </c>
      <c r="F192" t="s">
        <v>6804</v>
      </c>
      <c r="G192" t="s">
        <v>6902</v>
      </c>
      <c r="H192" t="s">
        <v>539</v>
      </c>
      <c r="I192" s="1">
        <v>45752</v>
      </c>
      <c r="K192">
        <v>23600</v>
      </c>
      <c r="L192" t="s">
        <v>6803</v>
      </c>
    </row>
    <row r="193" spans="1:12" x14ac:dyDescent="0.35">
      <c r="A193" t="s">
        <v>354</v>
      </c>
      <c r="B193" s="1">
        <v>45722</v>
      </c>
      <c r="C193" t="s">
        <v>6900</v>
      </c>
      <c r="D193" t="s">
        <v>538</v>
      </c>
      <c r="E193" t="s">
        <v>6901</v>
      </c>
      <c r="F193" t="s">
        <v>6806</v>
      </c>
      <c r="H193" t="s">
        <v>539</v>
      </c>
      <c r="J193">
        <v>3600</v>
      </c>
      <c r="L193" t="s">
        <v>6803</v>
      </c>
    </row>
    <row r="194" spans="1:12" x14ac:dyDescent="0.35">
      <c r="A194" t="s">
        <v>354</v>
      </c>
      <c r="B194" s="1">
        <v>45722</v>
      </c>
      <c r="C194" t="s">
        <v>6903</v>
      </c>
      <c r="D194" t="s">
        <v>540</v>
      </c>
      <c r="E194" t="s">
        <v>541</v>
      </c>
      <c r="F194" t="s">
        <v>6802</v>
      </c>
      <c r="H194" t="s">
        <v>542</v>
      </c>
      <c r="J194">
        <v>7077</v>
      </c>
      <c r="L194" t="s">
        <v>6803</v>
      </c>
    </row>
    <row r="195" spans="1:12" x14ac:dyDescent="0.35">
      <c r="A195" t="s">
        <v>354</v>
      </c>
      <c r="B195" s="1">
        <v>45722</v>
      </c>
      <c r="C195" t="s">
        <v>6903</v>
      </c>
      <c r="D195" t="s">
        <v>540</v>
      </c>
      <c r="E195" t="s">
        <v>541</v>
      </c>
      <c r="F195" t="s">
        <v>6804</v>
      </c>
      <c r="G195" t="s">
        <v>6904</v>
      </c>
      <c r="H195" t="s">
        <v>542</v>
      </c>
      <c r="I195" s="1">
        <v>45782</v>
      </c>
      <c r="K195">
        <v>8351</v>
      </c>
      <c r="L195" t="s">
        <v>6803</v>
      </c>
    </row>
    <row r="196" spans="1:12" x14ac:dyDescent="0.35">
      <c r="A196" t="s">
        <v>354</v>
      </c>
      <c r="B196" s="1">
        <v>45722</v>
      </c>
      <c r="C196" t="s">
        <v>6903</v>
      </c>
      <c r="D196" t="s">
        <v>540</v>
      </c>
      <c r="E196" t="s">
        <v>541</v>
      </c>
      <c r="F196" t="s">
        <v>6806</v>
      </c>
      <c r="H196" t="s">
        <v>542</v>
      </c>
      <c r="J196">
        <v>1274</v>
      </c>
      <c r="L196" t="s">
        <v>6803</v>
      </c>
    </row>
    <row r="197" spans="1:12" x14ac:dyDescent="0.35">
      <c r="A197" t="s">
        <v>354</v>
      </c>
      <c r="B197" s="1">
        <v>45722</v>
      </c>
      <c r="C197" t="s">
        <v>6905</v>
      </c>
      <c r="D197" t="s">
        <v>543</v>
      </c>
      <c r="E197" t="s">
        <v>544</v>
      </c>
      <c r="F197" t="s">
        <v>6804</v>
      </c>
      <c r="G197" t="s">
        <v>6906</v>
      </c>
      <c r="H197" t="s">
        <v>545</v>
      </c>
      <c r="I197" s="1">
        <v>45838</v>
      </c>
      <c r="K197">
        <v>206382</v>
      </c>
      <c r="L197" t="s">
        <v>6803</v>
      </c>
    </row>
    <row r="198" spans="1:12" x14ac:dyDescent="0.35">
      <c r="A198" t="s">
        <v>354</v>
      </c>
      <c r="B198" s="1">
        <v>45722</v>
      </c>
      <c r="C198" t="s">
        <v>6905</v>
      </c>
      <c r="D198" t="s">
        <v>543</v>
      </c>
      <c r="E198" t="s">
        <v>544</v>
      </c>
      <c r="F198" t="s">
        <v>6819</v>
      </c>
      <c r="H198" t="s">
        <v>545</v>
      </c>
      <c r="J198">
        <v>31482</v>
      </c>
      <c r="L198" t="s">
        <v>6803</v>
      </c>
    </row>
    <row r="199" spans="1:12" x14ac:dyDescent="0.35">
      <c r="A199" t="s">
        <v>354</v>
      </c>
      <c r="B199" s="1">
        <v>45722</v>
      </c>
      <c r="C199" t="s">
        <v>6905</v>
      </c>
      <c r="D199" t="s">
        <v>543</v>
      </c>
      <c r="E199" t="s">
        <v>544</v>
      </c>
      <c r="F199" t="s">
        <v>6820</v>
      </c>
      <c r="H199" t="s">
        <v>545</v>
      </c>
      <c r="J199">
        <v>174900</v>
      </c>
      <c r="L199" t="s">
        <v>5876</v>
      </c>
    </row>
    <row r="200" spans="1:12" x14ac:dyDescent="0.35">
      <c r="A200" t="s">
        <v>354</v>
      </c>
      <c r="B200" s="1">
        <v>45722</v>
      </c>
      <c r="C200" t="s">
        <v>6907</v>
      </c>
      <c r="D200" t="s">
        <v>546</v>
      </c>
      <c r="E200" t="s">
        <v>547</v>
      </c>
      <c r="F200" t="s">
        <v>6802</v>
      </c>
      <c r="H200" t="s">
        <v>548</v>
      </c>
      <c r="J200">
        <v>58544</v>
      </c>
      <c r="L200" t="s">
        <v>6803</v>
      </c>
    </row>
    <row r="201" spans="1:12" x14ac:dyDescent="0.35">
      <c r="A201" t="s">
        <v>354</v>
      </c>
      <c r="B201" s="1">
        <v>45722</v>
      </c>
      <c r="C201" t="s">
        <v>6907</v>
      </c>
      <c r="D201" t="s">
        <v>546</v>
      </c>
      <c r="E201" t="s">
        <v>547</v>
      </c>
      <c r="F201" t="s">
        <v>6804</v>
      </c>
      <c r="G201" t="s">
        <v>6906</v>
      </c>
      <c r="H201" t="s">
        <v>548</v>
      </c>
      <c r="I201" s="1">
        <v>45838</v>
      </c>
      <c r="K201">
        <v>69082</v>
      </c>
      <c r="L201" t="s">
        <v>6803</v>
      </c>
    </row>
    <row r="202" spans="1:12" x14ac:dyDescent="0.35">
      <c r="A202" t="s">
        <v>354</v>
      </c>
      <c r="B202" s="1">
        <v>45722</v>
      </c>
      <c r="C202" t="s">
        <v>6907</v>
      </c>
      <c r="D202" t="s">
        <v>546</v>
      </c>
      <c r="E202" t="s">
        <v>547</v>
      </c>
      <c r="F202" t="s">
        <v>6806</v>
      </c>
      <c r="H202" t="s">
        <v>548</v>
      </c>
      <c r="J202">
        <v>10538</v>
      </c>
      <c r="L202" t="s">
        <v>6803</v>
      </c>
    </row>
    <row r="203" spans="1:12" x14ac:dyDescent="0.35">
      <c r="A203" t="s">
        <v>354</v>
      </c>
      <c r="B203" s="1">
        <v>45722</v>
      </c>
      <c r="C203" t="s">
        <v>6908</v>
      </c>
      <c r="D203" t="s">
        <v>549</v>
      </c>
      <c r="E203" t="s">
        <v>550</v>
      </c>
      <c r="F203" t="s">
        <v>6802</v>
      </c>
      <c r="H203" t="s">
        <v>551</v>
      </c>
      <c r="J203">
        <v>238273</v>
      </c>
      <c r="L203" t="s">
        <v>6803</v>
      </c>
    </row>
    <row r="204" spans="1:12" x14ac:dyDescent="0.35">
      <c r="A204" t="s">
        <v>354</v>
      </c>
      <c r="B204" s="1">
        <v>45722</v>
      </c>
      <c r="C204" t="s">
        <v>6908</v>
      </c>
      <c r="D204" t="s">
        <v>549</v>
      </c>
      <c r="E204" t="s">
        <v>550</v>
      </c>
      <c r="F204" t="s">
        <v>6804</v>
      </c>
      <c r="G204" t="s">
        <v>6906</v>
      </c>
      <c r="H204" t="s">
        <v>551</v>
      </c>
      <c r="I204" s="1">
        <v>45838</v>
      </c>
      <c r="K204">
        <v>281162</v>
      </c>
      <c r="L204" t="s">
        <v>6803</v>
      </c>
    </row>
    <row r="205" spans="1:12" x14ac:dyDescent="0.35">
      <c r="A205" t="s">
        <v>354</v>
      </c>
      <c r="B205" s="1">
        <v>45722</v>
      </c>
      <c r="C205" t="s">
        <v>6908</v>
      </c>
      <c r="D205" t="s">
        <v>549</v>
      </c>
      <c r="E205" t="s">
        <v>550</v>
      </c>
      <c r="F205" t="s">
        <v>6806</v>
      </c>
      <c r="H205" t="s">
        <v>551</v>
      </c>
      <c r="J205">
        <v>42889</v>
      </c>
      <c r="L205" t="s">
        <v>6803</v>
      </c>
    </row>
    <row r="206" spans="1:12" x14ac:dyDescent="0.35">
      <c r="A206" t="s">
        <v>354</v>
      </c>
      <c r="B206" s="1">
        <v>45722</v>
      </c>
      <c r="C206" t="s">
        <v>6909</v>
      </c>
      <c r="D206" t="s">
        <v>552</v>
      </c>
      <c r="E206" t="s">
        <v>553</v>
      </c>
      <c r="F206" t="s">
        <v>6802</v>
      </c>
      <c r="H206" t="s">
        <v>554</v>
      </c>
      <c r="J206">
        <v>58544</v>
      </c>
      <c r="L206" t="s">
        <v>6803</v>
      </c>
    </row>
    <row r="207" spans="1:12" x14ac:dyDescent="0.35">
      <c r="A207" t="s">
        <v>354</v>
      </c>
      <c r="B207" s="1">
        <v>45722</v>
      </c>
      <c r="C207" t="s">
        <v>6909</v>
      </c>
      <c r="D207" t="s">
        <v>552</v>
      </c>
      <c r="E207" t="s">
        <v>553</v>
      </c>
      <c r="F207" t="s">
        <v>6804</v>
      </c>
      <c r="G207" t="s">
        <v>6906</v>
      </c>
      <c r="H207" t="s">
        <v>554</v>
      </c>
      <c r="I207" s="1">
        <v>45838</v>
      </c>
      <c r="K207">
        <v>69082</v>
      </c>
      <c r="L207" t="s">
        <v>6803</v>
      </c>
    </row>
    <row r="208" spans="1:12" x14ac:dyDescent="0.35">
      <c r="A208" t="s">
        <v>354</v>
      </c>
      <c r="B208" s="1">
        <v>45722</v>
      </c>
      <c r="C208" t="s">
        <v>6909</v>
      </c>
      <c r="D208" t="s">
        <v>552</v>
      </c>
      <c r="E208" t="s">
        <v>553</v>
      </c>
      <c r="F208" t="s">
        <v>6806</v>
      </c>
      <c r="H208" t="s">
        <v>554</v>
      </c>
      <c r="J208">
        <v>10538</v>
      </c>
      <c r="L208" t="s">
        <v>6803</v>
      </c>
    </row>
    <row r="209" spans="1:12" x14ac:dyDescent="0.35">
      <c r="A209" t="s">
        <v>354</v>
      </c>
      <c r="B209" s="1">
        <v>45722</v>
      </c>
      <c r="C209" t="s">
        <v>6910</v>
      </c>
      <c r="D209" t="s">
        <v>555</v>
      </c>
      <c r="E209" t="s">
        <v>556</v>
      </c>
      <c r="F209" t="s">
        <v>6802</v>
      </c>
      <c r="H209" t="s">
        <v>557</v>
      </c>
      <c r="J209">
        <v>247686</v>
      </c>
      <c r="L209" t="s">
        <v>6803</v>
      </c>
    </row>
    <row r="210" spans="1:12" x14ac:dyDescent="0.35">
      <c r="A210" t="s">
        <v>354</v>
      </c>
      <c r="B210" s="1">
        <v>45722</v>
      </c>
      <c r="C210" t="s">
        <v>6910</v>
      </c>
      <c r="D210" t="s">
        <v>555</v>
      </c>
      <c r="E210" t="s">
        <v>556</v>
      </c>
      <c r="F210" t="s">
        <v>6804</v>
      </c>
      <c r="G210" t="s">
        <v>6906</v>
      </c>
      <c r="H210" t="s">
        <v>557</v>
      </c>
      <c r="I210" s="1">
        <v>45838</v>
      </c>
      <c r="K210">
        <v>292269</v>
      </c>
      <c r="L210" t="s">
        <v>6803</v>
      </c>
    </row>
    <row r="211" spans="1:12" x14ac:dyDescent="0.35">
      <c r="A211" t="s">
        <v>354</v>
      </c>
      <c r="B211" s="1">
        <v>45722</v>
      </c>
      <c r="C211" t="s">
        <v>6910</v>
      </c>
      <c r="D211" t="s">
        <v>555</v>
      </c>
      <c r="E211" t="s">
        <v>556</v>
      </c>
      <c r="F211" t="s">
        <v>6806</v>
      </c>
      <c r="H211" t="s">
        <v>557</v>
      </c>
      <c r="J211">
        <v>44583</v>
      </c>
      <c r="L211" t="s">
        <v>6803</v>
      </c>
    </row>
    <row r="212" spans="1:12" x14ac:dyDescent="0.35">
      <c r="A212" t="s">
        <v>354</v>
      </c>
      <c r="B212" s="1">
        <v>45722</v>
      </c>
      <c r="C212" t="s">
        <v>6911</v>
      </c>
      <c r="D212" t="s">
        <v>558</v>
      </c>
      <c r="E212" t="s">
        <v>559</v>
      </c>
      <c r="F212" t="s">
        <v>6802</v>
      </c>
      <c r="H212" t="s">
        <v>560</v>
      </c>
      <c r="J212">
        <v>371529</v>
      </c>
      <c r="L212" t="s">
        <v>6803</v>
      </c>
    </row>
    <row r="213" spans="1:12" x14ac:dyDescent="0.35">
      <c r="A213" t="s">
        <v>354</v>
      </c>
      <c r="B213" s="1">
        <v>45722</v>
      </c>
      <c r="C213" t="s">
        <v>6911</v>
      </c>
      <c r="D213" t="s">
        <v>558</v>
      </c>
      <c r="E213" t="s">
        <v>559</v>
      </c>
      <c r="F213" t="s">
        <v>6804</v>
      </c>
      <c r="G213" t="s">
        <v>6906</v>
      </c>
      <c r="H213" t="s">
        <v>560</v>
      </c>
      <c r="I213" s="1">
        <v>45838</v>
      </c>
      <c r="K213">
        <v>438404</v>
      </c>
      <c r="L213" t="s">
        <v>6803</v>
      </c>
    </row>
    <row r="214" spans="1:12" x14ac:dyDescent="0.35">
      <c r="A214" t="s">
        <v>354</v>
      </c>
      <c r="B214" s="1">
        <v>45722</v>
      </c>
      <c r="C214" t="s">
        <v>6911</v>
      </c>
      <c r="D214" t="s">
        <v>558</v>
      </c>
      <c r="E214" t="s">
        <v>559</v>
      </c>
      <c r="F214" t="s">
        <v>6806</v>
      </c>
      <c r="H214" t="s">
        <v>560</v>
      </c>
      <c r="J214">
        <v>66875</v>
      </c>
      <c r="L214" t="s">
        <v>6803</v>
      </c>
    </row>
    <row r="215" spans="1:12" x14ac:dyDescent="0.35">
      <c r="A215" t="s">
        <v>354</v>
      </c>
      <c r="B215" s="1">
        <v>45722</v>
      </c>
      <c r="C215" t="s">
        <v>6912</v>
      </c>
      <c r="D215" t="s">
        <v>561</v>
      </c>
      <c r="E215" t="s">
        <v>562</v>
      </c>
      <c r="F215" t="s">
        <v>6802</v>
      </c>
      <c r="H215" t="s">
        <v>563</v>
      </c>
      <c r="J215">
        <v>371529</v>
      </c>
      <c r="L215" t="s">
        <v>6803</v>
      </c>
    </row>
    <row r="216" spans="1:12" x14ac:dyDescent="0.35">
      <c r="A216" t="s">
        <v>354</v>
      </c>
      <c r="B216" s="1">
        <v>45722</v>
      </c>
      <c r="C216" t="s">
        <v>6912</v>
      </c>
      <c r="D216" t="s">
        <v>561</v>
      </c>
      <c r="E216" t="s">
        <v>562</v>
      </c>
      <c r="F216" t="s">
        <v>6804</v>
      </c>
      <c r="G216" t="s">
        <v>6906</v>
      </c>
      <c r="H216" t="s">
        <v>563</v>
      </c>
      <c r="I216" s="1">
        <v>45838</v>
      </c>
      <c r="K216">
        <v>438404</v>
      </c>
      <c r="L216" t="s">
        <v>6803</v>
      </c>
    </row>
    <row r="217" spans="1:12" x14ac:dyDescent="0.35">
      <c r="A217" t="s">
        <v>354</v>
      </c>
      <c r="B217" s="1">
        <v>45722</v>
      </c>
      <c r="C217" t="s">
        <v>6912</v>
      </c>
      <c r="D217" t="s">
        <v>561</v>
      </c>
      <c r="E217" t="s">
        <v>562</v>
      </c>
      <c r="F217" t="s">
        <v>6806</v>
      </c>
      <c r="H217" t="s">
        <v>563</v>
      </c>
      <c r="J217">
        <v>66875</v>
      </c>
      <c r="L217" t="s">
        <v>6803</v>
      </c>
    </row>
    <row r="218" spans="1:12" x14ac:dyDescent="0.35">
      <c r="A218" t="s">
        <v>354</v>
      </c>
      <c r="B218" s="1">
        <v>45722</v>
      </c>
      <c r="C218" t="s">
        <v>6913</v>
      </c>
      <c r="D218" t="s">
        <v>564</v>
      </c>
      <c r="E218" t="s">
        <v>565</v>
      </c>
      <c r="F218" t="s">
        <v>6802</v>
      </c>
      <c r="H218" t="s">
        <v>566</v>
      </c>
      <c r="J218">
        <v>396158</v>
      </c>
      <c r="L218" t="s">
        <v>6803</v>
      </c>
    </row>
    <row r="219" spans="1:12" x14ac:dyDescent="0.35">
      <c r="A219" t="s">
        <v>354</v>
      </c>
      <c r="B219" s="1">
        <v>45722</v>
      </c>
      <c r="C219" t="s">
        <v>6913</v>
      </c>
      <c r="D219" t="s">
        <v>564</v>
      </c>
      <c r="E219" t="s">
        <v>565</v>
      </c>
      <c r="F219" t="s">
        <v>6804</v>
      </c>
      <c r="G219" t="s">
        <v>6906</v>
      </c>
      <c r="H219" t="s">
        <v>566</v>
      </c>
      <c r="I219" s="1">
        <v>45838</v>
      </c>
      <c r="K219">
        <v>467466</v>
      </c>
      <c r="L219" t="s">
        <v>6803</v>
      </c>
    </row>
    <row r="220" spans="1:12" x14ac:dyDescent="0.35">
      <c r="A220" t="s">
        <v>354</v>
      </c>
      <c r="B220" s="1">
        <v>45722</v>
      </c>
      <c r="C220" t="s">
        <v>6913</v>
      </c>
      <c r="D220" t="s">
        <v>564</v>
      </c>
      <c r="E220" t="s">
        <v>565</v>
      </c>
      <c r="F220" t="s">
        <v>6806</v>
      </c>
      <c r="H220" t="s">
        <v>566</v>
      </c>
      <c r="J220">
        <v>71308</v>
      </c>
      <c r="L220" t="s">
        <v>6803</v>
      </c>
    </row>
    <row r="221" spans="1:12" x14ac:dyDescent="0.35">
      <c r="A221" t="s">
        <v>354</v>
      </c>
      <c r="B221" s="1">
        <v>45722</v>
      </c>
      <c r="C221" t="s">
        <v>6914</v>
      </c>
      <c r="D221" t="s">
        <v>567</v>
      </c>
      <c r="E221" t="s">
        <v>568</v>
      </c>
      <c r="F221" t="s">
        <v>6915</v>
      </c>
      <c r="H221" t="s">
        <v>569</v>
      </c>
      <c r="J221">
        <v>2831000</v>
      </c>
      <c r="L221" t="s">
        <v>6803</v>
      </c>
    </row>
    <row r="222" spans="1:12" x14ac:dyDescent="0.35">
      <c r="A222" t="s">
        <v>354</v>
      </c>
      <c r="B222" s="1">
        <v>45722</v>
      </c>
      <c r="C222" t="s">
        <v>6914</v>
      </c>
      <c r="D222" t="s">
        <v>567</v>
      </c>
      <c r="E222" t="s">
        <v>568</v>
      </c>
      <c r="F222" t="s">
        <v>6804</v>
      </c>
      <c r="G222" t="s">
        <v>6906</v>
      </c>
      <c r="H222" t="s">
        <v>569</v>
      </c>
      <c r="I222" s="1">
        <v>45838</v>
      </c>
      <c r="K222">
        <v>3340580</v>
      </c>
      <c r="L222" t="s">
        <v>6803</v>
      </c>
    </row>
    <row r="223" spans="1:12" x14ac:dyDescent="0.35">
      <c r="A223" t="s">
        <v>354</v>
      </c>
      <c r="B223" s="1">
        <v>45722</v>
      </c>
      <c r="C223" t="s">
        <v>6914</v>
      </c>
      <c r="D223" t="s">
        <v>567</v>
      </c>
      <c r="E223" t="s">
        <v>568</v>
      </c>
      <c r="F223" t="s">
        <v>6806</v>
      </c>
      <c r="H223" t="s">
        <v>569</v>
      </c>
      <c r="J223">
        <v>509580</v>
      </c>
      <c r="L223" t="s">
        <v>6803</v>
      </c>
    </row>
    <row r="224" spans="1:12" x14ac:dyDescent="0.35">
      <c r="A224" t="s">
        <v>354</v>
      </c>
      <c r="B224" s="1">
        <v>45722</v>
      </c>
      <c r="C224" t="s">
        <v>6916</v>
      </c>
      <c r="D224" t="s">
        <v>570</v>
      </c>
      <c r="E224" t="s">
        <v>571</v>
      </c>
      <c r="F224" t="s">
        <v>6802</v>
      </c>
      <c r="H224" t="s">
        <v>572</v>
      </c>
      <c r="J224">
        <v>64101</v>
      </c>
      <c r="L224" t="s">
        <v>6803</v>
      </c>
    </row>
    <row r="225" spans="1:12" x14ac:dyDescent="0.35">
      <c r="A225" t="s">
        <v>354</v>
      </c>
      <c r="B225" s="1">
        <v>45722</v>
      </c>
      <c r="C225" t="s">
        <v>6916</v>
      </c>
      <c r="D225" t="s">
        <v>570</v>
      </c>
      <c r="E225" t="s">
        <v>571</v>
      </c>
      <c r="F225" t="s">
        <v>6804</v>
      </c>
      <c r="G225" t="s">
        <v>6805</v>
      </c>
      <c r="H225" t="s">
        <v>572</v>
      </c>
      <c r="I225" s="1">
        <v>45782</v>
      </c>
      <c r="K225">
        <v>75639</v>
      </c>
      <c r="L225" t="s">
        <v>6803</v>
      </c>
    </row>
    <row r="226" spans="1:12" x14ac:dyDescent="0.35">
      <c r="A226" t="s">
        <v>354</v>
      </c>
      <c r="B226" s="1">
        <v>45722</v>
      </c>
      <c r="C226" t="s">
        <v>6916</v>
      </c>
      <c r="D226" t="s">
        <v>570</v>
      </c>
      <c r="E226" t="s">
        <v>571</v>
      </c>
      <c r="F226" t="s">
        <v>6806</v>
      </c>
      <c r="H226" t="s">
        <v>572</v>
      </c>
      <c r="J226">
        <v>11538</v>
      </c>
      <c r="L226" t="s">
        <v>6803</v>
      </c>
    </row>
    <row r="227" spans="1:12" x14ac:dyDescent="0.35">
      <c r="A227" t="s">
        <v>354</v>
      </c>
      <c r="B227" s="1">
        <v>45722</v>
      </c>
      <c r="C227" t="s">
        <v>6917</v>
      </c>
      <c r="D227" t="s">
        <v>573</v>
      </c>
      <c r="E227" t="s">
        <v>574</v>
      </c>
      <c r="F227" t="s">
        <v>6802</v>
      </c>
      <c r="H227" t="s">
        <v>575</v>
      </c>
      <c r="J227">
        <v>76271</v>
      </c>
      <c r="L227" t="s">
        <v>6803</v>
      </c>
    </row>
    <row r="228" spans="1:12" x14ac:dyDescent="0.35">
      <c r="A228" t="s">
        <v>354</v>
      </c>
      <c r="B228" s="1">
        <v>45722</v>
      </c>
      <c r="C228" t="s">
        <v>6917</v>
      </c>
      <c r="D228" t="s">
        <v>573</v>
      </c>
      <c r="E228" t="s">
        <v>574</v>
      </c>
      <c r="F228" t="s">
        <v>6804</v>
      </c>
      <c r="G228" t="s">
        <v>6805</v>
      </c>
      <c r="H228" t="s">
        <v>575</v>
      </c>
      <c r="I228" s="1">
        <v>45782</v>
      </c>
      <c r="K228">
        <v>90000</v>
      </c>
      <c r="L228" t="s">
        <v>6803</v>
      </c>
    </row>
    <row r="229" spans="1:12" x14ac:dyDescent="0.35">
      <c r="A229" t="s">
        <v>354</v>
      </c>
      <c r="B229" s="1">
        <v>45722</v>
      </c>
      <c r="C229" t="s">
        <v>6917</v>
      </c>
      <c r="D229" t="s">
        <v>573</v>
      </c>
      <c r="E229" t="s">
        <v>574</v>
      </c>
      <c r="F229" t="s">
        <v>6806</v>
      </c>
      <c r="H229" t="s">
        <v>575</v>
      </c>
      <c r="J229">
        <v>13729</v>
      </c>
      <c r="L229" t="s">
        <v>6803</v>
      </c>
    </row>
    <row r="230" spans="1:12" x14ac:dyDescent="0.35">
      <c r="A230" t="s">
        <v>354</v>
      </c>
      <c r="B230" s="1">
        <v>45722</v>
      </c>
      <c r="C230" t="s">
        <v>6918</v>
      </c>
      <c r="D230" t="s">
        <v>576</v>
      </c>
      <c r="E230" t="s">
        <v>577</v>
      </c>
      <c r="F230" t="s">
        <v>6802</v>
      </c>
      <c r="H230" t="s">
        <v>578</v>
      </c>
      <c r="J230">
        <v>234777</v>
      </c>
      <c r="L230" t="s">
        <v>6803</v>
      </c>
    </row>
    <row r="231" spans="1:12" x14ac:dyDescent="0.35">
      <c r="A231" t="s">
        <v>354</v>
      </c>
      <c r="B231" s="1">
        <v>45722</v>
      </c>
      <c r="C231" t="s">
        <v>6918</v>
      </c>
      <c r="D231" t="s">
        <v>576</v>
      </c>
      <c r="E231" t="s">
        <v>577</v>
      </c>
      <c r="F231" t="s">
        <v>6804</v>
      </c>
      <c r="G231" t="s">
        <v>6919</v>
      </c>
      <c r="H231" t="s">
        <v>578</v>
      </c>
      <c r="I231" s="1">
        <v>45808</v>
      </c>
      <c r="K231">
        <v>277037</v>
      </c>
      <c r="L231" t="s">
        <v>6803</v>
      </c>
    </row>
    <row r="232" spans="1:12" x14ac:dyDescent="0.35">
      <c r="A232" t="s">
        <v>354</v>
      </c>
      <c r="B232" s="1">
        <v>45722</v>
      </c>
      <c r="C232" t="s">
        <v>6918</v>
      </c>
      <c r="D232" t="s">
        <v>576</v>
      </c>
      <c r="E232" t="s">
        <v>577</v>
      </c>
      <c r="F232" t="s">
        <v>6806</v>
      </c>
      <c r="H232" t="s">
        <v>578</v>
      </c>
      <c r="J232">
        <v>42260</v>
      </c>
      <c r="L232" t="s">
        <v>6803</v>
      </c>
    </row>
    <row r="233" spans="1:12" x14ac:dyDescent="0.35">
      <c r="A233" t="s">
        <v>354</v>
      </c>
      <c r="B233" s="1">
        <v>45722</v>
      </c>
      <c r="C233" t="s">
        <v>6920</v>
      </c>
      <c r="D233" t="s">
        <v>579</v>
      </c>
      <c r="E233" t="s">
        <v>580</v>
      </c>
      <c r="F233" t="s">
        <v>6811</v>
      </c>
      <c r="H233" t="s">
        <v>581</v>
      </c>
      <c r="J233">
        <v>9168</v>
      </c>
      <c r="L233" t="s">
        <v>6803</v>
      </c>
    </row>
    <row r="234" spans="1:12" x14ac:dyDescent="0.35">
      <c r="A234" t="s">
        <v>354</v>
      </c>
      <c r="B234" s="1">
        <v>45722</v>
      </c>
      <c r="C234" t="s">
        <v>6920</v>
      </c>
      <c r="D234" t="s">
        <v>579</v>
      </c>
      <c r="E234" t="s">
        <v>580</v>
      </c>
      <c r="F234" t="s">
        <v>6804</v>
      </c>
      <c r="G234" t="s">
        <v>6919</v>
      </c>
      <c r="H234" t="s">
        <v>581</v>
      </c>
      <c r="I234" s="1">
        <v>45808</v>
      </c>
      <c r="K234">
        <v>10818</v>
      </c>
      <c r="L234" t="s">
        <v>6803</v>
      </c>
    </row>
    <row r="235" spans="1:12" x14ac:dyDescent="0.35">
      <c r="A235" t="s">
        <v>354</v>
      </c>
      <c r="B235" s="1">
        <v>45722</v>
      </c>
      <c r="C235" t="s">
        <v>6920</v>
      </c>
      <c r="D235" t="s">
        <v>579</v>
      </c>
      <c r="E235" t="s">
        <v>580</v>
      </c>
      <c r="F235" t="s">
        <v>6806</v>
      </c>
      <c r="H235" t="s">
        <v>581</v>
      </c>
      <c r="J235">
        <v>1650</v>
      </c>
      <c r="L235" t="s">
        <v>6803</v>
      </c>
    </row>
    <row r="236" spans="1:12" x14ac:dyDescent="0.35">
      <c r="A236" t="s">
        <v>354</v>
      </c>
      <c r="B236" s="1">
        <v>45722</v>
      </c>
      <c r="C236" t="s">
        <v>6921</v>
      </c>
      <c r="D236" t="s">
        <v>582</v>
      </c>
      <c r="E236" t="s">
        <v>583</v>
      </c>
      <c r="F236" t="s">
        <v>6811</v>
      </c>
      <c r="H236" t="s">
        <v>584</v>
      </c>
      <c r="J236">
        <v>9168</v>
      </c>
      <c r="L236" t="s">
        <v>6803</v>
      </c>
    </row>
    <row r="237" spans="1:12" x14ac:dyDescent="0.35">
      <c r="A237" t="s">
        <v>354</v>
      </c>
      <c r="B237" s="1">
        <v>45722</v>
      </c>
      <c r="C237" t="s">
        <v>6921</v>
      </c>
      <c r="D237" t="s">
        <v>582</v>
      </c>
      <c r="E237" t="s">
        <v>583</v>
      </c>
      <c r="F237" t="s">
        <v>6802</v>
      </c>
      <c r="H237" t="s">
        <v>584</v>
      </c>
      <c r="J237">
        <v>546905</v>
      </c>
      <c r="L237" t="s">
        <v>6803</v>
      </c>
    </row>
    <row r="238" spans="1:12" x14ac:dyDescent="0.35">
      <c r="A238" t="s">
        <v>354</v>
      </c>
      <c r="B238" s="1">
        <v>45722</v>
      </c>
      <c r="C238" t="s">
        <v>6921</v>
      </c>
      <c r="D238" t="s">
        <v>582</v>
      </c>
      <c r="E238" t="s">
        <v>583</v>
      </c>
      <c r="F238" t="s">
        <v>6804</v>
      </c>
      <c r="G238" t="s">
        <v>6919</v>
      </c>
      <c r="H238" t="s">
        <v>584</v>
      </c>
      <c r="I238" s="1">
        <v>45808</v>
      </c>
      <c r="K238">
        <v>656166</v>
      </c>
      <c r="L238" t="s">
        <v>6803</v>
      </c>
    </row>
    <row r="239" spans="1:12" x14ac:dyDescent="0.35">
      <c r="A239" t="s">
        <v>354</v>
      </c>
      <c r="B239" s="1">
        <v>45722</v>
      </c>
      <c r="C239" t="s">
        <v>6921</v>
      </c>
      <c r="D239" t="s">
        <v>582</v>
      </c>
      <c r="E239" t="s">
        <v>583</v>
      </c>
      <c r="F239" t="s">
        <v>6806</v>
      </c>
      <c r="H239" t="s">
        <v>584</v>
      </c>
      <c r="J239">
        <v>100093</v>
      </c>
      <c r="L239" t="s">
        <v>6803</v>
      </c>
    </row>
    <row r="240" spans="1:12" x14ac:dyDescent="0.35">
      <c r="A240" t="s">
        <v>354</v>
      </c>
      <c r="B240" s="1">
        <v>45722</v>
      </c>
      <c r="C240" t="s">
        <v>6922</v>
      </c>
      <c r="D240" t="s">
        <v>585</v>
      </c>
      <c r="E240" t="s">
        <v>586</v>
      </c>
      <c r="F240" t="s">
        <v>6802</v>
      </c>
      <c r="H240" t="s">
        <v>587</v>
      </c>
      <c r="J240">
        <v>113377</v>
      </c>
      <c r="L240" t="s">
        <v>6803</v>
      </c>
    </row>
    <row r="241" spans="1:12" x14ac:dyDescent="0.35">
      <c r="A241" t="s">
        <v>354</v>
      </c>
      <c r="B241" s="1">
        <v>45722</v>
      </c>
      <c r="C241" t="s">
        <v>6922</v>
      </c>
      <c r="D241" t="s">
        <v>585</v>
      </c>
      <c r="E241" t="s">
        <v>586</v>
      </c>
      <c r="F241" t="s">
        <v>6804</v>
      </c>
      <c r="G241" t="s">
        <v>6919</v>
      </c>
      <c r="H241" t="s">
        <v>587</v>
      </c>
      <c r="I241" s="1">
        <v>45808</v>
      </c>
      <c r="K241">
        <v>133785</v>
      </c>
      <c r="L241" t="s">
        <v>6803</v>
      </c>
    </row>
    <row r="242" spans="1:12" x14ac:dyDescent="0.35">
      <c r="A242" t="s">
        <v>354</v>
      </c>
      <c r="B242" s="1">
        <v>45722</v>
      </c>
      <c r="C242" t="s">
        <v>6922</v>
      </c>
      <c r="D242" t="s">
        <v>585</v>
      </c>
      <c r="E242" t="s">
        <v>586</v>
      </c>
      <c r="F242" t="s">
        <v>6806</v>
      </c>
      <c r="H242" t="s">
        <v>587</v>
      </c>
      <c r="J242">
        <v>20408</v>
      </c>
      <c r="L242" t="s">
        <v>6803</v>
      </c>
    </row>
    <row r="243" spans="1:12" x14ac:dyDescent="0.35">
      <c r="A243" t="s">
        <v>354</v>
      </c>
      <c r="B243" s="1">
        <v>45722</v>
      </c>
      <c r="C243" t="s">
        <v>6923</v>
      </c>
      <c r="D243" t="s">
        <v>588</v>
      </c>
      <c r="E243" t="s">
        <v>589</v>
      </c>
      <c r="F243" t="s">
        <v>6811</v>
      </c>
      <c r="H243" t="s">
        <v>590</v>
      </c>
      <c r="J243">
        <v>9168</v>
      </c>
      <c r="L243" t="s">
        <v>6803</v>
      </c>
    </row>
    <row r="244" spans="1:12" x14ac:dyDescent="0.35">
      <c r="A244" t="s">
        <v>354</v>
      </c>
      <c r="B244" s="1">
        <v>45722</v>
      </c>
      <c r="C244" t="s">
        <v>6923</v>
      </c>
      <c r="D244" t="s">
        <v>588</v>
      </c>
      <c r="E244" t="s">
        <v>589</v>
      </c>
      <c r="F244" t="s">
        <v>6802</v>
      </c>
      <c r="H244" t="s">
        <v>590</v>
      </c>
      <c r="J244">
        <v>219454</v>
      </c>
      <c r="L244" t="s">
        <v>6803</v>
      </c>
    </row>
    <row r="245" spans="1:12" x14ac:dyDescent="0.35">
      <c r="A245" t="s">
        <v>354</v>
      </c>
      <c r="B245" s="1">
        <v>45722</v>
      </c>
      <c r="C245" t="s">
        <v>6923</v>
      </c>
      <c r="D245" t="s">
        <v>588</v>
      </c>
      <c r="E245" t="s">
        <v>589</v>
      </c>
      <c r="F245" t="s">
        <v>6804</v>
      </c>
      <c r="G245" t="s">
        <v>6919</v>
      </c>
      <c r="H245" t="s">
        <v>590</v>
      </c>
      <c r="I245" s="1">
        <v>45808</v>
      </c>
      <c r="K245">
        <v>269774</v>
      </c>
      <c r="L245" t="s">
        <v>6803</v>
      </c>
    </row>
    <row r="246" spans="1:12" x14ac:dyDescent="0.35">
      <c r="A246" t="s">
        <v>354</v>
      </c>
      <c r="B246" s="1">
        <v>45722</v>
      </c>
      <c r="C246" t="s">
        <v>6923</v>
      </c>
      <c r="D246" t="s">
        <v>588</v>
      </c>
      <c r="E246" t="s">
        <v>589</v>
      </c>
      <c r="F246" t="s">
        <v>6806</v>
      </c>
      <c r="H246" t="s">
        <v>590</v>
      </c>
      <c r="J246">
        <v>41152</v>
      </c>
      <c r="L246" t="s">
        <v>6803</v>
      </c>
    </row>
    <row r="247" spans="1:12" x14ac:dyDescent="0.35">
      <c r="A247" t="s">
        <v>354</v>
      </c>
      <c r="B247" s="1">
        <v>45722</v>
      </c>
      <c r="C247" t="s">
        <v>6924</v>
      </c>
      <c r="D247" t="s">
        <v>591</v>
      </c>
      <c r="E247" t="s">
        <v>592</v>
      </c>
      <c r="F247" t="s">
        <v>6802</v>
      </c>
      <c r="H247" t="s">
        <v>593</v>
      </c>
      <c r="J247">
        <v>37536</v>
      </c>
      <c r="L247" t="s">
        <v>6803</v>
      </c>
    </row>
    <row r="248" spans="1:12" x14ac:dyDescent="0.35">
      <c r="A248" t="s">
        <v>354</v>
      </c>
      <c r="B248" s="1">
        <v>45722</v>
      </c>
      <c r="C248" t="s">
        <v>6924</v>
      </c>
      <c r="D248" t="s">
        <v>591</v>
      </c>
      <c r="E248" t="s">
        <v>592</v>
      </c>
      <c r="F248" t="s">
        <v>6804</v>
      </c>
      <c r="G248" t="s">
        <v>6919</v>
      </c>
      <c r="H248" t="s">
        <v>593</v>
      </c>
      <c r="I248" s="1">
        <v>45808</v>
      </c>
      <c r="K248">
        <v>44292</v>
      </c>
      <c r="L248" t="s">
        <v>6803</v>
      </c>
    </row>
    <row r="249" spans="1:12" x14ac:dyDescent="0.35">
      <c r="A249" t="s">
        <v>354</v>
      </c>
      <c r="B249" s="1">
        <v>45722</v>
      </c>
      <c r="C249" t="s">
        <v>6924</v>
      </c>
      <c r="D249" t="s">
        <v>591</v>
      </c>
      <c r="E249" t="s">
        <v>592</v>
      </c>
      <c r="F249" t="s">
        <v>6806</v>
      </c>
      <c r="H249" t="s">
        <v>593</v>
      </c>
      <c r="J249">
        <v>6756</v>
      </c>
      <c r="L249" t="s">
        <v>6803</v>
      </c>
    </row>
    <row r="250" spans="1:12" x14ac:dyDescent="0.35">
      <c r="A250" t="s">
        <v>354</v>
      </c>
      <c r="B250" s="1">
        <v>45722</v>
      </c>
      <c r="C250" t="s">
        <v>6925</v>
      </c>
      <c r="D250" t="s">
        <v>594</v>
      </c>
      <c r="E250" t="s">
        <v>595</v>
      </c>
      <c r="F250" t="s">
        <v>6811</v>
      </c>
      <c r="H250" t="s">
        <v>596</v>
      </c>
      <c r="J250">
        <v>9168</v>
      </c>
      <c r="L250" t="s">
        <v>6803</v>
      </c>
    </row>
    <row r="251" spans="1:12" x14ac:dyDescent="0.35">
      <c r="A251" t="s">
        <v>354</v>
      </c>
      <c r="B251" s="1">
        <v>45722</v>
      </c>
      <c r="C251" t="s">
        <v>6925</v>
      </c>
      <c r="D251" t="s">
        <v>594</v>
      </c>
      <c r="E251" t="s">
        <v>595</v>
      </c>
      <c r="F251" t="s">
        <v>6802</v>
      </c>
      <c r="H251" t="s">
        <v>596</v>
      </c>
      <c r="J251">
        <v>545070</v>
      </c>
      <c r="L251" t="s">
        <v>6803</v>
      </c>
    </row>
    <row r="252" spans="1:12" x14ac:dyDescent="0.35">
      <c r="A252" t="s">
        <v>354</v>
      </c>
      <c r="B252" s="1">
        <v>45722</v>
      </c>
      <c r="C252" t="s">
        <v>6925</v>
      </c>
      <c r="D252" t="s">
        <v>594</v>
      </c>
      <c r="E252" t="s">
        <v>595</v>
      </c>
      <c r="F252" t="s">
        <v>6804</v>
      </c>
      <c r="G252" t="s">
        <v>6919</v>
      </c>
      <c r="H252" t="s">
        <v>596</v>
      </c>
      <c r="I252" s="1">
        <v>45808</v>
      </c>
      <c r="K252">
        <v>654001</v>
      </c>
      <c r="L252" t="s">
        <v>6803</v>
      </c>
    </row>
    <row r="253" spans="1:12" x14ac:dyDescent="0.35">
      <c r="A253" t="s">
        <v>354</v>
      </c>
      <c r="B253" s="1">
        <v>45722</v>
      </c>
      <c r="C253" t="s">
        <v>6925</v>
      </c>
      <c r="D253" t="s">
        <v>594</v>
      </c>
      <c r="E253" t="s">
        <v>595</v>
      </c>
      <c r="F253" t="s">
        <v>6806</v>
      </c>
      <c r="H253" t="s">
        <v>596</v>
      </c>
      <c r="J253">
        <v>99763</v>
      </c>
      <c r="L253" t="s">
        <v>6803</v>
      </c>
    </row>
    <row r="254" spans="1:12" x14ac:dyDescent="0.35">
      <c r="A254" t="s">
        <v>354</v>
      </c>
      <c r="B254" s="1">
        <v>45722</v>
      </c>
      <c r="C254" t="s">
        <v>6926</v>
      </c>
      <c r="D254" t="s">
        <v>597</v>
      </c>
      <c r="E254" t="s">
        <v>598</v>
      </c>
      <c r="F254" t="s">
        <v>6802</v>
      </c>
      <c r="H254" t="s">
        <v>599</v>
      </c>
      <c r="J254">
        <v>125851</v>
      </c>
      <c r="L254" t="s">
        <v>6803</v>
      </c>
    </row>
    <row r="255" spans="1:12" x14ac:dyDescent="0.35">
      <c r="A255" t="s">
        <v>354</v>
      </c>
      <c r="B255" s="1">
        <v>45722</v>
      </c>
      <c r="C255" t="s">
        <v>6926</v>
      </c>
      <c r="D255" t="s">
        <v>597</v>
      </c>
      <c r="E255" t="s">
        <v>598</v>
      </c>
      <c r="F255" t="s">
        <v>6804</v>
      </c>
      <c r="G255" t="s">
        <v>6919</v>
      </c>
      <c r="H255" t="s">
        <v>599</v>
      </c>
      <c r="I255" s="1">
        <v>45808</v>
      </c>
      <c r="K255">
        <v>148504</v>
      </c>
      <c r="L255" t="s">
        <v>6803</v>
      </c>
    </row>
    <row r="256" spans="1:12" x14ac:dyDescent="0.35">
      <c r="A256" t="s">
        <v>354</v>
      </c>
      <c r="B256" s="1">
        <v>45722</v>
      </c>
      <c r="C256" t="s">
        <v>6926</v>
      </c>
      <c r="D256" t="s">
        <v>597</v>
      </c>
      <c r="E256" t="s">
        <v>598</v>
      </c>
      <c r="F256" t="s">
        <v>6806</v>
      </c>
      <c r="H256" t="s">
        <v>599</v>
      </c>
      <c r="J256">
        <v>22653</v>
      </c>
      <c r="L256" t="s">
        <v>6803</v>
      </c>
    </row>
    <row r="257" spans="1:12" x14ac:dyDescent="0.35">
      <c r="A257" t="s">
        <v>354</v>
      </c>
      <c r="B257" s="1">
        <v>45722</v>
      </c>
      <c r="C257" t="s">
        <v>6927</v>
      </c>
      <c r="D257" t="s">
        <v>600</v>
      </c>
      <c r="E257" t="s">
        <v>601</v>
      </c>
      <c r="F257" t="s">
        <v>6802</v>
      </c>
      <c r="H257" t="s">
        <v>602</v>
      </c>
      <c r="J257">
        <v>531856</v>
      </c>
      <c r="L257" t="s">
        <v>6803</v>
      </c>
    </row>
    <row r="258" spans="1:12" x14ac:dyDescent="0.35">
      <c r="A258" t="s">
        <v>354</v>
      </c>
      <c r="B258" s="1">
        <v>45722</v>
      </c>
      <c r="C258" t="s">
        <v>6927</v>
      </c>
      <c r="D258" t="s">
        <v>600</v>
      </c>
      <c r="E258" t="s">
        <v>601</v>
      </c>
      <c r="F258" t="s">
        <v>6804</v>
      </c>
      <c r="G258" t="s">
        <v>6919</v>
      </c>
      <c r="H258" t="s">
        <v>602</v>
      </c>
      <c r="I258" s="1">
        <v>45808</v>
      </c>
      <c r="K258">
        <v>627590</v>
      </c>
      <c r="L258" t="s">
        <v>6803</v>
      </c>
    </row>
    <row r="259" spans="1:12" x14ac:dyDescent="0.35">
      <c r="A259" t="s">
        <v>354</v>
      </c>
      <c r="B259" s="1">
        <v>45722</v>
      </c>
      <c r="C259" t="s">
        <v>6927</v>
      </c>
      <c r="D259" t="s">
        <v>600</v>
      </c>
      <c r="E259" t="s">
        <v>601</v>
      </c>
      <c r="F259" t="s">
        <v>6806</v>
      </c>
      <c r="H259" t="s">
        <v>602</v>
      </c>
      <c r="J259">
        <v>95734</v>
      </c>
      <c r="L259" t="s">
        <v>6803</v>
      </c>
    </row>
    <row r="260" spans="1:12" x14ac:dyDescent="0.35">
      <c r="A260" t="s">
        <v>354</v>
      </c>
      <c r="B260" s="1">
        <v>45722</v>
      </c>
      <c r="C260" t="s">
        <v>6928</v>
      </c>
      <c r="D260" t="s">
        <v>603</v>
      </c>
      <c r="E260" t="s">
        <v>604</v>
      </c>
      <c r="F260" t="s">
        <v>6802</v>
      </c>
      <c r="H260" t="s">
        <v>605</v>
      </c>
      <c r="J260">
        <v>20739</v>
      </c>
      <c r="L260" t="s">
        <v>6803</v>
      </c>
    </row>
    <row r="261" spans="1:12" x14ac:dyDescent="0.35">
      <c r="A261" t="s">
        <v>354</v>
      </c>
      <c r="B261" s="1">
        <v>45722</v>
      </c>
      <c r="C261" t="s">
        <v>6928</v>
      </c>
      <c r="D261" t="s">
        <v>603</v>
      </c>
      <c r="E261" t="s">
        <v>604</v>
      </c>
      <c r="F261" t="s">
        <v>6804</v>
      </c>
      <c r="G261" t="s">
        <v>6919</v>
      </c>
      <c r="H261" t="s">
        <v>605</v>
      </c>
      <c r="I261" s="1">
        <v>45808</v>
      </c>
      <c r="K261">
        <v>24472</v>
      </c>
      <c r="L261" t="s">
        <v>6803</v>
      </c>
    </row>
    <row r="262" spans="1:12" x14ac:dyDescent="0.35">
      <c r="A262" t="s">
        <v>354</v>
      </c>
      <c r="B262" s="1">
        <v>45722</v>
      </c>
      <c r="C262" t="s">
        <v>6928</v>
      </c>
      <c r="D262" t="s">
        <v>603</v>
      </c>
      <c r="E262" t="s">
        <v>604</v>
      </c>
      <c r="F262" t="s">
        <v>6806</v>
      </c>
      <c r="H262" t="s">
        <v>605</v>
      </c>
      <c r="J262">
        <v>3733</v>
      </c>
      <c r="L262" t="s">
        <v>6803</v>
      </c>
    </row>
    <row r="263" spans="1:12" x14ac:dyDescent="0.35">
      <c r="A263" t="s">
        <v>354</v>
      </c>
      <c r="B263" s="1">
        <v>45722</v>
      </c>
      <c r="C263" t="s">
        <v>6929</v>
      </c>
      <c r="D263" t="s">
        <v>606</v>
      </c>
      <c r="E263" t="s">
        <v>607</v>
      </c>
      <c r="F263" t="s">
        <v>6811</v>
      </c>
      <c r="H263" t="s">
        <v>608</v>
      </c>
      <c r="J263">
        <v>144908</v>
      </c>
      <c r="L263" t="s">
        <v>6803</v>
      </c>
    </row>
    <row r="264" spans="1:12" x14ac:dyDescent="0.35">
      <c r="A264" t="s">
        <v>354</v>
      </c>
      <c r="B264" s="1">
        <v>45722</v>
      </c>
      <c r="C264" t="s">
        <v>6929</v>
      </c>
      <c r="D264" t="s">
        <v>606</v>
      </c>
      <c r="E264" t="s">
        <v>607</v>
      </c>
      <c r="F264" t="s">
        <v>6802</v>
      </c>
      <c r="H264" t="s">
        <v>608</v>
      </c>
      <c r="J264">
        <v>36052</v>
      </c>
      <c r="L264" t="s">
        <v>6803</v>
      </c>
    </row>
    <row r="265" spans="1:12" x14ac:dyDescent="0.35">
      <c r="A265" t="s">
        <v>354</v>
      </c>
      <c r="B265" s="1">
        <v>45722</v>
      </c>
      <c r="C265" t="s">
        <v>6929</v>
      </c>
      <c r="D265" t="s">
        <v>606</v>
      </c>
      <c r="E265" t="s">
        <v>607</v>
      </c>
      <c r="F265" t="s">
        <v>6804</v>
      </c>
      <c r="G265" t="s">
        <v>6919</v>
      </c>
      <c r="H265" t="s">
        <v>608</v>
      </c>
      <c r="I265" s="1">
        <v>45808</v>
      </c>
      <c r="K265">
        <v>213533</v>
      </c>
      <c r="L265" t="s">
        <v>6803</v>
      </c>
    </row>
    <row r="266" spans="1:12" x14ac:dyDescent="0.35">
      <c r="A266" t="s">
        <v>354</v>
      </c>
      <c r="B266" s="1">
        <v>45722</v>
      </c>
      <c r="C266" t="s">
        <v>6929</v>
      </c>
      <c r="D266" t="s">
        <v>606</v>
      </c>
      <c r="E266" t="s">
        <v>607</v>
      </c>
      <c r="F266" t="s">
        <v>6806</v>
      </c>
      <c r="H266" t="s">
        <v>608</v>
      </c>
      <c r="J266">
        <v>32573</v>
      </c>
      <c r="L266" t="s">
        <v>6803</v>
      </c>
    </row>
    <row r="267" spans="1:12" x14ac:dyDescent="0.35">
      <c r="A267" t="s">
        <v>354</v>
      </c>
      <c r="B267" s="1">
        <v>45722</v>
      </c>
      <c r="C267" t="s">
        <v>6930</v>
      </c>
      <c r="D267" t="s">
        <v>609</v>
      </c>
      <c r="E267" t="s">
        <v>610</v>
      </c>
      <c r="F267" t="s">
        <v>6802</v>
      </c>
      <c r="H267" t="s">
        <v>611</v>
      </c>
      <c r="J267">
        <v>14421</v>
      </c>
      <c r="L267" t="s">
        <v>6803</v>
      </c>
    </row>
    <row r="268" spans="1:12" x14ac:dyDescent="0.35">
      <c r="A268" t="s">
        <v>354</v>
      </c>
      <c r="B268" s="1">
        <v>45722</v>
      </c>
      <c r="C268" t="s">
        <v>6930</v>
      </c>
      <c r="D268" t="s">
        <v>609</v>
      </c>
      <c r="E268" t="s">
        <v>610</v>
      </c>
      <c r="F268" t="s">
        <v>6804</v>
      </c>
      <c r="G268" t="s">
        <v>6919</v>
      </c>
      <c r="H268" t="s">
        <v>611</v>
      </c>
      <c r="I268" s="1">
        <v>45808</v>
      </c>
      <c r="K268">
        <v>17017</v>
      </c>
      <c r="L268" t="s">
        <v>6803</v>
      </c>
    </row>
    <row r="269" spans="1:12" x14ac:dyDescent="0.35">
      <c r="A269" t="s">
        <v>354</v>
      </c>
      <c r="B269" s="1">
        <v>45722</v>
      </c>
      <c r="C269" t="s">
        <v>6930</v>
      </c>
      <c r="D269" t="s">
        <v>609</v>
      </c>
      <c r="E269" t="s">
        <v>610</v>
      </c>
      <c r="F269" t="s">
        <v>6806</v>
      </c>
      <c r="H269" t="s">
        <v>611</v>
      </c>
      <c r="J269">
        <v>2596</v>
      </c>
      <c r="L269" t="s">
        <v>6803</v>
      </c>
    </row>
    <row r="270" spans="1:12" x14ac:dyDescent="0.35">
      <c r="A270" t="s">
        <v>354</v>
      </c>
      <c r="B270" s="1">
        <v>45722</v>
      </c>
      <c r="C270" t="s">
        <v>6931</v>
      </c>
      <c r="D270" t="s">
        <v>612</v>
      </c>
      <c r="E270" t="s">
        <v>613</v>
      </c>
      <c r="F270" t="s">
        <v>6811</v>
      </c>
      <c r="H270" t="s">
        <v>614</v>
      </c>
      <c r="J270">
        <v>54080</v>
      </c>
      <c r="L270" t="s">
        <v>6803</v>
      </c>
    </row>
    <row r="271" spans="1:12" x14ac:dyDescent="0.35">
      <c r="A271" t="s">
        <v>354</v>
      </c>
      <c r="B271" s="1">
        <v>45722</v>
      </c>
      <c r="C271" t="s">
        <v>6931</v>
      </c>
      <c r="D271" t="s">
        <v>612</v>
      </c>
      <c r="E271" t="s">
        <v>613</v>
      </c>
      <c r="F271" t="s">
        <v>6804</v>
      </c>
      <c r="G271" t="s">
        <v>6919</v>
      </c>
      <c r="H271" t="s">
        <v>614</v>
      </c>
      <c r="I271" s="1">
        <v>45808</v>
      </c>
      <c r="K271">
        <v>63814</v>
      </c>
      <c r="L271" t="s">
        <v>6803</v>
      </c>
    </row>
    <row r="272" spans="1:12" x14ac:dyDescent="0.35">
      <c r="A272" t="s">
        <v>354</v>
      </c>
      <c r="B272" s="1">
        <v>45722</v>
      </c>
      <c r="C272" t="s">
        <v>6931</v>
      </c>
      <c r="D272" t="s">
        <v>612</v>
      </c>
      <c r="E272" t="s">
        <v>613</v>
      </c>
      <c r="F272" t="s">
        <v>6806</v>
      </c>
      <c r="H272" t="s">
        <v>614</v>
      </c>
      <c r="J272">
        <v>9734</v>
      </c>
      <c r="L272" t="s">
        <v>6803</v>
      </c>
    </row>
    <row r="273" spans="1:12" x14ac:dyDescent="0.35">
      <c r="A273" t="s">
        <v>354</v>
      </c>
      <c r="B273" s="1">
        <v>45722</v>
      </c>
      <c r="C273" t="s">
        <v>6932</v>
      </c>
      <c r="D273" t="s">
        <v>615</v>
      </c>
      <c r="E273" t="s">
        <v>6933</v>
      </c>
      <c r="F273" t="s">
        <v>6802</v>
      </c>
      <c r="H273" t="s">
        <v>616</v>
      </c>
      <c r="J273">
        <v>1105000</v>
      </c>
      <c r="L273" t="s">
        <v>6803</v>
      </c>
    </row>
    <row r="274" spans="1:12" x14ac:dyDescent="0.35">
      <c r="A274" t="s">
        <v>354</v>
      </c>
      <c r="B274" s="1">
        <v>45722</v>
      </c>
      <c r="C274" t="s">
        <v>6932</v>
      </c>
      <c r="D274" t="s">
        <v>615</v>
      </c>
      <c r="E274" t="s">
        <v>6933</v>
      </c>
      <c r="F274" t="s">
        <v>6804</v>
      </c>
      <c r="G274" t="s">
        <v>6934</v>
      </c>
      <c r="H274" t="s">
        <v>616</v>
      </c>
      <c r="I274" s="1">
        <v>45782</v>
      </c>
      <c r="K274">
        <v>1105000</v>
      </c>
      <c r="L274" t="s">
        <v>6803</v>
      </c>
    </row>
    <row r="275" spans="1:12" x14ac:dyDescent="0.35">
      <c r="A275" t="s">
        <v>354</v>
      </c>
      <c r="B275" s="1">
        <v>45722</v>
      </c>
      <c r="C275" t="s">
        <v>6935</v>
      </c>
      <c r="D275" t="s">
        <v>617</v>
      </c>
      <c r="E275" t="s">
        <v>6936</v>
      </c>
      <c r="F275" t="s">
        <v>6802</v>
      </c>
      <c r="H275" t="s">
        <v>618</v>
      </c>
      <c r="J275">
        <v>495000</v>
      </c>
      <c r="L275" t="s">
        <v>6803</v>
      </c>
    </row>
    <row r="276" spans="1:12" x14ac:dyDescent="0.35">
      <c r="A276" t="s">
        <v>354</v>
      </c>
      <c r="B276" s="1">
        <v>45722</v>
      </c>
      <c r="C276" t="s">
        <v>6935</v>
      </c>
      <c r="D276" t="s">
        <v>617</v>
      </c>
      <c r="E276" t="s">
        <v>6936</v>
      </c>
      <c r="F276" t="s">
        <v>6804</v>
      </c>
      <c r="G276" t="s">
        <v>6934</v>
      </c>
      <c r="H276" t="s">
        <v>618</v>
      </c>
      <c r="I276" s="1">
        <v>45782</v>
      </c>
      <c r="K276">
        <v>495000</v>
      </c>
      <c r="L276" t="s">
        <v>6803</v>
      </c>
    </row>
    <row r="277" spans="1:12" x14ac:dyDescent="0.35">
      <c r="A277" t="s">
        <v>354</v>
      </c>
      <c r="B277" s="1">
        <v>45722</v>
      </c>
      <c r="C277" t="s">
        <v>6937</v>
      </c>
      <c r="D277" t="s">
        <v>619</v>
      </c>
      <c r="E277" t="s">
        <v>6938</v>
      </c>
      <c r="F277" t="s">
        <v>6802</v>
      </c>
      <c r="H277" t="s">
        <v>620</v>
      </c>
      <c r="J277">
        <v>330300</v>
      </c>
      <c r="L277" t="s">
        <v>6803</v>
      </c>
    </row>
    <row r="278" spans="1:12" x14ac:dyDescent="0.35">
      <c r="A278" t="s">
        <v>354</v>
      </c>
      <c r="B278" s="1">
        <v>45722</v>
      </c>
      <c r="C278" t="s">
        <v>6937</v>
      </c>
      <c r="D278" t="s">
        <v>619</v>
      </c>
      <c r="E278" t="s">
        <v>6938</v>
      </c>
      <c r="F278" t="s">
        <v>6804</v>
      </c>
      <c r="G278" t="s">
        <v>6934</v>
      </c>
      <c r="H278" t="s">
        <v>620</v>
      </c>
      <c r="I278" s="1">
        <v>45782</v>
      </c>
      <c r="K278">
        <v>330300</v>
      </c>
      <c r="L278" t="s">
        <v>6803</v>
      </c>
    </row>
    <row r="279" spans="1:12" x14ac:dyDescent="0.35">
      <c r="A279" t="s">
        <v>354</v>
      </c>
      <c r="B279" s="1">
        <v>45722</v>
      </c>
      <c r="C279" t="s">
        <v>6939</v>
      </c>
      <c r="D279" t="s">
        <v>621</v>
      </c>
      <c r="E279" t="s">
        <v>6940</v>
      </c>
      <c r="F279" t="s">
        <v>6802</v>
      </c>
      <c r="H279" t="s">
        <v>622</v>
      </c>
      <c r="J279">
        <v>180000</v>
      </c>
      <c r="L279" t="s">
        <v>6803</v>
      </c>
    </row>
    <row r="280" spans="1:12" x14ac:dyDescent="0.35">
      <c r="A280" t="s">
        <v>354</v>
      </c>
      <c r="B280" s="1">
        <v>45722</v>
      </c>
      <c r="C280" t="s">
        <v>6939</v>
      </c>
      <c r="D280" t="s">
        <v>621</v>
      </c>
      <c r="E280" t="s">
        <v>6940</v>
      </c>
      <c r="F280" t="s">
        <v>6804</v>
      </c>
      <c r="G280" t="s">
        <v>6934</v>
      </c>
      <c r="H280" t="s">
        <v>622</v>
      </c>
      <c r="I280" s="1">
        <v>45782</v>
      </c>
      <c r="K280">
        <v>180000</v>
      </c>
      <c r="L280" t="s">
        <v>6803</v>
      </c>
    </row>
    <row r="281" spans="1:12" x14ac:dyDescent="0.35">
      <c r="A281" t="s">
        <v>354</v>
      </c>
      <c r="B281" s="1">
        <v>45722</v>
      </c>
      <c r="C281" t="s">
        <v>6941</v>
      </c>
      <c r="D281" t="s">
        <v>623</v>
      </c>
      <c r="E281" t="s">
        <v>6942</v>
      </c>
      <c r="F281" t="s">
        <v>6802</v>
      </c>
      <c r="H281" t="s">
        <v>624</v>
      </c>
      <c r="J281">
        <v>330000</v>
      </c>
      <c r="L281" t="s">
        <v>6803</v>
      </c>
    </row>
    <row r="282" spans="1:12" x14ac:dyDescent="0.35">
      <c r="A282" t="s">
        <v>354</v>
      </c>
      <c r="B282" s="1">
        <v>45722</v>
      </c>
      <c r="C282" t="s">
        <v>6941</v>
      </c>
      <c r="D282" t="s">
        <v>623</v>
      </c>
      <c r="E282" t="s">
        <v>6942</v>
      </c>
      <c r="F282" t="s">
        <v>6804</v>
      </c>
      <c r="G282" t="s">
        <v>6934</v>
      </c>
      <c r="H282" t="s">
        <v>624</v>
      </c>
      <c r="I282" s="1">
        <v>45782</v>
      </c>
      <c r="K282">
        <v>330000</v>
      </c>
      <c r="L282" t="s">
        <v>6803</v>
      </c>
    </row>
    <row r="283" spans="1:12" x14ac:dyDescent="0.35">
      <c r="A283" t="s">
        <v>354</v>
      </c>
      <c r="B283" s="1">
        <v>45722</v>
      </c>
      <c r="C283" t="s">
        <v>6943</v>
      </c>
      <c r="D283" t="s">
        <v>625</v>
      </c>
      <c r="E283" t="s">
        <v>6944</v>
      </c>
      <c r="F283" t="s">
        <v>6802</v>
      </c>
      <c r="H283" t="s">
        <v>626</v>
      </c>
      <c r="J283">
        <v>1600000</v>
      </c>
      <c r="L283" t="s">
        <v>6803</v>
      </c>
    </row>
    <row r="284" spans="1:12" x14ac:dyDescent="0.35">
      <c r="A284" t="s">
        <v>354</v>
      </c>
      <c r="B284" s="1">
        <v>45722</v>
      </c>
      <c r="C284" t="s">
        <v>6943</v>
      </c>
      <c r="D284" t="s">
        <v>625</v>
      </c>
      <c r="E284" t="s">
        <v>6944</v>
      </c>
      <c r="F284" t="s">
        <v>6804</v>
      </c>
      <c r="G284" t="s">
        <v>6934</v>
      </c>
      <c r="H284" t="s">
        <v>626</v>
      </c>
      <c r="I284" s="1">
        <v>45782</v>
      </c>
      <c r="K284">
        <v>1600000</v>
      </c>
      <c r="L284" t="s">
        <v>6803</v>
      </c>
    </row>
    <row r="285" spans="1:12" x14ac:dyDescent="0.35">
      <c r="A285" t="s">
        <v>354</v>
      </c>
      <c r="B285" s="1">
        <v>45722</v>
      </c>
      <c r="C285" t="s">
        <v>6945</v>
      </c>
      <c r="D285" t="s">
        <v>627</v>
      </c>
      <c r="E285" t="s">
        <v>6946</v>
      </c>
      <c r="F285" t="s">
        <v>6802</v>
      </c>
      <c r="H285" t="s">
        <v>628</v>
      </c>
      <c r="J285">
        <v>160300</v>
      </c>
      <c r="L285" t="s">
        <v>6803</v>
      </c>
    </row>
    <row r="286" spans="1:12" x14ac:dyDescent="0.35">
      <c r="A286" t="s">
        <v>354</v>
      </c>
      <c r="B286" s="1">
        <v>45722</v>
      </c>
      <c r="C286" t="s">
        <v>6945</v>
      </c>
      <c r="D286" t="s">
        <v>627</v>
      </c>
      <c r="E286" t="s">
        <v>6946</v>
      </c>
      <c r="F286" t="s">
        <v>6804</v>
      </c>
      <c r="G286" t="s">
        <v>6934</v>
      </c>
      <c r="H286" t="s">
        <v>628</v>
      </c>
      <c r="I286" s="1">
        <v>45782</v>
      </c>
      <c r="K286">
        <v>160300</v>
      </c>
      <c r="L286" t="s">
        <v>6803</v>
      </c>
    </row>
    <row r="287" spans="1:12" x14ac:dyDescent="0.35">
      <c r="A287" t="s">
        <v>354</v>
      </c>
      <c r="B287" s="1">
        <v>45722</v>
      </c>
      <c r="C287" t="s">
        <v>6947</v>
      </c>
      <c r="D287" t="s">
        <v>629</v>
      </c>
      <c r="E287" t="s">
        <v>6948</v>
      </c>
      <c r="F287" t="s">
        <v>6802</v>
      </c>
      <c r="H287" t="s">
        <v>630</v>
      </c>
      <c r="J287">
        <v>2200000</v>
      </c>
      <c r="L287" t="s">
        <v>6803</v>
      </c>
    </row>
    <row r="288" spans="1:12" x14ac:dyDescent="0.35">
      <c r="A288" t="s">
        <v>354</v>
      </c>
      <c r="B288" s="1">
        <v>45722</v>
      </c>
      <c r="C288" t="s">
        <v>6947</v>
      </c>
      <c r="D288" t="s">
        <v>629</v>
      </c>
      <c r="E288" t="s">
        <v>6948</v>
      </c>
      <c r="F288" t="s">
        <v>6804</v>
      </c>
      <c r="G288" t="s">
        <v>6934</v>
      </c>
      <c r="H288" t="s">
        <v>630</v>
      </c>
      <c r="I288" s="1">
        <v>45782</v>
      </c>
      <c r="K288">
        <v>2200000</v>
      </c>
      <c r="L288" t="s">
        <v>6803</v>
      </c>
    </row>
    <row r="289" spans="1:12" x14ac:dyDescent="0.35">
      <c r="A289" t="s">
        <v>354</v>
      </c>
      <c r="B289" s="1">
        <v>45722</v>
      </c>
      <c r="C289" t="s">
        <v>6949</v>
      </c>
      <c r="D289" t="s">
        <v>631</v>
      </c>
      <c r="E289" t="s">
        <v>6950</v>
      </c>
      <c r="F289" t="s">
        <v>6802</v>
      </c>
      <c r="H289" t="s">
        <v>632</v>
      </c>
      <c r="J289">
        <v>435000</v>
      </c>
      <c r="L289" t="s">
        <v>6803</v>
      </c>
    </row>
    <row r="290" spans="1:12" x14ac:dyDescent="0.35">
      <c r="A290" t="s">
        <v>354</v>
      </c>
      <c r="B290" s="1">
        <v>45722</v>
      </c>
      <c r="C290" t="s">
        <v>6949</v>
      </c>
      <c r="D290" t="s">
        <v>631</v>
      </c>
      <c r="E290" t="s">
        <v>6950</v>
      </c>
      <c r="F290" t="s">
        <v>6804</v>
      </c>
      <c r="G290" t="s">
        <v>6934</v>
      </c>
      <c r="H290" t="s">
        <v>632</v>
      </c>
      <c r="I290" s="1">
        <v>45782</v>
      </c>
      <c r="K290">
        <v>435000</v>
      </c>
      <c r="L290" t="s">
        <v>6803</v>
      </c>
    </row>
    <row r="291" spans="1:12" x14ac:dyDescent="0.35">
      <c r="A291" t="s">
        <v>354</v>
      </c>
      <c r="B291" s="1">
        <v>45722</v>
      </c>
      <c r="C291" t="s">
        <v>6951</v>
      </c>
      <c r="D291" t="s">
        <v>633</v>
      </c>
      <c r="E291" t="s">
        <v>6952</v>
      </c>
      <c r="F291" t="s">
        <v>6802</v>
      </c>
      <c r="H291" t="s">
        <v>634</v>
      </c>
      <c r="J291">
        <v>195300</v>
      </c>
      <c r="L291" t="s">
        <v>6803</v>
      </c>
    </row>
    <row r="292" spans="1:12" x14ac:dyDescent="0.35">
      <c r="A292" t="s">
        <v>354</v>
      </c>
      <c r="B292" s="1">
        <v>45722</v>
      </c>
      <c r="C292" t="s">
        <v>6951</v>
      </c>
      <c r="D292" t="s">
        <v>633</v>
      </c>
      <c r="E292" t="s">
        <v>6952</v>
      </c>
      <c r="F292" t="s">
        <v>6804</v>
      </c>
      <c r="G292" t="s">
        <v>6934</v>
      </c>
      <c r="H292" t="s">
        <v>634</v>
      </c>
      <c r="I292" s="1">
        <v>45782</v>
      </c>
      <c r="K292">
        <v>195300</v>
      </c>
      <c r="L292" t="s">
        <v>6803</v>
      </c>
    </row>
    <row r="293" spans="1:12" x14ac:dyDescent="0.35">
      <c r="A293" t="s">
        <v>354</v>
      </c>
      <c r="B293" s="1">
        <v>45722</v>
      </c>
      <c r="C293" t="s">
        <v>6953</v>
      </c>
      <c r="D293" t="s">
        <v>635</v>
      </c>
      <c r="E293" t="s">
        <v>6954</v>
      </c>
      <c r="F293" t="s">
        <v>6802</v>
      </c>
      <c r="H293" t="s">
        <v>636</v>
      </c>
      <c r="J293">
        <v>300300</v>
      </c>
      <c r="L293" t="s">
        <v>6803</v>
      </c>
    </row>
    <row r="294" spans="1:12" x14ac:dyDescent="0.35">
      <c r="A294" t="s">
        <v>354</v>
      </c>
      <c r="B294" s="1">
        <v>45722</v>
      </c>
      <c r="C294" t="s">
        <v>6953</v>
      </c>
      <c r="D294" t="s">
        <v>635</v>
      </c>
      <c r="E294" t="s">
        <v>6954</v>
      </c>
      <c r="F294" t="s">
        <v>6804</v>
      </c>
      <c r="G294" t="s">
        <v>6934</v>
      </c>
      <c r="H294" t="s">
        <v>636</v>
      </c>
      <c r="I294" s="1">
        <v>45782</v>
      </c>
      <c r="K294">
        <v>300300</v>
      </c>
      <c r="L294" t="s">
        <v>6803</v>
      </c>
    </row>
    <row r="295" spans="1:12" x14ac:dyDescent="0.35">
      <c r="A295" t="s">
        <v>354</v>
      </c>
      <c r="B295" s="1">
        <v>45722</v>
      </c>
      <c r="C295" t="s">
        <v>6955</v>
      </c>
      <c r="D295" t="s">
        <v>637</v>
      </c>
      <c r="E295" t="s">
        <v>6956</v>
      </c>
      <c r="F295" t="s">
        <v>6802</v>
      </c>
      <c r="H295" t="s">
        <v>638</v>
      </c>
      <c r="J295">
        <v>240300</v>
      </c>
      <c r="L295" t="s">
        <v>6803</v>
      </c>
    </row>
    <row r="296" spans="1:12" x14ac:dyDescent="0.35">
      <c r="A296" t="s">
        <v>354</v>
      </c>
      <c r="B296" s="1">
        <v>45722</v>
      </c>
      <c r="C296" t="s">
        <v>6955</v>
      </c>
      <c r="D296" t="s">
        <v>637</v>
      </c>
      <c r="E296" t="s">
        <v>6956</v>
      </c>
      <c r="F296" t="s">
        <v>6804</v>
      </c>
      <c r="G296" t="s">
        <v>6934</v>
      </c>
      <c r="H296" t="s">
        <v>638</v>
      </c>
      <c r="I296" s="1">
        <v>45782</v>
      </c>
      <c r="K296">
        <v>240300</v>
      </c>
      <c r="L296" t="s">
        <v>6803</v>
      </c>
    </row>
    <row r="297" spans="1:12" x14ac:dyDescent="0.35">
      <c r="A297" t="s">
        <v>354</v>
      </c>
      <c r="B297" s="1">
        <v>45722</v>
      </c>
      <c r="C297" t="s">
        <v>6957</v>
      </c>
      <c r="D297" t="s">
        <v>639</v>
      </c>
      <c r="E297" t="s">
        <v>6958</v>
      </c>
      <c r="F297" t="s">
        <v>6802</v>
      </c>
      <c r="H297" t="s">
        <v>640</v>
      </c>
      <c r="J297">
        <v>380000</v>
      </c>
      <c r="L297" t="s">
        <v>6803</v>
      </c>
    </row>
    <row r="298" spans="1:12" x14ac:dyDescent="0.35">
      <c r="A298" t="s">
        <v>354</v>
      </c>
      <c r="B298" s="1">
        <v>45722</v>
      </c>
      <c r="C298" t="s">
        <v>6957</v>
      </c>
      <c r="D298" t="s">
        <v>639</v>
      </c>
      <c r="E298" t="s">
        <v>6958</v>
      </c>
      <c r="F298" t="s">
        <v>6804</v>
      </c>
      <c r="G298" t="s">
        <v>6934</v>
      </c>
      <c r="H298" t="s">
        <v>640</v>
      </c>
      <c r="I298" s="1">
        <v>45782</v>
      </c>
      <c r="K298">
        <v>380000</v>
      </c>
      <c r="L298" t="s">
        <v>6803</v>
      </c>
    </row>
    <row r="299" spans="1:12" x14ac:dyDescent="0.35">
      <c r="A299" t="s">
        <v>354</v>
      </c>
      <c r="B299" s="1">
        <v>45722</v>
      </c>
      <c r="C299" t="s">
        <v>6959</v>
      </c>
      <c r="D299" t="s">
        <v>641</v>
      </c>
      <c r="E299" t="s">
        <v>6960</v>
      </c>
      <c r="F299" t="s">
        <v>6802</v>
      </c>
      <c r="H299" t="s">
        <v>642</v>
      </c>
      <c r="J299">
        <v>2200000</v>
      </c>
      <c r="L299" t="s">
        <v>6803</v>
      </c>
    </row>
    <row r="300" spans="1:12" x14ac:dyDescent="0.35">
      <c r="A300" t="s">
        <v>354</v>
      </c>
      <c r="B300" s="1">
        <v>45722</v>
      </c>
      <c r="C300" t="s">
        <v>6959</v>
      </c>
      <c r="D300" t="s">
        <v>641</v>
      </c>
      <c r="E300" t="s">
        <v>6960</v>
      </c>
      <c r="F300" t="s">
        <v>6804</v>
      </c>
      <c r="G300" t="s">
        <v>6934</v>
      </c>
      <c r="H300" t="s">
        <v>642</v>
      </c>
      <c r="I300" s="1">
        <v>45782</v>
      </c>
      <c r="K300">
        <v>2200000</v>
      </c>
      <c r="L300" t="s">
        <v>6803</v>
      </c>
    </row>
    <row r="301" spans="1:12" x14ac:dyDescent="0.35">
      <c r="A301" t="s">
        <v>354</v>
      </c>
      <c r="B301" s="1">
        <v>45722</v>
      </c>
      <c r="C301" t="s">
        <v>6961</v>
      </c>
      <c r="D301" t="s">
        <v>643</v>
      </c>
      <c r="E301" t="s">
        <v>6962</v>
      </c>
      <c r="F301" t="s">
        <v>6802</v>
      </c>
      <c r="H301" t="s">
        <v>644</v>
      </c>
      <c r="J301">
        <v>380300</v>
      </c>
      <c r="L301" t="s">
        <v>6803</v>
      </c>
    </row>
    <row r="302" spans="1:12" x14ac:dyDescent="0.35">
      <c r="A302" t="s">
        <v>354</v>
      </c>
      <c r="B302" s="1">
        <v>45722</v>
      </c>
      <c r="C302" t="s">
        <v>6961</v>
      </c>
      <c r="D302" t="s">
        <v>643</v>
      </c>
      <c r="E302" t="s">
        <v>6962</v>
      </c>
      <c r="F302" t="s">
        <v>6804</v>
      </c>
      <c r="G302" t="s">
        <v>6934</v>
      </c>
      <c r="H302" t="s">
        <v>644</v>
      </c>
      <c r="I302" s="1">
        <v>45782</v>
      </c>
      <c r="K302">
        <v>380300</v>
      </c>
      <c r="L302" t="s">
        <v>6803</v>
      </c>
    </row>
    <row r="303" spans="1:12" x14ac:dyDescent="0.35">
      <c r="A303" t="s">
        <v>354</v>
      </c>
      <c r="B303" s="1">
        <v>45722</v>
      </c>
      <c r="C303" t="s">
        <v>6963</v>
      </c>
      <c r="D303" t="s">
        <v>645</v>
      </c>
      <c r="E303" t="s">
        <v>6964</v>
      </c>
      <c r="F303" t="s">
        <v>6811</v>
      </c>
      <c r="H303" t="s">
        <v>646</v>
      </c>
      <c r="J303">
        <v>1000</v>
      </c>
      <c r="L303" t="s">
        <v>6803</v>
      </c>
    </row>
    <row r="304" spans="1:12" x14ac:dyDescent="0.35">
      <c r="A304" t="s">
        <v>354</v>
      </c>
      <c r="B304" s="1">
        <v>45722</v>
      </c>
      <c r="C304" t="s">
        <v>6963</v>
      </c>
      <c r="D304" t="s">
        <v>645</v>
      </c>
      <c r="E304" t="s">
        <v>6964</v>
      </c>
      <c r="F304" t="s">
        <v>6802</v>
      </c>
      <c r="H304" t="s">
        <v>646</v>
      </c>
      <c r="J304">
        <v>105600</v>
      </c>
      <c r="L304" t="s">
        <v>6803</v>
      </c>
    </row>
    <row r="305" spans="1:12" x14ac:dyDescent="0.35">
      <c r="A305" t="s">
        <v>354</v>
      </c>
      <c r="B305" s="1">
        <v>45722</v>
      </c>
      <c r="C305" t="s">
        <v>6963</v>
      </c>
      <c r="D305" t="s">
        <v>645</v>
      </c>
      <c r="E305" t="s">
        <v>6964</v>
      </c>
      <c r="F305" t="s">
        <v>6804</v>
      </c>
      <c r="G305" t="s">
        <v>6934</v>
      </c>
      <c r="H305" t="s">
        <v>646</v>
      </c>
      <c r="I305" s="1">
        <v>45782</v>
      </c>
      <c r="K305">
        <v>106600</v>
      </c>
      <c r="L305" t="s">
        <v>6803</v>
      </c>
    </row>
    <row r="306" spans="1:12" x14ac:dyDescent="0.35">
      <c r="A306" t="s">
        <v>354</v>
      </c>
      <c r="B306" s="1">
        <v>45722</v>
      </c>
      <c r="C306" t="s">
        <v>6965</v>
      </c>
      <c r="D306" t="s">
        <v>647</v>
      </c>
      <c r="E306" t="s">
        <v>6966</v>
      </c>
      <c r="F306" t="s">
        <v>6802</v>
      </c>
      <c r="H306" t="s">
        <v>648</v>
      </c>
      <c r="J306">
        <v>190000</v>
      </c>
      <c r="L306" t="s">
        <v>6803</v>
      </c>
    </row>
    <row r="307" spans="1:12" x14ac:dyDescent="0.35">
      <c r="A307" t="s">
        <v>354</v>
      </c>
      <c r="B307" s="1">
        <v>45722</v>
      </c>
      <c r="C307" t="s">
        <v>6965</v>
      </c>
      <c r="D307" t="s">
        <v>647</v>
      </c>
      <c r="E307" t="s">
        <v>6966</v>
      </c>
      <c r="F307" t="s">
        <v>6804</v>
      </c>
      <c r="G307" t="s">
        <v>6934</v>
      </c>
      <c r="H307" t="s">
        <v>648</v>
      </c>
      <c r="I307" s="1">
        <v>45782</v>
      </c>
      <c r="K307">
        <v>190000</v>
      </c>
      <c r="L307" t="s">
        <v>6803</v>
      </c>
    </row>
    <row r="308" spans="1:12" x14ac:dyDescent="0.35">
      <c r="A308" t="s">
        <v>354</v>
      </c>
      <c r="B308" s="1">
        <v>45722</v>
      </c>
      <c r="C308" t="s">
        <v>6967</v>
      </c>
      <c r="D308" t="s">
        <v>649</v>
      </c>
      <c r="E308" t="s">
        <v>6968</v>
      </c>
      <c r="F308" t="s">
        <v>6802</v>
      </c>
      <c r="H308" t="s">
        <v>650</v>
      </c>
      <c r="J308">
        <v>113000</v>
      </c>
      <c r="L308" t="s">
        <v>6803</v>
      </c>
    </row>
    <row r="309" spans="1:12" x14ac:dyDescent="0.35">
      <c r="A309" t="s">
        <v>354</v>
      </c>
      <c r="B309" s="1">
        <v>45722</v>
      </c>
      <c r="C309" t="s">
        <v>6967</v>
      </c>
      <c r="D309" t="s">
        <v>649</v>
      </c>
      <c r="E309" t="s">
        <v>6968</v>
      </c>
      <c r="F309" t="s">
        <v>6804</v>
      </c>
      <c r="G309" t="s">
        <v>6934</v>
      </c>
      <c r="H309" t="s">
        <v>650</v>
      </c>
      <c r="I309" s="1">
        <v>45782</v>
      </c>
      <c r="K309">
        <v>113000</v>
      </c>
      <c r="L309" t="s">
        <v>6803</v>
      </c>
    </row>
    <row r="310" spans="1:12" x14ac:dyDescent="0.35">
      <c r="A310" t="s">
        <v>354</v>
      </c>
      <c r="B310" s="1">
        <v>45722</v>
      </c>
      <c r="C310" t="s">
        <v>6969</v>
      </c>
      <c r="D310" t="s">
        <v>651</v>
      </c>
      <c r="E310" t="s">
        <v>6970</v>
      </c>
      <c r="F310" t="s">
        <v>6802</v>
      </c>
      <c r="H310" t="s">
        <v>652</v>
      </c>
      <c r="J310">
        <v>340300</v>
      </c>
      <c r="L310" t="s">
        <v>6803</v>
      </c>
    </row>
    <row r="311" spans="1:12" x14ac:dyDescent="0.35">
      <c r="A311" t="s">
        <v>354</v>
      </c>
      <c r="B311" s="1">
        <v>45722</v>
      </c>
      <c r="C311" t="s">
        <v>6969</v>
      </c>
      <c r="D311" t="s">
        <v>651</v>
      </c>
      <c r="E311" t="s">
        <v>6970</v>
      </c>
      <c r="F311" t="s">
        <v>6804</v>
      </c>
      <c r="G311" t="s">
        <v>6934</v>
      </c>
      <c r="H311" t="s">
        <v>652</v>
      </c>
      <c r="I311" s="1">
        <v>45782</v>
      </c>
      <c r="K311">
        <v>340300</v>
      </c>
      <c r="L311" t="s">
        <v>6803</v>
      </c>
    </row>
    <row r="312" spans="1:12" x14ac:dyDescent="0.35">
      <c r="A312" t="s">
        <v>354</v>
      </c>
      <c r="B312" s="1">
        <v>45722</v>
      </c>
      <c r="C312" t="s">
        <v>6971</v>
      </c>
      <c r="D312" t="s">
        <v>653</v>
      </c>
      <c r="E312" t="s">
        <v>6972</v>
      </c>
      <c r="F312" t="s">
        <v>6802</v>
      </c>
      <c r="H312" t="s">
        <v>654</v>
      </c>
      <c r="J312">
        <v>155000</v>
      </c>
      <c r="L312" t="s">
        <v>6803</v>
      </c>
    </row>
    <row r="313" spans="1:12" x14ac:dyDescent="0.35">
      <c r="A313" t="s">
        <v>354</v>
      </c>
      <c r="B313" s="1">
        <v>45722</v>
      </c>
      <c r="C313" t="s">
        <v>6971</v>
      </c>
      <c r="D313" t="s">
        <v>653</v>
      </c>
      <c r="E313" t="s">
        <v>6972</v>
      </c>
      <c r="F313" t="s">
        <v>6804</v>
      </c>
      <c r="G313" t="s">
        <v>6934</v>
      </c>
      <c r="H313" t="s">
        <v>654</v>
      </c>
      <c r="I313" s="1">
        <v>45782</v>
      </c>
      <c r="K313">
        <v>155000</v>
      </c>
      <c r="L313" t="s">
        <v>6803</v>
      </c>
    </row>
    <row r="314" spans="1:12" x14ac:dyDescent="0.35">
      <c r="A314" t="s">
        <v>354</v>
      </c>
      <c r="B314" s="1">
        <v>45722</v>
      </c>
      <c r="C314" t="s">
        <v>6973</v>
      </c>
      <c r="D314" t="s">
        <v>655</v>
      </c>
      <c r="E314" t="s">
        <v>6974</v>
      </c>
      <c r="F314" t="s">
        <v>6802</v>
      </c>
      <c r="H314" t="s">
        <v>656</v>
      </c>
      <c r="J314">
        <v>600000</v>
      </c>
      <c r="L314" t="s">
        <v>6803</v>
      </c>
    </row>
    <row r="315" spans="1:12" x14ac:dyDescent="0.35">
      <c r="A315" t="s">
        <v>354</v>
      </c>
      <c r="B315" s="1">
        <v>45722</v>
      </c>
      <c r="C315" t="s">
        <v>6973</v>
      </c>
      <c r="D315" t="s">
        <v>655</v>
      </c>
      <c r="E315" t="s">
        <v>6974</v>
      </c>
      <c r="F315" t="s">
        <v>6804</v>
      </c>
      <c r="G315" t="s">
        <v>6934</v>
      </c>
      <c r="H315" t="s">
        <v>656</v>
      </c>
      <c r="I315" s="1">
        <v>45782</v>
      </c>
      <c r="K315">
        <v>600000</v>
      </c>
      <c r="L315" t="s">
        <v>6803</v>
      </c>
    </row>
    <row r="316" spans="1:12" x14ac:dyDescent="0.35">
      <c r="A316" t="s">
        <v>354</v>
      </c>
      <c r="B316" s="1">
        <v>45722</v>
      </c>
      <c r="C316" t="s">
        <v>6975</v>
      </c>
      <c r="D316" t="s">
        <v>657</v>
      </c>
      <c r="E316" t="s">
        <v>6976</v>
      </c>
      <c r="F316" t="s">
        <v>6802</v>
      </c>
      <c r="H316" t="s">
        <v>658</v>
      </c>
      <c r="J316">
        <v>700000</v>
      </c>
      <c r="L316" t="s">
        <v>6803</v>
      </c>
    </row>
    <row r="317" spans="1:12" x14ac:dyDescent="0.35">
      <c r="A317" t="s">
        <v>354</v>
      </c>
      <c r="B317" s="1">
        <v>45722</v>
      </c>
      <c r="C317" t="s">
        <v>6975</v>
      </c>
      <c r="D317" t="s">
        <v>657</v>
      </c>
      <c r="E317" t="s">
        <v>6976</v>
      </c>
      <c r="F317" t="s">
        <v>6804</v>
      </c>
      <c r="G317" t="s">
        <v>6934</v>
      </c>
      <c r="H317" t="s">
        <v>658</v>
      </c>
      <c r="I317" s="1">
        <v>45782</v>
      </c>
      <c r="K317">
        <v>700000</v>
      </c>
      <c r="L317" t="s">
        <v>6803</v>
      </c>
    </row>
    <row r="318" spans="1:12" x14ac:dyDescent="0.35">
      <c r="A318" t="s">
        <v>354</v>
      </c>
      <c r="B318" s="1">
        <v>45722</v>
      </c>
      <c r="C318" t="s">
        <v>6977</v>
      </c>
      <c r="D318" t="s">
        <v>659</v>
      </c>
      <c r="E318" t="s">
        <v>6978</v>
      </c>
      <c r="F318" t="s">
        <v>6802</v>
      </c>
      <c r="H318" t="s">
        <v>660</v>
      </c>
      <c r="J318">
        <v>400000</v>
      </c>
      <c r="L318" t="s">
        <v>6803</v>
      </c>
    </row>
    <row r="319" spans="1:12" x14ac:dyDescent="0.35">
      <c r="A319" t="s">
        <v>354</v>
      </c>
      <c r="B319" s="1">
        <v>45722</v>
      </c>
      <c r="C319" t="s">
        <v>6977</v>
      </c>
      <c r="D319" t="s">
        <v>659</v>
      </c>
      <c r="E319" t="s">
        <v>6978</v>
      </c>
      <c r="F319" t="s">
        <v>6804</v>
      </c>
      <c r="G319" t="s">
        <v>6934</v>
      </c>
      <c r="H319" t="s">
        <v>660</v>
      </c>
      <c r="I319" s="1">
        <v>45782</v>
      </c>
      <c r="K319">
        <v>400000</v>
      </c>
      <c r="L319" t="s">
        <v>6803</v>
      </c>
    </row>
    <row r="320" spans="1:12" x14ac:dyDescent="0.35">
      <c r="A320" t="s">
        <v>354</v>
      </c>
      <c r="B320" s="1">
        <v>45722</v>
      </c>
      <c r="C320" t="s">
        <v>6979</v>
      </c>
      <c r="D320" t="s">
        <v>661</v>
      </c>
      <c r="E320" t="s">
        <v>6980</v>
      </c>
      <c r="F320" t="s">
        <v>6811</v>
      </c>
      <c r="H320" t="s">
        <v>662</v>
      </c>
      <c r="J320">
        <v>34000</v>
      </c>
      <c r="L320" t="s">
        <v>6803</v>
      </c>
    </row>
    <row r="321" spans="1:12" x14ac:dyDescent="0.35">
      <c r="A321" t="s">
        <v>354</v>
      </c>
      <c r="B321" s="1">
        <v>45722</v>
      </c>
      <c r="C321" t="s">
        <v>6979</v>
      </c>
      <c r="D321" t="s">
        <v>661</v>
      </c>
      <c r="E321" t="s">
        <v>6980</v>
      </c>
      <c r="F321" t="s">
        <v>6804</v>
      </c>
      <c r="G321" t="s">
        <v>6981</v>
      </c>
      <c r="H321" t="s">
        <v>662</v>
      </c>
      <c r="I321" s="1">
        <v>45722</v>
      </c>
      <c r="K321">
        <v>34000</v>
      </c>
      <c r="L321" t="s">
        <v>6803</v>
      </c>
    </row>
    <row r="322" spans="1:12" x14ac:dyDescent="0.35">
      <c r="A322" t="s">
        <v>354</v>
      </c>
      <c r="B322" s="1">
        <v>45722</v>
      </c>
      <c r="C322" t="s">
        <v>6982</v>
      </c>
      <c r="D322" t="s">
        <v>663</v>
      </c>
      <c r="E322" t="s">
        <v>664</v>
      </c>
      <c r="F322" t="s">
        <v>6802</v>
      </c>
      <c r="H322" t="s">
        <v>665</v>
      </c>
      <c r="J322">
        <v>11639</v>
      </c>
      <c r="L322" t="s">
        <v>6803</v>
      </c>
    </row>
    <row r="323" spans="1:12" x14ac:dyDescent="0.35">
      <c r="A323" t="s">
        <v>354</v>
      </c>
      <c r="B323" s="1">
        <v>45722</v>
      </c>
      <c r="C323" t="s">
        <v>6982</v>
      </c>
      <c r="D323" t="s">
        <v>663</v>
      </c>
      <c r="E323" t="s">
        <v>664</v>
      </c>
      <c r="F323" t="s">
        <v>6804</v>
      </c>
      <c r="G323" t="s">
        <v>6983</v>
      </c>
      <c r="H323" t="s">
        <v>665</v>
      </c>
      <c r="I323" s="1">
        <v>45722</v>
      </c>
      <c r="K323">
        <v>13716</v>
      </c>
      <c r="L323" t="s">
        <v>6803</v>
      </c>
    </row>
    <row r="324" spans="1:12" x14ac:dyDescent="0.35">
      <c r="A324" t="s">
        <v>354</v>
      </c>
      <c r="B324" s="1">
        <v>45722</v>
      </c>
      <c r="C324" t="s">
        <v>6982</v>
      </c>
      <c r="D324" t="s">
        <v>663</v>
      </c>
      <c r="E324" t="s">
        <v>664</v>
      </c>
      <c r="F324" t="s">
        <v>6806</v>
      </c>
      <c r="H324" t="s">
        <v>665</v>
      </c>
      <c r="J324">
        <v>2077</v>
      </c>
      <c r="L324" t="s">
        <v>6803</v>
      </c>
    </row>
    <row r="325" spans="1:12" x14ac:dyDescent="0.35">
      <c r="A325" t="s">
        <v>354</v>
      </c>
      <c r="B325" s="1">
        <v>45722</v>
      </c>
      <c r="C325" t="s">
        <v>6984</v>
      </c>
      <c r="D325" t="s">
        <v>666</v>
      </c>
      <c r="E325" t="s">
        <v>667</v>
      </c>
      <c r="F325" t="s">
        <v>6811</v>
      </c>
      <c r="H325" t="s">
        <v>668</v>
      </c>
      <c r="J325">
        <v>9168</v>
      </c>
      <c r="L325" t="s">
        <v>6803</v>
      </c>
    </row>
    <row r="326" spans="1:12" x14ac:dyDescent="0.35">
      <c r="A326" t="s">
        <v>354</v>
      </c>
      <c r="B326" s="1">
        <v>45722</v>
      </c>
      <c r="C326" t="s">
        <v>6984</v>
      </c>
      <c r="D326" t="s">
        <v>666</v>
      </c>
      <c r="E326" t="s">
        <v>667</v>
      </c>
      <c r="F326" t="s">
        <v>6802</v>
      </c>
      <c r="H326" t="s">
        <v>668</v>
      </c>
      <c r="J326">
        <v>219454</v>
      </c>
      <c r="L326" t="s">
        <v>6803</v>
      </c>
    </row>
    <row r="327" spans="1:12" x14ac:dyDescent="0.35">
      <c r="A327" t="s">
        <v>354</v>
      </c>
      <c r="B327" s="1">
        <v>45722</v>
      </c>
      <c r="C327" t="s">
        <v>6984</v>
      </c>
      <c r="D327" t="s">
        <v>666</v>
      </c>
      <c r="E327" t="s">
        <v>667</v>
      </c>
      <c r="F327" t="s">
        <v>6804</v>
      </c>
      <c r="G327" t="s">
        <v>6919</v>
      </c>
      <c r="H327" t="s">
        <v>668</v>
      </c>
      <c r="I327" s="1">
        <v>45808</v>
      </c>
      <c r="K327">
        <v>269774</v>
      </c>
      <c r="L327" t="s">
        <v>6803</v>
      </c>
    </row>
    <row r="328" spans="1:12" x14ac:dyDescent="0.35">
      <c r="A328" t="s">
        <v>354</v>
      </c>
      <c r="B328" s="1">
        <v>45722</v>
      </c>
      <c r="C328" t="s">
        <v>6984</v>
      </c>
      <c r="D328" t="s">
        <v>666</v>
      </c>
      <c r="E328" t="s">
        <v>667</v>
      </c>
      <c r="F328" t="s">
        <v>6806</v>
      </c>
      <c r="H328" t="s">
        <v>668</v>
      </c>
      <c r="J328">
        <v>41152</v>
      </c>
      <c r="L328" t="s">
        <v>6803</v>
      </c>
    </row>
    <row r="329" spans="1:12" x14ac:dyDescent="0.35">
      <c r="A329" t="s">
        <v>354</v>
      </c>
      <c r="B329" s="1">
        <v>45722</v>
      </c>
      <c r="C329" t="s">
        <v>6985</v>
      </c>
      <c r="D329" t="s">
        <v>669</v>
      </c>
      <c r="E329" t="s">
        <v>670</v>
      </c>
      <c r="F329" t="s">
        <v>6802</v>
      </c>
      <c r="H329" t="s">
        <v>671</v>
      </c>
      <c r="J329">
        <v>186996</v>
      </c>
      <c r="L329" t="s">
        <v>6803</v>
      </c>
    </row>
    <row r="330" spans="1:12" x14ac:dyDescent="0.35">
      <c r="A330" t="s">
        <v>354</v>
      </c>
      <c r="B330" s="1">
        <v>45722</v>
      </c>
      <c r="C330" t="s">
        <v>6985</v>
      </c>
      <c r="D330" t="s">
        <v>669</v>
      </c>
      <c r="E330" t="s">
        <v>670</v>
      </c>
      <c r="F330" t="s">
        <v>6804</v>
      </c>
      <c r="G330" t="s">
        <v>6906</v>
      </c>
      <c r="H330" t="s">
        <v>671</v>
      </c>
      <c r="I330" s="1">
        <v>45838</v>
      </c>
      <c r="K330">
        <v>220655</v>
      </c>
      <c r="L330" t="s">
        <v>6803</v>
      </c>
    </row>
    <row r="331" spans="1:12" x14ac:dyDescent="0.35">
      <c r="A331" t="s">
        <v>354</v>
      </c>
      <c r="B331" s="1">
        <v>45722</v>
      </c>
      <c r="C331" t="s">
        <v>6985</v>
      </c>
      <c r="D331" t="s">
        <v>669</v>
      </c>
      <c r="E331" t="s">
        <v>670</v>
      </c>
      <c r="F331" t="s">
        <v>6806</v>
      </c>
      <c r="H331" t="s">
        <v>671</v>
      </c>
      <c r="J331">
        <v>33659</v>
      </c>
      <c r="L331" t="s">
        <v>6803</v>
      </c>
    </row>
    <row r="332" spans="1:12" x14ac:dyDescent="0.35">
      <c r="A332" t="s">
        <v>354</v>
      </c>
      <c r="B332" s="1">
        <v>45726</v>
      </c>
      <c r="C332" t="s">
        <v>6986</v>
      </c>
      <c r="D332" t="s">
        <v>672</v>
      </c>
      <c r="E332" t="s">
        <v>673</v>
      </c>
      <c r="F332" t="s">
        <v>6811</v>
      </c>
      <c r="H332" t="s">
        <v>674</v>
      </c>
      <c r="J332">
        <v>8448</v>
      </c>
      <c r="L332" t="s">
        <v>6803</v>
      </c>
    </row>
    <row r="333" spans="1:12" x14ac:dyDescent="0.35">
      <c r="A333" t="s">
        <v>354</v>
      </c>
      <c r="B333" s="1">
        <v>45726</v>
      </c>
      <c r="C333" t="s">
        <v>6986</v>
      </c>
      <c r="D333" t="s">
        <v>672</v>
      </c>
      <c r="E333" t="s">
        <v>673</v>
      </c>
      <c r="F333" t="s">
        <v>6802</v>
      </c>
      <c r="H333" t="s">
        <v>674</v>
      </c>
      <c r="J333">
        <v>48429</v>
      </c>
      <c r="L333" t="s">
        <v>6803</v>
      </c>
    </row>
    <row r="334" spans="1:12" x14ac:dyDescent="0.35">
      <c r="A334" t="s">
        <v>354</v>
      </c>
      <c r="B334" s="1">
        <v>45726</v>
      </c>
      <c r="C334" t="s">
        <v>6986</v>
      </c>
      <c r="D334" t="s">
        <v>672</v>
      </c>
      <c r="E334" t="s">
        <v>673</v>
      </c>
      <c r="F334" t="s">
        <v>6804</v>
      </c>
      <c r="G334" t="s">
        <v>6987</v>
      </c>
      <c r="H334" t="s">
        <v>674</v>
      </c>
      <c r="I334" s="1">
        <v>45786</v>
      </c>
      <c r="K334">
        <v>67115</v>
      </c>
      <c r="L334" t="s">
        <v>6803</v>
      </c>
    </row>
    <row r="335" spans="1:12" x14ac:dyDescent="0.35">
      <c r="A335" t="s">
        <v>354</v>
      </c>
      <c r="B335" s="1">
        <v>45726</v>
      </c>
      <c r="C335" t="s">
        <v>6986</v>
      </c>
      <c r="D335" t="s">
        <v>672</v>
      </c>
      <c r="E335" t="s">
        <v>673</v>
      </c>
      <c r="F335" t="s">
        <v>6806</v>
      </c>
      <c r="H335" t="s">
        <v>674</v>
      </c>
      <c r="J335">
        <v>10238</v>
      </c>
      <c r="L335" t="s">
        <v>6803</v>
      </c>
    </row>
    <row r="336" spans="1:12" x14ac:dyDescent="0.35">
      <c r="A336" t="s">
        <v>354</v>
      </c>
      <c r="B336" s="1">
        <v>45726</v>
      </c>
      <c r="C336" t="s">
        <v>6988</v>
      </c>
      <c r="D336" t="s">
        <v>675</v>
      </c>
      <c r="E336" t="s">
        <v>676</v>
      </c>
      <c r="F336" t="s">
        <v>6811</v>
      </c>
      <c r="H336" t="s">
        <v>677</v>
      </c>
      <c r="J336">
        <v>226903</v>
      </c>
      <c r="L336" t="s">
        <v>6803</v>
      </c>
    </row>
    <row r="337" spans="1:12" x14ac:dyDescent="0.35">
      <c r="A337" t="s">
        <v>354</v>
      </c>
      <c r="B337" s="1">
        <v>45726</v>
      </c>
      <c r="C337" t="s">
        <v>6988</v>
      </c>
      <c r="D337" t="s">
        <v>675</v>
      </c>
      <c r="E337" t="s">
        <v>676</v>
      </c>
      <c r="F337" t="s">
        <v>6804</v>
      </c>
      <c r="G337" t="s">
        <v>6989</v>
      </c>
      <c r="H337" t="s">
        <v>677</v>
      </c>
      <c r="I337" s="1">
        <v>45726</v>
      </c>
      <c r="K337">
        <v>267746</v>
      </c>
      <c r="L337" t="s">
        <v>6803</v>
      </c>
    </row>
    <row r="338" spans="1:12" x14ac:dyDescent="0.35">
      <c r="A338" t="s">
        <v>354</v>
      </c>
      <c r="B338" s="1">
        <v>45726</v>
      </c>
      <c r="C338" t="s">
        <v>6988</v>
      </c>
      <c r="D338" t="s">
        <v>675</v>
      </c>
      <c r="E338" t="s">
        <v>676</v>
      </c>
      <c r="F338" t="s">
        <v>6806</v>
      </c>
      <c r="H338" t="s">
        <v>677</v>
      </c>
      <c r="J338">
        <v>40843</v>
      </c>
      <c r="L338" t="s">
        <v>6803</v>
      </c>
    </row>
    <row r="339" spans="1:12" x14ac:dyDescent="0.35">
      <c r="A339" t="s">
        <v>354</v>
      </c>
      <c r="B339" s="1">
        <v>45726</v>
      </c>
      <c r="C339" t="s">
        <v>6990</v>
      </c>
      <c r="D339" t="s">
        <v>678</v>
      </c>
      <c r="E339" t="s">
        <v>6991</v>
      </c>
      <c r="F339" t="s">
        <v>6804</v>
      </c>
      <c r="G339" t="s">
        <v>6992</v>
      </c>
      <c r="H339" t="s">
        <v>679</v>
      </c>
      <c r="I339" s="1">
        <v>45756</v>
      </c>
      <c r="K339">
        <v>122386</v>
      </c>
      <c r="L339" t="s">
        <v>6803</v>
      </c>
    </row>
    <row r="340" spans="1:12" x14ac:dyDescent="0.35">
      <c r="A340" t="s">
        <v>354</v>
      </c>
      <c r="B340" s="1">
        <v>45726</v>
      </c>
      <c r="C340" t="s">
        <v>6990</v>
      </c>
      <c r="D340" t="s">
        <v>678</v>
      </c>
      <c r="E340" t="s">
        <v>6991</v>
      </c>
      <c r="F340" t="s">
        <v>6819</v>
      </c>
      <c r="H340" t="s">
        <v>679</v>
      </c>
      <c r="J340">
        <v>18669</v>
      </c>
      <c r="L340" t="s">
        <v>6803</v>
      </c>
    </row>
    <row r="341" spans="1:12" x14ac:dyDescent="0.35">
      <c r="A341" t="s">
        <v>354</v>
      </c>
      <c r="B341" s="1">
        <v>45726</v>
      </c>
      <c r="C341" t="s">
        <v>6990</v>
      </c>
      <c r="D341" t="s">
        <v>678</v>
      </c>
      <c r="E341" t="s">
        <v>6991</v>
      </c>
      <c r="F341" t="s">
        <v>6820</v>
      </c>
      <c r="H341" t="s">
        <v>679</v>
      </c>
      <c r="J341">
        <v>103717</v>
      </c>
      <c r="L341" t="s">
        <v>5877</v>
      </c>
    </row>
    <row r="342" spans="1:12" x14ac:dyDescent="0.35">
      <c r="A342" t="s">
        <v>354</v>
      </c>
      <c r="B342" s="1">
        <v>45726</v>
      </c>
      <c r="C342" t="s">
        <v>6993</v>
      </c>
      <c r="D342" t="s">
        <v>680</v>
      </c>
      <c r="E342" t="s">
        <v>6994</v>
      </c>
      <c r="F342" t="s">
        <v>6804</v>
      </c>
      <c r="G342" t="s">
        <v>6992</v>
      </c>
      <c r="H342" t="s">
        <v>681</v>
      </c>
      <c r="I342" s="1">
        <v>45756</v>
      </c>
      <c r="K342">
        <v>150000</v>
      </c>
      <c r="L342" t="s">
        <v>6803</v>
      </c>
    </row>
    <row r="343" spans="1:12" x14ac:dyDescent="0.35">
      <c r="A343" t="s">
        <v>354</v>
      </c>
      <c r="B343" s="1">
        <v>45726</v>
      </c>
      <c r="C343" t="s">
        <v>6993</v>
      </c>
      <c r="D343" t="s">
        <v>680</v>
      </c>
      <c r="E343" t="s">
        <v>6994</v>
      </c>
      <c r="F343" t="s">
        <v>6819</v>
      </c>
      <c r="H343" t="s">
        <v>681</v>
      </c>
      <c r="J343">
        <v>22881</v>
      </c>
      <c r="L343" t="s">
        <v>6803</v>
      </c>
    </row>
    <row r="344" spans="1:12" x14ac:dyDescent="0.35">
      <c r="A344" t="s">
        <v>354</v>
      </c>
      <c r="B344" s="1">
        <v>45726</v>
      </c>
      <c r="C344" t="s">
        <v>6993</v>
      </c>
      <c r="D344" t="s">
        <v>680</v>
      </c>
      <c r="E344" t="s">
        <v>6994</v>
      </c>
      <c r="F344" t="s">
        <v>6820</v>
      </c>
      <c r="H344" t="s">
        <v>681</v>
      </c>
      <c r="J344">
        <v>127119</v>
      </c>
      <c r="L344" t="s">
        <v>5878</v>
      </c>
    </row>
    <row r="345" spans="1:12" x14ac:dyDescent="0.35">
      <c r="A345" t="s">
        <v>354</v>
      </c>
      <c r="B345" s="1">
        <v>45726</v>
      </c>
      <c r="C345" t="s">
        <v>6995</v>
      </c>
      <c r="D345" t="s">
        <v>682</v>
      </c>
      <c r="E345" t="s">
        <v>6996</v>
      </c>
      <c r="F345" t="s">
        <v>6804</v>
      </c>
      <c r="G345" t="s">
        <v>6992</v>
      </c>
      <c r="H345" t="s">
        <v>683</v>
      </c>
      <c r="I345" s="1">
        <v>45756</v>
      </c>
      <c r="K345">
        <v>774589</v>
      </c>
      <c r="L345" t="s">
        <v>6803</v>
      </c>
    </row>
    <row r="346" spans="1:12" x14ac:dyDescent="0.35">
      <c r="A346" t="s">
        <v>354</v>
      </c>
      <c r="B346" s="1">
        <v>45726</v>
      </c>
      <c r="C346" t="s">
        <v>6995</v>
      </c>
      <c r="D346" t="s">
        <v>682</v>
      </c>
      <c r="E346" t="s">
        <v>6996</v>
      </c>
      <c r="F346" t="s">
        <v>6819</v>
      </c>
      <c r="H346" t="s">
        <v>683</v>
      </c>
      <c r="J346">
        <v>118158</v>
      </c>
      <c r="L346" t="s">
        <v>6803</v>
      </c>
    </row>
    <row r="347" spans="1:12" x14ac:dyDescent="0.35">
      <c r="A347" t="s">
        <v>354</v>
      </c>
      <c r="B347" s="1">
        <v>45726</v>
      </c>
      <c r="C347" t="s">
        <v>6995</v>
      </c>
      <c r="D347" t="s">
        <v>682</v>
      </c>
      <c r="E347" t="s">
        <v>6996</v>
      </c>
      <c r="F347" t="s">
        <v>6820</v>
      </c>
      <c r="H347" t="s">
        <v>683</v>
      </c>
      <c r="J347">
        <v>656431</v>
      </c>
      <c r="L347" t="s">
        <v>5873</v>
      </c>
    </row>
    <row r="348" spans="1:12" x14ac:dyDescent="0.35">
      <c r="A348" t="s">
        <v>354</v>
      </c>
      <c r="B348" s="1">
        <v>45726</v>
      </c>
      <c r="C348" t="s">
        <v>6997</v>
      </c>
      <c r="D348" t="s">
        <v>684</v>
      </c>
      <c r="E348" t="s">
        <v>6998</v>
      </c>
      <c r="F348" t="s">
        <v>6804</v>
      </c>
      <c r="G348" t="s">
        <v>6992</v>
      </c>
      <c r="H348" t="s">
        <v>685</v>
      </c>
      <c r="I348" s="1">
        <v>45756</v>
      </c>
      <c r="K348">
        <v>177458</v>
      </c>
      <c r="L348" t="s">
        <v>6803</v>
      </c>
    </row>
    <row r="349" spans="1:12" x14ac:dyDescent="0.35">
      <c r="A349" t="s">
        <v>354</v>
      </c>
      <c r="B349" s="1">
        <v>45726</v>
      </c>
      <c r="C349" t="s">
        <v>6997</v>
      </c>
      <c r="D349" t="s">
        <v>684</v>
      </c>
      <c r="E349" t="s">
        <v>6998</v>
      </c>
      <c r="F349" t="s">
        <v>6819</v>
      </c>
      <c r="H349" t="s">
        <v>685</v>
      </c>
      <c r="J349">
        <v>27070</v>
      </c>
      <c r="L349" t="s">
        <v>6803</v>
      </c>
    </row>
    <row r="350" spans="1:12" x14ac:dyDescent="0.35">
      <c r="A350" t="s">
        <v>354</v>
      </c>
      <c r="B350" s="1">
        <v>45726</v>
      </c>
      <c r="C350" t="s">
        <v>6997</v>
      </c>
      <c r="D350" t="s">
        <v>684</v>
      </c>
      <c r="E350" t="s">
        <v>6998</v>
      </c>
      <c r="F350" t="s">
        <v>6820</v>
      </c>
      <c r="H350" t="s">
        <v>685</v>
      </c>
      <c r="J350">
        <v>150388</v>
      </c>
      <c r="L350" t="s">
        <v>5879</v>
      </c>
    </row>
    <row r="351" spans="1:12" x14ac:dyDescent="0.35">
      <c r="A351" t="s">
        <v>354</v>
      </c>
      <c r="B351" s="1">
        <v>45726</v>
      </c>
      <c r="C351" t="s">
        <v>6999</v>
      </c>
      <c r="D351" t="s">
        <v>686</v>
      </c>
      <c r="E351" t="s">
        <v>687</v>
      </c>
      <c r="F351" t="s">
        <v>6802</v>
      </c>
      <c r="H351" t="s">
        <v>688</v>
      </c>
      <c r="J351">
        <v>74750</v>
      </c>
      <c r="L351" t="s">
        <v>6803</v>
      </c>
    </row>
    <row r="352" spans="1:12" x14ac:dyDescent="0.35">
      <c r="A352" t="s">
        <v>354</v>
      </c>
      <c r="B352" s="1">
        <v>45726</v>
      </c>
      <c r="C352" t="s">
        <v>6999</v>
      </c>
      <c r="D352" t="s">
        <v>686</v>
      </c>
      <c r="E352" t="s">
        <v>687</v>
      </c>
      <c r="F352" t="s">
        <v>6804</v>
      </c>
      <c r="G352" t="s">
        <v>6805</v>
      </c>
      <c r="H352" t="s">
        <v>688</v>
      </c>
      <c r="I352" s="1">
        <v>45786</v>
      </c>
      <c r="K352">
        <v>88205</v>
      </c>
      <c r="L352" t="s">
        <v>6803</v>
      </c>
    </row>
    <row r="353" spans="1:12" x14ac:dyDescent="0.35">
      <c r="A353" t="s">
        <v>354</v>
      </c>
      <c r="B353" s="1">
        <v>45726</v>
      </c>
      <c r="C353" t="s">
        <v>6999</v>
      </c>
      <c r="D353" t="s">
        <v>686</v>
      </c>
      <c r="E353" t="s">
        <v>687</v>
      </c>
      <c r="F353" t="s">
        <v>6806</v>
      </c>
      <c r="H353" t="s">
        <v>688</v>
      </c>
      <c r="J353">
        <v>13455</v>
      </c>
      <c r="L353" t="s">
        <v>6803</v>
      </c>
    </row>
    <row r="354" spans="1:12" x14ac:dyDescent="0.35">
      <c r="A354" t="s">
        <v>354</v>
      </c>
      <c r="B354" s="1">
        <v>45726</v>
      </c>
      <c r="C354" t="s">
        <v>7000</v>
      </c>
      <c r="D354" t="s">
        <v>689</v>
      </c>
      <c r="E354" t="s">
        <v>690</v>
      </c>
      <c r="F354" t="s">
        <v>6802</v>
      </c>
      <c r="H354" t="s">
        <v>691</v>
      </c>
      <c r="J354">
        <v>494065</v>
      </c>
      <c r="L354" t="s">
        <v>6803</v>
      </c>
    </row>
    <row r="355" spans="1:12" x14ac:dyDescent="0.35">
      <c r="A355" t="s">
        <v>354</v>
      </c>
      <c r="B355" s="1">
        <v>45726</v>
      </c>
      <c r="C355" t="s">
        <v>7000</v>
      </c>
      <c r="D355" t="s">
        <v>689</v>
      </c>
      <c r="E355" t="s">
        <v>690</v>
      </c>
      <c r="F355" t="s">
        <v>6804</v>
      </c>
      <c r="G355" t="s">
        <v>6805</v>
      </c>
      <c r="H355" t="s">
        <v>691</v>
      </c>
      <c r="I355" s="1">
        <v>45786</v>
      </c>
      <c r="K355">
        <v>582997</v>
      </c>
      <c r="L355" t="s">
        <v>6803</v>
      </c>
    </row>
    <row r="356" spans="1:12" x14ac:dyDescent="0.35">
      <c r="A356" t="s">
        <v>354</v>
      </c>
      <c r="B356" s="1">
        <v>45726</v>
      </c>
      <c r="C356" t="s">
        <v>7000</v>
      </c>
      <c r="D356" t="s">
        <v>689</v>
      </c>
      <c r="E356" t="s">
        <v>690</v>
      </c>
      <c r="F356" t="s">
        <v>6806</v>
      </c>
      <c r="H356" t="s">
        <v>691</v>
      </c>
      <c r="J356">
        <v>88932</v>
      </c>
      <c r="L356" t="s">
        <v>6803</v>
      </c>
    </row>
    <row r="357" spans="1:12" x14ac:dyDescent="0.35">
      <c r="A357" t="s">
        <v>354</v>
      </c>
      <c r="B357" s="1">
        <v>45726</v>
      </c>
      <c r="C357" t="s">
        <v>7001</v>
      </c>
      <c r="D357" t="s">
        <v>692</v>
      </c>
      <c r="E357" t="s">
        <v>693</v>
      </c>
      <c r="F357" t="s">
        <v>6802</v>
      </c>
      <c r="H357" t="s">
        <v>694</v>
      </c>
      <c r="J357">
        <v>357500</v>
      </c>
      <c r="L357" t="s">
        <v>6803</v>
      </c>
    </row>
    <row r="358" spans="1:12" x14ac:dyDescent="0.35">
      <c r="A358" t="s">
        <v>354</v>
      </c>
      <c r="B358" s="1">
        <v>45726</v>
      </c>
      <c r="C358" t="s">
        <v>7001</v>
      </c>
      <c r="D358" t="s">
        <v>692</v>
      </c>
      <c r="E358" t="s">
        <v>693</v>
      </c>
      <c r="F358" t="s">
        <v>6804</v>
      </c>
      <c r="G358" t="s">
        <v>6805</v>
      </c>
      <c r="H358" t="s">
        <v>694</v>
      </c>
      <c r="I358" s="1">
        <v>45786</v>
      </c>
      <c r="K358">
        <v>421850</v>
      </c>
      <c r="L358" t="s">
        <v>6803</v>
      </c>
    </row>
    <row r="359" spans="1:12" x14ac:dyDescent="0.35">
      <c r="A359" t="s">
        <v>354</v>
      </c>
      <c r="B359" s="1">
        <v>45726</v>
      </c>
      <c r="C359" t="s">
        <v>7001</v>
      </c>
      <c r="D359" t="s">
        <v>692</v>
      </c>
      <c r="E359" t="s">
        <v>693</v>
      </c>
      <c r="F359" t="s">
        <v>6806</v>
      </c>
      <c r="H359" t="s">
        <v>694</v>
      </c>
      <c r="J359">
        <v>64350</v>
      </c>
      <c r="L359" t="s">
        <v>6803</v>
      </c>
    </row>
    <row r="360" spans="1:12" x14ac:dyDescent="0.35">
      <c r="A360" t="s">
        <v>354</v>
      </c>
      <c r="B360" s="1">
        <v>45726</v>
      </c>
      <c r="C360" t="s">
        <v>7002</v>
      </c>
      <c r="D360" t="s">
        <v>695</v>
      </c>
      <c r="E360" t="s">
        <v>696</v>
      </c>
      <c r="F360" t="s">
        <v>6802</v>
      </c>
      <c r="H360" t="s">
        <v>697</v>
      </c>
      <c r="J360">
        <v>36716</v>
      </c>
      <c r="L360" t="s">
        <v>6803</v>
      </c>
    </row>
    <row r="361" spans="1:12" x14ac:dyDescent="0.35">
      <c r="A361" t="s">
        <v>354</v>
      </c>
      <c r="B361" s="1">
        <v>45726</v>
      </c>
      <c r="C361" t="s">
        <v>7002</v>
      </c>
      <c r="D361" t="s">
        <v>695</v>
      </c>
      <c r="E361" t="s">
        <v>696</v>
      </c>
      <c r="F361" t="s">
        <v>6804</v>
      </c>
      <c r="G361" t="s">
        <v>6805</v>
      </c>
      <c r="H361" t="s">
        <v>697</v>
      </c>
      <c r="I361" s="1">
        <v>45786</v>
      </c>
      <c r="K361">
        <v>43324</v>
      </c>
      <c r="L361" t="s">
        <v>6803</v>
      </c>
    </row>
    <row r="362" spans="1:12" x14ac:dyDescent="0.35">
      <c r="A362" t="s">
        <v>354</v>
      </c>
      <c r="B362" s="1">
        <v>45726</v>
      </c>
      <c r="C362" t="s">
        <v>7002</v>
      </c>
      <c r="D362" t="s">
        <v>695</v>
      </c>
      <c r="E362" t="s">
        <v>696</v>
      </c>
      <c r="F362" t="s">
        <v>6806</v>
      </c>
      <c r="H362" t="s">
        <v>697</v>
      </c>
      <c r="J362">
        <v>6608</v>
      </c>
      <c r="L362" t="s">
        <v>6803</v>
      </c>
    </row>
    <row r="363" spans="1:12" x14ac:dyDescent="0.35">
      <c r="A363" t="s">
        <v>354</v>
      </c>
      <c r="B363" s="1">
        <v>45726</v>
      </c>
      <c r="C363" t="s">
        <v>7003</v>
      </c>
      <c r="D363" t="s">
        <v>698</v>
      </c>
      <c r="E363" t="s">
        <v>699</v>
      </c>
      <c r="F363" t="s">
        <v>6802</v>
      </c>
      <c r="H363" t="s">
        <v>700</v>
      </c>
      <c r="J363">
        <v>57237</v>
      </c>
      <c r="L363" t="s">
        <v>6803</v>
      </c>
    </row>
    <row r="364" spans="1:12" x14ac:dyDescent="0.35">
      <c r="A364" t="s">
        <v>354</v>
      </c>
      <c r="B364" s="1">
        <v>45726</v>
      </c>
      <c r="C364" t="s">
        <v>7003</v>
      </c>
      <c r="D364" t="s">
        <v>698</v>
      </c>
      <c r="E364" t="s">
        <v>699</v>
      </c>
      <c r="F364" t="s">
        <v>6804</v>
      </c>
      <c r="G364" t="s">
        <v>6805</v>
      </c>
      <c r="H364" t="s">
        <v>700</v>
      </c>
      <c r="I364" s="1">
        <v>45786</v>
      </c>
      <c r="K364">
        <v>67540</v>
      </c>
      <c r="L364" t="s">
        <v>6803</v>
      </c>
    </row>
    <row r="365" spans="1:12" x14ac:dyDescent="0.35">
      <c r="A365" t="s">
        <v>354</v>
      </c>
      <c r="B365" s="1">
        <v>45726</v>
      </c>
      <c r="C365" t="s">
        <v>7003</v>
      </c>
      <c r="D365" t="s">
        <v>698</v>
      </c>
      <c r="E365" t="s">
        <v>699</v>
      </c>
      <c r="F365" t="s">
        <v>6806</v>
      </c>
      <c r="H365" t="s">
        <v>700</v>
      </c>
      <c r="J365">
        <v>10303</v>
      </c>
      <c r="L365" t="s">
        <v>6803</v>
      </c>
    </row>
    <row r="366" spans="1:12" x14ac:dyDescent="0.35">
      <c r="A366" t="s">
        <v>354</v>
      </c>
      <c r="B366" s="1">
        <v>45726</v>
      </c>
      <c r="C366" t="s">
        <v>7004</v>
      </c>
      <c r="D366" t="s">
        <v>701</v>
      </c>
      <c r="E366" t="s">
        <v>702</v>
      </c>
      <c r="F366" t="s">
        <v>6802</v>
      </c>
      <c r="H366" t="s">
        <v>703</v>
      </c>
      <c r="J366">
        <v>29720</v>
      </c>
      <c r="L366" t="s">
        <v>6803</v>
      </c>
    </row>
    <row r="367" spans="1:12" x14ac:dyDescent="0.35">
      <c r="A367" t="s">
        <v>354</v>
      </c>
      <c r="B367" s="1">
        <v>45726</v>
      </c>
      <c r="C367" t="s">
        <v>7004</v>
      </c>
      <c r="D367" t="s">
        <v>701</v>
      </c>
      <c r="E367" t="s">
        <v>702</v>
      </c>
      <c r="F367" t="s">
        <v>6804</v>
      </c>
      <c r="G367" t="s">
        <v>6805</v>
      </c>
      <c r="H367" t="s">
        <v>703</v>
      </c>
      <c r="I367" s="1">
        <v>45786</v>
      </c>
      <c r="K367">
        <v>35070</v>
      </c>
      <c r="L367" t="s">
        <v>6803</v>
      </c>
    </row>
    <row r="368" spans="1:12" x14ac:dyDescent="0.35">
      <c r="A368" t="s">
        <v>354</v>
      </c>
      <c r="B368" s="1">
        <v>45726</v>
      </c>
      <c r="C368" t="s">
        <v>7004</v>
      </c>
      <c r="D368" t="s">
        <v>701</v>
      </c>
      <c r="E368" t="s">
        <v>702</v>
      </c>
      <c r="F368" t="s">
        <v>6806</v>
      </c>
      <c r="H368" t="s">
        <v>703</v>
      </c>
      <c r="J368">
        <v>5350</v>
      </c>
      <c r="L368" t="s">
        <v>6803</v>
      </c>
    </row>
    <row r="369" spans="1:12" x14ac:dyDescent="0.35">
      <c r="A369" t="s">
        <v>354</v>
      </c>
      <c r="B369" s="1">
        <v>45726</v>
      </c>
      <c r="C369" t="s">
        <v>7005</v>
      </c>
      <c r="D369" t="s">
        <v>704</v>
      </c>
      <c r="E369" t="s">
        <v>705</v>
      </c>
      <c r="F369" t="s">
        <v>6802</v>
      </c>
      <c r="H369" t="s">
        <v>706</v>
      </c>
      <c r="J369">
        <v>507000</v>
      </c>
      <c r="L369" t="s">
        <v>6803</v>
      </c>
    </row>
    <row r="370" spans="1:12" x14ac:dyDescent="0.35">
      <c r="A370" t="s">
        <v>354</v>
      </c>
      <c r="B370" s="1">
        <v>45726</v>
      </c>
      <c r="C370" t="s">
        <v>7005</v>
      </c>
      <c r="D370" t="s">
        <v>704</v>
      </c>
      <c r="E370" t="s">
        <v>705</v>
      </c>
      <c r="F370" t="s">
        <v>6804</v>
      </c>
      <c r="G370" t="s">
        <v>6805</v>
      </c>
      <c r="H370" t="s">
        <v>706</v>
      </c>
      <c r="I370" s="1">
        <v>45786</v>
      </c>
      <c r="K370">
        <v>598260</v>
      </c>
      <c r="L370" t="s">
        <v>6803</v>
      </c>
    </row>
    <row r="371" spans="1:12" x14ac:dyDescent="0.35">
      <c r="A371" t="s">
        <v>354</v>
      </c>
      <c r="B371" s="1">
        <v>45726</v>
      </c>
      <c r="C371" t="s">
        <v>7005</v>
      </c>
      <c r="D371" t="s">
        <v>704</v>
      </c>
      <c r="E371" t="s">
        <v>705</v>
      </c>
      <c r="F371" t="s">
        <v>6806</v>
      </c>
      <c r="H371" t="s">
        <v>706</v>
      </c>
      <c r="J371">
        <v>91260</v>
      </c>
      <c r="L371" t="s">
        <v>6803</v>
      </c>
    </row>
    <row r="372" spans="1:12" x14ac:dyDescent="0.35">
      <c r="A372" t="s">
        <v>354</v>
      </c>
      <c r="B372" s="1">
        <v>45726</v>
      </c>
      <c r="C372" t="s">
        <v>7006</v>
      </c>
      <c r="D372" t="s">
        <v>707</v>
      </c>
      <c r="E372" t="s">
        <v>7007</v>
      </c>
      <c r="F372" t="s">
        <v>6802</v>
      </c>
      <c r="H372" t="s">
        <v>708</v>
      </c>
      <c r="J372">
        <v>44000</v>
      </c>
      <c r="L372" t="s">
        <v>6803</v>
      </c>
    </row>
    <row r="373" spans="1:12" x14ac:dyDescent="0.35">
      <c r="A373" t="s">
        <v>354</v>
      </c>
      <c r="B373" s="1">
        <v>45726</v>
      </c>
      <c r="C373" t="s">
        <v>7006</v>
      </c>
      <c r="D373" t="s">
        <v>707</v>
      </c>
      <c r="E373" t="s">
        <v>7007</v>
      </c>
      <c r="F373" t="s">
        <v>6804</v>
      </c>
      <c r="G373" t="s">
        <v>6885</v>
      </c>
      <c r="H373" t="s">
        <v>708</v>
      </c>
      <c r="I373" s="1">
        <v>45726</v>
      </c>
      <c r="K373">
        <v>44000</v>
      </c>
      <c r="L373" t="s">
        <v>6803</v>
      </c>
    </row>
    <row r="374" spans="1:12" x14ac:dyDescent="0.35">
      <c r="A374" t="s">
        <v>354</v>
      </c>
      <c r="B374" s="1">
        <v>45726</v>
      </c>
      <c r="C374" t="s">
        <v>7008</v>
      </c>
      <c r="D374" t="s">
        <v>709</v>
      </c>
      <c r="E374" t="s">
        <v>7009</v>
      </c>
      <c r="F374" t="s">
        <v>6802</v>
      </c>
      <c r="H374" t="s">
        <v>710</v>
      </c>
      <c r="J374">
        <v>53000</v>
      </c>
      <c r="L374" t="s">
        <v>6803</v>
      </c>
    </row>
    <row r="375" spans="1:12" x14ac:dyDescent="0.35">
      <c r="A375" t="s">
        <v>354</v>
      </c>
      <c r="B375" s="1">
        <v>45726</v>
      </c>
      <c r="C375" t="s">
        <v>7008</v>
      </c>
      <c r="D375" t="s">
        <v>709</v>
      </c>
      <c r="E375" t="s">
        <v>7009</v>
      </c>
      <c r="F375" t="s">
        <v>6804</v>
      </c>
      <c r="G375" t="s">
        <v>6885</v>
      </c>
      <c r="H375" t="s">
        <v>710</v>
      </c>
      <c r="I375" s="1">
        <v>45726</v>
      </c>
      <c r="K375">
        <v>53000</v>
      </c>
      <c r="L375" t="s">
        <v>6803</v>
      </c>
    </row>
    <row r="376" spans="1:12" x14ac:dyDescent="0.35">
      <c r="A376" t="s">
        <v>354</v>
      </c>
      <c r="B376" s="1">
        <v>45726</v>
      </c>
      <c r="C376" t="s">
        <v>7010</v>
      </c>
      <c r="D376" t="s">
        <v>711</v>
      </c>
      <c r="E376" t="s">
        <v>7011</v>
      </c>
      <c r="F376" t="s">
        <v>6802</v>
      </c>
      <c r="H376" t="s">
        <v>712</v>
      </c>
      <c r="J376">
        <v>20000</v>
      </c>
      <c r="L376" t="s">
        <v>6803</v>
      </c>
    </row>
    <row r="377" spans="1:12" x14ac:dyDescent="0.35">
      <c r="A377" t="s">
        <v>354</v>
      </c>
      <c r="B377" s="1">
        <v>45726</v>
      </c>
      <c r="C377" t="s">
        <v>7010</v>
      </c>
      <c r="D377" t="s">
        <v>711</v>
      </c>
      <c r="E377" t="s">
        <v>7011</v>
      </c>
      <c r="F377" t="s">
        <v>6804</v>
      </c>
      <c r="G377" t="s">
        <v>6885</v>
      </c>
      <c r="H377" t="s">
        <v>712</v>
      </c>
      <c r="I377" s="1">
        <v>45726</v>
      </c>
      <c r="K377">
        <v>20000</v>
      </c>
      <c r="L377" t="s">
        <v>6803</v>
      </c>
    </row>
    <row r="378" spans="1:12" x14ac:dyDescent="0.35">
      <c r="A378" t="s">
        <v>354</v>
      </c>
      <c r="B378" s="1">
        <v>45726</v>
      </c>
      <c r="C378" t="s">
        <v>7012</v>
      </c>
      <c r="D378" t="s">
        <v>713</v>
      </c>
      <c r="E378" t="s">
        <v>7013</v>
      </c>
      <c r="F378" t="s">
        <v>6802</v>
      </c>
      <c r="H378" t="s">
        <v>714</v>
      </c>
      <c r="J378">
        <v>32000</v>
      </c>
      <c r="L378" t="s">
        <v>6803</v>
      </c>
    </row>
    <row r="379" spans="1:12" x14ac:dyDescent="0.35">
      <c r="A379" t="s">
        <v>354</v>
      </c>
      <c r="B379" s="1">
        <v>45726</v>
      </c>
      <c r="C379" t="s">
        <v>7012</v>
      </c>
      <c r="D379" t="s">
        <v>713</v>
      </c>
      <c r="E379" t="s">
        <v>7013</v>
      </c>
      <c r="F379" t="s">
        <v>6804</v>
      </c>
      <c r="G379" t="s">
        <v>6885</v>
      </c>
      <c r="H379" t="s">
        <v>714</v>
      </c>
      <c r="I379" s="1">
        <v>45726</v>
      </c>
      <c r="K379">
        <v>32000</v>
      </c>
      <c r="L379" t="s">
        <v>6803</v>
      </c>
    </row>
    <row r="380" spans="1:12" x14ac:dyDescent="0.35">
      <c r="A380" t="s">
        <v>354</v>
      </c>
      <c r="B380" s="1">
        <v>45726</v>
      </c>
      <c r="C380" t="s">
        <v>7014</v>
      </c>
      <c r="D380" t="s">
        <v>715</v>
      </c>
      <c r="E380" t="s">
        <v>7015</v>
      </c>
      <c r="F380" t="s">
        <v>6802</v>
      </c>
      <c r="H380" t="s">
        <v>716</v>
      </c>
      <c r="J380">
        <v>750000</v>
      </c>
      <c r="L380" t="s">
        <v>6803</v>
      </c>
    </row>
    <row r="381" spans="1:12" x14ac:dyDescent="0.35">
      <c r="A381" t="s">
        <v>354</v>
      </c>
      <c r="B381" s="1">
        <v>45726</v>
      </c>
      <c r="C381" t="s">
        <v>7014</v>
      </c>
      <c r="D381" t="s">
        <v>715</v>
      </c>
      <c r="E381" t="s">
        <v>7015</v>
      </c>
      <c r="F381" t="s">
        <v>6804</v>
      </c>
      <c r="G381" t="s">
        <v>6934</v>
      </c>
      <c r="H381" t="s">
        <v>716</v>
      </c>
      <c r="I381" s="1">
        <v>45786</v>
      </c>
      <c r="K381">
        <v>750000</v>
      </c>
      <c r="L381" t="s">
        <v>6803</v>
      </c>
    </row>
    <row r="382" spans="1:12" x14ac:dyDescent="0.35">
      <c r="A382" t="s">
        <v>354</v>
      </c>
      <c r="B382" s="1">
        <v>45726</v>
      </c>
      <c r="C382" t="s">
        <v>7016</v>
      </c>
      <c r="D382" t="s">
        <v>717</v>
      </c>
      <c r="E382" t="s">
        <v>7017</v>
      </c>
      <c r="F382" t="s">
        <v>6802</v>
      </c>
      <c r="H382" t="s">
        <v>718</v>
      </c>
      <c r="J382">
        <v>510000</v>
      </c>
      <c r="L382" t="s">
        <v>6803</v>
      </c>
    </row>
    <row r="383" spans="1:12" x14ac:dyDescent="0.35">
      <c r="A383" t="s">
        <v>354</v>
      </c>
      <c r="B383" s="1">
        <v>45726</v>
      </c>
      <c r="C383" t="s">
        <v>7016</v>
      </c>
      <c r="D383" t="s">
        <v>717</v>
      </c>
      <c r="E383" t="s">
        <v>7017</v>
      </c>
      <c r="F383" t="s">
        <v>6804</v>
      </c>
      <c r="G383" t="s">
        <v>6934</v>
      </c>
      <c r="H383" t="s">
        <v>718</v>
      </c>
      <c r="I383" s="1">
        <v>45786</v>
      </c>
      <c r="K383">
        <v>510000</v>
      </c>
      <c r="L383" t="s">
        <v>6803</v>
      </c>
    </row>
    <row r="384" spans="1:12" x14ac:dyDescent="0.35">
      <c r="A384" t="s">
        <v>354</v>
      </c>
      <c r="B384" s="1">
        <v>45726</v>
      </c>
      <c r="C384" t="s">
        <v>7018</v>
      </c>
      <c r="D384" t="s">
        <v>719</v>
      </c>
      <c r="E384" t="s">
        <v>7019</v>
      </c>
      <c r="F384" t="s">
        <v>6802</v>
      </c>
      <c r="H384" t="s">
        <v>720</v>
      </c>
      <c r="J384">
        <v>2100000</v>
      </c>
      <c r="L384" t="s">
        <v>6803</v>
      </c>
    </row>
    <row r="385" spans="1:12" x14ac:dyDescent="0.35">
      <c r="A385" t="s">
        <v>354</v>
      </c>
      <c r="B385" s="1">
        <v>45726</v>
      </c>
      <c r="C385" t="s">
        <v>7018</v>
      </c>
      <c r="D385" t="s">
        <v>719</v>
      </c>
      <c r="E385" t="s">
        <v>7019</v>
      </c>
      <c r="F385" t="s">
        <v>6804</v>
      </c>
      <c r="G385" t="s">
        <v>6934</v>
      </c>
      <c r="H385" t="s">
        <v>720</v>
      </c>
      <c r="I385" s="1">
        <v>45786</v>
      </c>
      <c r="K385">
        <v>2100000</v>
      </c>
      <c r="L385" t="s">
        <v>6803</v>
      </c>
    </row>
    <row r="386" spans="1:12" x14ac:dyDescent="0.35">
      <c r="A386" t="s">
        <v>354</v>
      </c>
      <c r="B386" s="1">
        <v>45726</v>
      </c>
      <c r="C386" t="s">
        <v>7020</v>
      </c>
      <c r="D386" t="s">
        <v>721</v>
      </c>
      <c r="E386" t="s">
        <v>7021</v>
      </c>
      <c r="F386" t="s">
        <v>6802</v>
      </c>
      <c r="H386" t="s">
        <v>722</v>
      </c>
      <c r="J386">
        <v>90000</v>
      </c>
      <c r="L386" t="s">
        <v>6803</v>
      </c>
    </row>
    <row r="387" spans="1:12" x14ac:dyDescent="0.35">
      <c r="A387" t="s">
        <v>354</v>
      </c>
      <c r="B387" s="1">
        <v>45726</v>
      </c>
      <c r="C387" t="s">
        <v>7020</v>
      </c>
      <c r="D387" t="s">
        <v>721</v>
      </c>
      <c r="E387" t="s">
        <v>7021</v>
      </c>
      <c r="F387" t="s">
        <v>6804</v>
      </c>
      <c r="G387" t="s">
        <v>6934</v>
      </c>
      <c r="H387" t="s">
        <v>722</v>
      </c>
      <c r="I387" s="1">
        <v>45786</v>
      </c>
      <c r="K387">
        <v>90000</v>
      </c>
      <c r="L387" t="s">
        <v>6803</v>
      </c>
    </row>
    <row r="388" spans="1:12" x14ac:dyDescent="0.35">
      <c r="A388" t="s">
        <v>354</v>
      </c>
      <c r="B388" s="1">
        <v>45726</v>
      </c>
      <c r="C388" t="s">
        <v>7022</v>
      </c>
      <c r="D388" t="s">
        <v>723</v>
      </c>
      <c r="E388" t="s">
        <v>7023</v>
      </c>
      <c r="F388" t="s">
        <v>6802</v>
      </c>
      <c r="H388" t="s">
        <v>724</v>
      </c>
      <c r="J388">
        <v>2200000</v>
      </c>
      <c r="L388" t="s">
        <v>6803</v>
      </c>
    </row>
    <row r="389" spans="1:12" x14ac:dyDescent="0.35">
      <c r="A389" t="s">
        <v>354</v>
      </c>
      <c r="B389" s="1">
        <v>45726</v>
      </c>
      <c r="C389" t="s">
        <v>7022</v>
      </c>
      <c r="D389" t="s">
        <v>723</v>
      </c>
      <c r="E389" t="s">
        <v>7023</v>
      </c>
      <c r="F389" t="s">
        <v>6804</v>
      </c>
      <c r="G389" t="s">
        <v>6934</v>
      </c>
      <c r="H389" t="s">
        <v>724</v>
      </c>
      <c r="I389" s="1">
        <v>45786</v>
      </c>
      <c r="K389">
        <v>2200000</v>
      </c>
      <c r="L389" t="s">
        <v>6803</v>
      </c>
    </row>
    <row r="390" spans="1:12" x14ac:dyDescent="0.35">
      <c r="A390" t="s">
        <v>354</v>
      </c>
      <c r="B390" s="1">
        <v>45726</v>
      </c>
      <c r="C390" t="s">
        <v>7024</v>
      </c>
      <c r="D390" t="s">
        <v>725</v>
      </c>
      <c r="E390" t="s">
        <v>7025</v>
      </c>
      <c r="F390" t="s">
        <v>6802</v>
      </c>
      <c r="H390" t="s">
        <v>726</v>
      </c>
      <c r="J390">
        <v>430000</v>
      </c>
      <c r="L390" t="s">
        <v>6803</v>
      </c>
    </row>
    <row r="391" spans="1:12" x14ac:dyDescent="0.35">
      <c r="A391" t="s">
        <v>354</v>
      </c>
      <c r="B391" s="1">
        <v>45726</v>
      </c>
      <c r="C391" t="s">
        <v>7024</v>
      </c>
      <c r="D391" t="s">
        <v>725</v>
      </c>
      <c r="E391" t="s">
        <v>7025</v>
      </c>
      <c r="F391" t="s">
        <v>6804</v>
      </c>
      <c r="G391" t="s">
        <v>6934</v>
      </c>
      <c r="H391" t="s">
        <v>726</v>
      </c>
      <c r="I391" s="1">
        <v>45786</v>
      </c>
      <c r="K391">
        <v>430000</v>
      </c>
      <c r="L391" t="s">
        <v>6803</v>
      </c>
    </row>
    <row r="392" spans="1:12" x14ac:dyDescent="0.35">
      <c r="A392" t="s">
        <v>354</v>
      </c>
      <c r="B392" s="1">
        <v>45726</v>
      </c>
      <c r="C392" t="s">
        <v>7026</v>
      </c>
      <c r="D392" t="s">
        <v>727</v>
      </c>
      <c r="E392" t="s">
        <v>7027</v>
      </c>
      <c r="F392" t="s">
        <v>6802</v>
      </c>
      <c r="H392" t="s">
        <v>728</v>
      </c>
      <c r="J392">
        <v>555000</v>
      </c>
      <c r="L392" t="s">
        <v>6803</v>
      </c>
    </row>
    <row r="393" spans="1:12" x14ac:dyDescent="0.35">
      <c r="A393" t="s">
        <v>354</v>
      </c>
      <c r="B393" s="1">
        <v>45726</v>
      </c>
      <c r="C393" t="s">
        <v>7026</v>
      </c>
      <c r="D393" t="s">
        <v>727</v>
      </c>
      <c r="E393" t="s">
        <v>7027</v>
      </c>
      <c r="F393" t="s">
        <v>6804</v>
      </c>
      <c r="G393" t="s">
        <v>6934</v>
      </c>
      <c r="H393" t="s">
        <v>728</v>
      </c>
      <c r="I393" s="1">
        <v>45786</v>
      </c>
      <c r="K393">
        <v>555000</v>
      </c>
      <c r="L393" t="s">
        <v>6803</v>
      </c>
    </row>
    <row r="394" spans="1:12" x14ac:dyDescent="0.35">
      <c r="A394" t="s">
        <v>354</v>
      </c>
      <c r="B394" s="1">
        <v>45726</v>
      </c>
      <c r="C394" t="s">
        <v>7028</v>
      </c>
      <c r="D394" t="s">
        <v>729</v>
      </c>
      <c r="E394" t="s">
        <v>7029</v>
      </c>
      <c r="F394" t="s">
        <v>6802</v>
      </c>
      <c r="H394" t="s">
        <v>730</v>
      </c>
      <c r="J394">
        <v>1845000</v>
      </c>
      <c r="L394" t="s">
        <v>6803</v>
      </c>
    </row>
    <row r="395" spans="1:12" x14ac:dyDescent="0.35">
      <c r="A395" t="s">
        <v>354</v>
      </c>
      <c r="B395" s="1">
        <v>45726</v>
      </c>
      <c r="C395" t="s">
        <v>7028</v>
      </c>
      <c r="D395" t="s">
        <v>729</v>
      </c>
      <c r="E395" t="s">
        <v>7029</v>
      </c>
      <c r="F395" t="s">
        <v>6804</v>
      </c>
      <c r="G395" t="s">
        <v>6934</v>
      </c>
      <c r="H395" t="s">
        <v>730</v>
      </c>
      <c r="I395" s="1">
        <v>45786</v>
      </c>
      <c r="K395">
        <v>1845000</v>
      </c>
      <c r="L395" t="s">
        <v>6803</v>
      </c>
    </row>
    <row r="396" spans="1:12" x14ac:dyDescent="0.35">
      <c r="A396" t="s">
        <v>354</v>
      </c>
      <c r="B396" s="1">
        <v>45726</v>
      </c>
      <c r="C396" t="s">
        <v>7030</v>
      </c>
      <c r="D396" t="s">
        <v>731</v>
      </c>
      <c r="E396" t="s">
        <v>7031</v>
      </c>
      <c r="F396" t="s">
        <v>6802</v>
      </c>
      <c r="H396" t="s">
        <v>732</v>
      </c>
      <c r="J396">
        <v>240000</v>
      </c>
      <c r="L396" t="s">
        <v>6803</v>
      </c>
    </row>
    <row r="397" spans="1:12" x14ac:dyDescent="0.35">
      <c r="A397" t="s">
        <v>354</v>
      </c>
      <c r="B397" s="1">
        <v>45726</v>
      </c>
      <c r="C397" t="s">
        <v>7030</v>
      </c>
      <c r="D397" t="s">
        <v>731</v>
      </c>
      <c r="E397" t="s">
        <v>7031</v>
      </c>
      <c r="F397" t="s">
        <v>6804</v>
      </c>
      <c r="G397" t="s">
        <v>6934</v>
      </c>
      <c r="H397" t="s">
        <v>732</v>
      </c>
      <c r="I397" s="1">
        <v>45786</v>
      </c>
      <c r="K397">
        <v>240000</v>
      </c>
      <c r="L397" t="s">
        <v>6803</v>
      </c>
    </row>
    <row r="398" spans="1:12" x14ac:dyDescent="0.35">
      <c r="A398" t="s">
        <v>354</v>
      </c>
      <c r="B398" s="1">
        <v>45726</v>
      </c>
      <c r="C398" t="s">
        <v>7032</v>
      </c>
      <c r="D398" t="s">
        <v>733</v>
      </c>
      <c r="E398" t="s">
        <v>7033</v>
      </c>
      <c r="F398" t="s">
        <v>6802</v>
      </c>
      <c r="H398" t="s">
        <v>734</v>
      </c>
      <c r="J398">
        <v>1005000</v>
      </c>
      <c r="L398" t="s">
        <v>6803</v>
      </c>
    </row>
    <row r="399" spans="1:12" x14ac:dyDescent="0.35">
      <c r="A399" t="s">
        <v>354</v>
      </c>
      <c r="B399" s="1">
        <v>45726</v>
      </c>
      <c r="C399" t="s">
        <v>7032</v>
      </c>
      <c r="D399" t="s">
        <v>733</v>
      </c>
      <c r="E399" t="s">
        <v>7033</v>
      </c>
      <c r="F399" t="s">
        <v>6804</v>
      </c>
      <c r="G399" t="s">
        <v>6934</v>
      </c>
      <c r="H399" t="s">
        <v>734</v>
      </c>
      <c r="I399" s="1">
        <v>45786</v>
      </c>
      <c r="K399">
        <v>1005000</v>
      </c>
      <c r="L399" t="s">
        <v>6803</v>
      </c>
    </row>
    <row r="400" spans="1:12" x14ac:dyDescent="0.35">
      <c r="A400" t="s">
        <v>354</v>
      </c>
      <c r="B400" s="1">
        <v>45726</v>
      </c>
      <c r="C400" t="s">
        <v>7034</v>
      </c>
      <c r="D400" t="s">
        <v>735</v>
      </c>
      <c r="E400" t="s">
        <v>7035</v>
      </c>
      <c r="F400" t="s">
        <v>6802</v>
      </c>
      <c r="H400" t="s">
        <v>736</v>
      </c>
      <c r="J400">
        <v>113000</v>
      </c>
      <c r="L400" t="s">
        <v>6803</v>
      </c>
    </row>
    <row r="401" spans="1:12" x14ac:dyDescent="0.35">
      <c r="A401" t="s">
        <v>354</v>
      </c>
      <c r="B401" s="1">
        <v>45726</v>
      </c>
      <c r="C401" t="s">
        <v>7034</v>
      </c>
      <c r="D401" t="s">
        <v>735</v>
      </c>
      <c r="E401" t="s">
        <v>7035</v>
      </c>
      <c r="F401" t="s">
        <v>6804</v>
      </c>
      <c r="G401" t="s">
        <v>6934</v>
      </c>
      <c r="H401" t="s">
        <v>736</v>
      </c>
      <c r="I401" s="1">
        <v>45786</v>
      </c>
      <c r="K401">
        <v>113000</v>
      </c>
      <c r="L401" t="s">
        <v>6803</v>
      </c>
    </row>
    <row r="402" spans="1:12" x14ac:dyDescent="0.35">
      <c r="A402" t="s">
        <v>354</v>
      </c>
      <c r="B402" s="1">
        <v>45726</v>
      </c>
      <c r="C402" t="s">
        <v>7036</v>
      </c>
      <c r="D402" t="s">
        <v>737</v>
      </c>
      <c r="E402" t="s">
        <v>7037</v>
      </c>
      <c r="F402" t="s">
        <v>6802</v>
      </c>
      <c r="H402" t="s">
        <v>738</v>
      </c>
      <c r="J402">
        <v>125300</v>
      </c>
      <c r="L402" t="s">
        <v>6803</v>
      </c>
    </row>
    <row r="403" spans="1:12" x14ac:dyDescent="0.35">
      <c r="A403" t="s">
        <v>354</v>
      </c>
      <c r="B403" s="1">
        <v>45726</v>
      </c>
      <c r="C403" t="s">
        <v>7036</v>
      </c>
      <c r="D403" t="s">
        <v>737</v>
      </c>
      <c r="E403" t="s">
        <v>7037</v>
      </c>
      <c r="F403" t="s">
        <v>6804</v>
      </c>
      <c r="G403" t="s">
        <v>6934</v>
      </c>
      <c r="H403" t="s">
        <v>738</v>
      </c>
      <c r="I403" s="1">
        <v>45786</v>
      </c>
      <c r="K403">
        <v>125300</v>
      </c>
      <c r="L403" t="s">
        <v>6803</v>
      </c>
    </row>
    <row r="404" spans="1:12" x14ac:dyDescent="0.35">
      <c r="A404" t="s">
        <v>354</v>
      </c>
      <c r="B404" s="1">
        <v>45726</v>
      </c>
      <c r="C404" t="s">
        <v>7038</v>
      </c>
      <c r="D404" t="s">
        <v>739</v>
      </c>
      <c r="E404" t="s">
        <v>7039</v>
      </c>
      <c r="F404" t="s">
        <v>6802</v>
      </c>
      <c r="H404" t="s">
        <v>740</v>
      </c>
      <c r="J404">
        <v>73000</v>
      </c>
      <c r="L404" t="s">
        <v>6803</v>
      </c>
    </row>
    <row r="405" spans="1:12" x14ac:dyDescent="0.35">
      <c r="A405" t="s">
        <v>354</v>
      </c>
      <c r="B405" s="1">
        <v>45726</v>
      </c>
      <c r="C405" t="s">
        <v>7038</v>
      </c>
      <c r="D405" t="s">
        <v>739</v>
      </c>
      <c r="E405" t="s">
        <v>7039</v>
      </c>
      <c r="F405" t="s">
        <v>6804</v>
      </c>
      <c r="G405" t="s">
        <v>6934</v>
      </c>
      <c r="H405" t="s">
        <v>740</v>
      </c>
      <c r="I405" s="1">
        <v>45786</v>
      </c>
      <c r="K405">
        <v>73000</v>
      </c>
      <c r="L405" t="s">
        <v>6803</v>
      </c>
    </row>
    <row r="406" spans="1:12" x14ac:dyDescent="0.35">
      <c r="A406" t="s">
        <v>354</v>
      </c>
      <c r="B406" s="1">
        <v>45726</v>
      </c>
      <c r="C406" t="s">
        <v>7040</v>
      </c>
      <c r="D406" t="s">
        <v>741</v>
      </c>
      <c r="E406" t="s">
        <v>7041</v>
      </c>
      <c r="F406" t="s">
        <v>6802</v>
      </c>
      <c r="H406" t="s">
        <v>742</v>
      </c>
      <c r="J406">
        <v>1435000</v>
      </c>
      <c r="L406" t="s">
        <v>6803</v>
      </c>
    </row>
    <row r="407" spans="1:12" x14ac:dyDescent="0.35">
      <c r="A407" t="s">
        <v>354</v>
      </c>
      <c r="B407" s="1">
        <v>45726</v>
      </c>
      <c r="C407" t="s">
        <v>7040</v>
      </c>
      <c r="D407" t="s">
        <v>741</v>
      </c>
      <c r="E407" t="s">
        <v>7041</v>
      </c>
      <c r="F407" t="s">
        <v>6804</v>
      </c>
      <c r="G407" t="s">
        <v>6934</v>
      </c>
      <c r="H407" t="s">
        <v>742</v>
      </c>
      <c r="I407" s="1">
        <v>45786</v>
      </c>
      <c r="K407">
        <v>1435000</v>
      </c>
      <c r="L407" t="s">
        <v>6803</v>
      </c>
    </row>
    <row r="408" spans="1:12" x14ac:dyDescent="0.35">
      <c r="A408" t="s">
        <v>354</v>
      </c>
      <c r="B408" s="1">
        <v>45726</v>
      </c>
      <c r="C408" t="s">
        <v>7042</v>
      </c>
      <c r="D408" t="s">
        <v>743</v>
      </c>
      <c r="E408" t="s">
        <v>744</v>
      </c>
      <c r="F408" t="s">
        <v>6811</v>
      </c>
      <c r="H408" t="s">
        <v>745</v>
      </c>
      <c r="J408">
        <v>78806</v>
      </c>
      <c r="L408" t="s">
        <v>6803</v>
      </c>
    </row>
    <row r="409" spans="1:12" x14ac:dyDescent="0.35">
      <c r="A409" t="s">
        <v>354</v>
      </c>
      <c r="B409" s="1">
        <v>45726</v>
      </c>
      <c r="C409" t="s">
        <v>7042</v>
      </c>
      <c r="D409" t="s">
        <v>743</v>
      </c>
      <c r="E409" t="s">
        <v>744</v>
      </c>
      <c r="F409" t="s">
        <v>6802</v>
      </c>
      <c r="H409" t="s">
        <v>745</v>
      </c>
      <c r="J409">
        <v>128700</v>
      </c>
      <c r="L409" t="s">
        <v>6803</v>
      </c>
    </row>
    <row r="410" spans="1:12" x14ac:dyDescent="0.35">
      <c r="A410" t="s">
        <v>354</v>
      </c>
      <c r="B410" s="1">
        <v>45726</v>
      </c>
      <c r="C410" t="s">
        <v>7042</v>
      </c>
      <c r="D410" t="s">
        <v>743</v>
      </c>
      <c r="E410" t="s">
        <v>744</v>
      </c>
      <c r="F410" t="s">
        <v>6804</v>
      </c>
      <c r="G410" t="s">
        <v>6989</v>
      </c>
      <c r="H410" t="s">
        <v>745</v>
      </c>
      <c r="I410" s="1">
        <v>45726</v>
      </c>
      <c r="K410">
        <v>244857</v>
      </c>
      <c r="L410" t="s">
        <v>6803</v>
      </c>
    </row>
    <row r="411" spans="1:12" x14ac:dyDescent="0.35">
      <c r="A411" t="s">
        <v>354</v>
      </c>
      <c r="B411" s="1">
        <v>45726</v>
      </c>
      <c r="C411" t="s">
        <v>7042</v>
      </c>
      <c r="D411" t="s">
        <v>743</v>
      </c>
      <c r="E411" t="s">
        <v>744</v>
      </c>
      <c r="F411" t="s">
        <v>6806</v>
      </c>
      <c r="H411" t="s">
        <v>745</v>
      </c>
      <c r="J411">
        <v>37351</v>
      </c>
      <c r="L411" t="s">
        <v>6803</v>
      </c>
    </row>
    <row r="412" spans="1:12" x14ac:dyDescent="0.35">
      <c r="A412" t="s">
        <v>354</v>
      </c>
      <c r="B412" s="1">
        <v>45726</v>
      </c>
      <c r="C412" t="s">
        <v>7043</v>
      </c>
      <c r="D412" t="s">
        <v>746</v>
      </c>
      <c r="E412" t="s">
        <v>7044</v>
      </c>
      <c r="F412" t="s">
        <v>6802</v>
      </c>
      <c r="H412" t="s">
        <v>747</v>
      </c>
      <c r="J412">
        <v>220000</v>
      </c>
      <c r="L412" t="s">
        <v>6803</v>
      </c>
    </row>
    <row r="413" spans="1:12" x14ac:dyDescent="0.35">
      <c r="A413" t="s">
        <v>354</v>
      </c>
      <c r="B413" s="1">
        <v>45726</v>
      </c>
      <c r="C413" t="s">
        <v>7043</v>
      </c>
      <c r="D413" t="s">
        <v>746</v>
      </c>
      <c r="E413" t="s">
        <v>7044</v>
      </c>
      <c r="F413" t="s">
        <v>6804</v>
      </c>
      <c r="G413" t="s">
        <v>7045</v>
      </c>
      <c r="H413" t="s">
        <v>747</v>
      </c>
      <c r="I413" s="1">
        <v>45808</v>
      </c>
      <c r="K413">
        <v>220000</v>
      </c>
      <c r="L413" t="s">
        <v>6803</v>
      </c>
    </row>
    <row r="414" spans="1:12" x14ac:dyDescent="0.35">
      <c r="A414" t="s">
        <v>354</v>
      </c>
      <c r="B414" s="1">
        <v>45728</v>
      </c>
      <c r="C414" t="s">
        <v>7046</v>
      </c>
      <c r="D414" t="s">
        <v>748</v>
      </c>
      <c r="E414" t="s">
        <v>749</v>
      </c>
      <c r="F414" t="s">
        <v>6811</v>
      </c>
      <c r="H414" t="s">
        <v>750</v>
      </c>
      <c r="J414">
        <v>14500</v>
      </c>
      <c r="L414" t="s">
        <v>6803</v>
      </c>
    </row>
    <row r="415" spans="1:12" x14ac:dyDescent="0.35">
      <c r="A415" t="s">
        <v>354</v>
      </c>
      <c r="B415" s="1">
        <v>45728</v>
      </c>
      <c r="C415" t="s">
        <v>7046</v>
      </c>
      <c r="D415" t="s">
        <v>748</v>
      </c>
      <c r="E415" t="s">
        <v>749</v>
      </c>
      <c r="F415" t="s">
        <v>6804</v>
      </c>
      <c r="G415" t="s">
        <v>6822</v>
      </c>
      <c r="H415" t="s">
        <v>750</v>
      </c>
      <c r="I415" s="1">
        <v>45728</v>
      </c>
      <c r="K415">
        <v>17110</v>
      </c>
      <c r="L415" t="s">
        <v>6803</v>
      </c>
    </row>
    <row r="416" spans="1:12" x14ac:dyDescent="0.35">
      <c r="A416" t="s">
        <v>354</v>
      </c>
      <c r="B416" s="1">
        <v>45728</v>
      </c>
      <c r="C416" t="s">
        <v>7046</v>
      </c>
      <c r="D416" t="s">
        <v>748</v>
      </c>
      <c r="E416" t="s">
        <v>749</v>
      </c>
      <c r="F416" t="s">
        <v>6806</v>
      </c>
      <c r="H416" t="s">
        <v>750</v>
      </c>
      <c r="J416">
        <v>2610</v>
      </c>
      <c r="L416" t="s">
        <v>6803</v>
      </c>
    </row>
    <row r="417" spans="1:12" x14ac:dyDescent="0.35">
      <c r="A417" t="s">
        <v>354</v>
      </c>
      <c r="B417" s="1">
        <v>45728</v>
      </c>
      <c r="C417" t="s">
        <v>7047</v>
      </c>
      <c r="D417" t="s">
        <v>751</v>
      </c>
      <c r="E417" t="s">
        <v>752</v>
      </c>
      <c r="F417" t="s">
        <v>6811</v>
      </c>
      <c r="H417" t="s">
        <v>753</v>
      </c>
      <c r="J417">
        <v>125000</v>
      </c>
      <c r="L417" t="s">
        <v>6803</v>
      </c>
    </row>
    <row r="418" spans="1:12" x14ac:dyDescent="0.35">
      <c r="A418" t="s">
        <v>354</v>
      </c>
      <c r="B418" s="1">
        <v>45728</v>
      </c>
      <c r="C418" t="s">
        <v>7047</v>
      </c>
      <c r="D418" t="s">
        <v>751</v>
      </c>
      <c r="E418" t="s">
        <v>752</v>
      </c>
      <c r="F418" t="s">
        <v>6804</v>
      </c>
      <c r="G418" t="s">
        <v>6822</v>
      </c>
      <c r="H418" t="s">
        <v>753</v>
      </c>
      <c r="I418" s="1">
        <v>45728</v>
      </c>
      <c r="K418">
        <v>147500</v>
      </c>
      <c r="L418" t="s">
        <v>6803</v>
      </c>
    </row>
    <row r="419" spans="1:12" x14ac:dyDescent="0.35">
      <c r="A419" t="s">
        <v>354</v>
      </c>
      <c r="B419" s="1">
        <v>45728</v>
      </c>
      <c r="C419" t="s">
        <v>7047</v>
      </c>
      <c r="D419" t="s">
        <v>751</v>
      </c>
      <c r="E419" t="s">
        <v>752</v>
      </c>
      <c r="F419" t="s">
        <v>6806</v>
      </c>
      <c r="H419" t="s">
        <v>753</v>
      </c>
      <c r="J419">
        <v>22500</v>
      </c>
      <c r="L419" t="s">
        <v>6803</v>
      </c>
    </row>
    <row r="420" spans="1:12" x14ac:dyDescent="0.35">
      <c r="A420" t="s">
        <v>354</v>
      </c>
      <c r="B420" s="1">
        <v>45728</v>
      </c>
      <c r="C420" t="s">
        <v>7048</v>
      </c>
      <c r="D420" t="s">
        <v>754</v>
      </c>
      <c r="E420" t="s">
        <v>755</v>
      </c>
      <c r="F420" t="s">
        <v>6811</v>
      </c>
      <c r="H420" t="s">
        <v>756</v>
      </c>
      <c r="J420">
        <v>1260</v>
      </c>
      <c r="L420" t="s">
        <v>6803</v>
      </c>
    </row>
    <row r="421" spans="1:12" x14ac:dyDescent="0.35">
      <c r="A421" t="s">
        <v>354</v>
      </c>
      <c r="B421" s="1">
        <v>45728</v>
      </c>
      <c r="C421" t="s">
        <v>7048</v>
      </c>
      <c r="D421" t="s">
        <v>754</v>
      </c>
      <c r="E421" t="s">
        <v>755</v>
      </c>
      <c r="F421" t="s">
        <v>6802</v>
      </c>
      <c r="H421" t="s">
        <v>756</v>
      </c>
      <c r="J421">
        <v>5940</v>
      </c>
      <c r="L421" t="s">
        <v>6803</v>
      </c>
    </row>
    <row r="422" spans="1:12" x14ac:dyDescent="0.35">
      <c r="A422" t="s">
        <v>354</v>
      </c>
      <c r="B422" s="1">
        <v>45728</v>
      </c>
      <c r="C422" t="s">
        <v>7048</v>
      </c>
      <c r="D422" t="s">
        <v>754</v>
      </c>
      <c r="E422" t="s">
        <v>755</v>
      </c>
      <c r="F422" t="s">
        <v>6804</v>
      </c>
      <c r="G422" t="s">
        <v>7049</v>
      </c>
      <c r="H422" t="s">
        <v>756</v>
      </c>
      <c r="I422" s="1">
        <v>45758</v>
      </c>
      <c r="K422">
        <v>8496</v>
      </c>
      <c r="L422" t="s">
        <v>6803</v>
      </c>
    </row>
    <row r="423" spans="1:12" x14ac:dyDescent="0.35">
      <c r="A423" t="s">
        <v>354</v>
      </c>
      <c r="B423" s="1">
        <v>45728</v>
      </c>
      <c r="C423" t="s">
        <v>7048</v>
      </c>
      <c r="D423" t="s">
        <v>754</v>
      </c>
      <c r="E423" t="s">
        <v>755</v>
      </c>
      <c r="F423" t="s">
        <v>6806</v>
      </c>
      <c r="H423" t="s">
        <v>756</v>
      </c>
      <c r="J423">
        <v>1296</v>
      </c>
      <c r="L423" t="s">
        <v>6803</v>
      </c>
    </row>
    <row r="424" spans="1:12" x14ac:dyDescent="0.35">
      <c r="A424" t="s">
        <v>354</v>
      </c>
      <c r="B424" s="1">
        <v>45728</v>
      </c>
      <c r="C424" t="s">
        <v>7050</v>
      </c>
      <c r="D424" t="s">
        <v>757</v>
      </c>
      <c r="E424" t="s">
        <v>758</v>
      </c>
      <c r="F424" t="s">
        <v>6802</v>
      </c>
      <c r="H424" t="s">
        <v>759</v>
      </c>
      <c r="J424">
        <v>149400</v>
      </c>
      <c r="L424" t="s">
        <v>6803</v>
      </c>
    </row>
    <row r="425" spans="1:12" x14ac:dyDescent="0.35">
      <c r="A425" t="s">
        <v>354</v>
      </c>
      <c r="B425" s="1">
        <v>45728</v>
      </c>
      <c r="C425" t="s">
        <v>7050</v>
      </c>
      <c r="D425" t="s">
        <v>757</v>
      </c>
      <c r="E425" t="s">
        <v>758</v>
      </c>
      <c r="F425" t="s">
        <v>6804</v>
      </c>
      <c r="G425" t="s">
        <v>7049</v>
      </c>
      <c r="H425" t="s">
        <v>759</v>
      </c>
      <c r="I425" s="1">
        <v>45758</v>
      </c>
      <c r="K425">
        <v>176292</v>
      </c>
      <c r="L425" t="s">
        <v>6803</v>
      </c>
    </row>
    <row r="426" spans="1:12" x14ac:dyDescent="0.35">
      <c r="A426" t="s">
        <v>354</v>
      </c>
      <c r="B426" s="1">
        <v>45728</v>
      </c>
      <c r="C426" t="s">
        <v>7050</v>
      </c>
      <c r="D426" t="s">
        <v>757</v>
      </c>
      <c r="E426" t="s">
        <v>758</v>
      </c>
      <c r="F426" t="s">
        <v>6806</v>
      </c>
      <c r="H426" t="s">
        <v>759</v>
      </c>
      <c r="J426">
        <v>26892</v>
      </c>
      <c r="L426" t="s">
        <v>6803</v>
      </c>
    </row>
    <row r="427" spans="1:12" x14ac:dyDescent="0.35">
      <c r="A427" t="s">
        <v>354</v>
      </c>
      <c r="B427" s="1">
        <v>45728</v>
      </c>
      <c r="C427" t="s">
        <v>7051</v>
      </c>
      <c r="D427" t="s">
        <v>760</v>
      </c>
      <c r="E427" t="s">
        <v>761</v>
      </c>
      <c r="F427" t="s">
        <v>6811</v>
      </c>
      <c r="H427" t="s">
        <v>762</v>
      </c>
      <c r="J427">
        <v>182459</v>
      </c>
      <c r="L427" t="s">
        <v>6803</v>
      </c>
    </row>
    <row r="428" spans="1:12" x14ac:dyDescent="0.35">
      <c r="A428" t="s">
        <v>354</v>
      </c>
      <c r="B428" s="1">
        <v>45728</v>
      </c>
      <c r="C428" t="s">
        <v>7051</v>
      </c>
      <c r="D428" t="s">
        <v>760</v>
      </c>
      <c r="E428" t="s">
        <v>761</v>
      </c>
      <c r="F428" t="s">
        <v>6804</v>
      </c>
      <c r="G428" t="s">
        <v>7049</v>
      </c>
      <c r="H428" t="s">
        <v>762</v>
      </c>
      <c r="I428" s="1">
        <v>45758</v>
      </c>
      <c r="K428">
        <v>215302</v>
      </c>
      <c r="L428" t="s">
        <v>6803</v>
      </c>
    </row>
    <row r="429" spans="1:12" x14ac:dyDescent="0.35">
      <c r="A429" t="s">
        <v>354</v>
      </c>
      <c r="B429" s="1">
        <v>45728</v>
      </c>
      <c r="C429" t="s">
        <v>7051</v>
      </c>
      <c r="D429" t="s">
        <v>760</v>
      </c>
      <c r="E429" t="s">
        <v>761</v>
      </c>
      <c r="F429" t="s">
        <v>6806</v>
      </c>
      <c r="H429" t="s">
        <v>762</v>
      </c>
      <c r="J429">
        <v>32843</v>
      </c>
      <c r="L429" t="s">
        <v>6803</v>
      </c>
    </row>
    <row r="430" spans="1:12" x14ac:dyDescent="0.35">
      <c r="A430" t="s">
        <v>354</v>
      </c>
      <c r="B430" s="1">
        <v>45728</v>
      </c>
      <c r="C430" t="s">
        <v>7052</v>
      </c>
      <c r="D430" t="s">
        <v>763</v>
      </c>
      <c r="E430" t="s">
        <v>764</v>
      </c>
      <c r="F430" t="s">
        <v>6811</v>
      </c>
      <c r="H430" t="s">
        <v>765</v>
      </c>
      <c r="J430">
        <v>90000</v>
      </c>
      <c r="L430" t="s">
        <v>6803</v>
      </c>
    </row>
    <row r="431" spans="1:12" x14ac:dyDescent="0.35">
      <c r="A431" t="s">
        <v>354</v>
      </c>
      <c r="B431" s="1">
        <v>45728</v>
      </c>
      <c r="C431" t="s">
        <v>7052</v>
      </c>
      <c r="D431" t="s">
        <v>763</v>
      </c>
      <c r="E431" t="s">
        <v>764</v>
      </c>
      <c r="F431" t="s">
        <v>6804</v>
      </c>
      <c r="G431" t="s">
        <v>6822</v>
      </c>
      <c r="H431" t="s">
        <v>765</v>
      </c>
      <c r="I431" s="1">
        <v>45808</v>
      </c>
      <c r="K431">
        <v>106200</v>
      </c>
      <c r="L431" t="s">
        <v>6803</v>
      </c>
    </row>
    <row r="432" spans="1:12" x14ac:dyDescent="0.35">
      <c r="A432" t="s">
        <v>354</v>
      </c>
      <c r="B432" s="1">
        <v>45728</v>
      </c>
      <c r="C432" t="s">
        <v>7052</v>
      </c>
      <c r="D432" t="s">
        <v>763</v>
      </c>
      <c r="E432" t="s">
        <v>764</v>
      </c>
      <c r="F432" t="s">
        <v>6806</v>
      </c>
      <c r="H432" t="s">
        <v>765</v>
      </c>
      <c r="J432">
        <v>16200</v>
      </c>
      <c r="L432" t="s">
        <v>6803</v>
      </c>
    </row>
    <row r="433" spans="1:12" x14ac:dyDescent="0.35">
      <c r="A433" t="s">
        <v>354</v>
      </c>
      <c r="B433" s="1">
        <v>45729</v>
      </c>
      <c r="C433" t="s">
        <v>7053</v>
      </c>
      <c r="D433" t="s">
        <v>766</v>
      </c>
      <c r="E433" t="s">
        <v>7054</v>
      </c>
      <c r="F433" t="s">
        <v>6811</v>
      </c>
      <c r="H433" t="s">
        <v>767</v>
      </c>
      <c r="J433">
        <v>4000</v>
      </c>
      <c r="L433" t="s">
        <v>6803</v>
      </c>
    </row>
    <row r="434" spans="1:12" x14ac:dyDescent="0.35">
      <c r="A434" t="s">
        <v>354</v>
      </c>
      <c r="B434" s="1">
        <v>45729</v>
      </c>
      <c r="C434" t="s">
        <v>7053</v>
      </c>
      <c r="D434" t="s">
        <v>766</v>
      </c>
      <c r="E434" t="s">
        <v>7054</v>
      </c>
      <c r="F434" t="s">
        <v>6802</v>
      </c>
      <c r="H434" t="s">
        <v>767</v>
      </c>
      <c r="J434">
        <v>107000</v>
      </c>
      <c r="L434" t="s">
        <v>6803</v>
      </c>
    </row>
    <row r="435" spans="1:12" x14ac:dyDescent="0.35">
      <c r="A435" t="s">
        <v>354</v>
      </c>
      <c r="B435" s="1">
        <v>45729</v>
      </c>
      <c r="C435" t="s">
        <v>7053</v>
      </c>
      <c r="D435" t="s">
        <v>766</v>
      </c>
      <c r="E435" t="s">
        <v>7054</v>
      </c>
      <c r="F435" t="s">
        <v>6804</v>
      </c>
      <c r="G435" t="s">
        <v>6934</v>
      </c>
      <c r="H435" t="s">
        <v>767</v>
      </c>
      <c r="I435" s="1">
        <v>45789</v>
      </c>
      <c r="K435">
        <v>111000</v>
      </c>
      <c r="L435" t="s">
        <v>6803</v>
      </c>
    </row>
    <row r="436" spans="1:12" x14ac:dyDescent="0.35">
      <c r="A436" t="s">
        <v>354</v>
      </c>
      <c r="B436" s="1">
        <v>45729</v>
      </c>
      <c r="C436" t="s">
        <v>7055</v>
      </c>
      <c r="D436" t="s">
        <v>768</v>
      </c>
      <c r="E436" t="s">
        <v>7056</v>
      </c>
      <c r="F436" t="s">
        <v>6802</v>
      </c>
      <c r="H436" t="s">
        <v>769</v>
      </c>
      <c r="J436">
        <v>335000</v>
      </c>
      <c r="L436" t="s">
        <v>6803</v>
      </c>
    </row>
    <row r="437" spans="1:12" x14ac:dyDescent="0.35">
      <c r="A437" t="s">
        <v>354</v>
      </c>
      <c r="B437" s="1">
        <v>45729</v>
      </c>
      <c r="C437" t="s">
        <v>7055</v>
      </c>
      <c r="D437" t="s">
        <v>768</v>
      </c>
      <c r="E437" t="s">
        <v>7056</v>
      </c>
      <c r="F437" t="s">
        <v>6804</v>
      </c>
      <c r="G437" t="s">
        <v>6934</v>
      </c>
      <c r="H437" t="s">
        <v>769</v>
      </c>
      <c r="I437" s="1">
        <v>45789</v>
      </c>
      <c r="K437">
        <v>335000</v>
      </c>
      <c r="L437" t="s">
        <v>6803</v>
      </c>
    </row>
    <row r="438" spans="1:12" x14ac:dyDescent="0.35">
      <c r="A438" t="s">
        <v>354</v>
      </c>
      <c r="B438" s="1">
        <v>45729</v>
      </c>
      <c r="C438" t="s">
        <v>7057</v>
      </c>
      <c r="D438" t="s">
        <v>770</v>
      </c>
      <c r="E438" t="s">
        <v>7058</v>
      </c>
      <c r="F438" t="s">
        <v>6802</v>
      </c>
      <c r="H438" t="s">
        <v>771</v>
      </c>
      <c r="J438">
        <v>850000</v>
      </c>
      <c r="L438" t="s">
        <v>6803</v>
      </c>
    </row>
    <row r="439" spans="1:12" x14ac:dyDescent="0.35">
      <c r="A439" t="s">
        <v>354</v>
      </c>
      <c r="B439" s="1">
        <v>45729</v>
      </c>
      <c r="C439" t="s">
        <v>7057</v>
      </c>
      <c r="D439" t="s">
        <v>770</v>
      </c>
      <c r="E439" t="s">
        <v>7058</v>
      </c>
      <c r="F439" t="s">
        <v>6804</v>
      </c>
      <c r="G439" t="s">
        <v>6934</v>
      </c>
      <c r="H439" t="s">
        <v>771</v>
      </c>
      <c r="I439" s="1">
        <v>45789</v>
      </c>
      <c r="K439">
        <v>850000</v>
      </c>
      <c r="L439" t="s">
        <v>6803</v>
      </c>
    </row>
    <row r="440" spans="1:12" x14ac:dyDescent="0.35">
      <c r="A440" t="s">
        <v>354</v>
      </c>
      <c r="B440" s="1">
        <v>45729</v>
      </c>
      <c r="C440" t="s">
        <v>7059</v>
      </c>
      <c r="D440" t="s">
        <v>772</v>
      </c>
      <c r="E440" t="s">
        <v>7060</v>
      </c>
      <c r="F440" t="s">
        <v>6802</v>
      </c>
      <c r="H440" t="s">
        <v>773</v>
      </c>
      <c r="J440">
        <v>1235000</v>
      </c>
      <c r="L440" t="s">
        <v>6803</v>
      </c>
    </row>
    <row r="441" spans="1:12" x14ac:dyDescent="0.35">
      <c r="A441" t="s">
        <v>354</v>
      </c>
      <c r="B441" s="1">
        <v>45729</v>
      </c>
      <c r="C441" t="s">
        <v>7059</v>
      </c>
      <c r="D441" t="s">
        <v>772</v>
      </c>
      <c r="E441" t="s">
        <v>7060</v>
      </c>
      <c r="F441" t="s">
        <v>6804</v>
      </c>
      <c r="G441" t="s">
        <v>6934</v>
      </c>
      <c r="H441" t="s">
        <v>773</v>
      </c>
      <c r="I441" s="1">
        <v>45789</v>
      </c>
      <c r="K441">
        <v>1235000</v>
      </c>
      <c r="L441" t="s">
        <v>6803</v>
      </c>
    </row>
    <row r="442" spans="1:12" x14ac:dyDescent="0.35">
      <c r="A442" t="s">
        <v>354</v>
      </c>
      <c r="B442" s="1">
        <v>45729</v>
      </c>
      <c r="C442" t="s">
        <v>7061</v>
      </c>
      <c r="D442" t="s">
        <v>774</v>
      </c>
      <c r="E442" t="s">
        <v>7062</v>
      </c>
      <c r="F442" t="s">
        <v>6802</v>
      </c>
      <c r="H442" t="s">
        <v>775</v>
      </c>
      <c r="J442">
        <v>351500</v>
      </c>
      <c r="L442" t="s">
        <v>6803</v>
      </c>
    </row>
    <row r="443" spans="1:12" x14ac:dyDescent="0.35">
      <c r="A443" t="s">
        <v>354</v>
      </c>
      <c r="B443" s="1">
        <v>45729</v>
      </c>
      <c r="C443" t="s">
        <v>7061</v>
      </c>
      <c r="D443" t="s">
        <v>774</v>
      </c>
      <c r="E443" t="s">
        <v>7062</v>
      </c>
      <c r="F443" t="s">
        <v>6804</v>
      </c>
      <c r="G443" t="s">
        <v>6934</v>
      </c>
      <c r="H443" t="s">
        <v>775</v>
      </c>
      <c r="I443" s="1">
        <v>45789</v>
      </c>
      <c r="K443">
        <v>351500</v>
      </c>
      <c r="L443" t="s">
        <v>6803</v>
      </c>
    </row>
    <row r="444" spans="1:12" x14ac:dyDescent="0.35">
      <c r="A444" t="s">
        <v>354</v>
      </c>
      <c r="B444" s="1">
        <v>45729</v>
      </c>
      <c r="C444" t="s">
        <v>7063</v>
      </c>
      <c r="D444" t="s">
        <v>776</v>
      </c>
      <c r="E444" t="s">
        <v>7064</v>
      </c>
      <c r="F444" t="s">
        <v>6802</v>
      </c>
      <c r="H444" t="s">
        <v>777</v>
      </c>
      <c r="J444">
        <v>385000</v>
      </c>
      <c r="L444" t="s">
        <v>6803</v>
      </c>
    </row>
    <row r="445" spans="1:12" x14ac:dyDescent="0.35">
      <c r="A445" t="s">
        <v>354</v>
      </c>
      <c r="B445" s="1">
        <v>45729</v>
      </c>
      <c r="C445" t="s">
        <v>7063</v>
      </c>
      <c r="D445" t="s">
        <v>776</v>
      </c>
      <c r="E445" t="s">
        <v>7064</v>
      </c>
      <c r="F445" t="s">
        <v>6804</v>
      </c>
      <c r="G445" t="s">
        <v>6934</v>
      </c>
      <c r="H445" t="s">
        <v>777</v>
      </c>
      <c r="I445" s="1">
        <v>45789</v>
      </c>
      <c r="K445">
        <v>385000</v>
      </c>
      <c r="L445" t="s">
        <v>6803</v>
      </c>
    </row>
    <row r="446" spans="1:12" x14ac:dyDescent="0.35">
      <c r="A446" t="s">
        <v>354</v>
      </c>
      <c r="B446" s="1">
        <v>45729</v>
      </c>
      <c r="C446" t="s">
        <v>7065</v>
      </c>
      <c r="D446" t="s">
        <v>778</v>
      </c>
      <c r="E446" t="s">
        <v>7066</v>
      </c>
      <c r="F446" t="s">
        <v>6802</v>
      </c>
      <c r="H446" t="s">
        <v>779</v>
      </c>
      <c r="J446">
        <v>340000</v>
      </c>
      <c r="L446" t="s">
        <v>6803</v>
      </c>
    </row>
    <row r="447" spans="1:12" x14ac:dyDescent="0.35">
      <c r="A447" t="s">
        <v>354</v>
      </c>
      <c r="B447" s="1">
        <v>45729</v>
      </c>
      <c r="C447" t="s">
        <v>7065</v>
      </c>
      <c r="D447" t="s">
        <v>778</v>
      </c>
      <c r="E447" t="s">
        <v>7066</v>
      </c>
      <c r="F447" t="s">
        <v>6804</v>
      </c>
      <c r="G447" t="s">
        <v>6934</v>
      </c>
      <c r="H447" t="s">
        <v>779</v>
      </c>
      <c r="I447" s="1">
        <v>45789</v>
      </c>
      <c r="K447">
        <v>340000</v>
      </c>
      <c r="L447" t="s">
        <v>6803</v>
      </c>
    </row>
    <row r="448" spans="1:12" x14ac:dyDescent="0.35">
      <c r="A448" t="s">
        <v>354</v>
      </c>
      <c r="B448" s="1">
        <v>45729</v>
      </c>
      <c r="C448" t="s">
        <v>7067</v>
      </c>
      <c r="D448" t="s">
        <v>780</v>
      </c>
      <c r="E448" t="s">
        <v>7068</v>
      </c>
      <c r="F448" t="s">
        <v>6802</v>
      </c>
      <c r="H448" t="s">
        <v>781</v>
      </c>
      <c r="J448">
        <v>265000</v>
      </c>
      <c r="L448" t="s">
        <v>6803</v>
      </c>
    </row>
    <row r="449" spans="1:12" x14ac:dyDescent="0.35">
      <c r="A449" t="s">
        <v>354</v>
      </c>
      <c r="B449" s="1">
        <v>45729</v>
      </c>
      <c r="C449" t="s">
        <v>7067</v>
      </c>
      <c r="D449" t="s">
        <v>780</v>
      </c>
      <c r="E449" t="s">
        <v>7068</v>
      </c>
      <c r="F449" t="s">
        <v>6804</v>
      </c>
      <c r="G449" t="s">
        <v>6934</v>
      </c>
      <c r="H449" t="s">
        <v>781</v>
      </c>
      <c r="I449" s="1">
        <v>45789</v>
      </c>
      <c r="K449">
        <v>265000</v>
      </c>
      <c r="L449" t="s">
        <v>6803</v>
      </c>
    </row>
    <row r="450" spans="1:12" x14ac:dyDescent="0.35">
      <c r="A450" t="s">
        <v>354</v>
      </c>
      <c r="B450" s="1">
        <v>45729</v>
      </c>
      <c r="C450" t="s">
        <v>7069</v>
      </c>
      <c r="D450" t="s">
        <v>782</v>
      </c>
      <c r="E450" t="s">
        <v>7070</v>
      </c>
      <c r="F450" t="s">
        <v>6802</v>
      </c>
      <c r="H450" t="s">
        <v>783</v>
      </c>
      <c r="J450">
        <v>185000</v>
      </c>
      <c r="L450" t="s">
        <v>6803</v>
      </c>
    </row>
    <row r="451" spans="1:12" x14ac:dyDescent="0.35">
      <c r="A451" t="s">
        <v>354</v>
      </c>
      <c r="B451" s="1">
        <v>45729</v>
      </c>
      <c r="C451" t="s">
        <v>7069</v>
      </c>
      <c r="D451" t="s">
        <v>782</v>
      </c>
      <c r="E451" t="s">
        <v>7070</v>
      </c>
      <c r="F451" t="s">
        <v>6804</v>
      </c>
      <c r="G451" t="s">
        <v>6934</v>
      </c>
      <c r="H451" t="s">
        <v>783</v>
      </c>
      <c r="I451" s="1">
        <v>45789</v>
      </c>
      <c r="K451">
        <v>185000</v>
      </c>
      <c r="L451" t="s">
        <v>6803</v>
      </c>
    </row>
    <row r="452" spans="1:12" x14ac:dyDescent="0.35">
      <c r="A452" t="s">
        <v>354</v>
      </c>
      <c r="B452" s="1">
        <v>45729</v>
      </c>
      <c r="C452" t="s">
        <v>7071</v>
      </c>
      <c r="D452" t="s">
        <v>784</v>
      </c>
      <c r="E452" t="s">
        <v>7072</v>
      </c>
      <c r="F452" t="s">
        <v>6802</v>
      </c>
      <c r="H452" t="s">
        <v>785</v>
      </c>
      <c r="J452">
        <v>330000</v>
      </c>
      <c r="L452" t="s">
        <v>6803</v>
      </c>
    </row>
    <row r="453" spans="1:12" x14ac:dyDescent="0.35">
      <c r="A453" t="s">
        <v>354</v>
      </c>
      <c r="B453" s="1">
        <v>45729</v>
      </c>
      <c r="C453" t="s">
        <v>7071</v>
      </c>
      <c r="D453" t="s">
        <v>784</v>
      </c>
      <c r="E453" t="s">
        <v>7072</v>
      </c>
      <c r="F453" t="s">
        <v>6804</v>
      </c>
      <c r="G453" t="s">
        <v>6934</v>
      </c>
      <c r="H453" t="s">
        <v>785</v>
      </c>
      <c r="I453" s="1">
        <v>45789</v>
      </c>
      <c r="K453">
        <v>330000</v>
      </c>
      <c r="L453" t="s">
        <v>6803</v>
      </c>
    </row>
    <row r="454" spans="1:12" x14ac:dyDescent="0.35">
      <c r="A454" t="s">
        <v>354</v>
      </c>
      <c r="B454" s="1">
        <v>45729</v>
      </c>
      <c r="C454" t="s">
        <v>7073</v>
      </c>
      <c r="D454" t="s">
        <v>786</v>
      </c>
      <c r="E454" t="s">
        <v>7074</v>
      </c>
      <c r="F454" t="s">
        <v>6802</v>
      </c>
      <c r="H454" t="s">
        <v>787</v>
      </c>
      <c r="J454">
        <v>305000</v>
      </c>
      <c r="L454" t="s">
        <v>6803</v>
      </c>
    </row>
    <row r="455" spans="1:12" x14ac:dyDescent="0.35">
      <c r="A455" t="s">
        <v>354</v>
      </c>
      <c r="B455" s="1">
        <v>45729</v>
      </c>
      <c r="C455" t="s">
        <v>7073</v>
      </c>
      <c r="D455" t="s">
        <v>786</v>
      </c>
      <c r="E455" t="s">
        <v>7074</v>
      </c>
      <c r="F455" t="s">
        <v>6804</v>
      </c>
      <c r="G455" t="s">
        <v>6934</v>
      </c>
      <c r="H455" t="s">
        <v>787</v>
      </c>
      <c r="I455" s="1">
        <v>45789</v>
      </c>
      <c r="K455">
        <v>305000</v>
      </c>
      <c r="L455" t="s">
        <v>6803</v>
      </c>
    </row>
    <row r="456" spans="1:12" x14ac:dyDescent="0.35">
      <c r="A456" t="s">
        <v>354</v>
      </c>
      <c r="B456" s="1">
        <v>45729</v>
      </c>
      <c r="C456" t="s">
        <v>7075</v>
      </c>
      <c r="D456" t="s">
        <v>788</v>
      </c>
      <c r="E456" t="s">
        <v>7076</v>
      </c>
      <c r="F456" t="s">
        <v>6802</v>
      </c>
      <c r="H456" t="s">
        <v>789</v>
      </c>
      <c r="J456">
        <v>214000</v>
      </c>
      <c r="L456" t="s">
        <v>6803</v>
      </c>
    </row>
    <row r="457" spans="1:12" x14ac:dyDescent="0.35">
      <c r="A457" t="s">
        <v>354</v>
      </c>
      <c r="B457" s="1">
        <v>45729</v>
      </c>
      <c r="C457" t="s">
        <v>7075</v>
      </c>
      <c r="D457" t="s">
        <v>788</v>
      </c>
      <c r="E457" t="s">
        <v>7076</v>
      </c>
      <c r="F457" t="s">
        <v>6804</v>
      </c>
      <c r="G457" t="s">
        <v>6934</v>
      </c>
      <c r="H457" t="s">
        <v>789</v>
      </c>
      <c r="I457" s="1">
        <v>45789</v>
      </c>
      <c r="K457">
        <v>214000</v>
      </c>
      <c r="L457" t="s">
        <v>6803</v>
      </c>
    </row>
    <row r="458" spans="1:12" x14ac:dyDescent="0.35">
      <c r="A458" t="s">
        <v>354</v>
      </c>
      <c r="B458" s="1">
        <v>45729</v>
      </c>
      <c r="C458" t="s">
        <v>7077</v>
      </c>
      <c r="D458" t="s">
        <v>790</v>
      </c>
      <c r="E458" t="s">
        <v>7078</v>
      </c>
      <c r="F458" t="s">
        <v>6802</v>
      </c>
      <c r="H458" t="s">
        <v>791</v>
      </c>
      <c r="J458">
        <v>150000</v>
      </c>
      <c r="L458" t="s">
        <v>6803</v>
      </c>
    </row>
    <row r="459" spans="1:12" x14ac:dyDescent="0.35">
      <c r="A459" t="s">
        <v>354</v>
      </c>
      <c r="B459" s="1">
        <v>45729</v>
      </c>
      <c r="C459" t="s">
        <v>7077</v>
      </c>
      <c r="D459" t="s">
        <v>790</v>
      </c>
      <c r="E459" t="s">
        <v>7078</v>
      </c>
      <c r="F459" t="s">
        <v>6804</v>
      </c>
      <c r="G459" t="s">
        <v>6934</v>
      </c>
      <c r="H459" t="s">
        <v>791</v>
      </c>
      <c r="I459" s="1">
        <v>45789</v>
      </c>
      <c r="K459">
        <v>150000</v>
      </c>
      <c r="L459" t="s">
        <v>6803</v>
      </c>
    </row>
    <row r="460" spans="1:12" x14ac:dyDescent="0.35">
      <c r="A460" t="s">
        <v>354</v>
      </c>
      <c r="B460" s="1">
        <v>45729</v>
      </c>
      <c r="C460" t="s">
        <v>7079</v>
      </c>
      <c r="D460" t="s">
        <v>792</v>
      </c>
      <c r="E460" t="s">
        <v>7080</v>
      </c>
      <c r="F460" t="s">
        <v>6802</v>
      </c>
      <c r="H460" t="s">
        <v>793</v>
      </c>
      <c r="J460">
        <v>255000</v>
      </c>
      <c r="L460" t="s">
        <v>6803</v>
      </c>
    </row>
    <row r="461" spans="1:12" x14ac:dyDescent="0.35">
      <c r="A461" t="s">
        <v>354</v>
      </c>
      <c r="B461" s="1">
        <v>45729</v>
      </c>
      <c r="C461" t="s">
        <v>7079</v>
      </c>
      <c r="D461" t="s">
        <v>792</v>
      </c>
      <c r="E461" t="s">
        <v>7080</v>
      </c>
      <c r="F461" t="s">
        <v>6804</v>
      </c>
      <c r="G461" t="s">
        <v>6934</v>
      </c>
      <c r="H461" t="s">
        <v>793</v>
      </c>
      <c r="I461" s="1">
        <v>45789</v>
      </c>
      <c r="K461">
        <v>255000</v>
      </c>
      <c r="L461" t="s">
        <v>6803</v>
      </c>
    </row>
    <row r="462" spans="1:12" x14ac:dyDescent="0.35">
      <c r="A462" t="s">
        <v>354</v>
      </c>
      <c r="B462" s="1">
        <v>45729</v>
      </c>
      <c r="C462" t="s">
        <v>7081</v>
      </c>
      <c r="D462" t="s">
        <v>794</v>
      </c>
      <c r="E462" t="s">
        <v>7082</v>
      </c>
      <c r="F462" t="s">
        <v>6802</v>
      </c>
      <c r="H462" t="s">
        <v>795</v>
      </c>
      <c r="J462">
        <v>255300</v>
      </c>
      <c r="L462" t="s">
        <v>6803</v>
      </c>
    </row>
    <row r="463" spans="1:12" x14ac:dyDescent="0.35">
      <c r="A463" t="s">
        <v>354</v>
      </c>
      <c r="B463" s="1">
        <v>45729</v>
      </c>
      <c r="C463" t="s">
        <v>7081</v>
      </c>
      <c r="D463" t="s">
        <v>794</v>
      </c>
      <c r="E463" t="s">
        <v>7082</v>
      </c>
      <c r="F463" t="s">
        <v>6804</v>
      </c>
      <c r="G463" t="s">
        <v>6934</v>
      </c>
      <c r="H463" t="s">
        <v>795</v>
      </c>
      <c r="I463" s="1">
        <v>45789</v>
      </c>
      <c r="K463">
        <v>255300</v>
      </c>
      <c r="L463" t="s">
        <v>6803</v>
      </c>
    </row>
    <row r="464" spans="1:12" x14ac:dyDescent="0.35">
      <c r="A464" t="s">
        <v>354</v>
      </c>
      <c r="B464" s="1">
        <v>45729</v>
      </c>
      <c r="C464" t="s">
        <v>7083</v>
      </c>
      <c r="D464" t="s">
        <v>796</v>
      </c>
      <c r="E464" t="s">
        <v>7084</v>
      </c>
      <c r="F464" t="s">
        <v>6802</v>
      </c>
      <c r="H464" t="s">
        <v>797</v>
      </c>
      <c r="J464">
        <v>285000</v>
      </c>
      <c r="L464" t="s">
        <v>6803</v>
      </c>
    </row>
    <row r="465" spans="1:12" x14ac:dyDescent="0.35">
      <c r="A465" t="s">
        <v>354</v>
      </c>
      <c r="B465" s="1">
        <v>45729</v>
      </c>
      <c r="C465" t="s">
        <v>7083</v>
      </c>
      <c r="D465" t="s">
        <v>796</v>
      </c>
      <c r="E465" t="s">
        <v>7084</v>
      </c>
      <c r="F465" t="s">
        <v>6804</v>
      </c>
      <c r="G465" t="s">
        <v>6934</v>
      </c>
      <c r="H465" t="s">
        <v>797</v>
      </c>
      <c r="I465" s="1">
        <v>45789</v>
      </c>
      <c r="K465">
        <v>285000</v>
      </c>
      <c r="L465" t="s">
        <v>6803</v>
      </c>
    </row>
    <row r="466" spans="1:12" x14ac:dyDescent="0.35">
      <c r="A466" t="s">
        <v>354</v>
      </c>
      <c r="B466" s="1">
        <v>45729</v>
      </c>
      <c r="C466" t="s">
        <v>7085</v>
      </c>
      <c r="D466" t="s">
        <v>798</v>
      </c>
      <c r="E466" t="s">
        <v>7086</v>
      </c>
      <c r="F466" t="s">
        <v>6802</v>
      </c>
      <c r="H466" t="s">
        <v>799</v>
      </c>
      <c r="J466">
        <v>550000</v>
      </c>
      <c r="L466" t="s">
        <v>6803</v>
      </c>
    </row>
    <row r="467" spans="1:12" x14ac:dyDescent="0.35">
      <c r="A467" t="s">
        <v>354</v>
      </c>
      <c r="B467" s="1">
        <v>45729</v>
      </c>
      <c r="C467" t="s">
        <v>7085</v>
      </c>
      <c r="D467" t="s">
        <v>798</v>
      </c>
      <c r="E467" t="s">
        <v>7086</v>
      </c>
      <c r="F467" t="s">
        <v>6804</v>
      </c>
      <c r="G467" t="s">
        <v>6934</v>
      </c>
      <c r="H467" t="s">
        <v>799</v>
      </c>
      <c r="I467" s="1">
        <v>45789</v>
      </c>
      <c r="K467">
        <v>550000</v>
      </c>
      <c r="L467" t="s">
        <v>6803</v>
      </c>
    </row>
    <row r="468" spans="1:12" x14ac:dyDescent="0.35">
      <c r="A468" t="s">
        <v>354</v>
      </c>
      <c r="B468" s="1">
        <v>45729</v>
      </c>
      <c r="C468" t="s">
        <v>7087</v>
      </c>
      <c r="D468" t="s">
        <v>800</v>
      </c>
      <c r="E468" t="s">
        <v>7088</v>
      </c>
      <c r="F468" t="s">
        <v>6802</v>
      </c>
      <c r="H468" t="s">
        <v>801</v>
      </c>
      <c r="J468">
        <v>325300</v>
      </c>
      <c r="L468" t="s">
        <v>6803</v>
      </c>
    </row>
    <row r="469" spans="1:12" x14ac:dyDescent="0.35">
      <c r="A469" t="s">
        <v>354</v>
      </c>
      <c r="B469" s="1">
        <v>45729</v>
      </c>
      <c r="C469" t="s">
        <v>7087</v>
      </c>
      <c r="D469" t="s">
        <v>800</v>
      </c>
      <c r="E469" t="s">
        <v>7088</v>
      </c>
      <c r="F469" t="s">
        <v>6804</v>
      </c>
      <c r="G469" t="s">
        <v>6934</v>
      </c>
      <c r="H469" t="s">
        <v>801</v>
      </c>
      <c r="I469" s="1">
        <v>45789</v>
      </c>
      <c r="K469">
        <v>325300</v>
      </c>
      <c r="L469" t="s">
        <v>6803</v>
      </c>
    </row>
    <row r="470" spans="1:12" x14ac:dyDescent="0.35">
      <c r="A470" t="s">
        <v>354</v>
      </c>
      <c r="B470" s="1">
        <v>45729</v>
      </c>
      <c r="C470" t="s">
        <v>7089</v>
      </c>
      <c r="D470" t="s">
        <v>802</v>
      </c>
      <c r="E470" t="s">
        <v>7090</v>
      </c>
      <c r="F470" t="s">
        <v>6802</v>
      </c>
      <c r="H470" t="s">
        <v>803</v>
      </c>
      <c r="J470">
        <v>180300</v>
      </c>
      <c r="L470" t="s">
        <v>6803</v>
      </c>
    </row>
    <row r="471" spans="1:12" x14ac:dyDescent="0.35">
      <c r="A471" t="s">
        <v>354</v>
      </c>
      <c r="B471" s="1">
        <v>45729</v>
      </c>
      <c r="C471" t="s">
        <v>7089</v>
      </c>
      <c r="D471" t="s">
        <v>802</v>
      </c>
      <c r="E471" t="s">
        <v>7090</v>
      </c>
      <c r="F471" t="s">
        <v>6804</v>
      </c>
      <c r="G471" t="s">
        <v>6934</v>
      </c>
      <c r="H471" t="s">
        <v>803</v>
      </c>
      <c r="I471" s="1">
        <v>45789</v>
      </c>
      <c r="K471">
        <v>180300</v>
      </c>
      <c r="L471" t="s">
        <v>6803</v>
      </c>
    </row>
    <row r="472" spans="1:12" x14ac:dyDescent="0.35">
      <c r="A472" t="s">
        <v>354</v>
      </c>
      <c r="B472" s="1">
        <v>45729</v>
      </c>
      <c r="C472" t="s">
        <v>7091</v>
      </c>
      <c r="D472" t="s">
        <v>804</v>
      </c>
      <c r="E472" t="s">
        <v>7092</v>
      </c>
      <c r="F472" t="s">
        <v>6802</v>
      </c>
      <c r="H472" t="s">
        <v>805</v>
      </c>
      <c r="J472">
        <v>1600000</v>
      </c>
      <c r="L472" t="s">
        <v>6803</v>
      </c>
    </row>
    <row r="473" spans="1:12" x14ac:dyDescent="0.35">
      <c r="A473" t="s">
        <v>354</v>
      </c>
      <c r="B473" s="1">
        <v>45729</v>
      </c>
      <c r="C473" t="s">
        <v>7091</v>
      </c>
      <c r="D473" t="s">
        <v>804</v>
      </c>
      <c r="E473" t="s">
        <v>7092</v>
      </c>
      <c r="F473" t="s">
        <v>6804</v>
      </c>
      <c r="G473" t="s">
        <v>6934</v>
      </c>
      <c r="H473" t="s">
        <v>805</v>
      </c>
      <c r="I473" s="1">
        <v>45789</v>
      </c>
      <c r="K473">
        <v>1600000</v>
      </c>
      <c r="L473" t="s">
        <v>6803</v>
      </c>
    </row>
    <row r="474" spans="1:12" x14ac:dyDescent="0.35">
      <c r="A474" t="s">
        <v>354</v>
      </c>
      <c r="B474" s="1">
        <v>45729</v>
      </c>
      <c r="C474" t="s">
        <v>7093</v>
      </c>
      <c r="D474" t="s">
        <v>806</v>
      </c>
      <c r="E474" t="s">
        <v>7094</v>
      </c>
      <c r="F474" t="s">
        <v>6802</v>
      </c>
      <c r="H474" t="s">
        <v>807</v>
      </c>
      <c r="J474">
        <v>773500</v>
      </c>
      <c r="L474" t="s">
        <v>6803</v>
      </c>
    </row>
    <row r="475" spans="1:12" x14ac:dyDescent="0.35">
      <c r="A475" t="s">
        <v>354</v>
      </c>
      <c r="B475" s="1">
        <v>45729</v>
      </c>
      <c r="C475" t="s">
        <v>7093</v>
      </c>
      <c r="D475" t="s">
        <v>806</v>
      </c>
      <c r="E475" t="s">
        <v>7094</v>
      </c>
      <c r="F475" t="s">
        <v>6804</v>
      </c>
      <c r="G475" t="s">
        <v>6934</v>
      </c>
      <c r="H475" t="s">
        <v>807</v>
      </c>
      <c r="I475" s="1">
        <v>45789</v>
      </c>
      <c r="K475">
        <v>773500</v>
      </c>
      <c r="L475" t="s">
        <v>6803</v>
      </c>
    </row>
    <row r="476" spans="1:12" x14ac:dyDescent="0.35">
      <c r="A476" t="s">
        <v>354</v>
      </c>
      <c r="B476" s="1">
        <v>45729</v>
      </c>
      <c r="C476" t="s">
        <v>7095</v>
      </c>
      <c r="D476" t="s">
        <v>808</v>
      </c>
      <c r="E476" t="s">
        <v>7096</v>
      </c>
      <c r="F476" t="s">
        <v>6802</v>
      </c>
      <c r="H476" t="s">
        <v>809</v>
      </c>
      <c r="J476">
        <v>170000</v>
      </c>
      <c r="L476" t="s">
        <v>6803</v>
      </c>
    </row>
    <row r="477" spans="1:12" x14ac:dyDescent="0.35">
      <c r="A477" t="s">
        <v>354</v>
      </c>
      <c r="B477" s="1">
        <v>45729</v>
      </c>
      <c r="C477" t="s">
        <v>7095</v>
      </c>
      <c r="D477" t="s">
        <v>808</v>
      </c>
      <c r="E477" t="s">
        <v>7096</v>
      </c>
      <c r="F477" t="s">
        <v>6804</v>
      </c>
      <c r="G477" t="s">
        <v>7097</v>
      </c>
      <c r="H477" t="s">
        <v>809</v>
      </c>
      <c r="I477" s="1">
        <v>45729</v>
      </c>
      <c r="K477">
        <v>170000</v>
      </c>
      <c r="L477" t="s">
        <v>6803</v>
      </c>
    </row>
    <row r="478" spans="1:12" x14ac:dyDescent="0.35">
      <c r="A478" t="s">
        <v>354</v>
      </c>
      <c r="B478" s="1">
        <v>45729</v>
      </c>
      <c r="C478" t="s">
        <v>7098</v>
      </c>
      <c r="D478" t="s">
        <v>810</v>
      </c>
      <c r="E478" t="s">
        <v>7099</v>
      </c>
      <c r="F478" t="s">
        <v>6802</v>
      </c>
      <c r="H478" t="s">
        <v>811</v>
      </c>
      <c r="J478">
        <v>530000</v>
      </c>
      <c r="L478" t="s">
        <v>6803</v>
      </c>
    </row>
    <row r="479" spans="1:12" x14ac:dyDescent="0.35">
      <c r="A479" t="s">
        <v>354</v>
      </c>
      <c r="B479" s="1">
        <v>45729</v>
      </c>
      <c r="C479" t="s">
        <v>7098</v>
      </c>
      <c r="D479" t="s">
        <v>810</v>
      </c>
      <c r="E479" t="s">
        <v>7099</v>
      </c>
      <c r="F479" t="s">
        <v>6804</v>
      </c>
      <c r="G479" t="s">
        <v>6934</v>
      </c>
      <c r="H479" t="s">
        <v>811</v>
      </c>
      <c r="I479" s="1">
        <v>45789</v>
      </c>
      <c r="K479">
        <v>530000</v>
      </c>
      <c r="L479" t="s">
        <v>6803</v>
      </c>
    </row>
    <row r="480" spans="1:12" x14ac:dyDescent="0.35">
      <c r="A480" t="s">
        <v>354</v>
      </c>
      <c r="B480" s="1">
        <v>45730</v>
      </c>
      <c r="C480" t="s">
        <v>7100</v>
      </c>
      <c r="D480" t="s">
        <v>812</v>
      </c>
      <c r="E480" t="s">
        <v>7101</v>
      </c>
      <c r="F480" t="s">
        <v>6811</v>
      </c>
      <c r="H480" t="s">
        <v>813</v>
      </c>
      <c r="J480">
        <v>17000</v>
      </c>
      <c r="L480" t="s">
        <v>6803</v>
      </c>
    </row>
    <row r="481" spans="1:12" x14ac:dyDescent="0.35">
      <c r="A481" t="s">
        <v>354</v>
      </c>
      <c r="B481" s="1">
        <v>45730</v>
      </c>
      <c r="C481" t="s">
        <v>7100</v>
      </c>
      <c r="D481" t="s">
        <v>812</v>
      </c>
      <c r="E481" t="s">
        <v>7101</v>
      </c>
      <c r="F481" t="s">
        <v>6804</v>
      </c>
      <c r="G481" t="s">
        <v>6981</v>
      </c>
      <c r="H481" t="s">
        <v>813</v>
      </c>
      <c r="I481" s="1">
        <v>45730</v>
      </c>
      <c r="K481">
        <v>17000</v>
      </c>
      <c r="L481" t="s">
        <v>6803</v>
      </c>
    </row>
    <row r="482" spans="1:12" x14ac:dyDescent="0.35">
      <c r="A482" t="s">
        <v>354</v>
      </c>
      <c r="B482" s="1">
        <v>45730</v>
      </c>
      <c r="C482" t="s">
        <v>7102</v>
      </c>
      <c r="D482" t="s">
        <v>814</v>
      </c>
      <c r="E482" t="s">
        <v>815</v>
      </c>
      <c r="F482" t="s">
        <v>6802</v>
      </c>
      <c r="H482" t="s">
        <v>816</v>
      </c>
      <c r="J482">
        <v>87518</v>
      </c>
      <c r="L482" t="s">
        <v>6803</v>
      </c>
    </row>
    <row r="483" spans="1:12" x14ac:dyDescent="0.35">
      <c r="A483" t="s">
        <v>354</v>
      </c>
      <c r="B483" s="1">
        <v>45730</v>
      </c>
      <c r="C483" t="s">
        <v>7102</v>
      </c>
      <c r="D483" t="s">
        <v>814</v>
      </c>
      <c r="E483" t="s">
        <v>815</v>
      </c>
      <c r="F483" t="s">
        <v>6804</v>
      </c>
      <c r="G483" t="s">
        <v>7103</v>
      </c>
      <c r="H483" t="s">
        <v>816</v>
      </c>
      <c r="I483" s="1">
        <v>45790</v>
      </c>
      <c r="K483">
        <v>87518</v>
      </c>
      <c r="L483" t="s">
        <v>6803</v>
      </c>
    </row>
    <row r="484" spans="1:12" x14ac:dyDescent="0.35">
      <c r="A484" t="s">
        <v>354</v>
      </c>
      <c r="B484" s="1">
        <v>45730</v>
      </c>
      <c r="C484" t="s">
        <v>7104</v>
      </c>
      <c r="D484" t="s">
        <v>817</v>
      </c>
      <c r="E484" t="s">
        <v>818</v>
      </c>
      <c r="F484" t="s">
        <v>6802</v>
      </c>
      <c r="H484" t="s">
        <v>819</v>
      </c>
      <c r="J484">
        <v>405999</v>
      </c>
      <c r="L484" t="s">
        <v>6803</v>
      </c>
    </row>
    <row r="485" spans="1:12" x14ac:dyDescent="0.35">
      <c r="A485" t="s">
        <v>354</v>
      </c>
      <c r="B485" s="1">
        <v>45730</v>
      </c>
      <c r="C485" t="s">
        <v>7104</v>
      </c>
      <c r="D485" t="s">
        <v>817</v>
      </c>
      <c r="E485" t="s">
        <v>818</v>
      </c>
      <c r="F485" t="s">
        <v>6804</v>
      </c>
      <c r="G485" t="s">
        <v>6826</v>
      </c>
      <c r="H485" t="s">
        <v>819</v>
      </c>
      <c r="I485" s="1">
        <v>45808</v>
      </c>
      <c r="K485">
        <v>479079</v>
      </c>
      <c r="L485" t="s">
        <v>6803</v>
      </c>
    </row>
    <row r="486" spans="1:12" x14ac:dyDescent="0.35">
      <c r="A486" t="s">
        <v>354</v>
      </c>
      <c r="B486" s="1">
        <v>45730</v>
      </c>
      <c r="C486" t="s">
        <v>7104</v>
      </c>
      <c r="D486" t="s">
        <v>817</v>
      </c>
      <c r="E486" t="s">
        <v>818</v>
      </c>
      <c r="F486" t="s">
        <v>6806</v>
      </c>
      <c r="H486" t="s">
        <v>819</v>
      </c>
      <c r="J486">
        <v>73080</v>
      </c>
      <c r="L486" t="s">
        <v>6803</v>
      </c>
    </row>
    <row r="487" spans="1:12" x14ac:dyDescent="0.35">
      <c r="A487" t="s">
        <v>354</v>
      </c>
      <c r="B487" s="1">
        <v>45730</v>
      </c>
      <c r="C487" t="s">
        <v>7105</v>
      </c>
      <c r="D487" t="s">
        <v>820</v>
      </c>
      <c r="E487" t="s">
        <v>821</v>
      </c>
      <c r="F487" t="s">
        <v>6802</v>
      </c>
      <c r="H487" t="s">
        <v>822</v>
      </c>
      <c r="J487">
        <v>-157873</v>
      </c>
      <c r="L487" t="s">
        <v>6803</v>
      </c>
    </row>
    <row r="488" spans="1:12" x14ac:dyDescent="0.35">
      <c r="A488" t="s">
        <v>354</v>
      </c>
      <c r="B488" s="1">
        <v>45730</v>
      </c>
      <c r="C488" t="s">
        <v>7105</v>
      </c>
      <c r="D488" t="s">
        <v>820</v>
      </c>
      <c r="E488" t="s">
        <v>821</v>
      </c>
      <c r="F488" t="s">
        <v>6804</v>
      </c>
      <c r="G488" t="s">
        <v>6826</v>
      </c>
      <c r="H488" t="s">
        <v>822</v>
      </c>
      <c r="I488" s="1">
        <v>45808</v>
      </c>
      <c r="K488">
        <v>-186290</v>
      </c>
      <c r="L488" t="s">
        <v>6803</v>
      </c>
    </row>
    <row r="489" spans="1:12" x14ac:dyDescent="0.35">
      <c r="A489" t="s">
        <v>354</v>
      </c>
      <c r="B489" s="1">
        <v>45730</v>
      </c>
      <c r="C489" t="s">
        <v>7105</v>
      </c>
      <c r="D489" t="s">
        <v>820</v>
      </c>
      <c r="E489" t="s">
        <v>821</v>
      </c>
      <c r="F489" t="s">
        <v>6806</v>
      </c>
      <c r="H489" t="s">
        <v>822</v>
      </c>
      <c r="J489">
        <v>-28417</v>
      </c>
      <c r="L489" t="s">
        <v>6803</v>
      </c>
    </row>
    <row r="490" spans="1:12" x14ac:dyDescent="0.35">
      <c r="A490" t="s">
        <v>354</v>
      </c>
      <c r="B490" s="1">
        <v>45730</v>
      </c>
      <c r="C490" t="s">
        <v>7106</v>
      </c>
      <c r="D490" t="s">
        <v>823</v>
      </c>
      <c r="E490" t="s">
        <v>824</v>
      </c>
      <c r="F490" t="s">
        <v>6802</v>
      </c>
      <c r="H490" t="s">
        <v>825</v>
      </c>
      <c r="J490">
        <v>11376</v>
      </c>
      <c r="L490" t="s">
        <v>6803</v>
      </c>
    </row>
    <row r="491" spans="1:12" x14ac:dyDescent="0.35">
      <c r="A491" t="s">
        <v>354</v>
      </c>
      <c r="B491" s="1">
        <v>45730</v>
      </c>
      <c r="C491" t="s">
        <v>7106</v>
      </c>
      <c r="D491" t="s">
        <v>823</v>
      </c>
      <c r="E491" t="s">
        <v>824</v>
      </c>
      <c r="F491" t="s">
        <v>6804</v>
      </c>
      <c r="G491" t="s">
        <v>6826</v>
      </c>
      <c r="H491" t="s">
        <v>825</v>
      </c>
      <c r="I491" s="1">
        <v>45808</v>
      </c>
      <c r="K491">
        <v>13424</v>
      </c>
      <c r="L491" t="s">
        <v>6803</v>
      </c>
    </row>
    <row r="492" spans="1:12" x14ac:dyDescent="0.35">
      <c r="A492" t="s">
        <v>354</v>
      </c>
      <c r="B492" s="1">
        <v>45730</v>
      </c>
      <c r="C492" t="s">
        <v>7106</v>
      </c>
      <c r="D492" t="s">
        <v>823</v>
      </c>
      <c r="E492" t="s">
        <v>824</v>
      </c>
      <c r="F492" t="s">
        <v>6806</v>
      </c>
      <c r="H492" t="s">
        <v>825</v>
      </c>
      <c r="J492">
        <v>2048</v>
      </c>
      <c r="L492" t="s">
        <v>6803</v>
      </c>
    </row>
    <row r="493" spans="1:12" x14ac:dyDescent="0.35">
      <c r="A493" t="s">
        <v>354</v>
      </c>
      <c r="B493" s="1">
        <v>45733</v>
      </c>
      <c r="C493" t="s">
        <v>7107</v>
      </c>
      <c r="D493" t="s">
        <v>826</v>
      </c>
      <c r="E493" t="s">
        <v>827</v>
      </c>
      <c r="F493" t="s">
        <v>6802</v>
      </c>
      <c r="H493" t="s">
        <v>828</v>
      </c>
      <c r="J493">
        <v>106245</v>
      </c>
      <c r="L493" t="s">
        <v>6803</v>
      </c>
    </row>
    <row r="494" spans="1:12" x14ac:dyDescent="0.35">
      <c r="A494" t="s">
        <v>354</v>
      </c>
      <c r="B494" s="1">
        <v>45733</v>
      </c>
      <c r="C494" t="s">
        <v>7107</v>
      </c>
      <c r="D494" t="s">
        <v>826</v>
      </c>
      <c r="E494" t="s">
        <v>827</v>
      </c>
      <c r="F494" t="s">
        <v>6804</v>
      </c>
      <c r="G494" t="s">
        <v>6832</v>
      </c>
      <c r="H494" t="s">
        <v>828</v>
      </c>
      <c r="I494" s="1">
        <v>45808</v>
      </c>
      <c r="K494">
        <v>125369</v>
      </c>
      <c r="L494" t="s">
        <v>6803</v>
      </c>
    </row>
    <row r="495" spans="1:12" x14ac:dyDescent="0.35">
      <c r="A495" t="s">
        <v>354</v>
      </c>
      <c r="B495" s="1">
        <v>45733</v>
      </c>
      <c r="C495" t="s">
        <v>7107</v>
      </c>
      <c r="D495" t="s">
        <v>826</v>
      </c>
      <c r="E495" t="s">
        <v>827</v>
      </c>
      <c r="F495" t="s">
        <v>6806</v>
      </c>
      <c r="H495" t="s">
        <v>828</v>
      </c>
      <c r="J495">
        <v>19124</v>
      </c>
      <c r="L495" t="s">
        <v>6803</v>
      </c>
    </row>
    <row r="496" spans="1:12" x14ac:dyDescent="0.35">
      <c r="A496" t="s">
        <v>354</v>
      </c>
      <c r="B496" s="1">
        <v>45734</v>
      </c>
      <c r="C496" t="s">
        <v>7108</v>
      </c>
      <c r="D496" t="s">
        <v>829</v>
      </c>
      <c r="E496" t="s">
        <v>830</v>
      </c>
      <c r="F496" t="s">
        <v>6802</v>
      </c>
      <c r="H496" t="s">
        <v>831</v>
      </c>
      <c r="J496">
        <v>6520</v>
      </c>
      <c r="L496" t="s">
        <v>6803</v>
      </c>
    </row>
    <row r="497" spans="1:12" x14ac:dyDescent="0.35">
      <c r="A497" t="s">
        <v>354</v>
      </c>
      <c r="B497" s="1">
        <v>45734</v>
      </c>
      <c r="C497" t="s">
        <v>7108</v>
      </c>
      <c r="D497" t="s">
        <v>829</v>
      </c>
      <c r="E497" t="s">
        <v>830</v>
      </c>
      <c r="F497" t="s">
        <v>6804</v>
      </c>
      <c r="G497" t="s">
        <v>6832</v>
      </c>
      <c r="H497" t="s">
        <v>831</v>
      </c>
      <c r="I497" s="1">
        <v>45808</v>
      </c>
      <c r="K497">
        <v>7694</v>
      </c>
      <c r="L497" t="s">
        <v>6803</v>
      </c>
    </row>
    <row r="498" spans="1:12" x14ac:dyDescent="0.35">
      <c r="A498" t="s">
        <v>354</v>
      </c>
      <c r="B498" s="1">
        <v>45734</v>
      </c>
      <c r="C498" t="s">
        <v>7108</v>
      </c>
      <c r="D498" t="s">
        <v>829</v>
      </c>
      <c r="E498" t="s">
        <v>830</v>
      </c>
      <c r="F498" t="s">
        <v>6806</v>
      </c>
      <c r="H498" t="s">
        <v>831</v>
      </c>
      <c r="J498">
        <v>1174</v>
      </c>
      <c r="L498" t="s">
        <v>6803</v>
      </c>
    </row>
    <row r="499" spans="1:12" x14ac:dyDescent="0.35">
      <c r="A499" t="s">
        <v>354</v>
      </c>
      <c r="B499" s="1">
        <v>45734</v>
      </c>
      <c r="C499" t="s">
        <v>7109</v>
      </c>
      <c r="D499" t="s">
        <v>832</v>
      </c>
      <c r="E499" t="s">
        <v>833</v>
      </c>
      <c r="F499" t="s">
        <v>6802</v>
      </c>
      <c r="H499" t="s">
        <v>834</v>
      </c>
      <c r="J499">
        <v>32600</v>
      </c>
      <c r="L499" t="s">
        <v>6803</v>
      </c>
    </row>
    <row r="500" spans="1:12" x14ac:dyDescent="0.35">
      <c r="A500" t="s">
        <v>354</v>
      </c>
      <c r="B500" s="1">
        <v>45734</v>
      </c>
      <c r="C500" t="s">
        <v>7109</v>
      </c>
      <c r="D500" t="s">
        <v>832</v>
      </c>
      <c r="E500" t="s">
        <v>833</v>
      </c>
      <c r="F500" t="s">
        <v>6804</v>
      </c>
      <c r="G500" t="s">
        <v>6832</v>
      </c>
      <c r="H500" t="s">
        <v>834</v>
      </c>
      <c r="I500" s="1">
        <v>45808</v>
      </c>
      <c r="K500">
        <v>38468</v>
      </c>
      <c r="L500" t="s">
        <v>6803</v>
      </c>
    </row>
    <row r="501" spans="1:12" x14ac:dyDescent="0.35">
      <c r="A501" t="s">
        <v>354</v>
      </c>
      <c r="B501" s="1">
        <v>45734</v>
      </c>
      <c r="C501" t="s">
        <v>7109</v>
      </c>
      <c r="D501" t="s">
        <v>832</v>
      </c>
      <c r="E501" t="s">
        <v>833</v>
      </c>
      <c r="F501" t="s">
        <v>6806</v>
      </c>
      <c r="H501" t="s">
        <v>834</v>
      </c>
      <c r="J501">
        <v>5868</v>
      </c>
      <c r="L501" t="s">
        <v>6803</v>
      </c>
    </row>
    <row r="502" spans="1:12" x14ac:dyDescent="0.35">
      <c r="A502" t="s">
        <v>354</v>
      </c>
      <c r="B502" s="1">
        <v>45734</v>
      </c>
      <c r="C502" t="s">
        <v>7110</v>
      </c>
      <c r="D502" t="s">
        <v>835</v>
      </c>
      <c r="E502" t="s">
        <v>836</v>
      </c>
      <c r="F502" t="s">
        <v>6802</v>
      </c>
      <c r="H502" t="s">
        <v>837</v>
      </c>
      <c r="J502">
        <v>505340</v>
      </c>
      <c r="L502" t="s">
        <v>6803</v>
      </c>
    </row>
    <row r="503" spans="1:12" x14ac:dyDescent="0.35">
      <c r="A503" t="s">
        <v>354</v>
      </c>
      <c r="B503" s="1">
        <v>45734</v>
      </c>
      <c r="C503" t="s">
        <v>7110</v>
      </c>
      <c r="D503" t="s">
        <v>835</v>
      </c>
      <c r="E503" t="s">
        <v>836</v>
      </c>
      <c r="F503" t="s">
        <v>6804</v>
      </c>
      <c r="G503" t="s">
        <v>6832</v>
      </c>
      <c r="H503" t="s">
        <v>837</v>
      </c>
      <c r="I503" s="1">
        <v>45808</v>
      </c>
      <c r="K503">
        <v>596301</v>
      </c>
      <c r="L503" t="s">
        <v>6803</v>
      </c>
    </row>
    <row r="504" spans="1:12" x14ac:dyDescent="0.35">
      <c r="A504" t="s">
        <v>354</v>
      </c>
      <c r="B504" s="1">
        <v>45734</v>
      </c>
      <c r="C504" t="s">
        <v>7110</v>
      </c>
      <c r="D504" t="s">
        <v>835</v>
      </c>
      <c r="E504" t="s">
        <v>836</v>
      </c>
      <c r="F504" t="s">
        <v>6806</v>
      </c>
      <c r="H504" t="s">
        <v>837</v>
      </c>
      <c r="J504">
        <v>90961</v>
      </c>
      <c r="L504" t="s">
        <v>6803</v>
      </c>
    </row>
    <row r="505" spans="1:12" x14ac:dyDescent="0.35">
      <c r="A505" t="s">
        <v>354</v>
      </c>
      <c r="B505" s="1">
        <v>45734</v>
      </c>
      <c r="C505" t="s">
        <v>7111</v>
      </c>
      <c r="D505" t="s">
        <v>838</v>
      </c>
      <c r="E505" t="s">
        <v>839</v>
      </c>
      <c r="F505" t="s">
        <v>6802</v>
      </c>
      <c r="H505" t="s">
        <v>840</v>
      </c>
      <c r="J505">
        <v>106004</v>
      </c>
      <c r="L505" t="s">
        <v>6803</v>
      </c>
    </row>
    <row r="506" spans="1:12" x14ac:dyDescent="0.35">
      <c r="A506" t="s">
        <v>354</v>
      </c>
      <c r="B506" s="1">
        <v>45734</v>
      </c>
      <c r="C506" t="s">
        <v>7111</v>
      </c>
      <c r="D506" t="s">
        <v>838</v>
      </c>
      <c r="E506" t="s">
        <v>839</v>
      </c>
      <c r="F506" t="s">
        <v>6804</v>
      </c>
      <c r="G506" t="s">
        <v>6832</v>
      </c>
      <c r="H506" t="s">
        <v>840</v>
      </c>
      <c r="I506" s="1">
        <v>45808</v>
      </c>
      <c r="K506">
        <v>125085</v>
      </c>
      <c r="L506" t="s">
        <v>6803</v>
      </c>
    </row>
    <row r="507" spans="1:12" x14ac:dyDescent="0.35">
      <c r="A507" t="s">
        <v>354</v>
      </c>
      <c r="B507" s="1">
        <v>45734</v>
      </c>
      <c r="C507" t="s">
        <v>7111</v>
      </c>
      <c r="D507" t="s">
        <v>838</v>
      </c>
      <c r="E507" t="s">
        <v>839</v>
      </c>
      <c r="F507" t="s">
        <v>6806</v>
      </c>
      <c r="H507" t="s">
        <v>840</v>
      </c>
      <c r="J507">
        <v>19081</v>
      </c>
      <c r="L507" t="s">
        <v>6803</v>
      </c>
    </row>
    <row r="508" spans="1:12" x14ac:dyDescent="0.35">
      <c r="A508" t="s">
        <v>354</v>
      </c>
      <c r="B508" s="1">
        <v>45734</v>
      </c>
      <c r="C508" t="s">
        <v>7112</v>
      </c>
      <c r="D508" t="s">
        <v>841</v>
      </c>
      <c r="E508" t="s">
        <v>842</v>
      </c>
      <c r="F508" t="s">
        <v>6802</v>
      </c>
      <c r="H508" t="s">
        <v>843</v>
      </c>
      <c r="J508">
        <v>240500</v>
      </c>
      <c r="L508" t="s">
        <v>6803</v>
      </c>
    </row>
    <row r="509" spans="1:12" x14ac:dyDescent="0.35">
      <c r="A509" t="s">
        <v>354</v>
      </c>
      <c r="B509" s="1">
        <v>45734</v>
      </c>
      <c r="C509" t="s">
        <v>7112</v>
      </c>
      <c r="D509" t="s">
        <v>841</v>
      </c>
      <c r="E509" t="s">
        <v>842</v>
      </c>
      <c r="F509" t="s">
        <v>6804</v>
      </c>
      <c r="G509" t="s">
        <v>6832</v>
      </c>
      <c r="H509" t="s">
        <v>843</v>
      </c>
      <c r="I509" s="1">
        <v>45808</v>
      </c>
      <c r="K509">
        <v>283790</v>
      </c>
      <c r="L509" t="s">
        <v>6803</v>
      </c>
    </row>
    <row r="510" spans="1:12" x14ac:dyDescent="0.35">
      <c r="A510" t="s">
        <v>354</v>
      </c>
      <c r="B510" s="1">
        <v>45734</v>
      </c>
      <c r="C510" t="s">
        <v>7112</v>
      </c>
      <c r="D510" t="s">
        <v>841</v>
      </c>
      <c r="E510" t="s">
        <v>842</v>
      </c>
      <c r="F510" t="s">
        <v>6806</v>
      </c>
      <c r="H510" t="s">
        <v>843</v>
      </c>
      <c r="J510">
        <v>43290</v>
      </c>
      <c r="L510" t="s">
        <v>6803</v>
      </c>
    </row>
    <row r="511" spans="1:12" x14ac:dyDescent="0.35">
      <c r="A511" t="s">
        <v>354</v>
      </c>
      <c r="B511" s="1">
        <v>45734</v>
      </c>
      <c r="C511" t="s">
        <v>7113</v>
      </c>
      <c r="D511" t="s">
        <v>844</v>
      </c>
      <c r="E511" t="s">
        <v>845</v>
      </c>
      <c r="F511" t="s">
        <v>6802</v>
      </c>
      <c r="H511" t="s">
        <v>846</v>
      </c>
      <c r="J511">
        <v>143000</v>
      </c>
      <c r="L511" t="s">
        <v>6803</v>
      </c>
    </row>
    <row r="512" spans="1:12" x14ac:dyDescent="0.35">
      <c r="A512" t="s">
        <v>354</v>
      </c>
      <c r="B512" s="1">
        <v>45734</v>
      </c>
      <c r="C512" t="s">
        <v>7113</v>
      </c>
      <c r="D512" t="s">
        <v>844</v>
      </c>
      <c r="E512" t="s">
        <v>845</v>
      </c>
      <c r="F512" t="s">
        <v>6804</v>
      </c>
      <c r="G512" t="s">
        <v>6832</v>
      </c>
      <c r="H512" t="s">
        <v>846</v>
      </c>
      <c r="I512" s="1">
        <v>45808</v>
      </c>
      <c r="K512">
        <v>168740</v>
      </c>
      <c r="L512" t="s">
        <v>6803</v>
      </c>
    </row>
    <row r="513" spans="1:12" x14ac:dyDescent="0.35">
      <c r="A513" t="s">
        <v>354</v>
      </c>
      <c r="B513" s="1">
        <v>45734</v>
      </c>
      <c r="C513" t="s">
        <v>7113</v>
      </c>
      <c r="D513" t="s">
        <v>844</v>
      </c>
      <c r="E513" t="s">
        <v>845</v>
      </c>
      <c r="F513" t="s">
        <v>6806</v>
      </c>
      <c r="H513" t="s">
        <v>846</v>
      </c>
      <c r="J513">
        <v>25740</v>
      </c>
      <c r="L513" t="s">
        <v>6803</v>
      </c>
    </row>
    <row r="514" spans="1:12" x14ac:dyDescent="0.35">
      <c r="A514" t="s">
        <v>354</v>
      </c>
      <c r="B514" s="1">
        <v>45734</v>
      </c>
      <c r="C514" t="s">
        <v>7114</v>
      </c>
      <c r="D514" t="s">
        <v>847</v>
      </c>
      <c r="E514" t="s">
        <v>848</v>
      </c>
      <c r="F514" t="s">
        <v>6802</v>
      </c>
      <c r="H514" t="s">
        <v>849</v>
      </c>
      <c r="J514">
        <v>423800</v>
      </c>
      <c r="L514" t="s">
        <v>6803</v>
      </c>
    </row>
    <row r="515" spans="1:12" x14ac:dyDescent="0.35">
      <c r="A515" t="s">
        <v>354</v>
      </c>
      <c r="B515" s="1">
        <v>45734</v>
      </c>
      <c r="C515" t="s">
        <v>7114</v>
      </c>
      <c r="D515" t="s">
        <v>847</v>
      </c>
      <c r="E515" t="s">
        <v>848</v>
      </c>
      <c r="F515" t="s">
        <v>6804</v>
      </c>
      <c r="G515" t="s">
        <v>6809</v>
      </c>
      <c r="H515" t="s">
        <v>849</v>
      </c>
      <c r="I515" s="1">
        <v>45794</v>
      </c>
      <c r="K515">
        <v>500084</v>
      </c>
      <c r="L515" t="s">
        <v>6803</v>
      </c>
    </row>
    <row r="516" spans="1:12" x14ac:dyDescent="0.35">
      <c r="A516" t="s">
        <v>354</v>
      </c>
      <c r="B516" s="1">
        <v>45734</v>
      </c>
      <c r="C516" t="s">
        <v>7114</v>
      </c>
      <c r="D516" t="s">
        <v>847</v>
      </c>
      <c r="E516" t="s">
        <v>848</v>
      </c>
      <c r="F516" t="s">
        <v>6806</v>
      </c>
      <c r="H516" t="s">
        <v>849</v>
      </c>
      <c r="J516">
        <v>76284</v>
      </c>
      <c r="L516" t="s">
        <v>6803</v>
      </c>
    </row>
    <row r="517" spans="1:12" x14ac:dyDescent="0.35">
      <c r="A517" t="s">
        <v>354</v>
      </c>
      <c r="B517" s="1">
        <v>45734</v>
      </c>
      <c r="C517" t="s">
        <v>7115</v>
      </c>
      <c r="D517" t="s">
        <v>850</v>
      </c>
      <c r="E517" t="s">
        <v>851</v>
      </c>
      <c r="F517" t="s">
        <v>6802</v>
      </c>
      <c r="H517" t="s">
        <v>852</v>
      </c>
      <c r="J517">
        <v>21190</v>
      </c>
      <c r="L517" t="s">
        <v>6803</v>
      </c>
    </row>
    <row r="518" spans="1:12" x14ac:dyDescent="0.35">
      <c r="A518" t="s">
        <v>354</v>
      </c>
      <c r="B518" s="1">
        <v>45734</v>
      </c>
      <c r="C518" t="s">
        <v>7115</v>
      </c>
      <c r="D518" t="s">
        <v>850</v>
      </c>
      <c r="E518" t="s">
        <v>851</v>
      </c>
      <c r="F518" t="s">
        <v>6804</v>
      </c>
      <c r="G518" t="s">
        <v>6809</v>
      </c>
      <c r="H518" t="s">
        <v>852</v>
      </c>
      <c r="I518" s="1">
        <v>45794</v>
      </c>
      <c r="K518">
        <v>25004</v>
      </c>
      <c r="L518" t="s">
        <v>6803</v>
      </c>
    </row>
    <row r="519" spans="1:12" x14ac:dyDescent="0.35">
      <c r="A519" t="s">
        <v>354</v>
      </c>
      <c r="B519" s="1">
        <v>45734</v>
      </c>
      <c r="C519" t="s">
        <v>7115</v>
      </c>
      <c r="D519" t="s">
        <v>850</v>
      </c>
      <c r="E519" t="s">
        <v>851</v>
      </c>
      <c r="F519" t="s">
        <v>6806</v>
      </c>
      <c r="H519" t="s">
        <v>852</v>
      </c>
      <c r="J519">
        <v>3814</v>
      </c>
      <c r="L519" t="s">
        <v>6803</v>
      </c>
    </row>
    <row r="520" spans="1:12" x14ac:dyDescent="0.35">
      <c r="A520" t="s">
        <v>354</v>
      </c>
      <c r="B520" s="1">
        <v>45734</v>
      </c>
      <c r="C520" t="s">
        <v>7116</v>
      </c>
      <c r="D520" t="s">
        <v>853</v>
      </c>
      <c r="E520" t="s">
        <v>854</v>
      </c>
      <c r="F520" t="s">
        <v>6811</v>
      </c>
      <c r="H520" t="s">
        <v>855</v>
      </c>
      <c r="J520">
        <v>120000</v>
      </c>
      <c r="L520" t="s">
        <v>6803</v>
      </c>
    </row>
    <row r="521" spans="1:12" x14ac:dyDescent="0.35">
      <c r="A521" t="s">
        <v>354</v>
      </c>
      <c r="B521" s="1">
        <v>45734</v>
      </c>
      <c r="C521" t="s">
        <v>7116</v>
      </c>
      <c r="D521" t="s">
        <v>853</v>
      </c>
      <c r="E521" t="s">
        <v>854</v>
      </c>
      <c r="F521" t="s">
        <v>6804</v>
      </c>
      <c r="G521" t="s">
        <v>6809</v>
      </c>
      <c r="H521" t="s">
        <v>855</v>
      </c>
      <c r="I521" s="1">
        <v>45794</v>
      </c>
      <c r="K521">
        <v>141600</v>
      </c>
      <c r="L521" t="s">
        <v>6803</v>
      </c>
    </row>
    <row r="522" spans="1:12" x14ac:dyDescent="0.35">
      <c r="A522" t="s">
        <v>354</v>
      </c>
      <c r="B522" s="1">
        <v>45734</v>
      </c>
      <c r="C522" t="s">
        <v>7116</v>
      </c>
      <c r="D522" t="s">
        <v>853</v>
      </c>
      <c r="E522" t="s">
        <v>854</v>
      </c>
      <c r="F522" t="s">
        <v>6806</v>
      </c>
      <c r="H522" t="s">
        <v>855</v>
      </c>
      <c r="J522">
        <v>21600</v>
      </c>
      <c r="L522" t="s">
        <v>6803</v>
      </c>
    </row>
    <row r="523" spans="1:12" x14ac:dyDescent="0.35">
      <c r="A523" t="s">
        <v>354</v>
      </c>
      <c r="B523" s="1">
        <v>45734</v>
      </c>
      <c r="C523" t="s">
        <v>7117</v>
      </c>
      <c r="D523" t="s">
        <v>856</v>
      </c>
      <c r="E523" t="s">
        <v>857</v>
      </c>
      <c r="F523" t="s">
        <v>6811</v>
      </c>
      <c r="H523" t="s">
        <v>858</v>
      </c>
      <c r="J523">
        <v>30000</v>
      </c>
      <c r="L523" t="s">
        <v>6803</v>
      </c>
    </row>
    <row r="524" spans="1:12" x14ac:dyDescent="0.35">
      <c r="A524" t="s">
        <v>354</v>
      </c>
      <c r="B524" s="1">
        <v>45734</v>
      </c>
      <c r="C524" t="s">
        <v>7117</v>
      </c>
      <c r="D524" t="s">
        <v>856</v>
      </c>
      <c r="E524" t="s">
        <v>857</v>
      </c>
      <c r="F524" t="s">
        <v>6804</v>
      </c>
      <c r="G524" t="s">
        <v>6809</v>
      </c>
      <c r="H524" t="s">
        <v>858</v>
      </c>
      <c r="I524" s="1">
        <v>45794</v>
      </c>
      <c r="K524">
        <v>35400</v>
      </c>
      <c r="L524" t="s">
        <v>6803</v>
      </c>
    </row>
    <row r="525" spans="1:12" x14ac:dyDescent="0.35">
      <c r="A525" t="s">
        <v>354</v>
      </c>
      <c r="B525" s="1">
        <v>45734</v>
      </c>
      <c r="C525" t="s">
        <v>7117</v>
      </c>
      <c r="D525" t="s">
        <v>856</v>
      </c>
      <c r="E525" t="s">
        <v>857</v>
      </c>
      <c r="F525" t="s">
        <v>6806</v>
      </c>
      <c r="H525" t="s">
        <v>858</v>
      </c>
      <c r="J525">
        <v>5400</v>
      </c>
      <c r="L525" t="s">
        <v>6803</v>
      </c>
    </row>
    <row r="526" spans="1:12" x14ac:dyDescent="0.35">
      <c r="A526" t="s">
        <v>354</v>
      </c>
      <c r="B526" s="1">
        <v>45734</v>
      </c>
      <c r="C526" t="s">
        <v>7118</v>
      </c>
      <c r="D526" t="s">
        <v>859</v>
      </c>
      <c r="E526" t="s">
        <v>860</v>
      </c>
      <c r="F526" t="s">
        <v>6802</v>
      </c>
      <c r="H526" t="s">
        <v>861</v>
      </c>
      <c r="J526">
        <v>70000</v>
      </c>
      <c r="L526" t="s">
        <v>6803</v>
      </c>
    </row>
    <row r="527" spans="1:12" x14ac:dyDescent="0.35">
      <c r="A527" t="s">
        <v>354</v>
      </c>
      <c r="B527" s="1">
        <v>45734</v>
      </c>
      <c r="C527" t="s">
        <v>7118</v>
      </c>
      <c r="D527" t="s">
        <v>859</v>
      </c>
      <c r="E527" t="s">
        <v>860</v>
      </c>
      <c r="F527" t="s">
        <v>6804</v>
      </c>
      <c r="G527" t="s">
        <v>7119</v>
      </c>
      <c r="H527" t="s">
        <v>861</v>
      </c>
      <c r="I527" s="1">
        <v>45794</v>
      </c>
      <c r="K527">
        <v>82600</v>
      </c>
      <c r="L527" t="s">
        <v>6803</v>
      </c>
    </row>
    <row r="528" spans="1:12" x14ac:dyDescent="0.35">
      <c r="A528" t="s">
        <v>354</v>
      </c>
      <c r="B528" s="1">
        <v>45734</v>
      </c>
      <c r="C528" t="s">
        <v>7118</v>
      </c>
      <c r="D528" t="s">
        <v>859</v>
      </c>
      <c r="E528" t="s">
        <v>860</v>
      </c>
      <c r="F528" t="s">
        <v>6806</v>
      </c>
      <c r="H528" t="s">
        <v>861</v>
      </c>
      <c r="J528">
        <v>12600</v>
      </c>
      <c r="L528" t="s">
        <v>6803</v>
      </c>
    </row>
    <row r="529" spans="1:12" x14ac:dyDescent="0.35">
      <c r="A529" t="s">
        <v>354</v>
      </c>
      <c r="B529" s="1">
        <v>45734</v>
      </c>
      <c r="C529" t="s">
        <v>7120</v>
      </c>
      <c r="D529" t="s">
        <v>862</v>
      </c>
      <c r="E529" t="s">
        <v>863</v>
      </c>
      <c r="F529" t="s">
        <v>6802</v>
      </c>
      <c r="H529" t="s">
        <v>864</v>
      </c>
      <c r="J529">
        <v>44800</v>
      </c>
      <c r="L529" t="s">
        <v>6803</v>
      </c>
    </row>
    <row r="530" spans="1:12" x14ac:dyDescent="0.35">
      <c r="A530" t="s">
        <v>354</v>
      </c>
      <c r="B530" s="1">
        <v>45734</v>
      </c>
      <c r="C530" t="s">
        <v>7120</v>
      </c>
      <c r="D530" t="s">
        <v>862</v>
      </c>
      <c r="E530" t="s">
        <v>863</v>
      </c>
      <c r="F530" t="s">
        <v>6804</v>
      </c>
      <c r="G530" t="s">
        <v>7119</v>
      </c>
      <c r="H530" t="s">
        <v>864</v>
      </c>
      <c r="I530" s="1">
        <v>45794</v>
      </c>
      <c r="K530">
        <v>52864</v>
      </c>
      <c r="L530" t="s">
        <v>6803</v>
      </c>
    </row>
    <row r="531" spans="1:12" x14ac:dyDescent="0.35">
      <c r="A531" t="s">
        <v>354</v>
      </c>
      <c r="B531" s="1">
        <v>45734</v>
      </c>
      <c r="C531" t="s">
        <v>7120</v>
      </c>
      <c r="D531" t="s">
        <v>862</v>
      </c>
      <c r="E531" t="s">
        <v>863</v>
      </c>
      <c r="F531" t="s">
        <v>6806</v>
      </c>
      <c r="H531" t="s">
        <v>864</v>
      </c>
      <c r="J531">
        <v>8064</v>
      </c>
      <c r="L531" t="s">
        <v>6803</v>
      </c>
    </row>
    <row r="532" spans="1:12" x14ac:dyDescent="0.35">
      <c r="A532" t="s">
        <v>354</v>
      </c>
      <c r="B532" s="1">
        <v>45734</v>
      </c>
      <c r="C532" t="s">
        <v>7121</v>
      </c>
      <c r="D532" t="s">
        <v>865</v>
      </c>
      <c r="E532" t="s">
        <v>866</v>
      </c>
      <c r="F532" t="s">
        <v>6811</v>
      </c>
      <c r="H532" t="s">
        <v>867</v>
      </c>
      <c r="J532">
        <v>14700</v>
      </c>
      <c r="L532" t="s">
        <v>6803</v>
      </c>
    </row>
    <row r="533" spans="1:12" x14ac:dyDescent="0.35">
      <c r="A533" t="s">
        <v>354</v>
      </c>
      <c r="B533" s="1">
        <v>45734</v>
      </c>
      <c r="C533" t="s">
        <v>7121</v>
      </c>
      <c r="D533" t="s">
        <v>865</v>
      </c>
      <c r="E533" t="s">
        <v>866</v>
      </c>
      <c r="F533" t="s">
        <v>6802</v>
      </c>
      <c r="H533" t="s">
        <v>867</v>
      </c>
      <c r="J533">
        <v>93240</v>
      </c>
      <c r="L533" t="s">
        <v>6803</v>
      </c>
    </row>
    <row r="534" spans="1:12" x14ac:dyDescent="0.35">
      <c r="A534" t="s">
        <v>354</v>
      </c>
      <c r="B534" s="1">
        <v>45734</v>
      </c>
      <c r="C534" t="s">
        <v>7121</v>
      </c>
      <c r="D534" t="s">
        <v>865</v>
      </c>
      <c r="E534" t="s">
        <v>866</v>
      </c>
      <c r="F534" t="s">
        <v>6804</v>
      </c>
      <c r="G534" t="s">
        <v>7119</v>
      </c>
      <c r="H534" t="s">
        <v>867</v>
      </c>
      <c r="I534" s="1">
        <v>45794</v>
      </c>
      <c r="K534">
        <v>127369</v>
      </c>
      <c r="L534" t="s">
        <v>6803</v>
      </c>
    </row>
    <row r="535" spans="1:12" x14ac:dyDescent="0.35">
      <c r="A535" t="s">
        <v>354</v>
      </c>
      <c r="B535" s="1">
        <v>45734</v>
      </c>
      <c r="C535" t="s">
        <v>7121</v>
      </c>
      <c r="D535" t="s">
        <v>865</v>
      </c>
      <c r="E535" t="s">
        <v>866</v>
      </c>
      <c r="F535" t="s">
        <v>6806</v>
      </c>
      <c r="H535" t="s">
        <v>867</v>
      </c>
      <c r="J535">
        <v>19429</v>
      </c>
      <c r="L535" t="s">
        <v>6803</v>
      </c>
    </row>
    <row r="536" spans="1:12" x14ac:dyDescent="0.35">
      <c r="A536" t="s">
        <v>354</v>
      </c>
      <c r="B536" s="1">
        <v>45734</v>
      </c>
      <c r="C536" t="s">
        <v>7122</v>
      </c>
      <c r="D536" t="s">
        <v>868</v>
      </c>
      <c r="E536" t="s">
        <v>869</v>
      </c>
      <c r="F536" t="s">
        <v>6802</v>
      </c>
      <c r="H536" t="s">
        <v>870</v>
      </c>
      <c r="J536">
        <v>37800</v>
      </c>
      <c r="L536" t="s">
        <v>6803</v>
      </c>
    </row>
    <row r="537" spans="1:12" x14ac:dyDescent="0.35">
      <c r="A537" t="s">
        <v>354</v>
      </c>
      <c r="B537" s="1">
        <v>45734</v>
      </c>
      <c r="C537" t="s">
        <v>7122</v>
      </c>
      <c r="D537" t="s">
        <v>868</v>
      </c>
      <c r="E537" t="s">
        <v>869</v>
      </c>
      <c r="F537" t="s">
        <v>6804</v>
      </c>
      <c r="G537" t="s">
        <v>7119</v>
      </c>
      <c r="H537" t="s">
        <v>870</v>
      </c>
      <c r="I537" s="1">
        <v>45794</v>
      </c>
      <c r="K537">
        <v>44604</v>
      </c>
      <c r="L537" t="s">
        <v>6803</v>
      </c>
    </row>
    <row r="538" spans="1:12" x14ac:dyDescent="0.35">
      <c r="A538" t="s">
        <v>354</v>
      </c>
      <c r="B538" s="1">
        <v>45734</v>
      </c>
      <c r="C538" t="s">
        <v>7122</v>
      </c>
      <c r="D538" t="s">
        <v>868</v>
      </c>
      <c r="E538" t="s">
        <v>869</v>
      </c>
      <c r="F538" t="s">
        <v>6806</v>
      </c>
      <c r="H538" t="s">
        <v>870</v>
      </c>
      <c r="J538">
        <v>6804</v>
      </c>
      <c r="L538" t="s">
        <v>6803</v>
      </c>
    </row>
    <row r="539" spans="1:12" x14ac:dyDescent="0.35">
      <c r="A539" t="s">
        <v>354</v>
      </c>
      <c r="B539" s="1">
        <v>45734</v>
      </c>
      <c r="C539" t="s">
        <v>7123</v>
      </c>
      <c r="D539" t="s">
        <v>871</v>
      </c>
      <c r="E539" t="s">
        <v>872</v>
      </c>
      <c r="F539" t="s">
        <v>6811</v>
      </c>
      <c r="H539" t="s">
        <v>873</v>
      </c>
      <c r="J539">
        <v>14700</v>
      </c>
      <c r="L539" t="s">
        <v>6803</v>
      </c>
    </row>
    <row r="540" spans="1:12" x14ac:dyDescent="0.35">
      <c r="A540" t="s">
        <v>354</v>
      </c>
      <c r="B540" s="1">
        <v>45734</v>
      </c>
      <c r="C540" t="s">
        <v>7123</v>
      </c>
      <c r="D540" t="s">
        <v>871</v>
      </c>
      <c r="E540" t="s">
        <v>872</v>
      </c>
      <c r="F540" t="s">
        <v>6802</v>
      </c>
      <c r="H540" t="s">
        <v>873</v>
      </c>
      <c r="J540">
        <v>91762</v>
      </c>
      <c r="L540" t="s">
        <v>6803</v>
      </c>
    </row>
    <row r="541" spans="1:12" x14ac:dyDescent="0.35">
      <c r="A541" t="s">
        <v>354</v>
      </c>
      <c r="B541" s="1">
        <v>45734</v>
      </c>
      <c r="C541" t="s">
        <v>7123</v>
      </c>
      <c r="D541" t="s">
        <v>871</v>
      </c>
      <c r="E541" t="s">
        <v>872</v>
      </c>
      <c r="F541" t="s">
        <v>6804</v>
      </c>
      <c r="G541" t="s">
        <v>7119</v>
      </c>
      <c r="H541" t="s">
        <v>873</v>
      </c>
      <c r="I541" s="1">
        <v>45794</v>
      </c>
      <c r="K541">
        <v>125625</v>
      </c>
      <c r="L541" t="s">
        <v>6803</v>
      </c>
    </row>
    <row r="542" spans="1:12" x14ac:dyDescent="0.35">
      <c r="A542" t="s">
        <v>354</v>
      </c>
      <c r="B542" s="1">
        <v>45734</v>
      </c>
      <c r="C542" t="s">
        <v>7123</v>
      </c>
      <c r="D542" t="s">
        <v>871</v>
      </c>
      <c r="E542" t="s">
        <v>872</v>
      </c>
      <c r="F542" t="s">
        <v>6806</v>
      </c>
      <c r="H542" t="s">
        <v>873</v>
      </c>
      <c r="J542">
        <v>19163</v>
      </c>
      <c r="L542" t="s">
        <v>6803</v>
      </c>
    </row>
    <row r="543" spans="1:12" x14ac:dyDescent="0.35">
      <c r="A543" t="s">
        <v>354</v>
      </c>
      <c r="B543" s="1">
        <v>45734</v>
      </c>
      <c r="C543" t="s">
        <v>7124</v>
      </c>
      <c r="D543" t="s">
        <v>874</v>
      </c>
      <c r="E543" t="s">
        <v>875</v>
      </c>
      <c r="F543" t="s">
        <v>6802</v>
      </c>
      <c r="H543" t="s">
        <v>876</v>
      </c>
      <c r="J543">
        <v>163128</v>
      </c>
      <c r="L543" t="s">
        <v>6803</v>
      </c>
    </row>
    <row r="544" spans="1:12" x14ac:dyDescent="0.35">
      <c r="A544" t="s">
        <v>354</v>
      </c>
      <c r="B544" s="1">
        <v>45734</v>
      </c>
      <c r="C544" t="s">
        <v>7124</v>
      </c>
      <c r="D544" t="s">
        <v>874</v>
      </c>
      <c r="E544" t="s">
        <v>875</v>
      </c>
      <c r="F544" t="s">
        <v>6804</v>
      </c>
      <c r="G544" t="s">
        <v>7119</v>
      </c>
      <c r="H544" t="s">
        <v>876</v>
      </c>
      <c r="I544" s="1">
        <v>45794</v>
      </c>
      <c r="K544">
        <v>192491</v>
      </c>
      <c r="L544" t="s">
        <v>6803</v>
      </c>
    </row>
    <row r="545" spans="1:12" x14ac:dyDescent="0.35">
      <c r="A545" t="s">
        <v>354</v>
      </c>
      <c r="B545" s="1">
        <v>45734</v>
      </c>
      <c r="C545" t="s">
        <v>7124</v>
      </c>
      <c r="D545" t="s">
        <v>874</v>
      </c>
      <c r="E545" t="s">
        <v>875</v>
      </c>
      <c r="F545" t="s">
        <v>6806</v>
      </c>
      <c r="H545" t="s">
        <v>876</v>
      </c>
      <c r="J545">
        <v>29363</v>
      </c>
      <c r="L545" t="s">
        <v>6803</v>
      </c>
    </row>
    <row r="546" spans="1:12" x14ac:dyDescent="0.35">
      <c r="A546" t="s">
        <v>354</v>
      </c>
      <c r="B546" s="1">
        <v>45734</v>
      </c>
      <c r="C546" t="s">
        <v>7125</v>
      </c>
      <c r="D546" t="s">
        <v>877</v>
      </c>
      <c r="E546" t="s">
        <v>878</v>
      </c>
      <c r="F546" t="s">
        <v>6811</v>
      </c>
      <c r="H546" t="s">
        <v>879</v>
      </c>
      <c r="J546">
        <v>14700</v>
      </c>
      <c r="L546" t="s">
        <v>6803</v>
      </c>
    </row>
    <row r="547" spans="1:12" x14ac:dyDescent="0.35">
      <c r="A547" t="s">
        <v>354</v>
      </c>
      <c r="B547" s="1">
        <v>45734</v>
      </c>
      <c r="C547" t="s">
        <v>7125</v>
      </c>
      <c r="D547" t="s">
        <v>877</v>
      </c>
      <c r="E547" t="s">
        <v>878</v>
      </c>
      <c r="F547" t="s">
        <v>6802</v>
      </c>
      <c r="H547" t="s">
        <v>879</v>
      </c>
      <c r="J547">
        <v>71484</v>
      </c>
      <c r="L547" t="s">
        <v>6803</v>
      </c>
    </row>
    <row r="548" spans="1:12" x14ac:dyDescent="0.35">
      <c r="A548" t="s">
        <v>354</v>
      </c>
      <c r="B548" s="1">
        <v>45734</v>
      </c>
      <c r="C548" t="s">
        <v>7125</v>
      </c>
      <c r="D548" t="s">
        <v>877</v>
      </c>
      <c r="E548" t="s">
        <v>878</v>
      </c>
      <c r="F548" t="s">
        <v>6804</v>
      </c>
      <c r="G548" t="s">
        <v>7119</v>
      </c>
      <c r="H548" t="s">
        <v>879</v>
      </c>
      <c r="I548" s="1">
        <v>45794</v>
      </c>
      <c r="K548">
        <v>101697</v>
      </c>
      <c r="L548" t="s">
        <v>6803</v>
      </c>
    </row>
    <row r="549" spans="1:12" x14ac:dyDescent="0.35">
      <c r="A549" t="s">
        <v>354</v>
      </c>
      <c r="B549" s="1">
        <v>45734</v>
      </c>
      <c r="C549" t="s">
        <v>7125</v>
      </c>
      <c r="D549" t="s">
        <v>877</v>
      </c>
      <c r="E549" t="s">
        <v>878</v>
      </c>
      <c r="F549" t="s">
        <v>6806</v>
      </c>
      <c r="H549" t="s">
        <v>879</v>
      </c>
      <c r="J549">
        <v>15513</v>
      </c>
      <c r="L549" t="s">
        <v>6803</v>
      </c>
    </row>
    <row r="550" spans="1:12" x14ac:dyDescent="0.35">
      <c r="A550" t="s">
        <v>354</v>
      </c>
      <c r="B550" s="1">
        <v>45734</v>
      </c>
      <c r="C550" t="s">
        <v>7126</v>
      </c>
      <c r="D550" t="s">
        <v>880</v>
      </c>
      <c r="E550" t="s">
        <v>881</v>
      </c>
      <c r="F550" t="s">
        <v>6811</v>
      </c>
      <c r="H550" t="s">
        <v>882</v>
      </c>
      <c r="J550">
        <v>14700</v>
      </c>
      <c r="L550" t="s">
        <v>6803</v>
      </c>
    </row>
    <row r="551" spans="1:12" x14ac:dyDescent="0.35">
      <c r="A551" t="s">
        <v>354</v>
      </c>
      <c r="B551" s="1">
        <v>45734</v>
      </c>
      <c r="C551" t="s">
        <v>7126</v>
      </c>
      <c r="D551" t="s">
        <v>880</v>
      </c>
      <c r="E551" t="s">
        <v>881</v>
      </c>
      <c r="F551" t="s">
        <v>6802</v>
      </c>
      <c r="H551" t="s">
        <v>882</v>
      </c>
      <c r="J551">
        <v>96340</v>
      </c>
      <c r="L551" t="s">
        <v>6803</v>
      </c>
    </row>
    <row r="552" spans="1:12" x14ac:dyDescent="0.35">
      <c r="A552" t="s">
        <v>354</v>
      </c>
      <c r="B552" s="1">
        <v>45734</v>
      </c>
      <c r="C552" t="s">
        <v>7126</v>
      </c>
      <c r="D552" t="s">
        <v>880</v>
      </c>
      <c r="E552" t="s">
        <v>881</v>
      </c>
      <c r="F552" t="s">
        <v>6804</v>
      </c>
      <c r="G552" t="s">
        <v>7119</v>
      </c>
      <c r="H552" t="s">
        <v>882</v>
      </c>
      <c r="I552" s="1">
        <v>45794</v>
      </c>
      <c r="K552">
        <v>131027</v>
      </c>
      <c r="L552" t="s">
        <v>6803</v>
      </c>
    </row>
    <row r="553" spans="1:12" x14ac:dyDescent="0.35">
      <c r="A553" t="s">
        <v>354</v>
      </c>
      <c r="B553" s="1">
        <v>45734</v>
      </c>
      <c r="C553" t="s">
        <v>7126</v>
      </c>
      <c r="D553" t="s">
        <v>880</v>
      </c>
      <c r="E553" t="s">
        <v>881</v>
      </c>
      <c r="F553" t="s">
        <v>6806</v>
      </c>
      <c r="H553" t="s">
        <v>882</v>
      </c>
      <c r="J553">
        <v>19987</v>
      </c>
      <c r="L553" t="s">
        <v>6803</v>
      </c>
    </row>
    <row r="554" spans="1:12" x14ac:dyDescent="0.35">
      <c r="A554" t="s">
        <v>354</v>
      </c>
      <c r="B554" s="1">
        <v>45734</v>
      </c>
      <c r="C554" t="s">
        <v>7127</v>
      </c>
      <c r="D554" t="s">
        <v>883</v>
      </c>
      <c r="E554" t="s">
        <v>884</v>
      </c>
      <c r="F554" t="s">
        <v>6811</v>
      </c>
      <c r="H554" t="s">
        <v>885</v>
      </c>
      <c r="J554">
        <v>4900</v>
      </c>
      <c r="L554" t="s">
        <v>6803</v>
      </c>
    </row>
    <row r="555" spans="1:12" x14ac:dyDescent="0.35">
      <c r="A555" t="s">
        <v>354</v>
      </c>
      <c r="B555" s="1">
        <v>45734</v>
      </c>
      <c r="C555" t="s">
        <v>7127</v>
      </c>
      <c r="D555" t="s">
        <v>883</v>
      </c>
      <c r="E555" t="s">
        <v>884</v>
      </c>
      <c r="F555" t="s">
        <v>6802</v>
      </c>
      <c r="H555" t="s">
        <v>885</v>
      </c>
      <c r="J555">
        <v>36400</v>
      </c>
      <c r="L555" t="s">
        <v>6803</v>
      </c>
    </row>
    <row r="556" spans="1:12" x14ac:dyDescent="0.35">
      <c r="A556" t="s">
        <v>354</v>
      </c>
      <c r="B556" s="1">
        <v>45734</v>
      </c>
      <c r="C556" t="s">
        <v>7127</v>
      </c>
      <c r="D556" t="s">
        <v>883</v>
      </c>
      <c r="E556" t="s">
        <v>884</v>
      </c>
      <c r="F556" t="s">
        <v>6804</v>
      </c>
      <c r="G556" t="s">
        <v>7119</v>
      </c>
      <c r="H556" t="s">
        <v>885</v>
      </c>
      <c r="I556" s="1">
        <v>45794</v>
      </c>
      <c r="K556">
        <v>48734</v>
      </c>
      <c r="L556" t="s">
        <v>6803</v>
      </c>
    </row>
    <row r="557" spans="1:12" x14ac:dyDescent="0.35">
      <c r="A557" t="s">
        <v>354</v>
      </c>
      <c r="B557" s="1">
        <v>45734</v>
      </c>
      <c r="C557" t="s">
        <v>7127</v>
      </c>
      <c r="D557" t="s">
        <v>883</v>
      </c>
      <c r="E557" t="s">
        <v>884</v>
      </c>
      <c r="F557" t="s">
        <v>6806</v>
      </c>
      <c r="H557" t="s">
        <v>885</v>
      </c>
      <c r="J557">
        <v>7434</v>
      </c>
      <c r="L557" t="s">
        <v>6803</v>
      </c>
    </row>
    <row r="558" spans="1:12" x14ac:dyDescent="0.35">
      <c r="A558" t="s">
        <v>354</v>
      </c>
      <c r="B558" s="1">
        <v>45734</v>
      </c>
      <c r="C558" t="s">
        <v>7128</v>
      </c>
      <c r="D558" t="s">
        <v>886</v>
      </c>
      <c r="E558" t="s">
        <v>887</v>
      </c>
      <c r="F558" t="s">
        <v>6802</v>
      </c>
      <c r="H558" t="s">
        <v>888</v>
      </c>
      <c r="J558">
        <v>70000</v>
      </c>
      <c r="L558" t="s">
        <v>6803</v>
      </c>
    </row>
    <row r="559" spans="1:12" x14ac:dyDescent="0.35">
      <c r="A559" t="s">
        <v>354</v>
      </c>
      <c r="B559" s="1">
        <v>45734</v>
      </c>
      <c r="C559" t="s">
        <v>7128</v>
      </c>
      <c r="D559" t="s">
        <v>886</v>
      </c>
      <c r="E559" t="s">
        <v>887</v>
      </c>
      <c r="F559" t="s">
        <v>6804</v>
      </c>
      <c r="G559" t="s">
        <v>7119</v>
      </c>
      <c r="H559" t="s">
        <v>888</v>
      </c>
      <c r="I559" s="1">
        <v>45794</v>
      </c>
      <c r="K559">
        <v>82600</v>
      </c>
      <c r="L559" t="s">
        <v>6803</v>
      </c>
    </row>
    <row r="560" spans="1:12" x14ac:dyDescent="0.35">
      <c r="A560" t="s">
        <v>354</v>
      </c>
      <c r="B560" s="1">
        <v>45734</v>
      </c>
      <c r="C560" t="s">
        <v>7128</v>
      </c>
      <c r="D560" t="s">
        <v>886</v>
      </c>
      <c r="E560" t="s">
        <v>887</v>
      </c>
      <c r="F560" t="s">
        <v>6806</v>
      </c>
      <c r="H560" t="s">
        <v>888</v>
      </c>
      <c r="J560">
        <v>12600</v>
      </c>
      <c r="L560" t="s">
        <v>6803</v>
      </c>
    </row>
    <row r="561" spans="1:12" x14ac:dyDescent="0.35">
      <c r="A561" t="s">
        <v>354</v>
      </c>
      <c r="B561" s="1">
        <v>45734</v>
      </c>
      <c r="C561" t="s">
        <v>7129</v>
      </c>
      <c r="D561" t="s">
        <v>889</v>
      </c>
      <c r="E561" t="s">
        <v>890</v>
      </c>
      <c r="F561" t="s">
        <v>6811</v>
      </c>
      <c r="H561" t="s">
        <v>891</v>
      </c>
      <c r="J561">
        <v>4900</v>
      </c>
      <c r="L561" t="s">
        <v>6803</v>
      </c>
    </row>
    <row r="562" spans="1:12" x14ac:dyDescent="0.35">
      <c r="A562" t="s">
        <v>354</v>
      </c>
      <c r="B562" s="1">
        <v>45734</v>
      </c>
      <c r="C562" t="s">
        <v>7129</v>
      </c>
      <c r="D562" t="s">
        <v>889</v>
      </c>
      <c r="E562" t="s">
        <v>890</v>
      </c>
      <c r="F562" t="s">
        <v>6802</v>
      </c>
      <c r="H562" t="s">
        <v>891</v>
      </c>
      <c r="J562">
        <v>31304</v>
      </c>
      <c r="L562" t="s">
        <v>6803</v>
      </c>
    </row>
    <row r="563" spans="1:12" x14ac:dyDescent="0.35">
      <c r="A563" t="s">
        <v>354</v>
      </c>
      <c r="B563" s="1">
        <v>45734</v>
      </c>
      <c r="C563" t="s">
        <v>7129</v>
      </c>
      <c r="D563" t="s">
        <v>889</v>
      </c>
      <c r="E563" t="s">
        <v>890</v>
      </c>
      <c r="F563" t="s">
        <v>6804</v>
      </c>
      <c r="G563" t="s">
        <v>7119</v>
      </c>
      <c r="H563" t="s">
        <v>891</v>
      </c>
      <c r="I563" s="1">
        <v>45794</v>
      </c>
      <c r="K563">
        <v>42721</v>
      </c>
      <c r="L563" t="s">
        <v>6803</v>
      </c>
    </row>
    <row r="564" spans="1:12" x14ac:dyDescent="0.35">
      <c r="A564" t="s">
        <v>354</v>
      </c>
      <c r="B564" s="1">
        <v>45734</v>
      </c>
      <c r="C564" t="s">
        <v>7129</v>
      </c>
      <c r="D564" t="s">
        <v>889</v>
      </c>
      <c r="E564" t="s">
        <v>890</v>
      </c>
      <c r="F564" t="s">
        <v>6806</v>
      </c>
      <c r="H564" t="s">
        <v>891</v>
      </c>
      <c r="J564">
        <v>6517</v>
      </c>
      <c r="L564" t="s">
        <v>6803</v>
      </c>
    </row>
    <row r="565" spans="1:12" x14ac:dyDescent="0.35">
      <c r="A565" t="s">
        <v>354</v>
      </c>
      <c r="B565" s="1">
        <v>45734</v>
      </c>
      <c r="C565" t="s">
        <v>7130</v>
      </c>
      <c r="D565" t="s">
        <v>892</v>
      </c>
      <c r="E565" t="s">
        <v>893</v>
      </c>
      <c r="F565" t="s">
        <v>6811</v>
      </c>
      <c r="H565" t="s">
        <v>894</v>
      </c>
      <c r="J565">
        <v>14700</v>
      </c>
      <c r="L565" t="s">
        <v>6803</v>
      </c>
    </row>
    <row r="566" spans="1:12" x14ac:dyDescent="0.35">
      <c r="A566" t="s">
        <v>354</v>
      </c>
      <c r="B566" s="1">
        <v>45734</v>
      </c>
      <c r="C566" t="s">
        <v>7130</v>
      </c>
      <c r="D566" t="s">
        <v>892</v>
      </c>
      <c r="E566" t="s">
        <v>893</v>
      </c>
      <c r="F566" t="s">
        <v>6802</v>
      </c>
      <c r="H566" t="s">
        <v>894</v>
      </c>
      <c r="J566">
        <v>91762</v>
      </c>
      <c r="L566" t="s">
        <v>6803</v>
      </c>
    </row>
    <row r="567" spans="1:12" x14ac:dyDescent="0.35">
      <c r="A567" t="s">
        <v>354</v>
      </c>
      <c r="B567" s="1">
        <v>45734</v>
      </c>
      <c r="C567" t="s">
        <v>7130</v>
      </c>
      <c r="D567" t="s">
        <v>892</v>
      </c>
      <c r="E567" t="s">
        <v>893</v>
      </c>
      <c r="F567" t="s">
        <v>6804</v>
      </c>
      <c r="G567" t="s">
        <v>7119</v>
      </c>
      <c r="H567" t="s">
        <v>894</v>
      </c>
      <c r="I567" s="1">
        <v>45794</v>
      </c>
      <c r="K567">
        <v>125625</v>
      </c>
      <c r="L567" t="s">
        <v>6803</v>
      </c>
    </row>
    <row r="568" spans="1:12" x14ac:dyDescent="0.35">
      <c r="A568" t="s">
        <v>354</v>
      </c>
      <c r="B568" s="1">
        <v>45734</v>
      </c>
      <c r="C568" t="s">
        <v>7130</v>
      </c>
      <c r="D568" t="s">
        <v>892</v>
      </c>
      <c r="E568" t="s">
        <v>893</v>
      </c>
      <c r="F568" t="s">
        <v>6806</v>
      </c>
      <c r="H568" t="s">
        <v>894</v>
      </c>
      <c r="J568">
        <v>19163</v>
      </c>
      <c r="L568" t="s">
        <v>6803</v>
      </c>
    </row>
    <row r="569" spans="1:12" x14ac:dyDescent="0.35">
      <c r="A569" t="s">
        <v>354</v>
      </c>
      <c r="B569" s="1">
        <v>45734</v>
      </c>
      <c r="C569" t="s">
        <v>7131</v>
      </c>
      <c r="D569" t="s">
        <v>895</v>
      </c>
      <c r="E569" t="s">
        <v>896</v>
      </c>
      <c r="F569" t="s">
        <v>6802</v>
      </c>
      <c r="H569" t="s">
        <v>897</v>
      </c>
      <c r="J569">
        <v>67900</v>
      </c>
      <c r="L569" t="s">
        <v>6803</v>
      </c>
    </row>
    <row r="570" spans="1:12" x14ac:dyDescent="0.35">
      <c r="A570" t="s">
        <v>354</v>
      </c>
      <c r="B570" s="1">
        <v>45734</v>
      </c>
      <c r="C570" t="s">
        <v>7131</v>
      </c>
      <c r="D570" t="s">
        <v>895</v>
      </c>
      <c r="E570" t="s">
        <v>896</v>
      </c>
      <c r="F570" t="s">
        <v>6804</v>
      </c>
      <c r="G570" t="s">
        <v>7119</v>
      </c>
      <c r="H570" t="s">
        <v>897</v>
      </c>
      <c r="I570" s="1">
        <v>45794</v>
      </c>
      <c r="K570">
        <v>80122</v>
      </c>
      <c r="L570" t="s">
        <v>6803</v>
      </c>
    </row>
    <row r="571" spans="1:12" x14ac:dyDescent="0.35">
      <c r="A571" t="s">
        <v>354</v>
      </c>
      <c r="B571" s="1">
        <v>45734</v>
      </c>
      <c r="C571" t="s">
        <v>7131</v>
      </c>
      <c r="D571" t="s">
        <v>895</v>
      </c>
      <c r="E571" t="s">
        <v>896</v>
      </c>
      <c r="F571" t="s">
        <v>6806</v>
      </c>
      <c r="H571" t="s">
        <v>897</v>
      </c>
      <c r="J571">
        <v>12222</v>
      </c>
      <c r="L571" t="s">
        <v>6803</v>
      </c>
    </row>
    <row r="572" spans="1:12" x14ac:dyDescent="0.35">
      <c r="A572" t="s">
        <v>354</v>
      </c>
      <c r="B572" s="1">
        <v>45734</v>
      </c>
      <c r="C572" t="s">
        <v>7132</v>
      </c>
      <c r="D572" t="s">
        <v>898</v>
      </c>
      <c r="E572" t="s">
        <v>899</v>
      </c>
      <c r="F572" t="s">
        <v>6802</v>
      </c>
      <c r="H572" t="s">
        <v>900</v>
      </c>
      <c r="J572">
        <v>75600</v>
      </c>
      <c r="L572" t="s">
        <v>6803</v>
      </c>
    </row>
    <row r="573" spans="1:12" x14ac:dyDescent="0.35">
      <c r="A573" t="s">
        <v>354</v>
      </c>
      <c r="B573" s="1">
        <v>45734</v>
      </c>
      <c r="C573" t="s">
        <v>7132</v>
      </c>
      <c r="D573" t="s">
        <v>898</v>
      </c>
      <c r="E573" t="s">
        <v>899</v>
      </c>
      <c r="F573" t="s">
        <v>6804</v>
      </c>
      <c r="G573" t="s">
        <v>7119</v>
      </c>
      <c r="H573" t="s">
        <v>900</v>
      </c>
      <c r="I573" s="1">
        <v>45794</v>
      </c>
      <c r="K573">
        <v>89208</v>
      </c>
      <c r="L573" t="s">
        <v>6803</v>
      </c>
    </row>
    <row r="574" spans="1:12" x14ac:dyDescent="0.35">
      <c r="A574" t="s">
        <v>354</v>
      </c>
      <c r="B574" s="1">
        <v>45734</v>
      </c>
      <c r="C574" t="s">
        <v>7132</v>
      </c>
      <c r="D574" t="s">
        <v>898</v>
      </c>
      <c r="E574" t="s">
        <v>899</v>
      </c>
      <c r="F574" t="s">
        <v>6806</v>
      </c>
      <c r="H574" t="s">
        <v>900</v>
      </c>
      <c r="J574">
        <v>13608</v>
      </c>
      <c r="L574" t="s">
        <v>6803</v>
      </c>
    </row>
    <row r="575" spans="1:12" x14ac:dyDescent="0.35">
      <c r="A575" t="s">
        <v>354</v>
      </c>
      <c r="B575" s="1">
        <v>45734</v>
      </c>
      <c r="C575" t="s">
        <v>7133</v>
      </c>
      <c r="D575" t="s">
        <v>901</v>
      </c>
      <c r="E575" t="s">
        <v>902</v>
      </c>
      <c r="F575" t="s">
        <v>6802</v>
      </c>
      <c r="H575" t="s">
        <v>903</v>
      </c>
      <c r="J575">
        <v>75600</v>
      </c>
      <c r="L575" t="s">
        <v>6803</v>
      </c>
    </row>
    <row r="576" spans="1:12" x14ac:dyDescent="0.35">
      <c r="A576" t="s">
        <v>354</v>
      </c>
      <c r="B576" s="1">
        <v>45734</v>
      </c>
      <c r="C576" t="s">
        <v>7133</v>
      </c>
      <c r="D576" t="s">
        <v>901</v>
      </c>
      <c r="E576" t="s">
        <v>902</v>
      </c>
      <c r="F576" t="s">
        <v>6804</v>
      </c>
      <c r="G576" t="s">
        <v>7119</v>
      </c>
      <c r="H576" t="s">
        <v>903</v>
      </c>
      <c r="I576" s="1">
        <v>45794</v>
      </c>
      <c r="K576">
        <v>89208</v>
      </c>
      <c r="L576" t="s">
        <v>6803</v>
      </c>
    </row>
    <row r="577" spans="1:12" x14ac:dyDescent="0.35">
      <c r="A577" t="s">
        <v>354</v>
      </c>
      <c r="B577" s="1">
        <v>45734</v>
      </c>
      <c r="C577" t="s">
        <v>7133</v>
      </c>
      <c r="D577" t="s">
        <v>901</v>
      </c>
      <c r="E577" t="s">
        <v>902</v>
      </c>
      <c r="F577" t="s">
        <v>6806</v>
      </c>
      <c r="H577" t="s">
        <v>903</v>
      </c>
      <c r="J577">
        <v>13608</v>
      </c>
      <c r="L577" t="s">
        <v>6803</v>
      </c>
    </row>
    <row r="578" spans="1:12" x14ac:dyDescent="0.35">
      <c r="A578" t="s">
        <v>354</v>
      </c>
      <c r="B578" s="1">
        <v>45734</v>
      </c>
      <c r="C578" t="s">
        <v>7134</v>
      </c>
      <c r="D578" t="s">
        <v>904</v>
      </c>
      <c r="E578" t="s">
        <v>905</v>
      </c>
      <c r="F578" t="s">
        <v>6802</v>
      </c>
      <c r="H578" t="s">
        <v>906</v>
      </c>
      <c r="J578">
        <v>50180</v>
      </c>
      <c r="L578" t="s">
        <v>6803</v>
      </c>
    </row>
    <row r="579" spans="1:12" x14ac:dyDescent="0.35">
      <c r="A579" t="s">
        <v>354</v>
      </c>
      <c r="B579" s="1">
        <v>45734</v>
      </c>
      <c r="C579" t="s">
        <v>7134</v>
      </c>
      <c r="D579" t="s">
        <v>904</v>
      </c>
      <c r="E579" t="s">
        <v>905</v>
      </c>
      <c r="F579" t="s">
        <v>6804</v>
      </c>
      <c r="G579" t="s">
        <v>7119</v>
      </c>
      <c r="H579" t="s">
        <v>906</v>
      </c>
      <c r="I579" s="1">
        <v>45794</v>
      </c>
      <c r="K579">
        <v>59212</v>
      </c>
      <c r="L579" t="s">
        <v>6803</v>
      </c>
    </row>
    <row r="580" spans="1:12" x14ac:dyDescent="0.35">
      <c r="A580" t="s">
        <v>354</v>
      </c>
      <c r="B580" s="1">
        <v>45734</v>
      </c>
      <c r="C580" t="s">
        <v>7134</v>
      </c>
      <c r="D580" t="s">
        <v>904</v>
      </c>
      <c r="E580" t="s">
        <v>905</v>
      </c>
      <c r="F580" t="s">
        <v>6806</v>
      </c>
      <c r="H580" t="s">
        <v>906</v>
      </c>
      <c r="J580">
        <v>9032</v>
      </c>
      <c r="L580" t="s">
        <v>6803</v>
      </c>
    </row>
    <row r="581" spans="1:12" x14ac:dyDescent="0.35">
      <c r="A581" t="s">
        <v>354</v>
      </c>
      <c r="B581" s="1">
        <v>45735</v>
      </c>
      <c r="C581" t="s">
        <v>7135</v>
      </c>
      <c r="D581" t="s">
        <v>907</v>
      </c>
      <c r="E581" t="s">
        <v>7136</v>
      </c>
      <c r="F581" t="s">
        <v>6802</v>
      </c>
      <c r="H581" t="s">
        <v>908</v>
      </c>
      <c r="J581">
        <v>360000</v>
      </c>
      <c r="L581" t="s">
        <v>6803</v>
      </c>
    </row>
    <row r="582" spans="1:12" x14ac:dyDescent="0.35">
      <c r="A582" t="s">
        <v>354</v>
      </c>
      <c r="B582" s="1">
        <v>45735</v>
      </c>
      <c r="C582" t="s">
        <v>7135</v>
      </c>
      <c r="D582" t="s">
        <v>907</v>
      </c>
      <c r="E582" t="s">
        <v>7136</v>
      </c>
      <c r="F582" t="s">
        <v>6804</v>
      </c>
      <c r="G582" t="s">
        <v>7137</v>
      </c>
      <c r="H582" t="s">
        <v>908</v>
      </c>
      <c r="I582" s="1">
        <v>45735</v>
      </c>
      <c r="K582">
        <v>424800</v>
      </c>
      <c r="L582" t="s">
        <v>6803</v>
      </c>
    </row>
    <row r="583" spans="1:12" x14ac:dyDescent="0.35">
      <c r="A583" t="s">
        <v>354</v>
      </c>
      <c r="B583" s="1">
        <v>45735</v>
      </c>
      <c r="C583" t="s">
        <v>7135</v>
      </c>
      <c r="D583" t="s">
        <v>907</v>
      </c>
      <c r="E583" t="s">
        <v>7136</v>
      </c>
      <c r="F583" t="s">
        <v>6806</v>
      </c>
      <c r="H583" t="s">
        <v>908</v>
      </c>
      <c r="J583">
        <v>64800</v>
      </c>
      <c r="L583" t="s">
        <v>6803</v>
      </c>
    </row>
    <row r="584" spans="1:12" x14ac:dyDescent="0.35">
      <c r="A584" t="s">
        <v>354</v>
      </c>
      <c r="B584" s="1">
        <v>45735</v>
      </c>
      <c r="C584" t="s">
        <v>7138</v>
      </c>
      <c r="D584" t="s">
        <v>909</v>
      </c>
      <c r="E584" t="s">
        <v>910</v>
      </c>
      <c r="F584" t="s">
        <v>6804</v>
      </c>
      <c r="G584" t="s">
        <v>6877</v>
      </c>
      <c r="H584" t="s">
        <v>911</v>
      </c>
      <c r="I584" s="1">
        <v>45765</v>
      </c>
      <c r="K584">
        <v>48000</v>
      </c>
      <c r="L584" t="s">
        <v>6803</v>
      </c>
    </row>
    <row r="585" spans="1:12" x14ac:dyDescent="0.35">
      <c r="A585" t="s">
        <v>354</v>
      </c>
      <c r="B585" s="1">
        <v>45735</v>
      </c>
      <c r="C585" t="s">
        <v>7138</v>
      </c>
      <c r="D585" t="s">
        <v>909</v>
      </c>
      <c r="E585" t="s">
        <v>910</v>
      </c>
      <c r="F585" t="s">
        <v>6820</v>
      </c>
      <c r="H585" t="s">
        <v>911</v>
      </c>
      <c r="J585">
        <v>48000</v>
      </c>
      <c r="L585" t="s">
        <v>5880</v>
      </c>
    </row>
    <row r="586" spans="1:12" x14ac:dyDescent="0.35">
      <c r="A586" t="s">
        <v>354</v>
      </c>
      <c r="B586" s="1">
        <v>45735</v>
      </c>
      <c r="C586" t="s">
        <v>7139</v>
      </c>
      <c r="D586" t="s">
        <v>912</v>
      </c>
      <c r="E586" t="s">
        <v>913</v>
      </c>
      <c r="F586" t="s">
        <v>6804</v>
      </c>
      <c r="G586" t="s">
        <v>6877</v>
      </c>
      <c r="H586" t="s">
        <v>914</v>
      </c>
      <c r="I586" s="1">
        <v>45765</v>
      </c>
      <c r="K586">
        <v>96000</v>
      </c>
      <c r="L586" t="s">
        <v>6803</v>
      </c>
    </row>
    <row r="587" spans="1:12" x14ac:dyDescent="0.35">
      <c r="A587" t="s">
        <v>354</v>
      </c>
      <c r="B587" s="1">
        <v>45735</v>
      </c>
      <c r="C587" t="s">
        <v>7139</v>
      </c>
      <c r="D587" t="s">
        <v>912</v>
      </c>
      <c r="E587" t="s">
        <v>913</v>
      </c>
      <c r="F587" t="s">
        <v>6820</v>
      </c>
      <c r="H587" t="s">
        <v>914</v>
      </c>
      <c r="J587">
        <v>96000</v>
      </c>
      <c r="L587" t="s">
        <v>5880</v>
      </c>
    </row>
    <row r="588" spans="1:12" x14ac:dyDescent="0.35">
      <c r="A588" t="s">
        <v>354</v>
      </c>
      <c r="B588" s="1">
        <v>45735</v>
      </c>
      <c r="C588" t="s">
        <v>7140</v>
      </c>
      <c r="D588" t="s">
        <v>915</v>
      </c>
      <c r="E588" t="s">
        <v>7141</v>
      </c>
      <c r="F588" t="s">
        <v>6802</v>
      </c>
      <c r="H588" t="s">
        <v>916</v>
      </c>
      <c r="J588">
        <v>195000</v>
      </c>
      <c r="L588" t="s">
        <v>6803</v>
      </c>
    </row>
    <row r="589" spans="1:12" x14ac:dyDescent="0.35">
      <c r="A589" t="s">
        <v>354</v>
      </c>
      <c r="B589" s="1">
        <v>45735</v>
      </c>
      <c r="C589" t="s">
        <v>7140</v>
      </c>
      <c r="D589" t="s">
        <v>915</v>
      </c>
      <c r="E589" t="s">
        <v>7141</v>
      </c>
      <c r="F589" t="s">
        <v>6804</v>
      </c>
      <c r="G589" t="s">
        <v>6874</v>
      </c>
      <c r="H589" t="s">
        <v>916</v>
      </c>
      <c r="I589" s="1">
        <v>45765</v>
      </c>
      <c r="K589">
        <v>195000</v>
      </c>
      <c r="L589" t="s">
        <v>6803</v>
      </c>
    </row>
    <row r="590" spans="1:12" x14ac:dyDescent="0.35">
      <c r="A590" t="s">
        <v>354</v>
      </c>
      <c r="B590" s="1">
        <v>45736</v>
      </c>
      <c r="C590" t="s">
        <v>7142</v>
      </c>
      <c r="D590" t="s">
        <v>917</v>
      </c>
      <c r="E590" t="s">
        <v>918</v>
      </c>
      <c r="F590" t="s">
        <v>6802</v>
      </c>
      <c r="H590" t="s">
        <v>919</v>
      </c>
      <c r="J590">
        <v>44498</v>
      </c>
      <c r="L590" t="s">
        <v>6803</v>
      </c>
    </row>
    <row r="591" spans="1:12" x14ac:dyDescent="0.35">
      <c r="A591" t="s">
        <v>354</v>
      </c>
      <c r="B591" s="1">
        <v>45736</v>
      </c>
      <c r="C591" t="s">
        <v>7142</v>
      </c>
      <c r="D591" t="s">
        <v>917</v>
      </c>
      <c r="E591" t="s">
        <v>918</v>
      </c>
      <c r="F591" t="s">
        <v>6804</v>
      </c>
      <c r="G591" t="s">
        <v>6805</v>
      </c>
      <c r="H591" t="s">
        <v>919</v>
      </c>
      <c r="I591" s="1">
        <v>45796</v>
      </c>
      <c r="K591">
        <v>52507</v>
      </c>
      <c r="L591" t="s">
        <v>6803</v>
      </c>
    </row>
    <row r="592" spans="1:12" x14ac:dyDescent="0.35">
      <c r="A592" t="s">
        <v>354</v>
      </c>
      <c r="B592" s="1">
        <v>45736</v>
      </c>
      <c r="C592" t="s">
        <v>7142</v>
      </c>
      <c r="D592" t="s">
        <v>917</v>
      </c>
      <c r="E592" t="s">
        <v>918</v>
      </c>
      <c r="F592" t="s">
        <v>6806</v>
      </c>
      <c r="H592" t="s">
        <v>919</v>
      </c>
      <c r="J592">
        <v>8009</v>
      </c>
      <c r="L592" t="s">
        <v>6803</v>
      </c>
    </row>
    <row r="593" spans="1:12" x14ac:dyDescent="0.35">
      <c r="A593" t="s">
        <v>354</v>
      </c>
      <c r="B593" s="1">
        <v>45736</v>
      </c>
      <c r="C593" t="s">
        <v>7143</v>
      </c>
      <c r="D593" t="s">
        <v>920</v>
      </c>
      <c r="E593" t="s">
        <v>7144</v>
      </c>
      <c r="F593" t="s">
        <v>6804</v>
      </c>
      <c r="G593" t="s">
        <v>6992</v>
      </c>
      <c r="H593" t="s">
        <v>921</v>
      </c>
      <c r="I593" s="1">
        <v>45766</v>
      </c>
      <c r="K593">
        <v>246071</v>
      </c>
      <c r="L593" t="s">
        <v>6803</v>
      </c>
    </row>
    <row r="594" spans="1:12" x14ac:dyDescent="0.35">
      <c r="A594" t="s">
        <v>354</v>
      </c>
      <c r="B594" s="1">
        <v>45736</v>
      </c>
      <c r="C594" t="s">
        <v>7143</v>
      </c>
      <c r="D594" t="s">
        <v>920</v>
      </c>
      <c r="E594" t="s">
        <v>7144</v>
      </c>
      <c r="F594" t="s">
        <v>6819</v>
      </c>
      <c r="H594" t="s">
        <v>921</v>
      </c>
      <c r="J594">
        <v>37536</v>
      </c>
      <c r="L594" t="s">
        <v>6803</v>
      </c>
    </row>
    <row r="595" spans="1:12" x14ac:dyDescent="0.35">
      <c r="A595" t="s">
        <v>354</v>
      </c>
      <c r="B595" s="1">
        <v>45736</v>
      </c>
      <c r="C595" t="s">
        <v>7143</v>
      </c>
      <c r="D595" t="s">
        <v>920</v>
      </c>
      <c r="E595" t="s">
        <v>7144</v>
      </c>
      <c r="F595" t="s">
        <v>6820</v>
      </c>
      <c r="H595" t="s">
        <v>921</v>
      </c>
      <c r="J595">
        <v>208535</v>
      </c>
      <c r="L595" t="s">
        <v>5878</v>
      </c>
    </row>
    <row r="596" spans="1:12" x14ac:dyDescent="0.35">
      <c r="A596" t="s">
        <v>354</v>
      </c>
      <c r="B596" s="1">
        <v>45736</v>
      </c>
      <c r="C596" t="s">
        <v>7145</v>
      </c>
      <c r="D596" t="s">
        <v>922</v>
      </c>
      <c r="E596" t="s">
        <v>7146</v>
      </c>
      <c r="F596" t="s">
        <v>6804</v>
      </c>
      <c r="G596" t="s">
        <v>6992</v>
      </c>
      <c r="H596" t="s">
        <v>923</v>
      </c>
      <c r="I596" s="1">
        <v>45766</v>
      </c>
      <c r="K596">
        <v>874149</v>
      </c>
      <c r="L596" t="s">
        <v>6803</v>
      </c>
    </row>
    <row r="597" spans="1:12" x14ac:dyDescent="0.35">
      <c r="A597" t="s">
        <v>354</v>
      </c>
      <c r="B597" s="1">
        <v>45736</v>
      </c>
      <c r="C597" t="s">
        <v>7145</v>
      </c>
      <c r="D597" t="s">
        <v>922</v>
      </c>
      <c r="E597" t="s">
        <v>7146</v>
      </c>
      <c r="F597" t="s">
        <v>6819</v>
      </c>
      <c r="H597" t="s">
        <v>923</v>
      </c>
      <c r="J597">
        <v>133345</v>
      </c>
      <c r="L597" t="s">
        <v>6803</v>
      </c>
    </row>
    <row r="598" spans="1:12" x14ac:dyDescent="0.35">
      <c r="A598" t="s">
        <v>354</v>
      </c>
      <c r="B598" s="1">
        <v>45736</v>
      </c>
      <c r="C598" t="s">
        <v>7145</v>
      </c>
      <c r="D598" t="s">
        <v>922</v>
      </c>
      <c r="E598" t="s">
        <v>7146</v>
      </c>
      <c r="F598" t="s">
        <v>6820</v>
      </c>
      <c r="H598" t="s">
        <v>923</v>
      </c>
      <c r="J598">
        <v>740804</v>
      </c>
      <c r="L598" t="s">
        <v>5879</v>
      </c>
    </row>
    <row r="599" spans="1:12" x14ac:dyDescent="0.35">
      <c r="A599" t="s">
        <v>354</v>
      </c>
      <c r="B599" s="1">
        <v>45736</v>
      </c>
      <c r="C599" t="s">
        <v>7147</v>
      </c>
      <c r="D599" t="s">
        <v>924</v>
      </c>
      <c r="E599" t="s">
        <v>925</v>
      </c>
      <c r="F599" t="s">
        <v>6802</v>
      </c>
      <c r="H599" t="s">
        <v>926</v>
      </c>
      <c r="J599">
        <v>52730</v>
      </c>
      <c r="L599" t="s">
        <v>6803</v>
      </c>
    </row>
    <row r="600" spans="1:12" x14ac:dyDescent="0.35">
      <c r="A600" t="s">
        <v>354</v>
      </c>
      <c r="B600" s="1">
        <v>45736</v>
      </c>
      <c r="C600" t="s">
        <v>7147</v>
      </c>
      <c r="D600" t="s">
        <v>924</v>
      </c>
      <c r="E600" t="s">
        <v>925</v>
      </c>
      <c r="F600" t="s">
        <v>6804</v>
      </c>
      <c r="G600" t="s">
        <v>6919</v>
      </c>
      <c r="H600" t="s">
        <v>926</v>
      </c>
      <c r="I600" s="1">
        <v>45808</v>
      </c>
      <c r="K600">
        <v>62221</v>
      </c>
      <c r="L600" t="s">
        <v>6803</v>
      </c>
    </row>
    <row r="601" spans="1:12" x14ac:dyDescent="0.35">
      <c r="A601" t="s">
        <v>354</v>
      </c>
      <c r="B601" s="1">
        <v>45736</v>
      </c>
      <c r="C601" t="s">
        <v>7147</v>
      </c>
      <c r="D601" t="s">
        <v>924</v>
      </c>
      <c r="E601" t="s">
        <v>925</v>
      </c>
      <c r="F601" t="s">
        <v>6806</v>
      </c>
      <c r="H601" t="s">
        <v>926</v>
      </c>
      <c r="J601">
        <v>9491</v>
      </c>
      <c r="L601" t="s">
        <v>6803</v>
      </c>
    </row>
    <row r="602" spans="1:12" x14ac:dyDescent="0.35">
      <c r="A602" t="s">
        <v>354</v>
      </c>
      <c r="B602" s="1">
        <v>45736</v>
      </c>
      <c r="C602" t="s">
        <v>7148</v>
      </c>
      <c r="D602" t="s">
        <v>927</v>
      </c>
      <c r="E602" t="s">
        <v>928</v>
      </c>
      <c r="F602" t="s">
        <v>6802</v>
      </c>
      <c r="H602" t="s">
        <v>929</v>
      </c>
      <c r="J602">
        <v>77083</v>
      </c>
      <c r="L602" t="s">
        <v>6803</v>
      </c>
    </row>
    <row r="603" spans="1:12" x14ac:dyDescent="0.35">
      <c r="A603" t="s">
        <v>354</v>
      </c>
      <c r="B603" s="1">
        <v>45736</v>
      </c>
      <c r="C603" t="s">
        <v>7148</v>
      </c>
      <c r="D603" t="s">
        <v>927</v>
      </c>
      <c r="E603" t="s">
        <v>928</v>
      </c>
      <c r="F603" t="s">
        <v>6804</v>
      </c>
      <c r="G603" t="s">
        <v>6919</v>
      </c>
      <c r="H603" t="s">
        <v>929</v>
      </c>
      <c r="I603" s="1">
        <v>45808</v>
      </c>
      <c r="K603">
        <v>90958</v>
      </c>
      <c r="L603" t="s">
        <v>6803</v>
      </c>
    </row>
    <row r="604" spans="1:12" x14ac:dyDescent="0.35">
      <c r="A604" t="s">
        <v>354</v>
      </c>
      <c r="B604" s="1">
        <v>45736</v>
      </c>
      <c r="C604" t="s">
        <v>7148</v>
      </c>
      <c r="D604" t="s">
        <v>927</v>
      </c>
      <c r="E604" t="s">
        <v>928</v>
      </c>
      <c r="F604" t="s">
        <v>6806</v>
      </c>
      <c r="H604" t="s">
        <v>929</v>
      </c>
      <c r="J604">
        <v>13875</v>
      </c>
      <c r="L604" t="s">
        <v>6803</v>
      </c>
    </row>
    <row r="605" spans="1:12" x14ac:dyDescent="0.35">
      <c r="A605" t="s">
        <v>354</v>
      </c>
      <c r="B605" s="1">
        <v>45736</v>
      </c>
      <c r="C605" t="s">
        <v>7149</v>
      </c>
      <c r="D605" t="s">
        <v>930</v>
      </c>
      <c r="E605" t="s">
        <v>931</v>
      </c>
      <c r="F605" t="s">
        <v>6811</v>
      </c>
      <c r="H605" t="s">
        <v>932</v>
      </c>
      <c r="J605">
        <v>13182</v>
      </c>
      <c r="L605" t="s">
        <v>6803</v>
      </c>
    </row>
    <row r="606" spans="1:12" x14ac:dyDescent="0.35">
      <c r="A606" t="s">
        <v>354</v>
      </c>
      <c r="B606" s="1">
        <v>45736</v>
      </c>
      <c r="C606" t="s">
        <v>7149</v>
      </c>
      <c r="D606" t="s">
        <v>930</v>
      </c>
      <c r="E606" t="s">
        <v>931</v>
      </c>
      <c r="F606" t="s">
        <v>6802</v>
      </c>
      <c r="H606" t="s">
        <v>932</v>
      </c>
      <c r="J606">
        <v>18768</v>
      </c>
      <c r="L606" t="s">
        <v>6803</v>
      </c>
    </row>
    <row r="607" spans="1:12" x14ac:dyDescent="0.35">
      <c r="A607" t="s">
        <v>354</v>
      </c>
      <c r="B607" s="1">
        <v>45736</v>
      </c>
      <c r="C607" t="s">
        <v>7149</v>
      </c>
      <c r="D607" t="s">
        <v>930</v>
      </c>
      <c r="E607" t="s">
        <v>931</v>
      </c>
      <c r="F607" t="s">
        <v>6804</v>
      </c>
      <c r="G607" t="s">
        <v>6919</v>
      </c>
      <c r="H607" t="s">
        <v>932</v>
      </c>
      <c r="I607" s="1">
        <v>45808</v>
      </c>
      <c r="K607">
        <v>37701</v>
      </c>
      <c r="L607" t="s">
        <v>6803</v>
      </c>
    </row>
    <row r="608" spans="1:12" x14ac:dyDescent="0.35">
      <c r="A608" t="s">
        <v>354</v>
      </c>
      <c r="B608" s="1">
        <v>45736</v>
      </c>
      <c r="C608" t="s">
        <v>7149</v>
      </c>
      <c r="D608" t="s">
        <v>930</v>
      </c>
      <c r="E608" t="s">
        <v>931</v>
      </c>
      <c r="F608" t="s">
        <v>6806</v>
      </c>
      <c r="H608" t="s">
        <v>932</v>
      </c>
      <c r="J608">
        <v>5751</v>
      </c>
      <c r="L608" t="s">
        <v>6803</v>
      </c>
    </row>
    <row r="609" spans="1:12" x14ac:dyDescent="0.35">
      <c r="A609" t="s">
        <v>354</v>
      </c>
      <c r="B609" s="1">
        <v>45736</v>
      </c>
      <c r="C609" t="s">
        <v>7150</v>
      </c>
      <c r="D609" t="s">
        <v>933</v>
      </c>
      <c r="E609" t="s">
        <v>7151</v>
      </c>
      <c r="F609" t="s">
        <v>6802</v>
      </c>
      <c r="H609" t="s">
        <v>934</v>
      </c>
      <c r="J609">
        <v>40600</v>
      </c>
      <c r="L609" t="s">
        <v>6803</v>
      </c>
    </row>
    <row r="610" spans="1:12" x14ac:dyDescent="0.35">
      <c r="A610" t="s">
        <v>354</v>
      </c>
      <c r="B610" s="1">
        <v>45736</v>
      </c>
      <c r="C610" t="s">
        <v>7150</v>
      </c>
      <c r="D610" t="s">
        <v>933</v>
      </c>
      <c r="E610" t="s">
        <v>7151</v>
      </c>
      <c r="F610" t="s">
        <v>6804</v>
      </c>
      <c r="G610" t="s">
        <v>6814</v>
      </c>
      <c r="H610" t="s">
        <v>934</v>
      </c>
      <c r="I610" s="1">
        <v>45826</v>
      </c>
      <c r="K610">
        <v>47908</v>
      </c>
      <c r="L610" t="s">
        <v>6803</v>
      </c>
    </row>
    <row r="611" spans="1:12" x14ac:dyDescent="0.35">
      <c r="A611" t="s">
        <v>354</v>
      </c>
      <c r="B611" s="1">
        <v>45736</v>
      </c>
      <c r="C611" t="s">
        <v>7150</v>
      </c>
      <c r="D611" t="s">
        <v>933</v>
      </c>
      <c r="E611" t="s">
        <v>7151</v>
      </c>
      <c r="F611" t="s">
        <v>6806</v>
      </c>
      <c r="H611" t="s">
        <v>934</v>
      </c>
      <c r="J611">
        <v>7308</v>
      </c>
      <c r="L611" t="s">
        <v>6803</v>
      </c>
    </row>
    <row r="612" spans="1:12" x14ac:dyDescent="0.35">
      <c r="A612" t="s">
        <v>354</v>
      </c>
      <c r="B612" s="1">
        <v>45736</v>
      </c>
      <c r="C612" t="s">
        <v>7152</v>
      </c>
      <c r="D612" t="s">
        <v>935</v>
      </c>
      <c r="E612" t="s">
        <v>7153</v>
      </c>
      <c r="F612" t="s">
        <v>6804</v>
      </c>
      <c r="G612" t="s">
        <v>7154</v>
      </c>
      <c r="H612" t="s">
        <v>936</v>
      </c>
      <c r="I612" s="1">
        <v>45796</v>
      </c>
      <c r="K612">
        <v>121745</v>
      </c>
      <c r="L612" t="s">
        <v>6803</v>
      </c>
    </row>
    <row r="613" spans="1:12" x14ac:dyDescent="0.35">
      <c r="A613" t="s">
        <v>354</v>
      </c>
      <c r="B613" s="1">
        <v>45736</v>
      </c>
      <c r="C613" t="s">
        <v>7152</v>
      </c>
      <c r="D613" t="s">
        <v>935</v>
      </c>
      <c r="E613" t="s">
        <v>7153</v>
      </c>
      <c r="F613" t="s">
        <v>6820</v>
      </c>
      <c r="H613" t="s">
        <v>936</v>
      </c>
      <c r="J613">
        <v>121745</v>
      </c>
      <c r="L613" t="s">
        <v>5880</v>
      </c>
    </row>
    <row r="614" spans="1:12" x14ac:dyDescent="0.35">
      <c r="A614" t="s">
        <v>354</v>
      </c>
      <c r="B614" s="1">
        <v>45736</v>
      </c>
      <c r="C614" t="s">
        <v>7155</v>
      </c>
      <c r="D614" t="s">
        <v>937</v>
      </c>
      <c r="E614" t="s">
        <v>7156</v>
      </c>
      <c r="F614" t="s">
        <v>6802</v>
      </c>
      <c r="H614" t="s">
        <v>938</v>
      </c>
      <c r="J614">
        <v>121045</v>
      </c>
      <c r="L614" t="s">
        <v>6803</v>
      </c>
    </row>
    <row r="615" spans="1:12" x14ac:dyDescent="0.35">
      <c r="A615" t="s">
        <v>354</v>
      </c>
      <c r="B615" s="1">
        <v>45736</v>
      </c>
      <c r="C615" t="s">
        <v>7155</v>
      </c>
      <c r="D615" t="s">
        <v>937</v>
      </c>
      <c r="E615" t="s">
        <v>7156</v>
      </c>
      <c r="F615" t="s">
        <v>6804</v>
      </c>
      <c r="G615" t="s">
        <v>7154</v>
      </c>
      <c r="H615" t="s">
        <v>938</v>
      </c>
      <c r="I615" s="1">
        <v>45796</v>
      </c>
      <c r="K615">
        <v>121045</v>
      </c>
      <c r="L615" t="s">
        <v>6803</v>
      </c>
    </row>
    <row r="616" spans="1:12" x14ac:dyDescent="0.35">
      <c r="A616" t="s">
        <v>354</v>
      </c>
      <c r="B616" s="1">
        <v>45737</v>
      </c>
      <c r="C616" t="s">
        <v>7157</v>
      </c>
      <c r="D616" t="s">
        <v>939</v>
      </c>
      <c r="E616" t="s">
        <v>940</v>
      </c>
      <c r="F616" t="s">
        <v>6802</v>
      </c>
      <c r="H616" t="s">
        <v>941</v>
      </c>
      <c r="J616">
        <v>320000</v>
      </c>
      <c r="L616" t="s">
        <v>6803</v>
      </c>
    </row>
    <row r="617" spans="1:12" x14ac:dyDescent="0.35">
      <c r="A617" t="s">
        <v>354</v>
      </c>
      <c r="B617" s="1">
        <v>45737</v>
      </c>
      <c r="C617" t="s">
        <v>7157</v>
      </c>
      <c r="D617" t="s">
        <v>939</v>
      </c>
      <c r="E617" t="s">
        <v>940</v>
      </c>
      <c r="F617" t="s">
        <v>6804</v>
      </c>
      <c r="G617" t="s">
        <v>7119</v>
      </c>
      <c r="H617" t="s">
        <v>941</v>
      </c>
      <c r="I617" s="1">
        <v>45797</v>
      </c>
      <c r="K617">
        <v>377600</v>
      </c>
      <c r="L617" t="s">
        <v>6803</v>
      </c>
    </row>
    <row r="618" spans="1:12" x14ac:dyDescent="0.35">
      <c r="A618" t="s">
        <v>354</v>
      </c>
      <c r="B618" s="1">
        <v>45737</v>
      </c>
      <c r="C618" t="s">
        <v>7157</v>
      </c>
      <c r="D618" t="s">
        <v>939</v>
      </c>
      <c r="E618" t="s">
        <v>940</v>
      </c>
      <c r="F618" t="s">
        <v>6806</v>
      </c>
      <c r="H618" t="s">
        <v>941</v>
      </c>
      <c r="J618">
        <v>57600</v>
      </c>
      <c r="L618" t="s">
        <v>6803</v>
      </c>
    </row>
    <row r="619" spans="1:12" x14ac:dyDescent="0.35">
      <c r="A619" t="s">
        <v>354</v>
      </c>
      <c r="B619" s="1">
        <v>45737</v>
      </c>
      <c r="C619" t="s">
        <v>7158</v>
      </c>
      <c r="D619" t="s">
        <v>942</v>
      </c>
      <c r="E619" t="s">
        <v>943</v>
      </c>
      <c r="F619" t="s">
        <v>6802</v>
      </c>
      <c r="H619" t="s">
        <v>944</v>
      </c>
      <c r="J619">
        <v>35000</v>
      </c>
      <c r="L619" t="s">
        <v>6803</v>
      </c>
    </row>
    <row r="620" spans="1:12" x14ac:dyDescent="0.35">
      <c r="A620" t="s">
        <v>354</v>
      </c>
      <c r="B620" s="1">
        <v>45737</v>
      </c>
      <c r="C620" t="s">
        <v>7158</v>
      </c>
      <c r="D620" t="s">
        <v>942</v>
      </c>
      <c r="E620" t="s">
        <v>943</v>
      </c>
      <c r="F620" t="s">
        <v>6804</v>
      </c>
      <c r="G620" t="s">
        <v>7119</v>
      </c>
      <c r="H620" t="s">
        <v>944</v>
      </c>
      <c r="I620" s="1">
        <v>45797</v>
      </c>
      <c r="K620">
        <v>41300</v>
      </c>
      <c r="L620" t="s">
        <v>6803</v>
      </c>
    </row>
    <row r="621" spans="1:12" x14ac:dyDescent="0.35">
      <c r="A621" t="s">
        <v>354</v>
      </c>
      <c r="B621" s="1">
        <v>45737</v>
      </c>
      <c r="C621" t="s">
        <v>7158</v>
      </c>
      <c r="D621" t="s">
        <v>942</v>
      </c>
      <c r="E621" t="s">
        <v>943</v>
      </c>
      <c r="F621" t="s">
        <v>6806</v>
      </c>
      <c r="H621" t="s">
        <v>944</v>
      </c>
      <c r="J621">
        <v>6300</v>
      </c>
      <c r="L621" t="s">
        <v>6803</v>
      </c>
    </row>
    <row r="622" spans="1:12" x14ac:dyDescent="0.35">
      <c r="A622" t="s">
        <v>354</v>
      </c>
      <c r="B622" s="1">
        <v>45737</v>
      </c>
      <c r="C622" t="s">
        <v>7159</v>
      </c>
      <c r="D622" t="s">
        <v>945</v>
      </c>
      <c r="E622" t="s">
        <v>946</v>
      </c>
      <c r="F622" t="s">
        <v>6802</v>
      </c>
      <c r="H622" t="s">
        <v>947</v>
      </c>
      <c r="J622">
        <v>50180</v>
      </c>
      <c r="L622" t="s">
        <v>6803</v>
      </c>
    </row>
    <row r="623" spans="1:12" x14ac:dyDescent="0.35">
      <c r="A623" t="s">
        <v>354</v>
      </c>
      <c r="B623" s="1">
        <v>45737</v>
      </c>
      <c r="C623" t="s">
        <v>7159</v>
      </c>
      <c r="D623" t="s">
        <v>945</v>
      </c>
      <c r="E623" t="s">
        <v>946</v>
      </c>
      <c r="F623" t="s">
        <v>6804</v>
      </c>
      <c r="G623" t="s">
        <v>7119</v>
      </c>
      <c r="H623" t="s">
        <v>947</v>
      </c>
      <c r="I623" s="1">
        <v>45797</v>
      </c>
      <c r="K623">
        <v>59212</v>
      </c>
      <c r="L623" t="s">
        <v>6803</v>
      </c>
    </row>
    <row r="624" spans="1:12" x14ac:dyDescent="0.35">
      <c r="A624" t="s">
        <v>354</v>
      </c>
      <c r="B624" s="1">
        <v>45737</v>
      </c>
      <c r="C624" t="s">
        <v>7159</v>
      </c>
      <c r="D624" t="s">
        <v>945</v>
      </c>
      <c r="E624" t="s">
        <v>946</v>
      </c>
      <c r="F624" t="s">
        <v>6806</v>
      </c>
      <c r="H624" t="s">
        <v>947</v>
      </c>
      <c r="J624">
        <v>9032</v>
      </c>
      <c r="L624" t="s">
        <v>6803</v>
      </c>
    </row>
    <row r="625" spans="1:12" x14ac:dyDescent="0.35">
      <c r="A625" t="s">
        <v>354</v>
      </c>
      <c r="B625" s="1">
        <v>45737</v>
      </c>
      <c r="C625" t="s">
        <v>7160</v>
      </c>
      <c r="D625" t="s">
        <v>948</v>
      </c>
      <c r="E625" t="s">
        <v>949</v>
      </c>
      <c r="F625" t="s">
        <v>6802</v>
      </c>
      <c r="H625" t="s">
        <v>950</v>
      </c>
      <c r="J625">
        <v>20391</v>
      </c>
      <c r="L625" t="s">
        <v>6803</v>
      </c>
    </row>
    <row r="626" spans="1:12" x14ac:dyDescent="0.35">
      <c r="A626" t="s">
        <v>354</v>
      </c>
      <c r="B626" s="1">
        <v>45737</v>
      </c>
      <c r="C626" t="s">
        <v>7160</v>
      </c>
      <c r="D626" t="s">
        <v>948</v>
      </c>
      <c r="E626" t="s">
        <v>949</v>
      </c>
      <c r="F626" t="s">
        <v>6804</v>
      </c>
      <c r="G626" t="s">
        <v>7119</v>
      </c>
      <c r="H626" t="s">
        <v>950</v>
      </c>
      <c r="I626" s="1">
        <v>45797</v>
      </c>
      <c r="K626">
        <v>24061</v>
      </c>
      <c r="L626" t="s">
        <v>6803</v>
      </c>
    </row>
    <row r="627" spans="1:12" x14ac:dyDescent="0.35">
      <c r="A627" t="s">
        <v>354</v>
      </c>
      <c r="B627" s="1">
        <v>45737</v>
      </c>
      <c r="C627" t="s">
        <v>7160</v>
      </c>
      <c r="D627" t="s">
        <v>948</v>
      </c>
      <c r="E627" t="s">
        <v>949</v>
      </c>
      <c r="F627" t="s">
        <v>6806</v>
      </c>
      <c r="H627" t="s">
        <v>950</v>
      </c>
      <c r="J627">
        <v>3670</v>
      </c>
      <c r="L627" t="s">
        <v>6803</v>
      </c>
    </row>
    <row r="628" spans="1:12" x14ac:dyDescent="0.35">
      <c r="A628" t="s">
        <v>354</v>
      </c>
      <c r="B628" s="1">
        <v>45737</v>
      </c>
      <c r="C628" t="s">
        <v>7161</v>
      </c>
      <c r="D628" t="s">
        <v>951</v>
      </c>
      <c r="E628" t="s">
        <v>952</v>
      </c>
      <c r="F628" t="s">
        <v>6802</v>
      </c>
      <c r="H628" t="s">
        <v>953</v>
      </c>
      <c r="J628">
        <v>122346</v>
      </c>
      <c r="L628" t="s">
        <v>6803</v>
      </c>
    </row>
    <row r="629" spans="1:12" x14ac:dyDescent="0.35">
      <c r="A629" t="s">
        <v>354</v>
      </c>
      <c r="B629" s="1">
        <v>45737</v>
      </c>
      <c r="C629" t="s">
        <v>7161</v>
      </c>
      <c r="D629" t="s">
        <v>951</v>
      </c>
      <c r="E629" t="s">
        <v>952</v>
      </c>
      <c r="F629" t="s">
        <v>6804</v>
      </c>
      <c r="G629" t="s">
        <v>7119</v>
      </c>
      <c r="H629" t="s">
        <v>953</v>
      </c>
      <c r="I629" s="1">
        <v>45797</v>
      </c>
      <c r="K629">
        <v>144368</v>
      </c>
      <c r="L629" t="s">
        <v>6803</v>
      </c>
    </row>
    <row r="630" spans="1:12" x14ac:dyDescent="0.35">
      <c r="A630" t="s">
        <v>354</v>
      </c>
      <c r="B630" s="1">
        <v>45737</v>
      </c>
      <c r="C630" t="s">
        <v>7161</v>
      </c>
      <c r="D630" t="s">
        <v>951</v>
      </c>
      <c r="E630" t="s">
        <v>952</v>
      </c>
      <c r="F630" t="s">
        <v>6806</v>
      </c>
      <c r="H630" t="s">
        <v>953</v>
      </c>
      <c r="J630">
        <v>22022</v>
      </c>
      <c r="L630" t="s">
        <v>6803</v>
      </c>
    </row>
    <row r="631" spans="1:12" x14ac:dyDescent="0.35">
      <c r="A631" t="s">
        <v>354</v>
      </c>
      <c r="B631" s="1">
        <v>45737</v>
      </c>
      <c r="C631" t="s">
        <v>7162</v>
      </c>
      <c r="D631" t="s">
        <v>954</v>
      </c>
      <c r="E631" t="s">
        <v>955</v>
      </c>
      <c r="F631" t="s">
        <v>6802</v>
      </c>
      <c r="H631" t="s">
        <v>956</v>
      </c>
      <c r="J631">
        <v>98875</v>
      </c>
      <c r="L631" t="s">
        <v>6803</v>
      </c>
    </row>
    <row r="632" spans="1:12" x14ac:dyDescent="0.35">
      <c r="A632" t="s">
        <v>354</v>
      </c>
      <c r="B632" s="1">
        <v>45737</v>
      </c>
      <c r="C632" t="s">
        <v>7162</v>
      </c>
      <c r="D632" t="s">
        <v>954</v>
      </c>
      <c r="E632" t="s">
        <v>955</v>
      </c>
      <c r="F632" t="s">
        <v>6804</v>
      </c>
      <c r="G632" t="s">
        <v>7119</v>
      </c>
      <c r="H632" t="s">
        <v>956</v>
      </c>
      <c r="I632" s="1">
        <v>45797</v>
      </c>
      <c r="K632">
        <v>116673</v>
      </c>
      <c r="L632" t="s">
        <v>6803</v>
      </c>
    </row>
    <row r="633" spans="1:12" x14ac:dyDescent="0.35">
      <c r="A633" t="s">
        <v>354</v>
      </c>
      <c r="B633" s="1">
        <v>45737</v>
      </c>
      <c r="C633" t="s">
        <v>7162</v>
      </c>
      <c r="D633" t="s">
        <v>954</v>
      </c>
      <c r="E633" t="s">
        <v>955</v>
      </c>
      <c r="F633" t="s">
        <v>6806</v>
      </c>
      <c r="H633" t="s">
        <v>956</v>
      </c>
      <c r="J633">
        <v>17798</v>
      </c>
      <c r="L633" t="s">
        <v>6803</v>
      </c>
    </row>
    <row r="634" spans="1:12" x14ac:dyDescent="0.35">
      <c r="A634" t="s">
        <v>354</v>
      </c>
      <c r="B634" s="1">
        <v>45737</v>
      </c>
      <c r="C634" t="s">
        <v>7163</v>
      </c>
      <c r="D634" t="s">
        <v>957</v>
      </c>
      <c r="E634" t="s">
        <v>958</v>
      </c>
      <c r="F634" t="s">
        <v>6802</v>
      </c>
      <c r="H634" t="s">
        <v>959</v>
      </c>
      <c r="J634">
        <v>145250</v>
      </c>
      <c r="L634" t="s">
        <v>6803</v>
      </c>
    </row>
    <row r="635" spans="1:12" x14ac:dyDescent="0.35">
      <c r="A635" t="s">
        <v>354</v>
      </c>
      <c r="B635" s="1">
        <v>45737</v>
      </c>
      <c r="C635" t="s">
        <v>7163</v>
      </c>
      <c r="D635" t="s">
        <v>957</v>
      </c>
      <c r="E635" t="s">
        <v>958</v>
      </c>
      <c r="F635" t="s">
        <v>6804</v>
      </c>
      <c r="G635" t="s">
        <v>7119</v>
      </c>
      <c r="H635" t="s">
        <v>959</v>
      </c>
      <c r="I635" s="1">
        <v>45797</v>
      </c>
      <c r="K635">
        <v>171395</v>
      </c>
      <c r="L635" t="s">
        <v>6803</v>
      </c>
    </row>
    <row r="636" spans="1:12" x14ac:dyDescent="0.35">
      <c r="A636" t="s">
        <v>354</v>
      </c>
      <c r="B636" s="1">
        <v>45737</v>
      </c>
      <c r="C636" t="s">
        <v>7163</v>
      </c>
      <c r="D636" t="s">
        <v>957</v>
      </c>
      <c r="E636" t="s">
        <v>958</v>
      </c>
      <c r="F636" t="s">
        <v>6806</v>
      </c>
      <c r="H636" t="s">
        <v>959</v>
      </c>
      <c r="J636">
        <v>26145</v>
      </c>
      <c r="L636" t="s">
        <v>6803</v>
      </c>
    </row>
    <row r="637" spans="1:12" x14ac:dyDescent="0.35">
      <c r="A637" t="s">
        <v>354</v>
      </c>
      <c r="B637" s="1">
        <v>45737</v>
      </c>
      <c r="C637" t="s">
        <v>7164</v>
      </c>
      <c r="D637" t="s">
        <v>960</v>
      </c>
      <c r="E637" t="s">
        <v>961</v>
      </c>
      <c r="F637" t="s">
        <v>6802</v>
      </c>
      <c r="H637" t="s">
        <v>962</v>
      </c>
      <c r="J637">
        <v>81564</v>
      </c>
      <c r="L637" t="s">
        <v>6803</v>
      </c>
    </row>
    <row r="638" spans="1:12" x14ac:dyDescent="0.35">
      <c r="A638" t="s">
        <v>354</v>
      </c>
      <c r="B638" s="1">
        <v>45737</v>
      </c>
      <c r="C638" t="s">
        <v>7164</v>
      </c>
      <c r="D638" t="s">
        <v>960</v>
      </c>
      <c r="E638" t="s">
        <v>961</v>
      </c>
      <c r="F638" t="s">
        <v>6804</v>
      </c>
      <c r="G638" t="s">
        <v>7119</v>
      </c>
      <c r="H638" t="s">
        <v>962</v>
      </c>
      <c r="I638" s="1">
        <v>45797</v>
      </c>
      <c r="K638">
        <v>96246</v>
      </c>
      <c r="L638" t="s">
        <v>6803</v>
      </c>
    </row>
    <row r="639" spans="1:12" x14ac:dyDescent="0.35">
      <c r="A639" t="s">
        <v>354</v>
      </c>
      <c r="B639" s="1">
        <v>45737</v>
      </c>
      <c r="C639" t="s">
        <v>7164</v>
      </c>
      <c r="D639" t="s">
        <v>960</v>
      </c>
      <c r="E639" t="s">
        <v>961</v>
      </c>
      <c r="F639" t="s">
        <v>6806</v>
      </c>
      <c r="H639" t="s">
        <v>962</v>
      </c>
      <c r="J639">
        <v>14682</v>
      </c>
      <c r="L639" t="s">
        <v>6803</v>
      </c>
    </row>
    <row r="640" spans="1:12" x14ac:dyDescent="0.35">
      <c r="A640" t="s">
        <v>354</v>
      </c>
      <c r="B640" s="1">
        <v>45737</v>
      </c>
      <c r="C640" t="s">
        <v>7165</v>
      </c>
      <c r="D640" t="s">
        <v>963</v>
      </c>
      <c r="E640" t="s">
        <v>964</v>
      </c>
      <c r="F640" t="s">
        <v>6802</v>
      </c>
      <c r="H640" t="s">
        <v>965</v>
      </c>
      <c r="J640">
        <v>35000</v>
      </c>
      <c r="L640" t="s">
        <v>6803</v>
      </c>
    </row>
    <row r="641" spans="1:12" x14ac:dyDescent="0.35">
      <c r="A641" t="s">
        <v>354</v>
      </c>
      <c r="B641" s="1">
        <v>45737</v>
      </c>
      <c r="C641" t="s">
        <v>7165</v>
      </c>
      <c r="D641" t="s">
        <v>963</v>
      </c>
      <c r="E641" t="s">
        <v>964</v>
      </c>
      <c r="F641" t="s">
        <v>6804</v>
      </c>
      <c r="G641" t="s">
        <v>7119</v>
      </c>
      <c r="H641" t="s">
        <v>965</v>
      </c>
      <c r="I641" s="1">
        <v>45797</v>
      </c>
      <c r="K641">
        <v>41300</v>
      </c>
      <c r="L641" t="s">
        <v>6803</v>
      </c>
    </row>
    <row r="642" spans="1:12" x14ac:dyDescent="0.35">
      <c r="A642" t="s">
        <v>354</v>
      </c>
      <c r="B642" s="1">
        <v>45737</v>
      </c>
      <c r="C642" t="s">
        <v>7165</v>
      </c>
      <c r="D642" t="s">
        <v>963</v>
      </c>
      <c r="E642" t="s">
        <v>964</v>
      </c>
      <c r="F642" t="s">
        <v>6806</v>
      </c>
      <c r="H642" t="s">
        <v>965</v>
      </c>
      <c r="J642">
        <v>6300</v>
      </c>
      <c r="L642" t="s">
        <v>6803</v>
      </c>
    </row>
    <row r="643" spans="1:12" x14ac:dyDescent="0.35">
      <c r="A643" t="s">
        <v>354</v>
      </c>
      <c r="B643" s="1">
        <v>45737</v>
      </c>
      <c r="C643" t="s">
        <v>7166</v>
      </c>
      <c r="D643" t="s">
        <v>966</v>
      </c>
      <c r="E643" t="s">
        <v>967</v>
      </c>
      <c r="F643" t="s">
        <v>6802</v>
      </c>
      <c r="H643" t="s">
        <v>968</v>
      </c>
      <c r="J643">
        <v>90000</v>
      </c>
      <c r="L643" t="s">
        <v>6803</v>
      </c>
    </row>
    <row r="644" spans="1:12" x14ac:dyDescent="0.35">
      <c r="A644" t="s">
        <v>354</v>
      </c>
      <c r="B644" s="1">
        <v>45737</v>
      </c>
      <c r="C644" t="s">
        <v>7166</v>
      </c>
      <c r="D644" t="s">
        <v>966</v>
      </c>
      <c r="E644" t="s">
        <v>967</v>
      </c>
      <c r="F644" t="s">
        <v>6804</v>
      </c>
      <c r="G644" t="s">
        <v>7119</v>
      </c>
      <c r="H644" t="s">
        <v>968</v>
      </c>
      <c r="I644" s="1">
        <v>45797</v>
      </c>
      <c r="K644">
        <v>106200</v>
      </c>
      <c r="L644" t="s">
        <v>6803</v>
      </c>
    </row>
    <row r="645" spans="1:12" x14ac:dyDescent="0.35">
      <c r="A645" t="s">
        <v>354</v>
      </c>
      <c r="B645" s="1">
        <v>45737</v>
      </c>
      <c r="C645" t="s">
        <v>7166</v>
      </c>
      <c r="D645" t="s">
        <v>966</v>
      </c>
      <c r="E645" t="s">
        <v>967</v>
      </c>
      <c r="F645" t="s">
        <v>6806</v>
      </c>
      <c r="H645" t="s">
        <v>968</v>
      </c>
      <c r="J645">
        <v>16200</v>
      </c>
      <c r="L645" t="s">
        <v>6803</v>
      </c>
    </row>
    <row r="646" spans="1:12" x14ac:dyDescent="0.35">
      <c r="A646" t="s">
        <v>354</v>
      </c>
      <c r="B646" s="1">
        <v>45737</v>
      </c>
      <c r="C646" t="s">
        <v>7167</v>
      </c>
      <c r="D646" t="s">
        <v>969</v>
      </c>
      <c r="E646" t="s">
        <v>7168</v>
      </c>
      <c r="F646" t="s">
        <v>6802</v>
      </c>
      <c r="H646" t="s">
        <v>970</v>
      </c>
      <c r="J646">
        <v>150000</v>
      </c>
      <c r="L646" t="s">
        <v>6803</v>
      </c>
    </row>
    <row r="647" spans="1:12" x14ac:dyDescent="0.35">
      <c r="A647" t="s">
        <v>354</v>
      </c>
      <c r="B647" s="1">
        <v>45737</v>
      </c>
      <c r="C647" t="s">
        <v>7167</v>
      </c>
      <c r="D647" t="s">
        <v>969</v>
      </c>
      <c r="E647" t="s">
        <v>7168</v>
      </c>
      <c r="F647" t="s">
        <v>6804</v>
      </c>
      <c r="G647" t="s">
        <v>7169</v>
      </c>
      <c r="H647" t="s">
        <v>970</v>
      </c>
      <c r="I647" s="1">
        <v>45737</v>
      </c>
      <c r="K647">
        <v>150000</v>
      </c>
      <c r="L647" t="s">
        <v>6803</v>
      </c>
    </row>
    <row r="648" spans="1:12" x14ac:dyDescent="0.35">
      <c r="A648" t="s">
        <v>354</v>
      </c>
      <c r="B648" s="1">
        <v>45737</v>
      </c>
      <c r="C648" t="s">
        <v>7170</v>
      </c>
      <c r="D648" t="s">
        <v>971</v>
      </c>
      <c r="E648" t="s">
        <v>7171</v>
      </c>
      <c r="F648" t="s">
        <v>6811</v>
      </c>
      <c r="H648" t="s">
        <v>972</v>
      </c>
      <c r="J648">
        <v>65000</v>
      </c>
      <c r="L648" t="s">
        <v>6803</v>
      </c>
    </row>
    <row r="649" spans="1:12" x14ac:dyDescent="0.35">
      <c r="A649" t="s">
        <v>354</v>
      </c>
      <c r="B649" s="1">
        <v>45737</v>
      </c>
      <c r="C649" t="s">
        <v>7170</v>
      </c>
      <c r="D649" t="s">
        <v>971</v>
      </c>
      <c r="E649" t="s">
        <v>7171</v>
      </c>
      <c r="F649" t="s">
        <v>6804</v>
      </c>
      <c r="G649" t="s">
        <v>6874</v>
      </c>
      <c r="H649" t="s">
        <v>972</v>
      </c>
      <c r="I649" s="1">
        <v>45767</v>
      </c>
      <c r="K649">
        <v>65000</v>
      </c>
      <c r="L649" t="s">
        <v>6803</v>
      </c>
    </row>
    <row r="650" spans="1:12" x14ac:dyDescent="0.35">
      <c r="A650" t="s">
        <v>354</v>
      </c>
      <c r="B650" s="1">
        <v>45740</v>
      </c>
      <c r="C650" t="s">
        <v>7172</v>
      </c>
      <c r="D650" t="s">
        <v>973</v>
      </c>
      <c r="E650" t="s">
        <v>7173</v>
      </c>
      <c r="F650" t="s">
        <v>6802</v>
      </c>
      <c r="H650" t="s">
        <v>974</v>
      </c>
      <c r="J650">
        <v>903000</v>
      </c>
      <c r="L650" t="s">
        <v>6803</v>
      </c>
    </row>
    <row r="651" spans="1:12" x14ac:dyDescent="0.35">
      <c r="A651" t="s">
        <v>354</v>
      </c>
      <c r="B651" s="1">
        <v>45740</v>
      </c>
      <c r="C651" t="s">
        <v>7172</v>
      </c>
      <c r="D651" t="s">
        <v>973</v>
      </c>
      <c r="E651" t="s">
        <v>7173</v>
      </c>
      <c r="F651" t="s">
        <v>6804</v>
      </c>
      <c r="G651" t="s">
        <v>7174</v>
      </c>
      <c r="H651" t="s">
        <v>974</v>
      </c>
      <c r="I651" s="1">
        <v>45770</v>
      </c>
      <c r="K651">
        <v>1065540</v>
      </c>
      <c r="L651" t="s">
        <v>6803</v>
      </c>
    </row>
    <row r="652" spans="1:12" x14ac:dyDescent="0.35">
      <c r="A652" t="s">
        <v>354</v>
      </c>
      <c r="B652" s="1">
        <v>45740</v>
      </c>
      <c r="C652" t="s">
        <v>7172</v>
      </c>
      <c r="D652" t="s">
        <v>973</v>
      </c>
      <c r="E652" t="s">
        <v>7173</v>
      </c>
      <c r="F652" t="s">
        <v>6806</v>
      </c>
      <c r="H652" t="s">
        <v>974</v>
      </c>
      <c r="J652">
        <v>162540</v>
      </c>
      <c r="L652" t="s">
        <v>6803</v>
      </c>
    </row>
    <row r="653" spans="1:12" x14ac:dyDescent="0.35">
      <c r="A653" t="s">
        <v>354</v>
      </c>
      <c r="B653" s="1">
        <v>45740</v>
      </c>
      <c r="C653" t="s">
        <v>7175</v>
      </c>
      <c r="D653" t="s">
        <v>975</v>
      </c>
      <c r="E653" t="s">
        <v>7176</v>
      </c>
      <c r="F653" t="s">
        <v>6802</v>
      </c>
      <c r="H653" t="s">
        <v>976</v>
      </c>
      <c r="J653">
        <v>675000</v>
      </c>
      <c r="L653" t="s">
        <v>6803</v>
      </c>
    </row>
    <row r="654" spans="1:12" x14ac:dyDescent="0.35">
      <c r="A654" t="s">
        <v>354</v>
      </c>
      <c r="B654" s="1">
        <v>45740</v>
      </c>
      <c r="C654" t="s">
        <v>7175</v>
      </c>
      <c r="D654" t="s">
        <v>975</v>
      </c>
      <c r="E654" t="s">
        <v>7176</v>
      </c>
      <c r="F654" t="s">
        <v>6804</v>
      </c>
      <c r="G654" t="s">
        <v>7177</v>
      </c>
      <c r="H654" t="s">
        <v>976</v>
      </c>
      <c r="I654" s="1">
        <v>45740</v>
      </c>
      <c r="K654">
        <v>796500</v>
      </c>
      <c r="L654" t="s">
        <v>6803</v>
      </c>
    </row>
    <row r="655" spans="1:12" x14ac:dyDescent="0.35">
      <c r="A655" t="s">
        <v>354</v>
      </c>
      <c r="B655" s="1">
        <v>45740</v>
      </c>
      <c r="C655" t="s">
        <v>7175</v>
      </c>
      <c r="D655" t="s">
        <v>975</v>
      </c>
      <c r="E655" t="s">
        <v>7176</v>
      </c>
      <c r="F655" t="s">
        <v>6806</v>
      </c>
      <c r="H655" t="s">
        <v>976</v>
      </c>
      <c r="J655">
        <v>121500</v>
      </c>
      <c r="L655" t="s">
        <v>6803</v>
      </c>
    </row>
    <row r="656" spans="1:12" x14ac:dyDescent="0.35">
      <c r="A656" t="s">
        <v>354</v>
      </c>
      <c r="B656" s="1">
        <v>45740</v>
      </c>
      <c r="C656" t="s">
        <v>7178</v>
      </c>
      <c r="D656" t="s">
        <v>977</v>
      </c>
      <c r="E656" t="s">
        <v>7179</v>
      </c>
      <c r="F656" t="s">
        <v>6802</v>
      </c>
      <c r="H656" t="s">
        <v>978</v>
      </c>
      <c r="J656">
        <v>637000</v>
      </c>
      <c r="L656" t="s">
        <v>6803</v>
      </c>
    </row>
    <row r="657" spans="1:12" x14ac:dyDescent="0.35">
      <c r="A657" t="s">
        <v>354</v>
      </c>
      <c r="B657" s="1">
        <v>45740</v>
      </c>
      <c r="C657" t="s">
        <v>7178</v>
      </c>
      <c r="D657" t="s">
        <v>977</v>
      </c>
      <c r="E657" t="s">
        <v>7179</v>
      </c>
      <c r="F657" t="s">
        <v>6804</v>
      </c>
      <c r="G657" t="s">
        <v>7177</v>
      </c>
      <c r="H657" t="s">
        <v>978</v>
      </c>
      <c r="I657" s="1">
        <v>45740</v>
      </c>
      <c r="K657">
        <v>751660</v>
      </c>
      <c r="L657" t="s">
        <v>6803</v>
      </c>
    </row>
    <row r="658" spans="1:12" x14ac:dyDescent="0.35">
      <c r="A658" t="s">
        <v>354</v>
      </c>
      <c r="B658" s="1">
        <v>45740</v>
      </c>
      <c r="C658" t="s">
        <v>7178</v>
      </c>
      <c r="D658" t="s">
        <v>977</v>
      </c>
      <c r="E658" t="s">
        <v>7179</v>
      </c>
      <c r="F658" t="s">
        <v>6806</v>
      </c>
      <c r="H658" t="s">
        <v>978</v>
      </c>
      <c r="J658">
        <v>114660</v>
      </c>
      <c r="L658" t="s">
        <v>6803</v>
      </c>
    </row>
    <row r="659" spans="1:12" x14ac:dyDescent="0.35">
      <c r="A659" t="s">
        <v>354</v>
      </c>
      <c r="B659" s="1">
        <v>45740</v>
      </c>
      <c r="C659" t="s">
        <v>7180</v>
      </c>
      <c r="D659" t="s">
        <v>979</v>
      </c>
      <c r="E659" t="s">
        <v>7181</v>
      </c>
      <c r="F659" t="s">
        <v>6802</v>
      </c>
      <c r="H659" t="s">
        <v>980</v>
      </c>
      <c r="J659">
        <v>58800</v>
      </c>
      <c r="L659" t="s">
        <v>6803</v>
      </c>
    </row>
    <row r="660" spans="1:12" x14ac:dyDescent="0.35">
      <c r="A660" t="s">
        <v>354</v>
      </c>
      <c r="B660" s="1">
        <v>45740</v>
      </c>
      <c r="C660" t="s">
        <v>7180</v>
      </c>
      <c r="D660" t="s">
        <v>979</v>
      </c>
      <c r="E660" t="s">
        <v>7181</v>
      </c>
      <c r="F660" t="s">
        <v>6804</v>
      </c>
      <c r="G660" t="s">
        <v>6814</v>
      </c>
      <c r="H660" t="s">
        <v>980</v>
      </c>
      <c r="I660" s="1">
        <v>45830</v>
      </c>
      <c r="K660">
        <v>69384</v>
      </c>
      <c r="L660" t="s">
        <v>6803</v>
      </c>
    </row>
    <row r="661" spans="1:12" x14ac:dyDescent="0.35">
      <c r="A661" t="s">
        <v>354</v>
      </c>
      <c r="B661" s="1">
        <v>45740</v>
      </c>
      <c r="C661" t="s">
        <v>7180</v>
      </c>
      <c r="D661" t="s">
        <v>979</v>
      </c>
      <c r="E661" t="s">
        <v>7181</v>
      </c>
      <c r="F661" t="s">
        <v>6806</v>
      </c>
      <c r="H661" t="s">
        <v>980</v>
      </c>
      <c r="J661">
        <v>10584</v>
      </c>
      <c r="L661" t="s">
        <v>6803</v>
      </c>
    </row>
    <row r="662" spans="1:12" x14ac:dyDescent="0.35">
      <c r="A662" t="s">
        <v>354</v>
      </c>
      <c r="B662" s="1">
        <v>45740</v>
      </c>
      <c r="C662" t="s">
        <v>7182</v>
      </c>
      <c r="D662" t="s">
        <v>981</v>
      </c>
      <c r="E662" t="s">
        <v>7183</v>
      </c>
      <c r="F662" t="s">
        <v>6802</v>
      </c>
      <c r="H662" t="s">
        <v>982</v>
      </c>
      <c r="J662">
        <v>84000</v>
      </c>
      <c r="L662" t="s">
        <v>6803</v>
      </c>
    </row>
    <row r="663" spans="1:12" x14ac:dyDescent="0.35">
      <c r="A663" t="s">
        <v>354</v>
      </c>
      <c r="B663" s="1">
        <v>45740</v>
      </c>
      <c r="C663" t="s">
        <v>7182</v>
      </c>
      <c r="D663" t="s">
        <v>981</v>
      </c>
      <c r="E663" t="s">
        <v>7183</v>
      </c>
      <c r="F663" t="s">
        <v>6804</v>
      </c>
      <c r="G663" t="s">
        <v>6814</v>
      </c>
      <c r="H663" t="s">
        <v>982</v>
      </c>
      <c r="I663" s="1">
        <v>45830</v>
      </c>
      <c r="K663">
        <v>99120</v>
      </c>
      <c r="L663" t="s">
        <v>6803</v>
      </c>
    </row>
    <row r="664" spans="1:12" x14ac:dyDescent="0.35">
      <c r="A664" t="s">
        <v>354</v>
      </c>
      <c r="B664" s="1">
        <v>45740</v>
      </c>
      <c r="C664" t="s">
        <v>7182</v>
      </c>
      <c r="D664" t="s">
        <v>981</v>
      </c>
      <c r="E664" t="s">
        <v>7183</v>
      </c>
      <c r="F664" t="s">
        <v>6806</v>
      </c>
      <c r="H664" t="s">
        <v>982</v>
      </c>
      <c r="J664">
        <v>15120</v>
      </c>
      <c r="L664" t="s">
        <v>6803</v>
      </c>
    </row>
    <row r="665" spans="1:12" x14ac:dyDescent="0.35">
      <c r="A665" t="s">
        <v>354</v>
      </c>
      <c r="B665" s="1">
        <v>45740</v>
      </c>
      <c r="C665" t="s">
        <v>7184</v>
      </c>
      <c r="D665" t="s">
        <v>983</v>
      </c>
      <c r="E665" t="s">
        <v>984</v>
      </c>
      <c r="F665" t="s">
        <v>6802</v>
      </c>
      <c r="H665" t="s">
        <v>985</v>
      </c>
      <c r="J665">
        <v>111096</v>
      </c>
      <c r="L665" t="s">
        <v>6803</v>
      </c>
    </row>
    <row r="666" spans="1:12" x14ac:dyDescent="0.35">
      <c r="A666" t="s">
        <v>354</v>
      </c>
      <c r="B666" s="1">
        <v>45740</v>
      </c>
      <c r="C666" t="s">
        <v>7184</v>
      </c>
      <c r="D666" t="s">
        <v>983</v>
      </c>
      <c r="E666" t="s">
        <v>984</v>
      </c>
      <c r="F666" t="s">
        <v>6804</v>
      </c>
      <c r="G666" t="s">
        <v>6906</v>
      </c>
      <c r="H666" t="s">
        <v>985</v>
      </c>
      <c r="I666" s="1">
        <v>45838</v>
      </c>
      <c r="K666">
        <v>131093</v>
      </c>
      <c r="L666" t="s">
        <v>6803</v>
      </c>
    </row>
    <row r="667" spans="1:12" x14ac:dyDescent="0.35">
      <c r="A667" t="s">
        <v>354</v>
      </c>
      <c r="B667" s="1">
        <v>45740</v>
      </c>
      <c r="C667" t="s">
        <v>7184</v>
      </c>
      <c r="D667" t="s">
        <v>983</v>
      </c>
      <c r="E667" t="s">
        <v>984</v>
      </c>
      <c r="F667" t="s">
        <v>6806</v>
      </c>
      <c r="H667" t="s">
        <v>985</v>
      </c>
      <c r="J667">
        <v>19997</v>
      </c>
      <c r="L667" t="s">
        <v>6803</v>
      </c>
    </row>
    <row r="668" spans="1:12" x14ac:dyDescent="0.35">
      <c r="A668" t="s">
        <v>354</v>
      </c>
      <c r="B668" s="1">
        <v>45740</v>
      </c>
      <c r="C668" t="s">
        <v>7185</v>
      </c>
      <c r="D668" t="s">
        <v>986</v>
      </c>
      <c r="E668" t="s">
        <v>987</v>
      </c>
      <c r="F668" t="s">
        <v>6802</v>
      </c>
      <c r="H668" t="s">
        <v>988</v>
      </c>
      <c r="J668">
        <v>304411</v>
      </c>
      <c r="L668" t="s">
        <v>6803</v>
      </c>
    </row>
    <row r="669" spans="1:12" x14ac:dyDescent="0.35">
      <c r="A669" t="s">
        <v>354</v>
      </c>
      <c r="B669" s="1">
        <v>45740</v>
      </c>
      <c r="C669" t="s">
        <v>7185</v>
      </c>
      <c r="D669" t="s">
        <v>986</v>
      </c>
      <c r="E669" t="s">
        <v>987</v>
      </c>
      <c r="F669" t="s">
        <v>6804</v>
      </c>
      <c r="G669" t="s">
        <v>6906</v>
      </c>
      <c r="H669" t="s">
        <v>988</v>
      </c>
      <c r="I669" s="1">
        <v>45838</v>
      </c>
      <c r="K669">
        <v>359205</v>
      </c>
      <c r="L669" t="s">
        <v>6803</v>
      </c>
    </row>
    <row r="670" spans="1:12" x14ac:dyDescent="0.35">
      <c r="A670" t="s">
        <v>354</v>
      </c>
      <c r="B670" s="1">
        <v>45740</v>
      </c>
      <c r="C670" t="s">
        <v>7185</v>
      </c>
      <c r="D670" t="s">
        <v>986</v>
      </c>
      <c r="E670" t="s">
        <v>987</v>
      </c>
      <c r="F670" t="s">
        <v>6806</v>
      </c>
      <c r="H670" t="s">
        <v>988</v>
      </c>
      <c r="J670">
        <v>54794</v>
      </c>
      <c r="L670" t="s">
        <v>6803</v>
      </c>
    </row>
    <row r="671" spans="1:12" x14ac:dyDescent="0.35">
      <c r="A671" t="s">
        <v>354</v>
      </c>
      <c r="B671" s="1">
        <v>45740</v>
      </c>
      <c r="C671" t="s">
        <v>7186</v>
      </c>
      <c r="D671" t="s">
        <v>989</v>
      </c>
      <c r="E671" t="s">
        <v>990</v>
      </c>
      <c r="F671" t="s">
        <v>6802</v>
      </c>
      <c r="H671" t="s">
        <v>991</v>
      </c>
      <c r="J671">
        <v>51776</v>
      </c>
      <c r="L671" t="s">
        <v>6803</v>
      </c>
    </row>
    <row r="672" spans="1:12" x14ac:dyDescent="0.35">
      <c r="A672" t="s">
        <v>354</v>
      </c>
      <c r="B672" s="1">
        <v>45740</v>
      </c>
      <c r="C672" t="s">
        <v>7186</v>
      </c>
      <c r="D672" t="s">
        <v>989</v>
      </c>
      <c r="E672" t="s">
        <v>990</v>
      </c>
      <c r="F672" t="s">
        <v>6804</v>
      </c>
      <c r="G672" t="s">
        <v>6906</v>
      </c>
      <c r="H672" t="s">
        <v>991</v>
      </c>
      <c r="I672" s="1">
        <v>45838</v>
      </c>
      <c r="K672">
        <v>61096</v>
      </c>
      <c r="L672" t="s">
        <v>6803</v>
      </c>
    </row>
    <row r="673" spans="1:12" x14ac:dyDescent="0.35">
      <c r="A673" t="s">
        <v>354</v>
      </c>
      <c r="B673" s="1">
        <v>45740</v>
      </c>
      <c r="C673" t="s">
        <v>7186</v>
      </c>
      <c r="D673" t="s">
        <v>989</v>
      </c>
      <c r="E673" t="s">
        <v>990</v>
      </c>
      <c r="F673" t="s">
        <v>6806</v>
      </c>
      <c r="H673" t="s">
        <v>991</v>
      </c>
      <c r="J673">
        <v>9320</v>
      </c>
      <c r="L673" t="s">
        <v>6803</v>
      </c>
    </row>
    <row r="674" spans="1:12" x14ac:dyDescent="0.35">
      <c r="A674" t="s">
        <v>354</v>
      </c>
      <c r="B674" s="1">
        <v>45740</v>
      </c>
      <c r="C674" t="s">
        <v>7187</v>
      </c>
      <c r="D674" t="s">
        <v>992</v>
      </c>
      <c r="E674" t="s">
        <v>993</v>
      </c>
      <c r="F674" t="s">
        <v>6915</v>
      </c>
      <c r="H674" t="s">
        <v>994</v>
      </c>
      <c r="J674">
        <v>650000</v>
      </c>
      <c r="L674" t="s">
        <v>6803</v>
      </c>
    </row>
    <row r="675" spans="1:12" x14ac:dyDescent="0.35">
      <c r="A675" t="s">
        <v>354</v>
      </c>
      <c r="B675" s="1">
        <v>45740</v>
      </c>
      <c r="C675" t="s">
        <v>7187</v>
      </c>
      <c r="D675" t="s">
        <v>992</v>
      </c>
      <c r="E675" t="s">
        <v>993</v>
      </c>
      <c r="F675" t="s">
        <v>6804</v>
      </c>
      <c r="G675" t="s">
        <v>6906</v>
      </c>
      <c r="H675" t="s">
        <v>994</v>
      </c>
      <c r="I675" s="1">
        <v>45838</v>
      </c>
      <c r="K675">
        <v>767000</v>
      </c>
      <c r="L675" t="s">
        <v>6803</v>
      </c>
    </row>
    <row r="676" spans="1:12" x14ac:dyDescent="0.35">
      <c r="A676" t="s">
        <v>354</v>
      </c>
      <c r="B676" s="1">
        <v>45740</v>
      </c>
      <c r="C676" t="s">
        <v>7187</v>
      </c>
      <c r="D676" t="s">
        <v>992</v>
      </c>
      <c r="E676" t="s">
        <v>993</v>
      </c>
      <c r="F676" t="s">
        <v>6806</v>
      </c>
      <c r="H676" t="s">
        <v>994</v>
      </c>
      <c r="J676">
        <v>117000</v>
      </c>
      <c r="L676" t="s">
        <v>6803</v>
      </c>
    </row>
    <row r="677" spans="1:12" x14ac:dyDescent="0.35">
      <c r="A677" t="s">
        <v>354</v>
      </c>
      <c r="B677" s="1">
        <v>45740</v>
      </c>
      <c r="C677" t="s">
        <v>7188</v>
      </c>
      <c r="D677" t="s">
        <v>995</v>
      </c>
      <c r="E677" t="s">
        <v>996</v>
      </c>
      <c r="F677" t="s">
        <v>6802</v>
      </c>
      <c r="H677" t="s">
        <v>997</v>
      </c>
      <c r="J677">
        <v>198555</v>
      </c>
      <c r="L677" t="s">
        <v>6803</v>
      </c>
    </row>
    <row r="678" spans="1:12" x14ac:dyDescent="0.35">
      <c r="A678" t="s">
        <v>354</v>
      </c>
      <c r="B678" s="1">
        <v>45740</v>
      </c>
      <c r="C678" t="s">
        <v>7188</v>
      </c>
      <c r="D678" t="s">
        <v>995</v>
      </c>
      <c r="E678" t="s">
        <v>996</v>
      </c>
      <c r="F678" t="s">
        <v>6804</v>
      </c>
      <c r="G678" t="s">
        <v>6906</v>
      </c>
      <c r="H678" t="s">
        <v>997</v>
      </c>
      <c r="I678" s="1">
        <v>45838</v>
      </c>
      <c r="K678">
        <v>234295</v>
      </c>
      <c r="L678" t="s">
        <v>6803</v>
      </c>
    </row>
    <row r="679" spans="1:12" x14ac:dyDescent="0.35">
      <c r="A679" t="s">
        <v>354</v>
      </c>
      <c r="B679" s="1">
        <v>45740</v>
      </c>
      <c r="C679" t="s">
        <v>7188</v>
      </c>
      <c r="D679" t="s">
        <v>995</v>
      </c>
      <c r="E679" t="s">
        <v>996</v>
      </c>
      <c r="F679" t="s">
        <v>6806</v>
      </c>
      <c r="H679" t="s">
        <v>997</v>
      </c>
      <c r="J679">
        <v>35740</v>
      </c>
      <c r="L679" t="s">
        <v>6803</v>
      </c>
    </row>
    <row r="680" spans="1:12" x14ac:dyDescent="0.35">
      <c r="A680" t="s">
        <v>354</v>
      </c>
      <c r="B680" s="1">
        <v>45740</v>
      </c>
      <c r="C680" t="s">
        <v>7189</v>
      </c>
      <c r="D680" t="s">
        <v>998</v>
      </c>
      <c r="E680" t="s">
        <v>999</v>
      </c>
      <c r="F680" t="s">
        <v>6915</v>
      </c>
      <c r="H680" t="s">
        <v>1000</v>
      </c>
      <c r="J680">
        <v>602000</v>
      </c>
      <c r="L680" t="s">
        <v>6803</v>
      </c>
    </row>
    <row r="681" spans="1:12" x14ac:dyDescent="0.35">
      <c r="A681" t="s">
        <v>354</v>
      </c>
      <c r="B681" s="1">
        <v>45740</v>
      </c>
      <c r="C681" t="s">
        <v>7189</v>
      </c>
      <c r="D681" t="s">
        <v>998</v>
      </c>
      <c r="E681" t="s">
        <v>999</v>
      </c>
      <c r="F681" t="s">
        <v>6804</v>
      </c>
      <c r="G681" t="s">
        <v>6906</v>
      </c>
      <c r="H681" t="s">
        <v>1000</v>
      </c>
      <c r="I681" s="1">
        <v>45838</v>
      </c>
      <c r="K681">
        <v>710360</v>
      </c>
      <c r="L681" t="s">
        <v>6803</v>
      </c>
    </row>
    <row r="682" spans="1:12" x14ac:dyDescent="0.35">
      <c r="A682" t="s">
        <v>354</v>
      </c>
      <c r="B682" s="1">
        <v>45740</v>
      </c>
      <c r="C682" t="s">
        <v>7189</v>
      </c>
      <c r="D682" t="s">
        <v>998</v>
      </c>
      <c r="E682" t="s">
        <v>999</v>
      </c>
      <c r="F682" t="s">
        <v>6806</v>
      </c>
      <c r="H682" t="s">
        <v>1000</v>
      </c>
      <c r="J682">
        <v>108360</v>
      </c>
      <c r="L682" t="s">
        <v>6803</v>
      </c>
    </row>
    <row r="683" spans="1:12" x14ac:dyDescent="0.35">
      <c r="A683" t="s">
        <v>354</v>
      </c>
      <c r="B683" s="1">
        <v>45740</v>
      </c>
      <c r="C683" t="s">
        <v>7190</v>
      </c>
      <c r="D683" t="s">
        <v>1001</v>
      </c>
      <c r="E683" t="s">
        <v>7191</v>
      </c>
      <c r="F683" t="s">
        <v>6804</v>
      </c>
      <c r="G683" t="s">
        <v>7154</v>
      </c>
      <c r="H683" t="s">
        <v>1002</v>
      </c>
      <c r="I683" s="1">
        <v>45800</v>
      </c>
      <c r="K683">
        <v>1183955</v>
      </c>
      <c r="L683" t="s">
        <v>6803</v>
      </c>
    </row>
    <row r="684" spans="1:12" x14ac:dyDescent="0.35">
      <c r="A684" t="s">
        <v>354</v>
      </c>
      <c r="B684" s="1">
        <v>45740</v>
      </c>
      <c r="C684" t="s">
        <v>7190</v>
      </c>
      <c r="D684" t="s">
        <v>1001</v>
      </c>
      <c r="E684" t="s">
        <v>7191</v>
      </c>
      <c r="F684" t="s">
        <v>6820</v>
      </c>
      <c r="H684" t="s">
        <v>1002</v>
      </c>
      <c r="J684">
        <v>1183955</v>
      </c>
      <c r="L684" t="s">
        <v>5881</v>
      </c>
    </row>
    <row r="685" spans="1:12" x14ac:dyDescent="0.35">
      <c r="A685" t="s">
        <v>354</v>
      </c>
      <c r="B685" s="1">
        <v>45740</v>
      </c>
      <c r="C685" t="s">
        <v>7192</v>
      </c>
      <c r="D685" t="s">
        <v>1003</v>
      </c>
      <c r="E685" t="s">
        <v>7193</v>
      </c>
      <c r="F685" t="s">
        <v>6811</v>
      </c>
      <c r="H685" t="s">
        <v>1004</v>
      </c>
      <c r="J685">
        <v>4000</v>
      </c>
      <c r="L685" t="s">
        <v>6803</v>
      </c>
    </row>
    <row r="686" spans="1:12" x14ac:dyDescent="0.35">
      <c r="A686" t="s">
        <v>354</v>
      </c>
      <c r="B686" s="1">
        <v>45740</v>
      </c>
      <c r="C686" t="s">
        <v>7192</v>
      </c>
      <c r="D686" t="s">
        <v>1003</v>
      </c>
      <c r="E686" t="s">
        <v>7193</v>
      </c>
      <c r="F686" t="s">
        <v>6802</v>
      </c>
      <c r="H686" t="s">
        <v>1004</v>
      </c>
      <c r="J686">
        <v>465000</v>
      </c>
      <c r="L686" t="s">
        <v>6803</v>
      </c>
    </row>
    <row r="687" spans="1:12" x14ac:dyDescent="0.35">
      <c r="A687" t="s">
        <v>354</v>
      </c>
      <c r="B687" s="1">
        <v>45740</v>
      </c>
      <c r="C687" t="s">
        <v>7192</v>
      </c>
      <c r="D687" t="s">
        <v>1003</v>
      </c>
      <c r="E687" t="s">
        <v>7193</v>
      </c>
      <c r="F687" t="s">
        <v>6804</v>
      </c>
      <c r="G687" t="s">
        <v>6934</v>
      </c>
      <c r="H687" t="s">
        <v>1004</v>
      </c>
      <c r="I687" s="1">
        <v>45800</v>
      </c>
      <c r="K687">
        <v>469000</v>
      </c>
      <c r="L687" t="s">
        <v>6803</v>
      </c>
    </row>
    <row r="688" spans="1:12" x14ac:dyDescent="0.35">
      <c r="A688" t="s">
        <v>354</v>
      </c>
      <c r="B688" s="1">
        <v>45740</v>
      </c>
      <c r="C688" t="s">
        <v>7194</v>
      </c>
      <c r="D688" t="s">
        <v>1005</v>
      </c>
      <c r="E688" t="s">
        <v>7195</v>
      </c>
      <c r="F688" t="s">
        <v>6802</v>
      </c>
      <c r="H688" t="s">
        <v>1006</v>
      </c>
      <c r="J688">
        <v>1045300</v>
      </c>
      <c r="L688" t="s">
        <v>6803</v>
      </c>
    </row>
    <row r="689" spans="1:12" x14ac:dyDescent="0.35">
      <c r="A689" t="s">
        <v>354</v>
      </c>
      <c r="B689" s="1">
        <v>45740</v>
      </c>
      <c r="C689" t="s">
        <v>7194</v>
      </c>
      <c r="D689" t="s">
        <v>1005</v>
      </c>
      <c r="E689" t="s">
        <v>7195</v>
      </c>
      <c r="F689" t="s">
        <v>6804</v>
      </c>
      <c r="G689" t="s">
        <v>6934</v>
      </c>
      <c r="H689" t="s">
        <v>1006</v>
      </c>
      <c r="I689" s="1">
        <v>45800</v>
      </c>
      <c r="K689">
        <v>1045300</v>
      </c>
      <c r="L689" t="s">
        <v>6803</v>
      </c>
    </row>
    <row r="690" spans="1:12" x14ac:dyDescent="0.35">
      <c r="A690" t="s">
        <v>354</v>
      </c>
      <c r="B690" s="1">
        <v>45741</v>
      </c>
      <c r="C690" t="s">
        <v>7196</v>
      </c>
      <c r="D690" t="s">
        <v>1007</v>
      </c>
      <c r="E690" t="s">
        <v>7197</v>
      </c>
      <c r="F690" t="s">
        <v>6802</v>
      </c>
      <c r="H690" t="s">
        <v>1008</v>
      </c>
      <c r="J690">
        <v>33600</v>
      </c>
      <c r="L690" t="s">
        <v>6803</v>
      </c>
    </row>
    <row r="691" spans="1:12" x14ac:dyDescent="0.35">
      <c r="A691" t="s">
        <v>354</v>
      </c>
      <c r="B691" s="1">
        <v>45741</v>
      </c>
      <c r="C691" t="s">
        <v>7196</v>
      </c>
      <c r="D691" t="s">
        <v>1007</v>
      </c>
      <c r="E691" t="s">
        <v>7197</v>
      </c>
      <c r="F691" t="s">
        <v>6804</v>
      </c>
      <c r="G691" t="s">
        <v>6814</v>
      </c>
      <c r="H691" t="s">
        <v>1008</v>
      </c>
      <c r="I691" s="1">
        <v>45831</v>
      </c>
      <c r="K691">
        <v>39648</v>
      </c>
      <c r="L691" t="s">
        <v>6803</v>
      </c>
    </row>
    <row r="692" spans="1:12" x14ac:dyDescent="0.35">
      <c r="A692" t="s">
        <v>354</v>
      </c>
      <c r="B692" s="1">
        <v>45741</v>
      </c>
      <c r="C692" t="s">
        <v>7196</v>
      </c>
      <c r="D692" t="s">
        <v>1007</v>
      </c>
      <c r="E692" t="s">
        <v>7197</v>
      </c>
      <c r="F692" t="s">
        <v>6806</v>
      </c>
      <c r="H692" t="s">
        <v>1008</v>
      </c>
      <c r="J692">
        <v>6048</v>
      </c>
      <c r="L692" t="s">
        <v>6803</v>
      </c>
    </row>
    <row r="693" spans="1:12" x14ac:dyDescent="0.35">
      <c r="A693" t="s">
        <v>354</v>
      </c>
      <c r="B693" s="1">
        <v>45741</v>
      </c>
      <c r="C693" t="s">
        <v>7198</v>
      </c>
      <c r="D693" t="s">
        <v>1009</v>
      </c>
      <c r="E693" t="s">
        <v>1010</v>
      </c>
      <c r="F693" t="s">
        <v>6811</v>
      </c>
      <c r="H693" t="s">
        <v>1011</v>
      </c>
      <c r="J693">
        <v>2500</v>
      </c>
      <c r="L693" t="s">
        <v>6803</v>
      </c>
    </row>
    <row r="694" spans="1:12" x14ac:dyDescent="0.35">
      <c r="A694" t="s">
        <v>354</v>
      </c>
      <c r="B694" s="1">
        <v>45741</v>
      </c>
      <c r="C694" t="s">
        <v>7198</v>
      </c>
      <c r="D694" t="s">
        <v>1009</v>
      </c>
      <c r="E694" t="s">
        <v>1010</v>
      </c>
      <c r="F694" t="s">
        <v>6804</v>
      </c>
      <c r="G694" t="s">
        <v>6822</v>
      </c>
      <c r="H694" t="s">
        <v>1011</v>
      </c>
      <c r="I694" s="1">
        <v>45808</v>
      </c>
      <c r="K694">
        <v>2950</v>
      </c>
      <c r="L694" t="s">
        <v>6803</v>
      </c>
    </row>
    <row r="695" spans="1:12" x14ac:dyDescent="0.35">
      <c r="A695" t="s">
        <v>354</v>
      </c>
      <c r="B695" s="1">
        <v>45741</v>
      </c>
      <c r="C695" t="s">
        <v>7198</v>
      </c>
      <c r="D695" t="s">
        <v>1009</v>
      </c>
      <c r="E695" t="s">
        <v>1010</v>
      </c>
      <c r="F695" t="s">
        <v>6806</v>
      </c>
      <c r="H695" t="s">
        <v>1011</v>
      </c>
      <c r="J695">
        <v>450</v>
      </c>
      <c r="L695" t="s">
        <v>6803</v>
      </c>
    </row>
    <row r="696" spans="1:12" x14ac:dyDescent="0.35">
      <c r="A696" t="s">
        <v>354</v>
      </c>
      <c r="B696" s="1">
        <v>45741</v>
      </c>
      <c r="C696" t="s">
        <v>7199</v>
      </c>
      <c r="D696" t="s">
        <v>1012</v>
      </c>
      <c r="E696" t="s">
        <v>1013</v>
      </c>
      <c r="F696" t="s">
        <v>6811</v>
      </c>
      <c r="H696" t="s">
        <v>1014</v>
      </c>
      <c r="J696">
        <v>33500</v>
      </c>
      <c r="L696" t="s">
        <v>6803</v>
      </c>
    </row>
    <row r="697" spans="1:12" x14ac:dyDescent="0.35">
      <c r="A697" t="s">
        <v>354</v>
      </c>
      <c r="B697" s="1">
        <v>45741</v>
      </c>
      <c r="C697" t="s">
        <v>7199</v>
      </c>
      <c r="D697" t="s">
        <v>1012</v>
      </c>
      <c r="E697" t="s">
        <v>1013</v>
      </c>
      <c r="F697" t="s">
        <v>6804</v>
      </c>
      <c r="G697" t="s">
        <v>6822</v>
      </c>
      <c r="H697" t="s">
        <v>1014</v>
      </c>
      <c r="I697" s="1">
        <v>45808</v>
      </c>
      <c r="K697">
        <v>39530</v>
      </c>
      <c r="L697" t="s">
        <v>6803</v>
      </c>
    </row>
    <row r="698" spans="1:12" x14ac:dyDescent="0.35">
      <c r="A698" t="s">
        <v>354</v>
      </c>
      <c r="B698" s="1">
        <v>45741</v>
      </c>
      <c r="C698" t="s">
        <v>7199</v>
      </c>
      <c r="D698" t="s">
        <v>1012</v>
      </c>
      <c r="E698" t="s">
        <v>1013</v>
      </c>
      <c r="F698" t="s">
        <v>6806</v>
      </c>
      <c r="H698" t="s">
        <v>1014</v>
      </c>
      <c r="J698">
        <v>6030</v>
      </c>
      <c r="L698" t="s">
        <v>6803</v>
      </c>
    </row>
    <row r="699" spans="1:12" x14ac:dyDescent="0.35">
      <c r="A699" t="s">
        <v>354</v>
      </c>
      <c r="B699" s="1">
        <v>45741</v>
      </c>
      <c r="C699" t="s">
        <v>7200</v>
      </c>
      <c r="D699" t="s">
        <v>1015</v>
      </c>
      <c r="E699" t="s">
        <v>1016</v>
      </c>
      <c r="F699" t="s">
        <v>6811</v>
      </c>
      <c r="H699" t="s">
        <v>1017</v>
      </c>
      <c r="J699">
        <v>65700</v>
      </c>
      <c r="L699" t="s">
        <v>6803</v>
      </c>
    </row>
    <row r="700" spans="1:12" x14ac:dyDescent="0.35">
      <c r="A700" t="s">
        <v>354</v>
      </c>
      <c r="B700" s="1">
        <v>45741</v>
      </c>
      <c r="C700" t="s">
        <v>7200</v>
      </c>
      <c r="D700" t="s">
        <v>1015</v>
      </c>
      <c r="E700" t="s">
        <v>1016</v>
      </c>
      <c r="F700" t="s">
        <v>6804</v>
      </c>
      <c r="G700" t="s">
        <v>6822</v>
      </c>
      <c r="H700" t="s">
        <v>1017</v>
      </c>
      <c r="I700" s="1">
        <v>45808</v>
      </c>
      <c r="K700">
        <v>77526</v>
      </c>
      <c r="L700" t="s">
        <v>6803</v>
      </c>
    </row>
    <row r="701" spans="1:12" x14ac:dyDescent="0.35">
      <c r="A701" t="s">
        <v>354</v>
      </c>
      <c r="B701" s="1">
        <v>45741</v>
      </c>
      <c r="C701" t="s">
        <v>7200</v>
      </c>
      <c r="D701" t="s">
        <v>1015</v>
      </c>
      <c r="E701" t="s">
        <v>1016</v>
      </c>
      <c r="F701" t="s">
        <v>6806</v>
      </c>
      <c r="H701" t="s">
        <v>1017</v>
      </c>
      <c r="J701">
        <v>11826</v>
      </c>
      <c r="L701" t="s">
        <v>6803</v>
      </c>
    </row>
    <row r="702" spans="1:12" x14ac:dyDescent="0.35">
      <c r="A702" t="s">
        <v>354</v>
      </c>
      <c r="B702" s="1">
        <v>45741</v>
      </c>
      <c r="C702" t="s">
        <v>7201</v>
      </c>
      <c r="D702" t="s">
        <v>1018</v>
      </c>
      <c r="E702" t="s">
        <v>1019</v>
      </c>
      <c r="F702" t="s">
        <v>6811</v>
      </c>
      <c r="H702" t="s">
        <v>1020</v>
      </c>
      <c r="J702">
        <v>41400</v>
      </c>
      <c r="L702" t="s">
        <v>6803</v>
      </c>
    </row>
    <row r="703" spans="1:12" x14ac:dyDescent="0.35">
      <c r="A703" t="s">
        <v>354</v>
      </c>
      <c r="B703" s="1">
        <v>45741</v>
      </c>
      <c r="C703" t="s">
        <v>7201</v>
      </c>
      <c r="D703" t="s">
        <v>1018</v>
      </c>
      <c r="E703" t="s">
        <v>1019</v>
      </c>
      <c r="F703" t="s">
        <v>6804</v>
      </c>
      <c r="G703" t="s">
        <v>6822</v>
      </c>
      <c r="H703" t="s">
        <v>1020</v>
      </c>
      <c r="I703" s="1">
        <v>45808</v>
      </c>
      <c r="K703">
        <v>48852</v>
      </c>
      <c r="L703" t="s">
        <v>6803</v>
      </c>
    </row>
    <row r="704" spans="1:12" x14ac:dyDescent="0.35">
      <c r="A704" t="s">
        <v>354</v>
      </c>
      <c r="B704" s="1">
        <v>45741</v>
      </c>
      <c r="C704" t="s">
        <v>7201</v>
      </c>
      <c r="D704" t="s">
        <v>1018</v>
      </c>
      <c r="E704" t="s">
        <v>1019</v>
      </c>
      <c r="F704" t="s">
        <v>6806</v>
      </c>
      <c r="H704" t="s">
        <v>1020</v>
      </c>
      <c r="J704">
        <v>7452</v>
      </c>
      <c r="L704" t="s">
        <v>6803</v>
      </c>
    </row>
    <row r="705" spans="1:12" x14ac:dyDescent="0.35">
      <c r="A705" t="s">
        <v>354</v>
      </c>
      <c r="B705" s="1">
        <v>45741</v>
      </c>
      <c r="C705" t="s">
        <v>7202</v>
      </c>
      <c r="D705" t="s">
        <v>1021</v>
      </c>
      <c r="E705" t="s">
        <v>1022</v>
      </c>
      <c r="F705" t="s">
        <v>6811</v>
      </c>
      <c r="H705" t="s">
        <v>1023</v>
      </c>
      <c r="J705">
        <v>97000</v>
      </c>
      <c r="L705" t="s">
        <v>6803</v>
      </c>
    </row>
    <row r="706" spans="1:12" x14ac:dyDescent="0.35">
      <c r="A706" t="s">
        <v>354</v>
      </c>
      <c r="B706" s="1">
        <v>45741</v>
      </c>
      <c r="C706" t="s">
        <v>7202</v>
      </c>
      <c r="D706" t="s">
        <v>1021</v>
      </c>
      <c r="E706" t="s">
        <v>1022</v>
      </c>
      <c r="F706" t="s">
        <v>6804</v>
      </c>
      <c r="G706" t="s">
        <v>6822</v>
      </c>
      <c r="H706" t="s">
        <v>1023</v>
      </c>
      <c r="I706" s="1">
        <v>45808</v>
      </c>
      <c r="K706">
        <v>114460</v>
      </c>
      <c r="L706" t="s">
        <v>6803</v>
      </c>
    </row>
    <row r="707" spans="1:12" x14ac:dyDescent="0.35">
      <c r="A707" t="s">
        <v>354</v>
      </c>
      <c r="B707" s="1">
        <v>45741</v>
      </c>
      <c r="C707" t="s">
        <v>7202</v>
      </c>
      <c r="D707" t="s">
        <v>1021</v>
      </c>
      <c r="E707" t="s">
        <v>1022</v>
      </c>
      <c r="F707" t="s">
        <v>6806</v>
      </c>
      <c r="H707" t="s">
        <v>1023</v>
      </c>
      <c r="J707">
        <v>17460</v>
      </c>
      <c r="L707" t="s">
        <v>6803</v>
      </c>
    </row>
    <row r="708" spans="1:12" x14ac:dyDescent="0.35">
      <c r="A708" t="s">
        <v>354</v>
      </c>
      <c r="B708" s="1">
        <v>45741</v>
      </c>
      <c r="C708" t="s">
        <v>7203</v>
      </c>
      <c r="D708" t="s">
        <v>1024</v>
      </c>
      <c r="E708" t="s">
        <v>1025</v>
      </c>
      <c r="F708" t="s">
        <v>6811</v>
      </c>
      <c r="H708" t="s">
        <v>1026</v>
      </c>
      <c r="J708">
        <v>88000</v>
      </c>
      <c r="L708" t="s">
        <v>6803</v>
      </c>
    </row>
    <row r="709" spans="1:12" x14ac:dyDescent="0.35">
      <c r="A709" t="s">
        <v>354</v>
      </c>
      <c r="B709" s="1">
        <v>45741</v>
      </c>
      <c r="C709" t="s">
        <v>7203</v>
      </c>
      <c r="D709" t="s">
        <v>1024</v>
      </c>
      <c r="E709" t="s">
        <v>1025</v>
      </c>
      <c r="F709" t="s">
        <v>6804</v>
      </c>
      <c r="G709" t="s">
        <v>6822</v>
      </c>
      <c r="H709" t="s">
        <v>1026</v>
      </c>
      <c r="I709" s="1">
        <v>45808</v>
      </c>
      <c r="K709">
        <v>103840</v>
      </c>
      <c r="L709" t="s">
        <v>6803</v>
      </c>
    </row>
    <row r="710" spans="1:12" x14ac:dyDescent="0.35">
      <c r="A710" t="s">
        <v>354</v>
      </c>
      <c r="B710" s="1">
        <v>45741</v>
      </c>
      <c r="C710" t="s">
        <v>7203</v>
      </c>
      <c r="D710" t="s">
        <v>1024</v>
      </c>
      <c r="E710" t="s">
        <v>1025</v>
      </c>
      <c r="F710" t="s">
        <v>6806</v>
      </c>
      <c r="H710" t="s">
        <v>1026</v>
      </c>
      <c r="J710">
        <v>15840</v>
      </c>
      <c r="L710" t="s">
        <v>6803</v>
      </c>
    </row>
    <row r="711" spans="1:12" x14ac:dyDescent="0.35">
      <c r="A711" t="s">
        <v>354</v>
      </c>
      <c r="B711" s="1">
        <v>45741</v>
      </c>
      <c r="C711" t="s">
        <v>7204</v>
      </c>
      <c r="D711" t="s">
        <v>1027</v>
      </c>
      <c r="E711" t="s">
        <v>1028</v>
      </c>
      <c r="F711" t="s">
        <v>6802</v>
      </c>
      <c r="H711" t="s">
        <v>1029</v>
      </c>
      <c r="J711">
        <v>456801</v>
      </c>
      <c r="L711" t="s">
        <v>6803</v>
      </c>
    </row>
    <row r="712" spans="1:12" x14ac:dyDescent="0.35">
      <c r="A712" t="s">
        <v>354</v>
      </c>
      <c r="B712" s="1">
        <v>45741</v>
      </c>
      <c r="C712" t="s">
        <v>7204</v>
      </c>
      <c r="D712" t="s">
        <v>1027</v>
      </c>
      <c r="E712" t="s">
        <v>1028</v>
      </c>
      <c r="F712" t="s">
        <v>6804</v>
      </c>
      <c r="G712" t="s">
        <v>6826</v>
      </c>
      <c r="H712" t="s">
        <v>1029</v>
      </c>
      <c r="I712" s="1">
        <v>45808</v>
      </c>
      <c r="K712">
        <v>539025</v>
      </c>
      <c r="L712" t="s">
        <v>6803</v>
      </c>
    </row>
    <row r="713" spans="1:12" x14ac:dyDescent="0.35">
      <c r="A713" t="s">
        <v>354</v>
      </c>
      <c r="B713" s="1">
        <v>45741</v>
      </c>
      <c r="C713" t="s">
        <v>7204</v>
      </c>
      <c r="D713" t="s">
        <v>1027</v>
      </c>
      <c r="E713" t="s">
        <v>1028</v>
      </c>
      <c r="F713" t="s">
        <v>6806</v>
      </c>
      <c r="H713" t="s">
        <v>1029</v>
      </c>
      <c r="J713">
        <v>82224</v>
      </c>
      <c r="L713" t="s">
        <v>6803</v>
      </c>
    </row>
    <row r="714" spans="1:12" x14ac:dyDescent="0.35">
      <c r="A714" t="s">
        <v>354</v>
      </c>
      <c r="B714" s="1">
        <v>45741</v>
      </c>
      <c r="C714" t="s">
        <v>7205</v>
      </c>
      <c r="D714" t="s">
        <v>1030</v>
      </c>
      <c r="E714" t="s">
        <v>1031</v>
      </c>
      <c r="F714" t="s">
        <v>6802</v>
      </c>
      <c r="H714" t="s">
        <v>1032</v>
      </c>
      <c r="J714">
        <v>340902</v>
      </c>
      <c r="L714" t="s">
        <v>6803</v>
      </c>
    </row>
    <row r="715" spans="1:12" x14ac:dyDescent="0.35">
      <c r="A715" t="s">
        <v>354</v>
      </c>
      <c r="B715" s="1">
        <v>45741</v>
      </c>
      <c r="C715" t="s">
        <v>7205</v>
      </c>
      <c r="D715" t="s">
        <v>1030</v>
      </c>
      <c r="E715" t="s">
        <v>1031</v>
      </c>
      <c r="F715" t="s">
        <v>6804</v>
      </c>
      <c r="G715" t="s">
        <v>6826</v>
      </c>
      <c r="H715" t="s">
        <v>1032</v>
      </c>
      <c r="I715" s="1">
        <v>45808</v>
      </c>
      <c r="K715">
        <v>402264</v>
      </c>
      <c r="L715" t="s">
        <v>6803</v>
      </c>
    </row>
    <row r="716" spans="1:12" x14ac:dyDescent="0.35">
      <c r="A716" t="s">
        <v>354</v>
      </c>
      <c r="B716" s="1">
        <v>45741</v>
      </c>
      <c r="C716" t="s">
        <v>7205</v>
      </c>
      <c r="D716" t="s">
        <v>1030</v>
      </c>
      <c r="E716" t="s">
        <v>1031</v>
      </c>
      <c r="F716" t="s">
        <v>6806</v>
      </c>
      <c r="H716" t="s">
        <v>1032</v>
      </c>
      <c r="J716">
        <v>61362</v>
      </c>
      <c r="L716" t="s">
        <v>6803</v>
      </c>
    </row>
    <row r="717" spans="1:12" x14ac:dyDescent="0.35">
      <c r="A717" t="s">
        <v>354</v>
      </c>
      <c r="B717" s="1">
        <v>45741</v>
      </c>
      <c r="C717" t="s">
        <v>7206</v>
      </c>
      <c r="D717" t="s">
        <v>1033</v>
      </c>
      <c r="E717" t="s">
        <v>1034</v>
      </c>
      <c r="F717" t="s">
        <v>6804</v>
      </c>
      <c r="G717" t="s">
        <v>6826</v>
      </c>
      <c r="H717" t="s">
        <v>1035</v>
      </c>
      <c r="I717" s="1">
        <v>45808</v>
      </c>
      <c r="K717">
        <v>236000</v>
      </c>
      <c r="L717" t="s">
        <v>6803</v>
      </c>
    </row>
    <row r="718" spans="1:12" x14ac:dyDescent="0.35">
      <c r="A718" t="s">
        <v>354</v>
      </c>
      <c r="B718" s="1">
        <v>45741</v>
      </c>
      <c r="C718" t="s">
        <v>7206</v>
      </c>
      <c r="D718" t="s">
        <v>1033</v>
      </c>
      <c r="E718" t="s">
        <v>1034</v>
      </c>
      <c r="F718" t="s">
        <v>6819</v>
      </c>
      <c r="H718" t="s">
        <v>1035</v>
      </c>
      <c r="J718">
        <v>36000</v>
      </c>
      <c r="L718" t="s">
        <v>6803</v>
      </c>
    </row>
    <row r="719" spans="1:12" x14ac:dyDescent="0.35">
      <c r="A719" t="s">
        <v>354</v>
      </c>
      <c r="B719" s="1">
        <v>45741</v>
      </c>
      <c r="C719" t="s">
        <v>7206</v>
      </c>
      <c r="D719" t="s">
        <v>1033</v>
      </c>
      <c r="E719" t="s">
        <v>1034</v>
      </c>
      <c r="F719" t="s">
        <v>6820</v>
      </c>
      <c r="H719" t="s">
        <v>1035</v>
      </c>
      <c r="J719">
        <v>200000</v>
      </c>
      <c r="L719" t="s">
        <v>5882</v>
      </c>
    </row>
    <row r="720" spans="1:12" x14ac:dyDescent="0.35">
      <c r="A720" t="s">
        <v>354</v>
      </c>
      <c r="B720" s="1">
        <v>45741</v>
      </c>
      <c r="C720" t="s">
        <v>7207</v>
      </c>
      <c r="D720" t="s">
        <v>1036</v>
      </c>
      <c r="E720" t="s">
        <v>1037</v>
      </c>
      <c r="F720" t="s">
        <v>6804</v>
      </c>
      <c r="G720" t="s">
        <v>6826</v>
      </c>
      <c r="H720" t="s">
        <v>1038</v>
      </c>
      <c r="I720" s="1">
        <v>45808</v>
      </c>
      <c r="K720">
        <v>803379</v>
      </c>
      <c r="L720" t="s">
        <v>6803</v>
      </c>
    </row>
    <row r="721" spans="1:12" x14ac:dyDescent="0.35">
      <c r="A721" t="s">
        <v>354</v>
      </c>
      <c r="B721" s="1">
        <v>45741</v>
      </c>
      <c r="C721" t="s">
        <v>7207</v>
      </c>
      <c r="D721" t="s">
        <v>1036</v>
      </c>
      <c r="E721" t="s">
        <v>1037</v>
      </c>
      <c r="F721" t="s">
        <v>6819</v>
      </c>
      <c r="H721" t="s">
        <v>1038</v>
      </c>
      <c r="J721">
        <v>122549</v>
      </c>
      <c r="L721" t="s">
        <v>6803</v>
      </c>
    </row>
    <row r="722" spans="1:12" x14ac:dyDescent="0.35">
      <c r="A722" t="s">
        <v>354</v>
      </c>
      <c r="B722" s="1">
        <v>45741</v>
      </c>
      <c r="C722" t="s">
        <v>7207</v>
      </c>
      <c r="D722" t="s">
        <v>1036</v>
      </c>
      <c r="E722" t="s">
        <v>1037</v>
      </c>
      <c r="F722" t="s">
        <v>6820</v>
      </c>
      <c r="H722" t="s">
        <v>1038</v>
      </c>
      <c r="J722">
        <v>680830</v>
      </c>
      <c r="L722" t="s">
        <v>5883</v>
      </c>
    </row>
    <row r="723" spans="1:12" x14ac:dyDescent="0.35">
      <c r="A723" t="s">
        <v>354</v>
      </c>
      <c r="B723" s="1">
        <v>45741</v>
      </c>
      <c r="C723" t="s">
        <v>7208</v>
      </c>
      <c r="D723" t="s">
        <v>1039</v>
      </c>
      <c r="E723" t="s">
        <v>1040</v>
      </c>
      <c r="F723" t="s">
        <v>6804</v>
      </c>
      <c r="G723" t="s">
        <v>6826</v>
      </c>
      <c r="H723" t="s">
        <v>1041</v>
      </c>
      <c r="I723" s="1">
        <v>45808</v>
      </c>
      <c r="K723">
        <v>236000</v>
      </c>
      <c r="L723" t="s">
        <v>6803</v>
      </c>
    </row>
    <row r="724" spans="1:12" x14ac:dyDescent="0.35">
      <c r="A724" t="s">
        <v>354</v>
      </c>
      <c r="B724" s="1">
        <v>45741</v>
      </c>
      <c r="C724" t="s">
        <v>7208</v>
      </c>
      <c r="D724" t="s">
        <v>1039</v>
      </c>
      <c r="E724" t="s">
        <v>1040</v>
      </c>
      <c r="F724" t="s">
        <v>6819</v>
      </c>
      <c r="H724" t="s">
        <v>1041</v>
      </c>
      <c r="J724">
        <v>36000</v>
      </c>
      <c r="L724" t="s">
        <v>6803</v>
      </c>
    </row>
    <row r="725" spans="1:12" x14ac:dyDescent="0.35">
      <c r="A725" t="s">
        <v>354</v>
      </c>
      <c r="B725" s="1">
        <v>45741</v>
      </c>
      <c r="C725" t="s">
        <v>7208</v>
      </c>
      <c r="D725" t="s">
        <v>1039</v>
      </c>
      <c r="E725" t="s">
        <v>1040</v>
      </c>
      <c r="F725" t="s">
        <v>6820</v>
      </c>
      <c r="H725" t="s">
        <v>1041</v>
      </c>
      <c r="J725">
        <v>200000</v>
      </c>
      <c r="L725" t="s">
        <v>5884</v>
      </c>
    </row>
    <row r="726" spans="1:12" x14ac:dyDescent="0.35">
      <c r="A726" t="s">
        <v>354</v>
      </c>
      <c r="B726" s="1">
        <v>45741</v>
      </c>
      <c r="C726" t="s">
        <v>7209</v>
      </c>
      <c r="D726" t="s">
        <v>1042</v>
      </c>
      <c r="E726" t="s">
        <v>1043</v>
      </c>
      <c r="F726" t="s">
        <v>6804</v>
      </c>
      <c r="G726" t="s">
        <v>6826</v>
      </c>
      <c r="H726" t="s">
        <v>1044</v>
      </c>
      <c r="I726" s="1">
        <v>45808</v>
      </c>
      <c r="K726">
        <v>803379</v>
      </c>
      <c r="L726" t="s">
        <v>6803</v>
      </c>
    </row>
    <row r="727" spans="1:12" x14ac:dyDescent="0.35">
      <c r="A727" t="s">
        <v>354</v>
      </c>
      <c r="B727" s="1">
        <v>45741</v>
      </c>
      <c r="C727" t="s">
        <v>7209</v>
      </c>
      <c r="D727" t="s">
        <v>1042</v>
      </c>
      <c r="E727" t="s">
        <v>1043</v>
      </c>
      <c r="F727" t="s">
        <v>6819</v>
      </c>
      <c r="H727" t="s">
        <v>1044</v>
      </c>
      <c r="J727">
        <v>122549</v>
      </c>
      <c r="L727" t="s">
        <v>6803</v>
      </c>
    </row>
    <row r="728" spans="1:12" x14ac:dyDescent="0.35">
      <c r="A728" t="s">
        <v>354</v>
      </c>
      <c r="B728" s="1">
        <v>45741</v>
      </c>
      <c r="C728" t="s">
        <v>7209</v>
      </c>
      <c r="D728" t="s">
        <v>1042</v>
      </c>
      <c r="E728" t="s">
        <v>1043</v>
      </c>
      <c r="F728" t="s">
        <v>6820</v>
      </c>
      <c r="H728" t="s">
        <v>1044</v>
      </c>
      <c r="J728">
        <v>680830</v>
      </c>
      <c r="L728" t="s">
        <v>5883</v>
      </c>
    </row>
    <row r="729" spans="1:12" x14ac:dyDescent="0.35">
      <c r="A729" t="s">
        <v>354</v>
      </c>
      <c r="B729" s="1">
        <v>45741</v>
      </c>
      <c r="C729" t="s">
        <v>7210</v>
      </c>
      <c r="D729" t="s">
        <v>1045</v>
      </c>
      <c r="E729" t="s">
        <v>7211</v>
      </c>
      <c r="F729" t="s">
        <v>6802</v>
      </c>
      <c r="H729" t="s">
        <v>1046</v>
      </c>
      <c r="J729">
        <v>540000</v>
      </c>
      <c r="L729" t="s">
        <v>6803</v>
      </c>
    </row>
    <row r="730" spans="1:12" x14ac:dyDescent="0.35">
      <c r="A730" t="s">
        <v>354</v>
      </c>
      <c r="B730" s="1">
        <v>45741</v>
      </c>
      <c r="C730" t="s">
        <v>7210</v>
      </c>
      <c r="D730" t="s">
        <v>1045</v>
      </c>
      <c r="E730" t="s">
        <v>7211</v>
      </c>
      <c r="F730" t="s">
        <v>6804</v>
      </c>
      <c r="G730" t="s">
        <v>6934</v>
      </c>
      <c r="H730" t="s">
        <v>1046</v>
      </c>
      <c r="I730" s="1">
        <v>45801</v>
      </c>
      <c r="K730">
        <v>540000</v>
      </c>
      <c r="L730" t="s">
        <v>6803</v>
      </c>
    </row>
    <row r="731" spans="1:12" x14ac:dyDescent="0.35">
      <c r="A731" t="s">
        <v>354</v>
      </c>
      <c r="B731" s="1">
        <v>45741</v>
      </c>
      <c r="C731" t="s">
        <v>7212</v>
      </c>
      <c r="D731" t="s">
        <v>1047</v>
      </c>
      <c r="E731" t="s">
        <v>7213</v>
      </c>
      <c r="F731" t="s">
        <v>6802</v>
      </c>
      <c r="H731" t="s">
        <v>1048</v>
      </c>
      <c r="J731">
        <v>545000</v>
      </c>
      <c r="L731" t="s">
        <v>6803</v>
      </c>
    </row>
    <row r="732" spans="1:12" x14ac:dyDescent="0.35">
      <c r="A732" t="s">
        <v>354</v>
      </c>
      <c r="B732" s="1">
        <v>45741</v>
      </c>
      <c r="C732" t="s">
        <v>7212</v>
      </c>
      <c r="D732" t="s">
        <v>1047</v>
      </c>
      <c r="E732" t="s">
        <v>7213</v>
      </c>
      <c r="F732" t="s">
        <v>6804</v>
      </c>
      <c r="G732" t="s">
        <v>6934</v>
      </c>
      <c r="H732" t="s">
        <v>1048</v>
      </c>
      <c r="I732" s="1">
        <v>45801</v>
      </c>
      <c r="K732">
        <v>545000</v>
      </c>
      <c r="L732" t="s">
        <v>6803</v>
      </c>
    </row>
    <row r="733" spans="1:12" x14ac:dyDescent="0.35">
      <c r="A733" t="s">
        <v>354</v>
      </c>
      <c r="B733" s="1">
        <v>45741</v>
      </c>
      <c r="C733" t="s">
        <v>7214</v>
      </c>
      <c r="D733" t="s">
        <v>1049</v>
      </c>
      <c r="E733" t="s">
        <v>7215</v>
      </c>
      <c r="F733" t="s">
        <v>6802</v>
      </c>
      <c r="H733" t="s">
        <v>1050</v>
      </c>
      <c r="J733">
        <v>1020000</v>
      </c>
      <c r="L733" t="s">
        <v>6803</v>
      </c>
    </row>
    <row r="734" spans="1:12" x14ac:dyDescent="0.35">
      <c r="A734" t="s">
        <v>354</v>
      </c>
      <c r="B734" s="1">
        <v>45741</v>
      </c>
      <c r="C734" t="s">
        <v>7214</v>
      </c>
      <c r="D734" t="s">
        <v>1049</v>
      </c>
      <c r="E734" t="s">
        <v>7215</v>
      </c>
      <c r="F734" t="s">
        <v>6804</v>
      </c>
      <c r="G734" t="s">
        <v>6934</v>
      </c>
      <c r="H734" t="s">
        <v>1050</v>
      </c>
      <c r="I734" s="1">
        <v>45801</v>
      </c>
      <c r="K734">
        <v>1020000</v>
      </c>
      <c r="L734" t="s">
        <v>6803</v>
      </c>
    </row>
    <row r="735" spans="1:12" x14ac:dyDescent="0.35">
      <c r="A735" t="s">
        <v>354</v>
      </c>
      <c r="B735" s="1">
        <v>45741</v>
      </c>
      <c r="C735" t="s">
        <v>7216</v>
      </c>
      <c r="D735" t="s">
        <v>1051</v>
      </c>
      <c r="E735" t="s">
        <v>7217</v>
      </c>
      <c r="F735" t="s">
        <v>6802</v>
      </c>
      <c r="H735" t="s">
        <v>1052</v>
      </c>
      <c r="J735">
        <v>199000</v>
      </c>
      <c r="L735" t="s">
        <v>6803</v>
      </c>
    </row>
    <row r="736" spans="1:12" x14ac:dyDescent="0.35">
      <c r="A736" t="s">
        <v>354</v>
      </c>
      <c r="B736" s="1">
        <v>45741</v>
      </c>
      <c r="C736" t="s">
        <v>7216</v>
      </c>
      <c r="D736" t="s">
        <v>1051</v>
      </c>
      <c r="E736" t="s">
        <v>7217</v>
      </c>
      <c r="F736" t="s">
        <v>6804</v>
      </c>
      <c r="G736" t="s">
        <v>6934</v>
      </c>
      <c r="H736" t="s">
        <v>1052</v>
      </c>
      <c r="I736" s="1">
        <v>45801</v>
      </c>
      <c r="K736">
        <v>199000</v>
      </c>
      <c r="L736" t="s">
        <v>6803</v>
      </c>
    </row>
    <row r="737" spans="1:12" x14ac:dyDescent="0.35">
      <c r="A737" t="s">
        <v>354</v>
      </c>
      <c r="B737" s="1">
        <v>45741</v>
      </c>
      <c r="C737" t="s">
        <v>7218</v>
      </c>
      <c r="D737" t="s">
        <v>1053</v>
      </c>
      <c r="E737" t="s">
        <v>7219</v>
      </c>
      <c r="F737" t="s">
        <v>6802</v>
      </c>
      <c r="H737" t="s">
        <v>1054</v>
      </c>
      <c r="J737">
        <v>912000</v>
      </c>
      <c r="L737" t="s">
        <v>6803</v>
      </c>
    </row>
    <row r="738" spans="1:12" x14ac:dyDescent="0.35">
      <c r="A738" t="s">
        <v>354</v>
      </c>
      <c r="B738" s="1">
        <v>45741</v>
      </c>
      <c r="C738" t="s">
        <v>7218</v>
      </c>
      <c r="D738" t="s">
        <v>1053</v>
      </c>
      <c r="E738" t="s">
        <v>7219</v>
      </c>
      <c r="F738" t="s">
        <v>6804</v>
      </c>
      <c r="G738" t="s">
        <v>6934</v>
      </c>
      <c r="H738" t="s">
        <v>1054</v>
      </c>
      <c r="I738" s="1">
        <v>45801</v>
      </c>
      <c r="K738">
        <v>912000</v>
      </c>
      <c r="L738" t="s">
        <v>6803</v>
      </c>
    </row>
    <row r="739" spans="1:12" x14ac:dyDescent="0.35">
      <c r="A739" t="s">
        <v>354</v>
      </c>
      <c r="B739" s="1">
        <v>45741</v>
      </c>
      <c r="C739" t="s">
        <v>7220</v>
      </c>
      <c r="D739" t="s">
        <v>1055</v>
      </c>
      <c r="E739" t="s">
        <v>7221</v>
      </c>
      <c r="F739" t="s">
        <v>6802</v>
      </c>
      <c r="H739" t="s">
        <v>1056</v>
      </c>
      <c r="J739">
        <v>480000</v>
      </c>
      <c r="L739" t="s">
        <v>6803</v>
      </c>
    </row>
    <row r="740" spans="1:12" x14ac:dyDescent="0.35">
      <c r="A740" t="s">
        <v>354</v>
      </c>
      <c r="B740" s="1">
        <v>45741</v>
      </c>
      <c r="C740" t="s">
        <v>7220</v>
      </c>
      <c r="D740" t="s">
        <v>1055</v>
      </c>
      <c r="E740" t="s">
        <v>7221</v>
      </c>
      <c r="F740" t="s">
        <v>6804</v>
      </c>
      <c r="G740" t="s">
        <v>6934</v>
      </c>
      <c r="H740" t="s">
        <v>1056</v>
      </c>
      <c r="I740" s="1">
        <v>45801</v>
      </c>
      <c r="K740">
        <v>480000</v>
      </c>
      <c r="L740" t="s">
        <v>6803</v>
      </c>
    </row>
    <row r="741" spans="1:12" x14ac:dyDescent="0.35">
      <c r="A741" t="s">
        <v>354</v>
      </c>
      <c r="B741" s="1">
        <v>45741</v>
      </c>
      <c r="C741" t="s">
        <v>7222</v>
      </c>
      <c r="D741" t="s">
        <v>1057</v>
      </c>
      <c r="E741" t="s">
        <v>7223</v>
      </c>
      <c r="F741" t="s">
        <v>6802</v>
      </c>
      <c r="H741" t="s">
        <v>1058</v>
      </c>
      <c r="J741">
        <v>100000</v>
      </c>
      <c r="L741" t="s">
        <v>6803</v>
      </c>
    </row>
    <row r="742" spans="1:12" x14ac:dyDescent="0.35">
      <c r="A742" t="s">
        <v>354</v>
      </c>
      <c r="B742" s="1">
        <v>45741</v>
      </c>
      <c r="C742" t="s">
        <v>7222</v>
      </c>
      <c r="D742" t="s">
        <v>1057</v>
      </c>
      <c r="E742" t="s">
        <v>7223</v>
      </c>
      <c r="F742" t="s">
        <v>6804</v>
      </c>
      <c r="G742" t="s">
        <v>6934</v>
      </c>
      <c r="H742" t="s">
        <v>1058</v>
      </c>
      <c r="I742" s="1">
        <v>45801</v>
      </c>
      <c r="K742">
        <v>100000</v>
      </c>
      <c r="L742" t="s">
        <v>6803</v>
      </c>
    </row>
    <row r="743" spans="1:12" x14ac:dyDescent="0.35">
      <c r="A743" t="s">
        <v>354</v>
      </c>
      <c r="B743" s="1">
        <v>45741</v>
      </c>
      <c r="C743" t="s">
        <v>7224</v>
      </c>
      <c r="D743" t="s">
        <v>1059</v>
      </c>
      <c r="E743" t="s">
        <v>7225</v>
      </c>
      <c r="F743" t="s">
        <v>6802</v>
      </c>
      <c r="H743" t="s">
        <v>1060</v>
      </c>
      <c r="J743">
        <v>2200000</v>
      </c>
      <c r="L743" t="s">
        <v>6803</v>
      </c>
    </row>
    <row r="744" spans="1:12" x14ac:dyDescent="0.35">
      <c r="A744" t="s">
        <v>354</v>
      </c>
      <c r="B744" s="1">
        <v>45741</v>
      </c>
      <c r="C744" t="s">
        <v>7224</v>
      </c>
      <c r="D744" t="s">
        <v>1059</v>
      </c>
      <c r="E744" t="s">
        <v>7225</v>
      </c>
      <c r="F744" t="s">
        <v>6804</v>
      </c>
      <c r="G744" t="s">
        <v>6934</v>
      </c>
      <c r="H744" t="s">
        <v>1060</v>
      </c>
      <c r="I744" s="1">
        <v>45801</v>
      </c>
      <c r="K744">
        <v>2200000</v>
      </c>
      <c r="L744" t="s">
        <v>6803</v>
      </c>
    </row>
    <row r="745" spans="1:12" x14ac:dyDescent="0.35">
      <c r="A745" t="s">
        <v>354</v>
      </c>
      <c r="B745" s="1">
        <v>45741</v>
      </c>
      <c r="C745" t="s">
        <v>7226</v>
      </c>
      <c r="D745" t="s">
        <v>1061</v>
      </c>
      <c r="E745" t="s">
        <v>7227</v>
      </c>
      <c r="F745" t="s">
        <v>6802</v>
      </c>
      <c r="H745" t="s">
        <v>1062</v>
      </c>
      <c r="J745">
        <v>430600</v>
      </c>
      <c r="L745" t="s">
        <v>6803</v>
      </c>
    </row>
    <row r="746" spans="1:12" x14ac:dyDescent="0.35">
      <c r="A746" t="s">
        <v>354</v>
      </c>
      <c r="B746" s="1">
        <v>45741</v>
      </c>
      <c r="C746" t="s">
        <v>7226</v>
      </c>
      <c r="D746" t="s">
        <v>1061</v>
      </c>
      <c r="E746" t="s">
        <v>7227</v>
      </c>
      <c r="F746" t="s">
        <v>6804</v>
      </c>
      <c r="G746" t="s">
        <v>6934</v>
      </c>
      <c r="H746" t="s">
        <v>1062</v>
      </c>
      <c r="I746" s="1">
        <v>45801</v>
      </c>
      <c r="K746">
        <v>430600</v>
      </c>
      <c r="L746" t="s">
        <v>6803</v>
      </c>
    </row>
    <row r="747" spans="1:12" x14ac:dyDescent="0.35">
      <c r="A747" t="s">
        <v>354</v>
      </c>
      <c r="B747" s="1">
        <v>45741</v>
      </c>
      <c r="C747" t="s">
        <v>7228</v>
      </c>
      <c r="D747" t="s">
        <v>1063</v>
      </c>
      <c r="E747" t="s">
        <v>7229</v>
      </c>
      <c r="F747" t="s">
        <v>6802</v>
      </c>
      <c r="H747" t="s">
        <v>1064</v>
      </c>
      <c r="J747">
        <v>350000</v>
      </c>
      <c r="L747" t="s">
        <v>6803</v>
      </c>
    </row>
    <row r="748" spans="1:12" x14ac:dyDescent="0.35">
      <c r="A748" t="s">
        <v>354</v>
      </c>
      <c r="B748" s="1">
        <v>45741</v>
      </c>
      <c r="C748" t="s">
        <v>7228</v>
      </c>
      <c r="D748" t="s">
        <v>1063</v>
      </c>
      <c r="E748" t="s">
        <v>7229</v>
      </c>
      <c r="F748" t="s">
        <v>6804</v>
      </c>
      <c r="G748" t="s">
        <v>6934</v>
      </c>
      <c r="H748" t="s">
        <v>1064</v>
      </c>
      <c r="I748" s="1">
        <v>45801</v>
      </c>
      <c r="K748">
        <v>350000</v>
      </c>
      <c r="L748" t="s">
        <v>6803</v>
      </c>
    </row>
    <row r="749" spans="1:12" x14ac:dyDescent="0.35">
      <c r="A749" t="s">
        <v>354</v>
      </c>
      <c r="B749" s="1">
        <v>45741</v>
      </c>
      <c r="C749" t="s">
        <v>7230</v>
      </c>
      <c r="D749" t="s">
        <v>1065</v>
      </c>
      <c r="E749" t="s">
        <v>7231</v>
      </c>
      <c r="F749" t="s">
        <v>6802</v>
      </c>
      <c r="H749" t="s">
        <v>1066</v>
      </c>
      <c r="J749">
        <v>445000</v>
      </c>
      <c r="L749" t="s">
        <v>6803</v>
      </c>
    </row>
    <row r="750" spans="1:12" x14ac:dyDescent="0.35">
      <c r="A750" t="s">
        <v>354</v>
      </c>
      <c r="B750" s="1">
        <v>45741</v>
      </c>
      <c r="C750" t="s">
        <v>7230</v>
      </c>
      <c r="D750" t="s">
        <v>1065</v>
      </c>
      <c r="E750" t="s">
        <v>7231</v>
      </c>
      <c r="F750" t="s">
        <v>6804</v>
      </c>
      <c r="G750" t="s">
        <v>6934</v>
      </c>
      <c r="H750" t="s">
        <v>1066</v>
      </c>
      <c r="I750" s="1">
        <v>45801</v>
      </c>
      <c r="K750">
        <v>445000</v>
      </c>
      <c r="L750" t="s">
        <v>6803</v>
      </c>
    </row>
    <row r="751" spans="1:12" x14ac:dyDescent="0.35">
      <c r="A751" t="s">
        <v>354</v>
      </c>
      <c r="B751" s="1">
        <v>45741</v>
      </c>
      <c r="C751" t="s">
        <v>7232</v>
      </c>
      <c r="D751" t="s">
        <v>1067</v>
      </c>
      <c r="E751" t="s">
        <v>7233</v>
      </c>
      <c r="F751" t="s">
        <v>6802</v>
      </c>
      <c r="H751" t="s">
        <v>1068</v>
      </c>
      <c r="J751">
        <v>295600</v>
      </c>
      <c r="L751" t="s">
        <v>6803</v>
      </c>
    </row>
    <row r="752" spans="1:12" x14ac:dyDescent="0.35">
      <c r="A752" t="s">
        <v>354</v>
      </c>
      <c r="B752" s="1">
        <v>45741</v>
      </c>
      <c r="C752" t="s">
        <v>7232</v>
      </c>
      <c r="D752" t="s">
        <v>1067</v>
      </c>
      <c r="E752" t="s">
        <v>7233</v>
      </c>
      <c r="F752" t="s">
        <v>6804</v>
      </c>
      <c r="G752" t="s">
        <v>6934</v>
      </c>
      <c r="H752" t="s">
        <v>1068</v>
      </c>
      <c r="I752" s="1">
        <v>45801</v>
      </c>
      <c r="K752">
        <v>295600</v>
      </c>
      <c r="L752" t="s">
        <v>6803</v>
      </c>
    </row>
    <row r="753" spans="1:12" x14ac:dyDescent="0.35">
      <c r="A753" t="s">
        <v>354</v>
      </c>
      <c r="B753" s="1">
        <v>45741</v>
      </c>
      <c r="C753" t="s">
        <v>7234</v>
      </c>
      <c r="D753" t="s">
        <v>1069</v>
      </c>
      <c r="E753" t="s">
        <v>7235</v>
      </c>
      <c r="F753" t="s">
        <v>6802</v>
      </c>
      <c r="H753" t="s">
        <v>1070</v>
      </c>
      <c r="J753">
        <v>620600</v>
      </c>
      <c r="L753" t="s">
        <v>6803</v>
      </c>
    </row>
    <row r="754" spans="1:12" x14ac:dyDescent="0.35">
      <c r="A754" t="s">
        <v>354</v>
      </c>
      <c r="B754" s="1">
        <v>45741</v>
      </c>
      <c r="C754" t="s">
        <v>7234</v>
      </c>
      <c r="D754" t="s">
        <v>1069</v>
      </c>
      <c r="E754" t="s">
        <v>7235</v>
      </c>
      <c r="F754" t="s">
        <v>6804</v>
      </c>
      <c r="G754" t="s">
        <v>6934</v>
      </c>
      <c r="H754" t="s">
        <v>1070</v>
      </c>
      <c r="I754" s="1">
        <v>45801</v>
      </c>
      <c r="K754">
        <v>620600</v>
      </c>
      <c r="L754" t="s">
        <v>6803</v>
      </c>
    </row>
    <row r="755" spans="1:12" x14ac:dyDescent="0.35">
      <c r="A755" t="s">
        <v>354</v>
      </c>
      <c r="B755" s="1">
        <v>45741</v>
      </c>
      <c r="C755" t="s">
        <v>7236</v>
      </c>
      <c r="D755" t="s">
        <v>1071</v>
      </c>
      <c r="E755" t="s">
        <v>7237</v>
      </c>
      <c r="F755" t="s">
        <v>6802</v>
      </c>
      <c r="H755" t="s">
        <v>1072</v>
      </c>
      <c r="J755">
        <v>178000</v>
      </c>
      <c r="L755" t="s">
        <v>6803</v>
      </c>
    </row>
    <row r="756" spans="1:12" x14ac:dyDescent="0.35">
      <c r="A756" t="s">
        <v>354</v>
      </c>
      <c r="B756" s="1">
        <v>45741</v>
      </c>
      <c r="C756" t="s">
        <v>7236</v>
      </c>
      <c r="D756" t="s">
        <v>1071</v>
      </c>
      <c r="E756" t="s">
        <v>7237</v>
      </c>
      <c r="F756" t="s">
        <v>6804</v>
      </c>
      <c r="G756" t="s">
        <v>6934</v>
      </c>
      <c r="H756" t="s">
        <v>1072</v>
      </c>
      <c r="I756" s="1">
        <v>45801</v>
      </c>
      <c r="K756">
        <v>178000</v>
      </c>
      <c r="L756" t="s">
        <v>6803</v>
      </c>
    </row>
    <row r="757" spans="1:12" x14ac:dyDescent="0.35">
      <c r="A757" t="s">
        <v>354</v>
      </c>
      <c r="B757" s="1">
        <v>45741</v>
      </c>
      <c r="C757" t="s">
        <v>7238</v>
      </c>
      <c r="D757" t="s">
        <v>1073</v>
      </c>
      <c r="E757" t="s">
        <v>7239</v>
      </c>
      <c r="F757" t="s">
        <v>6802</v>
      </c>
      <c r="H757" t="s">
        <v>1074</v>
      </c>
      <c r="J757">
        <v>750000</v>
      </c>
      <c r="L757" t="s">
        <v>6803</v>
      </c>
    </row>
    <row r="758" spans="1:12" x14ac:dyDescent="0.35">
      <c r="A758" t="s">
        <v>354</v>
      </c>
      <c r="B758" s="1">
        <v>45741</v>
      </c>
      <c r="C758" t="s">
        <v>7238</v>
      </c>
      <c r="D758" t="s">
        <v>1073</v>
      </c>
      <c r="E758" t="s">
        <v>7239</v>
      </c>
      <c r="F758" t="s">
        <v>6804</v>
      </c>
      <c r="G758" t="s">
        <v>6934</v>
      </c>
      <c r="H758" t="s">
        <v>1074</v>
      </c>
      <c r="I758" s="1">
        <v>45801</v>
      </c>
      <c r="K758">
        <v>750000</v>
      </c>
      <c r="L758" t="s">
        <v>6803</v>
      </c>
    </row>
    <row r="759" spans="1:12" x14ac:dyDescent="0.35">
      <c r="A759" t="s">
        <v>354</v>
      </c>
      <c r="B759" s="1">
        <v>45741</v>
      </c>
      <c r="C759" t="s">
        <v>7240</v>
      </c>
      <c r="D759" t="s">
        <v>1075</v>
      </c>
      <c r="E759" t="s">
        <v>7241</v>
      </c>
      <c r="F759" t="s">
        <v>6802</v>
      </c>
      <c r="H759" t="s">
        <v>1076</v>
      </c>
      <c r="J759">
        <v>505000</v>
      </c>
      <c r="L759" t="s">
        <v>6803</v>
      </c>
    </row>
    <row r="760" spans="1:12" x14ac:dyDescent="0.35">
      <c r="A760" t="s">
        <v>354</v>
      </c>
      <c r="B760" s="1">
        <v>45741</v>
      </c>
      <c r="C760" t="s">
        <v>7240</v>
      </c>
      <c r="D760" t="s">
        <v>1075</v>
      </c>
      <c r="E760" t="s">
        <v>7241</v>
      </c>
      <c r="F760" t="s">
        <v>6804</v>
      </c>
      <c r="G760" t="s">
        <v>6934</v>
      </c>
      <c r="H760" t="s">
        <v>1076</v>
      </c>
      <c r="I760" s="1">
        <v>45801</v>
      </c>
      <c r="K760">
        <v>505000</v>
      </c>
      <c r="L760" t="s">
        <v>6803</v>
      </c>
    </row>
    <row r="761" spans="1:12" x14ac:dyDescent="0.35">
      <c r="A761" t="s">
        <v>354</v>
      </c>
      <c r="B761" s="1">
        <v>45741</v>
      </c>
      <c r="C761" t="s">
        <v>7242</v>
      </c>
      <c r="D761" t="s">
        <v>1077</v>
      </c>
      <c r="E761" t="s">
        <v>7243</v>
      </c>
      <c r="F761" t="s">
        <v>6802</v>
      </c>
      <c r="H761" t="s">
        <v>1078</v>
      </c>
      <c r="J761">
        <v>120000</v>
      </c>
      <c r="L761" t="s">
        <v>6803</v>
      </c>
    </row>
    <row r="762" spans="1:12" x14ac:dyDescent="0.35">
      <c r="A762" t="s">
        <v>354</v>
      </c>
      <c r="B762" s="1">
        <v>45741</v>
      </c>
      <c r="C762" t="s">
        <v>7242</v>
      </c>
      <c r="D762" t="s">
        <v>1077</v>
      </c>
      <c r="E762" t="s">
        <v>7243</v>
      </c>
      <c r="F762" t="s">
        <v>6804</v>
      </c>
      <c r="G762" t="s">
        <v>6934</v>
      </c>
      <c r="H762" t="s">
        <v>1078</v>
      </c>
      <c r="I762" s="1">
        <v>45801</v>
      </c>
      <c r="K762">
        <v>120000</v>
      </c>
      <c r="L762" t="s">
        <v>6803</v>
      </c>
    </row>
    <row r="763" spans="1:12" x14ac:dyDescent="0.35">
      <c r="A763" t="s">
        <v>354</v>
      </c>
      <c r="B763" s="1">
        <v>45741</v>
      </c>
      <c r="C763" t="s">
        <v>7244</v>
      </c>
      <c r="D763" t="s">
        <v>1079</v>
      </c>
      <c r="E763" t="s">
        <v>7245</v>
      </c>
      <c r="F763" t="s">
        <v>6802</v>
      </c>
      <c r="H763" t="s">
        <v>1080</v>
      </c>
      <c r="J763">
        <v>163500</v>
      </c>
      <c r="L763" t="s">
        <v>6803</v>
      </c>
    </row>
    <row r="764" spans="1:12" x14ac:dyDescent="0.35">
      <c r="A764" t="s">
        <v>354</v>
      </c>
      <c r="B764" s="1">
        <v>45741</v>
      </c>
      <c r="C764" t="s">
        <v>7244</v>
      </c>
      <c r="D764" t="s">
        <v>1079</v>
      </c>
      <c r="E764" t="s">
        <v>7245</v>
      </c>
      <c r="F764" t="s">
        <v>6804</v>
      </c>
      <c r="G764" t="s">
        <v>6934</v>
      </c>
      <c r="H764" t="s">
        <v>1080</v>
      </c>
      <c r="I764" s="1">
        <v>45801</v>
      </c>
      <c r="K764">
        <v>163500</v>
      </c>
      <c r="L764" t="s">
        <v>6803</v>
      </c>
    </row>
    <row r="765" spans="1:12" x14ac:dyDescent="0.35">
      <c r="A765" t="s">
        <v>354</v>
      </c>
      <c r="B765" s="1">
        <v>45741</v>
      </c>
      <c r="C765" t="s">
        <v>7246</v>
      </c>
      <c r="D765" t="s">
        <v>1081</v>
      </c>
      <c r="E765" t="s">
        <v>7247</v>
      </c>
      <c r="F765" t="s">
        <v>6802</v>
      </c>
      <c r="H765" t="s">
        <v>1082</v>
      </c>
      <c r="J765">
        <v>240000</v>
      </c>
      <c r="L765" t="s">
        <v>6803</v>
      </c>
    </row>
    <row r="766" spans="1:12" x14ac:dyDescent="0.35">
      <c r="A766" t="s">
        <v>354</v>
      </c>
      <c r="B766" s="1">
        <v>45741</v>
      </c>
      <c r="C766" t="s">
        <v>7246</v>
      </c>
      <c r="D766" t="s">
        <v>1081</v>
      </c>
      <c r="E766" t="s">
        <v>7247</v>
      </c>
      <c r="F766" t="s">
        <v>6804</v>
      </c>
      <c r="G766" t="s">
        <v>6934</v>
      </c>
      <c r="H766" t="s">
        <v>1082</v>
      </c>
      <c r="I766" s="1">
        <v>45801</v>
      </c>
      <c r="K766">
        <v>240000</v>
      </c>
      <c r="L766" t="s">
        <v>6803</v>
      </c>
    </row>
    <row r="767" spans="1:12" x14ac:dyDescent="0.35">
      <c r="A767" t="s">
        <v>354</v>
      </c>
      <c r="B767" s="1">
        <v>45741</v>
      </c>
      <c r="C767" t="s">
        <v>7248</v>
      </c>
      <c r="D767" t="s">
        <v>1083</v>
      </c>
      <c r="E767" t="s">
        <v>7249</v>
      </c>
      <c r="F767" t="s">
        <v>6802</v>
      </c>
      <c r="H767" t="s">
        <v>1084</v>
      </c>
      <c r="J767">
        <v>490000</v>
      </c>
      <c r="L767" t="s">
        <v>6803</v>
      </c>
    </row>
    <row r="768" spans="1:12" x14ac:dyDescent="0.35">
      <c r="A768" t="s">
        <v>354</v>
      </c>
      <c r="B768" s="1">
        <v>45741</v>
      </c>
      <c r="C768" t="s">
        <v>7248</v>
      </c>
      <c r="D768" t="s">
        <v>1083</v>
      </c>
      <c r="E768" t="s">
        <v>7249</v>
      </c>
      <c r="F768" t="s">
        <v>6804</v>
      </c>
      <c r="G768" t="s">
        <v>6934</v>
      </c>
      <c r="H768" t="s">
        <v>1084</v>
      </c>
      <c r="I768" s="1">
        <v>45801</v>
      </c>
      <c r="K768">
        <v>490000</v>
      </c>
      <c r="L768" t="s">
        <v>6803</v>
      </c>
    </row>
    <row r="769" spans="1:12" x14ac:dyDescent="0.35">
      <c r="A769" t="s">
        <v>354</v>
      </c>
      <c r="B769" s="1">
        <v>45741</v>
      </c>
      <c r="C769" t="s">
        <v>7250</v>
      </c>
      <c r="D769" t="s">
        <v>1085</v>
      </c>
      <c r="E769" t="s">
        <v>7251</v>
      </c>
      <c r="F769" t="s">
        <v>6802</v>
      </c>
      <c r="H769" t="s">
        <v>1086</v>
      </c>
      <c r="J769">
        <v>2200000</v>
      </c>
      <c r="L769" t="s">
        <v>6803</v>
      </c>
    </row>
    <row r="770" spans="1:12" x14ac:dyDescent="0.35">
      <c r="A770" t="s">
        <v>354</v>
      </c>
      <c r="B770" s="1">
        <v>45741</v>
      </c>
      <c r="C770" t="s">
        <v>7250</v>
      </c>
      <c r="D770" t="s">
        <v>1085</v>
      </c>
      <c r="E770" t="s">
        <v>7251</v>
      </c>
      <c r="F770" t="s">
        <v>6804</v>
      </c>
      <c r="G770" t="s">
        <v>6934</v>
      </c>
      <c r="H770" t="s">
        <v>1086</v>
      </c>
      <c r="I770" s="1">
        <v>45801</v>
      </c>
      <c r="K770">
        <v>2200000</v>
      </c>
      <c r="L770" t="s">
        <v>6803</v>
      </c>
    </row>
    <row r="771" spans="1:12" x14ac:dyDescent="0.35">
      <c r="A771" t="s">
        <v>354</v>
      </c>
      <c r="B771" s="1">
        <v>45741</v>
      </c>
      <c r="C771" t="s">
        <v>7252</v>
      </c>
      <c r="D771" t="s">
        <v>1087</v>
      </c>
      <c r="E771" t="s">
        <v>7253</v>
      </c>
      <c r="F771" t="s">
        <v>6802</v>
      </c>
      <c r="H771" t="s">
        <v>1088</v>
      </c>
      <c r="J771">
        <v>90000</v>
      </c>
      <c r="L771" t="s">
        <v>6803</v>
      </c>
    </row>
    <row r="772" spans="1:12" x14ac:dyDescent="0.35">
      <c r="A772" t="s">
        <v>354</v>
      </c>
      <c r="B772" s="1">
        <v>45741</v>
      </c>
      <c r="C772" t="s">
        <v>7252</v>
      </c>
      <c r="D772" t="s">
        <v>1087</v>
      </c>
      <c r="E772" t="s">
        <v>7253</v>
      </c>
      <c r="F772" t="s">
        <v>6804</v>
      </c>
      <c r="G772" t="s">
        <v>6934</v>
      </c>
      <c r="H772" t="s">
        <v>1088</v>
      </c>
      <c r="I772" s="1">
        <v>45801</v>
      </c>
      <c r="K772">
        <v>90000</v>
      </c>
      <c r="L772" t="s">
        <v>6803</v>
      </c>
    </row>
    <row r="773" spans="1:12" x14ac:dyDescent="0.35">
      <c r="A773" t="s">
        <v>354</v>
      </c>
      <c r="B773" s="1">
        <v>45741</v>
      </c>
      <c r="C773" t="s">
        <v>7254</v>
      </c>
      <c r="D773" t="s">
        <v>1089</v>
      </c>
      <c r="E773" t="s">
        <v>7255</v>
      </c>
      <c r="F773" t="s">
        <v>6802</v>
      </c>
      <c r="H773" t="s">
        <v>1090</v>
      </c>
      <c r="J773">
        <v>1600000</v>
      </c>
      <c r="L773" t="s">
        <v>6803</v>
      </c>
    </row>
    <row r="774" spans="1:12" x14ac:dyDescent="0.35">
      <c r="A774" t="s">
        <v>354</v>
      </c>
      <c r="B774" s="1">
        <v>45741</v>
      </c>
      <c r="C774" t="s">
        <v>7254</v>
      </c>
      <c r="D774" t="s">
        <v>1089</v>
      </c>
      <c r="E774" t="s">
        <v>7255</v>
      </c>
      <c r="F774" t="s">
        <v>6804</v>
      </c>
      <c r="G774" t="s">
        <v>6934</v>
      </c>
      <c r="H774" t="s">
        <v>1090</v>
      </c>
      <c r="I774" s="1">
        <v>45801</v>
      </c>
      <c r="K774">
        <v>1600000</v>
      </c>
      <c r="L774" t="s">
        <v>6803</v>
      </c>
    </row>
    <row r="775" spans="1:12" x14ac:dyDescent="0.35">
      <c r="A775" t="s">
        <v>354</v>
      </c>
      <c r="B775" s="1">
        <v>45741</v>
      </c>
      <c r="C775" t="s">
        <v>7256</v>
      </c>
      <c r="D775" t="s">
        <v>1091</v>
      </c>
      <c r="E775" t="s">
        <v>7257</v>
      </c>
      <c r="F775" t="s">
        <v>6802</v>
      </c>
      <c r="H775" t="s">
        <v>1092</v>
      </c>
      <c r="J775">
        <v>90000</v>
      </c>
      <c r="L775" t="s">
        <v>6803</v>
      </c>
    </row>
    <row r="776" spans="1:12" x14ac:dyDescent="0.35">
      <c r="A776" t="s">
        <v>354</v>
      </c>
      <c r="B776" s="1">
        <v>45741</v>
      </c>
      <c r="C776" t="s">
        <v>7256</v>
      </c>
      <c r="D776" t="s">
        <v>1091</v>
      </c>
      <c r="E776" t="s">
        <v>7257</v>
      </c>
      <c r="F776" t="s">
        <v>6804</v>
      </c>
      <c r="G776" t="s">
        <v>6934</v>
      </c>
      <c r="H776" t="s">
        <v>1092</v>
      </c>
      <c r="I776" s="1">
        <v>45801</v>
      </c>
      <c r="K776">
        <v>90000</v>
      </c>
      <c r="L776" t="s">
        <v>6803</v>
      </c>
    </row>
    <row r="777" spans="1:12" x14ac:dyDescent="0.35">
      <c r="A777" t="s">
        <v>354</v>
      </c>
      <c r="B777" s="1">
        <v>45741</v>
      </c>
      <c r="C777" t="s">
        <v>7258</v>
      </c>
      <c r="D777" t="s">
        <v>1093</v>
      </c>
      <c r="E777" t="s">
        <v>7259</v>
      </c>
      <c r="F777" t="s">
        <v>6802</v>
      </c>
      <c r="H777" t="s">
        <v>1094</v>
      </c>
      <c r="J777">
        <v>285000</v>
      </c>
      <c r="L777" t="s">
        <v>6803</v>
      </c>
    </row>
    <row r="778" spans="1:12" x14ac:dyDescent="0.35">
      <c r="A778" t="s">
        <v>354</v>
      </c>
      <c r="B778" s="1">
        <v>45741</v>
      </c>
      <c r="C778" t="s">
        <v>7258</v>
      </c>
      <c r="D778" t="s">
        <v>1093</v>
      </c>
      <c r="E778" t="s">
        <v>7259</v>
      </c>
      <c r="F778" t="s">
        <v>6804</v>
      </c>
      <c r="G778" t="s">
        <v>6934</v>
      </c>
      <c r="H778" t="s">
        <v>1094</v>
      </c>
      <c r="I778" s="1">
        <v>45801</v>
      </c>
      <c r="K778">
        <v>285000</v>
      </c>
      <c r="L778" t="s">
        <v>6803</v>
      </c>
    </row>
    <row r="779" spans="1:12" x14ac:dyDescent="0.35">
      <c r="A779" t="s">
        <v>354</v>
      </c>
      <c r="B779" s="1">
        <v>45742</v>
      </c>
      <c r="C779" t="s">
        <v>7260</v>
      </c>
      <c r="D779" t="s">
        <v>1095</v>
      </c>
      <c r="E779" t="s">
        <v>1096</v>
      </c>
      <c r="F779" t="s">
        <v>6811</v>
      </c>
      <c r="H779" t="s">
        <v>1097</v>
      </c>
      <c r="J779">
        <v>156827</v>
      </c>
      <c r="L779" t="s">
        <v>6803</v>
      </c>
    </row>
    <row r="780" spans="1:12" x14ac:dyDescent="0.35">
      <c r="A780" t="s">
        <v>354</v>
      </c>
      <c r="B780" s="1">
        <v>45742</v>
      </c>
      <c r="C780" t="s">
        <v>7260</v>
      </c>
      <c r="D780" t="s">
        <v>1095</v>
      </c>
      <c r="E780" t="s">
        <v>1096</v>
      </c>
      <c r="F780" t="s">
        <v>6804</v>
      </c>
      <c r="G780" t="s">
        <v>6989</v>
      </c>
      <c r="H780" t="s">
        <v>1097</v>
      </c>
      <c r="I780" s="1">
        <v>45742</v>
      </c>
      <c r="K780">
        <v>185056</v>
      </c>
      <c r="L780" t="s">
        <v>6803</v>
      </c>
    </row>
    <row r="781" spans="1:12" x14ac:dyDescent="0.35">
      <c r="A781" t="s">
        <v>354</v>
      </c>
      <c r="B781" s="1">
        <v>45742</v>
      </c>
      <c r="C781" t="s">
        <v>7260</v>
      </c>
      <c r="D781" t="s">
        <v>1095</v>
      </c>
      <c r="E781" t="s">
        <v>1096</v>
      </c>
      <c r="F781" t="s">
        <v>6806</v>
      </c>
      <c r="H781" t="s">
        <v>1097</v>
      </c>
      <c r="J781">
        <v>28229</v>
      </c>
      <c r="L781" t="s">
        <v>6803</v>
      </c>
    </row>
    <row r="782" spans="1:12" x14ac:dyDescent="0.35">
      <c r="A782" t="s">
        <v>354</v>
      </c>
      <c r="B782" s="1">
        <v>45742</v>
      </c>
      <c r="C782" t="s">
        <v>7261</v>
      </c>
      <c r="D782" t="s">
        <v>1098</v>
      </c>
      <c r="E782" t="s">
        <v>1099</v>
      </c>
      <c r="F782" t="s">
        <v>6802</v>
      </c>
      <c r="H782" t="s">
        <v>1100</v>
      </c>
      <c r="J782">
        <v>30947</v>
      </c>
      <c r="L782" t="s">
        <v>6803</v>
      </c>
    </row>
    <row r="783" spans="1:12" x14ac:dyDescent="0.35">
      <c r="A783" t="s">
        <v>354</v>
      </c>
      <c r="B783" s="1">
        <v>45742</v>
      </c>
      <c r="C783" t="s">
        <v>7261</v>
      </c>
      <c r="D783" t="s">
        <v>1098</v>
      </c>
      <c r="E783" t="s">
        <v>1099</v>
      </c>
      <c r="F783" t="s">
        <v>6804</v>
      </c>
      <c r="G783" t="s">
        <v>6832</v>
      </c>
      <c r="H783" t="s">
        <v>1100</v>
      </c>
      <c r="I783" s="1">
        <v>45808</v>
      </c>
      <c r="K783">
        <v>36517</v>
      </c>
      <c r="L783" t="s">
        <v>6803</v>
      </c>
    </row>
    <row r="784" spans="1:12" x14ac:dyDescent="0.35">
      <c r="A784" t="s">
        <v>354</v>
      </c>
      <c r="B784" s="1">
        <v>45742</v>
      </c>
      <c r="C784" t="s">
        <v>7261</v>
      </c>
      <c r="D784" t="s">
        <v>1098</v>
      </c>
      <c r="E784" t="s">
        <v>1099</v>
      </c>
      <c r="F784" t="s">
        <v>6806</v>
      </c>
      <c r="H784" t="s">
        <v>1100</v>
      </c>
      <c r="J784">
        <v>5570</v>
      </c>
      <c r="L784" t="s">
        <v>6803</v>
      </c>
    </row>
    <row r="785" spans="1:12" x14ac:dyDescent="0.35">
      <c r="A785" t="s">
        <v>354</v>
      </c>
      <c r="B785" s="1">
        <v>45742</v>
      </c>
      <c r="C785" t="s">
        <v>7262</v>
      </c>
      <c r="D785" t="s">
        <v>1101</v>
      </c>
      <c r="E785" t="s">
        <v>1102</v>
      </c>
      <c r="F785" t="s">
        <v>6802</v>
      </c>
      <c r="H785" t="s">
        <v>1103</v>
      </c>
      <c r="J785">
        <v>49246</v>
      </c>
      <c r="L785" t="s">
        <v>6803</v>
      </c>
    </row>
    <row r="786" spans="1:12" x14ac:dyDescent="0.35">
      <c r="A786" t="s">
        <v>354</v>
      </c>
      <c r="B786" s="1">
        <v>45742</v>
      </c>
      <c r="C786" t="s">
        <v>7262</v>
      </c>
      <c r="D786" t="s">
        <v>1101</v>
      </c>
      <c r="E786" t="s">
        <v>1102</v>
      </c>
      <c r="F786" t="s">
        <v>6804</v>
      </c>
      <c r="G786" t="s">
        <v>6832</v>
      </c>
      <c r="H786" t="s">
        <v>1103</v>
      </c>
      <c r="I786" s="1">
        <v>45808</v>
      </c>
      <c r="K786">
        <v>58110</v>
      </c>
      <c r="L786" t="s">
        <v>6803</v>
      </c>
    </row>
    <row r="787" spans="1:12" x14ac:dyDescent="0.35">
      <c r="A787" t="s">
        <v>354</v>
      </c>
      <c r="B787" s="1">
        <v>45742</v>
      </c>
      <c r="C787" t="s">
        <v>7262</v>
      </c>
      <c r="D787" t="s">
        <v>1101</v>
      </c>
      <c r="E787" t="s">
        <v>1102</v>
      </c>
      <c r="F787" t="s">
        <v>6806</v>
      </c>
      <c r="H787" t="s">
        <v>1103</v>
      </c>
      <c r="J787">
        <v>8864</v>
      </c>
      <c r="L787" t="s">
        <v>6803</v>
      </c>
    </row>
    <row r="788" spans="1:12" x14ac:dyDescent="0.35">
      <c r="A788" t="s">
        <v>354</v>
      </c>
      <c r="B788" s="1">
        <v>45742</v>
      </c>
      <c r="C788" t="s">
        <v>7263</v>
      </c>
      <c r="D788" t="s">
        <v>1104</v>
      </c>
      <c r="E788" t="s">
        <v>1105</v>
      </c>
      <c r="F788" t="s">
        <v>6811</v>
      </c>
      <c r="H788" t="s">
        <v>1106</v>
      </c>
      <c r="J788">
        <v>58500</v>
      </c>
      <c r="L788" t="s">
        <v>6803</v>
      </c>
    </row>
    <row r="789" spans="1:12" x14ac:dyDescent="0.35">
      <c r="A789" t="s">
        <v>354</v>
      </c>
      <c r="B789" s="1">
        <v>45742</v>
      </c>
      <c r="C789" t="s">
        <v>7263</v>
      </c>
      <c r="D789" t="s">
        <v>1104</v>
      </c>
      <c r="E789" t="s">
        <v>1105</v>
      </c>
      <c r="F789" t="s">
        <v>6804</v>
      </c>
      <c r="G789" t="s">
        <v>6809</v>
      </c>
      <c r="H789" t="s">
        <v>1106</v>
      </c>
      <c r="I789" s="1">
        <v>45802</v>
      </c>
      <c r="K789">
        <v>69030</v>
      </c>
      <c r="L789" t="s">
        <v>6803</v>
      </c>
    </row>
    <row r="790" spans="1:12" x14ac:dyDescent="0.35">
      <c r="A790" t="s">
        <v>354</v>
      </c>
      <c r="B790" s="1">
        <v>45742</v>
      </c>
      <c r="C790" t="s">
        <v>7263</v>
      </c>
      <c r="D790" t="s">
        <v>1104</v>
      </c>
      <c r="E790" t="s">
        <v>1105</v>
      </c>
      <c r="F790" t="s">
        <v>6806</v>
      </c>
      <c r="H790" t="s">
        <v>1106</v>
      </c>
      <c r="J790">
        <v>10530</v>
      </c>
      <c r="L790" t="s">
        <v>6803</v>
      </c>
    </row>
    <row r="791" spans="1:12" x14ac:dyDescent="0.35">
      <c r="A791" t="s">
        <v>354</v>
      </c>
      <c r="B791" s="1">
        <v>45742</v>
      </c>
      <c r="C791" t="s">
        <v>7264</v>
      </c>
      <c r="D791" t="s">
        <v>1107</v>
      </c>
      <c r="E791" t="s">
        <v>1108</v>
      </c>
      <c r="F791" t="s">
        <v>6811</v>
      </c>
      <c r="H791" t="s">
        <v>1109</v>
      </c>
      <c r="J791">
        <v>15000</v>
      </c>
      <c r="L791" t="s">
        <v>6803</v>
      </c>
    </row>
    <row r="792" spans="1:12" x14ac:dyDescent="0.35">
      <c r="A792" t="s">
        <v>354</v>
      </c>
      <c r="B792" s="1">
        <v>45742</v>
      </c>
      <c r="C792" t="s">
        <v>7264</v>
      </c>
      <c r="D792" t="s">
        <v>1107</v>
      </c>
      <c r="E792" t="s">
        <v>1108</v>
      </c>
      <c r="F792" t="s">
        <v>6804</v>
      </c>
      <c r="G792" t="s">
        <v>6809</v>
      </c>
      <c r="H792" t="s">
        <v>1109</v>
      </c>
      <c r="I792" s="1">
        <v>45802</v>
      </c>
      <c r="K792">
        <v>17700</v>
      </c>
      <c r="L792" t="s">
        <v>6803</v>
      </c>
    </row>
    <row r="793" spans="1:12" x14ac:dyDescent="0.35">
      <c r="A793" t="s">
        <v>354</v>
      </c>
      <c r="B793" s="1">
        <v>45742</v>
      </c>
      <c r="C793" t="s">
        <v>7264</v>
      </c>
      <c r="D793" t="s">
        <v>1107</v>
      </c>
      <c r="E793" t="s">
        <v>1108</v>
      </c>
      <c r="F793" t="s">
        <v>6806</v>
      </c>
      <c r="H793" t="s">
        <v>1109</v>
      </c>
      <c r="J793">
        <v>2700</v>
      </c>
      <c r="L793" t="s">
        <v>6803</v>
      </c>
    </row>
    <row r="794" spans="1:12" x14ac:dyDescent="0.35">
      <c r="A794" t="s">
        <v>354</v>
      </c>
      <c r="B794" s="1">
        <v>45742</v>
      </c>
      <c r="C794" t="s">
        <v>7265</v>
      </c>
      <c r="D794" t="s">
        <v>1110</v>
      </c>
      <c r="E794" t="s">
        <v>1111</v>
      </c>
      <c r="F794" t="s">
        <v>6811</v>
      </c>
      <c r="H794" t="s">
        <v>1112</v>
      </c>
      <c r="J794">
        <v>45000</v>
      </c>
      <c r="L794" t="s">
        <v>6803</v>
      </c>
    </row>
    <row r="795" spans="1:12" x14ac:dyDescent="0.35">
      <c r="A795" t="s">
        <v>354</v>
      </c>
      <c r="B795" s="1">
        <v>45742</v>
      </c>
      <c r="C795" t="s">
        <v>7265</v>
      </c>
      <c r="D795" t="s">
        <v>1110</v>
      </c>
      <c r="E795" t="s">
        <v>1111</v>
      </c>
      <c r="F795" t="s">
        <v>6804</v>
      </c>
      <c r="G795" t="s">
        <v>6809</v>
      </c>
      <c r="H795" t="s">
        <v>1112</v>
      </c>
      <c r="I795" s="1">
        <v>45802</v>
      </c>
      <c r="K795">
        <v>53100</v>
      </c>
      <c r="L795" t="s">
        <v>6803</v>
      </c>
    </row>
    <row r="796" spans="1:12" x14ac:dyDescent="0.35">
      <c r="A796" t="s">
        <v>354</v>
      </c>
      <c r="B796" s="1">
        <v>45742</v>
      </c>
      <c r="C796" t="s">
        <v>7265</v>
      </c>
      <c r="D796" t="s">
        <v>1110</v>
      </c>
      <c r="E796" t="s">
        <v>1111</v>
      </c>
      <c r="F796" t="s">
        <v>6806</v>
      </c>
      <c r="H796" t="s">
        <v>1112</v>
      </c>
      <c r="J796">
        <v>8100</v>
      </c>
      <c r="L796" t="s">
        <v>6803</v>
      </c>
    </row>
    <row r="797" spans="1:12" x14ac:dyDescent="0.35">
      <c r="A797" t="s">
        <v>354</v>
      </c>
      <c r="B797" s="1">
        <v>45742</v>
      </c>
      <c r="C797" t="s">
        <v>7266</v>
      </c>
      <c r="D797" t="s">
        <v>1113</v>
      </c>
      <c r="E797" t="s">
        <v>1114</v>
      </c>
      <c r="F797" t="s">
        <v>6808</v>
      </c>
      <c r="H797" t="s">
        <v>1115</v>
      </c>
      <c r="J797">
        <v>313225</v>
      </c>
      <c r="L797" t="s">
        <v>6803</v>
      </c>
    </row>
    <row r="798" spans="1:12" x14ac:dyDescent="0.35">
      <c r="A798" t="s">
        <v>354</v>
      </c>
      <c r="B798" s="1">
        <v>45742</v>
      </c>
      <c r="C798" t="s">
        <v>7266</v>
      </c>
      <c r="D798" t="s">
        <v>1113</v>
      </c>
      <c r="E798" t="s">
        <v>1114</v>
      </c>
      <c r="F798" t="s">
        <v>6802</v>
      </c>
      <c r="H798" t="s">
        <v>1115</v>
      </c>
      <c r="J798">
        <v>317800</v>
      </c>
      <c r="L798" t="s">
        <v>6803</v>
      </c>
    </row>
    <row r="799" spans="1:12" x14ac:dyDescent="0.35">
      <c r="A799" t="s">
        <v>354</v>
      </c>
      <c r="B799" s="1">
        <v>45742</v>
      </c>
      <c r="C799" t="s">
        <v>7266</v>
      </c>
      <c r="D799" t="s">
        <v>1113</v>
      </c>
      <c r="E799" t="s">
        <v>1114</v>
      </c>
      <c r="F799" t="s">
        <v>6804</v>
      </c>
      <c r="G799" t="s">
        <v>6809</v>
      </c>
      <c r="H799" t="s">
        <v>1115</v>
      </c>
      <c r="I799" s="1">
        <v>45802</v>
      </c>
      <c r="K799">
        <v>744610</v>
      </c>
      <c r="L799" t="s">
        <v>6803</v>
      </c>
    </row>
    <row r="800" spans="1:12" x14ac:dyDescent="0.35">
      <c r="A800" t="s">
        <v>354</v>
      </c>
      <c r="B800" s="1">
        <v>45742</v>
      </c>
      <c r="C800" t="s">
        <v>7266</v>
      </c>
      <c r="D800" t="s">
        <v>1113</v>
      </c>
      <c r="E800" t="s">
        <v>1114</v>
      </c>
      <c r="F800" t="s">
        <v>6806</v>
      </c>
      <c r="H800" t="s">
        <v>1115</v>
      </c>
      <c r="J800">
        <v>113585</v>
      </c>
      <c r="L800" t="s">
        <v>6803</v>
      </c>
    </row>
    <row r="801" spans="1:12" x14ac:dyDescent="0.35">
      <c r="A801" t="s">
        <v>354</v>
      </c>
      <c r="B801" s="1">
        <v>45744</v>
      </c>
      <c r="C801" t="s">
        <v>7267</v>
      </c>
      <c r="D801" t="s">
        <v>1116</v>
      </c>
      <c r="E801" t="s">
        <v>1117</v>
      </c>
      <c r="F801" t="s">
        <v>6802</v>
      </c>
      <c r="H801" t="s">
        <v>1118</v>
      </c>
      <c r="J801">
        <v>117263</v>
      </c>
      <c r="L801" t="s">
        <v>6803</v>
      </c>
    </row>
    <row r="802" spans="1:12" x14ac:dyDescent="0.35">
      <c r="A802" t="s">
        <v>354</v>
      </c>
      <c r="B802" s="1">
        <v>45744</v>
      </c>
      <c r="C802" t="s">
        <v>7267</v>
      </c>
      <c r="D802" t="s">
        <v>1116</v>
      </c>
      <c r="E802" t="s">
        <v>1117</v>
      </c>
      <c r="F802" t="s">
        <v>6804</v>
      </c>
      <c r="G802" t="s">
        <v>6983</v>
      </c>
      <c r="H802" t="s">
        <v>1118</v>
      </c>
      <c r="I802" s="1">
        <v>45744</v>
      </c>
      <c r="K802">
        <v>138370</v>
      </c>
      <c r="L802" t="s">
        <v>6803</v>
      </c>
    </row>
    <row r="803" spans="1:12" x14ac:dyDescent="0.35">
      <c r="A803" t="s">
        <v>354</v>
      </c>
      <c r="B803" s="1">
        <v>45744</v>
      </c>
      <c r="C803" t="s">
        <v>7267</v>
      </c>
      <c r="D803" t="s">
        <v>1116</v>
      </c>
      <c r="E803" t="s">
        <v>1117</v>
      </c>
      <c r="F803" t="s">
        <v>6806</v>
      </c>
      <c r="H803" t="s">
        <v>1118</v>
      </c>
      <c r="J803">
        <v>21107</v>
      </c>
      <c r="L803" t="s">
        <v>6803</v>
      </c>
    </row>
    <row r="804" spans="1:12" x14ac:dyDescent="0.35">
      <c r="A804" t="s">
        <v>354</v>
      </c>
      <c r="B804" s="1">
        <v>45744</v>
      </c>
      <c r="C804" t="s">
        <v>7268</v>
      </c>
      <c r="D804" t="s">
        <v>1119</v>
      </c>
      <c r="E804" t="s">
        <v>1120</v>
      </c>
      <c r="F804" t="s">
        <v>6802</v>
      </c>
      <c r="H804" t="s">
        <v>1121</v>
      </c>
      <c r="J804">
        <v>34500</v>
      </c>
      <c r="L804" t="s">
        <v>6803</v>
      </c>
    </row>
    <row r="805" spans="1:12" x14ac:dyDescent="0.35">
      <c r="A805" t="s">
        <v>354</v>
      </c>
      <c r="B805" s="1">
        <v>45744</v>
      </c>
      <c r="C805" t="s">
        <v>7268</v>
      </c>
      <c r="D805" t="s">
        <v>1119</v>
      </c>
      <c r="E805" t="s">
        <v>1120</v>
      </c>
      <c r="F805" t="s">
        <v>6804</v>
      </c>
      <c r="G805" t="s">
        <v>7269</v>
      </c>
      <c r="H805" t="s">
        <v>1121</v>
      </c>
      <c r="I805" s="1">
        <v>45804</v>
      </c>
      <c r="K805">
        <v>40710</v>
      </c>
      <c r="L805" t="s">
        <v>6803</v>
      </c>
    </row>
    <row r="806" spans="1:12" x14ac:dyDescent="0.35">
      <c r="A806" t="s">
        <v>354</v>
      </c>
      <c r="B806" s="1">
        <v>45744</v>
      </c>
      <c r="C806" t="s">
        <v>7268</v>
      </c>
      <c r="D806" t="s">
        <v>1119</v>
      </c>
      <c r="E806" t="s">
        <v>1120</v>
      </c>
      <c r="F806" t="s">
        <v>6806</v>
      </c>
      <c r="H806" t="s">
        <v>1121</v>
      </c>
      <c r="J806">
        <v>6210</v>
      </c>
      <c r="L806" t="s">
        <v>6803</v>
      </c>
    </row>
    <row r="807" spans="1:12" x14ac:dyDescent="0.35">
      <c r="A807" t="s">
        <v>354</v>
      </c>
      <c r="B807" s="1">
        <v>45744</v>
      </c>
      <c r="C807" t="s">
        <v>7270</v>
      </c>
      <c r="D807" t="s">
        <v>1122</v>
      </c>
      <c r="E807" t="s">
        <v>1123</v>
      </c>
      <c r="F807" t="s">
        <v>6811</v>
      </c>
      <c r="H807" t="s">
        <v>1124</v>
      </c>
      <c r="J807">
        <v>77484</v>
      </c>
      <c r="L807" t="s">
        <v>6803</v>
      </c>
    </row>
    <row r="808" spans="1:12" x14ac:dyDescent="0.35">
      <c r="A808" t="s">
        <v>354</v>
      </c>
      <c r="B808" s="1">
        <v>45744</v>
      </c>
      <c r="C808" t="s">
        <v>7270</v>
      </c>
      <c r="D808" t="s">
        <v>1122</v>
      </c>
      <c r="E808" t="s">
        <v>1123</v>
      </c>
      <c r="F808" t="s">
        <v>6804</v>
      </c>
      <c r="G808" t="s">
        <v>7271</v>
      </c>
      <c r="H808" t="s">
        <v>1124</v>
      </c>
      <c r="I808" s="1">
        <v>45744</v>
      </c>
      <c r="K808">
        <v>91431</v>
      </c>
      <c r="L808" t="s">
        <v>6803</v>
      </c>
    </row>
    <row r="809" spans="1:12" x14ac:dyDescent="0.35">
      <c r="A809" t="s">
        <v>354</v>
      </c>
      <c r="B809" s="1">
        <v>45744</v>
      </c>
      <c r="C809" t="s">
        <v>7270</v>
      </c>
      <c r="D809" t="s">
        <v>1122</v>
      </c>
      <c r="E809" t="s">
        <v>1123</v>
      </c>
      <c r="F809" t="s">
        <v>6806</v>
      </c>
      <c r="H809" t="s">
        <v>1124</v>
      </c>
      <c r="J809">
        <v>13947</v>
      </c>
      <c r="L809" t="s">
        <v>6803</v>
      </c>
    </row>
    <row r="810" spans="1:12" x14ac:dyDescent="0.35">
      <c r="A810" t="s">
        <v>354</v>
      </c>
      <c r="B810" s="1">
        <v>45744</v>
      </c>
      <c r="C810" t="s">
        <v>7272</v>
      </c>
      <c r="D810" t="s">
        <v>1125</v>
      </c>
      <c r="E810" t="s">
        <v>1126</v>
      </c>
      <c r="F810" t="s">
        <v>6802</v>
      </c>
      <c r="H810" t="s">
        <v>1127</v>
      </c>
      <c r="J810">
        <v>575342</v>
      </c>
      <c r="L810" t="s">
        <v>6803</v>
      </c>
    </row>
    <row r="811" spans="1:12" x14ac:dyDescent="0.35">
      <c r="A811" t="s">
        <v>354</v>
      </c>
      <c r="B811" s="1">
        <v>45744</v>
      </c>
      <c r="C811" t="s">
        <v>7272</v>
      </c>
      <c r="D811" t="s">
        <v>1125</v>
      </c>
      <c r="E811" t="s">
        <v>1126</v>
      </c>
      <c r="F811" t="s">
        <v>6804</v>
      </c>
      <c r="G811" t="s">
        <v>6826</v>
      </c>
      <c r="H811" t="s">
        <v>1127</v>
      </c>
      <c r="I811" s="1">
        <v>45808</v>
      </c>
      <c r="K811">
        <v>678904</v>
      </c>
      <c r="L811" t="s">
        <v>6803</v>
      </c>
    </row>
    <row r="812" spans="1:12" x14ac:dyDescent="0.35">
      <c r="A812" t="s">
        <v>354</v>
      </c>
      <c r="B812" s="1">
        <v>45744</v>
      </c>
      <c r="C812" t="s">
        <v>7272</v>
      </c>
      <c r="D812" t="s">
        <v>1125</v>
      </c>
      <c r="E812" t="s">
        <v>1126</v>
      </c>
      <c r="F812" t="s">
        <v>6806</v>
      </c>
      <c r="H812" t="s">
        <v>1127</v>
      </c>
      <c r="J812">
        <v>103562</v>
      </c>
      <c r="L812" t="s">
        <v>6803</v>
      </c>
    </row>
    <row r="813" spans="1:12" x14ac:dyDescent="0.35">
      <c r="A813" t="s">
        <v>354</v>
      </c>
      <c r="B813" s="1">
        <v>45744</v>
      </c>
      <c r="C813" t="s">
        <v>7273</v>
      </c>
      <c r="D813" t="s">
        <v>1128</v>
      </c>
      <c r="E813" t="s">
        <v>1129</v>
      </c>
      <c r="F813" t="s">
        <v>6802</v>
      </c>
      <c r="H813" t="s">
        <v>1130</v>
      </c>
      <c r="J813">
        <v>152236</v>
      </c>
      <c r="L813" t="s">
        <v>6803</v>
      </c>
    </row>
    <row r="814" spans="1:12" x14ac:dyDescent="0.35">
      <c r="A814" t="s">
        <v>354</v>
      </c>
      <c r="B814" s="1">
        <v>45744</v>
      </c>
      <c r="C814" t="s">
        <v>7273</v>
      </c>
      <c r="D814" t="s">
        <v>1128</v>
      </c>
      <c r="E814" t="s">
        <v>1129</v>
      </c>
      <c r="F814" t="s">
        <v>6804</v>
      </c>
      <c r="G814" t="s">
        <v>6826</v>
      </c>
      <c r="H814" t="s">
        <v>1130</v>
      </c>
      <c r="I814" s="1">
        <v>45808</v>
      </c>
      <c r="K814">
        <v>179638</v>
      </c>
      <c r="L814" t="s">
        <v>6803</v>
      </c>
    </row>
    <row r="815" spans="1:12" x14ac:dyDescent="0.35">
      <c r="A815" t="s">
        <v>354</v>
      </c>
      <c r="B815" s="1">
        <v>45744</v>
      </c>
      <c r="C815" t="s">
        <v>7273</v>
      </c>
      <c r="D815" t="s">
        <v>1128</v>
      </c>
      <c r="E815" t="s">
        <v>1129</v>
      </c>
      <c r="F815" t="s">
        <v>6806</v>
      </c>
      <c r="H815" t="s">
        <v>1130</v>
      </c>
      <c r="J815">
        <v>27402</v>
      </c>
      <c r="L815" t="s">
        <v>6803</v>
      </c>
    </row>
    <row r="816" spans="1:12" x14ac:dyDescent="0.35">
      <c r="A816" t="s">
        <v>354</v>
      </c>
      <c r="B816" s="1">
        <v>45744</v>
      </c>
      <c r="C816" t="s">
        <v>7274</v>
      </c>
      <c r="D816" t="s">
        <v>1131</v>
      </c>
      <c r="E816" t="s">
        <v>1132</v>
      </c>
      <c r="F816" t="s">
        <v>6811</v>
      </c>
      <c r="H816" t="s">
        <v>1133</v>
      </c>
      <c r="J816">
        <v>24000</v>
      </c>
      <c r="L816" t="s">
        <v>6803</v>
      </c>
    </row>
    <row r="817" spans="1:12" x14ac:dyDescent="0.35">
      <c r="A817" t="s">
        <v>354</v>
      </c>
      <c r="B817" s="1">
        <v>45744</v>
      </c>
      <c r="C817" t="s">
        <v>7274</v>
      </c>
      <c r="D817" t="s">
        <v>1131</v>
      </c>
      <c r="E817" t="s">
        <v>1132</v>
      </c>
      <c r="F817" t="s">
        <v>6804</v>
      </c>
      <c r="G817" t="s">
        <v>6826</v>
      </c>
      <c r="H817" t="s">
        <v>1133</v>
      </c>
      <c r="I817" s="1">
        <v>45808</v>
      </c>
      <c r="K817">
        <v>28320</v>
      </c>
      <c r="L817" t="s">
        <v>6803</v>
      </c>
    </row>
    <row r="818" spans="1:12" x14ac:dyDescent="0.35">
      <c r="A818" t="s">
        <v>354</v>
      </c>
      <c r="B818" s="1">
        <v>45744</v>
      </c>
      <c r="C818" t="s">
        <v>7274</v>
      </c>
      <c r="D818" t="s">
        <v>1131</v>
      </c>
      <c r="E818" t="s">
        <v>1132</v>
      </c>
      <c r="F818" t="s">
        <v>6806</v>
      </c>
      <c r="H818" t="s">
        <v>1133</v>
      </c>
      <c r="J818">
        <v>4320</v>
      </c>
      <c r="L818" t="s">
        <v>6803</v>
      </c>
    </row>
    <row r="819" spans="1:12" x14ac:dyDescent="0.35">
      <c r="A819" t="s">
        <v>354</v>
      </c>
      <c r="B819" s="1">
        <v>45744</v>
      </c>
      <c r="C819" t="s">
        <v>7275</v>
      </c>
      <c r="D819" t="s">
        <v>1134</v>
      </c>
      <c r="E819" t="s">
        <v>1135</v>
      </c>
      <c r="F819" t="s">
        <v>6802</v>
      </c>
      <c r="H819" t="s">
        <v>1136</v>
      </c>
      <c r="J819">
        <v>912285</v>
      </c>
      <c r="L819" t="s">
        <v>6803</v>
      </c>
    </row>
    <row r="820" spans="1:12" x14ac:dyDescent="0.35">
      <c r="A820" t="s">
        <v>354</v>
      </c>
      <c r="B820" s="1">
        <v>45744</v>
      </c>
      <c r="C820" t="s">
        <v>7275</v>
      </c>
      <c r="D820" t="s">
        <v>1134</v>
      </c>
      <c r="E820" t="s">
        <v>1135</v>
      </c>
      <c r="F820" t="s">
        <v>6804</v>
      </c>
      <c r="G820" t="s">
        <v>6826</v>
      </c>
      <c r="H820" t="s">
        <v>1136</v>
      </c>
      <c r="I820" s="1">
        <v>45808</v>
      </c>
      <c r="K820">
        <v>1076496</v>
      </c>
      <c r="L820" t="s">
        <v>6803</v>
      </c>
    </row>
    <row r="821" spans="1:12" x14ac:dyDescent="0.35">
      <c r="A821" t="s">
        <v>354</v>
      </c>
      <c r="B821" s="1">
        <v>45744</v>
      </c>
      <c r="C821" t="s">
        <v>7275</v>
      </c>
      <c r="D821" t="s">
        <v>1134</v>
      </c>
      <c r="E821" t="s">
        <v>1135</v>
      </c>
      <c r="F821" t="s">
        <v>6806</v>
      </c>
      <c r="H821" t="s">
        <v>1136</v>
      </c>
      <c r="J821">
        <v>164211</v>
      </c>
      <c r="L821" t="s">
        <v>6803</v>
      </c>
    </row>
    <row r="822" spans="1:12" x14ac:dyDescent="0.35">
      <c r="A822" t="s">
        <v>354</v>
      </c>
      <c r="B822" s="1">
        <v>45744</v>
      </c>
      <c r="C822" t="s">
        <v>7276</v>
      </c>
      <c r="D822" t="s">
        <v>1137</v>
      </c>
      <c r="E822" t="s">
        <v>1138</v>
      </c>
      <c r="F822" t="s">
        <v>6802</v>
      </c>
      <c r="H822" t="s">
        <v>1139</v>
      </c>
      <c r="J822">
        <v>435885</v>
      </c>
      <c r="L822" t="s">
        <v>6803</v>
      </c>
    </row>
    <row r="823" spans="1:12" x14ac:dyDescent="0.35">
      <c r="A823" t="s">
        <v>354</v>
      </c>
      <c r="B823" s="1">
        <v>45744</v>
      </c>
      <c r="C823" t="s">
        <v>7276</v>
      </c>
      <c r="D823" t="s">
        <v>1137</v>
      </c>
      <c r="E823" t="s">
        <v>1138</v>
      </c>
      <c r="F823" t="s">
        <v>6804</v>
      </c>
      <c r="G823" t="s">
        <v>6826</v>
      </c>
      <c r="H823" t="s">
        <v>1139</v>
      </c>
      <c r="I823" s="1">
        <v>45808</v>
      </c>
      <c r="K823">
        <v>514344</v>
      </c>
      <c r="L823" t="s">
        <v>6803</v>
      </c>
    </row>
    <row r="824" spans="1:12" x14ac:dyDescent="0.35">
      <c r="A824" t="s">
        <v>354</v>
      </c>
      <c r="B824" s="1">
        <v>45744</v>
      </c>
      <c r="C824" t="s">
        <v>7276</v>
      </c>
      <c r="D824" t="s">
        <v>1137</v>
      </c>
      <c r="E824" t="s">
        <v>1138</v>
      </c>
      <c r="F824" t="s">
        <v>6806</v>
      </c>
      <c r="H824" t="s">
        <v>1139</v>
      </c>
      <c r="J824">
        <v>78459</v>
      </c>
      <c r="L824" t="s">
        <v>6803</v>
      </c>
    </row>
    <row r="825" spans="1:12" x14ac:dyDescent="0.35">
      <c r="A825" t="s">
        <v>354</v>
      </c>
      <c r="B825" s="1">
        <v>45744</v>
      </c>
      <c r="C825" t="s">
        <v>7277</v>
      </c>
      <c r="D825" t="s">
        <v>1140</v>
      </c>
      <c r="E825" t="s">
        <v>7278</v>
      </c>
      <c r="F825" t="s">
        <v>6802</v>
      </c>
      <c r="H825" t="s">
        <v>1141</v>
      </c>
      <c r="J825">
        <v>150000</v>
      </c>
      <c r="L825" t="s">
        <v>6803</v>
      </c>
    </row>
    <row r="826" spans="1:12" x14ac:dyDescent="0.35">
      <c r="A826" t="s">
        <v>354</v>
      </c>
      <c r="B826" s="1">
        <v>45744</v>
      </c>
      <c r="C826" t="s">
        <v>7277</v>
      </c>
      <c r="D826" t="s">
        <v>1140</v>
      </c>
      <c r="E826" t="s">
        <v>7278</v>
      </c>
      <c r="F826" t="s">
        <v>6804</v>
      </c>
      <c r="G826" t="s">
        <v>7169</v>
      </c>
      <c r="H826" t="s">
        <v>1141</v>
      </c>
      <c r="I826" s="1">
        <v>45744</v>
      </c>
      <c r="K826">
        <v>150000</v>
      </c>
      <c r="L826" t="s">
        <v>6803</v>
      </c>
    </row>
    <row r="827" spans="1:12" x14ac:dyDescent="0.35">
      <c r="A827" t="s">
        <v>354</v>
      </c>
      <c r="B827" s="1">
        <v>45744</v>
      </c>
      <c r="C827" t="s">
        <v>7279</v>
      </c>
      <c r="D827" t="s">
        <v>1142</v>
      </c>
      <c r="E827" t="s">
        <v>7280</v>
      </c>
      <c r="F827" t="s">
        <v>6802</v>
      </c>
      <c r="H827" t="s">
        <v>1143</v>
      </c>
      <c r="J827">
        <v>472000</v>
      </c>
      <c r="L827" t="s">
        <v>6803</v>
      </c>
    </row>
    <row r="828" spans="1:12" x14ac:dyDescent="0.35">
      <c r="A828" t="s">
        <v>354</v>
      </c>
      <c r="B828" s="1">
        <v>45744</v>
      </c>
      <c r="C828" t="s">
        <v>7279</v>
      </c>
      <c r="D828" t="s">
        <v>1142</v>
      </c>
      <c r="E828" t="s">
        <v>7280</v>
      </c>
      <c r="F828" t="s">
        <v>6804</v>
      </c>
      <c r="G828" t="s">
        <v>6934</v>
      </c>
      <c r="H828" t="s">
        <v>1143</v>
      </c>
      <c r="I828" s="1">
        <v>45804</v>
      </c>
      <c r="K828">
        <v>472000</v>
      </c>
      <c r="L828" t="s">
        <v>6803</v>
      </c>
    </row>
    <row r="829" spans="1:12" x14ac:dyDescent="0.35">
      <c r="A829" t="s">
        <v>354</v>
      </c>
      <c r="B829" s="1">
        <v>45744</v>
      </c>
      <c r="C829" t="s">
        <v>7281</v>
      </c>
      <c r="D829" t="s">
        <v>1144</v>
      </c>
      <c r="E829" t="s">
        <v>7282</v>
      </c>
      <c r="F829" t="s">
        <v>6802</v>
      </c>
      <c r="H829" t="s">
        <v>1145</v>
      </c>
      <c r="J829">
        <v>385000</v>
      </c>
      <c r="L829" t="s">
        <v>6803</v>
      </c>
    </row>
    <row r="830" spans="1:12" x14ac:dyDescent="0.35">
      <c r="A830" t="s">
        <v>354</v>
      </c>
      <c r="B830" s="1">
        <v>45744</v>
      </c>
      <c r="C830" t="s">
        <v>7281</v>
      </c>
      <c r="D830" t="s">
        <v>1144</v>
      </c>
      <c r="E830" t="s">
        <v>7282</v>
      </c>
      <c r="F830" t="s">
        <v>6804</v>
      </c>
      <c r="G830" t="s">
        <v>6934</v>
      </c>
      <c r="H830" t="s">
        <v>1145</v>
      </c>
      <c r="I830" s="1">
        <v>45804</v>
      </c>
      <c r="K830">
        <v>385000</v>
      </c>
      <c r="L830" t="s">
        <v>6803</v>
      </c>
    </row>
    <row r="831" spans="1:12" x14ac:dyDescent="0.35">
      <c r="A831" t="s">
        <v>354</v>
      </c>
      <c r="B831" s="1">
        <v>45744</v>
      </c>
      <c r="C831" t="s">
        <v>7283</v>
      </c>
      <c r="D831" t="s">
        <v>1146</v>
      </c>
      <c r="E831" t="s">
        <v>7284</v>
      </c>
      <c r="F831" t="s">
        <v>6802</v>
      </c>
      <c r="H831" t="s">
        <v>1147</v>
      </c>
      <c r="J831">
        <v>450000</v>
      </c>
      <c r="L831" t="s">
        <v>6803</v>
      </c>
    </row>
    <row r="832" spans="1:12" x14ac:dyDescent="0.35">
      <c r="A832" t="s">
        <v>354</v>
      </c>
      <c r="B832" s="1">
        <v>45744</v>
      </c>
      <c r="C832" t="s">
        <v>7283</v>
      </c>
      <c r="D832" t="s">
        <v>1146</v>
      </c>
      <c r="E832" t="s">
        <v>7284</v>
      </c>
      <c r="F832" t="s">
        <v>6804</v>
      </c>
      <c r="G832" t="s">
        <v>6934</v>
      </c>
      <c r="H832" t="s">
        <v>1147</v>
      </c>
      <c r="I832" s="1">
        <v>45804</v>
      </c>
      <c r="K832">
        <v>450000</v>
      </c>
      <c r="L832" t="s">
        <v>6803</v>
      </c>
    </row>
    <row r="833" spans="1:12" x14ac:dyDescent="0.35">
      <c r="A833" t="s">
        <v>354</v>
      </c>
      <c r="B833" s="1">
        <v>45744</v>
      </c>
      <c r="C833" t="s">
        <v>7285</v>
      </c>
      <c r="D833" t="s">
        <v>1148</v>
      </c>
      <c r="E833" t="s">
        <v>7286</v>
      </c>
      <c r="F833" t="s">
        <v>6802</v>
      </c>
      <c r="H833" t="s">
        <v>1149</v>
      </c>
      <c r="J833">
        <v>450000</v>
      </c>
      <c r="L833" t="s">
        <v>6803</v>
      </c>
    </row>
    <row r="834" spans="1:12" x14ac:dyDescent="0.35">
      <c r="A834" t="s">
        <v>354</v>
      </c>
      <c r="B834" s="1">
        <v>45744</v>
      </c>
      <c r="C834" t="s">
        <v>7285</v>
      </c>
      <c r="D834" t="s">
        <v>1148</v>
      </c>
      <c r="E834" t="s">
        <v>7286</v>
      </c>
      <c r="F834" t="s">
        <v>6804</v>
      </c>
      <c r="G834" t="s">
        <v>6934</v>
      </c>
      <c r="H834" t="s">
        <v>1149</v>
      </c>
      <c r="I834" s="1">
        <v>45804</v>
      </c>
      <c r="K834">
        <v>450000</v>
      </c>
      <c r="L834" t="s">
        <v>6803</v>
      </c>
    </row>
    <row r="835" spans="1:12" x14ac:dyDescent="0.35">
      <c r="A835" t="s">
        <v>354</v>
      </c>
      <c r="B835" s="1">
        <v>45744</v>
      </c>
      <c r="C835" t="s">
        <v>7287</v>
      </c>
      <c r="D835" t="s">
        <v>1150</v>
      </c>
      <c r="E835" t="s">
        <v>7288</v>
      </c>
      <c r="F835" t="s">
        <v>6811</v>
      </c>
      <c r="H835" t="s">
        <v>1151</v>
      </c>
      <c r="J835">
        <v>900</v>
      </c>
      <c r="L835" t="s">
        <v>6803</v>
      </c>
    </row>
    <row r="836" spans="1:12" x14ac:dyDescent="0.35">
      <c r="A836" t="s">
        <v>354</v>
      </c>
      <c r="B836" s="1">
        <v>45744</v>
      </c>
      <c r="C836" t="s">
        <v>7287</v>
      </c>
      <c r="D836" t="s">
        <v>1150</v>
      </c>
      <c r="E836" t="s">
        <v>7288</v>
      </c>
      <c r="F836" t="s">
        <v>6802</v>
      </c>
      <c r="H836" t="s">
        <v>1151</v>
      </c>
      <c r="J836">
        <v>130000</v>
      </c>
      <c r="L836" t="s">
        <v>6803</v>
      </c>
    </row>
    <row r="837" spans="1:12" x14ac:dyDescent="0.35">
      <c r="A837" t="s">
        <v>354</v>
      </c>
      <c r="B837" s="1">
        <v>45744</v>
      </c>
      <c r="C837" t="s">
        <v>7287</v>
      </c>
      <c r="D837" t="s">
        <v>1150</v>
      </c>
      <c r="E837" t="s">
        <v>7288</v>
      </c>
      <c r="F837" t="s">
        <v>6804</v>
      </c>
      <c r="G837" t="s">
        <v>6934</v>
      </c>
      <c r="H837" t="s">
        <v>1151</v>
      </c>
      <c r="I837" s="1">
        <v>45804</v>
      </c>
      <c r="K837">
        <v>130900</v>
      </c>
      <c r="L837" t="s">
        <v>6803</v>
      </c>
    </row>
    <row r="838" spans="1:12" x14ac:dyDescent="0.35">
      <c r="A838" t="s">
        <v>354</v>
      </c>
      <c r="B838" s="1">
        <v>45744</v>
      </c>
      <c r="C838" t="s">
        <v>7289</v>
      </c>
      <c r="D838" t="s">
        <v>1152</v>
      </c>
      <c r="E838" t="s">
        <v>7290</v>
      </c>
      <c r="F838" t="s">
        <v>6811</v>
      </c>
      <c r="H838" t="s">
        <v>1153</v>
      </c>
      <c r="J838">
        <v>300</v>
      </c>
      <c r="L838" t="s">
        <v>6803</v>
      </c>
    </row>
    <row r="839" spans="1:12" x14ac:dyDescent="0.35">
      <c r="A839" t="s">
        <v>354</v>
      </c>
      <c r="B839" s="1">
        <v>45744</v>
      </c>
      <c r="C839" t="s">
        <v>7289</v>
      </c>
      <c r="D839" t="s">
        <v>1152</v>
      </c>
      <c r="E839" t="s">
        <v>7290</v>
      </c>
      <c r="F839" t="s">
        <v>6802</v>
      </c>
      <c r="H839" t="s">
        <v>1153</v>
      </c>
      <c r="J839">
        <v>290000</v>
      </c>
      <c r="L839" t="s">
        <v>6803</v>
      </c>
    </row>
    <row r="840" spans="1:12" x14ac:dyDescent="0.35">
      <c r="A840" t="s">
        <v>354</v>
      </c>
      <c r="B840" s="1">
        <v>45744</v>
      </c>
      <c r="C840" t="s">
        <v>7289</v>
      </c>
      <c r="D840" t="s">
        <v>1152</v>
      </c>
      <c r="E840" t="s">
        <v>7290</v>
      </c>
      <c r="F840" t="s">
        <v>6804</v>
      </c>
      <c r="G840" t="s">
        <v>6934</v>
      </c>
      <c r="H840" t="s">
        <v>1153</v>
      </c>
      <c r="I840" s="1">
        <v>45804</v>
      </c>
      <c r="K840">
        <v>290300</v>
      </c>
      <c r="L840" t="s">
        <v>6803</v>
      </c>
    </row>
    <row r="841" spans="1:12" x14ac:dyDescent="0.35">
      <c r="A841" t="s">
        <v>354</v>
      </c>
      <c r="B841" s="1">
        <v>45744</v>
      </c>
      <c r="C841" t="s">
        <v>7291</v>
      </c>
      <c r="D841" t="s">
        <v>1154</v>
      </c>
      <c r="E841" t="s">
        <v>7292</v>
      </c>
      <c r="F841" t="s">
        <v>6802</v>
      </c>
      <c r="H841" t="s">
        <v>1155</v>
      </c>
      <c r="J841">
        <v>850000</v>
      </c>
      <c r="L841" t="s">
        <v>6803</v>
      </c>
    </row>
    <row r="842" spans="1:12" x14ac:dyDescent="0.35">
      <c r="A842" t="s">
        <v>354</v>
      </c>
      <c r="B842" s="1">
        <v>45744</v>
      </c>
      <c r="C842" t="s">
        <v>7291</v>
      </c>
      <c r="D842" t="s">
        <v>1154</v>
      </c>
      <c r="E842" t="s">
        <v>7292</v>
      </c>
      <c r="F842" t="s">
        <v>6804</v>
      </c>
      <c r="G842" t="s">
        <v>6934</v>
      </c>
      <c r="H842" t="s">
        <v>1155</v>
      </c>
      <c r="I842" s="1">
        <v>45804</v>
      </c>
      <c r="K842">
        <v>850000</v>
      </c>
      <c r="L842" t="s">
        <v>6803</v>
      </c>
    </row>
    <row r="843" spans="1:12" x14ac:dyDescent="0.35">
      <c r="A843" t="s">
        <v>354</v>
      </c>
      <c r="B843" s="1">
        <v>45744</v>
      </c>
      <c r="C843" t="s">
        <v>7293</v>
      </c>
      <c r="D843" t="s">
        <v>1156</v>
      </c>
      <c r="E843" t="s">
        <v>7294</v>
      </c>
      <c r="F843" t="s">
        <v>6802</v>
      </c>
      <c r="H843" t="s">
        <v>1157</v>
      </c>
      <c r="J843">
        <v>174000</v>
      </c>
      <c r="L843" t="s">
        <v>6803</v>
      </c>
    </row>
    <row r="844" spans="1:12" x14ac:dyDescent="0.35">
      <c r="A844" t="s">
        <v>354</v>
      </c>
      <c r="B844" s="1">
        <v>45744</v>
      </c>
      <c r="C844" t="s">
        <v>7293</v>
      </c>
      <c r="D844" t="s">
        <v>1156</v>
      </c>
      <c r="E844" t="s">
        <v>7294</v>
      </c>
      <c r="F844" t="s">
        <v>6804</v>
      </c>
      <c r="G844" t="s">
        <v>6934</v>
      </c>
      <c r="H844" t="s">
        <v>1157</v>
      </c>
      <c r="I844" s="1">
        <v>45804</v>
      </c>
      <c r="K844">
        <v>174000</v>
      </c>
      <c r="L844" t="s">
        <v>6803</v>
      </c>
    </row>
    <row r="845" spans="1:12" x14ac:dyDescent="0.35">
      <c r="A845" t="s">
        <v>354</v>
      </c>
      <c r="B845" s="1">
        <v>45744</v>
      </c>
      <c r="C845" t="s">
        <v>7295</v>
      </c>
      <c r="D845" t="s">
        <v>1158</v>
      </c>
      <c r="E845" t="s">
        <v>7296</v>
      </c>
      <c r="F845" t="s">
        <v>6802</v>
      </c>
      <c r="H845" t="s">
        <v>1159</v>
      </c>
      <c r="J845">
        <v>430000</v>
      </c>
      <c r="L845" t="s">
        <v>6803</v>
      </c>
    </row>
    <row r="846" spans="1:12" x14ac:dyDescent="0.35">
      <c r="A846" t="s">
        <v>354</v>
      </c>
      <c r="B846" s="1">
        <v>45744</v>
      </c>
      <c r="C846" t="s">
        <v>7295</v>
      </c>
      <c r="D846" t="s">
        <v>1158</v>
      </c>
      <c r="E846" t="s">
        <v>7296</v>
      </c>
      <c r="F846" t="s">
        <v>6804</v>
      </c>
      <c r="G846" t="s">
        <v>6934</v>
      </c>
      <c r="H846" t="s">
        <v>1159</v>
      </c>
      <c r="I846" s="1">
        <v>45804</v>
      </c>
      <c r="K846">
        <v>430000</v>
      </c>
      <c r="L846" t="s">
        <v>6803</v>
      </c>
    </row>
    <row r="847" spans="1:12" x14ac:dyDescent="0.35">
      <c r="A847" t="s">
        <v>354</v>
      </c>
      <c r="B847" s="1">
        <v>45744</v>
      </c>
      <c r="C847" t="s">
        <v>7297</v>
      </c>
      <c r="D847" t="s">
        <v>1160</v>
      </c>
      <c r="E847" t="s">
        <v>7298</v>
      </c>
      <c r="F847" t="s">
        <v>6802</v>
      </c>
      <c r="H847" t="s">
        <v>1161</v>
      </c>
      <c r="J847">
        <v>395300</v>
      </c>
      <c r="L847" t="s">
        <v>6803</v>
      </c>
    </row>
    <row r="848" spans="1:12" x14ac:dyDescent="0.35">
      <c r="A848" t="s">
        <v>354</v>
      </c>
      <c r="B848" s="1">
        <v>45744</v>
      </c>
      <c r="C848" t="s">
        <v>7297</v>
      </c>
      <c r="D848" t="s">
        <v>1160</v>
      </c>
      <c r="E848" t="s">
        <v>7298</v>
      </c>
      <c r="F848" t="s">
        <v>6804</v>
      </c>
      <c r="G848" t="s">
        <v>6934</v>
      </c>
      <c r="H848" t="s">
        <v>1161</v>
      </c>
      <c r="I848" s="1">
        <v>45804</v>
      </c>
      <c r="K848">
        <v>395300</v>
      </c>
      <c r="L848" t="s">
        <v>6803</v>
      </c>
    </row>
    <row r="849" spans="1:12" x14ac:dyDescent="0.35">
      <c r="A849" t="s">
        <v>354</v>
      </c>
      <c r="B849" s="1">
        <v>45744</v>
      </c>
      <c r="C849" t="s">
        <v>7299</v>
      </c>
      <c r="D849" t="s">
        <v>1162</v>
      </c>
      <c r="E849" t="s">
        <v>7300</v>
      </c>
      <c r="F849" t="s">
        <v>6802</v>
      </c>
      <c r="H849" t="s">
        <v>1163</v>
      </c>
      <c r="J849">
        <v>65300</v>
      </c>
      <c r="L849" t="s">
        <v>6803</v>
      </c>
    </row>
    <row r="850" spans="1:12" x14ac:dyDescent="0.35">
      <c r="A850" t="s">
        <v>354</v>
      </c>
      <c r="B850" s="1">
        <v>45744</v>
      </c>
      <c r="C850" t="s">
        <v>7299</v>
      </c>
      <c r="D850" t="s">
        <v>1162</v>
      </c>
      <c r="E850" t="s">
        <v>7300</v>
      </c>
      <c r="F850" t="s">
        <v>6804</v>
      </c>
      <c r="G850" t="s">
        <v>6934</v>
      </c>
      <c r="H850" t="s">
        <v>1163</v>
      </c>
      <c r="I850" s="1">
        <v>45804</v>
      </c>
      <c r="K850">
        <v>65300</v>
      </c>
      <c r="L850" t="s">
        <v>6803</v>
      </c>
    </row>
    <row r="851" spans="1:12" x14ac:dyDescent="0.35">
      <c r="A851" t="s">
        <v>354</v>
      </c>
      <c r="B851" s="1">
        <v>45744</v>
      </c>
      <c r="C851" t="s">
        <v>7301</v>
      </c>
      <c r="D851" t="s">
        <v>1164</v>
      </c>
      <c r="E851" t="s">
        <v>7302</v>
      </c>
      <c r="F851" t="s">
        <v>6802</v>
      </c>
      <c r="H851" t="s">
        <v>1165</v>
      </c>
      <c r="J851">
        <v>200000</v>
      </c>
      <c r="L851" t="s">
        <v>6803</v>
      </c>
    </row>
    <row r="852" spans="1:12" x14ac:dyDescent="0.35">
      <c r="A852" t="s">
        <v>354</v>
      </c>
      <c r="B852" s="1">
        <v>45744</v>
      </c>
      <c r="C852" t="s">
        <v>7301</v>
      </c>
      <c r="D852" t="s">
        <v>1164</v>
      </c>
      <c r="E852" t="s">
        <v>7302</v>
      </c>
      <c r="F852" t="s">
        <v>6804</v>
      </c>
      <c r="G852" t="s">
        <v>6934</v>
      </c>
      <c r="H852" t="s">
        <v>1165</v>
      </c>
      <c r="I852" s="1">
        <v>45804</v>
      </c>
      <c r="K852">
        <v>200000</v>
      </c>
      <c r="L852" t="s">
        <v>6803</v>
      </c>
    </row>
    <row r="853" spans="1:12" x14ac:dyDescent="0.35">
      <c r="A853" t="s">
        <v>354</v>
      </c>
      <c r="B853" s="1">
        <v>45744</v>
      </c>
      <c r="C853" t="s">
        <v>7303</v>
      </c>
      <c r="D853" t="s">
        <v>1166</v>
      </c>
      <c r="E853" t="s">
        <v>7304</v>
      </c>
      <c r="F853" t="s">
        <v>6802</v>
      </c>
      <c r="H853" t="s">
        <v>1167</v>
      </c>
      <c r="J853">
        <v>565000</v>
      </c>
      <c r="L853" t="s">
        <v>6803</v>
      </c>
    </row>
    <row r="854" spans="1:12" x14ac:dyDescent="0.35">
      <c r="A854" t="s">
        <v>354</v>
      </c>
      <c r="B854" s="1">
        <v>45744</v>
      </c>
      <c r="C854" t="s">
        <v>7303</v>
      </c>
      <c r="D854" t="s">
        <v>1166</v>
      </c>
      <c r="E854" t="s">
        <v>7304</v>
      </c>
      <c r="F854" t="s">
        <v>6804</v>
      </c>
      <c r="G854" t="s">
        <v>6934</v>
      </c>
      <c r="H854" t="s">
        <v>1167</v>
      </c>
      <c r="I854" s="1">
        <v>45804</v>
      </c>
      <c r="K854">
        <v>565000</v>
      </c>
      <c r="L854" t="s">
        <v>6803</v>
      </c>
    </row>
    <row r="855" spans="1:12" x14ac:dyDescent="0.35">
      <c r="A855" t="s">
        <v>354</v>
      </c>
      <c r="B855" s="1">
        <v>45744</v>
      </c>
      <c r="C855" t="s">
        <v>7305</v>
      </c>
      <c r="D855" t="s">
        <v>1168</v>
      </c>
      <c r="E855" t="s">
        <v>7306</v>
      </c>
      <c r="F855" t="s">
        <v>6802</v>
      </c>
      <c r="H855" t="s">
        <v>1169</v>
      </c>
      <c r="J855">
        <v>1600000</v>
      </c>
      <c r="L855" t="s">
        <v>6803</v>
      </c>
    </row>
    <row r="856" spans="1:12" x14ac:dyDescent="0.35">
      <c r="A856" t="s">
        <v>354</v>
      </c>
      <c r="B856" s="1">
        <v>45744</v>
      </c>
      <c r="C856" t="s">
        <v>7305</v>
      </c>
      <c r="D856" t="s">
        <v>1168</v>
      </c>
      <c r="E856" t="s">
        <v>7306</v>
      </c>
      <c r="F856" t="s">
        <v>6804</v>
      </c>
      <c r="G856" t="s">
        <v>6934</v>
      </c>
      <c r="H856" t="s">
        <v>1169</v>
      </c>
      <c r="I856" s="1">
        <v>45804</v>
      </c>
      <c r="K856">
        <v>1600000</v>
      </c>
      <c r="L856" t="s">
        <v>6803</v>
      </c>
    </row>
    <row r="857" spans="1:12" x14ac:dyDescent="0.35">
      <c r="A857" t="s">
        <v>354</v>
      </c>
      <c r="B857" s="1">
        <v>45744</v>
      </c>
      <c r="C857" t="s">
        <v>7307</v>
      </c>
      <c r="D857" t="s">
        <v>1170</v>
      </c>
      <c r="E857" t="s">
        <v>7308</v>
      </c>
      <c r="F857" t="s">
        <v>6802</v>
      </c>
      <c r="H857" t="s">
        <v>1171</v>
      </c>
      <c r="J857">
        <v>255300</v>
      </c>
      <c r="L857" t="s">
        <v>6803</v>
      </c>
    </row>
    <row r="858" spans="1:12" x14ac:dyDescent="0.35">
      <c r="A858" t="s">
        <v>354</v>
      </c>
      <c r="B858" s="1">
        <v>45744</v>
      </c>
      <c r="C858" t="s">
        <v>7307</v>
      </c>
      <c r="D858" t="s">
        <v>1170</v>
      </c>
      <c r="E858" t="s">
        <v>7308</v>
      </c>
      <c r="F858" t="s">
        <v>6804</v>
      </c>
      <c r="G858" t="s">
        <v>6934</v>
      </c>
      <c r="H858" t="s">
        <v>1171</v>
      </c>
      <c r="I858" s="1">
        <v>45804</v>
      </c>
      <c r="K858">
        <v>255300</v>
      </c>
      <c r="L858" t="s">
        <v>6803</v>
      </c>
    </row>
    <row r="859" spans="1:12" x14ac:dyDescent="0.35">
      <c r="A859" t="s">
        <v>354</v>
      </c>
      <c r="B859" s="1">
        <v>45744</v>
      </c>
      <c r="C859" t="s">
        <v>7309</v>
      </c>
      <c r="D859" t="s">
        <v>1172</v>
      </c>
      <c r="E859" t="s">
        <v>7310</v>
      </c>
      <c r="F859" t="s">
        <v>6802</v>
      </c>
      <c r="H859" t="s">
        <v>1173</v>
      </c>
      <c r="J859">
        <v>283500</v>
      </c>
      <c r="L859" t="s">
        <v>6803</v>
      </c>
    </row>
    <row r="860" spans="1:12" x14ac:dyDescent="0.35">
      <c r="A860" t="s">
        <v>354</v>
      </c>
      <c r="B860" s="1">
        <v>45744</v>
      </c>
      <c r="C860" t="s">
        <v>7309</v>
      </c>
      <c r="D860" t="s">
        <v>1172</v>
      </c>
      <c r="E860" t="s">
        <v>7310</v>
      </c>
      <c r="F860" t="s">
        <v>6804</v>
      </c>
      <c r="G860" t="s">
        <v>6934</v>
      </c>
      <c r="H860" t="s">
        <v>1173</v>
      </c>
      <c r="I860" s="1">
        <v>45804</v>
      </c>
      <c r="K860">
        <v>283500</v>
      </c>
      <c r="L860" t="s">
        <v>6803</v>
      </c>
    </row>
    <row r="861" spans="1:12" x14ac:dyDescent="0.35">
      <c r="A861" t="s">
        <v>354</v>
      </c>
      <c r="B861" s="1">
        <v>45744</v>
      </c>
      <c r="C861" t="s">
        <v>7311</v>
      </c>
      <c r="D861" t="s">
        <v>1174</v>
      </c>
      <c r="E861" t="s">
        <v>7312</v>
      </c>
      <c r="F861" t="s">
        <v>6802</v>
      </c>
      <c r="H861" t="s">
        <v>1175</v>
      </c>
      <c r="J861">
        <v>146500</v>
      </c>
      <c r="L861" t="s">
        <v>6803</v>
      </c>
    </row>
    <row r="862" spans="1:12" x14ac:dyDescent="0.35">
      <c r="A862" t="s">
        <v>354</v>
      </c>
      <c r="B862" s="1">
        <v>45744</v>
      </c>
      <c r="C862" t="s">
        <v>7311</v>
      </c>
      <c r="D862" t="s">
        <v>1174</v>
      </c>
      <c r="E862" t="s">
        <v>7312</v>
      </c>
      <c r="F862" t="s">
        <v>6804</v>
      </c>
      <c r="G862" t="s">
        <v>6934</v>
      </c>
      <c r="H862" t="s">
        <v>1175</v>
      </c>
      <c r="I862" s="1">
        <v>45804</v>
      </c>
      <c r="K862">
        <v>146500</v>
      </c>
      <c r="L862" t="s">
        <v>6803</v>
      </c>
    </row>
    <row r="863" spans="1:12" x14ac:dyDescent="0.35">
      <c r="A863" t="s">
        <v>354</v>
      </c>
      <c r="B863" s="1">
        <v>45744</v>
      </c>
      <c r="C863" t="s">
        <v>7313</v>
      </c>
      <c r="D863" t="s">
        <v>1176</v>
      </c>
      <c r="E863" t="s">
        <v>7314</v>
      </c>
      <c r="F863" t="s">
        <v>6802</v>
      </c>
      <c r="H863" t="s">
        <v>1177</v>
      </c>
      <c r="J863">
        <v>350000</v>
      </c>
      <c r="L863" t="s">
        <v>6803</v>
      </c>
    </row>
    <row r="864" spans="1:12" x14ac:dyDescent="0.35">
      <c r="A864" t="s">
        <v>354</v>
      </c>
      <c r="B864" s="1">
        <v>45744</v>
      </c>
      <c r="C864" t="s">
        <v>7313</v>
      </c>
      <c r="D864" t="s">
        <v>1176</v>
      </c>
      <c r="E864" t="s">
        <v>7314</v>
      </c>
      <c r="F864" t="s">
        <v>6804</v>
      </c>
      <c r="G864" t="s">
        <v>6934</v>
      </c>
      <c r="H864" t="s">
        <v>1177</v>
      </c>
      <c r="I864" s="1">
        <v>45804</v>
      </c>
      <c r="K864">
        <v>350000</v>
      </c>
      <c r="L864" t="s">
        <v>6803</v>
      </c>
    </row>
    <row r="865" spans="1:12" x14ac:dyDescent="0.35">
      <c r="A865" t="s">
        <v>354</v>
      </c>
      <c r="B865" s="1">
        <v>45744</v>
      </c>
      <c r="C865" t="s">
        <v>7315</v>
      </c>
      <c r="D865" t="s">
        <v>1178</v>
      </c>
      <c r="E865" t="s">
        <v>7316</v>
      </c>
      <c r="F865" t="s">
        <v>6811</v>
      </c>
      <c r="H865" t="s">
        <v>1179</v>
      </c>
      <c r="J865">
        <v>600</v>
      </c>
      <c r="L865" t="s">
        <v>6803</v>
      </c>
    </row>
    <row r="866" spans="1:12" x14ac:dyDescent="0.35">
      <c r="A866" t="s">
        <v>354</v>
      </c>
      <c r="B866" s="1">
        <v>45744</v>
      </c>
      <c r="C866" t="s">
        <v>7315</v>
      </c>
      <c r="D866" t="s">
        <v>1178</v>
      </c>
      <c r="E866" t="s">
        <v>7316</v>
      </c>
      <c r="F866" t="s">
        <v>6802</v>
      </c>
      <c r="H866" t="s">
        <v>1179</v>
      </c>
      <c r="J866">
        <v>240000</v>
      </c>
      <c r="L866" t="s">
        <v>6803</v>
      </c>
    </row>
    <row r="867" spans="1:12" x14ac:dyDescent="0.35">
      <c r="A867" t="s">
        <v>354</v>
      </c>
      <c r="B867" s="1">
        <v>45744</v>
      </c>
      <c r="C867" t="s">
        <v>7315</v>
      </c>
      <c r="D867" t="s">
        <v>1178</v>
      </c>
      <c r="E867" t="s">
        <v>7316</v>
      </c>
      <c r="F867" t="s">
        <v>6804</v>
      </c>
      <c r="G867" t="s">
        <v>6934</v>
      </c>
      <c r="H867" t="s">
        <v>1179</v>
      </c>
      <c r="I867" s="1">
        <v>45804</v>
      </c>
      <c r="K867">
        <v>240600</v>
      </c>
      <c r="L867" t="s">
        <v>6803</v>
      </c>
    </row>
    <row r="868" spans="1:12" x14ac:dyDescent="0.35">
      <c r="A868" t="s">
        <v>11</v>
      </c>
      <c r="B868" s="1">
        <v>45717</v>
      </c>
      <c r="C868" t="s">
        <v>7317</v>
      </c>
      <c r="F868" t="s">
        <v>7318</v>
      </c>
      <c r="G868" t="s">
        <v>7319</v>
      </c>
      <c r="H868" t="s">
        <v>1180</v>
      </c>
      <c r="K868">
        <v>-17500000</v>
      </c>
      <c r="L868" t="s">
        <v>6803</v>
      </c>
    </row>
    <row r="869" spans="1:12" x14ac:dyDescent="0.35">
      <c r="A869" t="s">
        <v>11</v>
      </c>
      <c r="B869" s="1">
        <v>45717</v>
      </c>
      <c r="C869" t="s">
        <v>7317</v>
      </c>
      <c r="F869" t="s">
        <v>7320</v>
      </c>
      <c r="H869" t="s">
        <v>1180</v>
      </c>
      <c r="J869">
        <v>-17500000</v>
      </c>
      <c r="L869" t="s">
        <v>5882</v>
      </c>
    </row>
    <row r="870" spans="1:12" x14ac:dyDescent="0.35">
      <c r="A870" t="s">
        <v>11</v>
      </c>
      <c r="B870" s="1">
        <v>45717</v>
      </c>
      <c r="C870" t="s">
        <v>7321</v>
      </c>
      <c r="F870" t="s">
        <v>7318</v>
      </c>
      <c r="G870" t="s">
        <v>7319</v>
      </c>
      <c r="H870" t="s">
        <v>1180</v>
      </c>
      <c r="K870">
        <v>-17500000</v>
      </c>
      <c r="L870" t="s">
        <v>6803</v>
      </c>
    </row>
    <row r="871" spans="1:12" x14ac:dyDescent="0.35">
      <c r="A871" t="s">
        <v>11</v>
      </c>
      <c r="B871" s="1">
        <v>45717</v>
      </c>
      <c r="C871" t="s">
        <v>7321</v>
      </c>
      <c r="F871" t="s">
        <v>7320</v>
      </c>
      <c r="H871" t="s">
        <v>1180</v>
      </c>
      <c r="J871">
        <v>-17500000</v>
      </c>
      <c r="L871" t="s">
        <v>5882</v>
      </c>
    </row>
    <row r="872" spans="1:12" x14ac:dyDescent="0.35">
      <c r="A872" t="s">
        <v>11</v>
      </c>
      <c r="B872" s="1">
        <v>45717</v>
      </c>
      <c r="C872" t="s">
        <v>7322</v>
      </c>
      <c r="E872" t="s">
        <v>1181</v>
      </c>
      <c r="F872" t="s">
        <v>7323</v>
      </c>
      <c r="H872" t="s">
        <v>1182</v>
      </c>
      <c r="J872">
        <v>63343</v>
      </c>
      <c r="L872" t="s">
        <v>6803</v>
      </c>
    </row>
    <row r="873" spans="1:12" x14ac:dyDescent="0.35">
      <c r="A873" t="s">
        <v>11</v>
      </c>
      <c r="B873" s="1">
        <v>45717</v>
      </c>
      <c r="C873" t="s">
        <v>7322</v>
      </c>
      <c r="E873" t="s">
        <v>1181</v>
      </c>
      <c r="F873" t="s">
        <v>7324</v>
      </c>
      <c r="H873" t="s">
        <v>1182</v>
      </c>
      <c r="K873">
        <v>63343</v>
      </c>
      <c r="L873" t="s">
        <v>350</v>
      </c>
    </row>
    <row r="874" spans="1:12" x14ac:dyDescent="0.35">
      <c r="A874" t="s">
        <v>11</v>
      </c>
      <c r="B874" s="1">
        <v>45717</v>
      </c>
      <c r="C874" t="s">
        <v>7325</v>
      </c>
      <c r="E874" t="s">
        <v>1183</v>
      </c>
      <c r="F874" t="s">
        <v>7318</v>
      </c>
      <c r="G874" t="s">
        <v>7326</v>
      </c>
      <c r="H874" t="s">
        <v>1184</v>
      </c>
      <c r="K874">
        <v>208333</v>
      </c>
      <c r="L874" t="s">
        <v>6803</v>
      </c>
    </row>
    <row r="875" spans="1:12" x14ac:dyDescent="0.35">
      <c r="A875" t="s">
        <v>11</v>
      </c>
      <c r="B875" s="1">
        <v>45717</v>
      </c>
      <c r="C875" t="s">
        <v>7325</v>
      </c>
      <c r="E875" t="s">
        <v>1183</v>
      </c>
      <c r="F875" t="s">
        <v>7327</v>
      </c>
      <c r="H875" t="s">
        <v>1184</v>
      </c>
      <c r="J875">
        <v>208333</v>
      </c>
      <c r="L875" t="s">
        <v>347</v>
      </c>
    </row>
    <row r="876" spans="1:12" x14ac:dyDescent="0.35">
      <c r="A876" t="s">
        <v>11</v>
      </c>
      <c r="B876" s="1">
        <v>45717</v>
      </c>
      <c r="C876" t="s">
        <v>7328</v>
      </c>
      <c r="E876" t="s">
        <v>1185</v>
      </c>
      <c r="F876" t="s">
        <v>7318</v>
      </c>
      <c r="G876" t="s">
        <v>1186</v>
      </c>
      <c r="H876" t="s">
        <v>1187</v>
      </c>
      <c r="K876">
        <v>59225</v>
      </c>
      <c r="L876" t="s">
        <v>6803</v>
      </c>
    </row>
    <row r="877" spans="1:12" x14ac:dyDescent="0.35">
      <c r="A877" t="s">
        <v>11</v>
      </c>
      <c r="B877" s="1">
        <v>45717</v>
      </c>
      <c r="C877" t="s">
        <v>7328</v>
      </c>
      <c r="E877" t="s">
        <v>1185</v>
      </c>
      <c r="F877" t="s">
        <v>7327</v>
      </c>
      <c r="H877" t="s">
        <v>1187</v>
      </c>
      <c r="J877">
        <v>59225</v>
      </c>
      <c r="L877" t="s">
        <v>342</v>
      </c>
    </row>
    <row r="878" spans="1:12" x14ac:dyDescent="0.35">
      <c r="A878" t="s">
        <v>11</v>
      </c>
      <c r="B878" s="1">
        <v>45717</v>
      </c>
      <c r="C878" t="s">
        <v>7329</v>
      </c>
      <c r="F878" t="s">
        <v>7318</v>
      </c>
      <c r="G878" t="s">
        <v>7330</v>
      </c>
      <c r="H878" t="s">
        <v>1188</v>
      </c>
      <c r="K878">
        <v>137482</v>
      </c>
      <c r="L878" t="s">
        <v>6803</v>
      </c>
    </row>
    <row r="879" spans="1:12" x14ac:dyDescent="0.35">
      <c r="A879" t="s">
        <v>11</v>
      </c>
      <c r="B879" s="1">
        <v>45717</v>
      </c>
      <c r="C879" t="s">
        <v>7329</v>
      </c>
      <c r="F879" t="s">
        <v>7331</v>
      </c>
      <c r="H879" t="s">
        <v>1188</v>
      </c>
      <c r="J879">
        <v>137482</v>
      </c>
      <c r="L879" t="s">
        <v>5886</v>
      </c>
    </row>
    <row r="880" spans="1:12" x14ac:dyDescent="0.35">
      <c r="A880" t="s">
        <v>11</v>
      </c>
      <c r="B880" s="1">
        <v>45717</v>
      </c>
      <c r="C880" t="s">
        <v>7332</v>
      </c>
      <c r="E880" t="s">
        <v>1189</v>
      </c>
      <c r="F880" t="s">
        <v>7318</v>
      </c>
      <c r="G880" t="s">
        <v>7326</v>
      </c>
      <c r="H880" t="s">
        <v>1190</v>
      </c>
      <c r="K880">
        <v>290670</v>
      </c>
      <c r="L880" t="s">
        <v>6803</v>
      </c>
    </row>
    <row r="881" spans="1:12" x14ac:dyDescent="0.35">
      <c r="A881" t="s">
        <v>11</v>
      </c>
      <c r="B881" s="1">
        <v>45717</v>
      </c>
      <c r="C881" t="s">
        <v>7332</v>
      </c>
      <c r="E881" t="s">
        <v>1189</v>
      </c>
      <c r="F881" t="s">
        <v>7327</v>
      </c>
      <c r="H881" t="s">
        <v>1190</v>
      </c>
      <c r="J881">
        <v>290670</v>
      </c>
      <c r="L881" t="s">
        <v>5887</v>
      </c>
    </row>
    <row r="882" spans="1:12" x14ac:dyDescent="0.35">
      <c r="A882" t="s">
        <v>11</v>
      </c>
      <c r="B882" s="1">
        <v>45717</v>
      </c>
      <c r="C882" t="s">
        <v>7333</v>
      </c>
      <c r="E882" t="s">
        <v>1191</v>
      </c>
      <c r="F882" t="s">
        <v>7318</v>
      </c>
      <c r="G882" t="s">
        <v>7334</v>
      </c>
      <c r="H882" t="s">
        <v>1192</v>
      </c>
      <c r="K882">
        <v>250000</v>
      </c>
      <c r="L882" t="s">
        <v>6803</v>
      </c>
    </row>
    <row r="883" spans="1:12" x14ac:dyDescent="0.35">
      <c r="A883" t="s">
        <v>11</v>
      </c>
      <c r="B883" s="1">
        <v>45717</v>
      </c>
      <c r="C883" t="s">
        <v>7333</v>
      </c>
      <c r="E883" t="s">
        <v>1191</v>
      </c>
      <c r="F883" t="s">
        <v>7335</v>
      </c>
      <c r="H883" t="s">
        <v>1192</v>
      </c>
      <c r="J883">
        <v>250000</v>
      </c>
      <c r="L883" t="s">
        <v>5888</v>
      </c>
    </row>
    <row r="884" spans="1:12" x14ac:dyDescent="0.35">
      <c r="A884" t="s">
        <v>11</v>
      </c>
      <c r="B884" s="1">
        <v>45717</v>
      </c>
      <c r="C884" t="s">
        <v>7336</v>
      </c>
      <c r="E884" t="s">
        <v>1193</v>
      </c>
      <c r="F884" t="s">
        <v>7318</v>
      </c>
      <c r="G884" t="s">
        <v>7326</v>
      </c>
      <c r="H884" t="s">
        <v>1194</v>
      </c>
      <c r="K884">
        <v>863677</v>
      </c>
      <c r="L884" t="s">
        <v>6803</v>
      </c>
    </row>
    <row r="885" spans="1:12" x14ac:dyDescent="0.35">
      <c r="A885" t="s">
        <v>11</v>
      </c>
      <c r="B885" s="1">
        <v>45717</v>
      </c>
      <c r="C885" t="s">
        <v>7336</v>
      </c>
      <c r="E885" t="s">
        <v>1193</v>
      </c>
      <c r="F885" t="s">
        <v>7327</v>
      </c>
      <c r="H885" t="s">
        <v>1194</v>
      </c>
      <c r="J885">
        <v>863677</v>
      </c>
      <c r="L885" t="s">
        <v>5889</v>
      </c>
    </row>
    <row r="886" spans="1:12" x14ac:dyDescent="0.35">
      <c r="A886" t="s">
        <v>11</v>
      </c>
      <c r="B886" s="1">
        <v>45717</v>
      </c>
      <c r="C886" t="s">
        <v>7337</v>
      </c>
      <c r="E886" t="s">
        <v>1195</v>
      </c>
      <c r="F886" t="s">
        <v>7338</v>
      </c>
      <c r="H886" t="s">
        <v>1196</v>
      </c>
      <c r="K886">
        <v>1026000</v>
      </c>
      <c r="L886" t="s">
        <v>6803</v>
      </c>
    </row>
    <row r="887" spans="1:12" x14ac:dyDescent="0.35">
      <c r="A887" t="s">
        <v>11</v>
      </c>
      <c r="B887" s="1">
        <v>45717</v>
      </c>
      <c r="C887" t="s">
        <v>7337</v>
      </c>
      <c r="E887" t="s">
        <v>1195</v>
      </c>
      <c r="F887" t="s">
        <v>7339</v>
      </c>
      <c r="H887" t="s">
        <v>1196</v>
      </c>
      <c r="J887">
        <v>1026000</v>
      </c>
      <c r="L887" t="s">
        <v>5873</v>
      </c>
    </row>
    <row r="888" spans="1:12" x14ac:dyDescent="0.35">
      <c r="A888" t="s">
        <v>11</v>
      </c>
      <c r="B888" s="1">
        <v>45717</v>
      </c>
      <c r="C888" t="s">
        <v>7340</v>
      </c>
      <c r="E888" t="s">
        <v>1197</v>
      </c>
      <c r="F888" t="s">
        <v>7338</v>
      </c>
      <c r="H888" t="s">
        <v>1198</v>
      </c>
      <c r="K888">
        <v>52708</v>
      </c>
      <c r="L888" t="s">
        <v>6803</v>
      </c>
    </row>
    <row r="889" spans="1:12" x14ac:dyDescent="0.35">
      <c r="A889" t="s">
        <v>11</v>
      </c>
      <c r="B889" s="1">
        <v>45717</v>
      </c>
      <c r="C889" t="s">
        <v>7340</v>
      </c>
      <c r="E889" t="s">
        <v>1197</v>
      </c>
      <c r="F889" t="s">
        <v>7339</v>
      </c>
      <c r="H889" t="s">
        <v>1198</v>
      </c>
      <c r="J889">
        <v>52708</v>
      </c>
      <c r="L889" t="s">
        <v>5899</v>
      </c>
    </row>
    <row r="890" spans="1:12" x14ac:dyDescent="0.35">
      <c r="A890" t="s">
        <v>11</v>
      </c>
      <c r="B890" s="1">
        <v>45717</v>
      </c>
      <c r="C890" t="s">
        <v>7341</v>
      </c>
      <c r="F890" t="s">
        <v>7338</v>
      </c>
      <c r="H890" t="s">
        <v>1199</v>
      </c>
      <c r="K890">
        <v>130333</v>
      </c>
      <c r="L890" t="s">
        <v>6803</v>
      </c>
    </row>
    <row r="891" spans="1:12" x14ac:dyDescent="0.35">
      <c r="A891" t="s">
        <v>11</v>
      </c>
      <c r="B891" s="1">
        <v>45717</v>
      </c>
      <c r="C891" t="s">
        <v>7341</v>
      </c>
      <c r="F891" t="s">
        <v>7339</v>
      </c>
      <c r="H891" t="s">
        <v>1199</v>
      </c>
      <c r="J891">
        <v>130333</v>
      </c>
      <c r="L891" t="s">
        <v>5900</v>
      </c>
    </row>
    <row r="892" spans="1:12" x14ac:dyDescent="0.35">
      <c r="A892" t="s">
        <v>11</v>
      </c>
      <c r="B892" s="1">
        <v>45717</v>
      </c>
      <c r="C892" t="s">
        <v>7342</v>
      </c>
      <c r="D892" t="s">
        <v>1200</v>
      </c>
      <c r="E892" t="s">
        <v>1201</v>
      </c>
      <c r="F892" t="s">
        <v>7318</v>
      </c>
      <c r="G892" t="s">
        <v>7343</v>
      </c>
      <c r="H892" t="s">
        <v>1202</v>
      </c>
      <c r="K892">
        <v>1105288</v>
      </c>
      <c r="L892" t="s">
        <v>6803</v>
      </c>
    </row>
    <row r="893" spans="1:12" x14ac:dyDescent="0.35">
      <c r="A893" t="s">
        <v>11</v>
      </c>
      <c r="B893" s="1">
        <v>45717</v>
      </c>
      <c r="C893" t="s">
        <v>7342</v>
      </c>
      <c r="D893" t="s">
        <v>1200</v>
      </c>
      <c r="E893" t="s">
        <v>1201</v>
      </c>
      <c r="F893" t="s">
        <v>7331</v>
      </c>
      <c r="H893" t="s">
        <v>1202</v>
      </c>
      <c r="J893">
        <v>1105288</v>
      </c>
      <c r="L893" t="s">
        <v>5886</v>
      </c>
    </row>
    <row r="894" spans="1:12" x14ac:dyDescent="0.35">
      <c r="A894" t="s">
        <v>11</v>
      </c>
      <c r="B894" s="1">
        <v>45717</v>
      </c>
      <c r="C894" t="s">
        <v>7344</v>
      </c>
      <c r="E894" t="s">
        <v>1203</v>
      </c>
      <c r="F894" t="s">
        <v>7338</v>
      </c>
      <c r="H894" t="s">
        <v>1204</v>
      </c>
      <c r="K894">
        <v>6000000</v>
      </c>
      <c r="L894" t="s">
        <v>6803</v>
      </c>
    </row>
    <row r="895" spans="1:12" x14ac:dyDescent="0.35">
      <c r="A895" t="s">
        <v>11</v>
      </c>
      <c r="B895" s="1">
        <v>45717</v>
      </c>
      <c r="C895" t="s">
        <v>7344</v>
      </c>
      <c r="E895" t="s">
        <v>1203</v>
      </c>
      <c r="F895" t="s">
        <v>7345</v>
      </c>
      <c r="H895" t="s">
        <v>1204</v>
      </c>
      <c r="J895">
        <v>6000000</v>
      </c>
      <c r="L895" t="s">
        <v>5903</v>
      </c>
    </row>
    <row r="896" spans="1:12" x14ac:dyDescent="0.35">
      <c r="A896" t="s">
        <v>11</v>
      </c>
      <c r="B896" s="1">
        <v>45717</v>
      </c>
      <c r="C896" t="s">
        <v>7346</v>
      </c>
      <c r="E896" t="s">
        <v>1205</v>
      </c>
      <c r="F896" t="s">
        <v>7318</v>
      </c>
      <c r="G896" t="s">
        <v>7347</v>
      </c>
      <c r="H896" t="s">
        <v>1206</v>
      </c>
      <c r="K896">
        <v>345000</v>
      </c>
      <c r="L896" t="s">
        <v>6803</v>
      </c>
    </row>
    <row r="897" spans="1:12" x14ac:dyDescent="0.35">
      <c r="A897" t="s">
        <v>11</v>
      </c>
      <c r="B897" s="1">
        <v>45717</v>
      </c>
      <c r="C897" t="s">
        <v>7346</v>
      </c>
      <c r="E897" t="s">
        <v>1205</v>
      </c>
      <c r="F897" t="s">
        <v>7348</v>
      </c>
      <c r="H897" t="s">
        <v>1206</v>
      </c>
      <c r="J897">
        <v>345000</v>
      </c>
      <c r="L897" t="s">
        <v>347</v>
      </c>
    </row>
    <row r="898" spans="1:12" x14ac:dyDescent="0.35">
      <c r="A898" t="s">
        <v>11</v>
      </c>
      <c r="B898" s="1">
        <v>45717</v>
      </c>
      <c r="C898" t="s">
        <v>7349</v>
      </c>
      <c r="E898" t="s">
        <v>1207</v>
      </c>
      <c r="F898" t="s">
        <v>7318</v>
      </c>
      <c r="G898" t="s">
        <v>7350</v>
      </c>
      <c r="H898" t="s">
        <v>1208</v>
      </c>
      <c r="K898">
        <v>600000</v>
      </c>
      <c r="L898" t="s">
        <v>6803</v>
      </c>
    </row>
    <row r="899" spans="1:12" x14ac:dyDescent="0.35">
      <c r="A899" t="s">
        <v>11</v>
      </c>
      <c r="B899" s="1">
        <v>45717</v>
      </c>
      <c r="C899" t="s">
        <v>7349</v>
      </c>
      <c r="E899" t="s">
        <v>1207</v>
      </c>
      <c r="F899" t="s">
        <v>7351</v>
      </c>
      <c r="H899" t="s">
        <v>1208</v>
      </c>
      <c r="J899">
        <v>600000</v>
      </c>
      <c r="L899" t="s">
        <v>5904</v>
      </c>
    </row>
    <row r="900" spans="1:12" x14ac:dyDescent="0.35">
      <c r="A900" t="s">
        <v>11</v>
      </c>
      <c r="B900" s="1">
        <v>45717</v>
      </c>
      <c r="C900" t="s">
        <v>7352</v>
      </c>
      <c r="E900" t="s">
        <v>1209</v>
      </c>
      <c r="F900" t="s">
        <v>7318</v>
      </c>
      <c r="G900" t="s">
        <v>7350</v>
      </c>
      <c r="H900" t="s">
        <v>1210</v>
      </c>
      <c r="K900">
        <v>400000</v>
      </c>
      <c r="L900" t="s">
        <v>6803</v>
      </c>
    </row>
    <row r="901" spans="1:12" x14ac:dyDescent="0.35">
      <c r="A901" t="s">
        <v>11</v>
      </c>
      <c r="B901" s="1">
        <v>45717</v>
      </c>
      <c r="C901" t="s">
        <v>7352</v>
      </c>
      <c r="E901" t="s">
        <v>1209</v>
      </c>
      <c r="F901" t="s">
        <v>7351</v>
      </c>
      <c r="H901" t="s">
        <v>1210</v>
      </c>
      <c r="J901">
        <v>400000</v>
      </c>
      <c r="L901" t="s">
        <v>5883</v>
      </c>
    </row>
    <row r="902" spans="1:12" x14ac:dyDescent="0.35">
      <c r="A902" t="s">
        <v>11</v>
      </c>
      <c r="B902" s="1">
        <v>45717</v>
      </c>
      <c r="C902" t="s">
        <v>7353</v>
      </c>
      <c r="E902" t="s">
        <v>1211</v>
      </c>
      <c r="F902" t="s">
        <v>7318</v>
      </c>
      <c r="G902" t="s">
        <v>7354</v>
      </c>
      <c r="H902" t="s">
        <v>1212</v>
      </c>
      <c r="K902">
        <v>700000</v>
      </c>
      <c r="L902" t="s">
        <v>6803</v>
      </c>
    </row>
    <row r="903" spans="1:12" x14ac:dyDescent="0.35">
      <c r="A903" t="s">
        <v>11</v>
      </c>
      <c r="B903" s="1">
        <v>45717</v>
      </c>
      <c r="C903" t="s">
        <v>7353</v>
      </c>
      <c r="E903" t="s">
        <v>1211</v>
      </c>
      <c r="F903" t="s">
        <v>7355</v>
      </c>
      <c r="H903" t="s">
        <v>1212</v>
      </c>
      <c r="J903">
        <v>700000</v>
      </c>
      <c r="L903" t="s">
        <v>342</v>
      </c>
    </row>
    <row r="904" spans="1:12" x14ac:dyDescent="0.35">
      <c r="A904" t="s">
        <v>11</v>
      </c>
      <c r="B904" s="1">
        <v>45717</v>
      </c>
      <c r="C904" t="s">
        <v>7356</v>
      </c>
      <c r="F904" t="s">
        <v>7318</v>
      </c>
      <c r="G904" t="s">
        <v>7357</v>
      </c>
      <c r="H904" t="s">
        <v>1213</v>
      </c>
      <c r="K904">
        <v>86821</v>
      </c>
      <c r="L904" t="s">
        <v>6803</v>
      </c>
    </row>
    <row r="905" spans="1:12" x14ac:dyDescent="0.35">
      <c r="A905" t="s">
        <v>11</v>
      </c>
      <c r="B905" s="1">
        <v>45717</v>
      </c>
      <c r="C905" t="s">
        <v>7356</v>
      </c>
      <c r="F905" t="s">
        <v>7358</v>
      </c>
      <c r="H905" t="s">
        <v>1213</v>
      </c>
      <c r="J905">
        <v>86821</v>
      </c>
      <c r="L905" t="s">
        <v>5905</v>
      </c>
    </row>
    <row r="906" spans="1:12" x14ac:dyDescent="0.35">
      <c r="A906" t="s">
        <v>11</v>
      </c>
      <c r="B906" s="1">
        <v>45717</v>
      </c>
      <c r="C906" t="s">
        <v>7359</v>
      </c>
      <c r="F906" t="s">
        <v>7318</v>
      </c>
      <c r="G906" t="s">
        <v>7360</v>
      </c>
      <c r="H906" t="s">
        <v>1214</v>
      </c>
      <c r="K906">
        <v>1430000</v>
      </c>
      <c r="L906" t="s">
        <v>6803</v>
      </c>
    </row>
    <row r="907" spans="1:12" x14ac:dyDescent="0.35">
      <c r="A907" t="s">
        <v>11</v>
      </c>
      <c r="B907" s="1">
        <v>45717</v>
      </c>
      <c r="C907" t="s">
        <v>7359</v>
      </c>
      <c r="F907" t="s">
        <v>7358</v>
      </c>
      <c r="H907" t="s">
        <v>1214</v>
      </c>
      <c r="J907">
        <v>1430000</v>
      </c>
      <c r="L907" t="s">
        <v>5905</v>
      </c>
    </row>
    <row r="908" spans="1:12" x14ac:dyDescent="0.35">
      <c r="A908" t="s">
        <v>11</v>
      </c>
      <c r="B908" s="1">
        <v>45717</v>
      </c>
      <c r="C908" t="s">
        <v>7361</v>
      </c>
      <c r="E908" t="s">
        <v>1215</v>
      </c>
      <c r="F908" t="s">
        <v>7318</v>
      </c>
      <c r="G908" t="s">
        <v>1216</v>
      </c>
      <c r="H908" t="s">
        <v>1217</v>
      </c>
      <c r="K908">
        <v>240000</v>
      </c>
      <c r="L908" t="s">
        <v>6803</v>
      </c>
    </row>
    <row r="909" spans="1:12" x14ac:dyDescent="0.35">
      <c r="A909" t="s">
        <v>11</v>
      </c>
      <c r="B909" s="1">
        <v>45717</v>
      </c>
      <c r="C909" t="s">
        <v>7361</v>
      </c>
      <c r="E909" t="s">
        <v>1215</v>
      </c>
      <c r="F909" t="s">
        <v>7320</v>
      </c>
      <c r="H909" t="s">
        <v>1217</v>
      </c>
      <c r="J909">
        <v>240000</v>
      </c>
      <c r="L909" t="s">
        <v>5906</v>
      </c>
    </row>
    <row r="910" spans="1:12" x14ac:dyDescent="0.35">
      <c r="A910" t="s">
        <v>11</v>
      </c>
      <c r="B910" s="1">
        <v>45717</v>
      </c>
      <c r="C910" t="s">
        <v>7362</v>
      </c>
      <c r="E910" t="s">
        <v>1218</v>
      </c>
      <c r="F910" t="s">
        <v>7338</v>
      </c>
      <c r="H910" t="s">
        <v>1219</v>
      </c>
      <c r="K910">
        <v>24650</v>
      </c>
      <c r="L910" t="s">
        <v>6803</v>
      </c>
    </row>
    <row r="911" spans="1:12" x14ac:dyDescent="0.35">
      <c r="A911" t="s">
        <v>11</v>
      </c>
      <c r="B911" s="1">
        <v>45717</v>
      </c>
      <c r="C911" t="s">
        <v>7362</v>
      </c>
      <c r="E911" t="s">
        <v>1218</v>
      </c>
      <c r="F911" t="s">
        <v>7363</v>
      </c>
      <c r="H911" t="s">
        <v>1219</v>
      </c>
      <c r="J911">
        <v>24650</v>
      </c>
      <c r="L911" t="s">
        <v>5907</v>
      </c>
    </row>
    <row r="912" spans="1:12" x14ac:dyDescent="0.35">
      <c r="A912" t="s">
        <v>11</v>
      </c>
      <c r="B912" s="1">
        <v>45717</v>
      </c>
      <c r="C912" t="s">
        <v>7364</v>
      </c>
      <c r="E912" t="s">
        <v>1218</v>
      </c>
      <c r="F912" t="s">
        <v>7338</v>
      </c>
      <c r="H912" t="s">
        <v>1220</v>
      </c>
      <c r="K912">
        <v>176942</v>
      </c>
      <c r="L912" t="s">
        <v>6803</v>
      </c>
    </row>
    <row r="913" spans="1:12" x14ac:dyDescent="0.35">
      <c r="A913" t="s">
        <v>11</v>
      </c>
      <c r="B913" s="1">
        <v>45717</v>
      </c>
      <c r="C913" t="s">
        <v>7364</v>
      </c>
      <c r="E913" t="s">
        <v>1218</v>
      </c>
      <c r="F913" t="s">
        <v>7363</v>
      </c>
      <c r="H913" t="s">
        <v>1220</v>
      </c>
      <c r="J913">
        <v>176942</v>
      </c>
      <c r="L913" t="s">
        <v>342</v>
      </c>
    </row>
    <row r="914" spans="1:12" x14ac:dyDescent="0.35">
      <c r="A914" t="s">
        <v>11</v>
      </c>
      <c r="B914" s="1">
        <v>45717</v>
      </c>
      <c r="C914" t="s">
        <v>7365</v>
      </c>
      <c r="E914" t="s">
        <v>1221</v>
      </c>
      <c r="F914" t="s">
        <v>7338</v>
      </c>
      <c r="H914" t="s">
        <v>1222</v>
      </c>
      <c r="K914">
        <v>15589</v>
      </c>
      <c r="L914" t="s">
        <v>6803</v>
      </c>
    </row>
    <row r="915" spans="1:12" x14ac:dyDescent="0.35">
      <c r="A915" t="s">
        <v>11</v>
      </c>
      <c r="B915" s="1">
        <v>45717</v>
      </c>
      <c r="C915" t="s">
        <v>7365</v>
      </c>
      <c r="E915" t="s">
        <v>1221</v>
      </c>
      <c r="F915" t="s">
        <v>7335</v>
      </c>
      <c r="H915" t="s">
        <v>1222</v>
      </c>
      <c r="J915">
        <v>15589</v>
      </c>
      <c r="L915" t="s">
        <v>5902</v>
      </c>
    </row>
    <row r="916" spans="1:12" x14ac:dyDescent="0.35">
      <c r="A916" t="s">
        <v>11</v>
      </c>
      <c r="B916" s="1">
        <v>45717</v>
      </c>
      <c r="C916" t="s">
        <v>7366</v>
      </c>
      <c r="F916" t="s">
        <v>7338</v>
      </c>
      <c r="H916" t="s">
        <v>1223</v>
      </c>
      <c r="K916">
        <v>3413578</v>
      </c>
      <c r="L916" t="s">
        <v>6803</v>
      </c>
    </row>
    <row r="917" spans="1:12" x14ac:dyDescent="0.35">
      <c r="A917" t="s">
        <v>11</v>
      </c>
      <c r="B917" s="1">
        <v>45717</v>
      </c>
      <c r="C917" t="s">
        <v>7366</v>
      </c>
      <c r="F917" t="s">
        <v>7367</v>
      </c>
      <c r="H917" t="s">
        <v>1223</v>
      </c>
      <c r="J917">
        <v>3413578</v>
      </c>
      <c r="L917" t="s">
        <v>5873</v>
      </c>
    </row>
    <row r="918" spans="1:12" x14ac:dyDescent="0.35">
      <c r="A918" t="s">
        <v>11</v>
      </c>
      <c r="B918" s="1">
        <v>45717</v>
      </c>
      <c r="C918" t="s">
        <v>7368</v>
      </c>
      <c r="E918" t="s">
        <v>1224</v>
      </c>
      <c r="F918" t="s">
        <v>7369</v>
      </c>
      <c r="H918" t="s">
        <v>1225</v>
      </c>
      <c r="K918">
        <v>2830381</v>
      </c>
      <c r="L918" t="s">
        <v>6803</v>
      </c>
    </row>
    <row r="919" spans="1:12" x14ac:dyDescent="0.35">
      <c r="A919" t="s">
        <v>11</v>
      </c>
      <c r="B919" s="1">
        <v>45717</v>
      </c>
      <c r="C919" t="s">
        <v>7368</v>
      </c>
      <c r="E919" t="s">
        <v>1224</v>
      </c>
      <c r="F919" t="s">
        <v>7370</v>
      </c>
      <c r="H919" t="s">
        <v>1225</v>
      </c>
      <c r="J919">
        <v>2830381</v>
      </c>
      <c r="L919" t="s">
        <v>5903</v>
      </c>
    </row>
    <row r="920" spans="1:12" x14ac:dyDescent="0.35">
      <c r="A920" t="s">
        <v>11</v>
      </c>
      <c r="B920" s="1">
        <v>45717</v>
      </c>
      <c r="C920" t="s">
        <v>7371</v>
      </c>
      <c r="E920" t="s">
        <v>1226</v>
      </c>
      <c r="F920" t="s">
        <v>7338</v>
      </c>
      <c r="H920" t="s">
        <v>1227</v>
      </c>
      <c r="K920">
        <v>45000</v>
      </c>
      <c r="L920" t="s">
        <v>6803</v>
      </c>
    </row>
    <row r="921" spans="1:12" x14ac:dyDescent="0.35">
      <c r="A921" t="s">
        <v>11</v>
      </c>
      <c r="B921" s="1">
        <v>45717</v>
      </c>
      <c r="C921" t="s">
        <v>7371</v>
      </c>
      <c r="E921" t="s">
        <v>1226</v>
      </c>
      <c r="F921" t="s">
        <v>7372</v>
      </c>
      <c r="H921" t="s">
        <v>1227</v>
      </c>
      <c r="J921">
        <v>45000</v>
      </c>
      <c r="L921" t="s">
        <v>10115</v>
      </c>
    </row>
    <row r="922" spans="1:12" x14ac:dyDescent="0.35">
      <c r="A922" t="s">
        <v>11</v>
      </c>
      <c r="B922" s="1">
        <v>45717</v>
      </c>
      <c r="C922" t="s">
        <v>7373</v>
      </c>
      <c r="F922" t="s">
        <v>7338</v>
      </c>
      <c r="H922" t="s">
        <v>1228</v>
      </c>
      <c r="K922">
        <v>2058825</v>
      </c>
      <c r="L922" t="s">
        <v>6803</v>
      </c>
    </row>
    <row r="923" spans="1:12" x14ac:dyDescent="0.35">
      <c r="A923" t="s">
        <v>11</v>
      </c>
      <c r="B923" s="1">
        <v>45717</v>
      </c>
      <c r="C923" t="s">
        <v>7373</v>
      </c>
      <c r="F923" t="s">
        <v>7374</v>
      </c>
      <c r="H923" t="s">
        <v>1228</v>
      </c>
      <c r="J923">
        <v>2058825</v>
      </c>
      <c r="L923" t="s">
        <v>352</v>
      </c>
    </row>
    <row r="924" spans="1:12" x14ac:dyDescent="0.35">
      <c r="A924" t="s">
        <v>11</v>
      </c>
      <c r="B924" s="1">
        <v>45717</v>
      </c>
      <c r="C924" t="s">
        <v>7375</v>
      </c>
      <c r="F924" t="s">
        <v>7318</v>
      </c>
      <c r="G924" t="s">
        <v>7376</v>
      </c>
      <c r="H924" t="s">
        <v>1229</v>
      </c>
      <c r="K924">
        <v>927000</v>
      </c>
      <c r="L924" t="s">
        <v>6803</v>
      </c>
    </row>
    <row r="925" spans="1:12" x14ac:dyDescent="0.35">
      <c r="A925" t="s">
        <v>11</v>
      </c>
      <c r="B925" s="1">
        <v>45717</v>
      </c>
      <c r="C925" t="s">
        <v>7375</v>
      </c>
      <c r="F925" t="s">
        <v>7358</v>
      </c>
      <c r="H925" t="s">
        <v>1229</v>
      </c>
      <c r="J925">
        <v>927000</v>
      </c>
      <c r="L925" t="s">
        <v>5905</v>
      </c>
    </row>
    <row r="926" spans="1:12" x14ac:dyDescent="0.35">
      <c r="A926" t="s">
        <v>11</v>
      </c>
      <c r="B926" s="1">
        <v>45717</v>
      </c>
      <c r="C926" t="s">
        <v>7377</v>
      </c>
      <c r="E926" t="s">
        <v>1230</v>
      </c>
      <c r="F926" t="s">
        <v>7318</v>
      </c>
      <c r="G926" t="s">
        <v>7326</v>
      </c>
      <c r="H926" t="s">
        <v>1231</v>
      </c>
      <c r="K926">
        <v>847458</v>
      </c>
      <c r="L926" t="s">
        <v>6803</v>
      </c>
    </row>
    <row r="927" spans="1:12" x14ac:dyDescent="0.35">
      <c r="A927" t="s">
        <v>11</v>
      </c>
      <c r="B927" s="1">
        <v>45717</v>
      </c>
      <c r="C927" t="s">
        <v>7377</v>
      </c>
      <c r="E927" t="s">
        <v>1230</v>
      </c>
      <c r="F927" t="s">
        <v>7378</v>
      </c>
      <c r="H927" t="s">
        <v>1231</v>
      </c>
      <c r="J927">
        <v>847458</v>
      </c>
      <c r="L927" t="s">
        <v>347</v>
      </c>
    </row>
    <row r="928" spans="1:12" x14ac:dyDescent="0.35">
      <c r="A928" t="s">
        <v>11</v>
      </c>
      <c r="B928" s="1">
        <v>45717</v>
      </c>
      <c r="C928" t="s">
        <v>7379</v>
      </c>
      <c r="E928" t="s">
        <v>1232</v>
      </c>
      <c r="F928" t="s">
        <v>7338</v>
      </c>
      <c r="H928" t="s">
        <v>1233</v>
      </c>
      <c r="K928">
        <v>11078181</v>
      </c>
      <c r="L928" t="s">
        <v>6803</v>
      </c>
    </row>
    <row r="929" spans="1:12" x14ac:dyDescent="0.35">
      <c r="A929" t="s">
        <v>11</v>
      </c>
      <c r="B929" s="1">
        <v>45717</v>
      </c>
      <c r="C929" t="s">
        <v>7379</v>
      </c>
      <c r="E929" t="s">
        <v>1232</v>
      </c>
      <c r="F929" t="s">
        <v>7380</v>
      </c>
      <c r="H929" t="s">
        <v>1233</v>
      </c>
      <c r="J929">
        <v>11078181</v>
      </c>
      <c r="L929" t="s">
        <v>5909</v>
      </c>
    </row>
    <row r="930" spans="1:12" x14ac:dyDescent="0.35">
      <c r="A930" t="s">
        <v>11</v>
      </c>
      <c r="B930" s="1">
        <v>45717</v>
      </c>
      <c r="C930" t="s">
        <v>7381</v>
      </c>
      <c r="E930" t="s">
        <v>1234</v>
      </c>
      <c r="F930" t="s">
        <v>7338</v>
      </c>
      <c r="H930" t="s">
        <v>1235</v>
      </c>
      <c r="K930">
        <v>399458</v>
      </c>
      <c r="L930" t="s">
        <v>6803</v>
      </c>
    </row>
    <row r="931" spans="1:12" x14ac:dyDescent="0.35">
      <c r="A931" t="s">
        <v>11</v>
      </c>
      <c r="B931" s="1">
        <v>45717</v>
      </c>
      <c r="C931" t="s">
        <v>7381</v>
      </c>
      <c r="E931" t="s">
        <v>1234</v>
      </c>
      <c r="F931" t="s">
        <v>7382</v>
      </c>
      <c r="H931" t="s">
        <v>1235</v>
      </c>
      <c r="J931">
        <v>399458</v>
      </c>
      <c r="L931" t="s">
        <v>342</v>
      </c>
    </row>
    <row r="932" spans="1:12" x14ac:dyDescent="0.35">
      <c r="A932" t="s">
        <v>11</v>
      </c>
      <c r="B932" s="1">
        <v>45717</v>
      </c>
      <c r="C932" t="s">
        <v>7383</v>
      </c>
      <c r="F932" t="s">
        <v>7338</v>
      </c>
      <c r="H932" t="s">
        <v>1236</v>
      </c>
      <c r="K932">
        <v>4188043</v>
      </c>
      <c r="L932" t="s">
        <v>6803</v>
      </c>
    </row>
    <row r="933" spans="1:12" x14ac:dyDescent="0.35">
      <c r="A933" t="s">
        <v>11</v>
      </c>
      <c r="B933" s="1">
        <v>45717</v>
      </c>
      <c r="C933" t="s">
        <v>7383</v>
      </c>
      <c r="F933" t="s">
        <v>7384</v>
      </c>
      <c r="H933" t="s">
        <v>1236</v>
      </c>
      <c r="J933">
        <v>4188043</v>
      </c>
      <c r="L933" t="s">
        <v>5889</v>
      </c>
    </row>
    <row r="934" spans="1:12" x14ac:dyDescent="0.35">
      <c r="A934" t="s">
        <v>11</v>
      </c>
      <c r="B934" s="1">
        <v>45717</v>
      </c>
      <c r="C934" t="s">
        <v>7385</v>
      </c>
      <c r="E934" t="s">
        <v>1237</v>
      </c>
      <c r="F934" t="s">
        <v>7318</v>
      </c>
      <c r="G934" t="s">
        <v>7360</v>
      </c>
      <c r="H934" t="s">
        <v>1238</v>
      </c>
      <c r="K934">
        <v>300000</v>
      </c>
      <c r="L934" t="s">
        <v>6803</v>
      </c>
    </row>
    <row r="935" spans="1:12" x14ac:dyDescent="0.35">
      <c r="A935" t="s">
        <v>11</v>
      </c>
      <c r="B935" s="1">
        <v>45717</v>
      </c>
      <c r="C935" t="s">
        <v>7385</v>
      </c>
      <c r="E935" t="s">
        <v>1237</v>
      </c>
      <c r="F935" t="s">
        <v>7358</v>
      </c>
      <c r="H935" t="s">
        <v>1238</v>
      </c>
      <c r="J935">
        <v>300000</v>
      </c>
      <c r="L935" t="s">
        <v>5905</v>
      </c>
    </row>
    <row r="936" spans="1:12" x14ac:dyDescent="0.35">
      <c r="A936" t="s">
        <v>11</v>
      </c>
      <c r="B936" s="1">
        <v>45717</v>
      </c>
      <c r="C936" t="s">
        <v>7386</v>
      </c>
      <c r="E936" t="s">
        <v>1239</v>
      </c>
      <c r="F936" t="s">
        <v>7318</v>
      </c>
      <c r="G936" t="s">
        <v>7350</v>
      </c>
      <c r="H936" t="s">
        <v>1240</v>
      </c>
      <c r="K936">
        <v>390000</v>
      </c>
      <c r="L936" t="s">
        <v>6803</v>
      </c>
    </row>
    <row r="937" spans="1:12" x14ac:dyDescent="0.35">
      <c r="A937" t="s">
        <v>11</v>
      </c>
      <c r="B937" s="1">
        <v>45717</v>
      </c>
      <c r="C937" t="s">
        <v>7386</v>
      </c>
      <c r="E937" t="s">
        <v>1239</v>
      </c>
      <c r="F937" t="s">
        <v>7351</v>
      </c>
      <c r="H937" t="s">
        <v>1240</v>
      </c>
      <c r="J937">
        <v>390000</v>
      </c>
      <c r="L937" t="s">
        <v>5926</v>
      </c>
    </row>
    <row r="938" spans="1:12" x14ac:dyDescent="0.35">
      <c r="A938" t="s">
        <v>11</v>
      </c>
      <c r="B938" s="1">
        <v>45717</v>
      </c>
      <c r="C938" t="s">
        <v>7387</v>
      </c>
      <c r="E938" t="s">
        <v>1241</v>
      </c>
      <c r="F938" t="s">
        <v>7318</v>
      </c>
      <c r="G938" t="s">
        <v>7350</v>
      </c>
      <c r="H938" t="s">
        <v>1242</v>
      </c>
      <c r="K938">
        <v>90300</v>
      </c>
      <c r="L938" t="s">
        <v>6803</v>
      </c>
    </row>
    <row r="939" spans="1:12" x14ac:dyDescent="0.35">
      <c r="A939" t="s">
        <v>11</v>
      </c>
      <c r="B939" s="1">
        <v>45717</v>
      </c>
      <c r="C939" t="s">
        <v>7387</v>
      </c>
      <c r="E939" t="s">
        <v>1241</v>
      </c>
      <c r="F939" t="s">
        <v>7351</v>
      </c>
      <c r="H939" t="s">
        <v>1242</v>
      </c>
      <c r="J939">
        <v>90300</v>
      </c>
      <c r="L939" t="s">
        <v>5927</v>
      </c>
    </row>
    <row r="940" spans="1:12" x14ac:dyDescent="0.35">
      <c r="A940" t="s">
        <v>11</v>
      </c>
      <c r="B940" s="1">
        <v>45717</v>
      </c>
      <c r="C940" t="s">
        <v>7388</v>
      </c>
      <c r="E940" t="s">
        <v>1243</v>
      </c>
      <c r="F940" t="s">
        <v>7318</v>
      </c>
      <c r="G940" t="s">
        <v>7350</v>
      </c>
      <c r="H940" t="s">
        <v>1244</v>
      </c>
      <c r="K940">
        <v>264084</v>
      </c>
      <c r="L940" t="s">
        <v>6803</v>
      </c>
    </row>
    <row r="941" spans="1:12" x14ac:dyDescent="0.35">
      <c r="A941" t="s">
        <v>11</v>
      </c>
      <c r="B941" s="1">
        <v>45717</v>
      </c>
      <c r="C941" t="s">
        <v>7388</v>
      </c>
      <c r="E941" t="s">
        <v>1243</v>
      </c>
      <c r="F941" t="s">
        <v>7335</v>
      </c>
      <c r="H941" t="s">
        <v>1244</v>
      </c>
      <c r="J941">
        <v>264084</v>
      </c>
      <c r="L941" t="s">
        <v>5886</v>
      </c>
    </row>
    <row r="942" spans="1:12" x14ac:dyDescent="0.35">
      <c r="A942" t="s">
        <v>11</v>
      </c>
      <c r="B942" s="1">
        <v>45717</v>
      </c>
      <c r="C942" t="s">
        <v>7389</v>
      </c>
      <c r="E942" t="s">
        <v>1245</v>
      </c>
      <c r="F942" t="s">
        <v>7318</v>
      </c>
      <c r="G942" t="s">
        <v>7390</v>
      </c>
      <c r="H942" t="s">
        <v>1246</v>
      </c>
      <c r="K942">
        <v>1350000</v>
      </c>
      <c r="L942" t="s">
        <v>6803</v>
      </c>
    </row>
    <row r="943" spans="1:12" x14ac:dyDescent="0.35">
      <c r="A943" t="s">
        <v>11</v>
      </c>
      <c r="B943" s="1">
        <v>45717</v>
      </c>
      <c r="C943" t="s">
        <v>7389</v>
      </c>
      <c r="E943" t="s">
        <v>1245</v>
      </c>
      <c r="F943" t="s">
        <v>7391</v>
      </c>
      <c r="H943" t="s">
        <v>1246</v>
      </c>
      <c r="J943">
        <v>1350000</v>
      </c>
      <c r="L943" t="s">
        <v>5889</v>
      </c>
    </row>
    <row r="944" spans="1:12" x14ac:dyDescent="0.35">
      <c r="A944" t="s">
        <v>11</v>
      </c>
      <c r="B944" s="1">
        <v>45717</v>
      </c>
      <c r="C944" t="s">
        <v>7392</v>
      </c>
      <c r="E944" t="s">
        <v>1247</v>
      </c>
      <c r="F944" t="s">
        <v>7318</v>
      </c>
      <c r="G944" t="s">
        <v>7360</v>
      </c>
      <c r="H944" t="s">
        <v>1248</v>
      </c>
      <c r="K944">
        <v>56733</v>
      </c>
      <c r="L944" t="s">
        <v>6803</v>
      </c>
    </row>
    <row r="945" spans="1:12" x14ac:dyDescent="0.35">
      <c r="A945" t="s">
        <v>11</v>
      </c>
      <c r="B945" s="1">
        <v>45717</v>
      </c>
      <c r="C945" t="s">
        <v>7392</v>
      </c>
      <c r="E945" t="s">
        <v>1247</v>
      </c>
      <c r="F945" t="s">
        <v>7358</v>
      </c>
      <c r="H945" t="s">
        <v>1248</v>
      </c>
      <c r="J945">
        <v>56733</v>
      </c>
      <c r="L945" t="s">
        <v>5928</v>
      </c>
    </row>
    <row r="946" spans="1:12" x14ac:dyDescent="0.35">
      <c r="A946" t="s">
        <v>11</v>
      </c>
      <c r="B946" s="1">
        <v>45717</v>
      </c>
      <c r="C946" t="s">
        <v>7393</v>
      </c>
      <c r="E946" t="s">
        <v>1247</v>
      </c>
      <c r="F946" t="s">
        <v>7318</v>
      </c>
      <c r="G946" t="s">
        <v>7360</v>
      </c>
      <c r="H946" t="s">
        <v>1249</v>
      </c>
      <c r="K946">
        <v>2200000</v>
      </c>
      <c r="L946" t="s">
        <v>6803</v>
      </c>
    </row>
    <row r="947" spans="1:12" x14ac:dyDescent="0.35">
      <c r="A947" t="s">
        <v>11</v>
      </c>
      <c r="B947" s="1">
        <v>45717</v>
      </c>
      <c r="C947" t="s">
        <v>7393</v>
      </c>
      <c r="E947" t="s">
        <v>1247</v>
      </c>
      <c r="F947" t="s">
        <v>7358</v>
      </c>
      <c r="H947" t="s">
        <v>1249</v>
      </c>
      <c r="J947">
        <v>2200000</v>
      </c>
      <c r="L947" t="s">
        <v>5905</v>
      </c>
    </row>
    <row r="948" spans="1:12" x14ac:dyDescent="0.35">
      <c r="A948" t="s">
        <v>11</v>
      </c>
      <c r="B948" s="1">
        <v>45717</v>
      </c>
      <c r="C948" t="s">
        <v>7394</v>
      </c>
      <c r="E948" t="s">
        <v>1250</v>
      </c>
      <c r="F948" t="s">
        <v>7318</v>
      </c>
      <c r="G948" t="s">
        <v>7395</v>
      </c>
      <c r="H948" t="s">
        <v>1251</v>
      </c>
      <c r="K948">
        <v>100000</v>
      </c>
      <c r="L948" t="s">
        <v>6803</v>
      </c>
    </row>
    <row r="949" spans="1:12" x14ac:dyDescent="0.35">
      <c r="A949" t="s">
        <v>11</v>
      </c>
      <c r="B949" s="1">
        <v>45717</v>
      </c>
      <c r="C949" t="s">
        <v>7394</v>
      </c>
      <c r="E949" t="s">
        <v>1250</v>
      </c>
      <c r="F949" t="s">
        <v>7378</v>
      </c>
      <c r="H949" t="s">
        <v>1251</v>
      </c>
      <c r="J949">
        <v>100000</v>
      </c>
      <c r="L949" t="s">
        <v>342</v>
      </c>
    </row>
    <row r="950" spans="1:12" x14ac:dyDescent="0.35">
      <c r="A950" t="s">
        <v>11</v>
      </c>
      <c r="B950" s="1">
        <v>45717</v>
      </c>
      <c r="C950" t="s">
        <v>7396</v>
      </c>
      <c r="E950" t="s">
        <v>1252</v>
      </c>
      <c r="F950" t="s">
        <v>7318</v>
      </c>
      <c r="G950" t="s">
        <v>7397</v>
      </c>
      <c r="H950" t="s">
        <v>1253</v>
      </c>
      <c r="K950">
        <v>600000</v>
      </c>
      <c r="L950" t="s">
        <v>6803</v>
      </c>
    </row>
    <row r="951" spans="1:12" x14ac:dyDescent="0.35">
      <c r="A951" t="s">
        <v>11</v>
      </c>
      <c r="B951" s="1">
        <v>45717</v>
      </c>
      <c r="C951" t="s">
        <v>7396</v>
      </c>
      <c r="E951" t="s">
        <v>1252</v>
      </c>
      <c r="F951" t="s">
        <v>7398</v>
      </c>
      <c r="H951" t="s">
        <v>1253</v>
      </c>
      <c r="J951">
        <v>600000</v>
      </c>
      <c r="L951" t="s">
        <v>342</v>
      </c>
    </row>
    <row r="952" spans="1:12" x14ac:dyDescent="0.35">
      <c r="A952" t="s">
        <v>11</v>
      </c>
      <c r="B952" s="1">
        <v>45717</v>
      </c>
      <c r="C952" t="s">
        <v>7399</v>
      </c>
      <c r="E952" t="s">
        <v>1254</v>
      </c>
      <c r="F952" t="s">
        <v>7318</v>
      </c>
      <c r="G952" t="s">
        <v>6826</v>
      </c>
      <c r="H952" t="s">
        <v>1255</v>
      </c>
      <c r="K952">
        <v>317672</v>
      </c>
      <c r="L952" t="s">
        <v>6803</v>
      </c>
    </row>
    <row r="953" spans="1:12" x14ac:dyDescent="0.35">
      <c r="A953" t="s">
        <v>11</v>
      </c>
      <c r="B953" s="1">
        <v>45717</v>
      </c>
      <c r="C953" t="s">
        <v>7399</v>
      </c>
      <c r="E953" t="s">
        <v>1254</v>
      </c>
      <c r="F953" t="s">
        <v>7398</v>
      </c>
      <c r="H953" t="s">
        <v>1255</v>
      </c>
      <c r="J953">
        <v>317672</v>
      </c>
      <c r="L953" t="s">
        <v>5929</v>
      </c>
    </row>
    <row r="954" spans="1:12" x14ac:dyDescent="0.35">
      <c r="A954" t="s">
        <v>11</v>
      </c>
      <c r="B954" s="1">
        <v>45717</v>
      </c>
      <c r="C954" t="s">
        <v>7400</v>
      </c>
      <c r="F954" t="s">
        <v>7318</v>
      </c>
      <c r="G954" t="s">
        <v>7401</v>
      </c>
      <c r="H954" t="s">
        <v>1256</v>
      </c>
      <c r="K954">
        <v>2000000</v>
      </c>
      <c r="L954" t="s">
        <v>6803</v>
      </c>
    </row>
    <row r="955" spans="1:12" x14ac:dyDescent="0.35">
      <c r="A955" t="s">
        <v>11</v>
      </c>
      <c r="B955" s="1">
        <v>45717</v>
      </c>
      <c r="C955" t="s">
        <v>7400</v>
      </c>
      <c r="F955" t="s">
        <v>7335</v>
      </c>
      <c r="H955" t="s">
        <v>1256</v>
      </c>
      <c r="J955">
        <v>2000000</v>
      </c>
      <c r="L955" t="s">
        <v>5886</v>
      </c>
    </row>
    <row r="956" spans="1:12" x14ac:dyDescent="0.35">
      <c r="A956" t="s">
        <v>11</v>
      </c>
      <c r="B956" s="1">
        <v>45717</v>
      </c>
      <c r="C956" t="s">
        <v>7402</v>
      </c>
      <c r="E956" t="s">
        <v>1257</v>
      </c>
      <c r="F956" t="s">
        <v>7318</v>
      </c>
      <c r="G956" t="s">
        <v>7403</v>
      </c>
      <c r="H956" t="s">
        <v>1258</v>
      </c>
      <c r="K956">
        <v>1800000</v>
      </c>
      <c r="L956" t="s">
        <v>6803</v>
      </c>
    </row>
    <row r="957" spans="1:12" x14ac:dyDescent="0.35">
      <c r="A957" t="s">
        <v>11</v>
      </c>
      <c r="B957" s="1">
        <v>45717</v>
      </c>
      <c r="C957" t="s">
        <v>7402</v>
      </c>
      <c r="E957" t="s">
        <v>1257</v>
      </c>
      <c r="F957" t="s">
        <v>7335</v>
      </c>
      <c r="H957" t="s">
        <v>1258</v>
      </c>
      <c r="J957">
        <v>1800000</v>
      </c>
      <c r="L957" t="s">
        <v>5902</v>
      </c>
    </row>
    <row r="958" spans="1:12" x14ac:dyDescent="0.35">
      <c r="A958" t="s">
        <v>11</v>
      </c>
      <c r="B958" s="1">
        <v>45717</v>
      </c>
      <c r="C958" t="s">
        <v>7404</v>
      </c>
      <c r="E958" t="s">
        <v>1259</v>
      </c>
      <c r="F958" t="s">
        <v>7318</v>
      </c>
      <c r="G958" t="s">
        <v>7405</v>
      </c>
      <c r="H958" t="s">
        <v>1260</v>
      </c>
      <c r="K958">
        <v>370500</v>
      </c>
      <c r="L958" t="s">
        <v>6803</v>
      </c>
    </row>
    <row r="959" spans="1:12" x14ac:dyDescent="0.35">
      <c r="A959" t="s">
        <v>11</v>
      </c>
      <c r="B959" s="1">
        <v>45717</v>
      </c>
      <c r="C959" t="s">
        <v>7404</v>
      </c>
      <c r="E959" t="s">
        <v>1259</v>
      </c>
      <c r="F959" t="s">
        <v>7406</v>
      </c>
      <c r="H959" t="s">
        <v>1260</v>
      </c>
      <c r="J959">
        <v>370500</v>
      </c>
      <c r="L959" t="s">
        <v>5883</v>
      </c>
    </row>
    <row r="960" spans="1:12" x14ac:dyDescent="0.35">
      <c r="A960" t="s">
        <v>11</v>
      </c>
      <c r="B960" s="1">
        <v>45717</v>
      </c>
      <c r="C960" t="s">
        <v>7407</v>
      </c>
      <c r="E960" t="s">
        <v>1261</v>
      </c>
      <c r="F960" t="s">
        <v>7318</v>
      </c>
      <c r="G960" t="s">
        <v>7408</v>
      </c>
      <c r="H960" t="s">
        <v>1262</v>
      </c>
      <c r="K960">
        <v>935000</v>
      </c>
      <c r="L960" t="s">
        <v>6803</v>
      </c>
    </row>
    <row r="961" spans="1:12" x14ac:dyDescent="0.35">
      <c r="A961" t="s">
        <v>11</v>
      </c>
      <c r="B961" s="1">
        <v>45717</v>
      </c>
      <c r="C961" t="s">
        <v>7407</v>
      </c>
      <c r="E961" t="s">
        <v>1261</v>
      </c>
      <c r="F961" t="s">
        <v>7320</v>
      </c>
      <c r="H961" t="s">
        <v>1262</v>
      </c>
      <c r="J961">
        <v>935000</v>
      </c>
      <c r="L961" t="s">
        <v>5905</v>
      </c>
    </row>
    <row r="962" spans="1:12" x14ac:dyDescent="0.35">
      <c r="A962" t="s">
        <v>11</v>
      </c>
      <c r="B962" s="1">
        <v>45717</v>
      </c>
      <c r="C962" t="s">
        <v>7409</v>
      </c>
      <c r="E962" t="s">
        <v>1263</v>
      </c>
      <c r="F962" t="s">
        <v>7338</v>
      </c>
      <c r="H962" t="s">
        <v>1264</v>
      </c>
      <c r="K962">
        <v>1032703</v>
      </c>
      <c r="L962" t="s">
        <v>6803</v>
      </c>
    </row>
    <row r="963" spans="1:12" x14ac:dyDescent="0.35">
      <c r="A963" t="s">
        <v>11</v>
      </c>
      <c r="B963" s="1">
        <v>45717</v>
      </c>
      <c r="C963" t="s">
        <v>7409</v>
      </c>
      <c r="E963" t="s">
        <v>1263</v>
      </c>
      <c r="F963" t="s">
        <v>7410</v>
      </c>
      <c r="H963" t="s">
        <v>1264</v>
      </c>
      <c r="J963">
        <v>1032703</v>
      </c>
      <c r="L963" t="s">
        <v>342</v>
      </c>
    </row>
    <row r="964" spans="1:12" x14ac:dyDescent="0.35">
      <c r="A964" t="s">
        <v>11</v>
      </c>
      <c r="B964" s="1">
        <v>45717</v>
      </c>
      <c r="C964" t="s">
        <v>7411</v>
      </c>
      <c r="E964" t="s">
        <v>1265</v>
      </c>
      <c r="F964" t="s">
        <v>7318</v>
      </c>
      <c r="G964" t="s">
        <v>7412</v>
      </c>
      <c r="H964" t="s">
        <v>1266</v>
      </c>
      <c r="K964">
        <v>2772470</v>
      </c>
      <c r="L964" t="s">
        <v>6803</v>
      </c>
    </row>
    <row r="965" spans="1:12" x14ac:dyDescent="0.35">
      <c r="A965" t="s">
        <v>11</v>
      </c>
      <c r="B965" s="1">
        <v>45717</v>
      </c>
      <c r="C965" t="s">
        <v>7411</v>
      </c>
      <c r="E965" t="s">
        <v>1265</v>
      </c>
      <c r="F965" t="s">
        <v>7406</v>
      </c>
      <c r="H965" t="s">
        <v>1266</v>
      </c>
      <c r="J965">
        <v>2772470</v>
      </c>
      <c r="L965" t="s">
        <v>5905</v>
      </c>
    </row>
    <row r="966" spans="1:12" x14ac:dyDescent="0.35">
      <c r="A966" t="s">
        <v>11</v>
      </c>
      <c r="B966" s="1">
        <v>45717</v>
      </c>
      <c r="C966" t="s">
        <v>7413</v>
      </c>
      <c r="E966" t="s">
        <v>1267</v>
      </c>
      <c r="F966" t="s">
        <v>7338</v>
      </c>
      <c r="H966" t="s">
        <v>1268</v>
      </c>
      <c r="K966">
        <v>668083</v>
      </c>
      <c r="L966" t="s">
        <v>6803</v>
      </c>
    </row>
    <row r="967" spans="1:12" x14ac:dyDescent="0.35">
      <c r="A967" t="s">
        <v>11</v>
      </c>
      <c r="B967" s="1">
        <v>45717</v>
      </c>
      <c r="C967" t="s">
        <v>7413</v>
      </c>
      <c r="E967" t="s">
        <v>1267</v>
      </c>
      <c r="F967" t="s">
        <v>7414</v>
      </c>
      <c r="H967" t="s">
        <v>1268</v>
      </c>
      <c r="J967">
        <v>668083</v>
      </c>
      <c r="L967" t="s">
        <v>10116</v>
      </c>
    </row>
    <row r="968" spans="1:12" x14ac:dyDescent="0.35">
      <c r="A968" t="s">
        <v>11</v>
      </c>
      <c r="B968" s="1">
        <v>45717</v>
      </c>
      <c r="C968" t="s">
        <v>7415</v>
      </c>
      <c r="E968" t="s">
        <v>1269</v>
      </c>
      <c r="F968" t="s">
        <v>7318</v>
      </c>
      <c r="G968" t="s">
        <v>7416</v>
      </c>
      <c r="H968" t="s">
        <v>1270</v>
      </c>
      <c r="K968">
        <v>330000</v>
      </c>
      <c r="L968" t="s">
        <v>6803</v>
      </c>
    </row>
    <row r="969" spans="1:12" x14ac:dyDescent="0.35">
      <c r="A969" t="s">
        <v>11</v>
      </c>
      <c r="B969" s="1">
        <v>45717</v>
      </c>
      <c r="C969" t="s">
        <v>7415</v>
      </c>
      <c r="E969" t="s">
        <v>1269</v>
      </c>
      <c r="F969" t="s">
        <v>7391</v>
      </c>
      <c r="H969" t="s">
        <v>1270</v>
      </c>
      <c r="J969">
        <v>330000</v>
      </c>
      <c r="L969" t="s">
        <v>5882</v>
      </c>
    </row>
    <row r="970" spans="1:12" x14ac:dyDescent="0.35">
      <c r="A970" t="s">
        <v>11</v>
      </c>
      <c r="B970" s="1">
        <v>45717</v>
      </c>
      <c r="C970" t="s">
        <v>7417</v>
      </c>
      <c r="F970" t="s">
        <v>7338</v>
      </c>
      <c r="H970" t="s">
        <v>1271</v>
      </c>
      <c r="K970">
        <v>49091</v>
      </c>
      <c r="L970" t="s">
        <v>6803</v>
      </c>
    </row>
    <row r="971" spans="1:12" x14ac:dyDescent="0.35">
      <c r="A971" t="s">
        <v>11</v>
      </c>
      <c r="B971" s="1">
        <v>45717</v>
      </c>
      <c r="C971" t="s">
        <v>7417</v>
      </c>
      <c r="F971" t="s">
        <v>7418</v>
      </c>
      <c r="H971" t="s">
        <v>1271</v>
      </c>
      <c r="J971">
        <v>49091</v>
      </c>
      <c r="L971" t="s">
        <v>5902</v>
      </c>
    </row>
    <row r="972" spans="1:12" x14ac:dyDescent="0.35">
      <c r="A972" t="s">
        <v>11</v>
      </c>
      <c r="B972" s="1">
        <v>45717</v>
      </c>
      <c r="C972" t="s">
        <v>7419</v>
      </c>
      <c r="F972" t="s">
        <v>7338</v>
      </c>
      <c r="H972" t="s">
        <v>1272</v>
      </c>
      <c r="K972">
        <v>9263</v>
      </c>
      <c r="L972" t="s">
        <v>6803</v>
      </c>
    </row>
    <row r="973" spans="1:12" x14ac:dyDescent="0.35">
      <c r="A973" t="s">
        <v>11</v>
      </c>
      <c r="B973" s="1">
        <v>45717</v>
      </c>
      <c r="C973" t="s">
        <v>7419</v>
      </c>
      <c r="F973" t="s">
        <v>7418</v>
      </c>
      <c r="H973" t="s">
        <v>1272</v>
      </c>
      <c r="J973">
        <v>9263</v>
      </c>
      <c r="L973" t="s">
        <v>5883</v>
      </c>
    </row>
    <row r="974" spans="1:12" x14ac:dyDescent="0.35">
      <c r="A974" t="s">
        <v>11</v>
      </c>
      <c r="B974" s="1">
        <v>45717</v>
      </c>
      <c r="C974" t="s">
        <v>7420</v>
      </c>
      <c r="F974" t="s">
        <v>7338</v>
      </c>
      <c r="H974" t="s">
        <v>1273</v>
      </c>
      <c r="K974">
        <v>23375</v>
      </c>
      <c r="L974" t="s">
        <v>6803</v>
      </c>
    </row>
    <row r="975" spans="1:12" x14ac:dyDescent="0.35">
      <c r="A975" t="s">
        <v>11</v>
      </c>
      <c r="B975" s="1">
        <v>45717</v>
      </c>
      <c r="C975" t="s">
        <v>7420</v>
      </c>
      <c r="F975" t="s">
        <v>7418</v>
      </c>
      <c r="H975" t="s">
        <v>1273</v>
      </c>
      <c r="J975">
        <v>23375</v>
      </c>
      <c r="L975" t="s">
        <v>5905</v>
      </c>
    </row>
    <row r="976" spans="1:12" x14ac:dyDescent="0.35">
      <c r="A976" t="s">
        <v>11</v>
      </c>
      <c r="B976" s="1">
        <v>45717</v>
      </c>
      <c r="C976" t="s">
        <v>7421</v>
      </c>
      <c r="E976" t="s">
        <v>1274</v>
      </c>
      <c r="F976" t="s">
        <v>7338</v>
      </c>
      <c r="H976" t="s">
        <v>1275</v>
      </c>
      <c r="K976">
        <v>3412000</v>
      </c>
      <c r="L976" t="s">
        <v>6803</v>
      </c>
    </row>
    <row r="977" spans="1:12" x14ac:dyDescent="0.35">
      <c r="A977" t="s">
        <v>11</v>
      </c>
      <c r="B977" s="1">
        <v>45717</v>
      </c>
      <c r="C977" t="s">
        <v>7421</v>
      </c>
      <c r="E977" t="s">
        <v>1274</v>
      </c>
      <c r="F977" t="s">
        <v>7422</v>
      </c>
      <c r="H977" t="s">
        <v>1275</v>
      </c>
      <c r="J977">
        <v>3412000</v>
      </c>
      <c r="L977" t="s">
        <v>5889</v>
      </c>
    </row>
    <row r="978" spans="1:12" x14ac:dyDescent="0.35">
      <c r="A978" t="s">
        <v>11</v>
      </c>
      <c r="B978" s="1">
        <v>45717</v>
      </c>
      <c r="C978" t="s">
        <v>7423</v>
      </c>
      <c r="F978" t="s">
        <v>7338</v>
      </c>
      <c r="H978" t="s">
        <v>1276</v>
      </c>
      <c r="K978">
        <v>2821694</v>
      </c>
      <c r="L978" t="s">
        <v>6803</v>
      </c>
    </row>
    <row r="979" spans="1:12" x14ac:dyDescent="0.35">
      <c r="A979" t="s">
        <v>11</v>
      </c>
      <c r="B979" s="1">
        <v>45717</v>
      </c>
      <c r="C979" t="s">
        <v>7423</v>
      </c>
      <c r="F979" t="s">
        <v>7424</v>
      </c>
      <c r="H979" t="s">
        <v>1276</v>
      </c>
      <c r="J979">
        <v>2821694</v>
      </c>
      <c r="L979" t="s">
        <v>342</v>
      </c>
    </row>
    <row r="980" spans="1:12" x14ac:dyDescent="0.35">
      <c r="A980" t="s">
        <v>11</v>
      </c>
      <c r="B980" s="1">
        <v>45717</v>
      </c>
      <c r="C980" t="s">
        <v>7425</v>
      </c>
      <c r="E980" t="s">
        <v>1232</v>
      </c>
      <c r="F980" t="s">
        <v>7338</v>
      </c>
      <c r="H980" t="s">
        <v>1277</v>
      </c>
      <c r="K980">
        <v>21891568</v>
      </c>
      <c r="L980" t="s">
        <v>6803</v>
      </c>
    </row>
    <row r="981" spans="1:12" x14ac:dyDescent="0.35">
      <c r="A981" t="s">
        <v>11</v>
      </c>
      <c r="B981" s="1">
        <v>45717</v>
      </c>
      <c r="C981" t="s">
        <v>7425</v>
      </c>
      <c r="E981" t="s">
        <v>1232</v>
      </c>
      <c r="F981" t="s">
        <v>7426</v>
      </c>
      <c r="H981" t="s">
        <v>1277</v>
      </c>
      <c r="J981">
        <v>21891568</v>
      </c>
      <c r="L981" t="s">
        <v>5891</v>
      </c>
    </row>
    <row r="982" spans="1:12" x14ac:dyDescent="0.35">
      <c r="A982" t="s">
        <v>11</v>
      </c>
      <c r="B982" s="1">
        <v>45717</v>
      </c>
      <c r="C982" t="s">
        <v>7427</v>
      </c>
      <c r="E982" t="s">
        <v>1245</v>
      </c>
      <c r="F982" t="s">
        <v>7318</v>
      </c>
      <c r="G982" t="s">
        <v>7390</v>
      </c>
      <c r="H982" t="s">
        <v>1278</v>
      </c>
      <c r="K982">
        <v>1800000</v>
      </c>
      <c r="L982" t="s">
        <v>6803</v>
      </c>
    </row>
    <row r="983" spans="1:12" x14ac:dyDescent="0.35">
      <c r="A983" t="s">
        <v>11</v>
      </c>
      <c r="B983" s="1">
        <v>45717</v>
      </c>
      <c r="C983" t="s">
        <v>7427</v>
      </c>
      <c r="E983" t="s">
        <v>1245</v>
      </c>
      <c r="F983" t="s">
        <v>7391</v>
      </c>
      <c r="H983" t="s">
        <v>1278</v>
      </c>
      <c r="J983">
        <v>1800000</v>
      </c>
      <c r="L983" t="s">
        <v>5883</v>
      </c>
    </row>
    <row r="984" spans="1:12" x14ac:dyDescent="0.35">
      <c r="A984" t="s">
        <v>11</v>
      </c>
      <c r="B984" s="1">
        <v>45717</v>
      </c>
      <c r="C984" t="s">
        <v>7428</v>
      </c>
      <c r="F984" t="s">
        <v>7338</v>
      </c>
      <c r="H984" t="s">
        <v>1279</v>
      </c>
      <c r="K984">
        <v>2417280</v>
      </c>
      <c r="L984" t="s">
        <v>6803</v>
      </c>
    </row>
    <row r="985" spans="1:12" x14ac:dyDescent="0.35">
      <c r="A985" t="s">
        <v>11</v>
      </c>
      <c r="B985" s="1">
        <v>45717</v>
      </c>
      <c r="C985" t="s">
        <v>7428</v>
      </c>
      <c r="F985" t="s">
        <v>7429</v>
      </c>
      <c r="H985" t="s">
        <v>1279</v>
      </c>
      <c r="J985">
        <v>2417280</v>
      </c>
      <c r="L985" t="s">
        <v>10117</v>
      </c>
    </row>
    <row r="986" spans="1:12" x14ac:dyDescent="0.35">
      <c r="A986" t="s">
        <v>11</v>
      </c>
      <c r="B986" s="1">
        <v>45717</v>
      </c>
      <c r="C986" t="s">
        <v>7430</v>
      </c>
      <c r="E986" t="s">
        <v>1280</v>
      </c>
      <c r="F986" t="s">
        <v>7338</v>
      </c>
      <c r="H986" t="s">
        <v>1281</v>
      </c>
      <c r="K986">
        <v>521163</v>
      </c>
      <c r="L986" t="s">
        <v>6803</v>
      </c>
    </row>
    <row r="987" spans="1:12" x14ac:dyDescent="0.35">
      <c r="A987" t="s">
        <v>11</v>
      </c>
      <c r="B987" s="1">
        <v>45717</v>
      </c>
      <c r="C987" t="s">
        <v>7430</v>
      </c>
      <c r="E987" t="s">
        <v>1280</v>
      </c>
      <c r="F987" t="s">
        <v>7429</v>
      </c>
      <c r="H987" t="s">
        <v>1281</v>
      </c>
      <c r="J987">
        <v>521163</v>
      </c>
      <c r="L987" t="s">
        <v>5906</v>
      </c>
    </row>
    <row r="988" spans="1:12" x14ac:dyDescent="0.35">
      <c r="A988" t="s">
        <v>11</v>
      </c>
      <c r="B988" s="1">
        <v>45717</v>
      </c>
      <c r="C988" t="s">
        <v>7431</v>
      </c>
      <c r="E988" t="s">
        <v>1280</v>
      </c>
      <c r="F988" t="s">
        <v>7338</v>
      </c>
      <c r="H988" t="s">
        <v>1282</v>
      </c>
      <c r="K988">
        <v>1100</v>
      </c>
      <c r="L988" t="s">
        <v>6803</v>
      </c>
    </row>
    <row r="989" spans="1:12" x14ac:dyDescent="0.35">
      <c r="A989" t="s">
        <v>11</v>
      </c>
      <c r="B989" s="1">
        <v>45717</v>
      </c>
      <c r="C989" t="s">
        <v>7431</v>
      </c>
      <c r="E989" t="s">
        <v>1280</v>
      </c>
      <c r="F989" t="s">
        <v>7429</v>
      </c>
      <c r="H989" t="s">
        <v>1282</v>
      </c>
      <c r="J989">
        <v>1100</v>
      </c>
      <c r="L989" t="s">
        <v>5906</v>
      </c>
    </row>
    <row r="990" spans="1:12" x14ac:dyDescent="0.35">
      <c r="A990" t="s">
        <v>11</v>
      </c>
      <c r="B990" s="1">
        <v>45717</v>
      </c>
      <c r="C990" t="s">
        <v>7432</v>
      </c>
      <c r="E990" t="s">
        <v>1283</v>
      </c>
      <c r="F990" t="s">
        <v>7338</v>
      </c>
      <c r="H990" t="s">
        <v>1284</v>
      </c>
      <c r="K990">
        <v>11613443</v>
      </c>
      <c r="L990" t="s">
        <v>6803</v>
      </c>
    </row>
    <row r="991" spans="1:12" x14ac:dyDescent="0.35">
      <c r="A991" t="s">
        <v>11</v>
      </c>
      <c r="B991" s="1">
        <v>45717</v>
      </c>
      <c r="C991" t="s">
        <v>7432</v>
      </c>
      <c r="E991" t="s">
        <v>1283</v>
      </c>
      <c r="F991" t="s">
        <v>7429</v>
      </c>
      <c r="H991" t="s">
        <v>1284</v>
      </c>
      <c r="J991">
        <v>11613443</v>
      </c>
      <c r="L991" t="s">
        <v>5905</v>
      </c>
    </row>
    <row r="992" spans="1:12" x14ac:dyDescent="0.35">
      <c r="A992" t="s">
        <v>11</v>
      </c>
      <c r="B992" s="1">
        <v>45717</v>
      </c>
      <c r="C992" t="s">
        <v>7433</v>
      </c>
      <c r="F992" t="s">
        <v>7338</v>
      </c>
      <c r="H992" t="s">
        <v>1285</v>
      </c>
      <c r="K992">
        <v>454546</v>
      </c>
      <c r="L992" t="s">
        <v>6803</v>
      </c>
    </row>
    <row r="993" spans="1:12" x14ac:dyDescent="0.35">
      <c r="A993" t="s">
        <v>11</v>
      </c>
      <c r="B993" s="1">
        <v>45717</v>
      </c>
      <c r="C993" t="s">
        <v>7433</v>
      </c>
      <c r="F993" t="s">
        <v>7434</v>
      </c>
      <c r="H993" t="s">
        <v>1285</v>
      </c>
      <c r="J993">
        <v>454546</v>
      </c>
      <c r="L993" t="s">
        <v>5931</v>
      </c>
    </row>
    <row r="994" spans="1:12" x14ac:dyDescent="0.35">
      <c r="A994" t="s">
        <v>11</v>
      </c>
      <c r="B994" s="1">
        <v>45717</v>
      </c>
      <c r="C994" t="s">
        <v>7435</v>
      </c>
      <c r="E994" t="s">
        <v>1286</v>
      </c>
      <c r="F994" t="s">
        <v>7338</v>
      </c>
      <c r="H994" t="s">
        <v>1287</v>
      </c>
      <c r="K994">
        <v>1055000</v>
      </c>
      <c r="L994" t="s">
        <v>6803</v>
      </c>
    </row>
    <row r="995" spans="1:12" x14ac:dyDescent="0.35">
      <c r="A995" t="s">
        <v>11</v>
      </c>
      <c r="B995" s="1">
        <v>45717</v>
      </c>
      <c r="C995" t="s">
        <v>7435</v>
      </c>
      <c r="E995" t="s">
        <v>1286</v>
      </c>
      <c r="F995" t="s">
        <v>7339</v>
      </c>
      <c r="H995" t="s">
        <v>1287</v>
      </c>
      <c r="J995">
        <v>1055000</v>
      </c>
      <c r="L995" t="s">
        <v>5928</v>
      </c>
    </row>
    <row r="996" spans="1:12" x14ac:dyDescent="0.35">
      <c r="A996" t="s">
        <v>11</v>
      </c>
      <c r="B996" s="1">
        <v>45717</v>
      </c>
      <c r="C996" t="s">
        <v>7436</v>
      </c>
      <c r="E996" t="s">
        <v>1280</v>
      </c>
      <c r="F996" t="s">
        <v>7338</v>
      </c>
      <c r="H996" t="s">
        <v>1288</v>
      </c>
      <c r="K996">
        <v>483034</v>
      </c>
      <c r="L996" t="s">
        <v>6803</v>
      </c>
    </row>
    <row r="997" spans="1:12" x14ac:dyDescent="0.35">
      <c r="A997" t="s">
        <v>11</v>
      </c>
      <c r="B997" s="1">
        <v>45717</v>
      </c>
      <c r="C997" t="s">
        <v>7436</v>
      </c>
      <c r="E997" t="s">
        <v>1280</v>
      </c>
      <c r="F997" t="s">
        <v>7429</v>
      </c>
      <c r="H997" t="s">
        <v>1288</v>
      </c>
      <c r="J997">
        <v>483034</v>
      </c>
      <c r="L997" t="s">
        <v>5934</v>
      </c>
    </row>
    <row r="998" spans="1:12" x14ac:dyDescent="0.35">
      <c r="A998" t="s">
        <v>11</v>
      </c>
      <c r="B998" s="1">
        <v>45717</v>
      </c>
      <c r="C998" t="s">
        <v>7437</v>
      </c>
      <c r="E998" t="s">
        <v>1289</v>
      </c>
      <c r="F998" t="s">
        <v>7338</v>
      </c>
      <c r="H998" t="s">
        <v>1290</v>
      </c>
      <c r="K998">
        <v>101118</v>
      </c>
      <c r="L998" t="s">
        <v>6803</v>
      </c>
    </row>
    <row r="999" spans="1:12" x14ac:dyDescent="0.35">
      <c r="A999" t="s">
        <v>11</v>
      </c>
      <c r="B999" s="1">
        <v>45717</v>
      </c>
      <c r="C999" t="s">
        <v>7437</v>
      </c>
      <c r="E999" t="s">
        <v>1289</v>
      </c>
      <c r="F999" t="s">
        <v>7429</v>
      </c>
      <c r="H999" t="s">
        <v>1290</v>
      </c>
      <c r="J999">
        <v>101118</v>
      </c>
      <c r="L999" t="s">
        <v>5883</v>
      </c>
    </row>
    <row r="1000" spans="1:12" x14ac:dyDescent="0.35">
      <c r="A1000" t="s">
        <v>11</v>
      </c>
      <c r="B1000" s="1">
        <v>45717</v>
      </c>
      <c r="C1000" t="s">
        <v>7438</v>
      </c>
      <c r="F1000" t="s">
        <v>7338</v>
      </c>
      <c r="H1000" t="s">
        <v>1291</v>
      </c>
      <c r="J1000">
        <v>304719</v>
      </c>
      <c r="L1000" t="s">
        <v>6803</v>
      </c>
    </row>
    <row r="1001" spans="1:12" x14ac:dyDescent="0.35">
      <c r="A1001" t="s">
        <v>11</v>
      </c>
      <c r="B1001" s="1">
        <v>45717</v>
      </c>
      <c r="C1001" t="s">
        <v>7438</v>
      </c>
      <c r="F1001" t="s">
        <v>7426</v>
      </c>
      <c r="H1001" t="s">
        <v>1291</v>
      </c>
      <c r="K1001">
        <v>304719</v>
      </c>
      <c r="L1001" t="s">
        <v>5932</v>
      </c>
    </row>
    <row r="1002" spans="1:12" x14ac:dyDescent="0.35">
      <c r="A1002" t="s">
        <v>11</v>
      </c>
      <c r="B1002" s="1">
        <v>45717</v>
      </c>
      <c r="C1002" t="s">
        <v>7439</v>
      </c>
      <c r="F1002" t="s">
        <v>7338</v>
      </c>
      <c r="H1002" t="s">
        <v>1292</v>
      </c>
      <c r="J1002">
        <v>542066</v>
      </c>
      <c r="L1002" t="s">
        <v>6803</v>
      </c>
    </row>
    <row r="1003" spans="1:12" x14ac:dyDescent="0.35">
      <c r="A1003" t="s">
        <v>11</v>
      </c>
      <c r="B1003" s="1">
        <v>45717</v>
      </c>
      <c r="C1003" t="s">
        <v>7439</v>
      </c>
      <c r="F1003" t="s">
        <v>7426</v>
      </c>
      <c r="H1003" t="s">
        <v>1292</v>
      </c>
      <c r="K1003">
        <v>542066</v>
      </c>
      <c r="L1003" t="s">
        <v>5897</v>
      </c>
    </row>
    <row r="1004" spans="1:12" x14ac:dyDescent="0.35">
      <c r="A1004" t="s">
        <v>11</v>
      </c>
      <c r="B1004" s="1">
        <v>45717</v>
      </c>
      <c r="C1004" t="s">
        <v>7440</v>
      </c>
      <c r="F1004" t="s">
        <v>7338</v>
      </c>
      <c r="H1004" t="s">
        <v>1293</v>
      </c>
      <c r="J1004">
        <v>271147</v>
      </c>
      <c r="L1004" t="s">
        <v>6803</v>
      </c>
    </row>
    <row r="1005" spans="1:12" x14ac:dyDescent="0.35">
      <c r="A1005" t="s">
        <v>11</v>
      </c>
      <c r="B1005" s="1">
        <v>45717</v>
      </c>
      <c r="C1005" t="s">
        <v>7440</v>
      </c>
      <c r="F1005" t="s">
        <v>7426</v>
      </c>
      <c r="H1005" t="s">
        <v>1293</v>
      </c>
      <c r="K1005">
        <v>271147</v>
      </c>
      <c r="L1005" t="s">
        <v>5894</v>
      </c>
    </row>
    <row r="1006" spans="1:12" x14ac:dyDescent="0.35">
      <c r="A1006" t="s">
        <v>11</v>
      </c>
      <c r="B1006" s="1">
        <v>45717</v>
      </c>
      <c r="C1006" t="s">
        <v>7441</v>
      </c>
      <c r="F1006" t="s">
        <v>7338</v>
      </c>
      <c r="H1006" t="s">
        <v>1294</v>
      </c>
      <c r="J1006">
        <v>259330</v>
      </c>
      <c r="L1006" t="s">
        <v>6803</v>
      </c>
    </row>
    <row r="1007" spans="1:12" x14ac:dyDescent="0.35">
      <c r="A1007" t="s">
        <v>11</v>
      </c>
      <c r="B1007" s="1">
        <v>45717</v>
      </c>
      <c r="C1007" t="s">
        <v>7441</v>
      </c>
      <c r="F1007" t="s">
        <v>7426</v>
      </c>
      <c r="H1007" t="s">
        <v>1294</v>
      </c>
      <c r="K1007">
        <v>259330</v>
      </c>
      <c r="L1007" t="s">
        <v>5891</v>
      </c>
    </row>
    <row r="1008" spans="1:12" x14ac:dyDescent="0.35">
      <c r="A1008" t="s">
        <v>11</v>
      </c>
      <c r="B1008" s="1">
        <v>45717</v>
      </c>
      <c r="C1008" t="s">
        <v>7442</v>
      </c>
      <c r="F1008" t="s">
        <v>7338</v>
      </c>
      <c r="H1008" t="s">
        <v>1295</v>
      </c>
      <c r="J1008">
        <v>132764</v>
      </c>
      <c r="L1008" t="s">
        <v>6803</v>
      </c>
    </row>
    <row r="1009" spans="1:12" x14ac:dyDescent="0.35">
      <c r="A1009" t="s">
        <v>11</v>
      </c>
      <c r="B1009" s="1">
        <v>45717</v>
      </c>
      <c r="C1009" t="s">
        <v>7442</v>
      </c>
      <c r="F1009" t="s">
        <v>7426</v>
      </c>
      <c r="H1009" t="s">
        <v>1295</v>
      </c>
      <c r="K1009">
        <v>132764</v>
      </c>
      <c r="L1009" t="s">
        <v>5897</v>
      </c>
    </row>
    <row r="1010" spans="1:12" x14ac:dyDescent="0.35">
      <c r="A1010" t="s">
        <v>11</v>
      </c>
      <c r="B1010" s="1">
        <v>45718</v>
      </c>
      <c r="C1010" t="s">
        <v>7443</v>
      </c>
      <c r="E1010" t="s">
        <v>24</v>
      </c>
      <c r="F1010" t="s">
        <v>7318</v>
      </c>
      <c r="G1010" t="s">
        <v>7444</v>
      </c>
      <c r="H1010" t="s">
        <v>25</v>
      </c>
      <c r="K1010">
        <v>1461797</v>
      </c>
      <c r="L1010" t="s">
        <v>6803</v>
      </c>
    </row>
    <row r="1011" spans="1:12" x14ac:dyDescent="0.35">
      <c r="A1011" t="s">
        <v>11</v>
      </c>
      <c r="B1011" s="1">
        <v>45718</v>
      </c>
      <c r="C1011" t="s">
        <v>7443</v>
      </c>
      <c r="E1011" t="s">
        <v>24</v>
      </c>
      <c r="F1011" t="s">
        <v>7355</v>
      </c>
      <c r="H1011" t="s">
        <v>25</v>
      </c>
      <c r="J1011">
        <v>1461797</v>
      </c>
      <c r="L1011" t="s">
        <v>347</v>
      </c>
    </row>
    <row r="1012" spans="1:12" x14ac:dyDescent="0.35">
      <c r="A1012" t="s">
        <v>11</v>
      </c>
      <c r="B1012" s="1">
        <v>45718</v>
      </c>
      <c r="C1012" t="s">
        <v>7445</v>
      </c>
      <c r="E1012" t="s">
        <v>1296</v>
      </c>
      <c r="F1012" t="s">
        <v>7318</v>
      </c>
      <c r="G1012" t="s">
        <v>7446</v>
      </c>
      <c r="H1012" t="s">
        <v>1297</v>
      </c>
      <c r="K1012">
        <v>2691550</v>
      </c>
      <c r="L1012" t="s">
        <v>6803</v>
      </c>
    </row>
    <row r="1013" spans="1:12" x14ac:dyDescent="0.35">
      <c r="A1013" t="s">
        <v>11</v>
      </c>
      <c r="B1013" s="1">
        <v>45718</v>
      </c>
      <c r="C1013" t="s">
        <v>7445</v>
      </c>
      <c r="E1013" t="s">
        <v>1296</v>
      </c>
      <c r="F1013" t="s">
        <v>7447</v>
      </c>
      <c r="H1013" t="s">
        <v>1297</v>
      </c>
      <c r="J1013">
        <v>2691550</v>
      </c>
      <c r="L1013" t="s">
        <v>5903</v>
      </c>
    </row>
    <row r="1014" spans="1:12" x14ac:dyDescent="0.35">
      <c r="A1014" t="s">
        <v>11</v>
      </c>
      <c r="B1014" s="1">
        <v>45718</v>
      </c>
      <c r="C1014" t="s">
        <v>7448</v>
      </c>
      <c r="E1014" t="s">
        <v>1298</v>
      </c>
      <c r="F1014" t="s">
        <v>7449</v>
      </c>
      <c r="G1014" t="s">
        <v>1299</v>
      </c>
      <c r="H1014" t="s">
        <v>1300</v>
      </c>
      <c r="K1014">
        <v>18501542</v>
      </c>
      <c r="L1014" t="s">
        <v>6803</v>
      </c>
    </row>
    <row r="1015" spans="1:12" x14ac:dyDescent="0.35">
      <c r="A1015" t="s">
        <v>11</v>
      </c>
      <c r="B1015" s="1">
        <v>45718</v>
      </c>
      <c r="C1015" t="s">
        <v>7448</v>
      </c>
      <c r="E1015" t="s">
        <v>1298</v>
      </c>
      <c r="F1015" t="s">
        <v>7450</v>
      </c>
      <c r="H1015" t="s">
        <v>1300</v>
      </c>
      <c r="J1015">
        <v>18501542</v>
      </c>
      <c r="L1015" t="s">
        <v>5909</v>
      </c>
    </row>
    <row r="1016" spans="1:12" x14ac:dyDescent="0.35">
      <c r="A1016" t="s">
        <v>11</v>
      </c>
      <c r="B1016" s="1">
        <v>45731</v>
      </c>
      <c r="C1016" t="s">
        <v>7451</v>
      </c>
      <c r="E1016" t="s">
        <v>1301</v>
      </c>
      <c r="F1016" t="s">
        <v>7318</v>
      </c>
      <c r="G1016" t="s">
        <v>7452</v>
      </c>
      <c r="H1016" t="s">
        <v>1302</v>
      </c>
      <c r="K1016">
        <v>1604817</v>
      </c>
      <c r="L1016" t="s">
        <v>6803</v>
      </c>
    </row>
    <row r="1017" spans="1:12" x14ac:dyDescent="0.35">
      <c r="A1017" t="s">
        <v>11</v>
      </c>
      <c r="B1017" s="1">
        <v>45731</v>
      </c>
      <c r="C1017" t="s">
        <v>7451</v>
      </c>
      <c r="E1017" t="s">
        <v>1301</v>
      </c>
      <c r="F1017" t="s">
        <v>7453</v>
      </c>
      <c r="H1017" t="s">
        <v>1302</v>
      </c>
      <c r="J1017">
        <v>1604817</v>
      </c>
      <c r="L1017" t="s">
        <v>5937</v>
      </c>
    </row>
    <row r="1018" spans="1:12" x14ac:dyDescent="0.35">
      <c r="A1018" t="s">
        <v>11</v>
      </c>
      <c r="B1018" s="1">
        <v>45731</v>
      </c>
      <c r="C1018" t="s">
        <v>7454</v>
      </c>
      <c r="E1018" t="s">
        <v>1303</v>
      </c>
      <c r="F1018" t="s">
        <v>7318</v>
      </c>
      <c r="G1018" t="s">
        <v>7452</v>
      </c>
      <c r="H1018" t="s">
        <v>1304</v>
      </c>
      <c r="K1018">
        <v>363469</v>
      </c>
      <c r="L1018" t="s">
        <v>6803</v>
      </c>
    </row>
    <row r="1019" spans="1:12" x14ac:dyDescent="0.35">
      <c r="A1019" t="s">
        <v>11</v>
      </c>
      <c r="B1019" s="1">
        <v>45731</v>
      </c>
      <c r="C1019" t="s">
        <v>7454</v>
      </c>
      <c r="E1019" t="s">
        <v>1303</v>
      </c>
      <c r="F1019" t="s">
        <v>7453</v>
      </c>
      <c r="H1019" t="s">
        <v>1304</v>
      </c>
      <c r="J1019">
        <v>363469</v>
      </c>
      <c r="L1019" t="s">
        <v>5878</v>
      </c>
    </row>
    <row r="1020" spans="1:12" x14ac:dyDescent="0.35">
      <c r="A1020" t="s">
        <v>11</v>
      </c>
      <c r="B1020" s="1">
        <v>45731</v>
      </c>
      <c r="C1020" t="s">
        <v>7455</v>
      </c>
      <c r="E1020" t="s">
        <v>1305</v>
      </c>
      <c r="F1020" t="s">
        <v>7318</v>
      </c>
      <c r="G1020" t="s">
        <v>7452</v>
      </c>
      <c r="H1020" t="s">
        <v>1306</v>
      </c>
      <c r="K1020">
        <v>1066987</v>
      </c>
      <c r="L1020" t="s">
        <v>6803</v>
      </c>
    </row>
    <row r="1021" spans="1:12" x14ac:dyDescent="0.35">
      <c r="A1021" t="s">
        <v>11</v>
      </c>
      <c r="B1021" s="1">
        <v>45731</v>
      </c>
      <c r="C1021" t="s">
        <v>7455</v>
      </c>
      <c r="E1021" t="s">
        <v>1305</v>
      </c>
      <c r="F1021" t="s">
        <v>7453</v>
      </c>
      <c r="H1021" t="s">
        <v>1306</v>
      </c>
      <c r="J1021">
        <v>1066987</v>
      </c>
      <c r="L1021" t="s">
        <v>5879</v>
      </c>
    </row>
    <row r="1022" spans="1:12" x14ac:dyDescent="0.35">
      <c r="A1022" t="s">
        <v>11</v>
      </c>
      <c r="B1022" s="1">
        <v>45731</v>
      </c>
      <c r="C1022" t="s">
        <v>7456</v>
      </c>
      <c r="E1022" t="s">
        <v>1307</v>
      </c>
      <c r="F1022" t="s">
        <v>7318</v>
      </c>
      <c r="G1022" t="s">
        <v>7452</v>
      </c>
      <c r="H1022" t="s">
        <v>1308</v>
      </c>
      <c r="K1022">
        <v>288589</v>
      </c>
      <c r="L1022" t="s">
        <v>6803</v>
      </c>
    </row>
    <row r="1023" spans="1:12" x14ac:dyDescent="0.35">
      <c r="A1023" t="s">
        <v>11</v>
      </c>
      <c r="B1023" s="1">
        <v>45731</v>
      </c>
      <c r="C1023" t="s">
        <v>7456</v>
      </c>
      <c r="E1023" t="s">
        <v>1307</v>
      </c>
      <c r="F1023" t="s">
        <v>7453</v>
      </c>
      <c r="H1023" t="s">
        <v>1308</v>
      </c>
      <c r="J1023">
        <v>288589</v>
      </c>
      <c r="L1023" t="s">
        <v>5878</v>
      </c>
    </row>
    <row r="1024" spans="1:12" x14ac:dyDescent="0.35">
      <c r="A1024" t="s">
        <v>11</v>
      </c>
      <c r="B1024" s="1">
        <v>45731</v>
      </c>
      <c r="C1024" t="s">
        <v>7457</v>
      </c>
      <c r="E1024" t="s">
        <v>1309</v>
      </c>
      <c r="F1024" t="s">
        <v>7318</v>
      </c>
      <c r="G1024" t="s">
        <v>7452</v>
      </c>
      <c r="H1024" t="s">
        <v>1310</v>
      </c>
      <c r="K1024">
        <v>288589</v>
      </c>
      <c r="L1024" t="s">
        <v>6803</v>
      </c>
    </row>
    <row r="1025" spans="1:12" x14ac:dyDescent="0.35">
      <c r="A1025" t="s">
        <v>11</v>
      </c>
      <c r="B1025" s="1">
        <v>45731</v>
      </c>
      <c r="C1025" t="s">
        <v>7457</v>
      </c>
      <c r="E1025" t="s">
        <v>1309</v>
      </c>
      <c r="F1025" t="s">
        <v>7453</v>
      </c>
      <c r="H1025" t="s">
        <v>1310</v>
      </c>
      <c r="J1025">
        <v>288589</v>
      </c>
      <c r="L1025" t="s">
        <v>5873</v>
      </c>
    </row>
    <row r="1026" spans="1:12" x14ac:dyDescent="0.35">
      <c r="A1026" t="s">
        <v>11</v>
      </c>
      <c r="B1026" s="1">
        <v>45731</v>
      </c>
      <c r="C1026" t="s">
        <v>7458</v>
      </c>
      <c r="E1026" t="s">
        <v>1311</v>
      </c>
      <c r="F1026" t="s">
        <v>7318</v>
      </c>
      <c r="G1026" t="s">
        <v>7452</v>
      </c>
      <c r="H1026" t="s">
        <v>1312</v>
      </c>
      <c r="K1026">
        <v>288589</v>
      </c>
      <c r="L1026" t="s">
        <v>6803</v>
      </c>
    </row>
    <row r="1027" spans="1:12" x14ac:dyDescent="0.35">
      <c r="A1027" t="s">
        <v>11</v>
      </c>
      <c r="B1027" s="1">
        <v>45731</v>
      </c>
      <c r="C1027" t="s">
        <v>7458</v>
      </c>
      <c r="E1027" t="s">
        <v>1311</v>
      </c>
      <c r="F1027" t="s">
        <v>7453</v>
      </c>
      <c r="H1027" t="s">
        <v>1312</v>
      </c>
      <c r="J1027">
        <v>288589</v>
      </c>
      <c r="L1027" t="s">
        <v>5873</v>
      </c>
    </row>
    <row r="1028" spans="1:12" x14ac:dyDescent="0.35">
      <c r="A1028" t="s">
        <v>11</v>
      </c>
      <c r="B1028" s="1">
        <v>45731</v>
      </c>
      <c r="C1028" t="s">
        <v>7459</v>
      </c>
      <c r="E1028" t="s">
        <v>1313</v>
      </c>
      <c r="F1028" t="s">
        <v>7318</v>
      </c>
      <c r="G1028" t="s">
        <v>7452</v>
      </c>
      <c r="H1028" t="s">
        <v>1314</v>
      </c>
      <c r="K1028">
        <v>154409</v>
      </c>
      <c r="L1028" t="s">
        <v>6803</v>
      </c>
    </row>
    <row r="1029" spans="1:12" x14ac:dyDescent="0.35">
      <c r="A1029" t="s">
        <v>11</v>
      </c>
      <c r="B1029" s="1">
        <v>45731</v>
      </c>
      <c r="C1029" t="s">
        <v>7459</v>
      </c>
      <c r="E1029" t="s">
        <v>1313</v>
      </c>
      <c r="F1029" t="s">
        <v>7453</v>
      </c>
      <c r="H1029" t="s">
        <v>1314</v>
      </c>
      <c r="J1029">
        <v>154409</v>
      </c>
      <c r="L1029" t="s">
        <v>5877</v>
      </c>
    </row>
    <row r="1030" spans="1:12" x14ac:dyDescent="0.35">
      <c r="A1030" t="s">
        <v>11</v>
      </c>
      <c r="B1030" s="1">
        <v>45731</v>
      </c>
      <c r="C1030" t="s">
        <v>7460</v>
      </c>
      <c r="E1030" t="s">
        <v>1315</v>
      </c>
      <c r="F1030" t="s">
        <v>7318</v>
      </c>
      <c r="G1030" t="s">
        <v>7452</v>
      </c>
      <c r="H1030" t="s">
        <v>1316</v>
      </c>
      <c r="K1030">
        <v>154409</v>
      </c>
      <c r="L1030" t="s">
        <v>6803</v>
      </c>
    </row>
    <row r="1031" spans="1:12" x14ac:dyDescent="0.35">
      <c r="A1031" t="s">
        <v>11</v>
      </c>
      <c r="B1031" s="1">
        <v>45731</v>
      </c>
      <c r="C1031" t="s">
        <v>7460</v>
      </c>
      <c r="E1031" t="s">
        <v>1315</v>
      </c>
      <c r="F1031" t="s">
        <v>7453</v>
      </c>
      <c r="H1031" t="s">
        <v>1316</v>
      </c>
      <c r="J1031">
        <v>154409</v>
      </c>
      <c r="L1031" t="s">
        <v>5873</v>
      </c>
    </row>
    <row r="1032" spans="1:12" x14ac:dyDescent="0.35">
      <c r="A1032" t="s">
        <v>11</v>
      </c>
      <c r="B1032" s="1">
        <v>45731</v>
      </c>
      <c r="C1032" t="s">
        <v>7461</v>
      </c>
      <c r="E1032" t="s">
        <v>1317</v>
      </c>
      <c r="F1032" t="s">
        <v>7318</v>
      </c>
      <c r="G1032" t="s">
        <v>7452</v>
      </c>
      <c r="H1032" t="s">
        <v>1318</v>
      </c>
      <c r="K1032">
        <v>154409</v>
      </c>
      <c r="L1032" t="s">
        <v>6803</v>
      </c>
    </row>
    <row r="1033" spans="1:12" x14ac:dyDescent="0.35">
      <c r="A1033" t="s">
        <v>11</v>
      </c>
      <c r="B1033" s="1">
        <v>45731</v>
      </c>
      <c r="C1033" t="s">
        <v>7461</v>
      </c>
      <c r="E1033" t="s">
        <v>1317</v>
      </c>
      <c r="F1033" t="s">
        <v>7453</v>
      </c>
      <c r="H1033" t="s">
        <v>1318</v>
      </c>
      <c r="J1033">
        <v>154409</v>
      </c>
      <c r="L1033" t="s">
        <v>5878</v>
      </c>
    </row>
    <row r="1034" spans="1:12" x14ac:dyDescent="0.35">
      <c r="A1034" t="s">
        <v>11</v>
      </c>
      <c r="B1034" s="1">
        <v>45731</v>
      </c>
      <c r="C1034" t="s">
        <v>7462</v>
      </c>
      <c r="E1034" t="s">
        <v>1319</v>
      </c>
      <c r="F1034" t="s">
        <v>7318</v>
      </c>
      <c r="G1034" t="s">
        <v>7452</v>
      </c>
      <c r="H1034" t="s">
        <v>1320</v>
      </c>
      <c r="K1034">
        <v>362602</v>
      </c>
      <c r="L1034" t="s">
        <v>6803</v>
      </c>
    </row>
    <row r="1035" spans="1:12" x14ac:dyDescent="0.35">
      <c r="A1035" t="s">
        <v>11</v>
      </c>
      <c r="B1035" s="1">
        <v>45731</v>
      </c>
      <c r="C1035" t="s">
        <v>7462</v>
      </c>
      <c r="E1035" t="s">
        <v>1319</v>
      </c>
      <c r="F1035" t="s">
        <v>7453</v>
      </c>
      <c r="H1035" t="s">
        <v>1320</v>
      </c>
      <c r="J1035">
        <v>362602</v>
      </c>
      <c r="L1035" t="s">
        <v>5873</v>
      </c>
    </row>
    <row r="1036" spans="1:12" x14ac:dyDescent="0.35">
      <c r="A1036" t="s">
        <v>11</v>
      </c>
      <c r="B1036" s="1">
        <v>45731</v>
      </c>
      <c r="C1036" t="s">
        <v>7463</v>
      </c>
      <c r="E1036" t="s">
        <v>1321</v>
      </c>
      <c r="F1036" t="s">
        <v>7318</v>
      </c>
      <c r="G1036" t="s">
        <v>7464</v>
      </c>
      <c r="H1036" t="s">
        <v>1322</v>
      </c>
      <c r="K1036">
        <v>1239910</v>
      </c>
      <c r="L1036" t="s">
        <v>6803</v>
      </c>
    </row>
    <row r="1037" spans="1:12" x14ac:dyDescent="0.35">
      <c r="A1037" t="s">
        <v>11</v>
      </c>
      <c r="B1037" s="1">
        <v>45731</v>
      </c>
      <c r="C1037" t="s">
        <v>7463</v>
      </c>
      <c r="E1037" t="s">
        <v>1321</v>
      </c>
      <c r="F1037" t="s">
        <v>7453</v>
      </c>
      <c r="H1037" t="s">
        <v>1322</v>
      </c>
      <c r="J1037">
        <v>1239910</v>
      </c>
      <c r="L1037" t="s">
        <v>5938</v>
      </c>
    </row>
    <row r="1038" spans="1:12" x14ac:dyDescent="0.35">
      <c r="A1038" t="s">
        <v>11</v>
      </c>
      <c r="B1038" s="1">
        <v>45731</v>
      </c>
      <c r="C1038" t="s">
        <v>7465</v>
      </c>
      <c r="E1038" t="s">
        <v>1323</v>
      </c>
      <c r="F1038" t="s">
        <v>7318</v>
      </c>
      <c r="G1038" t="s">
        <v>7464</v>
      </c>
      <c r="H1038" t="s">
        <v>1324</v>
      </c>
      <c r="K1038">
        <v>916455</v>
      </c>
      <c r="L1038" t="s">
        <v>6803</v>
      </c>
    </row>
    <row r="1039" spans="1:12" x14ac:dyDescent="0.35">
      <c r="A1039" t="s">
        <v>11</v>
      </c>
      <c r="B1039" s="1">
        <v>45731</v>
      </c>
      <c r="C1039" t="s">
        <v>7465</v>
      </c>
      <c r="E1039" t="s">
        <v>1323</v>
      </c>
      <c r="F1039" t="s">
        <v>7453</v>
      </c>
      <c r="H1039" t="s">
        <v>1324</v>
      </c>
      <c r="J1039">
        <v>916455</v>
      </c>
      <c r="L1039" t="s">
        <v>5873</v>
      </c>
    </row>
    <row r="1040" spans="1:12" x14ac:dyDescent="0.35">
      <c r="A1040" t="s">
        <v>11</v>
      </c>
      <c r="B1040" s="1">
        <v>45731</v>
      </c>
      <c r="C1040" t="s">
        <v>7466</v>
      </c>
      <c r="E1040" t="s">
        <v>1325</v>
      </c>
      <c r="F1040" t="s">
        <v>7318</v>
      </c>
      <c r="G1040" t="s">
        <v>7464</v>
      </c>
      <c r="H1040" t="s">
        <v>1326</v>
      </c>
      <c r="K1040">
        <v>970364</v>
      </c>
      <c r="L1040" t="s">
        <v>6803</v>
      </c>
    </row>
    <row r="1041" spans="1:12" x14ac:dyDescent="0.35">
      <c r="A1041" t="s">
        <v>11</v>
      </c>
      <c r="B1041" s="1">
        <v>45731</v>
      </c>
      <c r="C1041" t="s">
        <v>7466</v>
      </c>
      <c r="E1041" t="s">
        <v>1325</v>
      </c>
      <c r="F1041" t="s">
        <v>7453</v>
      </c>
      <c r="H1041" t="s">
        <v>1326</v>
      </c>
      <c r="J1041">
        <v>970364</v>
      </c>
      <c r="L1041" t="s">
        <v>5939</v>
      </c>
    </row>
    <row r="1042" spans="1:12" x14ac:dyDescent="0.35">
      <c r="A1042" t="s">
        <v>11</v>
      </c>
      <c r="B1042" s="1">
        <v>45731</v>
      </c>
      <c r="C1042" t="s">
        <v>7467</v>
      </c>
      <c r="E1042" t="s">
        <v>1327</v>
      </c>
      <c r="F1042" t="s">
        <v>7318</v>
      </c>
      <c r="G1042" t="s">
        <v>7464</v>
      </c>
      <c r="H1042" t="s">
        <v>1328</v>
      </c>
      <c r="K1042">
        <v>2746670</v>
      </c>
      <c r="L1042" t="s">
        <v>6803</v>
      </c>
    </row>
    <row r="1043" spans="1:12" x14ac:dyDescent="0.35">
      <c r="A1043" t="s">
        <v>11</v>
      </c>
      <c r="B1043" s="1">
        <v>45731</v>
      </c>
      <c r="C1043" t="s">
        <v>7467</v>
      </c>
      <c r="E1043" t="s">
        <v>1327</v>
      </c>
      <c r="F1043" t="s">
        <v>7453</v>
      </c>
      <c r="H1043" t="s">
        <v>1328</v>
      </c>
      <c r="J1043">
        <v>2746670</v>
      </c>
      <c r="L1043" t="s">
        <v>5878</v>
      </c>
    </row>
    <row r="1044" spans="1:12" x14ac:dyDescent="0.35">
      <c r="A1044" t="s">
        <v>11</v>
      </c>
      <c r="B1044" s="1">
        <v>45731</v>
      </c>
      <c r="C1044" t="s">
        <v>7468</v>
      </c>
      <c r="E1044" t="s">
        <v>1329</v>
      </c>
      <c r="F1044" t="s">
        <v>7318</v>
      </c>
      <c r="G1044" t="s">
        <v>7464</v>
      </c>
      <c r="H1044" t="s">
        <v>1330</v>
      </c>
      <c r="K1044">
        <v>2071868</v>
      </c>
      <c r="L1044" t="s">
        <v>6803</v>
      </c>
    </row>
    <row r="1045" spans="1:12" x14ac:dyDescent="0.35">
      <c r="A1045" t="s">
        <v>11</v>
      </c>
      <c r="B1045" s="1">
        <v>45731</v>
      </c>
      <c r="C1045" t="s">
        <v>7468</v>
      </c>
      <c r="E1045" t="s">
        <v>1329</v>
      </c>
      <c r="F1045" t="s">
        <v>7469</v>
      </c>
      <c r="H1045" t="s">
        <v>1330</v>
      </c>
      <c r="J1045">
        <v>2071868</v>
      </c>
      <c r="L1045" t="s">
        <v>5940</v>
      </c>
    </row>
    <row r="1046" spans="1:12" x14ac:dyDescent="0.35">
      <c r="A1046" t="s">
        <v>11</v>
      </c>
      <c r="B1046" s="1">
        <v>45731</v>
      </c>
      <c r="C1046" t="s">
        <v>7470</v>
      </c>
      <c r="E1046" t="s">
        <v>1331</v>
      </c>
      <c r="F1046" t="s">
        <v>7318</v>
      </c>
      <c r="G1046" t="s">
        <v>7464</v>
      </c>
      <c r="H1046" t="s">
        <v>1332</v>
      </c>
      <c r="K1046">
        <v>4143735</v>
      </c>
      <c r="L1046" t="s">
        <v>6803</v>
      </c>
    </row>
    <row r="1047" spans="1:12" x14ac:dyDescent="0.35">
      <c r="A1047" t="s">
        <v>11</v>
      </c>
      <c r="B1047" s="1">
        <v>45731</v>
      </c>
      <c r="C1047" t="s">
        <v>7470</v>
      </c>
      <c r="E1047" t="s">
        <v>1331</v>
      </c>
      <c r="F1047" t="s">
        <v>7469</v>
      </c>
      <c r="H1047" t="s">
        <v>1332</v>
      </c>
      <c r="J1047">
        <v>4143735</v>
      </c>
      <c r="L1047" t="s">
        <v>5940</v>
      </c>
    </row>
    <row r="1048" spans="1:12" x14ac:dyDescent="0.35">
      <c r="A1048" t="s">
        <v>11</v>
      </c>
      <c r="B1048" s="1">
        <v>45731</v>
      </c>
      <c r="C1048" t="s">
        <v>7471</v>
      </c>
      <c r="E1048" t="s">
        <v>1333</v>
      </c>
      <c r="F1048" t="s">
        <v>7318</v>
      </c>
      <c r="G1048" t="s">
        <v>7464</v>
      </c>
      <c r="H1048" t="s">
        <v>1334</v>
      </c>
      <c r="K1048">
        <v>4143735</v>
      </c>
      <c r="L1048" t="s">
        <v>6803</v>
      </c>
    </row>
    <row r="1049" spans="1:12" x14ac:dyDescent="0.35">
      <c r="A1049" t="s">
        <v>11</v>
      </c>
      <c r="B1049" s="1">
        <v>45731</v>
      </c>
      <c r="C1049" t="s">
        <v>7471</v>
      </c>
      <c r="E1049" t="s">
        <v>1333</v>
      </c>
      <c r="F1049" t="s">
        <v>7469</v>
      </c>
      <c r="H1049" t="s">
        <v>1334</v>
      </c>
      <c r="J1049">
        <v>4143735</v>
      </c>
      <c r="L1049" t="s">
        <v>5940</v>
      </c>
    </row>
    <row r="1050" spans="1:12" x14ac:dyDescent="0.35">
      <c r="A1050" t="s">
        <v>11</v>
      </c>
      <c r="B1050" s="1">
        <v>45731</v>
      </c>
      <c r="C1050" t="s">
        <v>7472</v>
      </c>
      <c r="E1050" t="s">
        <v>1335</v>
      </c>
      <c r="F1050" t="s">
        <v>7318</v>
      </c>
      <c r="G1050" t="s">
        <v>7464</v>
      </c>
      <c r="H1050" t="s">
        <v>1336</v>
      </c>
      <c r="K1050">
        <v>2071868</v>
      </c>
      <c r="L1050" t="s">
        <v>6803</v>
      </c>
    </row>
    <row r="1051" spans="1:12" x14ac:dyDescent="0.35">
      <c r="A1051" t="s">
        <v>11</v>
      </c>
      <c r="B1051" s="1">
        <v>45731</v>
      </c>
      <c r="C1051" t="s">
        <v>7472</v>
      </c>
      <c r="E1051" t="s">
        <v>1335</v>
      </c>
      <c r="F1051" t="s">
        <v>7469</v>
      </c>
      <c r="H1051" t="s">
        <v>1336</v>
      </c>
      <c r="J1051">
        <v>2071868</v>
      </c>
      <c r="L1051" t="s">
        <v>5940</v>
      </c>
    </row>
    <row r="1052" spans="1:12" x14ac:dyDescent="0.35">
      <c r="A1052" t="s">
        <v>11</v>
      </c>
      <c r="B1052" s="1">
        <v>45731</v>
      </c>
      <c r="C1052" t="s">
        <v>7473</v>
      </c>
      <c r="E1052" t="s">
        <v>1337</v>
      </c>
      <c r="F1052" t="s">
        <v>7318</v>
      </c>
      <c r="G1052" t="s">
        <v>7464</v>
      </c>
      <c r="H1052" t="s">
        <v>1338</v>
      </c>
      <c r="K1052">
        <v>1272255</v>
      </c>
      <c r="L1052" t="s">
        <v>6803</v>
      </c>
    </row>
    <row r="1053" spans="1:12" x14ac:dyDescent="0.35">
      <c r="A1053" t="s">
        <v>11</v>
      </c>
      <c r="B1053" s="1">
        <v>45731</v>
      </c>
      <c r="C1053" t="s">
        <v>7473</v>
      </c>
      <c r="E1053" t="s">
        <v>1337</v>
      </c>
      <c r="F1053" t="s">
        <v>7453</v>
      </c>
      <c r="H1053" t="s">
        <v>1338</v>
      </c>
      <c r="J1053">
        <v>1272255</v>
      </c>
      <c r="L1053" t="s">
        <v>5941</v>
      </c>
    </row>
    <row r="1054" spans="1:12" x14ac:dyDescent="0.35">
      <c r="A1054" t="s">
        <v>11</v>
      </c>
      <c r="B1054" s="1">
        <v>45731</v>
      </c>
      <c r="C1054" t="s">
        <v>7474</v>
      </c>
      <c r="E1054" t="s">
        <v>1339</v>
      </c>
      <c r="F1054" t="s">
        <v>7318</v>
      </c>
      <c r="G1054" t="s">
        <v>7464</v>
      </c>
      <c r="H1054" t="s">
        <v>1340</v>
      </c>
      <c r="K1054">
        <v>741250</v>
      </c>
      <c r="L1054" t="s">
        <v>6803</v>
      </c>
    </row>
    <row r="1055" spans="1:12" x14ac:dyDescent="0.35">
      <c r="A1055" t="s">
        <v>11</v>
      </c>
      <c r="B1055" s="1">
        <v>45731</v>
      </c>
      <c r="C1055" t="s">
        <v>7474</v>
      </c>
      <c r="E1055" t="s">
        <v>1339</v>
      </c>
      <c r="F1055" t="s">
        <v>7453</v>
      </c>
      <c r="H1055" t="s">
        <v>1340</v>
      </c>
      <c r="J1055">
        <v>741250</v>
      </c>
      <c r="L1055" t="s">
        <v>5873</v>
      </c>
    </row>
    <row r="1056" spans="1:12" x14ac:dyDescent="0.35">
      <c r="A1056" t="s">
        <v>11</v>
      </c>
      <c r="B1056" s="1">
        <v>45731</v>
      </c>
      <c r="C1056" t="s">
        <v>7475</v>
      </c>
      <c r="E1056" t="s">
        <v>1341</v>
      </c>
      <c r="F1056" t="s">
        <v>7318</v>
      </c>
      <c r="G1056" t="s">
        <v>7464</v>
      </c>
      <c r="H1056" t="s">
        <v>1342</v>
      </c>
      <c r="K1056">
        <v>633432</v>
      </c>
      <c r="L1056" t="s">
        <v>6803</v>
      </c>
    </row>
    <row r="1057" spans="1:12" x14ac:dyDescent="0.35">
      <c r="A1057" t="s">
        <v>11</v>
      </c>
      <c r="B1057" s="1">
        <v>45731</v>
      </c>
      <c r="C1057" t="s">
        <v>7475</v>
      </c>
      <c r="E1057" t="s">
        <v>1341</v>
      </c>
      <c r="F1057" t="s">
        <v>7453</v>
      </c>
      <c r="H1057" t="s">
        <v>1342</v>
      </c>
      <c r="J1057">
        <v>633432</v>
      </c>
      <c r="L1057" t="s">
        <v>5932</v>
      </c>
    </row>
    <row r="1058" spans="1:12" x14ac:dyDescent="0.35">
      <c r="A1058" t="s">
        <v>11</v>
      </c>
      <c r="B1058" s="1">
        <v>45731</v>
      </c>
      <c r="C1058" t="s">
        <v>7476</v>
      </c>
      <c r="E1058" t="s">
        <v>1343</v>
      </c>
      <c r="F1058" t="s">
        <v>7318</v>
      </c>
      <c r="G1058" t="s">
        <v>7464</v>
      </c>
      <c r="H1058" t="s">
        <v>1344</v>
      </c>
      <c r="K1058">
        <v>606478</v>
      </c>
      <c r="L1058" t="s">
        <v>6803</v>
      </c>
    </row>
    <row r="1059" spans="1:12" x14ac:dyDescent="0.35">
      <c r="A1059" t="s">
        <v>11</v>
      </c>
      <c r="B1059" s="1">
        <v>45731</v>
      </c>
      <c r="C1059" t="s">
        <v>7476</v>
      </c>
      <c r="E1059" t="s">
        <v>1343</v>
      </c>
      <c r="F1059" t="s">
        <v>7453</v>
      </c>
      <c r="H1059" t="s">
        <v>1344</v>
      </c>
      <c r="J1059">
        <v>606478</v>
      </c>
      <c r="L1059" t="s">
        <v>5873</v>
      </c>
    </row>
    <row r="1060" spans="1:12" x14ac:dyDescent="0.35">
      <c r="A1060" t="s">
        <v>11</v>
      </c>
      <c r="B1060" s="1">
        <v>45731</v>
      </c>
      <c r="C1060" t="s">
        <v>7477</v>
      </c>
      <c r="E1060" t="s">
        <v>1345</v>
      </c>
      <c r="F1060" t="s">
        <v>7318</v>
      </c>
      <c r="G1060" t="s">
        <v>7464</v>
      </c>
      <c r="H1060" t="s">
        <v>1346</v>
      </c>
      <c r="K1060">
        <v>1132091</v>
      </c>
      <c r="L1060" t="s">
        <v>6803</v>
      </c>
    </row>
    <row r="1061" spans="1:12" x14ac:dyDescent="0.35">
      <c r="A1061" t="s">
        <v>11</v>
      </c>
      <c r="B1061" s="1">
        <v>45731</v>
      </c>
      <c r="C1061" t="s">
        <v>7477</v>
      </c>
      <c r="E1061" t="s">
        <v>1345</v>
      </c>
      <c r="F1061" t="s">
        <v>7453</v>
      </c>
      <c r="H1061" t="s">
        <v>1346</v>
      </c>
      <c r="J1061">
        <v>1132091</v>
      </c>
      <c r="L1061" t="s">
        <v>5877</v>
      </c>
    </row>
    <row r="1062" spans="1:12" x14ac:dyDescent="0.35">
      <c r="A1062" t="s">
        <v>11</v>
      </c>
      <c r="B1062" s="1">
        <v>45731</v>
      </c>
      <c r="C1062" t="s">
        <v>7478</v>
      </c>
      <c r="E1062" t="s">
        <v>1347</v>
      </c>
      <c r="F1062" t="s">
        <v>7318</v>
      </c>
      <c r="G1062" t="s">
        <v>7464</v>
      </c>
      <c r="H1062" t="s">
        <v>1348</v>
      </c>
      <c r="K1062">
        <v>2946650</v>
      </c>
      <c r="L1062" t="s">
        <v>6803</v>
      </c>
    </row>
    <row r="1063" spans="1:12" x14ac:dyDescent="0.35">
      <c r="A1063" t="s">
        <v>11</v>
      </c>
      <c r="B1063" s="1">
        <v>45731</v>
      </c>
      <c r="C1063" t="s">
        <v>7478</v>
      </c>
      <c r="E1063" t="s">
        <v>1347</v>
      </c>
      <c r="F1063" t="s">
        <v>7469</v>
      </c>
      <c r="H1063" t="s">
        <v>1348</v>
      </c>
      <c r="J1063">
        <v>2946650</v>
      </c>
      <c r="L1063" t="s">
        <v>5942</v>
      </c>
    </row>
    <row r="1064" spans="1:12" x14ac:dyDescent="0.35">
      <c r="A1064" t="s">
        <v>11</v>
      </c>
      <c r="B1064" s="1">
        <v>45731</v>
      </c>
      <c r="C1064" t="s">
        <v>7479</v>
      </c>
      <c r="E1064" t="s">
        <v>1349</v>
      </c>
      <c r="F1064" t="s">
        <v>7318</v>
      </c>
      <c r="G1064" t="s">
        <v>7464</v>
      </c>
      <c r="H1064" t="s">
        <v>1350</v>
      </c>
      <c r="K1064">
        <v>2946650</v>
      </c>
      <c r="L1064" t="s">
        <v>6803</v>
      </c>
    </row>
    <row r="1065" spans="1:12" x14ac:dyDescent="0.35">
      <c r="A1065" t="s">
        <v>11</v>
      </c>
      <c r="B1065" s="1">
        <v>45731</v>
      </c>
      <c r="C1065" t="s">
        <v>7479</v>
      </c>
      <c r="E1065" t="s">
        <v>1349</v>
      </c>
      <c r="F1065" t="s">
        <v>7469</v>
      </c>
      <c r="H1065" t="s">
        <v>1350</v>
      </c>
      <c r="J1065">
        <v>2946650</v>
      </c>
      <c r="L1065" t="s">
        <v>5942</v>
      </c>
    </row>
    <row r="1066" spans="1:12" x14ac:dyDescent="0.35">
      <c r="A1066" t="s">
        <v>11</v>
      </c>
      <c r="B1066" s="1">
        <v>45731</v>
      </c>
      <c r="C1066" t="s">
        <v>7480</v>
      </c>
      <c r="E1066" t="s">
        <v>1351</v>
      </c>
      <c r="F1066" t="s">
        <v>7318</v>
      </c>
      <c r="G1066" t="s">
        <v>7464</v>
      </c>
      <c r="H1066" t="s">
        <v>1352</v>
      </c>
      <c r="K1066">
        <v>3928866</v>
      </c>
      <c r="L1066" t="s">
        <v>6803</v>
      </c>
    </row>
    <row r="1067" spans="1:12" x14ac:dyDescent="0.35">
      <c r="A1067" t="s">
        <v>11</v>
      </c>
      <c r="B1067" s="1">
        <v>45731</v>
      </c>
      <c r="C1067" t="s">
        <v>7480</v>
      </c>
      <c r="E1067" t="s">
        <v>1351</v>
      </c>
      <c r="F1067" t="s">
        <v>7469</v>
      </c>
      <c r="H1067" t="s">
        <v>1352</v>
      </c>
      <c r="J1067">
        <v>3928866</v>
      </c>
      <c r="L1067" t="s">
        <v>5942</v>
      </c>
    </row>
    <row r="1068" spans="1:12" x14ac:dyDescent="0.35">
      <c r="A1068" t="s">
        <v>11</v>
      </c>
      <c r="B1068" s="1">
        <v>45746</v>
      </c>
      <c r="C1068" t="s">
        <v>7481</v>
      </c>
      <c r="E1068" t="s">
        <v>1353</v>
      </c>
      <c r="F1068" t="s">
        <v>7318</v>
      </c>
      <c r="G1068" t="s">
        <v>1354</v>
      </c>
      <c r="H1068" t="s">
        <v>1355</v>
      </c>
      <c r="K1068">
        <v>3137491</v>
      </c>
      <c r="L1068" t="s">
        <v>6803</v>
      </c>
    </row>
    <row r="1069" spans="1:12" x14ac:dyDescent="0.35">
      <c r="A1069" t="s">
        <v>11</v>
      </c>
      <c r="B1069" s="1">
        <v>45746</v>
      </c>
      <c r="C1069" t="s">
        <v>7481</v>
      </c>
      <c r="E1069" t="s">
        <v>1353</v>
      </c>
      <c r="F1069" t="s">
        <v>7469</v>
      </c>
      <c r="H1069" t="s">
        <v>1355</v>
      </c>
      <c r="J1069">
        <v>3137491</v>
      </c>
      <c r="L1069" t="s">
        <v>5928</v>
      </c>
    </row>
    <row r="1070" spans="1:12" x14ac:dyDescent="0.35">
      <c r="A1070" t="s">
        <v>11</v>
      </c>
      <c r="B1070" s="1">
        <v>45746</v>
      </c>
      <c r="C1070" t="s">
        <v>7482</v>
      </c>
      <c r="E1070" t="s">
        <v>1356</v>
      </c>
      <c r="F1070" t="s">
        <v>7318</v>
      </c>
      <c r="G1070" t="s">
        <v>1354</v>
      </c>
      <c r="H1070" t="s">
        <v>1357</v>
      </c>
      <c r="K1070">
        <v>844097</v>
      </c>
      <c r="L1070" t="s">
        <v>6803</v>
      </c>
    </row>
    <row r="1071" spans="1:12" x14ac:dyDescent="0.35">
      <c r="A1071" t="s">
        <v>11</v>
      </c>
      <c r="B1071" s="1">
        <v>45746</v>
      </c>
      <c r="C1071" t="s">
        <v>7482</v>
      </c>
      <c r="E1071" t="s">
        <v>1356</v>
      </c>
      <c r="F1071" t="s">
        <v>7469</v>
      </c>
      <c r="H1071" t="s">
        <v>1357</v>
      </c>
      <c r="J1071">
        <v>844097</v>
      </c>
      <c r="L1071" t="s">
        <v>5928</v>
      </c>
    </row>
    <row r="1072" spans="1:12" x14ac:dyDescent="0.35">
      <c r="A1072" t="s">
        <v>26</v>
      </c>
      <c r="B1072" s="1">
        <v>45717</v>
      </c>
      <c r="C1072" t="s">
        <v>7483</v>
      </c>
      <c r="D1072" t="s">
        <v>1358</v>
      </c>
      <c r="E1072" t="s">
        <v>1359</v>
      </c>
      <c r="F1072" t="s">
        <v>6804</v>
      </c>
      <c r="G1072" t="s">
        <v>7484</v>
      </c>
      <c r="H1072" t="s">
        <v>1360</v>
      </c>
      <c r="I1072" s="1">
        <v>45717</v>
      </c>
      <c r="K1072">
        <v>-19925</v>
      </c>
      <c r="L1072" t="s">
        <v>6803</v>
      </c>
    </row>
    <row r="1073" spans="1:12" x14ac:dyDescent="0.35">
      <c r="A1073" t="s">
        <v>26</v>
      </c>
      <c r="B1073" s="1">
        <v>45717</v>
      </c>
      <c r="C1073" t="s">
        <v>7483</v>
      </c>
      <c r="D1073" t="s">
        <v>1358</v>
      </c>
      <c r="E1073" t="s">
        <v>1359</v>
      </c>
      <c r="F1073" t="s">
        <v>7426</v>
      </c>
      <c r="H1073" t="s">
        <v>1360</v>
      </c>
      <c r="J1073">
        <v>-19925</v>
      </c>
      <c r="L1073" t="s">
        <v>5898</v>
      </c>
    </row>
    <row r="1074" spans="1:12" x14ac:dyDescent="0.35">
      <c r="A1074" t="s">
        <v>26</v>
      </c>
      <c r="B1074" s="1">
        <v>45717</v>
      </c>
      <c r="C1074" t="s">
        <v>7485</v>
      </c>
      <c r="D1074" t="s">
        <v>1361</v>
      </c>
      <c r="E1074" t="s">
        <v>1362</v>
      </c>
      <c r="F1074" t="s">
        <v>6804</v>
      </c>
      <c r="G1074" t="s">
        <v>7484</v>
      </c>
      <c r="H1074" t="s">
        <v>1363</v>
      </c>
      <c r="I1074" s="1">
        <v>45717</v>
      </c>
      <c r="K1074">
        <v>2000</v>
      </c>
      <c r="L1074" t="s">
        <v>6803</v>
      </c>
    </row>
    <row r="1075" spans="1:12" x14ac:dyDescent="0.35">
      <c r="A1075" t="s">
        <v>26</v>
      </c>
      <c r="B1075" s="1">
        <v>45717</v>
      </c>
      <c r="C1075" t="s">
        <v>7485</v>
      </c>
      <c r="D1075" t="s">
        <v>1361</v>
      </c>
      <c r="E1075" t="s">
        <v>1362</v>
      </c>
      <c r="F1075" t="s">
        <v>7426</v>
      </c>
      <c r="H1075" t="s">
        <v>1363</v>
      </c>
      <c r="J1075">
        <v>2000</v>
      </c>
      <c r="L1075" t="s">
        <v>5893</v>
      </c>
    </row>
    <row r="1076" spans="1:12" x14ac:dyDescent="0.35">
      <c r="A1076" t="s">
        <v>26</v>
      </c>
      <c r="B1076" s="1">
        <v>45717</v>
      </c>
      <c r="C1076" t="s">
        <v>7486</v>
      </c>
      <c r="D1076" t="s">
        <v>1364</v>
      </c>
      <c r="E1076" t="s">
        <v>7487</v>
      </c>
      <c r="F1076" t="s">
        <v>6804</v>
      </c>
      <c r="G1076" t="s">
        <v>1365</v>
      </c>
      <c r="H1076" t="s">
        <v>1366</v>
      </c>
      <c r="I1076" s="1">
        <v>45719</v>
      </c>
      <c r="K1076">
        <v>1092500</v>
      </c>
      <c r="L1076" t="s">
        <v>6803</v>
      </c>
    </row>
    <row r="1077" spans="1:12" x14ac:dyDescent="0.35">
      <c r="A1077" t="s">
        <v>26</v>
      </c>
      <c r="B1077" s="1">
        <v>45717</v>
      </c>
      <c r="C1077" t="s">
        <v>7486</v>
      </c>
      <c r="D1077" t="s">
        <v>1364</v>
      </c>
      <c r="E1077" t="s">
        <v>7487</v>
      </c>
      <c r="F1077" t="s">
        <v>7488</v>
      </c>
      <c r="H1077" t="s">
        <v>1366</v>
      </c>
      <c r="J1077">
        <v>1092500</v>
      </c>
      <c r="L1077" t="s">
        <v>5943</v>
      </c>
    </row>
    <row r="1078" spans="1:12" x14ac:dyDescent="0.35">
      <c r="A1078" t="s">
        <v>26</v>
      </c>
      <c r="B1078" s="1">
        <v>45717</v>
      </c>
      <c r="C1078" t="s">
        <v>7489</v>
      </c>
      <c r="D1078" t="s">
        <v>1367</v>
      </c>
      <c r="E1078" t="s">
        <v>7490</v>
      </c>
      <c r="F1078" t="s">
        <v>6804</v>
      </c>
      <c r="G1078" t="s">
        <v>1368</v>
      </c>
      <c r="H1078" t="s">
        <v>1369</v>
      </c>
      <c r="I1078" s="1">
        <v>45717</v>
      </c>
      <c r="K1078">
        <v>1045000</v>
      </c>
      <c r="L1078" t="s">
        <v>6803</v>
      </c>
    </row>
    <row r="1079" spans="1:12" x14ac:dyDescent="0.35">
      <c r="A1079" t="s">
        <v>26</v>
      </c>
      <c r="B1079" s="1">
        <v>45717</v>
      </c>
      <c r="C1079" t="s">
        <v>7489</v>
      </c>
      <c r="D1079" t="s">
        <v>1367</v>
      </c>
      <c r="E1079" t="s">
        <v>7490</v>
      </c>
      <c r="F1079" t="s">
        <v>7488</v>
      </c>
      <c r="H1079" t="s">
        <v>1369</v>
      </c>
      <c r="J1079">
        <v>1045000</v>
      </c>
      <c r="L1079" t="s">
        <v>5943</v>
      </c>
    </row>
    <row r="1080" spans="1:12" x14ac:dyDescent="0.35">
      <c r="A1080" t="s">
        <v>26</v>
      </c>
      <c r="B1080" s="1">
        <v>45717</v>
      </c>
      <c r="C1080" t="s">
        <v>7491</v>
      </c>
      <c r="D1080" t="s">
        <v>1370</v>
      </c>
      <c r="E1080" t="s">
        <v>7492</v>
      </c>
      <c r="F1080" t="s">
        <v>6804</v>
      </c>
      <c r="G1080" t="s">
        <v>1368</v>
      </c>
      <c r="H1080" t="s">
        <v>1369</v>
      </c>
      <c r="I1080" s="1">
        <v>45717</v>
      </c>
      <c r="K1080">
        <v>1045000</v>
      </c>
      <c r="L1080" t="s">
        <v>6803</v>
      </c>
    </row>
    <row r="1081" spans="1:12" x14ac:dyDescent="0.35">
      <c r="A1081" t="s">
        <v>26</v>
      </c>
      <c r="B1081" s="1">
        <v>45717</v>
      </c>
      <c r="C1081" t="s">
        <v>7491</v>
      </c>
      <c r="D1081" t="s">
        <v>1370</v>
      </c>
      <c r="E1081" t="s">
        <v>7492</v>
      </c>
      <c r="F1081" t="s">
        <v>7488</v>
      </c>
      <c r="H1081" t="s">
        <v>1369</v>
      </c>
      <c r="J1081">
        <v>1045000</v>
      </c>
      <c r="L1081" t="s">
        <v>5943</v>
      </c>
    </row>
    <row r="1082" spans="1:12" x14ac:dyDescent="0.35">
      <c r="A1082" t="s">
        <v>26</v>
      </c>
      <c r="B1082" s="1">
        <v>45717</v>
      </c>
      <c r="C1082" t="s">
        <v>7493</v>
      </c>
      <c r="D1082" t="s">
        <v>1371</v>
      </c>
      <c r="E1082" t="s">
        <v>7494</v>
      </c>
      <c r="F1082" t="s">
        <v>6804</v>
      </c>
      <c r="G1082" t="s">
        <v>1368</v>
      </c>
      <c r="H1082" t="s">
        <v>1369</v>
      </c>
      <c r="I1082" s="1">
        <v>45717</v>
      </c>
      <c r="K1082">
        <v>1045000</v>
      </c>
      <c r="L1082" t="s">
        <v>6803</v>
      </c>
    </row>
    <row r="1083" spans="1:12" x14ac:dyDescent="0.35">
      <c r="A1083" t="s">
        <v>26</v>
      </c>
      <c r="B1083" s="1">
        <v>45717</v>
      </c>
      <c r="C1083" t="s">
        <v>7493</v>
      </c>
      <c r="D1083" t="s">
        <v>1371</v>
      </c>
      <c r="E1083" t="s">
        <v>7494</v>
      </c>
      <c r="F1083" t="s">
        <v>7488</v>
      </c>
      <c r="H1083" t="s">
        <v>1369</v>
      </c>
      <c r="J1083">
        <v>1045000</v>
      </c>
      <c r="L1083" t="s">
        <v>5943</v>
      </c>
    </row>
    <row r="1084" spans="1:12" x14ac:dyDescent="0.35">
      <c r="A1084" t="s">
        <v>26</v>
      </c>
      <c r="B1084" s="1">
        <v>45717</v>
      </c>
      <c r="C1084" t="s">
        <v>7495</v>
      </c>
      <c r="D1084" t="s">
        <v>1372</v>
      </c>
      <c r="E1084" t="s">
        <v>1373</v>
      </c>
      <c r="F1084" t="s">
        <v>6804</v>
      </c>
      <c r="G1084" t="s">
        <v>7484</v>
      </c>
      <c r="H1084" t="s">
        <v>1374</v>
      </c>
      <c r="I1084" s="1">
        <v>45717</v>
      </c>
      <c r="K1084">
        <v>94071</v>
      </c>
      <c r="L1084" t="s">
        <v>6803</v>
      </c>
    </row>
    <row r="1085" spans="1:12" x14ac:dyDescent="0.35">
      <c r="A1085" t="s">
        <v>26</v>
      </c>
      <c r="B1085" s="1">
        <v>45717</v>
      </c>
      <c r="C1085" t="s">
        <v>7495</v>
      </c>
      <c r="D1085" t="s">
        <v>1372</v>
      </c>
      <c r="E1085" t="s">
        <v>1373</v>
      </c>
      <c r="F1085" t="s">
        <v>7380</v>
      </c>
      <c r="H1085" t="s">
        <v>1374</v>
      </c>
      <c r="J1085">
        <v>94071</v>
      </c>
      <c r="L1085" t="s">
        <v>5903</v>
      </c>
    </row>
    <row r="1086" spans="1:12" x14ac:dyDescent="0.35">
      <c r="A1086" t="s">
        <v>26</v>
      </c>
      <c r="B1086" s="1">
        <v>45717</v>
      </c>
      <c r="C1086" t="s">
        <v>7496</v>
      </c>
      <c r="D1086" t="s">
        <v>1375</v>
      </c>
      <c r="E1086" t="s">
        <v>1376</v>
      </c>
      <c r="F1086" t="s">
        <v>6804</v>
      </c>
      <c r="G1086" t="s">
        <v>7484</v>
      </c>
      <c r="H1086" t="s">
        <v>1377</v>
      </c>
      <c r="I1086" s="1">
        <v>45717</v>
      </c>
      <c r="K1086">
        <v>60727</v>
      </c>
      <c r="L1086" t="s">
        <v>6803</v>
      </c>
    </row>
    <row r="1087" spans="1:12" x14ac:dyDescent="0.35">
      <c r="A1087" t="s">
        <v>26</v>
      </c>
      <c r="B1087" s="1">
        <v>45717</v>
      </c>
      <c r="C1087" t="s">
        <v>7496</v>
      </c>
      <c r="D1087" t="s">
        <v>1375</v>
      </c>
      <c r="E1087" t="s">
        <v>1376</v>
      </c>
      <c r="F1087" t="s">
        <v>7380</v>
      </c>
      <c r="H1087" t="s">
        <v>1377</v>
      </c>
      <c r="J1087">
        <v>60727</v>
      </c>
      <c r="L1087" t="s">
        <v>5903</v>
      </c>
    </row>
    <row r="1088" spans="1:12" x14ac:dyDescent="0.35">
      <c r="A1088" t="s">
        <v>26</v>
      </c>
      <c r="B1088" s="1">
        <v>45717</v>
      </c>
      <c r="C1088" t="s">
        <v>7497</v>
      </c>
      <c r="D1088" t="s">
        <v>1378</v>
      </c>
      <c r="E1088" t="s">
        <v>1379</v>
      </c>
      <c r="F1088" t="s">
        <v>6804</v>
      </c>
      <c r="G1088" t="s">
        <v>7484</v>
      </c>
      <c r="H1088" t="s">
        <v>1380</v>
      </c>
      <c r="I1088" s="1">
        <v>45717</v>
      </c>
      <c r="K1088">
        <v>68966</v>
      </c>
      <c r="L1088" t="s">
        <v>6803</v>
      </c>
    </row>
    <row r="1089" spans="1:12" x14ac:dyDescent="0.35">
      <c r="A1089" t="s">
        <v>26</v>
      </c>
      <c r="B1089" s="1">
        <v>45717</v>
      </c>
      <c r="C1089" t="s">
        <v>7497</v>
      </c>
      <c r="D1089" t="s">
        <v>1378</v>
      </c>
      <c r="E1089" t="s">
        <v>1379</v>
      </c>
      <c r="F1089" t="s">
        <v>7380</v>
      </c>
      <c r="H1089" t="s">
        <v>1380</v>
      </c>
      <c r="J1089">
        <v>68966</v>
      </c>
      <c r="L1089" t="s">
        <v>5903</v>
      </c>
    </row>
    <row r="1090" spans="1:12" x14ac:dyDescent="0.35">
      <c r="A1090" t="s">
        <v>26</v>
      </c>
      <c r="B1090" s="1">
        <v>45717</v>
      </c>
      <c r="C1090" t="s">
        <v>7498</v>
      </c>
      <c r="D1090" t="s">
        <v>1381</v>
      </c>
      <c r="E1090" t="s">
        <v>1382</v>
      </c>
      <c r="F1090" t="s">
        <v>6804</v>
      </c>
      <c r="G1090" t="s">
        <v>7484</v>
      </c>
      <c r="H1090" t="s">
        <v>1383</v>
      </c>
      <c r="I1090" s="1">
        <v>45717</v>
      </c>
      <c r="K1090">
        <v>1000</v>
      </c>
      <c r="L1090" t="s">
        <v>6803</v>
      </c>
    </row>
    <row r="1091" spans="1:12" x14ac:dyDescent="0.35">
      <c r="A1091" t="s">
        <v>26</v>
      </c>
      <c r="B1091" s="1">
        <v>45717</v>
      </c>
      <c r="C1091" t="s">
        <v>7498</v>
      </c>
      <c r="D1091" t="s">
        <v>1381</v>
      </c>
      <c r="E1091" t="s">
        <v>1382</v>
      </c>
      <c r="F1091" t="s">
        <v>7426</v>
      </c>
      <c r="H1091" t="s">
        <v>1383</v>
      </c>
      <c r="J1091">
        <v>1000</v>
      </c>
      <c r="L1091" t="s">
        <v>5894</v>
      </c>
    </row>
    <row r="1092" spans="1:12" x14ac:dyDescent="0.35">
      <c r="A1092" t="s">
        <v>26</v>
      </c>
      <c r="B1092" s="1">
        <v>45717</v>
      </c>
      <c r="C1092" t="s">
        <v>7499</v>
      </c>
      <c r="D1092" t="s">
        <v>1384</v>
      </c>
      <c r="E1092" t="s">
        <v>1385</v>
      </c>
      <c r="F1092" t="s">
        <v>6804</v>
      </c>
      <c r="G1092" t="s">
        <v>7484</v>
      </c>
      <c r="H1092" t="s">
        <v>1383</v>
      </c>
      <c r="I1092" s="1">
        <v>45717</v>
      </c>
      <c r="K1092">
        <v>1000</v>
      </c>
      <c r="L1092" t="s">
        <v>6803</v>
      </c>
    </row>
    <row r="1093" spans="1:12" x14ac:dyDescent="0.35">
      <c r="A1093" t="s">
        <v>26</v>
      </c>
      <c r="B1093" s="1">
        <v>45717</v>
      </c>
      <c r="C1093" t="s">
        <v>7499</v>
      </c>
      <c r="D1093" t="s">
        <v>1384</v>
      </c>
      <c r="E1093" t="s">
        <v>1385</v>
      </c>
      <c r="F1093" t="s">
        <v>7426</v>
      </c>
      <c r="H1093" t="s">
        <v>1383</v>
      </c>
      <c r="J1093">
        <v>1000</v>
      </c>
      <c r="L1093" t="s">
        <v>5932</v>
      </c>
    </row>
    <row r="1094" spans="1:12" x14ac:dyDescent="0.35">
      <c r="A1094" t="s">
        <v>26</v>
      </c>
      <c r="B1094" s="1">
        <v>45717</v>
      </c>
      <c r="C1094" t="s">
        <v>7500</v>
      </c>
      <c r="D1094" t="s">
        <v>1386</v>
      </c>
      <c r="E1094" t="s">
        <v>7501</v>
      </c>
      <c r="F1094" t="s">
        <v>6804</v>
      </c>
      <c r="G1094" t="s">
        <v>1387</v>
      </c>
      <c r="H1094" t="s">
        <v>1388</v>
      </c>
      <c r="I1094" s="1">
        <v>45717</v>
      </c>
      <c r="K1094">
        <v>700000</v>
      </c>
      <c r="L1094" t="s">
        <v>6803</v>
      </c>
    </row>
    <row r="1095" spans="1:12" x14ac:dyDescent="0.35">
      <c r="A1095" t="s">
        <v>26</v>
      </c>
      <c r="B1095" s="1">
        <v>45717</v>
      </c>
      <c r="C1095" t="s">
        <v>7500</v>
      </c>
      <c r="D1095" t="s">
        <v>1386</v>
      </c>
      <c r="E1095" t="s">
        <v>7501</v>
      </c>
      <c r="F1095" t="s">
        <v>7502</v>
      </c>
      <c r="H1095" t="s">
        <v>1388</v>
      </c>
      <c r="J1095">
        <v>700000</v>
      </c>
      <c r="L1095" t="s">
        <v>5944</v>
      </c>
    </row>
    <row r="1096" spans="1:12" x14ac:dyDescent="0.35">
      <c r="A1096" t="s">
        <v>26</v>
      </c>
      <c r="B1096" s="1">
        <v>45717</v>
      </c>
      <c r="C1096" t="s">
        <v>7503</v>
      </c>
      <c r="D1096" t="s">
        <v>1389</v>
      </c>
      <c r="E1096" t="s">
        <v>7504</v>
      </c>
      <c r="F1096" t="s">
        <v>6804</v>
      </c>
      <c r="G1096" t="s">
        <v>1387</v>
      </c>
      <c r="H1096" t="s">
        <v>1388</v>
      </c>
      <c r="I1096" s="1">
        <v>45717</v>
      </c>
      <c r="K1096">
        <v>700000</v>
      </c>
      <c r="L1096" t="s">
        <v>6803</v>
      </c>
    </row>
    <row r="1097" spans="1:12" x14ac:dyDescent="0.35">
      <c r="A1097" t="s">
        <v>26</v>
      </c>
      <c r="B1097" s="1">
        <v>45717</v>
      </c>
      <c r="C1097" t="s">
        <v>7503</v>
      </c>
      <c r="D1097" t="s">
        <v>1389</v>
      </c>
      <c r="E1097" t="s">
        <v>7504</v>
      </c>
      <c r="F1097" t="s">
        <v>7502</v>
      </c>
      <c r="H1097" t="s">
        <v>1388</v>
      </c>
      <c r="J1097">
        <v>700000</v>
      </c>
      <c r="L1097" t="s">
        <v>5944</v>
      </c>
    </row>
    <row r="1098" spans="1:12" x14ac:dyDescent="0.35">
      <c r="A1098" t="s">
        <v>26</v>
      </c>
      <c r="B1098" s="1">
        <v>45717</v>
      </c>
      <c r="C1098" t="s">
        <v>7505</v>
      </c>
      <c r="D1098" t="s">
        <v>1390</v>
      </c>
      <c r="E1098" t="s">
        <v>7506</v>
      </c>
      <c r="F1098" t="s">
        <v>6804</v>
      </c>
      <c r="G1098" t="s">
        <v>1387</v>
      </c>
      <c r="H1098" t="s">
        <v>1388</v>
      </c>
      <c r="I1098" s="1">
        <v>45717</v>
      </c>
      <c r="K1098">
        <v>700000</v>
      </c>
      <c r="L1098" t="s">
        <v>6803</v>
      </c>
    </row>
    <row r="1099" spans="1:12" x14ac:dyDescent="0.35">
      <c r="A1099" t="s">
        <v>26</v>
      </c>
      <c r="B1099" s="1">
        <v>45717</v>
      </c>
      <c r="C1099" t="s">
        <v>7505</v>
      </c>
      <c r="D1099" t="s">
        <v>1390</v>
      </c>
      <c r="E1099" t="s">
        <v>7506</v>
      </c>
      <c r="F1099" t="s">
        <v>7502</v>
      </c>
      <c r="H1099" t="s">
        <v>1388</v>
      </c>
      <c r="J1099">
        <v>700000</v>
      </c>
      <c r="L1099" t="s">
        <v>5944</v>
      </c>
    </row>
    <row r="1100" spans="1:12" x14ac:dyDescent="0.35">
      <c r="A1100" t="s">
        <v>26</v>
      </c>
      <c r="B1100" s="1">
        <v>45717</v>
      </c>
      <c r="C1100" t="s">
        <v>7507</v>
      </c>
      <c r="D1100" t="s">
        <v>1391</v>
      </c>
      <c r="E1100" t="s">
        <v>7508</v>
      </c>
      <c r="F1100" t="s">
        <v>6804</v>
      </c>
      <c r="G1100" t="s">
        <v>1387</v>
      </c>
      <c r="H1100" t="s">
        <v>1388</v>
      </c>
      <c r="I1100" s="1">
        <v>45717</v>
      </c>
      <c r="K1100">
        <v>700000</v>
      </c>
      <c r="L1100" t="s">
        <v>6803</v>
      </c>
    </row>
    <row r="1101" spans="1:12" x14ac:dyDescent="0.35">
      <c r="A1101" t="s">
        <v>26</v>
      </c>
      <c r="B1101" s="1">
        <v>45717</v>
      </c>
      <c r="C1101" t="s">
        <v>7507</v>
      </c>
      <c r="D1101" t="s">
        <v>1391</v>
      </c>
      <c r="E1101" t="s">
        <v>7508</v>
      </c>
      <c r="F1101" t="s">
        <v>7502</v>
      </c>
      <c r="H1101" t="s">
        <v>1388</v>
      </c>
      <c r="J1101">
        <v>700000</v>
      </c>
      <c r="L1101" t="s">
        <v>5944</v>
      </c>
    </row>
    <row r="1102" spans="1:12" x14ac:dyDescent="0.35">
      <c r="A1102" t="s">
        <v>26</v>
      </c>
      <c r="B1102" s="1">
        <v>45717</v>
      </c>
      <c r="C1102" t="s">
        <v>7509</v>
      </c>
      <c r="D1102" t="s">
        <v>1392</v>
      </c>
      <c r="E1102" t="s">
        <v>7510</v>
      </c>
      <c r="F1102" t="s">
        <v>6804</v>
      </c>
      <c r="G1102" t="s">
        <v>7511</v>
      </c>
      <c r="H1102" t="s">
        <v>1393</v>
      </c>
      <c r="I1102" s="1">
        <v>45717</v>
      </c>
      <c r="K1102">
        <v>2617830</v>
      </c>
      <c r="L1102" t="s">
        <v>6803</v>
      </c>
    </row>
    <row r="1103" spans="1:12" x14ac:dyDescent="0.35">
      <c r="A1103" t="s">
        <v>26</v>
      </c>
      <c r="B1103" s="1">
        <v>45717</v>
      </c>
      <c r="C1103" t="s">
        <v>7509</v>
      </c>
      <c r="D1103" t="s">
        <v>1392</v>
      </c>
      <c r="E1103" t="s">
        <v>7510</v>
      </c>
      <c r="F1103" t="s">
        <v>6819</v>
      </c>
      <c r="H1103" t="s">
        <v>1393</v>
      </c>
      <c r="J1103">
        <v>399330</v>
      </c>
      <c r="L1103" t="s">
        <v>6803</v>
      </c>
    </row>
    <row r="1104" spans="1:12" x14ac:dyDescent="0.35">
      <c r="A1104" t="s">
        <v>26</v>
      </c>
      <c r="B1104" s="1">
        <v>45717</v>
      </c>
      <c r="C1104" t="s">
        <v>7509</v>
      </c>
      <c r="D1104" t="s">
        <v>1392</v>
      </c>
      <c r="E1104" t="s">
        <v>7510</v>
      </c>
      <c r="F1104" t="s">
        <v>7512</v>
      </c>
      <c r="H1104" t="s">
        <v>1393</v>
      </c>
      <c r="J1104">
        <v>2218500</v>
      </c>
      <c r="L1104" t="s">
        <v>5905</v>
      </c>
    </row>
    <row r="1105" spans="1:12" x14ac:dyDescent="0.35">
      <c r="A1105" t="s">
        <v>26</v>
      </c>
      <c r="B1105" s="1">
        <v>45717</v>
      </c>
      <c r="C1105" t="s">
        <v>7513</v>
      </c>
      <c r="D1105" t="s">
        <v>1394</v>
      </c>
      <c r="E1105" t="s">
        <v>1395</v>
      </c>
      <c r="F1105" t="s">
        <v>7514</v>
      </c>
      <c r="G1105" t="s">
        <v>7515</v>
      </c>
      <c r="H1105" t="s">
        <v>1396</v>
      </c>
      <c r="K1105">
        <v>285788</v>
      </c>
      <c r="L1105" t="s">
        <v>6803</v>
      </c>
    </row>
    <row r="1106" spans="1:12" x14ac:dyDescent="0.35">
      <c r="A1106" t="s">
        <v>26</v>
      </c>
      <c r="B1106" s="1">
        <v>45717</v>
      </c>
      <c r="C1106" t="s">
        <v>7513</v>
      </c>
      <c r="D1106" t="s">
        <v>1394</v>
      </c>
      <c r="E1106" t="s">
        <v>1395</v>
      </c>
      <c r="F1106" t="s">
        <v>7516</v>
      </c>
      <c r="H1106" t="s">
        <v>1396</v>
      </c>
      <c r="J1106">
        <v>285788</v>
      </c>
      <c r="L1106" t="s">
        <v>5928</v>
      </c>
    </row>
    <row r="1107" spans="1:12" x14ac:dyDescent="0.35">
      <c r="A1107" t="s">
        <v>26</v>
      </c>
      <c r="B1107" s="1">
        <v>45717</v>
      </c>
      <c r="C1107" t="s">
        <v>7517</v>
      </c>
      <c r="D1107" t="s">
        <v>1397</v>
      </c>
      <c r="E1107" t="s">
        <v>1398</v>
      </c>
      <c r="F1107" t="s">
        <v>7514</v>
      </c>
      <c r="G1107" t="s">
        <v>7515</v>
      </c>
      <c r="H1107" t="s">
        <v>1396</v>
      </c>
      <c r="K1107">
        <v>1397680</v>
      </c>
      <c r="L1107" t="s">
        <v>6803</v>
      </c>
    </row>
    <row r="1108" spans="1:12" x14ac:dyDescent="0.35">
      <c r="A1108" t="s">
        <v>26</v>
      </c>
      <c r="B1108" s="1">
        <v>45717</v>
      </c>
      <c r="C1108" t="s">
        <v>7517</v>
      </c>
      <c r="D1108" t="s">
        <v>1397</v>
      </c>
      <c r="E1108" t="s">
        <v>1398</v>
      </c>
      <c r="F1108" t="s">
        <v>7516</v>
      </c>
      <c r="H1108" t="s">
        <v>1396</v>
      </c>
      <c r="J1108">
        <v>1397680</v>
      </c>
      <c r="L1108" t="s">
        <v>5928</v>
      </c>
    </row>
    <row r="1109" spans="1:12" x14ac:dyDescent="0.35">
      <c r="A1109" t="s">
        <v>26</v>
      </c>
      <c r="B1109" s="1">
        <v>45717</v>
      </c>
      <c r="C1109" t="s">
        <v>7518</v>
      </c>
      <c r="D1109" t="s">
        <v>1399</v>
      </c>
      <c r="E1109" t="s">
        <v>1400</v>
      </c>
      <c r="F1109" t="s">
        <v>7514</v>
      </c>
      <c r="G1109" t="s">
        <v>7515</v>
      </c>
      <c r="H1109" t="s">
        <v>1396</v>
      </c>
      <c r="K1109">
        <v>28320</v>
      </c>
      <c r="L1109" t="s">
        <v>6803</v>
      </c>
    </row>
    <row r="1110" spans="1:12" x14ac:dyDescent="0.35">
      <c r="A1110" t="s">
        <v>26</v>
      </c>
      <c r="B1110" s="1">
        <v>45717</v>
      </c>
      <c r="C1110" t="s">
        <v>7518</v>
      </c>
      <c r="D1110" t="s">
        <v>1399</v>
      </c>
      <c r="E1110" t="s">
        <v>1400</v>
      </c>
      <c r="F1110" t="s">
        <v>7516</v>
      </c>
      <c r="H1110" t="s">
        <v>1396</v>
      </c>
      <c r="J1110">
        <v>28320</v>
      </c>
      <c r="L1110" t="s">
        <v>5928</v>
      </c>
    </row>
    <row r="1111" spans="1:12" x14ac:dyDescent="0.35">
      <c r="A1111" t="s">
        <v>26</v>
      </c>
      <c r="B1111" s="1">
        <v>45717</v>
      </c>
      <c r="C1111" t="s">
        <v>7519</v>
      </c>
      <c r="D1111" t="s">
        <v>1401</v>
      </c>
      <c r="E1111" t="s">
        <v>1402</v>
      </c>
      <c r="F1111" t="s">
        <v>7514</v>
      </c>
      <c r="G1111" t="s">
        <v>7515</v>
      </c>
      <c r="H1111" t="s">
        <v>1396</v>
      </c>
      <c r="K1111">
        <v>56640</v>
      </c>
      <c r="L1111" t="s">
        <v>6803</v>
      </c>
    </row>
    <row r="1112" spans="1:12" x14ac:dyDescent="0.35">
      <c r="A1112" t="s">
        <v>26</v>
      </c>
      <c r="B1112" s="1">
        <v>45717</v>
      </c>
      <c r="C1112" t="s">
        <v>7519</v>
      </c>
      <c r="D1112" t="s">
        <v>1401</v>
      </c>
      <c r="E1112" t="s">
        <v>1402</v>
      </c>
      <c r="F1112" t="s">
        <v>7516</v>
      </c>
      <c r="H1112" t="s">
        <v>1396</v>
      </c>
      <c r="J1112">
        <v>56640</v>
      </c>
      <c r="L1112" t="s">
        <v>5928</v>
      </c>
    </row>
    <row r="1113" spans="1:12" x14ac:dyDescent="0.35">
      <c r="A1113" t="s">
        <v>26</v>
      </c>
      <c r="B1113" s="1">
        <v>45717</v>
      </c>
      <c r="C1113" t="s">
        <v>7520</v>
      </c>
      <c r="D1113" t="s">
        <v>1403</v>
      </c>
      <c r="E1113" t="s">
        <v>1404</v>
      </c>
      <c r="F1113" t="s">
        <v>7514</v>
      </c>
      <c r="G1113" t="s">
        <v>7521</v>
      </c>
      <c r="H1113" t="s">
        <v>1405</v>
      </c>
      <c r="K1113">
        <v>57943</v>
      </c>
      <c r="L1113" t="s">
        <v>6803</v>
      </c>
    </row>
    <row r="1114" spans="1:12" x14ac:dyDescent="0.35">
      <c r="A1114" t="s">
        <v>26</v>
      </c>
      <c r="B1114" s="1">
        <v>45717</v>
      </c>
      <c r="C1114" t="s">
        <v>7520</v>
      </c>
      <c r="D1114" t="s">
        <v>1403</v>
      </c>
      <c r="E1114" t="s">
        <v>1404</v>
      </c>
      <c r="F1114" t="s">
        <v>7516</v>
      </c>
      <c r="H1114" t="s">
        <v>1405</v>
      </c>
      <c r="J1114">
        <v>57943</v>
      </c>
      <c r="L1114" t="s">
        <v>5928</v>
      </c>
    </row>
    <row r="1115" spans="1:12" x14ac:dyDescent="0.35">
      <c r="A1115" t="s">
        <v>26</v>
      </c>
      <c r="B1115" s="1">
        <v>45717</v>
      </c>
      <c r="C1115" t="s">
        <v>7522</v>
      </c>
      <c r="D1115" t="s">
        <v>1406</v>
      </c>
      <c r="E1115" t="s">
        <v>1407</v>
      </c>
      <c r="F1115" t="s">
        <v>6802</v>
      </c>
      <c r="H1115" t="s">
        <v>1408</v>
      </c>
      <c r="J1115">
        <v>510000</v>
      </c>
      <c r="L1115" t="s">
        <v>6803</v>
      </c>
    </row>
    <row r="1116" spans="1:12" x14ac:dyDescent="0.35">
      <c r="A1116" t="s">
        <v>26</v>
      </c>
      <c r="B1116" s="1">
        <v>45717</v>
      </c>
      <c r="C1116" t="s">
        <v>7522</v>
      </c>
      <c r="D1116" t="s">
        <v>1406</v>
      </c>
      <c r="E1116" t="s">
        <v>1407</v>
      </c>
      <c r="F1116" t="s">
        <v>6804</v>
      </c>
      <c r="G1116" t="s">
        <v>6906</v>
      </c>
      <c r="H1116" t="s">
        <v>1409</v>
      </c>
      <c r="I1116" s="1">
        <v>45808</v>
      </c>
      <c r="K1116">
        <v>601800</v>
      </c>
      <c r="L1116" t="s">
        <v>6803</v>
      </c>
    </row>
    <row r="1117" spans="1:12" x14ac:dyDescent="0.35">
      <c r="A1117" t="s">
        <v>26</v>
      </c>
      <c r="B1117" s="1">
        <v>45717</v>
      </c>
      <c r="C1117" t="s">
        <v>7522</v>
      </c>
      <c r="D1117" t="s">
        <v>1406</v>
      </c>
      <c r="E1117" t="s">
        <v>1407</v>
      </c>
      <c r="F1117" t="s">
        <v>6806</v>
      </c>
      <c r="H1117" t="s">
        <v>1408</v>
      </c>
      <c r="J1117">
        <v>91800</v>
      </c>
      <c r="L1117" t="s">
        <v>6803</v>
      </c>
    </row>
    <row r="1118" spans="1:12" x14ac:dyDescent="0.35">
      <c r="A1118" t="s">
        <v>26</v>
      </c>
      <c r="B1118" s="1">
        <v>45717</v>
      </c>
      <c r="C1118" t="s">
        <v>7523</v>
      </c>
      <c r="D1118" t="s">
        <v>1410</v>
      </c>
      <c r="E1118" t="s">
        <v>1411</v>
      </c>
      <c r="F1118" t="s">
        <v>6804</v>
      </c>
      <c r="G1118" t="s">
        <v>7524</v>
      </c>
      <c r="H1118" t="s">
        <v>1412</v>
      </c>
      <c r="I1118" s="1">
        <v>45777</v>
      </c>
      <c r="K1118">
        <v>654507</v>
      </c>
      <c r="L1118" t="s">
        <v>6803</v>
      </c>
    </row>
    <row r="1119" spans="1:12" x14ac:dyDescent="0.35">
      <c r="A1119" t="s">
        <v>26</v>
      </c>
      <c r="B1119" s="1">
        <v>45717</v>
      </c>
      <c r="C1119" t="s">
        <v>7523</v>
      </c>
      <c r="D1119" t="s">
        <v>1410</v>
      </c>
      <c r="E1119" t="s">
        <v>1411</v>
      </c>
      <c r="F1119" t="s">
        <v>6819</v>
      </c>
      <c r="H1119" t="s">
        <v>1412</v>
      </c>
      <c r="J1119">
        <v>99840</v>
      </c>
      <c r="L1119" t="s">
        <v>6803</v>
      </c>
    </row>
    <row r="1120" spans="1:12" x14ac:dyDescent="0.35">
      <c r="A1120" t="s">
        <v>26</v>
      </c>
      <c r="B1120" s="1">
        <v>45717</v>
      </c>
      <c r="C1120" t="s">
        <v>7523</v>
      </c>
      <c r="D1120" t="s">
        <v>1410</v>
      </c>
      <c r="E1120" t="s">
        <v>1411</v>
      </c>
      <c r="F1120" t="s">
        <v>7391</v>
      </c>
      <c r="H1120" t="s">
        <v>1412</v>
      </c>
      <c r="J1120">
        <v>554667</v>
      </c>
      <c r="L1120" t="s">
        <v>5882</v>
      </c>
    </row>
    <row r="1121" spans="1:12" x14ac:dyDescent="0.35">
      <c r="A1121" t="s">
        <v>26</v>
      </c>
      <c r="B1121" s="1">
        <v>45717</v>
      </c>
      <c r="C1121" t="s">
        <v>7525</v>
      </c>
      <c r="D1121" t="s">
        <v>1413</v>
      </c>
      <c r="E1121" t="s">
        <v>1414</v>
      </c>
      <c r="F1121" t="s">
        <v>6804</v>
      </c>
      <c r="G1121" t="s">
        <v>7524</v>
      </c>
      <c r="H1121" t="s">
        <v>1415</v>
      </c>
      <c r="I1121" s="1">
        <v>45777</v>
      </c>
      <c r="K1121">
        <v>306800</v>
      </c>
      <c r="L1121" t="s">
        <v>6803</v>
      </c>
    </row>
    <row r="1122" spans="1:12" x14ac:dyDescent="0.35">
      <c r="A1122" t="s">
        <v>26</v>
      </c>
      <c r="B1122" s="1">
        <v>45717</v>
      </c>
      <c r="C1122" t="s">
        <v>7525</v>
      </c>
      <c r="D1122" t="s">
        <v>1413</v>
      </c>
      <c r="E1122" t="s">
        <v>1414</v>
      </c>
      <c r="F1122" t="s">
        <v>6819</v>
      </c>
      <c r="H1122" t="s">
        <v>1415</v>
      </c>
      <c r="J1122">
        <v>46800</v>
      </c>
      <c r="L1122" t="s">
        <v>6803</v>
      </c>
    </row>
    <row r="1123" spans="1:12" x14ac:dyDescent="0.35">
      <c r="A1123" t="s">
        <v>26</v>
      </c>
      <c r="B1123" s="1">
        <v>45717</v>
      </c>
      <c r="C1123" t="s">
        <v>7525</v>
      </c>
      <c r="D1123" t="s">
        <v>1413</v>
      </c>
      <c r="E1123" t="s">
        <v>1414</v>
      </c>
      <c r="F1123" t="s">
        <v>7391</v>
      </c>
      <c r="H1123" t="s">
        <v>1415</v>
      </c>
      <c r="J1123">
        <v>260000</v>
      </c>
      <c r="L1123" t="s">
        <v>5882</v>
      </c>
    </row>
    <row r="1124" spans="1:12" x14ac:dyDescent="0.35">
      <c r="A1124" t="s">
        <v>26</v>
      </c>
      <c r="B1124" s="1">
        <v>45717</v>
      </c>
      <c r="C1124" t="s">
        <v>7526</v>
      </c>
      <c r="D1124" t="s">
        <v>1416</v>
      </c>
      <c r="E1124" t="s">
        <v>1417</v>
      </c>
      <c r="F1124" t="s">
        <v>6804</v>
      </c>
      <c r="G1124" t="s">
        <v>7524</v>
      </c>
      <c r="H1124" t="s">
        <v>1418</v>
      </c>
      <c r="I1124" s="1">
        <v>45777</v>
      </c>
      <c r="K1124">
        <v>354000</v>
      </c>
      <c r="L1124" t="s">
        <v>6803</v>
      </c>
    </row>
    <row r="1125" spans="1:12" x14ac:dyDescent="0.35">
      <c r="A1125" t="s">
        <v>26</v>
      </c>
      <c r="B1125" s="1">
        <v>45717</v>
      </c>
      <c r="C1125" t="s">
        <v>7526</v>
      </c>
      <c r="D1125" t="s">
        <v>1416</v>
      </c>
      <c r="E1125" t="s">
        <v>1417</v>
      </c>
      <c r="F1125" t="s">
        <v>6819</v>
      </c>
      <c r="H1125" t="s">
        <v>1418</v>
      </c>
      <c r="J1125">
        <v>54000</v>
      </c>
      <c r="L1125" t="s">
        <v>6803</v>
      </c>
    </row>
    <row r="1126" spans="1:12" x14ac:dyDescent="0.35">
      <c r="A1126" t="s">
        <v>26</v>
      </c>
      <c r="B1126" s="1">
        <v>45717</v>
      </c>
      <c r="C1126" t="s">
        <v>7526</v>
      </c>
      <c r="D1126" t="s">
        <v>1416</v>
      </c>
      <c r="E1126" t="s">
        <v>1417</v>
      </c>
      <c r="F1126" t="s">
        <v>7391</v>
      </c>
      <c r="H1126" t="s">
        <v>1418</v>
      </c>
      <c r="J1126">
        <v>300000</v>
      </c>
      <c r="L1126" t="s">
        <v>5882</v>
      </c>
    </row>
    <row r="1127" spans="1:12" x14ac:dyDescent="0.35">
      <c r="A1127" t="s">
        <v>26</v>
      </c>
      <c r="B1127" s="1">
        <v>45717</v>
      </c>
      <c r="C1127" t="s">
        <v>7527</v>
      </c>
      <c r="D1127" t="s">
        <v>1419</v>
      </c>
      <c r="E1127" t="s">
        <v>1420</v>
      </c>
      <c r="F1127" t="s">
        <v>6804</v>
      </c>
      <c r="G1127" t="s">
        <v>7524</v>
      </c>
      <c r="H1127" t="s">
        <v>1421</v>
      </c>
      <c r="I1127" s="1">
        <v>45777</v>
      </c>
      <c r="K1127">
        <v>684400</v>
      </c>
      <c r="L1127" t="s">
        <v>6803</v>
      </c>
    </row>
    <row r="1128" spans="1:12" x14ac:dyDescent="0.35">
      <c r="A1128" t="s">
        <v>26</v>
      </c>
      <c r="B1128" s="1">
        <v>45717</v>
      </c>
      <c r="C1128" t="s">
        <v>7527</v>
      </c>
      <c r="D1128" t="s">
        <v>1419</v>
      </c>
      <c r="E1128" t="s">
        <v>1420</v>
      </c>
      <c r="F1128" t="s">
        <v>6819</v>
      </c>
      <c r="H1128" t="s">
        <v>1421</v>
      </c>
      <c r="J1128">
        <v>104400</v>
      </c>
      <c r="L1128" t="s">
        <v>6803</v>
      </c>
    </row>
    <row r="1129" spans="1:12" x14ac:dyDescent="0.35">
      <c r="A1129" t="s">
        <v>26</v>
      </c>
      <c r="B1129" s="1">
        <v>45717</v>
      </c>
      <c r="C1129" t="s">
        <v>7527</v>
      </c>
      <c r="D1129" t="s">
        <v>1419</v>
      </c>
      <c r="E1129" t="s">
        <v>1420</v>
      </c>
      <c r="F1129" t="s">
        <v>7391</v>
      </c>
      <c r="H1129" t="s">
        <v>1421</v>
      </c>
      <c r="J1129">
        <v>580000</v>
      </c>
      <c r="L1129" t="s">
        <v>5882</v>
      </c>
    </row>
    <row r="1130" spans="1:12" x14ac:dyDescent="0.35">
      <c r="A1130" t="s">
        <v>26</v>
      </c>
      <c r="B1130" s="1">
        <v>45717</v>
      </c>
      <c r="C1130" t="s">
        <v>7528</v>
      </c>
      <c r="D1130" t="s">
        <v>1422</v>
      </c>
      <c r="E1130" t="s">
        <v>1423</v>
      </c>
      <c r="F1130" t="s">
        <v>6804</v>
      </c>
      <c r="G1130" t="s">
        <v>7524</v>
      </c>
      <c r="H1130" t="s">
        <v>1424</v>
      </c>
      <c r="I1130" s="1">
        <v>45777</v>
      </c>
      <c r="K1130">
        <v>419017</v>
      </c>
      <c r="L1130" t="s">
        <v>6803</v>
      </c>
    </row>
    <row r="1131" spans="1:12" x14ac:dyDescent="0.35">
      <c r="A1131" t="s">
        <v>26</v>
      </c>
      <c r="B1131" s="1">
        <v>45717</v>
      </c>
      <c r="C1131" t="s">
        <v>7528</v>
      </c>
      <c r="D1131" t="s">
        <v>1422</v>
      </c>
      <c r="E1131" t="s">
        <v>1423</v>
      </c>
      <c r="F1131" t="s">
        <v>6819</v>
      </c>
      <c r="H1131" t="s">
        <v>1424</v>
      </c>
      <c r="J1131">
        <v>63918</v>
      </c>
      <c r="L1131" t="s">
        <v>6803</v>
      </c>
    </row>
    <row r="1132" spans="1:12" x14ac:dyDescent="0.35">
      <c r="A1132" t="s">
        <v>26</v>
      </c>
      <c r="B1132" s="1">
        <v>45717</v>
      </c>
      <c r="C1132" t="s">
        <v>7528</v>
      </c>
      <c r="D1132" t="s">
        <v>1422</v>
      </c>
      <c r="E1132" t="s">
        <v>1423</v>
      </c>
      <c r="F1132" t="s">
        <v>7391</v>
      </c>
      <c r="H1132" t="s">
        <v>1424</v>
      </c>
      <c r="J1132">
        <v>355099</v>
      </c>
      <c r="L1132" t="s">
        <v>5882</v>
      </c>
    </row>
    <row r="1133" spans="1:12" x14ac:dyDescent="0.35">
      <c r="A1133" t="s">
        <v>26</v>
      </c>
      <c r="B1133" s="1">
        <v>45717</v>
      </c>
      <c r="C1133" t="s">
        <v>7529</v>
      </c>
      <c r="D1133" t="s">
        <v>1425</v>
      </c>
      <c r="E1133" t="s">
        <v>1426</v>
      </c>
      <c r="F1133" t="s">
        <v>6804</v>
      </c>
      <c r="G1133" t="s">
        <v>7524</v>
      </c>
      <c r="H1133" t="s">
        <v>1427</v>
      </c>
      <c r="I1133" s="1">
        <v>45777</v>
      </c>
      <c r="K1133">
        <v>199419</v>
      </c>
      <c r="L1133" t="s">
        <v>6803</v>
      </c>
    </row>
    <row r="1134" spans="1:12" x14ac:dyDescent="0.35">
      <c r="A1134" t="s">
        <v>26</v>
      </c>
      <c r="B1134" s="1">
        <v>45717</v>
      </c>
      <c r="C1134" t="s">
        <v>7529</v>
      </c>
      <c r="D1134" t="s">
        <v>1425</v>
      </c>
      <c r="E1134" t="s">
        <v>1426</v>
      </c>
      <c r="F1134" t="s">
        <v>6819</v>
      </c>
      <c r="H1134" t="s">
        <v>1427</v>
      </c>
      <c r="J1134">
        <v>30420</v>
      </c>
      <c r="L1134" t="s">
        <v>6803</v>
      </c>
    </row>
    <row r="1135" spans="1:12" x14ac:dyDescent="0.35">
      <c r="A1135" t="s">
        <v>26</v>
      </c>
      <c r="B1135" s="1">
        <v>45717</v>
      </c>
      <c r="C1135" t="s">
        <v>7529</v>
      </c>
      <c r="D1135" t="s">
        <v>1425</v>
      </c>
      <c r="E1135" t="s">
        <v>1426</v>
      </c>
      <c r="F1135" t="s">
        <v>7391</v>
      </c>
      <c r="H1135" t="s">
        <v>1427</v>
      </c>
      <c r="J1135">
        <v>168999</v>
      </c>
      <c r="L1135" t="s">
        <v>5882</v>
      </c>
    </row>
    <row r="1136" spans="1:12" x14ac:dyDescent="0.35">
      <c r="A1136" t="s">
        <v>26</v>
      </c>
      <c r="B1136" s="1">
        <v>45717</v>
      </c>
      <c r="C1136" t="s">
        <v>7530</v>
      </c>
      <c r="D1136" t="s">
        <v>1428</v>
      </c>
      <c r="E1136" t="s">
        <v>1429</v>
      </c>
      <c r="F1136" t="s">
        <v>6804</v>
      </c>
      <c r="G1136" t="s">
        <v>7524</v>
      </c>
      <c r="H1136" t="s">
        <v>1430</v>
      </c>
      <c r="I1136" s="1">
        <v>45777</v>
      </c>
      <c r="K1136">
        <v>-73206</v>
      </c>
      <c r="L1136" t="s">
        <v>6803</v>
      </c>
    </row>
    <row r="1137" spans="1:12" x14ac:dyDescent="0.35">
      <c r="A1137" t="s">
        <v>26</v>
      </c>
      <c r="B1137" s="1">
        <v>45717</v>
      </c>
      <c r="C1137" t="s">
        <v>7530</v>
      </c>
      <c r="D1137" t="s">
        <v>1428</v>
      </c>
      <c r="E1137" t="s">
        <v>1429</v>
      </c>
      <c r="F1137" t="s">
        <v>6819</v>
      </c>
      <c r="H1137" t="s">
        <v>1430</v>
      </c>
      <c r="J1137">
        <v>-11167</v>
      </c>
      <c r="L1137" t="s">
        <v>6803</v>
      </c>
    </row>
    <row r="1138" spans="1:12" x14ac:dyDescent="0.35">
      <c r="A1138" t="s">
        <v>26</v>
      </c>
      <c r="B1138" s="1">
        <v>45717</v>
      </c>
      <c r="C1138" t="s">
        <v>7530</v>
      </c>
      <c r="D1138" t="s">
        <v>1428</v>
      </c>
      <c r="E1138" t="s">
        <v>1429</v>
      </c>
      <c r="F1138" t="s">
        <v>7391</v>
      </c>
      <c r="H1138" t="s">
        <v>1430</v>
      </c>
      <c r="J1138">
        <v>-62039</v>
      </c>
      <c r="L1138" t="s">
        <v>5882</v>
      </c>
    </row>
    <row r="1139" spans="1:12" x14ac:dyDescent="0.35">
      <c r="A1139" t="s">
        <v>26</v>
      </c>
      <c r="B1139" s="1">
        <v>45717</v>
      </c>
      <c r="C1139" t="s">
        <v>7531</v>
      </c>
      <c r="D1139" t="s">
        <v>1431</v>
      </c>
      <c r="E1139" t="s">
        <v>1432</v>
      </c>
      <c r="F1139" t="s">
        <v>7514</v>
      </c>
      <c r="G1139" t="s">
        <v>7521</v>
      </c>
      <c r="H1139" t="s">
        <v>1405</v>
      </c>
      <c r="K1139">
        <v>86915</v>
      </c>
      <c r="L1139" t="s">
        <v>6803</v>
      </c>
    </row>
    <row r="1140" spans="1:12" x14ac:dyDescent="0.35">
      <c r="A1140" t="s">
        <v>26</v>
      </c>
      <c r="B1140" s="1">
        <v>45717</v>
      </c>
      <c r="C1140" t="s">
        <v>7531</v>
      </c>
      <c r="D1140" t="s">
        <v>1431</v>
      </c>
      <c r="E1140" t="s">
        <v>1432</v>
      </c>
      <c r="F1140" t="s">
        <v>7516</v>
      </c>
      <c r="H1140" t="s">
        <v>1405</v>
      </c>
      <c r="J1140">
        <v>86915</v>
      </c>
      <c r="L1140" t="s">
        <v>5928</v>
      </c>
    </row>
    <row r="1141" spans="1:12" x14ac:dyDescent="0.35">
      <c r="A1141" t="s">
        <v>26</v>
      </c>
      <c r="B1141" s="1">
        <v>45717</v>
      </c>
      <c r="C1141" t="s">
        <v>7532</v>
      </c>
      <c r="D1141" t="s">
        <v>1433</v>
      </c>
      <c r="E1141" t="s">
        <v>1434</v>
      </c>
      <c r="F1141" t="s">
        <v>7514</v>
      </c>
      <c r="G1141" t="s">
        <v>7521</v>
      </c>
      <c r="H1141" t="s">
        <v>1405</v>
      </c>
      <c r="K1141">
        <v>86915</v>
      </c>
      <c r="L1141" t="s">
        <v>6803</v>
      </c>
    </row>
    <row r="1142" spans="1:12" x14ac:dyDescent="0.35">
      <c r="A1142" t="s">
        <v>26</v>
      </c>
      <c r="B1142" s="1">
        <v>45717</v>
      </c>
      <c r="C1142" t="s">
        <v>7532</v>
      </c>
      <c r="D1142" t="s">
        <v>1433</v>
      </c>
      <c r="E1142" t="s">
        <v>1434</v>
      </c>
      <c r="F1142" t="s">
        <v>7516</v>
      </c>
      <c r="H1142" t="s">
        <v>1405</v>
      </c>
      <c r="J1142">
        <v>86915</v>
      </c>
      <c r="L1142" t="s">
        <v>5945</v>
      </c>
    </row>
    <row r="1143" spans="1:12" x14ac:dyDescent="0.35">
      <c r="A1143" t="s">
        <v>26</v>
      </c>
      <c r="B1143" s="1">
        <v>45717</v>
      </c>
      <c r="C1143" t="s">
        <v>7533</v>
      </c>
      <c r="D1143" t="s">
        <v>1435</v>
      </c>
      <c r="E1143" t="s">
        <v>7534</v>
      </c>
      <c r="F1143" t="s">
        <v>6804</v>
      </c>
      <c r="G1143" t="s">
        <v>7535</v>
      </c>
      <c r="H1143" t="s">
        <v>1436</v>
      </c>
      <c r="I1143" s="1">
        <v>45717</v>
      </c>
      <c r="K1143">
        <v>115092</v>
      </c>
      <c r="L1143" t="s">
        <v>6803</v>
      </c>
    </row>
    <row r="1144" spans="1:12" x14ac:dyDescent="0.35">
      <c r="A1144" t="s">
        <v>26</v>
      </c>
      <c r="B1144" s="1">
        <v>45717</v>
      </c>
      <c r="C1144" t="s">
        <v>7533</v>
      </c>
      <c r="D1144" t="s">
        <v>1435</v>
      </c>
      <c r="E1144" t="s">
        <v>7534</v>
      </c>
      <c r="F1144" t="s">
        <v>7536</v>
      </c>
      <c r="H1144" t="s">
        <v>1436</v>
      </c>
      <c r="J1144">
        <v>115092</v>
      </c>
      <c r="L1144" t="s">
        <v>5942</v>
      </c>
    </row>
    <row r="1145" spans="1:12" x14ac:dyDescent="0.35">
      <c r="A1145" t="s">
        <v>26</v>
      </c>
      <c r="B1145" s="1">
        <v>45717</v>
      </c>
      <c r="C1145" t="s">
        <v>7537</v>
      </c>
      <c r="D1145" t="s">
        <v>1437</v>
      </c>
      <c r="E1145" t="s">
        <v>7538</v>
      </c>
      <c r="F1145" t="s">
        <v>6804</v>
      </c>
      <c r="G1145" t="s">
        <v>7535</v>
      </c>
      <c r="H1145" t="s">
        <v>1436</v>
      </c>
      <c r="I1145" s="1">
        <v>45717</v>
      </c>
      <c r="K1145">
        <v>27612</v>
      </c>
      <c r="L1145" t="s">
        <v>6803</v>
      </c>
    </row>
    <row r="1146" spans="1:12" x14ac:dyDescent="0.35">
      <c r="A1146" t="s">
        <v>26</v>
      </c>
      <c r="B1146" s="1">
        <v>45717</v>
      </c>
      <c r="C1146" t="s">
        <v>7537</v>
      </c>
      <c r="D1146" t="s">
        <v>1437</v>
      </c>
      <c r="E1146" t="s">
        <v>7538</v>
      </c>
      <c r="F1146" t="s">
        <v>7536</v>
      </c>
      <c r="H1146" t="s">
        <v>1436</v>
      </c>
      <c r="J1146">
        <v>27612</v>
      </c>
      <c r="L1146" t="s">
        <v>5942</v>
      </c>
    </row>
    <row r="1147" spans="1:12" x14ac:dyDescent="0.35">
      <c r="A1147" t="s">
        <v>26</v>
      </c>
      <c r="B1147" s="1">
        <v>45717</v>
      </c>
      <c r="C1147" t="s">
        <v>7539</v>
      </c>
      <c r="D1147" t="s">
        <v>1438</v>
      </c>
      <c r="E1147" t="s">
        <v>7540</v>
      </c>
      <c r="F1147" t="s">
        <v>6804</v>
      </c>
      <c r="G1147" t="s">
        <v>7535</v>
      </c>
      <c r="H1147" t="s">
        <v>1436</v>
      </c>
      <c r="I1147" s="1">
        <v>45717</v>
      </c>
      <c r="K1147">
        <v>55960</v>
      </c>
      <c r="L1147" t="s">
        <v>6803</v>
      </c>
    </row>
    <row r="1148" spans="1:12" x14ac:dyDescent="0.35">
      <c r="A1148" t="s">
        <v>26</v>
      </c>
      <c r="B1148" s="1">
        <v>45717</v>
      </c>
      <c r="C1148" t="s">
        <v>7539</v>
      </c>
      <c r="D1148" t="s">
        <v>1438</v>
      </c>
      <c r="E1148" t="s">
        <v>7540</v>
      </c>
      <c r="F1148" t="s">
        <v>7536</v>
      </c>
      <c r="H1148" t="s">
        <v>1436</v>
      </c>
      <c r="J1148">
        <v>55960</v>
      </c>
      <c r="L1148" t="s">
        <v>5942</v>
      </c>
    </row>
    <row r="1149" spans="1:12" x14ac:dyDescent="0.35">
      <c r="A1149" t="s">
        <v>26</v>
      </c>
      <c r="B1149" s="1">
        <v>45717</v>
      </c>
      <c r="C1149" t="s">
        <v>7541</v>
      </c>
      <c r="D1149" t="s">
        <v>1439</v>
      </c>
      <c r="E1149" t="s">
        <v>7542</v>
      </c>
      <c r="F1149" t="s">
        <v>6804</v>
      </c>
      <c r="G1149" t="s">
        <v>7535</v>
      </c>
      <c r="H1149" t="s">
        <v>1436</v>
      </c>
      <c r="I1149" s="1">
        <v>45717</v>
      </c>
      <c r="K1149">
        <v>21580</v>
      </c>
      <c r="L1149" t="s">
        <v>6803</v>
      </c>
    </row>
    <row r="1150" spans="1:12" x14ac:dyDescent="0.35">
      <c r="A1150" t="s">
        <v>26</v>
      </c>
      <c r="B1150" s="1">
        <v>45717</v>
      </c>
      <c r="C1150" t="s">
        <v>7541</v>
      </c>
      <c r="D1150" t="s">
        <v>1439</v>
      </c>
      <c r="E1150" t="s">
        <v>7542</v>
      </c>
      <c r="F1150" t="s">
        <v>7536</v>
      </c>
      <c r="H1150" t="s">
        <v>1436</v>
      </c>
      <c r="J1150">
        <v>21580</v>
      </c>
      <c r="L1150" t="s">
        <v>5942</v>
      </c>
    </row>
    <row r="1151" spans="1:12" x14ac:dyDescent="0.35">
      <c r="A1151" t="s">
        <v>26</v>
      </c>
      <c r="B1151" s="1">
        <v>45717</v>
      </c>
      <c r="C1151" t="s">
        <v>7543</v>
      </c>
      <c r="D1151" t="s">
        <v>1440</v>
      </c>
      <c r="E1151" t="s">
        <v>7544</v>
      </c>
      <c r="F1151" t="s">
        <v>6804</v>
      </c>
      <c r="G1151" t="s">
        <v>7535</v>
      </c>
      <c r="H1151" t="s">
        <v>1436</v>
      </c>
      <c r="I1151" s="1">
        <v>45717</v>
      </c>
      <c r="K1151">
        <v>4425</v>
      </c>
      <c r="L1151" t="s">
        <v>6803</v>
      </c>
    </row>
    <row r="1152" spans="1:12" x14ac:dyDescent="0.35">
      <c r="A1152" t="s">
        <v>26</v>
      </c>
      <c r="B1152" s="1">
        <v>45717</v>
      </c>
      <c r="C1152" t="s">
        <v>7543</v>
      </c>
      <c r="D1152" t="s">
        <v>1440</v>
      </c>
      <c r="E1152" t="s">
        <v>7544</v>
      </c>
      <c r="F1152" t="s">
        <v>7536</v>
      </c>
      <c r="H1152" t="s">
        <v>1436</v>
      </c>
      <c r="J1152">
        <v>4425</v>
      </c>
      <c r="L1152" t="s">
        <v>5942</v>
      </c>
    </row>
    <row r="1153" spans="1:12" x14ac:dyDescent="0.35">
      <c r="A1153" t="s">
        <v>26</v>
      </c>
      <c r="B1153" s="1">
        <v>45717</v>
      </c>
      <c r="C1153" t="s">
        <v>7545</v>
      </c>
      <c r="D1153" t="s">
        <v>1441</v>
      </c>
      <c r="E1153" t="s">
        <v>7546</v>
      </c>
      <c r="F1153" t="s">
        <v>6804</v>
      </c>
      <c r="G1153" t="s">
        <v>7535</v>
      </c>
      <c r="H1153" t="s">
        <v>1436</v>
      </c>
      <c r="I1153" s="1">
        <v>45717</v>
      </c>
      <c r="K1153">
        <v>185723</v>
      </c>
      <c r="L1153" t="s">
        <v>6803</v>
      </c>
    </row>
    <row r="1154" spans="1:12" x14ac:dyDescent="0.35">
      <c r="A1154" t="s">
        <v>26</v>
      </c>
      <c r="B1154" s="1">
        <v>45717</v>
      </c>
      <c r="C1154" t="s">
        <v>7545</v>
      </c>
      <c r="D1154" t="s">
        <v>1441</v>
      </c>
      <c r="E1154" t="s">
        <v>7546</v>
      </c>
      <c r="F1154" t="s">
        <v>7536</v>
      </c>
      <c r="H1154" t="s">
        <v>1436</v>
      </c>
      <c r="J1154">
        <v>185723</v>
      </c>
      <c r="L1154" t="s">
        <v>5942</v>
      </c>
    </row>
    <row r="1155" spans="1:12" x14ac:dyDescent="0.35">
      <c r="A1155" t="s">
        <v>26</v>
      </c>
      <c r="B1155" s="1">
        <v>45717</v>
      </c>
      <c r="C1155" t="s">
        <v>7547</v>
      </c>
      <c r="D1155" t="s">
        <v>1442</v>
      </c>
      <c r="E1155" t="s">
        <v>7548</v>
      </c>
      <c r="F1155" t="s">
        <v>6804</v>
      </c>
      <c r="G1155" t="s">
        <v>7535</v>
      </c>
      <c r="H1155" t="s">
        <v>1436</v>
      </c>
      <c r="I1155" s="1">
        <v>45717</v>
      </c>
      <c r="K1155">
        <v>156298</v>
      </c>
      <c r="L1155" t="s">
        <v>6803</v>
      </c>
    </row>
    <row r="1156" spans="1:12" x14ac:dyDescent="0.35">
      <c r="A1156" t="s">
        <v>26</v>
      </c>
      <c r="B1156" s="1">
        <v>45717</v>
      </c>
      <c r="C1156" t="s">
        <v>7547</v>
      </c>
      <c r="D1156" t="s">
        <v>1442</v>
      </c>
      <c r="E1156" t="s">
        <v>7548</v>
      </c>
      <c r="F1156" t="s">
        <v>7536</v>
      </c>
      <c r="H1156" t="s">
        <v>1436</v>
      </c>
      <c r="J1156">
        <v>156298</v>
      </c>
      <c r="L1156" t="s">
        <v>5942</v>
      </c>
    </row>
    <row r="1157" spans="1:12" x14ac:dyDescent="0.35">
      <c r="A1157" t="s">
        <v>26</v>
      </c>
      <c r="B1157" s="1">
        <v>45719</v>
      </c>
      <c r="C1157" t="s">
        <v>7549</v>
      </c>
      <c r="D1157" t="s">
        <v>1443</v>
      </c>
      <c r="E1157" t="s">
        <v>1444</v>
      </c>
      <c r="F1157" t="s">
        <v>7550</v>
      </c>
      <c r="H1157" t="s">
        <v>1445</v>
      </c>
      <c r="J1157">
        <v>29648340</v>
      </c>
      <c r="L1157" t="s">
        <v>6803</v>
      </c>
    </row>
    <row r="1158" spans="1:12" x14ac:dyDescent="0.35">
      <c r="A1158" t="s">
        <v>26</v>
      </c>
      <c r="B1158" s="1">
        <v>45719</v>
      </c>
      <c r="C1158" t="s">
        <v>7549</v>
      </c>
      <c r="D1158" t="s">
        <v>1443</v>
      </c>
      <c r="E1158" t="s">
        <v>1444</v>
      </c>
      <c r="F1158" t="s">
        <v>6804</v>
      </c>
      <c r="G1158" t="s">
        <v>7524</v>
      </c>
      <c r="H1158" t="s">
        <v>1445</v>
      </c>
      <c r="I1158" s="1">
        <v>45779</v>
      </c>
      <c r="K1158">
        <v>31468346</v>
      </c>
      <c r="L1158" t="s">
        <v>6803</v>
      </c>
    </row>
    <row r="1159" spans="1:12" x14ac:dyDescent="0.35">
      <c r="A1159" t="s">
        <v>26</v>
      </c>
      <c r="B1159" s="1">
        <v>45719</v>
      </c>
      <c r="C1159" t="s">
        <v>7549</v>
      </c>
      <c r="D1159" t="s">
        <v>1443</v>
      </c>
      <c r="E1159" t="s">
        <v>1444</v>
      </c>
      <c r="F1159" t="s">
        <v>6806</v>
      </c>
      <c r="H1159" t="s">
        <v>1445</v>
      </c>
      <c r="J1159">
        <v>1820006</v>
      </c>
      <c r="L1159" t="s">
        <v>6803</v>
      </c>
    </row>
    <row r="1160" spans="1:12" x14ac:dyDescent="0.35">
      <c r="A1160" t="s">
        <v>26</v>
      </c>
      <c r="B1160" s="1">
        <v>45719</v>
      </c>
      <c r="C1160" t="s">
        <v>7551</v>
      </c>
      <c r="D1160" t="s">
        <v>1446</v>
      </c>
      <c r="E1160" t="s">
        <v>7552</v>
      </c>
      <c r="F1160" t="s">
        <v>6804</v>
      </c>
      <c r="G1160" t="s">
        <v>1447</v>
      </c>
      <c r="H1160" t="s">
        <v>1448</v>
      </c>
      <c r="I1160" s="1">
        <v>45719</v>
      </c>
      <c r="K1160">
        <v>6722318</v>
      </c>
      <c r="L1160" t="s">
        <v>6803</v>
      </c>
    </row>
    <row r="1161" spans="1:12" x14ac:dyDescent="0.35">
      <c r="A1161" t="s">
        <v>26</v>
      </c>
      <c r="B1161" s="1">
        <v>45719</v>
      </c>
      <c r="C1161" t="s">
        <v>7551</v>
      </c>
      <c r="D1161" t="s">
        <v>1446</v>
      </c>
      <c r="E1161" t="s">
        <v>7552</v>
      </c>
      <c r="F1161" t="s">
        <v>7553</v>
      </c>
      <c r="H1161" t="s">
        <v>1448</v>
      </c>
      <c r="I1161" s="1">
        <v>45719</v>
      </c>
      <c r="J1161">
        <v>1165000</v>
      </c>
      <c r="L1161" t="s">
        <v>6803</v>
      </c>
    </row>
    <row r="1162" spans="1:12" x14ac:dyDescent="0.35">
      <c r="A1162" t="s">
        <v>26</v>
      </c>
      <c r="B1162" s="1">
        <v>45719</v>
      </c>
      <c r="C1162" t="s">
        <v>7551</v>
      </c>
      <c r="D1162" t="s">
        <v>1446</v>
      </c>
      <c r="E1162" t="s">
        <v>7552</v>
      </c>
      <c r="F1162" t="s">
        <v>6819</v>
      </c>
      <c r="H1162" t="s">
        <v>1448</v>
      </c>
      <c r="J1162">
        <v>1025438</v>
      </c>
      <c r="L1162" t="s">
        <v>6803</v>
      </c>
    </row>
    <row r="1163" spans="1:12" x14ac:dyDescent="0.35">
      <c r="A1163" t="s">
        <v>26</v>
      </c>
      <c r="B1163" s="1">
        <v>45719</v>
      </c>
      <c r="C1163" t="s">
        <v>7551</v>
      </c>
      <c r="D1163" t="s">
        <v>1446</v>
      </c>
      <c r="E1163" t="s">
        <v>7552</v>
      </c>
      <c r="F1163" t="s">
        <v>7554</v>
      </c>
      <c r="H1163" t="s">
        <v>1448</v>
      </c>
      <c r="J1163">
        <v>4531880</v>
      </c>
      <c r="L1163" t="s">
        <v>5903</v>
      </c>
    </row>
    <row r="1164" spans="1:12" x14ac:dyDescent="0.35">
      <c r="A1164" t="s">
        <v>26</v>
      </c>
      <c r="B1164" s="1">
        <v>45719</v>
      </c>
      <c r="C1164" t="s">
        <v>7555</v>
      </c>
      <c r="D1164" t="s">
        <v>1449</v>
      </c>
      <c r="E1164" t="s">
        <v>1450</v>
      </c>
      <c r="F1164" t="s">
        <v>6804</v>
      </c>
      <c r="G1164" t="s">
        <v>6843</v>
      </c>
      <c r="H1164" t="s">
        <v>1451</v>
      </c>
      <c r="I1164" s="1">
        <v>45719</v>
      </c>
      <c r="K1164">
        <v>1470138</v>
      </c>
      <c r="L1164" t="s">
        <v>6803</v>
      </c>
    </row>
    <row r="1165" spans="1:12" x14ac:dyDescent="0.35">
      <c r="A1165" t="s">
        <v>26</v>
      </c>
      <c r="B1165" s="1">
        <v>45719</v>
      </c>
      <c r="C1165" t="s">
        <v>7555</v>
      </c>
      <c r="D1165" t="s">
        <v>1449</v>
      </c>
      <c r="E1165" t="s">
        <v>1450</v>
      </c>
      <c r="F1165" t="s">
        <v>6819</v>
      </c>
      <c r="H1165" t="s">
        <v>1451</v>
      </c>
      <c r="J1165">
        <v>224258</v>
      </c>
      <c r="L1165" t="s">
        <v>6803</v>
      </c>
    </row>
    <row r="1166" spans="1:12" x14ac:dyDescent="0.35">
      <c r="A1166" t="s">
        <v>26</v>
      </c>
      <c r="B1166" s="1">
        <v>45719</v>
      </c>
      <c r="C1166" t="s">
        <v>7555</v>
      </c>
      <c r="D1166" t="s">
        <v>1449</v>
      </c>
      <c r="E1166" t="s">
        <v>1450</v>
      </c>
      <c r="F1166" t="s">
        <v>7556</v>
      </c>
      <c r="H1166" t="s">
        <v>1451</v>
      </c>
      <c r="J1166">
        <v>1245880</v>
      </c>
      <c r="L1166" t="s">
        <v>5946</v>
      </c>
    </row>
    <row r="1167" spans="1:12" x14ac:dyDescent="0.35">
      <c r="A1167" t="s">
        <v>26</v>
      </c>
      <c r="B1167" s="1">
        <v>45719</v>
      </c>
      <c r="C1167" t="s">
        <v>7557</v>
      </c>
      <c r="D1167" t="s">
        <v>1452</v>
      </c>
      <c r="E1167" t="s">
        <v>7558</v>
      </c>
      <c r="F1167" t="s">
        <v>6804</v>
      </c>
      <c r="G1167" t="s">
        <v>7097</v>
      </c>
      <c r="H1167" t="s">
        <v>1453</v>
      </c>
      <c r="I1167" s="1">
        <v>45719</v>
      </c>
      <c r="K1167">
        <v>2076800</v>
      </c>
      <c r="L1167" t="s">
        <v>6803</v>
      </c>
    </row>
    <row r="1168" spans="1:12" x14ac:dyDescent="0.35">
      <c r="A1168" t="s">
        <v>26</v>
      </c>
      <c r="B1168" s="1">
        <v>45719</v>
      </c>
      <c r="C1168" t="s">
        <v>7557</v>
      </c>
      <c r="D1168" t="s">
        <v>1452</v>
      </c>
      <c r="E1168" t="s">
        <v>7558</v>
      </c>
      <c r="F1168" t="s">
        <v>6819</v>
      </c>
      <c r="H1168" t="s">
        <v>1453</v>
      </c>
      <c r="J1168">
        <v>316800</v>
      </c>
      <c r="L1168" t="s">
        <v>6803</v>
      </c>
    </row>
    <row r="1169" spans="1:12" x14ac:dyDescent="0.35">
      <c r="A1169" t="s">
        <v>26</v>
      </c>
      <c r="B1169" s="1">
        <v>45719</v>
      </c>
      <c r="C1169" t="s">
        <v>7557</v>
      </c>
      <c r="D1169" t="s">
        <v>1452</v>
      </c>
      <c r="E1169" t="s">
        <v>7558</v>
      </c>
      <c r="F1169" t="s">
        <v>7502</v>
      </c>
      <c r="H1169" t="s">
        <v>1453</v>
      </c>
      <c r="J1169">
        <v>1760000</v>
      </c>
      <c r="L1169" t="s">
        <v>5945</v>
      </c>
    </row>
    <row r="1170" spans="1:12" x14ac:dyDescent="0.35">
      <c r="A1170" t="s">
        <v>26</v>
      </c>
      <c r="B1170" s="1">
        <v>45720</v>
      </c>
      <c r="C1170" t="s">
        <v>7559</v>
      </c>
      <c r="D1170" t="s">
        <v>1454</v>
      </c>
      <c r="E1170" t="s">
        <v>1455</v>
      </c>
      <c r="F1170" t="s">
        <v>6804</v>
      </c>
      <c r="G1170" t="s">
        <v>1216</v>
      </c>
      <c r="H1170" t="s">
        <v>1456</v>
      </c>
      <c r="I1170" s="1">
        <v>45720</v>
      </c>
      <c r="K1170">
        <v>211200</v>
      </c>
      <c r="L1170" t="s">
        <v>6803</v>
      </c>
    </row>
    <row r="1171" spans="1:12" x14ac:dyDescent="0.35">
      <c r="A1171" t="s">
        <v>26</v>
      </c>
      <c r="B1171" s="1">
        <v>45720</v>
      </c>
      <c r="C1171" t="s">
        <v>7559</v>
      </c>
      <c r="D1171" t="s">
        <v>1454</v>
      </c>
      <c r="E1171" t="s">
        <v>1455</v>
      </c>
      <c r="F1171" t="s">
        <v>7560</v>
      </c>
      <c r="H1171" t="s">
        <v>1456</v>
      </c>
      <c r="K1171">
        <v>28800</v>
      </c>
      <c r="L1171" t="s">
        <v>6803</v>
      </c>
    </row>
    <row r="1172" spans="1:12" x14ac:dyDescent="0.35">
      <c r="A1172" t="s">
        <v>26</v>
      </c>
      <c r="B1172" s="1">
        <v>45720</v>
      </c>
      <c r="C1172" t="s">
        <v>7559</v>
      </c>
      <c r="D1172" t="s">
        <v>1454</v>
      </c>
      <c r="E1172" t="s">
        <v>1455</v>
      </c>
      <c r="F1172" t="s">
        <v>7318</v>
      </c>
      <c r="G1172" t="s">
        <v>1216</v>
      </c>
      <c r="H1172" t="s">
        <v>1456</v>
      </c>
      <c r="J1172">
        <v>240000</v>
      </c>
      <c r="L1172" t="s">
        <v>6803</v>
      </c>
    </row>
    <row r="1173" spans="1:12" x14ac:dyDescent="0.35">
      <c r="A1173" t="s">
        <v>26</v>
      </c>
      <c r="B1173" s="1">
        <v>45720</v>
      </c>
      <c r="C1173" t="s">
        <v>7561</v>
      </c>
      <c r="D1173" t="s">
        <v>1457</v>
      </c>
      <c r="E1173" t="s">
        <v>7562</v>
      </c>
      <c r="F1173" t="s">
        <v>6804</v>
      </c>
      <c r="G1173" t="s">
        <v>1458</v>
      </c>
      <c r="H1173" t="s">
        <v>1459</v>
      </c>
      <c r="I1173" s="1">
        <v>45720</v>
      </c>
      <c r="K1173">
        <v>100000</v>
      </c>
      <c r="L1173" t="s">
        <v>6803</v>
      </c>
    </row>
    <row r="1174" spans="1:12" x14ac:dyDescent="0.35">
      <c r="A1174" t="s">
        <v>26</v>
      </c>
      <c r="B1174" s="1">
        <v>45720</v>
      </c>
      <c r="C1174" t="s">
        <v>7561</v>
      </c>
      <c r="D1174" t="s">
        <v>1457</v>
      </c>
      <c r="E1174" t="s">
        <v>7562</v>
      </c>
      <c r="F1174" t="s">
        <v>7563</v>
      </c>
      <c r="H1174" t="s">
        <v>1459</v>
      </c>
      <c r="J1174">
        <v>100000</v>
      </c>
      <c r="L1174" t="s">
        <v>5940</v>
      </c>
    </row>
    <row r="1175" spans="1:12" x14ac:dyDescent="0.35">
      <c r="A1175" t="s">
        <v>26</v>
      </c>
      <c r="B1175" s="1">
        <v>45720</v>
      </c>
      <c r="C1175" t="s">
        <v>7564</v>
      </c>
      <c r="D1175" t="s">
        <v>1460</v>
      </c>
      <c r="E1175" t="s">
        <v>7565</v>
      </c>
      <c r="F1175" t="s">
        <v>6804</v>
      </c>
      <c r="G1175" t="s">
        <v>7097</v>
      </c>
      <c r="H1175" t="s">
        <v>1461</v>
      </c>
      <c r="I1175" s="1">
        <v>45720</v>
      </c>
      <c r="K1175">
        <v>5200000</v>
      </c>
      <c r="L1175" t="s">
        <v>6803</v>
      </c>
    </row>
    <row r="1176" spans="1:12" x14ac:dyDescent="0.35">
      <c r="A1176" t="s">
        <v>26</v>
      </c>
      <c r="B1176" s="1">
        <v>45720</v>
      </c>
      <c r="C1176" t="s">
        <v>7564</v>
      </c>
      <c r="D1176" t="s">
        <v>1460</v>
      </c>
      <c r="E1176" t="s">
        <v>7565</v>
      </c>
      <c r="F1176" t="s">
        <v>7355</v>
      </c>
      <c r="H1176" t="s">
        <v>1461</v>
      </c>
      <c r="J1176">
        <v>5200000</v>
      </c>
      <c r="L1176" t="s">
        <v>5907</v>
      </c>
    </row>
    <row r="1177" spans="1:12" x14ac:dyDescent="0.35">
      <c r="A1177" t="s">
        <v>26</v>
      </c>
      <c r="B1177" s="1">
        <v>45720</v>
      </c>
      <c r="C1177" t="s">
        <v>7566</v>
      </c>
      <c r="D1177" t="s">
        <v>1462</v>
      </c>
      <c r="E1177" t="s">
        <v>7567</v>
      </c>
      <c r="F1177" t="s">
        <v>6804</v>
      </c>
      <c r="G1177" t="s">
        <v>7354</v>
      </c>
      <c r="H1177" t="s">
        <v>1463</v>
      </c>
      <c r="I1177" s="1">
        <v>45808</v>
      </c>
      <c r="K1177">
        <v>296000</v>
      </c>
      <c r="L1177" t="s">
        <v>6803</v>
      </c>
    </row>
    <row r="1178" spans="1:12" x14ac:dyDescent="0.35">
      <c r="A1178" t="s">
        <v>26</v>
      </c>
      <c r="B1178" s="1">
        <v>45720</v>
      </c>
      <c r="C1178" t="s">
        <v>7566</v>
      </c>
      <c r="D1178" t="s">
        <v>1462</v>
      </c>
      <c r="E1178" t="s">
        <v>7567</v>
      </c>
      <c r="F1178" t="s">
        <v>7568</v>
      </c>
      <c r="H1178" t="s">
        <v>1463</v>
      </c>
      <c r="J1178">
        <v>296000</v>
      </c>
      <c r="L1178" t="s">
        <v>347</v>
      </c>
    </row>
    <row r="1179" spans="1:12" x14ac:dyDescent="0.35">
      <c r="A1179" t="s">
        <v>26</v>
      </c>
      <c r="B1179" s="1">
        <v>45720</v>
      </c>
      <c r="C1179" t="s">
        <v>7569</v>
      </c>
      <c r="D1179" t="s">
        <v>1464</v>
      </c>
      <c r="E1179" t="s">
        <v>1465</v>
      </c>
      <c r="F1179" t="s">
        <v>6804</v>
      </c>
      <c r="G1179" t="s">
        <v>7350</v>
      </c>
      <c r="H1179" t="s">
        <v>1466</v>
      </c>
      <c r="I1179" s="1">
        <v>45750</v>
      </c>
      <c r="K1179">
        <v>106554</v>
      </c>
      <c r="L1179" t="s">
        <v>6803</v>
      </c>
    </row>
    <row r="1180" spans="1:12" x14ac:dyDescent="0.35">
      <c r="A1180" t="s">
        <v>26</v>
      </c>
      <c r="B1180" s="1">
        <v>45720</v>
      </c>
      <c r="C1180" t="s">
        <v>7569</v>
      </c>
      <c r="D1180" t="s">
        <v>1464</v>
      </c>
      <c r="E1180" t="s">
        <v>1465</v>
      </c>
      <c r="F1180" t="s">
        <v>6819</v>
      </c>
      <c r="H1180" t="s">
        <v>1466</v>
      </c>
      <c r="J1180">
        <v>16254</v>
      </c>
      <c r="L1180" t="s">
        <v>6803</v>
      </c>
    </row>
    <row r="1181" spans="1:12" x14ac:dyDescent="0.35">
      <c r="A1181" t="s">
        <v>26</v>
      </c>
      <c r="B1181" s="1">
        <v>45720</v>
      </c>
      <c r="C1181" t="s">
        <v>7569</v>
      </c>
      <c r="D1181" t="s">
        <v>1464</v>
      </c>
      <c r="E1181" t="s">
        <v>1465</v>
      </c>
      <c r="F1181" t="s">
        <v>7318</v>
      </c>
      <c r="G1181" t="s">
        <v>7350</v>
      </c>
      <c r="H1181" t="s">
        <v>1466</v>
      </c>
      <c r="J1181">
        <v>90300</v>
      </c>
      <c r="L1181" t="s">
        <v>6803</v>
      </c>
    </row>
    <row r="1182" spans="1:12" x14ac:dyDescent="0.35">
      <c r="A1182" t="s">
        <v>26</v>
      </c>
      <c r="B1182" s="1">
        <v>45720</v>
      </c>
      <c r="C1182" t="s">
        <v>7570</v>
      </c>
      <c r="D1182" t="s">
        <v>1467</v>
      </c>
      <c r="E1182" t="s">
        <v>7571</v>
      </c>
      <c r="F1182" t="s">
        <v>6804</v>
      </c>
      <c r="G1182" t="s">
        <v>7350</v>
      </c>
      <c r="H1182" t="s">
        <v>1468</v>
      </c>
      <c r="I1182" s="1">
        <v>45750</v>
      </c>
      <c r="K1182">
        <v>97940</v>
      </c>
      <c r="L1182" t="s">
        <v>6803</v>
      </c>
    </row>
    <row r="1183" spans="1:12" x14ac:dyDescent="0.35">
      <c r="A1183" t="s">
        <v>26</v>
      </c>
      <c r="B1183" s="1">
        <v>45720</v>
      </c>
      <c r="C1183" t="s">
        <v>7570</v>
      </c>
      <c r="D1183" t="s">
        <v>1467</v>
      </c>
      <c r="E1183" t="s">
        <v>7571</v>
      </c>
      <c r="F1183" t="s">
        <v>7572</v>
      </c>
      <c r="G1183" t="s">
        <v>1469</v>
      </c>
      <c r="H1183" t="s">
        <v>1468</v>
      </c>
      <c r="J1183">
        <v>97940</v>
      </c>
      <c r="L1183" t="s">
        <v>6803</v>
      </c>
    </row>
    <row r="1184" spans="1:12" x14ac:dyDescent="0.35">
      <c r="A1184" t="s">
        <v>26</v>
      </c>
      <c r="B1184" s="1">
        <v>45720</v>
      </c>
      <c r="C1184" t="s">
        <v>7573</v>
      </c>
      <c r="D1184" t="s">
        <v>1470</v>
      </c>
      <c r="E1184" t="s">
        <v>7574</v>
      </c>
      <c r="F1184" t="s">
        <v>6804</v>
      </c>
      <c r="G1184" t="s">
        <v>7350</v>
      </c>
      <c r="H1184" t="s">
        <v>1471</v>
      </c>
      <c r="I1184" s="1">
        <v>45750</v>
      </c>
      <c r="K1184">
        <v>264084</v>
      </c>
      <c r="L1184" t="s">
        <v>6803</v>
      </c>
    </row>
    <row r="1185" spans="1:12" x14ac:dyDescent="0.35">
      <c r="A1185" t="s">
        <v>26</v>
      </c>
      <c r="B1185" s="1">
        <v>45720</v>
      </c>
      <c r="C1185" t="s">
        <v>7573</v>
      </c>
      <c r="D1185" t="s">
        <v>1470</v>
      </c>
      <c r="E1185" t="s">
        <v>7574</v>
      </c>
      <c r="F1185" t="s">
        <v>7318</v>
      </c>
      <c r="G1185" t="s">
        <v>7350</v>
      </c>
      <c r="H1185" t="s">
        <v>1471</v>
      </c>
      <c r="J1185">
        <v>264084</v>
      </c>
      <c r="L1185" t="s">
        <v>6803</v>
      </c>
    </row>
    <row r="1186" spans="1:12" x14ac:dyDescent="0.35">
      <c r="A1186" t="s">
        <v>26</v>
      </c>
      <c r="B1186" s="1">
        <v>45720</v>
      </c>
      <c r="C1186" t="s">
        <v>7575</v>
      </c>
      <c r="D1186" t="s">
        <v>1472</v>
      </c>
      <c r="E1186" t="s">
        <v>1473</v>
      </c>
      <c r="F1186" t="s">
        <v>6804</v>
      </c>
      <c r="G1186" t="s">
        <v>7350</v>
      </c>
      <c r="H1186" t="s">
        <v>1474</v>
      </c>
      <c r="I1186" s="1">
        <v>45750</v>
      </c>
      <c r="K1186">
        <v>460200</v>
      </c>
      <c r="L1186" t="s">
        <v>6803</v>
      </c>
    </row>
    <row r="1187" spans="1:12" x14ac:dyDescent="0.35">
      <c r="A1187" t="s">
        <v>26</v>
      </c>
      <c r="B1187" s="1">
        <v>45720</v>
      </c>
      <c r="C1187" t="s">
        <v>7575</v>
      </c>
      <c r="D1187" t="s">
        <v>1472</v>
      </c>
      <c r="E1187" t="s">
        <v>1473</v>
      </c>
      <c r="F1187" t="s">
        <v>6819</v>
      </c>
      <c r="H1187" t="s">
        <v>1474</v>
      </c>
      <c r="J1187">
        <v>70200</v>
      </c>
      <c r="L1187" t="s">
        <v>6803</v>
      </c>
    </row>
    <row r="1188" spans="1:12" x14ac:dyDescent="0.35">
      <c r="A1188" t="s">
        <v>26</v>
      </c>
      <c r="B1188" s="1">
        <v>45720</v>
      </c>
      <c r="C1188" t="s">
        <v>7575</v>
      </c>
      <c r="D1188" t="s">
        <v>1472</v>
      </c>
      <c r="E1188" t="s">
        <v>1473</v>
      </c>
      <c r="F1188" t="s">
        <v>7318</v>
      </c>
      <c r="G1188" t="s">
        <v>7350</v>
      </c>
      <c r="H1188" t="s">
        <v>1474</v>
      </c>
      <c r="J1188">
        <v>390000</v>
      </c>
      <c r="L1188" t="s">
        <v>6803</v>
      </c>
    </row>
    <row r="1189" spans="1:12" x14ac:dyDescent="0.35">
      <c r="A1189" t="s">
        <v>26</v>
      </c>
      <c r="B1189" s="1">
        <v>45720</v>
      </c>
      <c r="C1189" t="s">
        <v>7576</v>
      </c>
      <c r="D1189" t="s">
        <v>1475</v>
      </c>
      <c r="E1189" t="s">
        <v>1476</v>
      </c>
      <c r="F1189" t="s">
        <v>6804</v>
      </c>
      <c r="G1189" t="s">
        <v>7350</v>
      </c>
      <c r="H1189" t="s">
        <v>1477</v>
      </c>
      <c r="I1189" s="1">
        <v>45750</v>
      </c>
      <c r="K1189">
        <v>708000</v>
      </c>
      <c r="L1189" t="s">
        <v>6803</v>
      </c>
    </row>
    <row r="1190" spans="1:12" x14ac:dyDescent="0.35">
      <c r="A1190" t="s">
        <v>26</v>
      </c>
      <c r="B1190" s="1">
        <v>45720</v>
      </c>
      <c r="C1190" t="s">
        <v>7576</v>
      </c>
      <c r="D1190" t="s">
        <v>1475</v>
      </c>
      <c r="E1190" t="s">
        <v>1476</v>
      </c>
      <c r="F1190" t="s">
        <v>6819</v>
      </c>
      <c r="H1190" t="s">
        <v>1477</v>
      </c>
      <c r="J1190">
        <v>108000</v>
      </c>
      <c r="L1190" t="s">
        <v>6803</v>
      </c>
    </row>
    <row r="1191" spans="1:12" x14ac:dyDescent="0.35">
      <c r="A1191" t="s">
        <v>26</v>
      </c>
      <c r="B1191" s="1">
        <v>45720</v>
      </c>
      <c r="C1191" t="s">
        <v>7576</v>
      </c>
      <c r="D1191" t="s">
        <v>1475</v>
      </c>
      <c r="E1191" t="s">
        <v>1476</v>
      </c>
      <c r="F1191" t="s">
        <v>7318</v>
      </c>
      <c r="G1191" t="s">
        <v>7350</v>
      </c>
      <c r="H1191" t="s">
        <v>1477</v>
      </c>
      <c r="J1191">
        <v>600000</v>
      </c>
      <c r="L1191" t="s">
        <v>6803</v>
      </c>
    </row>
    <row r="1192" spans="1:12" x14ac:dyDescent="0.35">
      <c r="A1192" t="s">
        <v>26</v>
      </c>
      <c r="B1192" s="1">
        <v>45720</v>
      </c>
      <c r="C1192" t="s">
        <v>7577</v>
      </c>
      <c r="D1192" t="s">
        <v>1478</v>
      </c>
      <c r="E1192" t="s">
        <v>1479</v>
      </c>
      <c r="F1192" t="s">
        <v>6804</v>
      </c>
      <c r="G1192" t="s">
        <v>7350</v>
      </c>
      <c r="H1192" t="s">
        <v>1480</v>
      </c>
      <c r="I1192" s="1">
        <v>45750</v>
      </c>
      <c r="K1192">
        <v>708000</v>
      </c>
      <c r="L1192" t="s">
        <v>6803</v>
      </c>
    </row>
    <row r="1193" spans="1:12" x14ac:dyDescent="0.35">
      <c r="A1193" t="s">
        <v>26</v>
      </c>
      <c r="B1193" s="1">
        <v>45720</v>
      </c>
      <c r="C1193" t="s">
        <v>7577</v>
      </c>
      <c r="D1193" t="s">
        <v>1478</v>
      </c>
      <c r="E1193" t="s">
        <v>1479</v>
      </c>
      <c r="F1193" t="s">
        <v>6819</v>
      </c>
      <c r="H1193" t="s">
        <v>1480</v>
      </c>
      <c r="J1193">
        <v>108000</v>
      </c>
      <c r="L1193" t="s">
        <v>6803</v>
      </c>
    </row>
    <row r="1194" spans="1:12" x14ac:dyDescent="0.35">
      <c r="A1194" t="s">
        <v>26</v>
      </c>
      <c r="B1194" s="1">
        <v>45720</v>
      </c>
      <c r="C1194" t="s">
        <v>7577</v>
      </c>
      <c r="D1194" t="s">
        <v>1478</v>
      </c>
      <c r="E1194" t="s">
        <v>1479</v>
      </c>
      <c r="F1194" t="s">
        <v>7318</v>
      </c>
      <c r="G1194" t="s">
        <v>7350</v>
      </c>
      <c r="H1194" t="s">
        <v>1480</v>
      </c>
      <c r="J1194">
        <v>600000</v>
      </c>
      <c r="L1194" t="s">
        <v>6803</v>
      </c>
    </row>
    <row r="1195" spans="1:12" x14ac:dyDescent="0.35">
      <c r="A1195" t="s">
        <v>26</v>
      </c>
      <c r="B1195" s="1">
        <v>45720</v>
      </c>
      <c r="C1195" t="s">
        <v>7578</v>
      </c>
      <c r="D1195" t="s">
        <v>1481</v>
      </c>
      <c r="E1195" t="s">
        <v>7579</v>
      </c>
      <c r="F1195" t="s">
        <v>6804</v>
      </c>
      <c r="G1195" t="s">
        <v>7326</v>
      </c>
      <c r="H1195" t="s">
        <v>1482</v>
      </c>
      <c r="I1195" s="1">
        <v>45780</v>
      </c>
      <c r="K1195">
        <v>1000000</v>
      </c>
      <c r="L1195" t="s">
        <v>6803</v>
      </c>
    </row>
    <row r="1196" spans="1:12" x14ac:dyDescent="0.35">
      <c r="A1196" t="s">
        <v>26</v>
      </c>
      <c r="B1196" s="1">
        <v>45720</v>
      </c>
      <c r="C1196" t="s">
        <v>7578</v>
      </c>
      <c r="D1196" t="s">
        <v>1481</v>
      </c>
      <c r="E1196" t="s">
        <v>7579</v>
      </c>
      <c r="F1196" t="s">
        <v>6819</v>
      </c>
      <c r="H1196" t="s">
        <v>1482</v>
      </c>
      <c r="J1196">
        <v>152542</v>
      </c>
      <c r="L1196" t="s">
        <v>6803</v>
      </c>
    </row>
    <row r="1197" spans="1:12" x14ac:dyDescent="0.35">
      <c r="A1197" t="s">
        <v>26</v>
      </c>
      <c r="B1197" s="1">
        <v>45720</v>
      </c>
      <c r="C1197" t="s">
        <v>7578</v>
      </c>
      <c r="D1197" t="s">
        <v>1481</v>
      </c>
      <c r="E1197" t="s">
        <v>7579</v>
      </c>
      <c r="F1197" t="s">
        <v>7318</v>
      </c>
      <c r="G1197" t="s">
        <v>7326</v>
      </c>
      <c r="H1197" t="s">
        <v>1482</v>
      </c>
      <c r="J1197">
        <v>847458</v>
      </c>
      <c r="L1197" t="s">
        <v>6803</v>
      </c>
    </row>
    <row r="1198" spans="1:12" x14ac:dyDescent="0.35">
      <c r="A1198" t="s">
        <v>26</v>
      </c>
      <c r="B1198" s="1">
        <v>45720</v>
      </c>
      <c r="C1198" t="s">
        <v>7580</v>
      </c>
      <c r="D1198" t="s">
        <v>1483</v>
      </c>
      <c r="E1198" t="s">
        <v>1484</v>
      </c>
      <c r="F1198" t="s">
        <v>6804</v>
      </c>
      <c r="G1198" t="s">
        <v>7581</v>
      </c>
      <c r="H1198" t="s">
        <v>1485</v>
      </c>
      <c r="I1198" s="1">
        <v>45720</v>
      </c>
      <c r="K1198">
        <v>12449000</v>
      </c>
      <c r="L1198" t="s">
        <v>6803</v>
      </c>
    </row>
    <row r="1199" spans="1:12" x14ac:dyDescent="0.35">
      <c r="A1199" t="s">
        <v>26</v>
      </c>
      <c r="B1199" s="1">
        <v>45720</v>
      </c>
      <c r="C1199" t="s">
        <v>7580</v>
      </c>
      <c r="D1199" t="s">
        <v>1483</v>
      </c>
      <c r="E1199" t="s">
        <v>1484</v>
      </c>
      <c r="F1199" t="s">
        <v>6819</v>
      </c>
      <c r="H1199" t="s">
        <v>1485</v>
      </c>
      <c r="J1199">
        <v>1899000</v>
      </c>
      <c r="L1199" t="s">
        <v>6803</v>
      </c>
    </row>
    <row r="1200" spans="1:12" x14ac:dyDescent="0.35">
      <c r="A1200" t="s">
        <v>26</v>
      </c>
      <c r="B1200" s="1">
        <v>45720</v>
      </c>
      <c r="C1200" t="s">
        <v>7580</v>
      </c>
      <c r="D1200" t="s">
        <v>1483</v>
      </c>
      <c r="E1200" t="s">
        <v>1484</v>
      </c>
      <c r="F1200" t="s">
        <v>7338</v>
      </c>
      <c r="H1200" t="s">
        <v>1485</v>
      </c>
      <c r="J1200">
        <v>10550000</v>
      </c>
      <c r="L1200" t="s">
        <v>6803</v>
      </c>
    </row>
    <row r="1201" spans="1:12" x14ac:dyDescent="0.35">
      <c r="A1201" t="s">
        <v>26</v>
      </c>
      <c r="B1201" s="1">
        <v>45720</v>
      </c>
      <c r="C1201" t="s">
        <v>7582</v>
      </c>
      <c r="D1201" t="s">
        <v>1486</v>
      </c>
      <c r="E1201" t="s">
        <v>1487</v>
      </c>
      <c r="F1201" t="s">
        <v>7514</v>
      </c>
      <c r="G1201" t="s">
        <v>7521</v>
      </c>
      <c r="H1201" t="s">
        <v>1405</v>
      </c>
      <c r="K1201">
        <v>28971</v>
      </c>
      <c r="L1201" t="s">
        <v>6803</v>
      </c>
    </row>
    <row r="1202" spans="1:12" x14ac:dyDescent="0.35">
      <c r="A1202" t="s">
        <v>26</v>
      </c>
      <c r="B1202" s="1">
        <v>45720</v>
      </c>
      <c r="C1202" t="s">
        <v>7582</v>
      </c>
      <c r="D1202" t="s">
        <v>1486</v>
      </c>
      <c r="E1202" t="s">
        <v>1487</v>
      </c>
      <c r="F1202" t="s">
        <v>7516</v>
      </c>
      <c r="H1202" t="s">
        <v>1405</v>
      </c>
      <c r="J1202">
        <v>28971</v>
      </c>
      <c r="L1202" t="s">
        <v>5928</v>
      </c>
    </row>
    <row r="1203" spans="1:12" x14ac:dyDescent="0.35">
      <c r="A1203" t="s">
        <v>26</v>
      </c>
      <c r="B1203" s="1">
        <v>45720</v>
      </c>
      <c r="C1203" t="s">
        <v>7583</v>
      </c>
      <c r="D1203" t="s">
        <v>1488</v>
      </c>
      <c r="E1203" t="s">
        <v>1489</v>
      </c>
      <c r="F1203" t="s">
        <v>7514</v>
      </c>
      <c r="G1203" t="s">
        <v>7521</v>
      </c>
      <c r="H1203" t="s">
        <v>1405</v>
      </c>
      <c r="K1203">
        <v>342831</v>
      </c>
      <c r="L1203" t="s">
        <v>6803</v>
      </c>
    </row>
    <row r="1204" spans="1:12" x14ac:dyDescent="0.35">
      <c r="A1204" t="s">
        <v>26</v>
      </c>
      <c r="B1204" s="1">
        <v>45720</v>
      </c>
      <c r="C1204" t="s">
        <v>7583</v>
      </c>
      <c r="D1204" t="s">
        <v>1488</v>
      </c>
      <c r="E1204" t="s">
        <v>1489</v>
      </c>
      <c r="F1204" t="s">
        <v>7516</v>
      </c>
      <c r="H1204" t="s">
        <v>1405</v>
      </c>
      <c r="J1204">
        <v>342831</v>
      </c>
      <c r="L1204" t="s">
        <v>5928</v>
      </c>
    </row>
    <row r="1205" spans="1:12" x14ac:dyDescent="0.35">
      <c r="A1205" t="s">
        <v>26</v>
      </c>
      <c r="B1205" s="1">
        <v>45721</v>
      </c>
      <c r="C1205" t="s">
        <v>7584</v>
      </c>
      <c r="D1205" t="s">
        <v>1490</v>
      </c>
      <c r="E1205" t="s">
        <v>7585</v>
      </c>
      <c r="F1205" t="s">
        <v>7514</v>
      </c>
      <c r="G1205" t="s">
        <v>7586</v>
      </c>
      <c r="H1205" t="s">
        <v>1491</v>
      </c>
      <c r="K1205">
        <v>171099</v>
      </c>
      <c r="L1205" t="s">
        <v>6803</v>
      </c>
    </row>
    <row r="1206" spans="1:12" x14ac:dyDescent="0.35">
      <c r="A1206" t="s">
        <v>26</v>
      </c>
      <c r="B1206" s="1">
        <v>45721</v>
      </c>
      <c r="C1206" t="s">
        <v>7584</v>
      </c>
      <c r="D1206" t="s">
        <v>1490</v>
      </c>
      <c r="E1206" t="s">
        <v>7585</v>
      </c>
      <c r="F1206" t="s">
        <v>7516</v>
      </c>
      <c r="H1206" t="s">
        <v>1491</v>
      </c>
      <c r="J1206">
        <v>171099</v>
      </c>
      <c r="L1206" t="s">
        <v>5928</v>
      </c>
    </row>
    <row r="1207" spans="1:12" x14ac:dyDescent="0.35">
      <c r="A1207" t="s">
        <v>26</v>
      </c>
      <c r="B1207" s="1">
        <v>45721</v>
      </c>
      <c r="C1207" t="s">
        <v>7587</v>
      </c>
      <c r="D1207" t="s">
        <v>1492</v>
      </c>
      <c r="E1207" t="s">
        <v>7588</v>
      </c>
      <c r="F1207" t="s">
        <v>7514</v>
      </c>
      <c r="G1207" t="s">
        <v>7586</v>
      </c>
      <c r="H1207" t="s">
        <v>1491</v>
      </c>
      <c r="K1207">
        <v>1709722</v>
      </c>
      <c r="L1207" t="s">
        <v>6803</v>
      </c>
    </row>
    <row r="1208" spans="1:12" x14ac:dyDescent="0.35">
      <c r="A1208" t="s">
        <v>26</v>
      </c>
      <c r="B1208" s="1">
        <v>45721</v>
      </c>
      <c r="C1208" t="s">
        <v>7587</v>
      </c>
      <c r="D1208" t="s">
        <v>1492</v>
      </c>
      <c r="E1208" t="s">
        <v>7588</v>
      </c>
      <c r="F1208" t="s">
        <v>7516</v>
      </c>
      <c r="H1208" t="s">
        <v>1491</v>
      </c>
      <c r="J1208">
        <v>1709722</v>
      </c>
      <c r="L1208" t="s">
        <v>5928</v>
      </c>
    </row>
    <row r="1209" spans="1:12" x14ac:dyDescent="0.35">
      <c r="A1209" t="s">
        <v>26</v>
      </c>
      <c r="B1209" s="1">
        <v>45721</v>
      </c>
      <c r="C1209" t="s">
        <v>7589</v>
      </c>
      <c r="D1209" t="s">
        <v>1493</v>
      </c>
      <c r="E1209" t="s">
        <v>7590</v>
      </c>
      <c r="F1209" t="s">
        <v>7514</v>
      </c>
      <c r="G1209" t="s">
        <v>7586</v>
      </c>
      <c r="H1209" t="s">
        <v>1491</v>
      </c>
      <c r="K1209">
        <v>372880</v>
      </c>
      <c r="L1209" t="s">
        <v>6803</v>
      </c>
    </row>
    <row r="1210" spans="1:12" x14ac:dyDescent="0.35">
      <c r="A1210" t="s">
        <v>26</v>
      </c>
      <c r="B1210" s="1">
        <v>45721</v>
      </c>
      <c r="C1210" t="s">
        <v>7589</v>
      </c>
      <c r="D1210" t="s">
        <v>1493</v>
      </c>
      <c r="E1210" t="s">
        <v>7590</v>
      </c>
      <c r="F1210" t="s">
        <v>7516</v>
      </c>
      <c r="H1210" t="s">
        <v>1491</v>
      </c>
      <c r="J1210">
        <v>372880</v>
      </c>
      <c r="L1210" t="s">
        <v>5928</v>
      </c>
    </row>
    <row r="1211" spans="1:12" x14ac:dyDescent="0.35">
      <c r="A1211" t="s">
        <v>26</v>
      </c>
      <c r="B1211" s="1">
        <v>45721</v>
      </c>
      <c r="C1211" t="s">
        <v>7591</v>
      </c>
      <c r="D1211" t="s">
        <v>1494</v>
      </c>
      <c r="E1211" t="s">
        <v>7592</v>
      </c>
      <c r="F1211" t="s">
        <v>7514</v>
      </c>
      <c r="G1211" t="s">
        <v>7586</v>
      </c>
      <c r="H1211" t="s">
        <v>1491</v>
      </c>
      <c r="K1211">
        <v>1762827</v>
      </c>
      <c r="L1211" t="s">
        <v>6803</v>
      </c>
    </row>
    <row r="1212" spans="1:12" x14ac:dyDescent="0.35">
      <c r="A1212" t="s">
        <v>26</v>
      </c>
      <c r="B1212" s="1">
        <v>45721</v>
      </c>
      <c r="C1212" t="s">
        <v>7591</v>
      </c>
      <c r="D1212" t="s">
        <v>1494</v>
      </c>
      <c r="E1212" t="s">
        <v>7592</v>
      </c>
      <c r="F1212" t="s">
        <v>7516</v>
      </c>
      <c r="H1212" t="s">
        <v>1491</v>
      </c>
      <c r="J1212">
        <v>1762827</v>
      </c>
      <c r="L1212" t="s">
        <v>5928</v>
      </c>
    </row>
    <row r="1213" spans="1:12" x14ac:dyDescent="0.35">
      <c r="A1213" t="s">
        <v>26</v>
      </c>
      <c r="B1213" s="1">
        <v>45722</v>
      </c>
      <c r="C1213" t="s">
        <v>7593</v>
      </c>
      <c r="D1213" t="s">
        <v>1495</v>
      </c>
      <c r="E1213" t="s">
        <v>7375</v>
      </c>
      <c r="F1213" t="s">
        <v>6804</v>
      </c>
      <c r="G1213" t="s">
        <v>7594</v>
      </c>
      <c r="H1213" t="s">
        <v>1496</v>
      </c>
      <c r="I1213" s="1">
        <v>45722</v>
      </c>
      <c r="K1213">
        <v>114120</v>
      </c>
      <c r="L1213" t="s">
        <v>6803</v>
      </c>
    </row>
    <row r="1214" spans="1:12" x14ac:dyDescent="0.35">
      <c r="A1214" t="s">
        <v>26</v>
      </c>
      <c r="B1214" s="1">
        <v>45722</v>
      </c>
      <c r="C1214" t="s">
        <v>7593</v>
      </c>
      <c r="D1214" t="s">
        <v>1495</v>
      </c>
      <c r="E1214" t="s">
        <v>7375</v>
      </c>
      <c r="F1214" t="s">
        <v>6819</v>
      </c>
      <c r="H1214" t="s">
        <v>1496</v>
      </c>
      <c r="J1214">
        <v>16570</v>
      </c>
      <c r="L1214" t="s">
        <v>6803</v>
      </c>
    </row>
    <row r="1215" spans="1:12" x14ac:dyDescent="0.35">
      <c r="A1215" t="s">
        <v>26</v>
      </c>
      <c r="B1215" s="1">
        <v>45722</v>
      </c>
      <c r="C1215" t="s">
        <v>7593</v>
      </c>
      <c r="D1215" t="s">
        <v>1495</v>
      </c>
      <c r="E1215" t="s">
        <v>7375</v>
      </c>
      <c r="F1215" t="s">
        <v>7595</v>
      </c>
      <c r="H1215" t="s">
        <v>1496</v>
      </c>
      <c r="J1215">
        <v>97550</v>
      </c>
      <c r="L1215" t="s">
        <v>5905</v>
      </c>
    </row>
    <row r="1216" spans="1:12" x14ac:dyDescent="0.35">
      <c r="A1216" t="s">
        <v>26</v>
      </c>
      <c r="B1216" s="1">
        <v>45722</v>
      </c>
      <c r="C1216" t="s">
        <v>7596</v>
      </c>
      <c r="D1216" t="s">
        <v>1497</v>
      </c>
      <c r="E1216" t="s">
        <v>7427</v>
      </c>
      <c r="F1216" t="s">
        <v>6804</v>
      </c>
      <c r="G1216" t="s">
        <v>7594</v>
      </c>
      <c r="H1216" t="s">
        <v>1498</v>
      </c>
      <c r="I1216" s="1">
        <v>45722</v>
      </c>
      <c r="K1216">
        <v>146635</v>
      </c>
      <c r="L1216" t="s">
        <v>6803</v>
      </c>
    </row>
    <row r="1217" spans="1:12" x14ac:dyDescent="0.35">
      <c r="A1217" t="s">
        <v>26</v>
      </c>
      <c r="B1217" s="1">
        <v>45722</v>
      </c>
      <c r="C1217" t="s">
        <v>7596</v>
      </c>
      <c r="D1217" t="s">
        <v>1497</v>
      </c>
      <c r="E1217" t="s">
        <v>7427</v>
      </c>
      <c r="F1217" t="s">
        <v>7597</v>
      </c>
      <c r="H1217" t="s">
        <v>1498</v>
      </c>
      <c r="J1217">
        <v>146635</v>
      </c>
      <c r="L1217" t="s">
        <v>6803</v>
      </c>
    </row>
    <row r="1218" spans="1:12" x14ac:dyDescent="0.35">
      <c r="A1218" t="s">
        <v>26</v>
      </c>
      <c r="B1218" s="1">
        <v>45722</v>
      </c>
      <c r="C1218" t="s">
        <v>7598</v>
      </c>
      <c r="D1218" t="s">
        <v>1499</v>
      </c>
      <c r="E1218" t="s">
        <v>7437</v>
      </c>
      <c r="F1218" t="s">
        <v>6804</v>
      </c>
      <c r="G1218" t="s">
        <v>7594</v>
      </c>
      <c r="H1218" t="s">
        <v>1500</v>
      </c>
      <c r="I1218" s="1">
        <v>45722</v>
      </c>
      <c r="K1218">
        <v>848585</v>
      </c>
      <c r="L1218" t="s">
        <v>6803</v>
      </c>
    </row>
    <row r="1219" spans="1:12" x14ac:dyDescent="0.35">
      <c r="A1219" t="s">
        <v>26</v>
      </c>
      <c r="B1219" s="1">
        <v>45722</v>
      </c>
      <c r="C1219" t="s">
        <v>7598</v>
      </c>
      <c r="D1219" t="s">
        <v>1499</v>
      </c>
      <c r="E1219" t="s">
        <v>7437</v>
      </c>
      <c r="F1219" t="s">
        <v>7597</v>
      </c>
      <c r="H1219" t="s">
        <v>1500</v>
      </c>
      <c r="J1219">
        <v>848585</v>
      </c>
      <c r="L1219" t="s">
        <v>6803</v>
      </c>
    </row>
    <row r="1220" spans="1:12" x14ac:dyDescent="0.35">
      <c r="A1220" t="s">
        <v>26</v>
      </c>
      <c r="B1220" s="1">
        <v>45722</v>
      </c>
      <c r="C1220" t="s">
        <v>7599</v>
      </c>
      <c r="D1220" t="s">
        <v>1501</v>
      </c>
      <c r="E1220" t="s">
        <v>7404</v>
      </c>
      <c r="F1220" t="s">
        <v>6804</v>
      </c>
      <c r="G1220" t="s">
        <v>7594</v>
      </c>
      <c r="H1220" t="s">
        <v>1502</v>
      </c>
      <c r="I1220" s="1">
        <v>45722</v>
      </c>
      <c r="K1220">
        <v>817475</v>
      </c>
      <c r="L1220" t="s">
        <v>6803</v>
      </c>
    </row>
    <row r="1221" spans="1:12" x14ac:dyDescent="0.35">
      <c r="A1221" t="s">
        <v>26</v>
      </c>
      <c r="B1221" s="1">
        <v>45722</v>
      </c>
      <c r="C1221" t="s">
        <v>7599</v>
      </c>
      <c r="D1221" t="s">
        <v>1501</v>
      </c>
      <c r="E1221" t="s">
        <v>7404</v>
      </c>
      <c r="F1221" t="s">
        <v>6819</v>
      </c>
      <c r="H1221" t="s">
        <v>1502</v>
      </c>
      <c r="J1221">
        <v>122270</v>
      </c>
      <c r="L1221" t="s">
        <v>6803</v>
      </c>
    </row>
    <row r="1222" spans="1:12" x14ac:dyDescent="0.35">
      <c r="A1222" t="s">
        <v>26</v>
      </c>
      <c r="B1222" s="1">
        <v>45722</v>
      </c>
      <c r="C1222" t="s">
        <v>7599</v>
      </c>
      <c r="D1222" t="s">
        <v>1501</v>
      </c>
      <c r="E1222" t="s">
        <v>7404</v>
      </c>
      <c r="F1222" t="s">
        <v>7595</v>
      </c>
      <c r="H1222" t="s">
        <v>1502</v>
      </c>
      <c r="J1222">
        <v>695205</v>
      </c>
      <c r="L1222" t="s">
        <v>10116</v>
      </c>
    </row>
    <row r="1223" spans="1:12" x14ac:dyDescent="0.35">
      <c r="A1223" t="s">
        <v>26</v>
      </c>
      <c r="B1223" s="1">
        <v>45722</v>
      </c>
      <c r="C1223" t="s">
        <v>7600</v>
      </c>
      <c r="D1223" t="s">
        <v>1503</v>
      </c>
      <c r="E1223" t="s">
        <v>7567</v>
      </c>
      <c r="F1223" t="s">
        <v>6804</v>
      </c>
      <c r="G1223" t="s">
        <v>7594</v>
      </c>
      <c r="H1223" t="s">
        <v>1504</v>
      </c>
      <c r="I1223" s="1">
        <v>45722</v>
      </c>
      <c r="K1223">
        <v>875620</v>
      </c>
      <c r="L1223" t="s">
        <v>6803</v>
      </c>
    </row>
    <row r="1224" spans="1:12" x14ac:dyDescent="0.35">
      <c r="A1224" t="s">
        <v>26</v>
      </c>
      <c r="B1224" s="1">
        <v>45722</v>
      </c>
      <c r="C1224" t="s">
        <v>7600</v>
      </c>
      <c r="D1224" t="s">
        <v>1503</v>
      </c>
      <c r="E1224" t="s">
        <v>7567</v>
      </c>
      <c r="F1224" t="s">
        <v>6819</v>
      </c>
      <c r="H1224" t="s">
        <v>1504</v>
      </c>
      <c r="J1224">
        <v>128610</v>
      </c>
      <c r="L1224" t="s">
        <v>6803</v>
      </c>
    </row>
    <row r="1225" spans="1:12" x14ac:dyDescent="0.35">
      <c r="A1225" t="s">
        <v>26</v>
      </c>
      <c r="B1225" s="1">
        <v>45722</v>
      </c>
      <c r="C1225" t="s">
        <v>7600</v>
      </c>
      <c r="D1225" t="s">
        <v>1503</v>
      </c>
      <c r="E1225" t="s">
        <v>7567</v>
      </c>
      <c r="F1225" t="s">
        <v>7595</v>
      </c>
      <c r="H1225" t="s">
        <v>1504</v>
      </c>
      <c r="J1225">
        <v>747010</v>
      </c>
      <c r="L1225" t="s">
        <v>10115</v>
      </c>
    </row>
    <row r="1226" spans="1:12" x14ac:dyDescent="0.35">
      <c r="A1226" t="s">
        <v>26</v>
      </c>
      <c r="B1226" s="1">
        <v>45722</v>
      </c>
      <c r="C1226" t="s">
        <v>7601</v>
      </c>
      <c r="D1226" t="s">
        <v>1505</v>
      </c>
      <c r="E1226" t="s">
        <v>7602</v>
      </c>
      <c r="F1226" t="s">
        <v>6804</v>
      </c>
      <c r="G1226" t="s">
        <v>7594</v>
      </c>
      <c r="H1226" t="s">
        <v>1506</v>
      </c>
      <c r="I1226" s="1">
        <v>45722</v>
      </c>
      <c r="K1226">
        <v>786360</v>
      </c>
      <c r="L1226" t="s">
        <v>6803</v>
      </c>
    </row>
    <row r="1227" spans="1:12" x14ac:dyDescent="0.35">
      <c r="A1227" t="s">
        <v>26</v>
      </c>
      <c r="B1227" s="1">
        <v>45722</v>
      </c>
      <c r="C1227" t="s">
        <v>7601</v>
      </c>
      <c r="D1227" t="s">
        <v>1505</v>
      </c>
      <c r="E1227" t="s">
        <v>7602</v>
      </c>
      <c r="F1227" t="s">
        <v>6819</v>
      </c>
      <c r="H1227" t="s">
        <v>1506</v>
      </c>
      <c r="J1227">
        <v>116995</v>
      </c>
      <c r="L1227" t="s">
        <v>6803</v>
      </c>
    </row>
    <row r="1228" spans="1:12" x14ac:dyDescent="0.35">
      <c r="A1228" t="s">
        <v>26</v>
      </c>
      <c r="B1228" s="1">
        <v>45722</v>
      </c>
      <c r="C1228" t="s">
        <v>7601</v>
      </c>
      <c r="D1228" t="s">
        <v>1505</v>
      </c>
      <c r="E1228" t="s">
        <v>7602</v>
      </c>
      <c r="F1228" t="s">
        <v>7595</v>
      </c>
      <c r="H1228" t="s">
        <v>1506</v>
      </c>
      <c r="J1228">
        <v>669365</v>
      </c>
      <c r="L1228" t="s">
        <v>5904</v>
      </c>
    </row>
    <row r="1229" spans="1:12" x14ac:dyDescent="0.35">
      <c r="A1229" t="s">
        <v>26</v>
      </c>
      <c r="B1229" s="1">
        <v>45722</v>
      </c>
      <c r="C1229" t="s">
        <v>7603</v>
      </c>
      <c r="D1229" t="s">
        <v>1507</v>
      </c>
      <c r="E1229" t="s">
        <v>7604</v>
      </c>
      <c r="F1229" t="s">
        <v>6804</v>
      </c>
      <c r="G1229" t="s">
        <v>7605</v>
      </c>
      <c r="H1229" t="s">
        <v>1508</v>
      </c>
      <c r="I1229" s="1">
        <v>45722</v>
      </c>
      <c r="K1229">
        <v>471467</v>
      </c>
      <c r="L1229" t="s">
        <v>6803</v>
      </c>
    </row>
    <row r="1230" spans="1:12" x14ac:dyDescent="0.35">
      <c r="A1230" t="s">
        <v>26</v>
      </c>
      <c r="B1230" s="1">
        <v>45722</v>
      </c>
      <c r="C1230" t="s">
        <v>7603</v>
      </c>
      <c r="D1230" t="s">
        <v>1507</v>
      </c>
      <c r="E1230" t="s">
        <v>7604</v>
      </c>
      <c r="F1230" t="s">
        <v>6819</v>
      </c>
      <c r="H1230" t="s">
        <v>1508</v>
      </c>
      <c r="J1230">
        <v>31631</v>
      </c>
      <c r="L1230" t="s">
        <v>6803</v>
      </c>
    </row>
    <row r="1231" spans="1:12" x14ac:dyDescent="0.35">
      <c r="A1231" t="s">
        <v>26</v>
      </c>
      <c r="B1231" s="1">
        <v>45722</v>
      </c>
      <c r="C1231" t="s">
        <v>7603</v>
      </c>
      <c r="D1231" t="s">
        <v>1507</v>
      </c>
      <c r="E1231" t="s">
        <v>7604</v>
      </c>
      <c r="F1231" t="s">
        <v>7606</v>
      </c>
      <c r="H1231" t="s">
        <v>1508</v>
      </c>
      <c r="J1231">
        <v>439836</v>
      </c>
      <c r="L1231" t="s">
        <v>5905</v>
      </c>
    </row>
    <row r="1232" spans="1:12" x14ac:dyDescent="0.35">
      <c r="A1232" t="s">
        <v>26</v>
      </c>
      <c r="B1232" s="1">
        <v>45722</v>
      </c>
      <c r="C1232" t="s">
        <v>7607</v>
      </c>
      <c r="D1232" t="s">
        <v>1509</v>
      </c>
      <c r="E1232" t="s">
        <v>7608</v>
      </c>
      <c r="F1232" t="s">
        <v>6804</v>
      </c>
      <c r="G1232" t="s">
        <v>7609</v>
      </c>
      <c r="H1232" t="s">
        <v>1510</v>
      </c>
      <c r="I1232" s="1">
        <v>45722</v>
      </c>
      <c r="K1232">
        <v>4950000</v>
      </c>
      <c r="L1232" t="s">
        <v>6803</v>
      </c>
    </row>
    <row r="1233" spans="1:12" x14ac:dyDescent="0.35">
      <c r="A1233" t="s">
        <v>26</v>
      </c>
      <c r="B1233" s="1">
        <v>45722</v>
      </c>
      <c r="C1233" t="s">
        <v>7607</v>
      </c>
      <c r="D1233" t="s">
        <v>1509</v>
      </c>
      <c r="E1233" t="s">
        <v>7608</v>
      </c>
      <c r="F1233" t="s">
        <v>7502</v>
      </c>
      <c r="H1233" t="s">
        <v>1510</v>
      </c>
      <c r="J1233">
        <v>4950000</v>
      </c>
      <c r="L1233" t="s">
        <v>5945</v>
      </c>
    </row>
    <row r="1234" spans="1:12" x14ac:dyDescent="0.35">
      <c r="A1234" t="s">
        <v>26</v>
      </c>
      <c r="B1234" s="1">
        <v>45722</v>
      </c>
      <c r="C1234" t="s">
        <v>7173</v>
      </c>
      <c r="D1234" t="s">
        <v>1511</v>
      </c>
      <c r="E1234" t="s">
        <v>1512</v>
      </c>
      <c r="F1234" t="s">
        <v>6804</v>
      </c>
      <c r="G1234" t="s">
        <v>7610</v>
      </c>
      <c r="H1234" t="s">
        <v>1513</v>
      </c>
      <c r="I1234" s="1">
        <v>45722</v>
      </c>
      <c r="K1234">
        <v>324615</v>
      </c>
      <c r="L1234" t="s">
        <v>6803</v>
      </c>
    </row>
    <row r="1235" spans="1:12" x14ac:dyDescent="0.35">
      <c r="A1235" t="s">
        <v>26</v>
      </c>
      <c r="B1235" s="1">
        <v>45722</v>
      </c>
      <c r="C1235" t="s">
        <v>7173</v>
      </c>
      <c r="D1235" t="s">
        <v>1511</v>
      </c>
      <c r="E1235" t="s">
        <v>1512</v>
      </c>
      <c r="F1235" t="s">
        <v>6806</v>
      </c>
      <c r="H1235" t="s">
        <v>1513</v>
      </c>
      <c r="J1235">
        <v>48762</v>
      </c>
      <c r="L1235" t="s">
        <v>6803</v>
      </c>
    </row>
    <row r="1236" spans="1:12" x14ac:dyDescent="0.35">
      <c r="A1236" t="s">
        <v>26</v>
      </c>
      <c r="B1236" s="1">
        <v>45722</v>
      </c>
      <c r="C1236" t="s">
        <v>7173</v>
      </c>
      <c r="D1236" t="s">
        <v>1511</v>
      </c>
      <c r="E1236" t="s">
        <v>1512</v>
      </c>
      <c r="F1236" t="s">
        <v>7611</v>
      </c>
      <c r="H1236" t="s">
        <v>1513</v>
      </c>
      <c r="J1236">
        <v>275853</v>
      </c>
      <c r="L1236" t="s">
        <v>5905</v>
      </c>
    </row>
    <row r="1237" spans="1:12" x14ac:dyDescent="0.35">
      <c r="A1237" t="s">
        <v>26</v>
      </c>
      <c r="B1237" s="1">
        <v>45722</v>
      </c>
      <c r="C1237" t="s">
        <v>7612</v>
      </c>
      <c r="D1237" t="s">
        <v>1514</v>
      </c>
      <c r="E1237" t="s">
        <v>1515</v>
      </c>
      <c r="F1237" t="s">
        <v>7514</v>
      </c>
      <c r="G1237" t="s">
        <v>7521</v>
      </c>
      <c r="H1237" t="s">
        <v>1405</v>
      </c>
      <c r="K1237">
        <v>173829</v>
      </c>
      <c r="L1237" t="s">
        <v>6803</v>
      </c>
    </row>
    <row r="1238" spans="1:12" x14ac:dyDescent="0.35">
      <c r="A1238" t="s">
        <v>26</v>
      </c>
      <c r="B1238" s="1">
        <v>45722</v>
      </c>
      <c r="C1238" t="s">
        <v>7612</v>
      </c>
      <c r="D1238" t="s">
        <v>1514</v>
      </c>
      <c r="E1238" t="s">
        <v>1515</v>
      </c>
      <c r="F1238" t="s">
        <v>7516</v>
      </c>
      <c r="H1238" t="s">
        <v>1405</v>
      </c>
      <c r="J1238">
        <v>173829</v>
      </c>
      <c r="L1238" t="s">
        <v>5928</v>
      </c>
    </row>
    <row r="1239" spans="1:12" x14ac:dyDescent="0.35">
      <c r="A1239" t="s">
        <v>26</v>
      </c>
      <c r="B1239" s="1">
        <v>45723</v>
      </c>
      <c r="C1239" t="s">
        <v>7613</v>
      </c>
      <c r="D1239" t="s">
        <v>1516</v>
      </c>
      <c r="E1239" t="s">
        <v>1517</v>
      </c>
      <c r="F1239" t="s">
        <v>6804</v>
      </c>
      <c r="G1239" t="s">
        <v>7614</v>
      </c>
      <c r="H1239" t="s">
        <v>1518</v>
      </c>
      <c r="I1239" s="1">
        <v>45723</v>
      </c>
      <c r="K1239">
        <v>1654012</v>
      </c>
      <c r="L1239" t="s">
        <v>6803</v>
      </c>
    </row>
    <row r="1240" spans="1:12" x14ac:dyDescent="0.35">
      <c r="A1240" t="s">
        <v>26</v>
      </c>
      <c r="B1240" s="1">
        <v>45723</v>
      </c>
      <c r="C1240" t="s">
        <v>7613</v>
      </c>
      <c r="D1240" t="s">
        <v>1516</v>
      </c>
      <c r="E1240" t="s">
        <v>1517</v>
      </c>
      <c r="F1240" t="s">
        <v>6819</v>
      </c>
      <c r="H1240" t="s">
        <v>1518</v>
      </c>
      <c r="J1240">
        <v>252307</v>
      </c>
      <c r="L1240" t="s">
        <v>6803</v>
      </c>
    </row>
    <row r="1241" spans="1:12" x14ac:dyDescent="0.35">
      <c r="A1241" t="s">
        <v>26</v>
      </c>
      <c r="B1241" s="1">
        <v>45723</v>
      </c>
      <c r="C1241" t="s">
        <v>7613</v>
      </c>
      <c r="D1241" t="s">
        <v>1516</v>
      </c>
      <c r="E1241" t="s">
        <v>1517</v>
      </c>
      <c r="F1241" t="s">
        <v>7615</v>
      </c>
      <c r="H1241" t="s">
        <v>1518</v>
      </c>
      <c r="J1241">
        <v>1401705</v>
      </c>
      <c r="L1241" t="s">
        <v>5905</v>
      </c>
    </row>
    <row r="1242" spans="1:12" x14ac:dyDescent="0.35">
      <c r="A1242" t="s">
        <v>26</v>
      </c>
      <c r="B1242" s="1">
        <v>45723</v>
      </c>
      <c r="C1242" t="s">
        <v>7616</v>
      </c>
      <c r="D1242" t="s">
        <v>1519</v>
      </c>
      <c r="E1242" t="s">
        <v>7425</v>
      </c>
      <c r="F1242" t="s">
        <v>6804</v>
      </c>
      <c r="G1242" t="s">
        <v>7617</v>
      </c>
      <c r="H1242" t="s">
        <v>1520</v>
      </c>
      <c r="I1242" s="1">
        <v>45723</v>
      </c>
      <c r="K1242">
        <v>6131571</v>
      </c>
      <c r="L1242" t="s">
        <v>6803</v>
      </c>
    </row>
    <row r="1243" spans="1:12" x14ac:dyDescent="0.35">
      <c r="A1243" t="s">
        <v>26</v>
      </c>
      <c r="B1243" s="1">
        <v>45723</v>
      </c>
      <c r="C1243" t="s">
        <v>7616</v>
      </c>
      <c r="D1243" t="s">
        <v>1519</v>
      </c>
      <c r="E1243" t="s">
        <v>7425</v>
      </c>
      <c r="F1243" t="s">
        <v>6819</v>
      </c>
      <c r="H1243" t="s">
        <v>1520</v>
      </c>
      <c r="J1243">
        <v>935324</v>
      </c>
      <c r="L1243" t="s">
        <v>6803</v>
      </c>
    </row>
    <row r="1244" spans="1:12" x14ac:dyDescent="0.35">
      <c r="A1244" t="s">
        <v>26</v>
      </c>
      <c r="B1244" s="1">
        <v>45723</v>
      </c>
      <c r="C1244" t="s">
        <v>7616</v>
      </c>
      <c r="D1244" t="s">
        <v>1519</v>
      </c>
      <c r="E1244" t="s">
        <v>7425</v>
      </c>
      <c r="F1244" t="s">
        <v>7618</v>
      </c>
      <c r="H1244" t="s">
        <v>1520</v>
      </c>
      <c r="J1244">
        <v>5196247</v>
      </c>
      <c r="L1244" t="s">
        <v>5887</v>
      </c>
    </row>
    <row r="1245" spans="1:12" x14ac:dyDescent="0.35">
      <c r="A1245" t="s">
        <v>26</v>
      </c>
      <c r="B1245" s="1">
        <v>45723</v>
      </c>
      <c r="C1245" t="s">
        <v>7619</v>
      </c>
      <c r="D1245" t="s">
        <v>1521</v>
      </c>
      <c r="E1245" t="s">
        <v>1522</v>
      </c>
      <c r="F1245" t="s">
        <v>6804</v>
      </c>
      <c r="G1245" t="s">
        <v>7620</v>
      </c>
      <c r="H1245" t="s">
        <v>1523</v>
      </c>
      <c r="I1245" s="1">
        <v>45753</v>
      </c>
      <c r="K1245">
        <v>653307</v>
      </c>
      <c r="L1245" t="s">
        <v>6803</v>
      </c>
    </row>
    <row r="1246" spans="1:12" x14ac:dyDescent="0.35">
      <c r="A1246" t="s">
        <v>26</v>
      </c>
      <c r="B1246" s="1">
        <v>45723</v>
      </c>
      <c r="C1246" t="s">
        <v>7619</v>
      </c>
      <c r="D1246" t="s">
        <v>1521</v>
      </c>
      <c r="E1246" t="s">
        <v>1522</v>
      </c>
      <c r="F1246" t="s">
        <v>6819</v>
      </c>
      <c r="H1246" t="s">
        <v>1523</v>
      </c>
      <c r="J1246">
        <v>99657</v>
      </c>
      <c r="L1246" t="s">
        <v>6803</v>
      </c>
    </row>
    <row r="1247" spans="1:12" x14ac:dyDescent="0.35">
      <c r="A1247" t="s">
        <v>26</v>
      </c>
      <c r="B1247" s="1">
        <v>45723</v>
      </c>
      <c r="C1247" t="s">
        <v>7619</v>
      </c>
      <c r="D1247" t="s">
        <v>1521</v>
      </c>
      <c r="E1247" t="s">
        <v>1522</v>
      </c>
      <c r="F1247" t="s">
        <v>7563</v>
      </c>
      <c r="H1247" t="s">
        <v>1523</v>
      </c>
      <c r="J1247">
        <v>553650</v>
      </c>
      <c r="L1247" t="s">
        <v>5905</v>
      </c>
    </row>
    <row r="1248" spans="1:12" x14ac:dyDescent="0.35">
      <c r="A1248" t="s">
        <v>26</v>
      </c>
      <c r="B1248" s="1">
        <v>45723</v>
      </c>
      <c r="C1248" t="s">
        <v>7621</v>
      </c>
      <c r="D1248" t="s">
        <v>1524</v>
      </c>
      <c r="E1248" t="s">
        <v>1525</v>
      </c>
      <c r="F1248" t="s">
        <v>6804</v>
      </c>
      <c r="G1248" t="s">
        <v>7620</v>
      </c>
      <c r="H1248" t="s">
        <v>1526</v>
      </c>
      <c r="I1248" s="1">
        <v>45753</v>
      </c>
      <c r="K1248">
        <v>82600</v>
      </c>
      <c r="L1248" t="s">
        <v>6803</v>
      </c>
    </row>
    <row r="1249" spans="1:12" x14ac:dyDescent="0.35">
      <c r="A1249" t="s">
        <v>26</v>
      </c>
      <c r="B1249" s="1">
        <v>45723</v>
      </c>
      <c r="C1249" t="s">
        <v>7621</v>
      </c>
      <c r="D1249" t="s">
        <v>1524</v>
      </c>
      <c r="E1249" t="s">
        <v>1525</v>
      </c>
      <c r="F1249" t="s">
        <v>6819</v>
      </c>
      <c r="H1249" t="s">
        <v>1526</v>
      </c>
      <c r="J1249">
        <v>12600</v>
      </c>
      <c r="L1249" t="s">
        <v>6803</v>
      </c>
    </row>
    <row r="1250" spans="1:12" x14ac:dyDescent="0.35">
      <c r="A1250" t="s">
        <v>26</v>
      </c>
      <c r="B1250" s="1">
        <v>45723</v>
      </c>
      <c r="C1250" t="s">
        <v>7621</v>
      </c>
      <c r="D1250" t="s">
        <v>1524</v>
      </c>
      <c r="E1250" t="s">
        <v>1525</v>
      </c>
      <c r="F1250" t="s">
        <v>7563</v>
      </c>
      <c r="H1250" t="s">
        <v>1526</v>
      </c>
      <c r="J1250">
        <v>70000</v>
      </c>
      <c r="L1250" t="s">
        <v>5928</v>
      </c>
    </row>
    <row r="1251" spans="1:12" x14ac:dyDescent="0.35">
      <c r="A1251" t="s">
        <v>26</v>
      </c>
      <c r="B1251" s="1">
        <v>45723</v>
      </c>
      <c r="C1251" t="s">
        <v>7622</v>
      </c>
      <c r="D1251" t="s">
        <v>1527</v>
      </c>
      <c r="E1251" t="s">
        <v>7623</v>
      </c>
      <c r="F1251" t="s">
        <v>6804</v>
      </c>
      <c r="G1251" t="s">
        <v>7624</v>
      </c>
      <c r="H1251" t="s">
        <v>1528</v>
      </c>
      <c r="I1251" s="1">
        <v>45723</v>
      </c>
      <c r="K1251">
        <v>390000</v>
      </c>
      <c r="L1251" t="s">
        <v>6803</v>
      </c>
    </row>
    <row r="1252" spans="1:12" x14ac:dyDescent="0.35">
      <c r="A1252" t="s">
        <v>26</v>
      </c>
      <c r="B1252" s="1">
        <v>45723</v>
      </c>
      <c r="C1252" t="s">
        <v>7622</v>
      </c>
      <c r="D1252" t="s">
        <v>1527</v>
      </c>
      <c r="E1252" t="s">
        <v>7623</v>
      </c>
      <c r="F1252" t="s">
        <v>7615</v>
      </c>
      <c r="H1252" t="s">
        <v>1528</v>
      </c>
      <c r="J1252">
        <v>390000</v>
      </c>
      <c r="L1252" t="s">
        <v>5928</v>
      </c>
    </row>
    <row r="1253" spans="1:12" x14ac:dyDescent="0.35">
      <c r="A1253" t="s">
        <v>26</v>
      </c>
      <c r="B1253" s="1">
        <v>45723</v>
      </c>
      <c r="C1253" t="s">
        <v>7625</v>
      </c>
      <c r="D1253" t="s">
        <v>1529</v>
      </c>
      <c r="E1253" t="s">
        <v>7626</v>
      </c>
      <c r="F1253" t="s">
        <v>6804</v>
      </c>
      <c r="G1253" t="s">
        <v>7624</v>
      </c>
      <c r="H1253" t="s">
        <v>1528</v>
      </c>
      <c r="I1253" s="1">
        <v>45723</v>
      </c>
      <c r="K1253">
        <v>390000</v>
      </c>
      <c r="L1253" t="s">
        <v>6803</v>
      </c>
    </row>
    <row r="1254" spans="1:12" x14ac:dyDescent="0.35">
      <c r="A1254" t="s">
        <v>26</v>
      </c>
      <c r="B1254" s="1">
        <v>45723</v>
      </c>
      <c r="C1254" t="s">
        <v>7625</v>
      </c>
      <c r="D1254" t="s">
        <v>1529</v>
      </c>
      <c r="E1254" t="s">
        <v>7626</v>
      </c>
      <c r="F1254" t="s">
        <v>7615</v>
      </c>
      <c r="H1254" t="s">
        <v>1528</v>
      </c>
      <c r="J1254">
        <v>390000</v>
      </c>
      <c r="L1254" t="s">
        <v>5928</v>
      </c>
    </row>
    <row r="1255" spans="1:12" x14ac:dyDescent="0.35">
      <c r="A1255" t="s">
        <v>26</v>
      </c>
      <c r="B1255" s="1">
        <v>45726</v>
      </c>
      <c r="C1255" t="s">
        <v>7627</v>
      </c>
      <c r="D1255" t="s">
        <v>1530</v>
      </c>
      <c r="E1255" t="s">
        <v>7628</v>
      </c>
      <c r="F1255" t="s">
        <v>6804</v>
      </c>
      <c r="G1255" t="s">
        <v>7605</v>
      </c>
      <c r="H1255" t="s">
        <v>1531</v>
      </c>
      <c r="I1255" s="1">
        <v>45726</v>
      </c>
      <c r="K1255">
        <v>4784</v>
      </c>
      <c r="L1255" t="s">
        <v>6803</v>
      </c>
    </row>
    <row r="1256" spans="1:12" x14ac:dyDescent="0.35">
      <c r="A1256" t="s">
        <v>26</v>
      </c>
      <c r="B1256" s="1">
        <v>45726</v>
      </c>
      <c r="C1256" t="s">
        <v>7627</v>
      </c>
      <c r="D1256" t="s">
        <v>1530</v>
      </c>
      <c r="E1256" t="s">
        <v>7628</v>
      </c>
      <c r="F1256" t="s">
        <v>6819</v>
      </c>
      <c r="H1256" t="s">
        <v>1531</v>
      </c>
      <c r="J1256">
        <v>438</v>
      </c>
      <c r="L1256" t="s">
        <v>6803</v>
      </c>
    </row>
    <row r="1257" spans="1:12" x14ac:dyDescent="0.35">
      <c r="A1257" t="s">
        <v>26</v>
      </c>
      <c r="B1257" s="1">
        <v>45726</v>
      </c>
      <c r="C1257" t="s">
        <v>7627</v>
      </c>
      <c r="D1257" t="s">
        <v>1530</v>
      </c>
      <c r="E1257" t="s">
        <v>7628</v>
      </c>
      <c r="F1257" t="s">
        <v>7595</v>
      </c>
      <c r="H1257" t="s">
        <v>1531</v>
      </c>
      <c r="J1257">
        <v>4346</v>
      </c>
      <c r="L1257" t="s">
        <v>10115</v>
      </c>
    </row>
    <row r="1258" spans="1:12" x14ac:dyDescent="0.35">
      <c r="A1258" t="s">
        <v>26</v>
      </c>
      <c r="B1258" s="1">
        <v>45726</v>
      </c>
      <c r="C1258" t="s">
        <v>7629</v>
      </c>
      <c r="D1258" t="s">
        <v>1532</v>
      </c>
      <c r="E1258" t="s">
        <v>7630</v>
      </c>
      <c r="F1258" t="s">
        <v>6804</v>
      </c>
      <c r="G1258" t="s">
        <v>7605</v>
      </c>
      <c r="H1258" t="s">
        <v>1533</v>
      </c>
      <c r="I1258" s="1">
        <v>45726</v>
      </c>
      <c r="K1258">
        <v>3866</v>
      </c>
      <c r="L1258" t="s">
        <v>6803</v>
      </c>
    </row>
    <row r="1259" spans="1:12" x14ac:dyDescent="0.35">
      <c r="A1259" t="s">
        <v>26</v>
      </c>
      <c r="B1259" s="1">
        <v>45726</v>
      </c>
      <c r="C1259" t="s">
        <v>7629</v>
      </c>
      <c r="D1259" t="s">
        <v>1532</v>
      </c>
      <c r="E1259" t="s">
        <v>7630</v>
      </c>
      <c r="F1259" t="s">
        <v>6819</v>
      </c>
      <c r="H1259" t="s">
        <v>1533</v>
      </c>
      <c r="J1259">
        <v>181</v>
      </c>
      <c r="L1259" t="s">
        <v>6803</v>
      </c>
    </row>
    <row r="1260" spans="1:12" x14ac:dyDescent="0.35">
      <c r="A1260" t="s">
        <v>26</v>
      </c>
      <c r="B1260" s="1">
        <v>45726</v>
      </c>
      <c r="C1260" t="s">
        <v>7629</v>
      </c>
      <c r="D1260" t="s">
        <v>1532</v>
      </c>
      <c r="E1260" t="s">
        <v>7630</v>
      </c>
      <c r="F1260" t="s">
        <v>7606</v>
      </c>
      <c r="H1260" t="s">
        <v>1533</v>
      </c>
      <c r="J1260">
        <v>3685</v>
      </c>
      <c r="L1260" t="s">
        <v>5905</v>
      </c>
    </row>
    <row r="1261" spans="1:12" x14ac:dyDescent="0.35">
      <c r="A1261" t="s">
        <v>26</v>
      </c>
      <c r="B1261" s="1">
        <v>45726</v>
      </c>
      <c r="C1261" t="s">
        <v>7631</v>
      </c>
      <c r="D1261" t="s">
        <v>1534</v>
      </c>
      <c r="E1261" t="s">
        <v>7632</v>
      </c>
      <c r="F1261" t="s">
        <v>6804</v>
      </c>
      <c r="G1261" t="s">
        <v>7605</v>
      </c>
      <c r="H1261" t="s">
        <v>1535</v>
      </c>
      <c r="I1261" s="1">
        <v>45726</v>
      </c>
      <c r="K1261">
        <v>72055</v>
      </c>
      <c r="L1261" t="s">
        <v>6803</v>
      </c>
    </row>
    <row r="1262" spans="1:12" x14ac:dyDescent="0.35">
      <c r="A1262" t="s">
        <v>26</v>
      </c>
      <c r="B1262" s="1">
        <v>45726</v>
      </c>
      <c r="C1262" t="s">
        <v>7631</v>
      </c>
      <c r="D1262" t="s">
        <v>1534</v>
      </c>
      <c r="E1262" t="s">
        <v>7632</v>
      </c>
      <c r="F1262" t="s">
        <v>7597</v>
      </c>
      <c r="H1262" t="s">
        <v>1535</v>
      </c>
      <c r="J1262">
        <v>72055</v>
      </c>
      <c r="L1262" t="s">
        <v>6803</v>
      </c>
    </row>
    <row r="1263" spans="1:12" x14ac:dyDescent="0.35">
      <c r="A1263" t="s">
        <v>26</v>
      </c>
      <c r="B1263" s="1">
        <v>45726</v>
      </c>
      <c r="C1263" t="s">
        <v>7633</v>
      </c>
      <c r="D1263" t="s">
        <v>1536</v>
      </c>
      <c r="E1263" t="s">
        <v>7634</v>
      </c>
      <c r="F1263" t="s">
        <v>6804</v>
      </c>
      <c r="G1263" t="s">
        <v>7605</v>
      </c>
      <c r="H1263" t="s">
        <v>1537</v>
      </c>
      <c r="I1263" s="1">
        <v>45726</v>
      </c>
      <c r="K1263">
        <v>56073</v>
      </c>
      <c r="L1263" t="s">
        <v>6803</v>
      </c>
    </row>
    <row r="1264" spans="1:12" x14ac:dyDescent="0.35">
      <c r="A1264" t="s">
        <v>26</v>
      </c>
      <c r="B1264" s="1">
        <v>45726</v>
      </c>
      <c r="C1264" t="s">
        <v>7633</v>
      </c>
      <c r="D1264" t="s">
        <v>1536</v>
      </c>
      <c r="E1264" t="s">
        <v>7634</v>
      </c>
      <c r="F1264" t="s">
        <v>7597</v>
      </c>
      <c r="H1264" t="s">
        <v>1537</v>
      </c>
      <c r="J1264">
        <v>56073</v>
      </c>
      <c r="L1264" t="s">
        <v>6803</v>
      </c>
    </row>
    <row r="1265" spans="1:12" x14ac:dyDescent="0.35">
      <c r="A1265" t="s">
        <v>26</v>
      </c>
      <c r="B1265" s="1">
        <v>45726</v>
      </c>
      <c r="C1265" t="s">
        <v>7635</v>
      </c>
      <c r="D1265" t="s">
        <v>1538</v>
      </c>
      <c r="E1265" t="s">
        <v>1539</v>
      </c>
      <c r="F1265" t="s">
        <v>6804</v>
      </c>
      <c r="G1265" t="s">
        <v>7357</v>
      </c>
      <c r="H1265" t="s">
        <v>1540</v>
      </c>
      <c r="I1265" s="1">
        <v>45726</v>
      </c>
      <c r="K1265">
        <v>44995</v>
      </c>
      <c r="L1265" t="s">
        <v>6803</v>
      </c>
    </row>
    <row r="1266" spans="1:12" x14ac:dyDescent="0.35">
      <c r="A1266" t="s">
        <v>26</v>
      </c>
      <c r="B1266" s="1">
        <v>45726</v>
      </c>
      <c r="C1266" t="s">
        <v>7635</v>
      </c>
      <c r="D1266" t="s">
        <v>1538</v>
      </c>
      <c r="E1266" t="s">
        <v>1539</v>
      </c>
      <c r="F1266" t="s">
        <v>6819</v>
      </c>
      <c r="H1266" t="s">
        <v>1540</v>
      </c>
      <c r="J1266">
        <v>6693</v>
      </c>
      <c r="L1266" t="s">
        <v>6803</v>
      </c>
    </row>
    <row r="1267" spans="1:12" x14ac:dyDescent="0.35">
      <c r="A1267" t="s">
        <v>26</v>
      </c>
      <c r="B1267" s="1">
        <v>45726</v>
      </c>
      <c r="C1267" t="s">
        <v>7635</v>
      </c>
      <c r="D1267" t="s">
        <v>1538</v>
      </c>
      <c r="E1267" t="s">
        <v>1539</v>
      </c>
      <c r="F1267" t="s">
        <v>7318</v>
      </c>
      <c r="G1267" t="s">
        <v>7357</v>
      </c>
      <c r="H1267" t="s">
        <v>1540</v>
      </c>
      <c r="J1267">
        <v>38302</v>
      </c>
      <c r="L1267" t="s">
        <v>6803</v>
      </c>
    </row>
    <row r="1268" spans="1:12" x14ac:dyDescent="0.35">
      <c r="A1268" t="s">
        <v>26</v>
      </c>
      <c r="B1268" s="1">
        <v>45726</v>
      </c>
      <c r="C1268" t="s">
        <v>7636</v>
      </c>
      <c r="D1268" t="s">
        <v>1541</v>
      </c>
      <c r="E1268" t="s">
        <v>1542</v>
      </c>
      <c r="F1268" t="s">
        <v>6804</v>
      </c>
      <c r="G1268" t="s">
        <v>7357</v>
      </c>
      <c r="H1268" t="s">
        <v>1540</v>
      </c>
      <c r="I1268" s="1">
        <v>45726</v>
      </c>
      <c r="K1268">
        <v>18999</v>
      </c>
      <c r="L1268" t="s">
        <v>6803</v>
      </c>
    </row>
    <row r="1269" spans="1:12" x14ac:dyDescent="0.35">
      <c r="A1269" t="s">
        <v>26</v>
      </c>
      <c r="B1269" s="1">
        <v>45726</v>
      </c>
      <c r="C1269" t="s">
        <v>7636</v>
      </c>
      <c r="D1269" t="s">
        <v>1541</v>
      </c>
      <c r="E1269" t="s">
        <v>1542</v>
      </c>
      <c r="F1269" t="s">
        <v>6819</v>
      </c>
      <c r="H1269" t="s">
        <v>1540</v>
      </c>
      <c r="J1269">
        <v>2826</v>
      </c>
      <c r="L1269" t="s">
        <v>6803</v>
      </c>
    </row>
    <row r="1270" spans="1:12" x14ac:dyDescent="0.35">
      <c r="A1270" t="s">
        <v>26</v>
      </c>
      <c r="B1270" s="1">
        <v>45726</v>
      </c>
      <c r="C1270" t="s">
        <v>7636</v>
      </c>
      <c r="D1270" t="s">
        <v>1541</v>
      </c>
      <c r="E1270" t="s">
        <v>1542</v>
      </c>
      <c r="F1270" t="s">
        <v>7318</v>
      </c>
      <c r="G1270" t="s">
        <v>7357</v>
      </c>
      <c r="H1270" t="s">
        <v>1540</v>
      </c>
      <c r="J1270">
        <v>48519</v>
      </c>
      <c r="L1270" t="s">
        <v>6803</v>
      </c>
    </row>
    <row r="1271" spans="1:12" x14ac:dyDescent="0.35">
      <c r="A1271" t="s">
        <v>26</v>
      </c>
      <c r="B1271" s="1">
        <v>45726</v>
      </c>
      <c r="C1271" t="s">
        <v>7637</v>
      </c>
      <c r="D1271" t="s">
        <v>1543</v>
      </c>
      <c r="E1271" t="s">
        <v>1544</v>
      </c>
      <c r="F1271" t="s">
        <v>6804</v>
      </c>
      <c r="G1271" t="s">
        <v>7360</v>
      </c>
      <c r="H1271" t="s">
        <v>1545</v>
      </c>
      <c r="I1271" s="1">
        <v>45747</v>
      </c>
      <c r="K1271">
        <v>2175767</v>
      </c>
      <c r="L1271" t="s">
        <v>6803</v>
      </c>
    </row>
    <row r="1272" spans="1:12" x14ac:dyDescent="0.35">
      <c r="A1272" t="s">
        <v>26</v>
      </c>
      <c r="B1272" s="1">
        <v>45726</v>
      </c>
      <c r="C1272" t="s">
        <v>7637</v>
      </c>
      <c r="D1272" t="s">
        <v>1543</v>
      </c>
      <c r="E1272" t="s">
        <v>1544</v>
      </c>
      <c r="F1272" t="s">
        <v>6819</v>
      </c>
      <c r="H1272" t="s">
        <v>1545</v>
      </c>
      <c r="J1272">
        <v>323668</v>
      </c>
      <c r="L1272" t="s">
        <v>6803</v>
      </c>
    </row>
    <row r="1273" spans="1:12" x14ac:dyDescent="0.35">
      <c r="A1273" t="s">
        <v>26</v>
      </c>
      <c r="B1273" s="1">
        <v>45726</v>
      </c>
      <c r="C1273" t="s">
        <v>7637</v>
      </c>
      <c r="D1273" t="s">
        <v>1543</v>
      </c>
      <c r="E1273" t="s">
        <v>1544</v>
      </c>
      <c r="F1273" t="s">
        <v>7318</v>
      </c>
      <c r="G1273" t="s">
        <v>7360</v>
      </c>
      <c r="H1273" t="s">
        <v>1545</v>
      </c>
      <c r="J1273">
        <v>1430000</v>
      </c>
      <c r="L1273" t="s">
        <v>6803</v>
      </c>
    </row>
    <row r="1274" spans="1:12" x14ac:dyDescent="0.35">
      <c r="A1274" t="s">
        <v>26</v>
      </c>
      <c r="B1274" s="1">
        <v>45726</v>
      </c>
      <c r="C1274" t="s">
        <v>7637</v>
      </c>
      <c r="D1274" t="s">
        <v>1543</v>
      </c>
      <c r="E1274" t="s">
        <v>1544</v>
      </c>
      <c r="F1274" t="s">
        <v>7358</v>
      </c>
      <c r="H1274" t="s">
        <v>1545</v>
      </c>
      <c r="J1274">
        <v>422099</v>
      </c>
      <c r="L1274" t="s">
        <v>5905</v>
      </c>
    </row>
    <row r="1275" spans="1:12" x14ac:dyDescent="0.35">
      <c r="A1275" t="s">
        <v>26</v>
      </c>
      <c r="B1275" s="1">
        <v>45726</v>
      </c>
      <c r="C1275" t="s">
        <v>7638</v>
      </c>
      <c r="D1275" t="s">
        <v>1546</v>
      </c>
      <c r="E1275" t="s">
        <v>7639</v>
      </c>
      <c r="F1275" t="s">
        <v>6804</v>
      </c>
      <c r="G1275" t="s">
        <v>7360</v>
      </c>
      <c r="H1275" t="s">
        <v>1547</v>
      </c>
      <c r="I1275" s="1">
        <v>45747</v>
      </c>
      <c r="K1275">
        <v>376207</v>
      </c>
      <c r="L1275" t="s">
        <v>6803</v>
      </c>
    </row>
    <row r="1276" spans="1:12" x14ac:dyDescent="0.35">
      <c r="A1276" t="s">
        <v>26</v>
      </c>
      <c r="B1276" s="1">
        <v>45726</v>
      </c>
      <c r="C1276" t="s">
        <v>7638</v>
      </c>
      <c r="D1276" t="s">
        <v>1546</v>
      </c>
      <c r="E1276" t="s">
        <v>7639</v>
      </c>
      <c r="F1276" t="s">
        <v>6819</v>
      </c>
      <c r="H1276" t="s">
        <v>1547</v>
      </c>
      <c r="J1276">
        <v>55965</v>
      </c>
      <c r="L1276" t="s">
        <v>6803</v>
      </c>
    </row>
    <row r="1277" spans="1:12" x14ac:dyDescent="0.35">
      <c r="A1277" t="s">
        <v>26</v>
      </c>
      <c r="B1277" s="1">
        <v>45726</v>
      </c>
      <c r="C1277" t="s">
        <v>7638</v>
      </c>
      <c r="D1277" t="s">
        <v>1546</v>
      </c>
      <c r="E1277" t="s">
        <v>7639</v>
      </c>
      <c r="F1277" t="s">
        <v>7318</v>
      </c>
      <c r="G1277" t="s">
        <v>7360</v>
      </c>
      <c r="H1277" t="s">
        <v>1547</v>
      </c>
      <c r="J1277">
        <v>300000</v>
      </c>
      <c r="L1277" t="s">
        <v>6803</v>
      </c>
    </row>
    <row r="1278" spans="1:12" x14ac:dyDescent="0.35">
      <c r="A1278" t="s">
        <v>26</v>
      </c>
      <c r="B1278" s="1">
        <v>45726</v>
      </c>
      <c r="C1278" t="s">
        <v>7638</v>
      </c>
      <c r="D1278" t="s">
        <v>1546</v>
      </c>
      <c r="E1278" t="s">
        <v>7639</v>
      </c>
      <c r="F1278" t="s">
        <v>7358</v>
      </c>
      <c r="H1278" t="s">
        <v>1547</v>
      </c>
      <c r="J1278">
        <v>20242</v>
      </c>
      <c r="L1278" t="s">
        <v>5905</v>
      </c>
    </row>
    <row r="1279" spans="1:12" x14ac:dyDescent="0.35">
      <c r="A1279" t="s">
        <v>26</v>
      </c>
      <c r="B1279" s="1">
        <v>45726</v>
      </c>
      <c r="C1279" t="s">
        <v>7640</v>
      </c>
      <c r="D1279" t="s">
        <v>1548</v>
      </c>
      <c r="E1279" t="s">
        <v>7641</v>
      </c>
      <c r="F1279" t="s">
        <v>6804</v>
      </c>
      <c r="G1279" t="s">
        <v>7360</v>
      </c>
      <c r="H1279" t="s">
        <v>1549</v>
      </c>
      <c r="I1279" s="1">
        <v>45747</v>
      </c>
      <c r="K1279">
        <v>4961195</v>
      </c>
      <c r="L1279" t="s">
        <v>6803</v>
      </c>
    </row>
    <row r="1280" spans="1:12" x14ac:dyDescent="0.35">
      <c r="A1280" t="s">
        <v>26</v>
      </c>
      <c r="B1280" s="1">
        <v>45726</v>
      </c>
      <c r="C1280" t="s">
        <v>7640</v>
      </c>
      <c r="D1280" t="s">
        <v>1548</v>
      </c>
      <c r="E1280" t="s">
        <v>7641</v>
      </c>
      <c r="F1280" t="s">
        <v>6819</v>
      </c>
      <c r="H1280" t="s">
        <v>1549</v>
      </c>
      <c r="J1280">
        <v>743459</v>
      </c>
      <c r="L1280" t="s">
        <v>6803</v>
      </c>
    </row>
    <row r="1281" spans="1:12" x14ac:dyDescent="0.35">
      <c r="A1281" t="s">
        <v>26</v>
      </c>
      <c r="B1281" s="1">
        <v>45726</v>
      </c>
      <c r="C1281" t="s">
        <v>7640</v>
      </c>
      <c r="D1281" t="s">
        <v>1548</v>
      </c>
      <c r="E1281" t="s">
        <v>7641</v>
      </c>
      <c r="F1281" t="s">
        <v>7318</v>
      </c>
      <c r="G1281" t="s">
        <v>7360</v>
      </c>
      <c r="H1281" t="s">
        <v>1549</v>
      </c>
      <c r="J1281">
        <v>2200000</v>
      </c>
      <c r="L1281" t="s">
        <v>6803</v>
      </c>
    </row>
    <row r="1282" spans="1:12" x14ac:dyDescent="0.35">
      <c r="A1282" t="s">
        <v>26</v>
      </c>
      <c r="B1282" s="1">
        <v>45726</v>
      </c>
      <c r="C1282" t="s">
        <v>7640</v>
      </c>
      <c r="D1282" t="s">
        <v>1548</v>
      </c>
      <c r="E1282" t="s">
        <v>7641</v>
      </c>
      <c r="F1282" t="s">
        <v>7358</v>
      </c>
      <c r="H1282" t="s">
        <v>1549</v>
      </c>
      <c r="J1282">
        <v>2017736</v>
      </c>
      <c r="L1282" t="s">
        <v>5905</v>
      </c>
    </row>
    <row r="1283" spans="1:12" x14ac:dyDescent="0.35">
      <c r="A1283" t="s">
        <v>26</v>
      </c>
      <c r="B1283" s="1">
        <v>45726</v>
      </c>
      <c r="C1283" t="s">
        <v>7642</v>
      </c>
      <c r="D1283" t="s">
        <v>1550</v>
      </c>
      <c r="E1283" t="s">
        <v>7643</v>
      </c>
      <c r="F1283" t="s">
        <v>6804</v>
      </c>
      <c r="G1283" t="s">
        <v>7360</v>
      </c>
      <c r="H1283" t="s">
        <v>1551</v>
      </c>
      <c r="I1283" s="1">
        <v>45747</v>
      </c>
      <c r="K1283">
        <v>497317</v>
      </c>
      <c r="L1283" t="s">
        <v>6803</v>
      </c>
    </row>
    <row r="1284" spans="1:12" x14ac:dyDescent="0.35">
      <c r="A1284" t="s">
        <v>26</v>
      </c>
      <c r="B1284" s="1">
        <v>45726</v>
      </c>
      <c r="C1284" t="s">
        <v>7642</v>
      </c>
      <c r="D1284" t="s">
        <v>1550</v>
      </c>
      <c r="E1284" t="s">
        <v>7643</v>
      </c>
      <c r="F1284" t="s">
        <v>6819</v>
      </c>
      <c r="H1284" t="s">
        <v>1551</v>
      </c>
      <c r="J1284">
        <v>73981</v>
      </c>
      <c r="L1284" t="s">
        <v>6803</v>
      </c>
    </row>
    <row r="1285" spans="1:12" x14ac:dyDescent="0.35">
      <c r="A1285" t="s">
        <v>26</v>
      </c>
      <c r="B1285" s="1">
        <v>45726</v>
      </c>
      <c r="C1285" t="s">
        <v>7642</v>
      </c>
      <c r="D1285" t="s">
        <v>1550</v>
      </c>
      <c r="E1285" t="s">
        <v>7643</v>
      </c>
      <c r="F1285" t="s">
        <v>7644</v>
      </c>
      <c r="G1285" t="s">
        <v>7360</v>
      </c>
      <c r="H1285" t="s">
        <v>1551</v>
      </c>
      <c r="J1285">
        <v>423336</v>
      </c>
      <c r="L1285" t="s">
        <v>6803</v>
      </c>
    </row>
    <row r="1286" spans="1:12" x14ac:dyDescent="0.35">
      <c r="A1286" t="s">
        <v>26</v>
      </c>
      <c r="B1286" s="1">
        <v>45726</v>
      </c>
      <c r="C1286" t="s">
        <v>7645</v>
      </c>
      <c r="D1286" t="s">
        <v>1552</v>
      </c>
      <c r="E1286" t="s">
        <v>7646</v>
      </c>
      <c r="F1286" t="s">
        <v>6804</v>
      </c>
      <c r="G1286" t="s">
        <v>7360</v>
      </c>
      <c r="H1286" t="s">
        <v>1553</v>
      </c>
      <c r="I1286" s="1">
        <v>45747</v>
      </c>
      <c r="K1286">
        <v>76604</v>
      </c>
      <c r="L1286" t="s">
        <v>6803</v>
      </c>
    </row>
    <row r="1287" spans="1:12" x14ac:dyDescent="0.35">
      <c r="A1287" t="s">
        <v>26</v>
      </c>
      <c r="B1287" s="1">
        <v>45726</v>
      </c>
      <c r="C1287" t="s">
        <v>7645</v>
      </c>
      <c r="D1287" t="s">
        <v>1552</v>
      </c>
      <c r="E1287" t="s">
        <v>7646</v>
      </c>
      <c r="F1287" t="s">
        <v>6819</v>
      </c>
      <c r="H1287" t="s">
        <v>1553</v>
      </c>
      <c r="J1287">
        <v>11396</v>
      </c>
      <c r="L1287" t="s">
        <v>6803</v>
      </c>
    </row>
    <row r="1288" spans="1:12" x14ac:dyDescent="0.35">
      <c r="A1288" t="s">
        <v>26</v>
      </c>
      <c r="B1288" s="1">
        <v>45726</v>
      </c>
      <c r="C1288" t="s">
        <v>7645</v>
      </c>
      <c r="D1288" t="s">
        <v>1552</v>
      </c>
      <c r="E1288" t="s">
        <v>7646</v>
      </c>
      <c r="F1288" t="s">
        <v>7318</v>
      </c>
      <c r="G1288" t="s">
        <v>7360</v>
      </c>
      <c r="H1288" t="s">
        <v>1553</v>
      </c>
      <c r="J1288">
        <v>56333</v>
      </c>
      <c r="L1288" t="s">
        <v>6803</v>
      </c>
    </row>
    <row r="1289" spans="1:12" x14ac:dyDescent="0.35">
      <c r="A1289" t="s">
        <v>26</v>
      </c>
      <c r="B1289" s="1">
        <v>45726</v>
      </c>
      <c r="C1289" t="s">
        <v>7645</v>
      </c>
      <c r="D1289" t="s">
        <v>1552</v>
      </c>
      <c r="E1289" t="s">
        <v>7646</v>
      </c>
      <c r="F1289" t="s">
        <v>7358</v>
      </c>
      <c r="H1289" t="s">
        <v>1553</v>
      </c>
      <c r="J1289">
        <v>8875</v>
      </c>
      <c r="L1289" t="s">
        <v>5905</v>
      </c>
    </row>
    <row r="1290" spans="1:12" x14ac:dyDescent="0.35">
      <c r="A1290" t="s">
        <v>26</v>
      </c>
      <c r="B1290" s="1">
        <v>45726</v>
      </c>
      <c r="C1290" t="s">
        <v>7647</v>
      </c>
      <c r="D1290" t="s">
        <v>1554</v>
      </c>
      <c r="E1290" t="s">
        <v>7648</v>
      </c>
      <c r="F1290" t="s">
        <v>6804</v>
      </c>
      <c r="G1290" t="s">
        <v>7360</v>
      </c>
      <c r="H1290" t="s">
        <v>1555</v>
      </c>
      <c r="I1290" s="1">
        <v>45747</v>
      </c>
      <c r="K1290">
        <v>4139761</v>
      </c>
      <c r="L1290" t="s">
        <v>6803</v>
      </c>
    </row>
    <row r="1291" spans="1:12" x14ac:dyDescent="0.35">
      <c r="A1291" t="s">
        <v>26</v>
      </c>
      <c r="B1291" s="1">
        <v>45726</v>
      </c>
      <c r="C1291" t="s">
        <v>7647</v>
      </c>
      <c r="D1291" t="s">
        <v>1554</v>
      </c>
      <c r="E1291" t="s">
        <v>7648</v>
      </c>
      <c r="F1291" t="s">
        <v>6819</v>
      </c>
      <c r="H1291" t="s">
        <v>1555</v>
      </c>
      <c r="J1291">
        <v>615832</v>
      </c>
      <c r="L1291" t="s">
        <v>6803</v>
      </c>
    </row>
    <row r="1292" spans="1:12" x14ac:dyDescent="0.35">
      <c r="A1292" t="s">
        <v>26</v>
      </c>
      <c r="B1292" s="1">
        <v>45726</v>
      </c>
      <c r="C1292" t="s">
        <v>7647</v>
      </c>
      <c r="D1292" t="s">
        <v>1554</v>
      </c>
      <c r="E1292" t="s">
        <v>7648</v>
      </c>
      <c r="F1292" t="s">
        <v>7644</v>
      </c>
      <c r="G1292" t="s">
        <v>7360</v>
      </c>
      <c r="H1292" t="s">
        <v>1555</v>
      </c>
      <c r="J1292">
        <v>3523929</v>
      </c>
      <c r="L1292" t="s">
        <v>6803</v>
      </c>
    </row>
    <row r="1293" spans="1:12" x14ac:dyDescent="0.35">
      <c r="A1293" t="s">
        <v>26</v>
      </c>
      <c r="B1293" s="1">
        <v>45726</v>
      </c>
      <c r="C1293" t="s">
        <v>7649</v>
      </c>
      <c r="D1293" t="s">
        <v>1556</v>
      </c>
      <c r="E1293" t="s">
        <v>7650</v>
      </c>
      <c r="F1293" t="s">
        <v>6804</v>
      </c>
      <c r="G1293" t="s">
        <v>7390</v>
      </c>
      <c r="H1293" t="s">
        <v>1557</v>
      </c>
      <c r="I1293" s="1">
        <v>45726</v>
      </c>
      <c r="K1293">
        <v>2177100</v>
      </c>
      <c r="L1293" t="s">
        <v>6803</v>
      </c>
    </row>
    <row r="1294" spans="1:12" x14ac:dyDescent="0.35">
      <c r="A1294" t="s">
        <v>26</v>
      </c>
      <c r="B1294" s="1">
        <v>45726</v>
      </c>
      <c r="C1294" t="s">
        <v>7649</v>
      </c>
      <c r="D1294" t="s">
        <v>1556</v>
      </c>
      <c r="E1294" t="s">
        <v>7650</v>
      </c>
      <c r="F1294" t="s">
        <v>6819</v>
      </c>
      <c r="H1294" t="s">
        <v>1557</v>
      </c>
      <c r="J1294">
        <v>332100</v>
      </c>
      <c r="L1294" t="s">
        <v>6803</v>
      </c>
    </row>
    <row r="1295" spans="1:12" x14ac:dyDescent="0.35">
      <c r="A1295" t="s">
        <v>26</v>
      </c>
      <c r="B1295" s="1">
        <v>45726</v>
      </c>
      <c r="C1295" t="s">
        <v>7649</v>
      </c>
      <c r="D1295" t="s">
        <v>1556</v>
      </c>
      <c r="E1295" t="s">
        <v>7650</v>
      </c>
      <c r="F1295" t="s">
        <v>7318</v>
      </c>
      <c r="G1295" t="s">
        <v>7390</v>
      </c>
      <c r="H1295" t="s">
        <v>1557</v>
      </c>
      <c r="J1295">
        <v>1800000</v>
      </c>
      <c r="L1295" t="s">
        <v>6803</v>
      </c>
    </row>
    <row r="1296" spans="1:12" x14ac:dyDescent="0.35">
      <c r="A1296" t="s">
        <v>26</v>
      </c>
      <c r="B1296" s="1">
        <v>45726</v>
      </c>
      <c r="C1296" t="s">
        <v>7649</v>
      </c>
      <c r="D1296" t="s">
        <v>1556</v>
      </c>
      <c r="E1296" t="s">
        <v>7650</v>
      </c>
      <c r="F1296" t="s">
        <v>7391</v>
      </c>
      <c r="H1296" t="s">
        <v>1557</v>
      </c>
      <c r="J1296">
        <v>45000</v>
      </c>
      <c r="L1296" t="s">
        <v>5883</v>
      </c>
    </row>
    <row r="1297" spans="1:12" x14ac:dyDescent="0.35">
      <c r="A1297" t="s">
        <v>26</v>
      </c>
      <c r="B1297" s="1">
        <v>45726</v>
      </c>
      <c r="C1297" t="s">
        <v>7651</v>
      </c>
      <c r="D1297" t="s">
        <v>1558</v>
      </c>
      <c r="E1297" t="s">
        <v>7652</v>
      </c>
      <c r="F1297" t="s">
        <v>6804</v>
      </c>
      <c r="G1297" t="s">
        <v>7390</v>
      </c>
      <c r="H1297" t="s">
        <v>1559</v>
      </c>
      <c r="I1297" s="1">
        <v>45726</v>
      </c>
      <c r="K1297">
        <v>325680</v>
      </c>
      <c r="L1297" t="s">
        <v>6803</v>
      </c>
    </row>
    <row r="1298" spans="1:12" x14ac:dyDescent="0.35">
      <c r="A1298" t="s">
        <v>26</v>
      </c>
      <c r="B1298" s="1">
        <v>45726</v>
      </c>
      <c r="C1298" t="s">
        <v>7651</v>
      </c>
      <c r="D1298" t="s">
        <v>1558</v>
      </c>
      <c r="E1298" t="s">
        <v>7652</v>
      </c>
      <c r="F1298" t="s">
        <v>6819</v>
      </c>
      <c r="H1298" t="s">
        <v>1559</v>
      </c>
      <c r="J1298">
        <v>49680</v>
      </c>
      <c r="L1298" t="s">
        <v>6803</v>
      </c>
    </row>
    <row r="1299" spans="1:12" x14ac:dyDescent="0.35">
      <c r="A1299" t="s">
        <v>26</v>
      </c>
      <c r="B1299" s="1">
        <v>45726</v>
      </c>
      <c r="C1299" t="s">
        <v>7651</v>
      </c>
      <c r="D1299" t="s">
        <v>1558</v>
      </c>
      <c r="E1299" t="s">
        <v>7652</v>
      </c>
      <c r="F1299" t="s">
        <v>7391</v>
      </c>
      <c r="H1299" t="s">
        <v>1559</v>
      </c>
      <c r="J1299">
        <v>276000</v>
      </c>
      <c r="L1299" t="s">
        <v>5937</v>
      </c>
    </row>
    <row r="1300" spans="1:12" x14ac:dyDescent="0.35">
      <c r="A1300" t="s">
        <v>26</v>
      </c>
      <c r="B1300" s="1">
        <v>45726</v>
      </c>
      <c r="C1300" t="s">
        <v>7653</v>
      </c>
      <c r="D1300" t="s">
        <v>1560</v>
      </c>
      <c r="E1300" t="s">
        <v>7654</v>
      </c>
      <c r="F1300" t="s">
        <v>6804</v>
      </c>
      <c r="G1300" t="s">
        <v>7390</v>
      </c>
      <c r="H1300" t="s">
        <v>1561</v>
      </c>
      <c r="I1300" s="1">
        <v>45726</v>
      </c>
      <c r="K1300">
        <v>594720</v>
      </c>
      <c r="L1300" t="s">
        <v>6803</v>
      </c>
    </row>
    <row r="1301" spans="1:12" x14ac:dyDescent="0.35">
      <c r="A1301" t="s">
        <v>26</v>
      </c>
      <c r="B1301" s="1">
        <v>45726</v>
      </c>
      <c r="C1301" t="s">
        <v>7653</v>
      </c>
      <c r="D1301" t="s">
        <v>1560</v>
      </c>
      <c r="E1301" t="s">
        <v>7654</v>
      </c>
      <c r="F1301" t="s">
        <v>6819</v>
      </c>
      <c r="H1301" t="s">
        <v>1561</v>
      </c>
      <c r="J1301">
        <v>90720</v>
      </c>
      <c r="L1301" t="s">
        <v>6803</v>
      </c>
    </row>
    <row r="1302" spans="1:12" x14ac:dyDescent="0.35">
      <c r="A1302" t="s">
        <v>26</v>
      </c>
      <c r="B1302" s="1">
        <v>45726</v>
      </c>
      <c r="C1302" t="s">
        <v>7653</v>
      </c>
      <c r="D1302" t="s">
        <v>1560</v>
      </c>
      <c r="E1302" t="s">
        <v>7654</v>
      </c>
      <c r="F1302" t="s">
        <v>7391</v>
      </c>
      <c r="H1302" t="s">
        <v>1561</v>
      </c>
      <c r="J1302">
        <v>504000</v>
      </c>
      <c r="L1302" t="s">
        <v>5873</v>
      </c>
    </row>
    <row r="1303" spans="1:12" x14ac:dyDescent="0.35">
      <c r="A1303" t="s">
        <v>26</v>
      </c>
      <c r="B1303" s="1">
        <v>45726</v>
      </c>
      <c r="C1303" t="s">
        <v>7655</v>
      </c>
      <c r="D1303" t="s">
        <v>1562</v>
      </c>
      <c r="E1303" t="s">
        <v>7656</v>
      </c>
      <c r="F1303" t="s">
        <v>6804</v>
      </c>
      <c r="G1303" t="s">
        <v>7390</v>
      </c>
      <c r="H1303" t="s">
        <v>1563</v>
      </c>
      <c r="I1303" s="1">
        <v>45726</v>
      </c>
      <c r="K1303">
        <v>401200</v>
      </c>
      <c r="L1303" t="s">
        <v>6803</v>
      </c>
    </row>
    <row r="1304" spans="1:12" x14ac:dyDescent="0.35">
      <c r="A1304" t="s">
        <v>26</v>
      </c>
      <c r="B1304" s="1">
        <v>45726</v>
      </c>
      <c r="C1304" t="s">
        <v>7655</v>
      </c>
      <c r="D1304" t="s">
        <v>1562</v>
      </c>
      <c r="E1304" t="s">
        <v>7656</v>
      </c>
      <c r="F1304" t="s">
        <v>6819</v>
      </c>
      <c r="H1304" t="s">
        <v>1563</v>
      </c>
      <c r="J1304">
        <v>61200</v>
      </c>
      <c r="L1304" t="s">
        <v>6803</v>
      </c>
    </row>
    <row r="1305" spans="1:12" x14ac:dyDescent="0.35">
      <c r="A1305" t="s">
        <v>26</v>
      </c>
      <c r="B1305" s="1">
        <v>45726</v>
      </c>
      <c r="C1305" t="s">
        <v>7655</v>
      </c>
      <c r="D1305" t="s">
        <v>1562</v>
      </c>
      <c r="E1305" t="s">
        <v>7656</v>
      </c>
      <c r="F1305" t="s">
        <v>7391</v>
      </c>
      <c r="H1305" t="s">
        <v>1563</v>
      </c>
      <c r="J1305">
        <v>340000</v>
      </c>
      <c r="L1305" t="s">
        <v>5937</v>
      </c>
    </row>
    <row r="1306" spans="1:12" x14ac:dyDescent="0.35">
      <c r="A1306" t="s">
        <v>26</v>
      </c>
      <c r="B1306" s="1">
        <v>45726</v>
      </c>
      <c r="C1306" t="s">
        <v>7657</v>
      </c>
      <c r="D1306" t="s">
        <v>1564</v>
      </c>
      <c r="E1306" t="s">
        <v>7658</v>
      </c>
      <c r="F1306" t="s">
        <v>6804</v>
      </c>
      <c r="G1306" t="s">
        <v>7390</v>
      </c>
      <c r="H1306" t="s">
        <v>1565</v>
      </c>
      <c r="I1306" s="1">
        <v>45726</v>
      </c>
      <c r="K1306">
        <v>1685040</v>
      </c>
      <c r="L1306" t="s">
        <v>6803</v>
      </c>
    </row>
    <row r="1307" spans="1:12" x14ac:dyDescent="0.35">
      <c r="A1307" t="s">
        <v>26</v>
      </c>
      <c r="B1307" s="1">
        <v>45726</v>
      </c>
      <c r="C1307" t="s">
        <v>7657</v>
      </c>
      <c r="D1307" t="s">
        <v>1564</v>
      </c>
      <c r="E1307" t="s">
        <v>7658</v>
      </c>
      <c r="F1307" t="s">
        <v>6819</v>
      </c>
      <c r="H1307" t="s">
        <v>1565</v>
      </c>
      <c r="J1307">
        <v>257040</v>
      </c>
      <c r="L1307" t="s">
        <v>6803</v>
      </c>
    </row>
    <row r="1308" spans="1:12" x14ac:dyDescent="0.35">
      <c r="A1308" t="s">
        <v>26</v>
      </c>
      <c r="B1308" s="1">
        <v>45726</v>
      </c>
      <c r="C1308" t="s">
        <v>7657</v>
      </c>
      <c r="D1308" t="s">
        <v>1564</v>
      </c>
      <c r="E1308" t="s">
        <v>7658</v>
      </c>
      <c r="F1308" t="s">
        <v>7318</v>
      </c>
      <c r="G1308" t="s">
        <v>7390</v>
      </c>
      <c r="H1308" t="s">
        <v>1565</v>
      </c>
      <c r="J1308">
        <v>1350000</v>
      </c>
      <c r="L1308" t="s">
        <v>6803</v>
      </c>
    </row>
    <row r="1309" spans="1:12" x14ac:dyDescent="0.35">
      <c r="A1309" t="s">
        <v>26</v>
      </c>
      <c r="B1309" s="1">
        <v>45726</v>
      </c>
      <c r="C1309" t="s">
        <v>7657</v>
      </c>
      <c r="D1309" t="s">
        <v>1564</v>
      </c>
      <c r="E1309" t="s">
        <v>7658</v>
      </c>
      <c r="F1309" t="s">
        <v>7391</v>
      </c>
      <c r="H1309" t="s">
        <v>1565</v>
      </c>
      <c r="J1309">
        <v>78000</v>
      </c>
      <c r="L1309" t="s">
        <v>5889</v>
      </c>
    </row>
    <row r="1310" spans="1:12" x14ac:dyDescent="0.35">
      <c r="A1310" t="s">
        <v>26</v>
      </c>
      <c r="B1310" s="1">
        <v>45726</v>
      </c>
      <c r="C1310" t="s">
        <v>7659</v>
      </c>
      <c r="D1310" t="s">
        <v>1566</v>
      </c>
      <c r="E1310" t="s">
        <v>7660</v>
      </c>
      <c r="F1310" t="s">
        <v>6804</v>
      </c>
      <c r="G1310" t="s">
        <v>7390</v>
      </c>
      <c r="H1310" t="s">
        <v>1567</v>
      </c>
      <c r="I1310" s="1">
        <v>45726</v>
      </c>
      <c r="K1310">
        <v>11800</v>
      </c>
      <c r="L1310" t="s">
        <v>6803</v>
      </c>
    </row>
    <row r="1311" spans="1:12" x14ac:dyDescent="0.35">
      <c r="A1311" t="s">
        <v>26</v>
      </c>
      <c r="B1311" s="1">
        <v>45726</v>
      </c>
      <c r="C1311" t="s">
        <v>7659</v>
      </c>
      <c r="D1311" t="s">
        <v>1566</v>
      </c>
      <c r="E1311" t="s">
        <v>7660</v>
      </c>
      <c r="F1311" t="s">
        <v>6819</v>
      </c>
      <c r="H1311" t="s">
        <v>1567</v>
      </c>
      <c r="J1311">
        <v>1800</v>
      </c>
      <c r="L1311" t="s">
        <v>6803</v>
      </c>
    </row>
    <row r="1312" spans="1:12" x14ac:dyDescent="0.35">
      <c r="A1312" t="s">
        <v>26</v>
      </c>
      <c r="B1312" s="1">
        <v>45726</v>
      </c>
      <c r="C1312" t="s">
        <v>7659</v>
      </c>
      <c r="D1312" t="s">
        <v>1566</v>
      </c>
      <c r="E1312" t="s">
        <v>7660</v>
      </c>
      <c r="F1312" t="s">
        <v>7391</v>
      </c>
      <c r="H1312" t="s">
        <v>1567</v>
      </c>
      <c r="J1312">
        <v>10000</v>
      </c>
      <c r="L1312" t="s">
        <v>5948</v>
      </c>
    </row>
    <row r="1313" spans="1:12" x14ac:dyDescent="0.35">
      <c r="A1313" t="s">
        <v>26</v>
      </c>
      <c r="B1313" s="1">
        <v>45726</v>
      </c>
      <c r="C1313" t="s">
        <v>7661</v>
      </c>
      <c r="D1313" t="s">
        <v>1568</v>
      </c>
      <c r="E1313" t="s">
        <v>7662</v>
      </c>
      <c r="F1313" t="s">
        <v>6804</v>
      </c>
      <c r="G1313" t="s">
        <v>7663</v>
      </c>
      <c r="H1313" t="s">
        <v>1569</v>
      </c>
      <c r="I1313" s="1">
        <v>45726</v>
      </c>
      <c r="K1313">
        <v>163400</v>
      </c>
      <c r="L1313" t="s">
        <v>6803</v>
      </c>
    </row>
    <row r="1314" spans="1:12" x14ac:dyDescent="0.35">
      <c r="A1314" t="s">
        <v>26</v>
      </c>
      <c r="B1314" s="1">
        <v>45726</v>
      </c>
      <c r="C1314" t="s">
        <v>7661</v>
      </c>
      <c r="D1314" t="s">
        <v>1568</v>
      </c>
      <c r="E1314" t="s">
        <v>7662</v>
      </c>
      <c r="F1314" t="s">
        <v>6819</v>
      </c>
      <c r="H1314" t="s">
        <v>1569</v>
      </c>
      <c r="J1314">
        <v>9000</v>
      </c>
      <c r="L1314" t="s">
        <v>6803</v>
      </c>
    </row>
    <row r="1315" spans="1:12" x14ac:dyDescent="0.35">
      <c r="A1315" t="s">
        <v>26</v>
      </c>
      <c r="B1315" s="1">
        <v>45726</v>
      </c>
      <c r="C1315" t="s">
        <v>7661</v>
      </c>
      <c r="D1315" t="s">
        <v>1568</v>
      </c>
      <c r="E1315" t="s">
        <v>7662</v>
      </c>
      <c r="F1315" t="s">
        <v>7514</v>
      </c>
      <c r="G1315" t="s">
        <v>7664</v>
      </c>
      <c r="H1315" t="s">
        <v>1569</v>
      </c>
      <c r="J1315">
        <v>154400</v>
      </c>
      <c r="L1315" t="s">
        <v>6803</v>
      </c>
    </row>
    <row r="1316" spans="1:12" x14ac:dyDescent="0.35">
      <c r="A1316" t="s">
        <v>26</v>
      </c>
      <c r="B1316" s="1">
        <v>45726</v>
      </c>
      <c r="C1316" t="s">
        <v>7665</v>
      </c>
      <c r="D1316" t="s">
        <v>1570</v>
      </c>
      <c r="E1316" t="s">
        <v>7666</v>
      </c>
      <c r="F1316" t="s">
        <v>6804</v>
      </c>
      <c r="G1316" t="s">
        <v>7663</v>
      </c>
      <c r="H1316" t="s">
        <v>1571</v>
      </c>
      <c r="I1316" s="1">
        <v>45726</v>
      </c>
      <c r="K1316">
        <v>198840</v>
      </c>
      <c r="L1316" t="s">
        <v>6803</v>
      </c>
    </row>
    <row r="1317" spans="1:12" x14ac:dyDescent="0.35">
      <c r="A1317" t="s">
        <v>26</v>
      </c>
      <c r="B1317" s="1">
        <v>45726</v>
      </c>
      <c r="C1317" t="s">
        <v>7665</v>
      </c>
      <c r="D1317" t="s">
        <v>1570</v>
      </c>
      <c r="E1317" t="s">
        <v>7666</v>
      </c>
      <c r="F1317" t="s">
        <v>6819</v>
      </c>
      <c r="H1317" t="s">
        <v>1571</v>
      </c>
      <c r="J1317">
        <v>6840</v>
      </c>
      <c r="L1317" t="s">
        <v>6803</v>
      </c>
    </row>
    <row r="1318" spans="1:12" x14ac:dyDescent="0.35">
      <c r="A1318" t="s">
        <v>26</v>
      </c>
      <c r="B1318" s="1">
        <v>45726</v>
      </c>
      <c r="C1318" t="s">
        <v>7665</v>
      </c>
      <c r="D1318" t="s">
        <v>1570</v>
      </c>
      <c r="E1318" t="s">
        <v>7666</v>
      </c>
      <c r="F1318" t="s">
        <v>7615</v>
      </c>
      <c r="H1318" t="s">
        <v>1571</v>
      </c>
      <c r="J1318">
        <v>192000</v>
      </c>
      <c r="L1318" t="s">
        <v>5928</v>
      </c>
    </row>
    <row r="1319" spans="1:12" x14ac:dyDescent="0.35">
      <c r="A1319" t="s">
        <v>26</v>
      </c>
      <c r="B1319" s="1">
        <v>45726</v>
      </c>
      <c r="C1319" t="s">
        <v>7317</v>
      </c>
      <c r="D1319" t="s">
        <v>1572</v>
      </c>
      <c r="E1319" t="s">
        <v>1573</v>
      </c>
      <c r="F1319" t="s">
        <v>7514</v>
      </c>
      <c r="G1319" t="s">
        <v>7515</v>
      </c>
      <c r="H1319" t="s">
        <v>1396</v>
      </c>
      <c r="K1319">
        <v>50858</v>
      </c>
      <c r="L1319" t="s">
        <v>6803</v>
      </c>
    </row>
    <row r="1320" spans="1:12" x14ac:dyDescent="0.35">
      <c r="A1320" t="s">
        <v>26</v>
      </c>
      <c r="B1320" s="1">
        <v>45726</v>
      </c>
      <c r="C1320" t="s">
        <v>7317</v>
      </c>
      <c r="D1320" t="s">
        <v>1572</v>
      </c>
      <c r="E1320" t="s">
        <v>1573</v>
      </c>
      <c r="F1320" t="s">
        <v>7516</v>
      </c>
      <c r="H1320" t="s">
        <v>1396</v>
      </c>
      <c r="J1320">
        <v>50858</v>
      </c>
      <c r="L1320" t="s">
        <v>5928</v>
      </c>
    </row>
    <row r="1321" spans="1:12" x14ac:dyDescent="0.35">
      <c r="A1321" t="s">
        <v>26</v>
      </c>
      <c r="B1321" s="1">
        <v>45726</v>
      </c>
      <c r="C1321" t="s">
        <v>7667</v>
      </c>
      <c r="D1321" t="s">
        <v>1574</v>
      </c>
      <c r="E1321" t="s">
        <v>1575</v>
      </c>
      <c r="F1321" t="s">
        <v>7514</v>
      </c>
      <c r="G1321" t="s">
        <v>7515</v>
      </c>
      <c r="H1321" t="s">
        <v>1396</v>
      </c>
      <c r="K1321">
        <v>51273</v>
      </c>
      <c r="L1321" t="s">
        <v>6803</v>
      </c>
    </row>
    <row r="1322" spans="1:12" x14ac:dyDescent="0.35">
      <c r="A1322" t="s">
        <v>26</v>
      </c>
      <c r="B1322" s="1">
        <v>45726</v>
      </c>
      <c r="C1322" t="s">
        <v>7667</v>
      </c>
      <c r="D1322" t="s">
        <v>1574</v>
      </c>
      <c r="E1322" t="s">
        <v>1575</v>
      </c>
      <c r="F1322" t="s">
        <v>7516</v>
      </c>
      <c r="H1322" t="s">
        <v>1396</v>
      </c>
      <c r="J1322">
        <v>51273</v>
      </c>
      <c r="L1322" t="s">
        <v>5928</v>
      </c>
    </row>
    <row r="1323" spans="1:12" x14ac:dyDescent="0.35">
      <c r="A1323" t="s">
        <v>26</v>
      </c>
      <c r="B1323" s="1">
        <v>45726</v>
      </c>
      <c r="C1323" t="s">
        <v>7668</v>
      </c>
      <c r="D1323" t="s">
        <v>1576</v>
      </c>
      <c r="E1323" t="s">
        <v>1577</v>
      </c>
      <c r="F1323" t="s">
        <v>7514</v>
      </c>
      <c r="G1323" t="s">
        <v>7515</v>
      </c>
      <c r="H1323" t="s">
        <v>1396</v>
      </c>
      <c r="K1323">
        <v>27672</v>
      </c>
      <c r="L1323" t="s">
        <v>6803</v>
      </c>
    </row>
    <row r="1324" spans="1:12" x14ac:dyDescent="0.35">
      <c r="A1324" t="s">
        <v>26</v>
      </c>
      <c r="B1324" s="1">
        <v>45726</v>
      </c>
      <c r="C1324" t="s">
        <v>7668</v>
      </c>
      <c r="D1324" t="s">
        <v>1576</v>
      </c>
      <c r="E1324" t="s">
        <v>1577</v>
      </c>
      <c r="F1324" t="s">
        <v>7516</v>
      </c>
      <c r="H1324" t="s">
        <v>1396</v>
      </c>
      <c r="J1324">
        <v>27672</v>
      </c>
      <c r="L1324" t="s">
        <v>5928</v>
      </c>
    </row>
    <row r="1325" spans="1:12" x14ac:dyDescent="0.35">
      <c r="A1325" t="s">
        <v>26</v>
      </c>
      <c r="B1325" s="1">
        <v>45726</v>
      </c>
      <c r="C1325" t="s">
        <v>7669</v>
      </c>
      <c r="D1325" t="s">
        <v>1578</v>
      </c>
      <c r="E1325" t="s">
        <v>1579</v>
      </c>
      <c r="F1325" t="s">
        <v>7514</v>
      </c>
      <c r="G1325" t="s">
        <v>7515</v>
      </c>
      <c r="H1325" t="s">
        <v>1396</v>
      </c>
      <c r="K1325">
        <v>59000</v>
      </c>
      <c r="L1325" t="s">
        <v>6803</v>
      </c>
    </row>
    <row r="1326" spans="1:12" x14ac:dyDescent="0.35">
      <c r="A1326" t="s">
        <v>26</v>
      </c>
      <c r="B1326" s="1">
        <v>45726</v>
      </c>
      <c r="C1326" t="s">
        <v>7669</v>
      </c>
      <c r="D1326" t="s">
        <v>1578</v>
      </c>
      <c r="E1326" t="s">
        <v>1579</v>
      </c>
      <c r="F1326" t="s">
        <v>7516</v>
      </c>
      <c r="H1326" t="s">
        <v>1396</v>
      </c>
      <c r="J1326">
        <v>59000</v>
      </c>
      <c r="L1326" t="s">
        <v>5928</v>
      </c>
    </row>
    <row r="1327" spans="1:12" x14ac:dyDescent="0.35">
      <c r="A1327" t="s">
        <v>26</v>
      </c>
      <c r="B1327" s="1">
        <v>45726</v>
      </c>
      <c r="C1327" t="s">
        <v>7670</v>
      </c>
      <c r="D1327" t="s">
        <v>1580</v>
      </c>
      <c r="E1327" t="s">
        <v>7671</v>
      </c>
      <c r="F1327" t="s">
        <v>6804</v>
      </c>
      <c r="G1327" t="s">
        <v>7663</v>
      </c>
      <c r="H1327" t="s">
        <v>1581</v>
      </c>
      <c r="I1327" s="1">
        <v>45726</v>
      </c>
      <c r="K1327">
        <v>797720</v>
      </c>
      <c r="L1327" t="s">
        <v>6803</v>
      </c>
    </row>
    <row r="1328" spans="1:12" x14ac:dyDescent="0.35">
      <c r="A1328" t="s">
        <v>26</v>
      </c>
      <c r="B1328" s="1">
        <v>45726</v>
      </c>
      <c r="C1328" t="s">
        <v>7670</v>
      </c>
      <c r="D1328" t="s">
        <v>1580</v>
      </c>
      <c r="E1328" t="s">
        <v>7671</v>
      </c>
      <c r="F1328" t="s">
        <v>6819</v>
      </c>
      <c r="H1328" t="s">
        <v>1581</v>
      </c>
      <c r="J1328">
        <v>27720</v>
      </c>
      <c r="L1328" t="s">
        <v>6803</v>
      </c>
    </row>
    <row r="1329" spans="1:12" x14ac:dyDescent="0.35">
      <c r="A1329" t="s">
        <v>26</v>
      </c>
      <c r="B1329" s="1">
        <v>45726</v>
      </c>
      <c r="C1329" t="s">
        <v>7670</v>
      </c>
      <c r="D1329" t="s">
        <v>1580</v>
      </c>
      <c r="E1329" t="s">
        <v>7671</v>
      </c>
      <c r="F1329" t="s">
        <v>7615</v>
      </c>
      <c r="H1329" t="s">
        <v>1581</v>
      </c>
      <c r="J1329">
        <v>770000</v>
      </c>
      <c r="L1329" t="s">
        <v>10115</v>
      </c>
    </row>
    <row r="1330" spans="1:12" x14ac:dyDescent="0.35">
      <c r="A1330" t="s">
        <v>26</v>
      </c>
      <c r="B1330" s="1">
        <v>45726</v>
      </c>
      <c r="C1330" t="s">
        <v>7672</v>
      </c>
      <c r="D1330" t="s">
        <v>1568</v>
      </c>
      <c r="E1330" t="s">
        <v>7662</v>
      </c>
      <c r="F1330" t="s">
        <v>6804</v>
      </c>
      <c r="G1330" t="s">
        <v>7663</v>
      </c>
      <c r="H1330" t="s">
        <v>1582</v>
      </c>
      <c r="I1330" s="1">
        <v>45726</v>
      </c>
      <c r="K1330">
        <v>163400</v>
      </c>
      <c r="L1330" t="s">
        <v>6803</v>
      </c>
    </row>
    <row r="1331" spans="1:12" x14ac:dyDescent="0.35">
      <c r="A1331" t="s">
        <v>26</v>
      </c>
      <c r="B1331" s="1">
        <v>45726</v>
      </c>
      <c r="C1331" t="s">
        <v>7672</v>
      </c>
      <c r="D1331" t="s">
        <v>1568</v>
      </c>
      <c r="E1331" t="s">
        <v>7662</v>
      </c>
      <c r="F1331" t="s">
        <v>6819</v>
      </c>
      <c r="H1331" t="s">
        <v>1582</v>
      </c>
      <c r="J1331">
        <v>9000</v>
      </c>
      <c r="L1331" t="s">
        <v>6803</v>
      </c>
    </row>
    <row r="1332" spans="1:12" x14ac:dyDescent="0.35">
      <c r="A1332" t="s">
        <v>26</v>
      </c>
      <c r="B1332" s="1">
        <v>45726</v>
      </c>
      <c r="C1332" t="s">
        <v>7672</v>
      </c>
      <c r="D1332" t="s">
        <v>1568</v>
      </c>
      <c r="E1332" t="s">
        <v>7662</v>
      </c>
      <c r="F1332" t="s">
        <v>7615</v>
      </c>
      <c r="H1332" t="s">
        <v>1582</v>
      </c>
      <c r="J1332">
        <v>154400</v>
      </c>
      <c r="L1332" t="s">
        <v>10115</v>
      </c>
    </row>
    <row r="1333" spans="1:12" x14ac:dyDescent="0.35">
      <c r="A1333" t="s">
        <v>26</v>
      </c>
      <c r="B1333" s="1">
        <v>45726</v>
      </c>
      <c r="C1333" t="s">
        <v>7673</v>
      </c>
      <c r="D1333" t="s">
        <v>1583</v>
      </c>
      <c r="E1333" t="s">
        <v>7674</v>
      </c>
      <c r="F1333" t="s">
        <v>6804</v>
      </c>
      <c r="G1333" t="s">
        <v>1584</v>
      </c>
      <c r="H1333" t="s">
        <v>1585</v>
      </c>
      <c r="I1333" s="1">
        <v>45726</v>
      </c>
      <c r="K1333">
        <v>2000000</v>
      </c>
      <c r="L1333" t="s">
        <v>6803</v>
      </c>
    </row>
    <row r="1334" spans="1:12" x14ac:dyDescent="0.35">
      <c r="A1334" t="s">
        <v>26</v>
      </c>
      <c r="B1334" s="1">
        <v>45726</v>
      </c>
      <c r="C1334" t="s">
        <v>7673</v>
      </c>
      <c r="D1334" t="s">
        <v>1583</v>
      </c>
      <c r="E1334" t="s">
        <v>7674</v>
      </c>
      <c r="F1334" t="s">
        <v>7675</v>
      </c>
      <c r="H1334" t="s">
        <v>1585</v>
      </c>
      <c r="J1334">
        <v>2000000</v>
      </c>
      <c r="L1334" t="s">
        <v>6803</v>
      </c>
    </row>
    <row r="1335" spans="1:12" x14ac:dyDescent="0.35">
      <c r="A1335" t="s">
        <v>26</v>
      </c>
      <c r="B1335" s="1">
        <v>45727</v>
      </c>
      <c r="C1335" t="s">
        <v>7676</v>
      </c>
      <c r="D1335" t="s">
        <v>1586</v>
      </c>
      <c r="E1335" t="s">
        <v>1587</v>
      </c>
      <c r="F1335" t="s">
        <v>6804</v>
      </c>
      <c r="G1335" t="s">
        <v>1588</v>
      </c>
      <c r="H1335" t="s">
        <v>1589</v>
      </c>
      <c r="I1335" s="1">
        <v>45727</v>
      </c>
      <c r="K1335">
        <v>918700</v>
      </c>
      <c r="L1335" t="s">
        <v>6803</v>
      </c>
    </row>
    <row r="1336" spans="1:12" x14ac:dyDescent="0.35">
      <c r="A1336" t="s">
        <v>26</v>
      </c>
      <c r="B1336" s="1">
        <v>45727</v>
      </c>
      <c r="C1336" t="s">
        <v>7676</v>
      </c>
      <c r="D1336" t="s">
        <v>1586</v>
      </c>
      <c r="E1336" t="s">
        <v>1587</v>
      </c>
      <c r="F1336" t="s">
        <v>6819</v>
      </c>
      <c r="H1336" t="s">
        <v>1589</v>
      </c>
      <c r="J1336">
        <v>41751</v>
      </c>
      <c r="L1336" t="s">
        <v>6803</v>
      </c>
    </row>
    <row r="1337" spans="1:12" x14ac:dyDescent="0.35">
      <c r="A1337" t="s">
        <v>26</v>
      </c>
      <c r="B1337" s="1">
        <v>45727</v>
      </c>
      <c r="C1337" t="s">
        <v>7676</v>
      </c>
      <c r="D1337" t="s">
        <v>1586</v>
      </c>
      <c r="E1337" t="s">
        <v>1587</v>
      </c>
      <c r="F1337" t="s">
        <v>7677</v>
      </c>
      <c r="H1337" t="s">
        <v>1589</v>
      </c>
      <c r="J1337">
        <v>231949</v>
      </c>
      <c r="L1337" t="s">
        <v>5897</v>
      </c>
    </row>
    <row r="1338" spans="1:12" x14ac:dyDescent="0.35">
      <c r="A1338" t="s">
        <v>26</v>
      </c>
      <c r="B1338" s="1">
        <v>45727</v>
      </c>
      <c r="C1338" t="s">
        <v>7676</v>
      </c>
      <c r="D1338" t="s">
        <v>1586</v>
      </c>
      <c r="E1338" t="s">
        <v>1587</v>
      </c>
      <c r="F1338" t="s">
        <v>7678</v>
      </c>
      <c r="H1338" t="s">
        <v>1589</v>
      </c>
      <c r="J1338">
        <v>645000</v>
      </c>
      <c r="L1338" t="s">
        <v>5894</v>
      </c>
    </row>
    <row r="1339" spans="1:12" x14ac:dyDescent="0.35">
      <c r="A1339" t="s">
        <v>26</v>
      </c>
      <c r="B1339" s="1">
        <v>45727</v>
      </c>
      <c r="C1339" t="s">
        <v>7679</v>
      </c>
      <c r="D1339" t="s">
        <v>1590</v>
      </c>
      <c r="E1339" t="s">
        <v>1591</v>
      </c>
      <c r="F1339" t="s">
        <v>6804</v>
      </c>
      <c r="G1339" t="s">
        <v>7680</v>
      </c>
      <c r="H1339" t="s">
        <v>1592</v>
      </c>
      <c r="I1339" s="1">
        <v>45808</v>
      </c>
      <c r="K1339">
        <v>110400</v>
      </c>
      <c r="L1339" t="s">
        <v>6803</v>
      </c>
    </row>
    <row r="1340" spans="1:12" x14ac:dyDescent="0.35">
      <c r="A1340" t="s">
        <v>26</v>
      </c>
      <c r="B1340" s="1">
        <v>45727</v>
      </c>
      <c r="C1340" t="s">
        <v>7679</v>
      </c>
      <c r="D1340" t="s">
        <v>1590</v>
      </c>
      <c r="E1340" t="s">
        <v>1591</v>
      </c>
      <c r="F1340" t="s">
        <v>6806</v>
      </c>
      <c r="H1340" t="s">
        <v>1592</v>
      </c>
      <c r="J1340">
        <v>16841</v>
      </c>
      <c r="L1340" t="s">
        <v>6803</v>
      </c>
    </row>
    <row r="1341" spans="1:12" x14ac:dyDescent="0.35">
      <c r="A1341" t="s">
        <v>26</v>
      </c>
      <c r="B1341" s="1">
        <v>45727</v>
      </c>
      <c r="C1341" t="s">
        <v>7679</v>
      </c>
      <c r="D1341" t="s">
        <v>1590</v>
      </c>
      <c r="E1341" t="s">
        <v>1591</v>
      </c>
      <c r="F1341" t="s">
        <v>7681</v>
      </c>
      <c r="H1341" t="s">
        <v>1592</v>
      </c>
      <c r="J1341">
        <v>93559</v>
      </c>
      <c r="L1341" t="s">
        <v>5928</v>
      </c>
    </row>
    <row r="1342" spans="1:12" x14ac:dyDescent="0.35">
      <c r="A1342" t="s">
        <v>26</v>
      </c>
      <c r="B1342" s="1">
        <v>45727</v>
      </c>
      <c r="C1342" t="s">
        <v>7682</v>
      </c>
      <c r="D1342" t="s">
        <v>1593</v>
      </c>
      <c r="E1342" t="s">
        <v>7683</v>
      </c>
      <c r="F1342" t="s">
        <v>6804</v>
      </c>
      <c r="G1342" t="s">
        <v>7524</v>
      </c>
      <c r="H1342" t="s">
        <v>1594</v>
      </c>
      <c r="I1342" s="1">
        <v>45787</v>
      </c>
      <c r="K1342">
        <v>518636</v>
      </c>
      <c r="L1342" t="s">
        <v>6803</v>
      </c>
    </row>
    <row r="1343" spans="1:12" x14ac:dyDescent="0.35">
      <c r="A1343" t="s">
        <v>26</v>
      </c>
      <c r="B1343" s="1">
        <v>45727</v>
      </c>
      <c r="C1343" t="s">
        <v>7682</v>
      </c>
      <c r="D1343" t="s">
        <v>1593</v>
      </c>
      <c r="E1343" t="s">
        <v>7683</v>
      </c>
      <c r="F1343" t="s">
        <v>7514</v>
      </c>
      <c r="G1343" t="s">
        <v>7664</v>
      </c>
      <c r="H1343" t="s">
        <v>1594</v>
      </c>
      <c r="J1343">
        <v>518636</v>
      </c>
      <c r="L1343" t="s">
        <v>6803</v>
      </c>
    </row>
    <row r="1344" spans="1:12" x14ac:dyDescent="0.35">
      <c r="A1344" t="s">
        <v>26</v>
      </c>
      <c r="B1344" s="1">
        <v>45727</v>
      </c>
      <c r="C1344" t="s">
        <v>7684</v>
      </c>
      <c r="D1344" t="s">
        <v>1595</v>
      </c>
      <c r="E1344" t="s">
        <v>1596</v>
      </c>
      <c r="F1344" t="s">
        <v>6804</v>
      </c>
      <c r="G1344" t="s">
        <v>7524</v>
      </c>
      <c r="H1344" t="s">
        <v>1597</v>
      </c>
      <c r="I1344" s="1">
        <v>45787</v>
      </c>
      <c r="K1344">
        <v>88818206</v>
      </c>
      <c r="L1344" t="s">
        <v>6803</v>
      </c>
    </row>
    <row r="1345" spans="1:12" x14ac:dyDescent="0.35">
      <c r="A1345" t="s">
        <v>26</v>
      </c>
      <c r="B1345" s="1">
        <v>45727</v>
      </c>
      <c r="C1345" t="s">
        <v>7684</v>
      </c>
      <c r="D1345" t="s">
        <v>1595</v>
      </c>
      <c r="E1345" t="s">
        <v>1596</v>
      </c>
      <c r="F1345" t="s">
        <v>6806</v>
      </c>
      <c r="H1345" t="s">
        <v>1597</v>
      </c>
      <c r="J1345">
        <v>136958</v>
      </c>
      <c r="L1345" t="s">
        <v>6803</v>
      </c>
    </row>
    <row r="1346" spans="1:12" x14ac:dyDescent="0.35">
      <c r="A1346" t="s">
        <v>26</v>
      </c>
      <c r="B1346" s="1">
        <v>45727</v>
      </c>
      <c r="C1346" t="s">
        <v>7684</v>
      </c>
      <c r="D1346" t="s">
        <v>1595</v>
      </c>
      <c r="E1346" t="s">
        <v>1596</v>
      </c>
      <c r="F1346" t="s">
        <v>7644</v>
      </c>
      <c r="G1346" t="s">
        <v>7524</v>
      </c>
      <c r="H1346" t="s">
        <v>1597</v>
      </c>
      <c r="J1346">
        <v>88681248</v>
      </c>
      <c r="L1346" t="s">
        <v>6803</v>
      </c>
    </row>
    <row r="1347" spans="1:12" x14ac:dyDescent="0.35">
      <c r="A1347" t="s">
        <v>26</v>
      </c>
      <c r="B1347" s="1">
        <v>45727</v>
      </c>
      <c r="C1347" t="s">
        <v>7685</v>
      </c>
      <c r="D1347" t="s">
        <v>1598</v>
      </c>
      <c r="E1347" t="s">
        <v>1599</v>
      </c>
      <c r="F1347" t="s">
        <v>7550</v>
      </c>
      <c r="H1347" t="s">
        <v>1600</v>
      </c>
      <c r="J1347">
        <v>29648340</v>
      </c>
      <c r="L1347" t="s">
        <v>6803</v>
      </c>
    </row>
    <row r="1348" spans="1:12" x14ac:dyDescent="0.35">
      <c r="A1348" t="s">
        <v>26</v>
      </c>
      <c r="B1348" s="1">
        <v>45727</v>
      </c>
      <c r="C1348" t="s">
        <v>7685</v>
      </c>
      <c r="D1348" t="s">
        <v>1598</v>
      </c>
      <c r="E1348" t="s">
        <v>1599</v>
      </c>
      <c r="F1348" t="s">
        <v>6804</v>
      </c>
      <c r="G1348" t="s">
        <v>7524</v>
      </c>
      <c r="H1348" t="s">
        <v>1600</v>
      </c>
      <c r="I1348" s="1">
        <v>45787</v>
      </c>
      <c r="K1348">
        <v>31468346</v>
      </c>
      <c r="L1348" t="s">
        <v>6803</v>
      </c>
    </row>
    <row r="1349" spans="1:12" x14ac:dyDescent="0.35">
      <c r="A1349" t="s">
        <v>26</v>
      </c>
      <c r="B1349" s="1">
        <v>45727</v>
      </c>
      <c r="C1349" t="s">
        <v>7685</v>
      </c>
      <c r="D1349" t="s">
        <v>1598</v>
      </c>
      <c r="E1349" t="s">
        <v>1599</v>
      </c>
      <c r="F1349" t="s">
        <v>6806</v>
      </c>
      <c r="H1349" t="s">
        <v>1600</v>
      </c>
      <c r="J1349">
        <v>1820006</v>
      </c>
      <c r="L1349" t="s">
        <v>6803</v>
      </c>
    </row>
    <row r="1350" spans="1:12" x14ac:dyDescent="0.35">
      <c r="A1350" t="s">
        <v>26</v>
      </c>
      <c r="B1350" s="1">
        <v>45727</v>
      </c>
      <c r="C1350" t="s">
        <v>7686</v>
      </c>
      <c r="D1350" t="s">
        <v>1601</v>
      </c>
      <c r="E1350" t="s">
        <v>1602</v>
      </c>
      <c r="F1350" t="s">
        <v>7514</v>
      </c>
      <c r="G1350" t="s">
        <v>7515</v>
      </c>
      <c r="H1350" t="s">
        <v>1396</v>
      </c>
      <c r="K1350">
        <v>14160</v>
      </c>
      <c r="L1350" t="s">
        <v>6803</v>
      </c>
    </row>
    <row r="1351" spans="1:12" x14ac:dyDescent="0.35">
      <c r="A1351" t="s">
        <v>26</v>
      </c>
      <c r="B1351" s="1">
        <v>45727</v>
      </c>
      <c r="C1351" t="s">
        <v>7686</v>
      </c>
      <c r="D1351" t="s">
        <v>1601</v>
      </c>
      <c r="E1351" t="s">
        <v>1602</v>
      </c>
      <c r="F1351" t="s">
        <v>7516</v>
      </c>
      <c r="H1351" t="s">
        <v>1396</v>
      </c>
      <c r="J1351">
        <v>14160</v>
      </c>
      <c r="L1351" t="s">
        <v>5928</v>
      </c>
    </row>
    <row r="1352" spans="1:12" x14ac:dyDescent="0.35">
      <c r="A1352" t="s">
        <v>26</v>
      </c>
      <c r="B1352" s="1">
        <v>45727</v>
      </c>
      <c r="C1352" t="s">
        <v>7687</v>
      </c>
      <c r="D1352" t="s">
        <v>1603</v>
      </c>
      <c r="E1352" t="s">
        <v>7688</v>
      </c>
      <c r="F1352" t="s">
        <v>6804</v>
      </c>
      <c r="G1352" t="s">
        <v>6826</v>
      </c>
      <c r="H1352" t="s">
        <v>1604</v>
      </c>
      <c r="I1352" s="1">
        <v>45808</v>
      </c>
      <c r="K1352">
        <v>2978497</v>
      </c>
      <c r="L1352" t="s">
        <v>6803</v>
      </c>
    </row>
    <row r="1353" spans="1:12" x14ac:dyDescent="0.35">
      <c r="A1353" t="s">
        <v>26</v>
      </c>
      <c r="B1353" s="1">
        <v>45727</v>
      </c>
      <c r="C1353" t="s">
        <v>7687</v>
      </c>
      <c r="D1353" t="s">
        <v>1603</v>
      </c>
      <c r="E1353" t="s">
        <v>7688</v>
      </c>
      <c r="F1353" t="s">
        <v>6806</v>
      </c>
      <c r="H1353" t="s">
        <v>1604</v>
      </c>
      <c r="J1353">
        <v>454347</v>
      </c>
      <c r="L1353" t="s">
        <v>6803</v>
      </c>
    </row>
    <row r="1354" spans="1:12" x14ac:dyDescent="0.35">
      <c r="A1354" t="s">
        <v>26</v>
      </c>
      <c r="B1354" s="1">
        <v>45727</v>
      </c>
      <c r="C1354" t="s">
        <v>7687</v>
      </c>
      <c r="D1354" t="s">
        <v>1603</v>
      </c>
      <c r="E1354" t="s">
        <v>7688</v>
      </c>
      <c r="F1354" t="s">
        <v>7681</v>
      </c>
      <c r="H1354" t="s">
        <v>1604</v>
      </c>
      <c r="J1354">
        <v>2524150</v>
      </c>
      <c r="L1354" t="s">
        <v>5949</v>
      </c>
    </row>
    <row r="1355" spans="1:12" x14ac:dyDescent="0.35">
      <c r="A1355" t="s">
        <v>26</v>
      </c>
      <c r="B1355" s="1">
        <v>45727</v>
      </c>
      <c r="C1355" t="s">
        <v>7689</v>
      </c>
      <c r="D1355" t="s">
        <v>1605</v>
      </c>
      <c r="E1355" t="s">
        <v>1606</v>
      </c>
      <c r="F1355" t="s">
        <v>6804</v>
      </c>
      <c r="G1355" t="s">
        <v>6904</v>
      </c>
      <c r="H1355" t="s">
        <v>1607</v>
      </c>
      <c r="I1355" s="1">
        <v>45787</v>
      </c>
      <c r="K1355">
        <v>1524230</v>
      </c>
      <c r="L1355" t="s">
        <v>6803</v>
      </c>
    </row>
    <row r="1356" spans="1:12" x14ac:dyDescent="0.35">
      <c r="A1356" t="s">
        <v>26</v>
      </c>
      <c r="B1356" s="1">
        <v>45727</v>
      </c>
      <c r="C1356" t="s">
        <v>7689</v>
      </c>
      <c r="D1356" t="s">
        <v>1605</v>
      </c>
      <c r="E1356" t="s">
        <v>1606</v>
      </c>
      <c r="F1356" t="s">
        <v>6819</v>
      </c>
      <c r="H1356" t="s">
        <v>1607</v>
      </c>
      <c r="J1356">
        <v>232510</v>
      </c>
      <c r="L1356" t="s">
        <v>6803</v>
      </c>
    </row>
    <row r="1357" spans="1:12" x14ac:dyDescent="0.35">
      <c r="A1357" t="s">
        <v>26</v>
      </c>
      <c r="B1357" s="1">
        <v>45727</v>
      </c>
      <c r="C1357" t="s">
        <v>7689</v>
      </c>
      <c r="D1357" t="s">
        <v>1605</v>
      </c>
      <c r="E1357" t="s">
        <v>1606</v>
      </c>
      <c r="F1357" t="s">
        <v>7556</v>
      </c>
      <c r="H1357" t="s">
        <v>1607</v>
      </c>
      <c r="J1357">
        <v>1291720</v>
      </c>
      <c r="L1357" t="s">
        <v>5950</v>
      </c>
    </row>
    <row r="1358" spans="1:12" x14ac:dyDescent="0.35">
      <c r="A1358" t="s">
        <v>26</v>
      </c>
      <c r="B1358" s="1">
        <v>45728</v>
      </c>
      <c r="C1358" t="s">
        <v>7690</v>
      </c>
      <c r="D1358" t="s">
        <v>1608</v>
      </c>
      <c r="E1358" t="s">
        <v>1609</v>
      </c>
      <c r="F1358" t="s">
        <v>7691</v>
      </c>
      <c r="H1358" t="s">
        <v>1610</v>
      </c>
      <c r="K1358">
        <v>5211630</v>
      </c>
      <c r="L1358" t="s">
        <v>6803</v>
      </c>
    </row>
    <row r="1359" spans="1:12" x14ac:dyDescent="0.35">
      <c r="A1359" t="s">
        <v>26</v>
      </c>
      <c r="B1359" s="1">
        <v>45728</v>
      </c>
      <c r="C1359" t="s">
        <v>7690</v>
      </c>
      <c r="D1359" t="s">
        <v>1608</v>
      </c>
      <c r="E1359" t="s">
        <v>1609</v>
      </c>
      <c r="F1359" t="s">
        <v>7338</v>
      </c>
      <c r="H1359" t="s">
        <v>1610</v>
      </c>
      <c r="J1359">
        <v>5211630</v>
      </c>
      <c r="L1359" t="s">
        <v>6803</v>
      </c>
    </row>
    <row r="1360" spans="1:12" x14ac:dyDescent="0.35">
      <c r="A1360" t="s">
        <v>26</v>
      </c>
      <c r="B1360" s="1">
        <v>45728</v>
      </c>
      <c r="C1360" t="s">
        <v>7692</v>
      </c>
      <c r="D1360" t="s">
        <v>1611</v>
      </c>
      <c r="E1360" t="s">
        <v>1612</v>
      </c>
      <c r="F1360" t="s">
        <v>7691</v>
      </c>
      <c r="H1360" t="s">
        <v>1610</v>
      </c>
      <c r="K1360">
        <v>11000</v>
      </c>
      <c r="L1360" t="s">
        <v>6803</v>
      </c>
    </row>
    <row r="1361" spans="1:12" x14ac:dyDescent="0.35">
      <c r="A1361" t="s">
        <v>26</v>
      </c>
      <c r="B1361" s="1">
        <v>45728</v>
      </c>
      <c r="C1361" t="s">
        <v>7692</v>
      </c>
      <c r="D1361" t="s">
        <v>1611</v>
      </c>
      <c r="E1361" t="s">
        <v>1612</v>
      </c>
      <c r="F1361" t="s">
        <v>7338</v>
      </c>
      <c r="H1361" t="s">
        <v>1610</v>
      </c>
      <c r="J1361">
        <v>11000</v>
      </c>
      <c r="L1361" t="s">
        <v>6803</v>
      </c>
    </row>
    <row r="1362" spans="1:12" x14ac:dyDescent="0.35">
      <c r="A1362" t="s">
        <v>26</v>
      </c>
      <c r="B1362" s="1">
        <v>45728</v>
      </c>
      <c r="C1362" t="s">
        <v>7693</v>
      </c>
      <c r="D1362" t="s">
        <v>1613</v>
      </c>
      <c r="E1362" t="s">
        <v>1614</v>
      </c>
      <c r="F1362" t="s">
        <v>6804</v>
      </c>
      <c r="G1362" t="s">
        <v>7397</v>
      </c>
      <c r="H1362" t="s">
        <v>1615</v>
      </c>
      <c r="I1362" s="1">
        <v>45758</v>
      </c>
      <c r="K1362">
        <v>832444</v>
      </c>
      <c r="L1362" t="s">
        <v>6803</v>
      </c>
    </row>
    <row r="1363" spans="1:12" x14ac:dyDescent="0.35">
      <c r="A1363" t="s">
        <v>26</v>
      </c>
      <c r="B1363" s="1">
        <v>45728</v>
      </c>
      <c r="C1363" t="s">
        <v>7693</v>
      </c>
      <c r="D1363" t="s">
        <v>1613</v>
      </c>
      <c r="E1363" t="s">
        <v>1614</v>
      </c>
      <c r="F1363" t="s">
        <v>6819</v>
      </c>
      <c r="H1363" t="s">
        <v>1615</v>
      </c>
      <c r="J1363">
        <v>126983</v>
      </c>
      <c r="L1363" t="s">
        <v>6803</v>
      </c>
    </row>
    <row r="1364" spans="1:12" x14ac:dyDescent="0.35">
      <c r="A1364" t="s">
        <v>26</v>
      </c>
      <c r="B1364" s="1">
        <v>45728</v>
      </c>
      <c r="C1364" t="s">
        <v>7693</v>
      </c>
      <c r="D1364" t="s">
        <v>1613</v>
      </c>
      <c r="E1364" t="s">
        <v>1614</v>
      </c>
      <c r="F1364" t="s">
        <v>7318</v>
      </c>
      <c r="G1364" t="s">
        <v>7397</v>
      </c>
      <c r="H1364" t="s">
        <v>1615</v>
      </c>
      <c r="J1364">
        <v>600000</v>
      </c>
      <c r="L1364" t="s">
        <v>6803</v>
      </c>
    </row>
    <row r="1365" spans="1:12" x14ac:dyDescent="0.35">
      <c r="A1365" t="s">
        <v>26</v>
      </c>
      <c r="B1365" s="1">
        <v>45728</v>
      </c>
      <c r="C1365" t="s">
        <v>7693</v>
      </c>
      <c r="D1365" t="s">
        <v>1613</v>
      </c>
      <c r="E1365" t="s">
        <v>1614</v>
      </c>
      <c r="F1365" t="s">
        <v>7398</v>
      </c>
      <c r="H1365" t="s">
        <v>1615</v>
      </c>
      <c r="J1365">
        <v>105461</v>
      </c>
      <c r="L1365" t="s">
        <v>342</v>
      </c>
    </row>
    <row r="1366" spans="1:12" x14ac:dyDescent="0.35">
      <c r="A1366" t="s">
        <v>26</v>
      </c>
      <c r="B1366" s="1">
        <v>45728</v>
      </c>
      <c r="C1366" t="s">
        <v>7694</v>
      </c>
      <c r="D1366" t="s">
        <v>1616</v>
      </c>
      <c r="E1366" t="s">
        <v>1617</v>
      </c>
      <c r="F1366" t="s">
        <v>6804</v>
      </c>
      <c r="G1366" t="s">
        <v>7049</v>
      </c>
      <c r="H1366" t="s">
        <v>1618</v>
      </c>
      <c r="I1366" s="1">
        <v>45758</v>
      </c>
      <c r="K1366">
        <v>8673</v>
      </c>
      <c r="L1366" t="s">
        <v>6803</v>
      </c>
    </row>
    <row r="1367" spans="1:12" x14ac:dyDescent="0.35">
      <c r="A1367" t="s">
        <v>26</v>
      </c>
      <c r="B1367" s="1">
        <v>45728</v>
      </c>
      <c r="C1367" t="s">
        <v>7694</v>
      </c>
      <c r="D1367" t="s">
        <v>1616</v>
      </c>
      <c r="E1367" t="s">
        <v>1617</v>
      </c>
      <c r="F1367" t="s">
        <v>6806</v>
      </c>
      <c r="H1367" t="s">
        <v>1618</v>
      </c>
      <c r="J1367">
        <v>1323</v>
      </c>
      <c r="L1367" t="s">
        <v>6803</v>
      </c>
    </row>
    <row r="1368" spans="1:12" x14ac:dyDescent="0.35">
      <c r="A1368" t="s">
        <v>26</v>
      </c>
      <c r="B1368" s="1">
        <v>45728</v>
      </c>
      <c r="C1368" t="s">
        <v>7694</v>
      </c>
      <c r="D1368" t="s">
        <v>1616</v>
      </c>
      <c r="E1368" t="s">
        <v>1617</v>
      </c>
      <c r="F1368" t="s">
        <v>7681</v>
      </c>
      <c r="H1368" t="s">
        <v>1618</v>
      </c>
      <c r="J1368">
        <v>7350</v>
      </c>
      <c r="L1368" t="s">
        <v>5905</v>
      </c>
    </row>
    <row r="1369" spans="1:12" x14ac:dyDescent="0.35">
      <c r="A1369" t="s">
        <v>26</v>
      </c>
      <c r="B1369" s="1">
        <v>45729</v>
      </c>
      <c r="C1369" t="s">
        <v>7695</v>
      </c>
      <c r="D1369" t="s">
        <v>1619</v>
      </c>
      <c r="E1369" t="s">
        <v>1620</v>
      </c>
      <c r="F1369" t="s">
        <v>7691</v>
      </c>
      <c r="H1369" t="s">
        <v>1621</v>
      </c>
      <c r="K1369">
        <v>116134430</v>
      </c>
      <c r="L1369" t="s">
        <v>6803</v>
      </c>
    </row>
    <row r="1370" spans="1:12" x14ac:dyDescent="0.35">
      <c r="A1370" t="s">
        <v>26</v>
      </c>
      <c r="B1370" s="1">
        <v>45729</v>
      </c>
      <c r="C1370" t="s">
        <v>7695</v>
      </c>
      <c r="D1370" t="s">
        <v>1619</v>
      </c>
      <c r="E1370" t="s">
        <v>1620</v>
      </c>
      <c r="F1370" t="s">
        <v>7338</v>
      </c>
      <c r="H1370" t="s">
        <v>1621</v>
      </c>
      <c r="J1370">
        <v>116134430</v>
      </c>
      <c r="L1370" t="s">
        <v>6803</v>
      </c>
    </row>
    <row r="1371" spans="1:12" x14ac:dyDescent="0.35">
      <c r="A1371" t="s">
        <v>26</v>
      </c>
      <c r="B1371" s="1">
        <v>45729</v>
      </c>
      <c r="C1371" t="s">
        <v>7696</v>
      </c>
      <c r="D1371" t="s">
        <v>1622</v>
      </c>
      <c r="E1371" t="s">
        <v>7697</v>
      </c>
      <c r="F1371" t="s">
        <v>6804</v>
      </c>
      <c r="G1371" t="s">
        <v>7097</v>
      </c>
      <c r="H1371" t="s">
        <v>1623</v>
      </c>
      <c r="I1371" s="1">
        <v>45729</v>
      </c>
      <c r="K1371">
        <v>14451800</v>
      </c>
      <c r="L1371" t="s">
        <v>6803</v>
      </c>
    </row>
    <row r="1372" spans="1:12" x14ac:dyDescent="0.35">
      <c r="A1372" t="s">
        <v>26</v>
      </c>
      <c r="B1372" s="1">
        <v>45729</v>
      </c>
      <c r="C1372" t="s">
        <v>7696</v>
      </c>
      <c r="D1372" t="s">
        <v>1622</v>
      </c>
      <c r="E1372" t="s">
        <v>7697</v>
      </c>
      <c r="F1372" t="s">
        <v>7355</v>
      </c>
      <c r="H1372" t="s">
        <v>1623</v>
      </c>
      <c r="J1372">
        <v>6542000</v>
      </c>
      <c r="L1372" t="s">
        <v>347</v>
      </c>
    </row>
    <row r="1373" spans="1:12" x14ac:dyDescent="0.35">
      <c r="A1373" t="s">
        <v>26</v>
      </c>
      <c r="B1373" s="1">
        <v>45729</v>
      </c>
      <c r="C1373" t="s">
        <v>7696</v>
      </c>
      <c r="D1373" t="s">
        <v>1622</v>
      </c>
      <c r="E1373" t="s">
        <v>7697</v>
      </c>
      <c r="F1373" t="s">
        <v>7568</v>
      </c>
      <c r="H1373" t="s">
        <v>1623</v>
      </c>
      <c r="J1373">
        <v>7909800</v>
      </c>
      <c r="L1373" t="s">
        <v>347</v>
      </c>
    </row>
    <row r="1374" spans="1:12" x14ac:dyDescent="0.35">
      <c r="A1374" t="s">
        <v>26</v>
      </c>
      <c r="B1374" s="1">
        <v>45729</v>
      </c>
      <c r="C1374" t="s">
        <v>7698</v>
      </c>
      <c r="D1374" t="s">
        <v>1624</v>
      </c>
      <c r="E1374" t="s">
        <v>7699</v>
      </c>
      <c r="F1374" t="s">
        <v>6804</v>
      </c>
      <c r="G1374" t="s">
        <v>7700</v>
      </c>
      <c r="H1374" t="s">
        <v>1625</v>
      </c>
      <c r="I1374" s="1">
        <v>45729</v>
      </c>
      <c r="K1374">
        <v>2153500</v>
      </c>
      <c r="L1374" t="s">
        <v>6803</v>
      </c>
    </row>
    <row r="1375" spans="1:12" x14ac:dyDescent="0.35">
      <c r="A1375" t="s">
        <v>26</v>
      </c>
      <c r="B1375" s="1">
        <v>45729</v>
      </c>
      <c r="C1375" t="s">
        <v>7698</v>
      </c>
      <c r="D1375" t="s">
        <v>1624</v>
      </c>
      <c r="E1375" t="s">
        <v>7699</v>
      </c>
      <c r="F1375" t="s">
        <v>7701</v>
      </c>
      <c r="H1375" t="s">
        <v>1625</v>
      </c>
      <c r="J1375">
        <v>2153500</v>
      </c>
      <c r="L1375" t="s">
        <v>6803</v>
      </c>
    </row>
    <row r="1376" spans="1:12" x14ac:dyDescent="0.35">
      <c r="A1376" t="s">
        <v>26</v>
      </c>
      <c r="B1376" s="1">
        <v>45729</v>
      </c>
      <c r="C1376" t="s">
        <v>7702</v>
      </c>
      <c r="D1376" t="s">
        <v>1626</v>
      </c>
      <c r="E1376" t="s">
        <v>7703</v>
      </c>
      <c r="F1376" t="s">
        <v>6804</v>
      </c>
      <c r="G1376" t="s">
        <v>7700</v>
      </c>
      <c r="H1376" t="s">
        <v>1625</v>
      </c>
      <c r="I1376" s="1">
        <v>45729</v>
      </c>
      <c r="K1376">
        <v>708000</v>
      </c>
      <c r="L1376" t="s">
        <v>6803</v>
      </c>
    </row>
    <row r="1377" spans="1:12" x14ac:dyDescent="0.35">
      <c r="A1377" t="s">
        <v>26</v>
      </c>
      <c r="B1377" s="1">
        <v>45729</v>
      </c>
      <c r="C1377" t="s">
        <v>7702</v>
      </c>
      <c r="D1377" t="s">
        <v>1626</v>
      </c>
      <c r="E1377" t="s">
        <v>7703</v>
      </c>
      <c r="F1377" t="s">
        <v>7701</v>
      </c>
      <c r="H1377" t="s">
        <v>1625</v>
      </c>
      <c r="J1377">
        <v>708000</v>
      </c>
      <c r="L1377" t="s">
        <v>6803</v>
      </c>
    </row>
    <row r="1378" spans="1:12" x14ac:dyDescent="0.35">
      <c r="A1378" t="s">
        <v>26</v>
      </c>
      <c r="B1378" s="1">
        <v>45729</v>
      </c>
      <c r="C1378" t="s">
        <v>7704</v>
      </c>
      <c r="D1378" t="s">
        <v>1627</v>
      </c>
      <c r="E1378" t="s">
        <v>7705</v>
      </c>
      <c r="F1378" t="s">
        <v>6804</v>
      </c>
      <c r="G1378" t="s">
        <v>7700</v>
      </c>
      <c r="H1378" t="s">
        <v>1625</v>
      </c>
      <c r="I1378" s="1">
        <v>45729</v>
      </c>
      <c r="K1378">
        <v>3717000</v>
      </c>
      <c r="L1378" t="s">
        <v>6803</v>
      </c>
    </row>
    <row r="1379" spans="1:12" x14ac:dyDescent="0.35">
      <c r="A1379" t="s">
        <v>26</v>
      </c>
      <c r="B1379" s="1">
        <v>45729</v>
      </c>
      <c r="C1379" t="s">
        <v>7704</v>
      </c>
      <c r="D1379" t="s">
        <v>1627</v>
      </c>
      <c r="E1379" t="s">
        <v>7705</v>
      </c>
      <c r="F1379" t="s">
        <v>7701</v>
      </c>
      <c r="H1379" t="s">
        <v>1625</v>
      </c>
      <c r="J1379">
        <v>3717000</v>
      </c>
      <c r="L1379" t="s">
        <v>6803</v>
      </c>
    </row>
    <row r="1380" spans="1:12" x14ac:dyDescent="0.35">
      <c r="A1380" t="s">
        <v>26</v>
      </c>
      <c r="B1380" s="1">
        <v>45729</v>
      </c>
      <c r="C1380" t="s">
        <v>7706</v>
      </c>
      <c r="D1380" t="s">
        <v>1628</v>
      </c>
      <c r="E1380" t="s">
        <v>1629</v>
      </c>
      <c r="F1380" t="s">
        <v>6804</v>
      </c>
      <c r="G1380" t="s">
        <v>7484</v>
      </c>
      <c r="H1380" t="s">
        <v>1630</v>
      </c>
      <c r="I1380" s="1">
        <v>45729</v>
      </c>
      <c r="K1380">
        <v>3047199</v>
      </c>
      <c r="L1380" t="s">
        <v>6803</v>
      </c>
    </row>
    <row r="1381" spans="1:12" x14ac:dyDescent="0.35">
      <c r="A1381" t="s">
        <v>26</v>
      </c>
      <c r="B1381" s="1">
        <v>45729</v>
      </c>
      <c r="C1381" t="s">
        <v>7706</v>
      </c>
      <c r="D1381" t="s">
        <v>1628</v>
      </c>
      <c r="E1381" t="s">
        <v>1629</v>
      </c>
      <c r="F1381" t="s">
        <v>7338</v>
      </c>
      <c r="H1381" t="s">
        <v>1630</v>
      </c>
      <c r="J1381">
        <v>3047190</v>
      </c>
      <c r="L1381" t="s">
        <v>6803</v>
      </c>
    </row>
    <row r="1382" spans="1:12" x14ac:dyDescent="0.35">
      <c r="A1382" t="s">
        <v>26</v>
      </c>
      <c r="B1382" s="1">
        <v>45729</v>
      </c>
      <c r="C1382" t="s">
        <v>7706</v>
      </c>
      <c r="D1382" t="s">
        <v>1628</v>
      </c>
      <c r="E1382" t="s">
        <v>1629</v>
      </c>
      <c r="F1382" t="s">
        <v>7426</v>
      </c>
      <c r="H1382" t="s">
        <v>1630</v>
      </c>
      <c r="J1382">
        <v>9</v>
      </c>
      <c r="L1382" t="s">
        <v>5894</v>
      </c>
    </row>
    <row r="1383" spans="1:12" x14ac:dyDescent="0.35">
      <c r="A1383" t="s">
        <v>26</v>
      </c>
      <c r="B1383" s="1">
        <v>45729</v>
      </c>
      <c r="C1383" t="s">
        <v>7707</v>
      </c>
      <c r="D1383" t="s">
        <v>1631</v>
      </c>
      <c r="E1383" t="s">
        <v>1632</v>
      </c>
      <c r="F1383" t="s">
        <v>6804</v>
      </c>
      <c r="G1383" t="s">
        <v>7484</v>
      </c>
      <c r="H1383" t="s">
        <v>1633</v>
      </c>
      <c r="I1383" s="1">
        <v>45744</v>
      </c>
      <c r="K1383">
        <v>19244</v>
      </c>
      <c r="L1383" t="s">
        <v>6803</v>
      </c>
    </row>
    <row r="1384" spans="1:12" x14ac:dyDescent="0.35">
      <c r="A1384" t="s">
        <v>26</v>
      </c>
      <c r="B1384" s="1">
        <v>45729</v>
      </c>
      <c r="C1384" t="s">
        <v>7707</v>
      </c>
      <c r="D1384" t="s">
        <v>1631</v>
      </c>
      <c r="E1384" t="s">
        <v>1632</v>
      </c>
      <c r="F1384" t="s">
        <v>7426</v>
      </c>
      <c r="H1384" t="s">
        <v>1633</v>
      </c>
      <c r="J1384">
        <v>19244</v>
      </c>
      <c r="L1384" t="s">
        <v>5938</v>
      </c>
    </row>
    <row r="1385" spans="1:12" x14ac:dyDescent="0.35">
      <c r="A1385" t="s">
        <v>26</v>
      </c>
      <c r="B1385" s="1">
        <v>45729</v>
      </c>
      <c r="C1385" t="s">
        <v>7708</v>
      </c>
      <c r="D1385" t="s">
        <v>1634</v>
      </c>
      <c r="E1385" t="s">
        <v>1635</v>
      </c>
      <c r="F1385" t="s">
        <v>6804</v>
      </c>
      <c r="G1385" t="s">
        <v>7484</v>
      </c>
      <c r="H1385" t="s">
        <v>1636</v>
      </c>
      <c r="I1385" s="1">
        <v>45729</v>
      </c>
      <c r="K1385">
        <v>5240666</v>
      </c>
      <c r="L1385" t="s">
        <v>6803</v>
      </c>
    </row>
    <row r="1386" spans="1:12" x14ac:dyDescent="0.35">
      <c r="A1386" t="s">
        <v>26</v>
      </c>
      <c r="B1386" s="1">
        <v>45729</v>
      </c>
      <c r="C1386" t="s">
        <v>7708</v>
      </c>
      <c r="D1386" t="s">
        <v>1634</v>
      </c>
      <c r="E1386" t="s">
        <v>1635</v>
      </c>
      <c r="F1386" t="s">
        <v>7338</v>
      </c>
      <c r="H1386" t="s">
        <v>1636</v>
      </c>
      <c r="J1386">
        <v>5240660</v>
      </c>
      <c r="L1386" t="s">
        <v>6803</v>
      </c>
    </row>
    <row r="1387" spans="1:12" x14ac:dyDescent="0.35">
      <c r="A1387" t="s">
        <v>26</v>
      </c>
      <c r="B1387" s="1">
        <v>45729</v>
      </c>
      <c r="C1387" t="s">
        <v>7708</v>
      </c>
      <c r="D1387" t="s">
        <v>1634</v>
      </c>
      <c r="E1387" t="s">
        <v>1635</v>
      </c>
      <c r="F1387" t="s">
        <v>7426</v>
      </c>
      <c r="H1387" t="s">
        <v>1636</v>
      </c>
      <c r="J1387">
        <v>6</v>
      </c>
      <c r="L1387" t="s">
        <v>5894</v>
      </c>
    </row>
    <row r="1388" spans="1:12" x14ac:dyDescent="0.35">
      <c r="A1388" t="s">
        <v>26</v>
      </c>
      <c r="B1388" s="1">
        <v>45729</v>
      </c>
      <c r="C1388" t="s">
        <v>7709</v>
      </c>
      <c r="D1388" t="s">
        <v>1637</v>
      </c>
      <c r="E1388" t="s">
        <v>1638</v>
      </c>
      <c r="F1388" t="s">
        <v>6804</v>
      </c>
      <c r="G1388" t="s">
        <v>7484</v>
      </c>
      <c r="H1388" t="s">
        <v>1639</v>
      </c>
      <c r="I1388" s="1">
        <v>45729</v>
      </c>
      <c r="K1388">
        <v>467200</v>
      </c>
      <c r="L1388" t="s">
        <v>6803</v>
      </c>
    </row>
    <row r="1389" spans="1:12" x14ac:dyDescent="0.35">
      <c r="A1389" t="s">
        <v>26</v>
      </c>
      <c r="B1389" s="1">
        <v>45729</v>
      </c>
      <c r="C1389" t="s">
        <v>7709</v>
      </c>
      <c r="D1389" t="s">
        <v>1637</v>
      </c>
      <c r="E1389" t="s">
        <v>1638</v>
      </c>
      <c r="F1389" t="s">
        <v>7426</v>
      </c>
      <c r="H1389" t="s">
        <v>1639</v>
      </c>
      <c r="J1389">
        <v>467200</v>
      </c>
      <c r="L1389" t="s">
        <v>5898</v>
      </c>
    </row>
    <row r="1390" spans="1:12" x14ac:dyDescent="0.35">
      <c r="A1390" t="s">
        <v>26</v>
      </c>
      <c r="B1390" s="1">
        <v>45729</v>
      </c>
      <c r="C1390" t="s">
        <v>7710</v>
      </c>
      <c r="D1390" t="s">
        <v>1640</v>
      </c>
      <c r="E1390" t="s">
        <v>1641</v>
      </c>
      <c r="F1390" t="s">
        <v>6804</v>
      </c>
      <c r="G1390" t="s">
        <v>7484</v>
      </c>
      <c r="H1390" t="s">
        <v>1642</v>
      </c>
      <c r="I1390" s="1">
        <v>45729</v>
      </c>
      <c r="K1390">
        <v>54148</v>
      </c>
      <c r="L1390" t="s">
        <v>6803</v>
      </c>
    </row>
    <row r="1391" spans="1:12" x14ac:dyDescent="0.35">
      <c r="A1391" t="s">
        <v>26</v>
      </c>
      <c r="B1391" s="1">
        <v>45729</v>
      </c>
      <c r="C1391" t="s">
        <v>7710</v>
      </c>
      <c r="D1391" t="s">
        <v>1640</v>
      </c>
      <c r="E1391" t="s">
        <v>1641</v>
      </c>
      <c r="F1391" t="s">
        <v>7426</v>
      </c>
      <c r="H1391" t="s">
        <v>1642</v>
      </c>
      <c r="J1391">
        <v>54148</v>
      </c>
      <c r="L1391" t="s">
        <v>5948</v>
      </c>
    </row>
    <row r="1392" spans="1:12" x14ac:dyDescent="0.35">
      <c r="A1392" t="s">
        <v>26</v>
      </c>
      <c r="B1392" s="1">
        <v>45729</v>
      </c>
      <c r="C1392" t="s">
        <v>7711</v>
      </c>
      <c r="D1392" t="s">
        <v>1643</v>
      </c>
      <c r="E1392" t="s">
        <v>1644</v>
      </c>
      <c r="F1392" t="s">
        <v>6804</v>
      </c>
      <c r="G1392" t="s">
        <v>7484</v>
      </c>
      <c r="H1392" t="s">
        <v>1645</v>
      </c>
      <c r="I1392" s="1">
        <v>45729</v>
      </c>
      <c r="K1392">
        <v>2711478</v>
      </c>
      <c r="L1392" t="s">
        <v>6803</v>
      </c>
    </row>
    <row r="1393" spans="1:12" x14ac:dyDescent="0.35">
      <c r="A1393" t="s">
        <v>26</v>
      </c>
      <c r="B1393" s="1">
        <v>45729</v>
      </c>
      <c r="C1393" t="s">
        <v>7711</v>
      </c>
      <c r="D1393" t="s">
        <v>1643</v>
      </c>
      <c r="E1393" t="s">
        <v>1644</v>
      </c>
      <c r="F1393" t="s">
        <v>7338</v>
      </c>
      <c r="H1393" t="s">
        <v>1645</v>
      </c>
      <c r="J1393">
        <v>2711470</v>
      </c>
      <c r="L1393" t="s">
        <v>6803</v>
      </c>
    </row>
    <row r="1394" spans="1:12" x14ac:dyDescent="0.35">
      <c r="A1394" t="s">
        <v>26</v>
      </c>
      <c r="B1394" s="1">
        <v>45729</v>
      </c>
      <c r="C1394" t="s">
        <v>7711</v>
      </c>
      <c r="D1394" t="s">
        <v>1643</v>
      </c>
      <c r="E1394" t="s">
        <v>1644</v>
      </c>
      <c r="F1394" t="s">
        <v>7426</v>
      </c>
      <c r="H1394" t="s">
        <v>1645</v>
      </c>
      <c r="J1394">
        <v>8</v>
      </c>
      <c r="L1394" t="s">
        <v>5894</v>
      </c>
    </row>
    <row r="1395" spans="1:12" x14ac:dyDescent="0.35">
      <c r="A1395" t="s">
        <v>26</v>
      </c>
      <c r="B1395" s="1">
        <v>45729</v>
      </c>
      <c r="C1395" t="s">
        <v>7712</v>
      </c>
      <c r="D1395" t="s">
        <v>1646</v>
      </c>
      <c r="E1395" t="s">
        <v>1647</v>
      </c>
      <c r="F1395" t="s">
        <v>6804</v>
      </c>
      <c r="G1395" t="s">
        <v>7484</v>
      </c>
      <c r="H1395" t="s">
        <v>1648</v>
      </c>
      <c r="I1395" s="1">
        <v>45729</v>
      </c>
      <c r="K1395">
        <v>2000</v>
      </c>
      <c r="L1395" t="s">
        <v>6803</v>
      </c>
    </row>
    <row r="1396" spans="1:12" x14ac:dyDescent="0.35">
      <c r="A1396" t="s">
        <v>26</v>
      </c>
      <c r="B1396" s="1">
        <v>45729</v>
      </c>
      <c r="C1396" t="s">
        <v>7712</v>
      </c>
      <c r="D1396" t="s">
        <v>1646</v>
      </c>
      <c r="E1396" t="s">
        <v>1647</v>
      </c>
      <c r="F1396" t="s">
        <v>7426</v>
      </c>
      <c r="H1396" t="s">
        <v>1648</v>
      </c>
      <c r="J1396">
        <v>2000</v>
      </c>
      <c r="L1396" t="s">
        <v>5894</v>
      </c>
    </row>
    <row r="1397" spans="1:12" x14ac:dyDescent="0.35">
      <c r="A1397" t="s">
        <v>26</v>
      </c>
      <c r="B1397" s="1">
        <v>45729</v>
      </c>
      <c r="C1397" t="s">
        <v>7713</v>
      </c>
      <c r="D1397" t="s">
        <v>1649</v>
      </c>
      <c r="E1397" t="s">
        <v>1650</v>
      </c>
      <c r="F1397" t="s">
        <v>6804</v>
      </c>
      <c r="G1397" t="s">
        <v>7484</v>
      </c>
      <c r="H1397" t="s">
        <v>1651</v>
      </c>
      <c r="I1397" s="1">
        <v>45729</v>
      </c>
      <c r="K1397">
        <v>5000</v>
      </c>
      <c r="L1397" t="s">
        <v>6803</v>
      </c>
    </row>
    <row r="1398" spans="1:12" x14ac:dyDescent="0.35">
      <c r="A1398" t="s">
        <v>26</v>
      </c>
      <c r="B1398" s="1">
        <v>45729</v>
      </c>
      <c r="C1398" t="s">
        <v>7713</v>
      </c>
      <c r="D1398" t="s">
        <v>1649</v>
      </c>
      <c r="E1398" t="s">
        <v>1650</v>
      </c>
      <c r="F1398" t="s">
        <v>7426</v>
      </c>
      <c r="H1398" t="s">
        <v>1651</v>
      </c>
      <c r="J1398">
        <v>5000</v>
      </c>
      <c r="L1398" t="s">
        <v>5894</v>
      </c>
    </row>
    <row r="1399" spans="1:12" x14ac:dyDescent="0.35">
      <c r="A1399" t="s">
        <v>26</v>
      </c>
      <c r="B1399" s="1">
        <v>45730</v>
      </c>
      <c r="C1399" t="s">
        <v>7714</v>
      </c>
      <c r="D1399" t="s">
        <v>1652</v>
      </c>
      <c r="E1399" t="s">
        <v>7715</v>
      </c>
      <c r="F1399" t="s">
        <v>6804</v>
      </c>
      <c r="G1399" t="s">
        <v>1653</v>
      </c>
      <c r="H1399" t="s">
        <v>1654</v>
      </c>
      <c r="I1399" s="1">
        <v>45730</v>
      </c>
      <c r="K1399">
        <v>30000</v>
      </c>
      <c r="L1399" t="s">
        <v>6803</v>
      </c>
    </row>
    <row r="1400" spans="1:12" x14ac:dyDescent="0.35">
      <c r="A1400" t="s">
        <v>26</v>
      </c>
      <c r="B1400" s="1">
        <v>45730</v>
      </c>
      <c r="C1400" t="s">
        <v>7714</v>
      </c>
      <c r="D1400" t="s">
        <v>1652</v>
      </c>
      <c r="E1400" t="s">
        <v>7715</v>
      </c>
      <c r="F1400" t="s">
        <v>7488</v>
      </c>
      <c r="H1400" t="s">
        <v>1654</v>
      </c>
      <c r="J1400">
        <v>30000</v>
      </c>
      <c r="L1400" t="s">
        <v>5943</v>
      </c>
    </row>
    <row r="1401" spans="1:12" x14ac:dyDescent="0.35">
      <c r="A1401" t="s">
        <v>26</v>
      </c>
      <c r="B1401" s="1">
        <v>45730</v>
      </c>
      <c r="C1401" t="s">
        <v>7716</v>
      </c>
      <c r="D1401" t="s">
        <v>1655</v>
      </c>
      <c r="E1401" t="s">
        <v>7717</v>
      </c>
      <c r="F1401" t="s">
        <v>6804</v>
      </c>
      <c r="G1401" t="s">
        <v>1653</v>
      </c>
      <c r="H1401" t="s">
        <v>1654</v>
      </c>
      <c r="I1401" s="1">
        <v>45730</v>
      </c>
      <c r="K1401">
        <v>90000</v>
      </c>
      <c r="L1401" t="s">
        <v>6803</v>
      </c>
    </row>
    <row r="1402" spans="1:12" x14ac:dyDescent="0.35">
      <c r="A1402" t="s">
        <v>26</v>
      </c>
      <c r="B1402" s="1">
        <v>45730</v>
      </c>
      <c r="C1402" t="s">
        <v>7716</v>
      </c>
      <c r="D1402" t="s">
        <v>1655</v>
      </c>
      <c r="E1402" t="s">
        <v>7717</v>
      </c>
      <c r="F1402" t="s">
        <v>7488</v>
      </c>
      <c r="H1402" t="s">
        <v>1654</v>
      </c>
      <c r="J1402">
        <v>90000</v>
      </c>
      <c r="L1402" t="s">
        <v>5943</v>
      </c>
    </row>
    <row r="1403" spans="1:12" x14ac:dyDescent="0.35">
      <c r="A1403" t="s">
        <v>26</v>
      </c>
      <c r="B1403" s="1">
        <v>45730</v>
      </c>
      <c r="C1403" t="s">
        <v>7718</v>
      </c>
      <c r="D1403" t="s">
        <v>1656</v>
      </c>
      <c r="E1403" t="s">
        <v>7719</v>
      </c>
      <c r="F1403" t="s">
        <v>6804</v>
      </c>
      <c r="G1403" t="s">
        <v>1653</v>
      </c>
      <c r="H1403" t="s">
        <v>1654</v>
      </c>
      <c r="I1403" s="1">
        <v>45730</v>
      </c>
      <c r="K1403">
        <v>120000</v>
      </c>
      <c r="L1403" t="s">
        <v>6803</v>
      </c>
    </row>
    <row r="1404" spans="1:12" x14ac:dyDescent="0.35">
      <c r="A1404" t="s">
        <v>26</v>
      </c>
      <c r="B1404" s="1">
        <v>45730</v>
      </c>
      <c r="C1404" t="s">
        <v>7718</v>
      </c>
      <c r="D1404" t="s">
        <v>1656</v>
      </c>
      <c r="E1404" t="s">
        <v>7719</v>
      </c>
      <c r="F1404" t="s">
        <v>7488</v>
      </c>
      <c r="H1404" t="s">
        <v>1654</v>
      </c>
      <c r="J1404">
        <v>120000</v>
      </c>
      <c r="L1404" t="s">
        <v>5943</v>
      </c>
    </row>
    <row r="1405" spans="1:12" x14ac:dyDescent="0.35">
      <c r="A1405" t="s">
        <v>26</v>
      </c>
      <c r="B1405" s="1">
        <v>45730</v>
      </c>
      <c r="C1405" t="s">
        <v>7720</v>
      </c>
      <c r="D1405" t="s">
        <v>1657</v>
      </c>
      <c r="E1405" t="s">
        <v>7721</v>
      </c>
      <c r="F1405" t="s">
        <v>6804</v>
      </c>
      <c r="G1405" t="s">
        <v>1653</v>
      </c>
      <c r="H1405" t="s">
        <v>1654</v>
      </c>
      <c r="I1405" s="1">
        <v>45730</v>
      </c>
      <c r="K1405">
        <v>4120000</v>
      </c>
      <c r="L1405" t="s">
        <v>6803</v>
      </c>
    </row>
    <row r="1406" spans="1:12" x14ac:dyDescent="0.35">
      <c r="A1406" t="s">
        <v>26</v>
      </c>
      <c r="B1406" s="1">
        <v>45730</v>
      </c>
      <c r="C1406" t="s">
        <v>7720</v>
      </c>
      <c r="D1406" t="s">
        <v>1657</v>
      </c>
      <c r="E1406" t="s">
        <v>7721</v>
      </c>
      <c r="F1406" t="s">
        <v>7488</v>
      </c>
      <c r="H1406" t="s">
        <v>1654</v>
      </c>
      <c r="J1406">
        <v>4120000</v>
      </c>
      <c r="L1406" t="s">
        <v>5943</v>
      </c>
    </row>
    <row r="1407" spans="1:12" x14ac:dyDescent="0.35">
      <c r="A1407" t="s">
        <v>26</v>
      </c>
      <c r="B1407" s="1">
        <v>45730</v>
      </c>
      <c r="C1407" t="s">
        <v>7722</v>
      </c>
      <c r="D1407" t="s">
        <v>1658</v>
      </c>
      <c r="E1407" t="s">
        <v>7570</v>
      </c>
      <c r="F1407" t="s">
        <v>6804</v>
      </c>
      <c r="G1407" t="s">
        <v>7403</v>
      </c>
      <c r="H1407" t="s">
        <v>1659</v>
      </c>
      <c r="I1407" s="1">
        <v>45730</v>
      </c>
      <c r="K1407">
        <v>4752000</v>
      </c>
      <c r="L1407" t="s">
        <v>6803</v>
      </c>
    </row>
    <row r="1408" spans="1:12" x14ac:dyDescent="0.35">
      <c r="A1408" t="s">
        <v>26</v>
      </c>
      <c r="B1408" s="1">
        <v>45730</v>
      </c>
      <c r="C1408" t="s">
        <v>7722</v>
      </c>
      <c r="D1408" t="s">
        <v>1658</v>
      </c>
      <c r="E1408" t="s">
        <v>7570</v>
      </c>
      <c r="F1408" t="s">
        <v>7560</v>
      </c>
      <c r="H1408" t="s">
        <v>1659</v>
      </c>
      <c r="K1408">
        <v>648000</v>
      </c>
      <c r="L1408" t="s">
        <v>6803</v>
      </c>
    </row>
    <row r="1409" spans="1:12" x14ac:dyDescent="0.35">
      <c r="A1409" t="s">
        <v>26</v>
      </c>
      <c r="B1409" s="1">
        <v>45730</v>
      </c>
      <c r="C1409" t="s">
        <v>7722</v>
      </c>
      <c r="D1409" t="s">
        <v>1658</v>
      </c>
      <c r="E1409" t="s">
        <v>7570</v>
      </c>
      <c r="F1409" t="s">
        <v>7318</v>
      </c>
      <c r="G1409" t="s">
        <v>7403</v>
      </c>
      <c r="H1409" t="s">
        <v>1659</v>
      </c>
      <c r="J1409">
        <v>5400000</v>
      </c>
      <c r="L1409" t="s">
        <v>6803</v>
      </c>
    </row>
    <row r="1410" spans="1:12" x14ac:dyDescent="0.35">
      <c r="A1410" t="s">
        <v>26</v>
      </c>
      <c r="B1410" s="1">
        <v>45730</v>
      </c>
      <c r="C1410" t="s">
        <v>7723</v>
      </c>
      <c r="D1410" t="s">
        <v>1660</v>
      </c>
      <c r="E1410" t="s">
        <v>7724</v>
      </c>
      <c r="F1410" t="s">
        <v>6804</v>
      </c>
      <c r="G1410" t="s">
        <v>7097</v>
      </c>
      <c r="H1410" t="s">
        <v>1661</v>
      </c>
      <c r="I1410" s="1">
        <v>45730</v>
      </c>
      <c r="K1410">
        <v>3600000</v>
      </c>
      <c r="L1410" t="s">
        <v>6803</v>
      </c>
    </row>
    <row r="1411" spans="1:12" x14ac:dyDescent="0.35">
      <c r="A1411" t="s">
        <v>26</v>
      </c>
      <c r="B1411" s="1">
        <v>45730</v>
      </c>
      <c r="C1411" t="s">
        <v>7723</v>
      </c>
      <c r="D1411" t="s">
        <v>1660</v>
      </c>
      <c r="E1411" t="s">
        <v>7724</v>
      </c>
      <c r="F1411" t="s">
        <v>7725</v>
      </c>
      <c r="H1411" t="s">
        <v>1661</v>
      </c>
      <c r="J1411">
        <v>3600000</v>
      </c>
      <c r="L1411" t="s">
        <v>6803</v>
      </c>
    </row>
    <row r="1412" spans="1:12" x14ac:dyDescent="0.35">
      <c r="A1412" t="s">
        <v>26</v>
      </c>
      <c r="B1412" s="1">
        <v>45730</v>
      </c>
      <c r="C1412" t="s">
        <v>7726</v>
      </c>
      <c r="D1412" t="s">
        <v>1662</v>
      </c>
      <c r="E1412" t="s">
        <v>1663</v>
      </c>
      <c r="F1412" t="s">
        <v>6804</v>
      </c>
      <c r="G1412" t="s">
        <v>7484</v>
      </c>
      <c r="H1412" t="s">
        <v>1664</v>
      </c>
      <c r="I1412" s="1">
        <v>45730</v>
      </c>
      <c r="K1412">
        <v>2593301</v>
      </c>
      <c r="L1412" t="s">
        <v>6803</v>
      </c>
    </row>
    <row r="1413" spans="1:12" x14ac:dyDescent="0.35">
      <c r="A1413" t="s">
        <v>26</v>
      </c>
      <c r="B1413" s="1">
        <v>45730</v>
      </c>
      <c r="C1413" t="s">
        <v>7726</v>
      </c>
      <c r="D1413" t="s">
        <v>1662</v>
      </c>
      <c r="E1413" t="s">
        <v>1663</v>
      </c>
      <c r="F1413" t="s">
        <v>7338</v>
      </c>
      <c r="H1413" t="s">
        <v>1664</v>
      </c>
      <c r="J1413">
        <v>2593300</v>
      </c>
      <c r="L1413" t="s">
        <v>6803</v>
      </c>
    </row>
    <row r="1414" spans="1:12" x14ac:dyDescent="0.35">
      <c r="A1414" t="s">
        <v>26</v>
      </c>
      <c r="B1414" s="1">
        <v>45730</v>
      </c>
      <c r="C1414" t="s">
        <v>7726</v>
      </c>
      <c r="D1414" t="s">
        <v>1662</v>
      </c>
      <c r="E1414" t="s">
        <v>1663</v>
      </c>
      <c r="F1414" t="s">
        <v>7426</v>
      </c>
      <c r="H1414" t="s">
        <v>1664</v>
      </c>
      <c r="J1414">
        <v>1</v>
      </c>
      <c r="L1414" t="s">
        <v>5891</v>
      </c>
    </row>
    <row r="1415" spans="1:12" x14ac:dyDescent="0.35">
      <c r="A1415" t="s">
        <v>26</v>
      </c>
      <c r="B1415" s="1">
        <v>45733</v>
      </c>
      <c r="C1415" t="s">
        <v>7727</v>
      </c>
      <c r="D1415" t="s">
        <v>1665</v>
      </c>
      <c r="E1415" t="s">
        <v>7728</v>
      </c>
      <c r="F1415" t="s">
        <v>6804</v>
      </c>
      <c r="G1415" t="s">
        <v>1368</v>
      </c>
      <c r="H1415" t="s">
        <v>1369</v>
      </c>
      <c r="I1415" s="1">
        <v>45735</v>
      </c>
      <c r="K1415">
        <v>5225000</v>
      </c>
      <c r="L1415" t="s">
        <v>6803</v>
      </c>
    </row>
    <row r="1416" spans="1:12" x14ac:dyDescent="0.35">
      <c r="A1416" t="s">
        <v>26</v>
      </c>
      <c r="B1416" s="1">
        <v>45733</v>
      </c>
      <c r="C1416" t="s">
        <v>7727</v>
      </c>
      <c r="D1416" t="s">
        <v>1665</v>
      </c>
      <c r="E1416" t="s">
        <v>7728</v>
      </c>
      <c r="F1416" t="s">
        <v>7488</v>
      </c>
      <c r="H1416" t="s">
        <v>1369</v>
      </c>
      <c r="J1416">
        <v>5225000</v>
      </c>
      <c r="L1416" t="s">
        <v>5943</v>
      </c>
    </row>
    <row r="1417" spans="1:12" x14ac:dyDescent="0.35">
      <c r="A1417" t="s">
        <v>26</v>
      </c>
      <c r="B1417" s="1">
        <v>45733</v>
      </c>
      <c r="C1417" t="s">
        <v>7729</v>
      </c>
      <c r="D1417" t="s">
        <v>1666</v>
      </c>
      <c r="E1417" t="s">
        <v>7730</v>
      </c>
      <c r="F1417" t="s">
        <v>6804</v>
      </c>
      <c r="G1417" t="s">
        <v>1368</v>
      </c>
      <c r="H1417" t="s">
        <v>1369</v>
      </c>
      <c r="I1417" s="1">
        <v>45735</v>
      </c>
      <c r="K1417">
        <v>1045000</v>
      </c>
      <c r="L1417" t="s">
        <v>6803</v>
      </c>
    </row>
    <row r="1418" spans="1:12" x14ac:dyDescent="0.35">
      <c r="A1418" t="s">
        <v>26</v>
      </c>
      <c r="B1418" s="1">
        <v>45733</v>
      </c>
      <c r="C1418" t="s">
        <v>7729</v>
      </c>
      <c r="D1418" t="s">
        <v>1666</v>
      </c>
      <c r="E1418" t="s">
        <v>7730</v>
      </c>
      <c r="F1418" t="s">
        <v>7488</v>
      </c>
      <c r="H1418" t="s">
        <v>1369</v>
      </c>
      <c r="J1418">
        <v>1045000</v>
      </c>
      <c r="L1418" t="s">
        <v>5943</v>
      </c>
    </row>
    <row r="1419" spans="1:12" x14ac:dyDescent="0.35">
      <c r="A1419" t="s">
        <v>26</v>
      </c>
      <c r="B1419" s="1">
        <v>45733</v>
      </c>
      <c r="C1419" t="s">
        <v>7731</v>
      </c>
      <c r="D1419" t="s">
        <v>1667</v>
      </c>
      <c r="E1419" t="s">
        <v>1668</v>
      </c>
      <c r="F1419" t="s">
        <v>6804</v>
      </c>
      <c r="G1419" t="s">
        <v>7732</v>
      </c>
      <c r="H1419" t="s">
        <v>1669</v>
      </c>
      <c r="I1419" s="1">
        <v>45733</v>
      </c>
      <c r="K1419">
        <v>29500</v>
      </c>
      <c r="L1419" t="s">
        <v>6803</v>
      </c>
    </row>
    <row r="1420" spans="1:12" x14ac:dyDescent="0.35">
      <c r="A1420" t="s">
        <v>26</v>
      </c>
      <c r="B1420" s="1">
        <v>45733</v>
      </c>
      <c r="C1420" t="s">
        <v>7731</v>
      </c>
      <c r="D1420" t="s">
        <v>1667</v>
      </c>
      <c r="E1420" t="s">
        <v>1668</v>
      </c>
      <c r="F1420" t="s">
        <v>7701</v>
      </c>
      <c r="H1420" t="s">
        <v>1669</v>
      </c>
      <c r="J1420">
        <v>29500</v>
      </c>
      <c r="L1420" t="s">
        <v>6803</v>
      </c>
    </row>
    <row r="1421" spans="1:12" x14ac:dyDescent="0.35">
      <c r="A1421" t="s">
        <v>26</v>
      </c>
      <c r="B1421" s="1">
        <v>45733</v>
      </c>
      <c r="C1421" t="s">
        <v>7733</v>
      </c>
      <c r="D1421" t="s">
        <v>1670</v>
      </c>
      <c r="E1421" t="s">
        <v>1671</v>
      </c>
      <c r="F1421" t="s">
        <v>7514</v>
      </c>
      <c r="G1421" t="s">
        <v>7521</v>
      </c>
      <c r="H1421" t="s">
        <v>1405</v>
      </c>
      <c r="K1421">
        <v>60358</v>
      </c>
      <c r="L1421" t="s">
        <v>6803</v>
      </c>
    </row>
    <row r="1422" spans="1:12" x14ac:dyDescent="0.35">
      <c r="A1422" t="s">
        <v>26</v>
      </c>
      <c r="B1422" s="1">
        <v>45733</v>
      </c>
      <c r="C1422" t="s">
        <v>7733</v>
      </c>
      <c r="D1422" t="s">
        <v>1670</v>
      </c>
      <c r="E1422" t="s">
        <v>1671</v>
      </c>
      <c r="F1422" t="s">
        <v>7516</v>
      </c>
      <c r="H1422" t="s">
        <v>1405</v>
      </c>
      <c r="J1422">
        <v>60358</v>
      </c>
      <c r="L1422" t="s">
        <v>5928</v>
      </c>
    </row>
    <row r="1423" spans="1:12" x14ac:dyDescent="0.35">
      <c r="A1423" t="s">
        <v>26</v>
      </c>
      <c r="B1423" s="1">
        <v>45733</v>
      </c>
      <c r="C1423" t="s">
        <v>7734</v>
      </c>
      <c r="D1423" t="s">
        <v>1672</v>
      </c>
      <c r="E1423" t="s">
        <v>1673</v>
      </c>
      <c r="F1423" t="s">
        <v>7514</v>
      </c>
      <c r="G1423" t="s">
        <v>7521</v>
      </c>
      <c r="H1423" t="s">
        <v>1405</v>
      </c>
      <c r="K1423">
        <v>144858</v>
      </c>
      <c r="L1423" t="s">
        <v>6803</v>
      </c>
    </row>
    <row r="1424" spans="1:12" x14ac:dyDescent="0.35">
      <c r="A1424" t="s">
        <v>26</v>
      </c>
      <c r="B1424" s="1">
        <v>45733</v>
      </c>
      <c r="C1424" t="s">
        <v>7734</v>
      </c>
      <c r="D1424" t="s">
        <v>1672</v>
      </c>
      <c r="E1424" t="s">
        <v>1673</v>
      </c>
      <c r="F1424" t="s">
        <v>7516</v>
      </c>
      <c r="H1424" t="s">
        <v>1405</v>
      </c>
      <c r="J1424">
        <v>144858</v>
      </c>
      <c r="L1424" t="s">
        <v>5928</v>
      </c>
    </row>
    <row r="1425" spans="1:12" x14ac:dyDescent="0.35">
      <c r="A1425" t="s">
        <v>26</v>
      </c>
      <c r="B1425" s="1">
        <v>45733</v>
      </c>
      <c r="C1425" t="s">
        <v>7735</v>
      </c>
      <c r="D1425" t="s">
        <v>1674</v>
      </c>
      <c r="E1425" t="s">
        <v>1675</v>
      </c>
      <c r="F1425" t="s">
        <v>7514</v>
      </c>
      <c r="G1425" t="s">
        <v>7521</v>
      </c>
      <c r="H1425" t="s">
        <v>1405</v>
      </c>
      <c r="K1425">
        <v>181063</v>
      </c>
      <c r="L1425" t="s">
        <v>6803</v>
      </c>
    </row>
    <row r="1426" spans="1:12" x14ac:dyDescent="0.35">
      <c r="A1426" t="s">
        <v>26</v>
      </c>
      <c r="B1426" s="1">
        <v>45733</v>
      </c>
      <c r="C1426" t="s">
        <v>7735</v>
      </c>
      <c r="D1426" t="s">
        <v>1674</v>
      </c>
      <c r="E1426" t="s">
        <v>1675</v>
      </c>
      <c r="F1426" t="s">
        <v>7516</v>
      </c>
      <c r="H1426" t="s">
        <v>1405</v>
      </c>
      <c r="J1426">
        <v>181063</v>
      </c>
      <c r="L1426" t="s">
        <v>5928</v>
      </c>
    </row>
    <row r="1427" spans="1:12" x14ac:dyDescent="0.35">
      <c r="A1427" t="s">
        <v>26</v>
      </c>
      <c r="B1427" s="1">
        <v>45734</v>
      </c>
      <c r="C1427" t="s">
        <v>7736</v>
      </c>
      <c r="D1427" t="s">
        <v>1676</v>
      </c>
      <c r="E1427" t="s">
        <v>7737</v>
      </c>
      <c r="F1427" t="s">
        <v>6804</v>
      </c>
      <c r="G1427" t="s">
        <v>7609</v>
      </c>
      <c r="H1427" t="s">
        <v>1677</v>
      </c>
      <c r="I1427" s="1">
        <v>45734</v>
      </c>
      <c r="K1427">
        <v>4950000</v>
      </c>
      <c r="L1427" t="s">
        <v>6803</v>
      </c>
    </row>
    <row r="1428" spans="1:12" x14ac:dyDescent="0.35">
      <c r="A1428" t="s">
        <v>26</v>
      </c>
      <c r="B1428" s="1">
        <v>45734</v>
      </c>
      <c r="C1428" t="s">
        <v>7736</v>
      </c>
      <c r="D1428" t="s">
        <v>1676</v>
      </c>
      <c r="E1428" t="s">
        <v>7737</v>
      </c>
      <c r="F1428" t="s">
        <v>7502</v>
      </c>
      <c r="H1428" t="s">
        <v>1677</v>
      </c>
      <c r="J1428">
        <v>4950000</v>
      </c>
      <c r="L1428" t="s">
        <v>5945</v>
      </c>
    </row>
    <row r="1429" spans="1:12" x14ac:dyDescent="0.35">
      <c r="A1429" t="s">
        <v>26</v>
      </c>
      <c r="B1429" s="1">
        <v>45734</v>
      </c>
      <c r="C1429" t="s">
        <v>7738</v>
      </c>
      <c r="D1429" t="s">
        <v>1678</v>
      </c>
      <c r="E1429" t="s">
        <v>7739</v>
      </c>
      <c r="F1429" t="s">
        <v>6804</v>
      </c>
      <c r="G1429" t="s">
        <v>7376</v>
      </c>
      <c r="H1429" t="s">
        <v>1679</v>
      </c>
      <c r="I1429" s="1">
        <v>45764</v>
      </c>
      <c r="K1429">
        <v>1089000</v>
      </c>
      <c r="L1429" t="s">
        <v>6803</v>
      </c>
    </row>
    <row r="1430" spans="1:12" x14ac:dyDescent="0.35">
      <c r="A1430" t="s">
        <v>26</v>
      </c>
      <c r="B1430" s="1">
        <v>45734</v>
      </c>
      <c r="C1430" t="s">
        <v>7738</v>
      </c>
      <c r="D1430" t="s">
        <v>1678</v>
      </c>
      <c r="E1430" t="s">
        <v>7739</v>
      </c>
      <c r="F1430" t="s">
        <v>6819</v>
      </c>
      <c r="H1430" t="s">
        <v>1679</v>
      </c>
      <c r="J1430">
        <v>162000</v>
      </c>
      <c r="L1430" t="s">
        <v>6803</v>
      </c>
    </row>
    <row r="1431" spans="1:12" x14ac:dyDescent="0.35">
      <c r="A1431" t="s">
        <v>26</v>
      </c>
      <c r="B1431" s="1">
        <v>45734</v>
      </c>
      <c r="C1431" t="s">
        <v>7738</v>
      </c>
      <c r="D1431" t="s">
        <v>1678</v>
      </c>
      <c r="E1431" t="s">
        <v>7739</v>
      </c>
      <c r="F1431" t="s">
        <v>7318</v>
      </c>
      <c r="G1431" t="s">
        <v>7376</v>
      </c>
      <c r="H1431" t="s">
        <v>1679</v>
      </c>
      <c r="J1431">
        <v>927000</v>
      </c>
      <c r="L1431" t="s">
        <v>6803</v>
      </c>
    </row>
    <row r="1432" spans="1:12" x14ac:dyDescent="0.35">
      <c r="A1432" t="s">
        <v>26</v>
      </c>
      <c r="B1432" s="1">
        <v>45734</v>
      </c>
      <c r="C1432" t="s">
        <v>7740</v>
      </c>
      <c r="D1432" t="s">
        <v>1680</v>
      </c>
      <c r="E1432" t="s">
        <v>7741</v>
      </c>
      <c r="F1432" t="s">
        <v>6804</v>
      </c>
      <c r="G1432" t="s">
        <v>7416</v>
      </c>
      <c r="H1432" t="s">
        <v>1681</v>
      </c>
      <c r="I1432" s="1">
        <v>45734</v>
      </c>
      <c r="K1432">
        <v>345150</v>
      </c>
      <c r="L1432" t="s">
        <v>6803</v>
      </c>
    </row>
    <row r="1433" spans="1:12" x14ac:dyDescent="0.35">
      <c r="A1433" t="s">
        <v>26</v>
      </c>
      <c r="B1433" s="1">
        <v>45734</v>
      </c>
      <c r="C1433" t="s">
        <v>7740</v>
      </c>
      <c r="D1433" t="s">
        <v>1680</v>
      </c>
      <c r="E1433" t="s">
        <v>7741</v>
      </c>
      <c r="F1433" t="s">
        <v>6819</v>
      </c>
      <c r="H1433" t="s">
        <v>1681</v>
      </c>
      <c r="J1433">
        <v>52650</v>
      </c>
      <c r="L1433" t="s">
        <v>6803</v>
      </c>
    </row>
    <row r="1434" spans="1:12" x14ac:dyDescent="0.35">
      <c r="A1434" t="s">
        <v>26</v>
      </c>
      <c r="B1434" s="1">
        <v>45734</v>
      </c>
      <c r="C1434" t="s">
        <v>7740</v>
      </c>
      <c r="D1434" t="s">
        <v>1680</v>
      </c>
      <c r="E1434" t="s">
        <v>7741</v>
      </c>
      <c r="F1434" t="s">
        <v>7318</v>
      </c>
      <c r="G1434" t="s">
        <v>7416</v>
      </c>
      <c r="H1434" t="s">
        <v>1681</v>
      </c>
      <c r="J1434">
        <v>330000</v>
      </c>
      <c r="L1434" t="s">
        <v>6803</v>
      </c>
    </row>
    <row r="1435" spans="1:12" x14ac:dyDescent="0.35">
      <c r="A1435" t="s">
        <v>26</v>
      </c>
      <c r="B1435" s="1">
        <v>45734</v>
      </c>
      <c r="C1435" t="s">
        <v>7740</v>
      </c>
      <c r="D1435" t="s">
        <v>1680</v>
      </c>
      <c r="E1435" t="s">
        <v>7741</v>
      </c>
      <c r="F1435" t="s">
        <v>7391</v>
      </c>
      <c r="H1435" t="s">
        <v>1681</v>
      </c>
      <c r="J1435">
        <v>-37500</v>
      </c>
      <c r="L1435" t="s">
        <v>5882</v>
      </c>
    </row>
    <row r="1436" spans="1:12" x14ac:dyDescent="0.35">
      <c r="A1436" t="s">
        <v>26</v>
      </c>
      <c r="B1436" s="1">
        <v>45735</v>
      </c>
      <c r="C1436" t="s">
        <v>7742</v>
      </c>
      <c r="D1436" t="s">
        <v>1682</v>
      </c>
      <c r="E1436" t="s">
        <v>1683</v>
      </c>
      <c r="F1436" t="s">
        <v>6804</v>
      </c>
      <c r="G1436" t="s">
        <v>7743</v>
      </c>
      <c r="H1436" t="s">
        <v>1684</v>
      </c>
      <c r="I1436" s="1">
        <v>45735</v>
      </c>
      <c r="K1436">
        <v>84960</v>
      </c>
      <c r="L1436" t="s">
        <v>6803</v>
      </c>
    </row>
    <row r="1437" spans="1:12" x14ac:dyDescent="0.35">
      <c r="A1437" t="s">
        <v>26</v>
      </c>
      <c r="B1437" s="1">
        <v>45735</v>
      </c>
      <c r="C1437" t="s">
        <v>7742</v>
      </c>
      <c r="D1437" t="s">
        <v>1682</v>
      </c>
      <c r="E1437" t="s">
        <v>1683</v>
      </c>
      <c r="F1437" t="s">
        <v>6806</v>
      </c>
      <c r="H1437" t="s">
        <v>1684</v>
      </c>
      <c r="J1437">
        <v>12960</v>
      </c>
      <c r="L1437" t="s">
        <v>6803</v>
      </c>
    </row>
    <row r="1438" spans="1:12" x14ac:dyDescent="0.35">
      <c r="A1438" t="s">
        <v>26</v>
      </c>
      <c r="B1438" s="1">
        <v>45735</v>
      </c>
      <c r="C1438" t="s">
        <v>7742</v>
      </c>
      <c r="D1438" t="s">
        <v>1682</v>
      </c>
      <c r="E1438" t="s">
        <v>1683</v>
      </c>
      <c r="F1438" t="s">
        <v>7744</v>
      </c>
      <c r="H1438" t="s">
        <v>1684</v>
      </c>
      <c r="J1438">
        <v>72000</v>
      </c>
      <c r="L1438" t="s">
        <v>348</v>
      </c>
    </row>
    <row r="1439" spans="1:12" x14ac:dyDescent="0.35">
      <c r="A1439" t="s">
        <v>26</v>
      </c>
      <c r="B1439" s="1">
        <v>45735</v>
      </c>
      <c r="C1439" t="s">
        <v>7745</v>
      </c>
      <c r="D1439" t="s">
        <v>1685</v>
      </c>
      <c r="E1439" t="s">
        <v>1686</v>
      </c>
      <c r="F1439" t="s">
        <v>6804</v>
      </c>
      <c r="G1439" t="s">
        <v>7746</v>
      </c>
      <c r="H1439" t="s">
        <v>1687</v>
      </c>
      <c r="I1439" s="1">
        <v>45735</v>
      </c>
      <c r="K1439">
        <v>1073800</v>
      </c>
      <c r="L1439" t="s">
        <v>6803</v>
      </c>
    </row>
    <row r="1440" spans="1:12" x14ac:dyDescent="0.35">
      <c r="A1440" t="s">
        <v>26</v>
      </c>
      <c r="B1440" s="1">
        <v>45735</v>
      </c>
      <c r="C1440" t="s">
        <v>7745</v>
      </c>
      <c r="D1440" t="s">
        <v>1685</v>
      </c>
      <c r="E1440" t="s">
        <v>1686</v>
      </c>
      <c r="F1440" t="s">
        <v>6806</v>
      </c>
      <c r="H1440" t="s">
        <v>1687</v>
      </c>
      <c r="J1440">
        <v>163800</v>
      </c>
      <c r="L1440" t="s">
        <v>6803</v>
      </c>
    </row>
    <row r="1441" spans="1:12" x14ac:dyDescent="0.35">
      <c r="A1441" t="s">
        <v>26</v>
      </c>
      <c r="B1441" s="1">
        <v>45735</v>
      </c>
      <c r="C1441" t="s">
        <v>7745</v>
      </c>
      <c r="D1441" t="s">
        <v>1685</v>
      </c>
      <c r="E1441" t="s">
        <v>1686</v>
      </c>
      <c r="F1441" t="s">
        <v>7744</v>
      </c>
      <c r="H1441" t="s">
        <v>1687</v>
      </c>
      <c r="J1441">
        <v>910000</v>
      </c>
      <c r="L1441" t="s">
        <v>5905</v>
      </c>
    </row>
    <row r="1442" spans="1:12" x14ac:dyDescent="0.35">
      <c r="A1442" t="s">
        <v>26</v>
      </c>
      <c r="B1442" s="1">
        <v>45735</v>
      </c>
      <c r="C1442" t="s">
        <v>7747</v>
      </c>
      <c r="D1442" t="s">
        <v>1685</v>
      </c>
      <c r="E1442" t="s">
        <v>1688</v>
      </c>
      <c r="F1442" t="s">
        <v>7691</v>
      </c>
      <c r="H1442" t="s">
        <v>1689</v>
      </c>
      <c r="K1442">
        <v>24172800</v>
      </c>
      <c r="L1442" t="s">
        <v>6803</v>
      </c>
    </row>
    <row r="1443" spans="1:12" x14ac:dyDescent="0.35">
      <c r="A1443" t="s">
        <v>26</v>
      </c>
      <c r="B1443" s="1">
        <v>45735</v>
      </c>
      <c r="C1443" t="s">
        <v>7747</v>
      </c>
      <c r="D1443" t="s">
        <v>1685</v>
      </c>
      <c r="E1443" t="s">
        <v>1688</v>
      </c>
      <c r="F1443" t="s">
        <v>7338</v>
      </c>
      <c r="H1443" t="s">
        <v>1689</v>
      </c>
      <c r="J1443">
        <v>24172800</v>
      </c>
      <c r="L1443" t="s">
        <v>6803</v>
      </c>
    </row>
    <row r="1444" spans="1:12" x14ac:dyDescent="0.35">
      <c r="A1444" t="s">
        <v>26</v>
      </c>
      <c r="B1444" s="1">
        <v>45735</v>
      </c>
      <c r="C1444" t="s">
        <v>7748</v>
      </c>
      <c r="D1444" t="s">
        <v>1690</v>
      </c>
      <c r="E1444" t="s">
        <v>7749</v>
      </c>
      <c r="F1444" t="s">
        <v>6804</v>
      </c>
      <c r="G1444" t="s">
        <v>1365</v>
      </c>
      <c r="H1444" t="s">
        <v>1366</v>
      </c>
      <c r="I1444" s="1">
        <v>45735</v>
      </c>
      <c r="K1444">
        <v>5462500</v>
      </c>
      <c r="L1444" t="s">
        <v>6803</v>
      </c>
    </row>
    <row r="1445" spans="1:12" x14ac:dyDescent="0.35">
      <c r="A1445" t="s">
        <v>26</v>
      </c>
      <c r="B1445" s="1">
        <v>45735</v>
      </c>
      <c r="C1445" t="s">
        <v>7748</v>
      </c>
      <c r="D1445" t="s">
        <v>1690</v>
      </c>
      <c r="E1445" t="s">
        <v>7749</v>
      </c>
      <c r="F1445" t="s">
        <v>7488</v>
      </c>
      <c r="H1445" t="s">
        <v>1366</v>
      </c>
      <c r="J1445">
        <v>5462500</v>
      </c>
      <c r="L1445" t="s">
        <v>5943</v>
      </c>
    </row>
    <row r="1446" spans="1:12" x14ac:dyDescent="0.35">
      <c r="A1446" t="s">
        <v>26</v>
      </c>
      <c r="B1446" s="1">
        <v>45735</v>
      </c>
      <c r="C1446" t="s">
        <v>7750</v>
      </c>
      <c r="D1446" t="s">
        <v>1691</v>
      </c>
      <c r="E1446" t="s">
        <v>7751</v>
      </c>
      <c r="F1446" t="s">
        <v>6804</v>
      </c>
      <c r="G1446" t="s">
        <v>1365</v>
      </c>
      <c r="H1446" t="s">
        <v>1366</v>
      </c>
      <c r="I1446" s="1">
        <v>45735</v>
      </c>
      <c r="K1446">
        <v>2185000</v>
      </c>
      <c r="L1446" t="s">
        <v>6803</v>
      </c>
    </row>
    <row r="1447" spans="1:12" x14ac:dyDescent="0.35">
      <c r="A1447" t="s">
        <v>26</v>
      </c>
      <c r="B1447" s="1">
        <v>45735</v>
      </c>
      <c r="C1447" t="s">
        <v>7750</v>
      </c>
      <c r="D1447" t="s">
        <v>1691</v>
      </c>
      <c r="E1447" t="s">
        <v>7751</v>
      </c>
      <c r="F1447" t="s">
        <v>7488</v>
      </c>
      <c r="H1447" t="s">
        <v>1366</v>
      </c>
      <c r="J1447">
        <v>2185000</v>
      </c>
      <c r="L1447" t="s">
        <v>5943</v>
      </c>
    </row>
    <row r="1448" spans="1:12" x14ac:dyDescent="0.35">
      <c r="A1448" t="s">
        <v>26</v>
      </c>
      <c r="B1448" s="1">
        <v>45735</v>
      </c>
      <c r="C1448" t="s">
        <v>7752</v>
      </c>
      <c r="D1448" t="s">
        <v>1692</v>
      </c>
      <c r="E1448" t="s">
        <v>7753</v>
      </c>
      <c r="F1448" t="s">
        <v>6804</v>
      </c>
      <c r="G1448" t="s">
        <v>1387</v>
      </c>
      <c r="H1448" t="s">
        <v>1693</v>
      </c>
      <c r="I1448" s="1">
        <v>45735</v>
      </c>
      <c r="K1448">
        <v>1400000</v>
      </c>
      <c r="L1448" t="s">
        <v>6803</v>
      </c>
    </row>
    <row r="1449" spans="1:12" x14ac:dyDescent="0.35">
      <c r="A1449" t="s">
        <v>26</v>
      </c>
      <c r="B1449" s="1">
        <v>45735</v>
      </c>
      <c r="C1449" t="s">
        <v>7752</v>
      </c>
      <c r="D1449" t="s">
        <v>1692</v>
      </c>
      <c r="E1449" t="s">
        <v>7753</v>
      </c>
      <c r="F1449" t="s">
        <v>7502</v>
      </c>
      <c r="H1449" t="s">
        <v>1693</v>
      </c>
      <c r="J1449">
        <v>1400000</v>
      </c>
      <c r="L1449" t="s">
        <v>5944</v>
      </c>
    </row>
    <row r="1450" spans="1:12" x14ac:dyDescent="0.35">
      <c r="A1450" t="s">
        <v>26</v>
      </c>
      <c r="B1450" s="1">
        <v>45736</v>
      </c>
      <c r="C1450" t="s">
        <v>7636</v>
      </c>
      <c r="D1450" t="s">
        <v>1541</v>
      </c>
      <c r="E1450" t="s">
        <v>1542</v>
      </c>
      <c r="F1450" t="s">
        <v>7358</v>
      </c>
      <c r="H1450" t="s">
        <v>1540</v>
      </c>
      <c r="J1450">
        <v>-32346</v>
      </c>
      <c r="L1450" t="s">
        <v>5905</v>
      </c>
    </row>
    <row r="1451" spans="1:12" x14ac:dyDescent="0.35">
      <c r="A1451" t="s">
        <v>26</v>
      </c>
      <c r="B1451" s="1">
        <v>45736</v>
      </c>
      <c r="C1451" t="s">
        <v>7754</v>
      </c>
      <c r="D1451" t="s">
        <v>1694</v>
      </c>
      <c r="E1451" t="s">
        <v>1695</v>
      </c>
      <c r="F1451" t="s">
        <v>6804</v>
      </c>
      <c r="G1451" t="s">
        <v>7755</v>
      </c>
      <c r="H1451" t="s">
        <v>1696</v>
      </c>
      <c r="I1451" s="1">
        <v>45736</v>
      </c>
      <c r="K1451">
        <v>42828</v>
      </c>
      <c r="L1451" t="s">
        <v>6803</v>
      </c>
    </row>
    <row r="1452" spans="1:12" x14ac:dyDescent="0.35">
      <c r="A1452" t="s">
        <v>26</v>
      </c>
      <c r="B1452" s="1">
        <v>45736</v>
      </c>
      <c r="C1452" t="s">
        <v>7754</v>
      </c>
      <c r="D1452" t="s">
        <v>1694</v>
      </c>
      <c r="E1452" t="s">
        <v>1695</v>
      </c>
      <c r="F1452" t="s">
        <v>6819</v>
      </c>
      <c r="H1452" t="s">
        <v>1696</v>
      </c>
      <c r="J1452">
        <v>6533</v>
      </c>
      <c r="L1452" t="s">
        <v>6803</v>
      </c>
    </row>
    <row r="1453" spans="1:12" x14ac:dyDescent="0.35">
      <c r="A1453" t="s">
        <v>26</v>
      </c>
      <c r="B1453" s="1">
        <v>45736</v>
      </c>
      <c r="C1453" t="s">
        <v>7754</v>
      </c>
      <c r="D1453" t="s">
        <v>1694</v>
      </c>
      <c r="E1453" t="s">
        <v>1695</v>
      </c>
      <c r="F1453" t="s">
        <v>7756</v>
      </c>
      <c r="H1453" t="s">
        <v>1696</v>
      </c>
      <c r="J1453">
        <v>36295</v>
      </c>
      <c r="L1453" t="s">
        <v>5951</v>
      </c>
    </row>
    <row r="1454" spans="1:12" x14ac:dyDescent="0.35">
      <c r="A1454" t="s">
        <v>26</v>
      </c>
      <c r="B1454" s="1">
        <v>45736</v>
      </c>
      <c r="C1454" t="s">
        <v>7757</v>
      </c>
      <c r="D1454" t="s">
        <v>1697</v>
      </c>
      <c r="E1454" t="s">
        <v>1698</v>
      </c>
      <c r="F1454" t="s">
        <v>6804</v>
      </c>
      <c r="G1454" t="s">
        <v>7755</v>
      </c>
      <c r="H1454" t="s">
        <v>1696</v>
      </c>
      <c r="I1454" s="1">
        <v>45736</v>
      </c>
      <c r="K1454">
        <v>42088</v>
      </c>
      <c r="L1454" t="s">
        <v>6803</v>
      </c>
    </row>
    <row r="1455" spans="1:12" x14ac:dyDescent="0.35">
      <c r="A1455" t="s">
        <v>26</v>
      </c>
      <c r="B1455" s="1">
        <v>45736</v>
      </c>
      <c r="C1455" t="s">
        <v>7757</v>
      </c>
      <c r="D1455" t="s">
        <v>1697</v>
      </c>
      <c r="E1455" t="s">
        <v>1698</v>
      </c>
      <c r="F1455" t="s">
        <v>6819</v>
      </c>
      <c r="H1455" t="s">
        <v>1696</v>
      </c>
      <c r="J1455">
        <v>6420</v>
      </c>
      <c r="L1455" t="s">
        <v>6803</v>
      </c>
    </row>
    <row r="1456" spans="1:12" x14ac:dyDescent="0.35">
      <c r="A1456" t="s">
        <v>26</v>
      </c>
      <c r="B1456" s="1">
        <v>45736</v>
      </c>
      <c r="C1456" t="s">
        <v>7757</v>
      </c>
      <c r="D1456" t="s">
        <v>1697</v>
      </c>
      <c r="E1456" t="s">
        <v>1698</v>
      </c>
      <c r="F1456" t="s">
        <v>7756</v>
      </c>
      <c r="H1456" t="s">
        <v>1696</v>
      </c>
      <c r="J1456">
        <v>35668</v>
      </c>
      <c r="L1456" t="s">
        <v>5951</v>
      </c>
    </row>
    <row r="1457" spans="1:12" x14ac:dyDescent="0.35">
      <c r="A1457" t="s">
        <v>26</v>
      </c>
      <c r="B1457" s="1">
        <v>45736</v>
      </c>
      <c r="C1457" t="s">
        <v>7758</v>
      </c>
      <c r="D1457" t="s">
        <v>1699</v>
      </c>
      <c r="E1457" t="s">
        <v>7759</v>
      </c>
      <c r="F1457" t="s">
        <v>6804</v>
      </c>
      <c r="G1457" t="s">
        <v>7663</v>
      </c>
      <c r="H1457" t="s">
        <v>1700</v>
      </c>
      <c r="I1457" s="1">
        <v>45736</v>
      </c>
      <c r="K1457">
        <v>198840</v>
      </c>
      <c r="L1457" t="s">
        <v>6803</v>
      </c>
    </row>
    <row r="1458" spans="1:12" x14ac:dyDescent="0.35">
      <c r="A1458" t="s">
        <v>26</v>
      </c>
      <c r="B1458" s="1">
        <v>45736</v>
      </c>
      <c r="C1458" t="s">
        <v>7758</v>
      </c>
      <c r="D1458" t="s">
        <v>1699</v>
      </c>
      <c r="E1458" t="s">
        <v>7759</v>
      </c>
      <c r="F1458" t="s">
        <v>6819</v>
      </c>
      <c r="H1458" t="s">
        <v>1700</v>
      </c>
      <c r="J1458">
        <v>6840</v>
      </c>
      <c r="L1458" t="s">
        <v>6803</v>
      </c>
    </row>
    <row r="1459" spans="1:12" x14ac:dyDescent="0.35">
      <c r="A1459" t="s">
        <v>26</v>
      </c>
      <c r="B1459" s="1">
        <v>45736</v>
      </c>
      <c r="C1459" t="s">
        <v>7758</v>
      </c>
      <c r="D1459" t="s">
        <v>1699</v>
      </c>
      <c r="E1459" t="s">
        <v>7759</v>
      </c>
      <c r="F1459" t="s">
        <v>7760</v>
      </c>
      <c r="H1459" t="s">
        <v>1700</v>
      </c>
      <c r="J1459">
        <v>192000</v>
      </c>
      <c r="L1459" t="s">
        <v>5928</v>
      </c>
    </row>
    <row r="1460" spans="1:12" x14ac:dyDescent="0.35">
      <c r="A1460" t="s">
        <v>26</v>
      </c>
      <c r="B1460" s="1">
        <v>45736</v>
      </c>
      <c r="C1460" t="s">
        <v>7761</v>
      </c>
      <c r="D1460" t="s">
        <v>1701</v>
      </c>
      <c r="E1460" t="s">
        <v>1702</v>
      </c>
      <c r="F1460" t="s">
        <v>7550</v>
      </c>
      <c r="H1460" t="s">
        <v>1703</v>
      </c>
      <c r="J1460">
        <v>29648340</v>
      </c>
      <c r="L1460" t="s">
        <v>6803</v>
      </c>
    </row>
    <row r="1461" spans="1:12" x14ac:dyDescent="0.35">
      <c r="A1461" t="s">
        <v>26</v>
      </c>
      <c r="B1461" s="1">
        <v>45736</v>
      </c>
      <c r="C1461" t="s">
        <v>7761</v>
      </c>
      <c r="D1461" t="s">
        <v>1701</v>
      </c>
      <c r="E1461" t="s">
        <v>1702</v>
      </c>
      <c r="F1461" t="s">
        <v>6804</v>
      </c>
      <c r="G1461" t="s">
        <v>7524</v>
      </c>
      <c r="H1461" t="s">
        <v>1703</v>
      </c>
      <c r="I1461" s="1">
        <v>45796</v>
      </c>
      <c r="K1461">
        <v>31468346</v>
      </c>
      <c r="L1461" t="s">
        <v>6803</v>
      </c>
    </row>
    <row r="1462" spans="1:12" x14ac:dyDescent="0.35">
      <c r="A1462" t="s">
        <v>26</v>
      </c>
      <c r="B1462" s="1">
        <v>45736</v>
      </c>
      <c r="C1462" t="s">
        <v>7761</v>
      </c>
      <c r="D1462" t="s">
        <v>1701</v>
      </c>
      <c r="E1462" t="s">
        <v>1702</v>
      </c>
      <c r="F1462" t="s">
        <v>6806</v>
      </c>
      <c r="H1462" t="s">
        <v>1703</v>
      </c>
      <c r="J1462">
        <v>1820006</v>
      </c>
      <c r="L1462" t="s">
        <v>6803</v>
      </c>
    </row>
    <row r="1463" spans="1:12" x14ac:dyDescent="0.35">
      <c r="A1463" t="s">
        <v>26</v>
      </c>
      <c r="B1463" s="1">
        <v>45737</v>
      </c>
      <c r="C1463" t="s">
        <v>7762</v>
      </c>
      <c r="D1463" t="s">
        <v>1704</v>
      </c>
      <c r="E1463" t="s">
        <v>7763</v>
      </c>
      <c r="F1463" t="s">
        <v>6804</v>
      </c>
      <c r="G1463" t="s">
        <v>7624</v>
      </c>
      <c r="H1463" t="s">
        <v>1705</v>
      </c>
      <c r="I1463" s="1">
        <v>45737</v>
      </c>
      <c r="K1463">
        <v>185000</v>
      </c>
      <c r="L1463" t="s">
        <v>6803</v>
      </c>
    </row>
    <row r="1464" spans="1:12" x14ac:dyDescent="0.35">
      <c r="A1464" t="s">
        <v>26</v>
      </c>
      <c r="B1464" s="1">
        <v>45737</v>
      </c>
      <c r="C1464" t="s">
        <v>7762</v>
      </c>
      <c r="D1464" t="s">
        <v>1704</v>
      </c>
      <c r="E1464" t="s">
        <v>7763</v>
      </c>
      <c r="F1464" t="s">
        <v>7615</v>
      </c>
      <c r="H1464" t="s">
        <v>1705</v>
      </c>
      <c r="J1464">
        <v>185000</v>
      </c>
      <c r="L1464" t="s">
        <v>5928</v>
      </c>
    </row>
    <row r="1465" spans="1:12" x14ac:dyDescent="0.35">
      <c r="A1465" t="s">
        <v>26</v>
      </c>
      <c r="B1465" s="1">
        <v>45737</v>
      </c>
      <c r="C1465" t="s">
        <v>7764</v>
      </c>
      <c r="D1465" t="s">
        <v>1706</v>
      </c>
      <c r="E1465" t="s">
        <v>7765</v>
      </c>
      <c r="F1465" t="s">
        <v>6804</v>
      </c>
      <c r="G1465" t="s">
        <v>7624</v>
      </c>
      <c r="H1465" t="s">
        <v>1705</v>
      </c>
      <c r="I1465" s="1">
        <v>45737</v>
      </c>
      <c r="K1465">
        <v>390000</v>
      </c>
      <c r="L1465" t="s">
        <v>6803</v>
      </c>
    </row>
    <row r="1466" spans="1:12" x14ac:dyDescent="0.35">
      <c r="A1466" t="s">
        <v>26</v>
      </c>
      <c r="B1466" s="1">
        <v>45737</v>
      </c>
      <c r="C1466" t="s">
        <v>7764</v>
      </c>
      <c r="D1466" t="s">
        <v>1706</v>
      </c>
      <c r="E1466" t="s">
        <v>7765</v>
      </c>
      <c r="F1466" t="s">
        <v>7615</v>
      </c>
      <c r="H1466" t="s">
        <v>1705</v>
      </c>
      <c r="J1466">
        <v>390000</v>
      </c>
      <c r="L1466" t="s">
        <v>5928</v>
      </c>
    </row>
    <row r="1467" spans="1:12" x14ac:dyDescent="0.35">
      <c r="A1467" t="s">
        <v>26</v>
      </c>
      <c r="B1467" s="1">
        <v>45737</v>
      </c>
      <c r="C1467" t="s">
        <v>7766</v>
      </c>
      <c r="D1467" t="s">
        <v>1707</v>
      </c>
      <c r="E1467" t="s">
        <v>7767</v>
      </c>
      <c r="F1467" t="s">
        <v>6804</v>
      </c>
      <c r="G1467" t="s">
        <v>7624</v>
      </c>
      <c r="H1467" t="s">
        <v>1708</v>
      </c>
      <c r="I1467" s="1">
        <v>45737</v>
      </c>
      <c r="K1467">
        <v>390000</v>
      </c>
      <c r="L1467" t="s">
        <v>6803</v>
      </c>
    </row>
    <row r="1468" spans="1:12" x14ac:dyDescent="0.35">
      <c r="A1468" t="s">
        <v>26</v>
      </c>
      <c r="B1468" s="1">
        <v>45737</v>
      </c>
      <c r="C1468" t="s">
        <v>7766</v>
      </c>
      <c r="D1468" t="s">
        <v>1707</v>
      </c>
      <c r="E1468" t="s">
        <v>7767</v>
      </c>
      <c r="F1468" t="s">
        <v>7615</v>
      </c>
      <c r="H1468" t="s">
        <v>1708</v>
      </c>
      <c r="J1468">
        <v>390000</v>
      </c>
      <c r="L1468" t="s">
        <v>5928</v>
      </c>
    </row>
    <row r="1469" spans="1:12" x14ac:dyDescent="0.35">
      <c r="A1469" t="s">
        <v>26</v>
      </c>
      <c r="B1469" s="1">
        <v>45737</v>
      </c>
      <c r="C1469" t="s">
        <v>7768</v>
      </c>
      <c r="D1469" t="s">
        <v>1709</v>
      </c>
      <c r="E1469" t="s">
        <v>7769</v>
      </c>
      <c r="F1469" t="s">
        <v>6804</v>
      </c>
      <c r="G1469" t="s">
        <v>7624</v>
      </c>
      <c r="H1469" t="s">
        <v>1710</v>
      </c>
      <c r="I1469" s="1">
        <v>45737</v>
      </c>
      <c r="K1469">
        <v>390000</v>
      </c>
      <c r="L1469" t="s">
        <v>6803</v>
      </c>
    </row>
    <row r="1470" spans="1:12" x14ac:dyDescent="0.35">
      <c r="A1470" t="s">
        <v>26</v>
      </c>
      <c r="B1470" s="1">
        <v>45737</v>
      </c>
      <c r="C1470" t="s">
        <v>7768</v>
      </c>
      <c r="D1470" t="s">
        <v>1709</v>
      </c>
      <c r="E1470" t="s">
        <v>7769</v>
      </c>
      <c r="F1470" t="s">
        <v>7615</v>
      </c>
      <c r="H1470" t="s">
        <v>1710</v>
      </c>
      <c r="J1470">
        <v>390000</v>
      </c>
      <c r="L1470" t="s">
        <v>5928</v>
      </c>
    </row>
    <row r="1471" spans="1:12" x14ac:dyDescent="0.35">
      <c r="A1471" t="s">
        <v>26</v>
      </c>
      <c r="B1471" s="1">
        <v>45737</v>
      </c>
      <c r="C1471" t="s">
        <v>7770</v>
      </c>
      <c r="D1471" t="s">
        <v>1711</v>
      </c>
      <c r="E1471" t="s">
        <v>7771</v>
      </c>
      <c r="F1471" t="s">
        <v>6804</v>
      </c>
      <c r="G1471" t="s">
        <v>7624</v>
      </c>
      <c r="H1471" t="s">
        <v>1712</v>
      </c>
      <c r="I1471" s="1">
        <v>45737</v>
      </c>
      <c r="K1471">
        <v>65000</v>
      </c>
      <c r="L1471" t="s">
        <v>6803</v>
      </c>
    </row>
    <row r="1472" spans="1:12" x14ac:dyDescent="0.35">
      <c r="A1472" t="s">
        <v>26</v>
      </c>
      <c r="B1472" s="1">
        <v>45737</v>
      </c>
      <c r="C1472" t="s">
        <v>7770</v>
      </c>
      <c r="D1472" t="s">
        <v>1711</v>
      </c>
      <c r="E1472" t="s">
        <v>7771</v>
      </c>
      <c r="F1472" t="s">
        <v>7615</v>
      </c>
      <c r="H1472" t="s">
        <v>1712</v>
      </c>
      <c r="J1472">
        <v>65000</v>
      </c>
      <c r="L1472" t="s">
        <v>5905</v>
      </c>
    </row>
    <row r="1473" spans="1:12" x14ac:dyDescent="0.35">
      <c r="A1473" t="s">
        <v>26</v>
      </c>
      <c r="B1473" s="1">
        <v>45737</v>
      </c>
      <c r="C1473" t="s">
        <v>7772</v>
      </c>
      <c r="D1473" t="s">
        <v>1713</v>
      </c>
      <c r="E1473" t="s">
        <v>1714</v>
      </c>
      <c r="F1473" t="s">
        <v>6804</v>
      </c>
      <c r="G1473" t="s">
        <v>6904</v>
      </c>
      <c r="H1473" t="s">
        <v>1715</v>
      </c>
      <c r="I1473" s="1">
        <v>45797</v>
      </c>
      <c r="K1473">
        <v>89680</v>
      </c>
      <c r="L1473" t="s">
        <v>6803</v>
      </c>
    </row>
    <row r="1474" spans="1:12" x14ac:dyDescent="0.35">
      <c r="A1474" t="s">
        <v>26</v>
      </c>
      <c r="B1474" s="1">
        <v>45737</v>
      </c>
      <c r="C1474" t="s">
        <v>7772</v>
      </c>
      <c r="D1474" t="s">
        <v>1713</v>
      </c>
      <c r="E1474" t="s">
        <v>1714</v>
      </c>
      <c r="F1474" t="s">
        <v>6819</v>
      </c>
      <c r="H1474" t="s">
        <v>1715</v>
      </c>
      <c r="J1474">
        <v>13680</v>
      </c>
      <c r="L1474" t="s">
        <v>6803</v>
      </c>
    </row>
    <row r="1475" spans="1:12" x14ac:dyDescent="0.35">
      <c r="A1475" t="s">
        <v>26</v>
      </c>
      <c r="B1475" s="1">
        <v>45737</v>
      </c>
      <c r="C1475" t="s">
        <v>7772</v>
      </c>
      <c r="D1475" t="s">
        <v>1713</v>
      </c>
      <c r="E1475" t="s">
        <v>1714</v>
      </c>
      <c r="F1475" t="s">
        <v>7391</v>
      </c>
      <c r="H1475" t="s">
        <v>1715</v>
      </c>
      <c r="J1475">
        <v>76000</v>
      </c>
      <c r="L1475" t="s">
        <v>5928</v>
      </c>
    </row>
    <row r="1476" spans="1:12" x14ac:dyDescent="0.35">
      <c r="A1476" t="s">
        <v>26</v>
      </c>
      <c r="B1476" s="1">
        <v>45737</v>
      </c>
      <c r="C1476" t="s">
        <v>7773</v>
      </c>
      <c r="D1476" t="s">
        <v>1716</v>
      </c>
      <c r="E1476" t="s">
        <v>1717</v>
      </c>
      <c r="F1476" t="s">
        <v>6804</v>
      </c>
      <c r="G1476" t="s">
        <v>6904</v>
      </c>
      <c r="H1476" t="s">
        <v>1718</v>
      </c>
      <c r="I1476" s="1">
        <v>45797</v>
      </c>
      <c r="K1476">
        <v>2220524</v>
      </c>
      <c r="L1476" t="s">
        <v>6803</v>
      </c>
    </row>
    <row r="1477" spans="1:12" x14ac:dyDescent="0.35">
      <c r="A1477" t="s">
        <v>26</v>
      </c>
      <c r="B1477" s="1">
        <v>45737</v>
      </c>
      <c r="C1477" t="s">
        <v>7773</v>
      </c>
      <c r="D1477" t="s">
        <v>1716</v>
      </c>
      <c r="E1477" t="s">
        <v>1717</v>
      </c>
      <c r="F1477" t="s">
        <v>6819</v>
      </c>
      <c r="H1477" t="s">
        <v>1718</v>
      </c>
      <c r="J1477">
        <v>338724</v>
      </c>
      <c r="L1477" t="s">
        <v>6803</v>
      </c>
    </row>
    <row r="1478" spans="1:12" x14ac:dyDescent="0.35">
      <c r="A1478" t="s">
        <v>26</v>
      </c>
      <c r="B1478" s="1">
        <v>45737</v>
      </c>
      <c r="C1478" t="s">
        <v>7773</v>
      </c>
      <c r="D1478" t="s">
        <v>1716</v>
      </c>
      <c r="E1478" t="s">
        <v>1717</v>
      </c>
      <c r="F1478" t="s">
        <v>7556</v>
      </c>
      <c r="H1478" t="s">
        <v>1718</v>
      </c>
      <c r="J1478">
        <v>1881800</v>
      </c>
      <c r="L1478" t="s">
        <v>5929</v>
      </c>
    </row>
    <row r="1479" spans="1:12" x14ac:dyDescent="0.35">
      <c r="A1479" t="s">
        <v>26</v>
      </c>
      <c r="B1479" s="1">
        <v>45740</v>
      </c>
      <c r="C1479" t="s">
        <v>7774</v>
      </c>
      <c r="D1479" t="s">
        <v>1719</v>
      </c>
      <c r="E1479" t="s">
        <v>7775</v>
      </c>
      <c r="F1479" t="s">
        <v>7514</v>
      </c>
      <c r="G1479" t="s">
        <v>7586</v>
      </c>
      <c r="H1479" t="s">
        <v>1491</v>
      </c>
      <c r="K1479">
        <v>56640</v>
      </c>
      <c r="L1479" t="s">
        <v>6803</v>
      </c>
    </row>
    <row r="1480" spans="1:12" x14ac:dyDescent="0.35">
      <c r="A1480" t="s">
        <v>26</v>
      </c>
      <c r="B1480" s="1">
        <v>45740</v>
      </c>
      <c r="C1480" t="s">
        <v>7774</v>
      </c>
      <c r="D1480" t="s">
        <v>1719</v>
      </c>
      <c r="E1480" t="s">
        <v>7775</v>
      </c>
      <c r="F1480" t="s">
        <v>7516</v>
      </c>
      <c r="H1480" t="s">
        <v>1491</v>
      </c>
      <c r="J1480">
        <v>56640</v>
      </c>
      <c r="L1480" t="s">
        <v>5928</v>
      </c>
    </row>
    <row r="1481" spans="1:12" x14ac:dyDescent="0.35">
      <c r="A1481" t="s">
        <v>26</v>
      </c>
      <c r="B1481" s="1">
        <v>45740</v>
      </c>
      <c r="C1481" t="s">
        <v>7776</v>
      </c>
      <c r="D1481" t="s">
        <v>1720</v>
      </c>
      <c r="E1481" t="s">
        <v>7777</v>
      </c>
      <c r="F1481" t="s">
        <v>7514</v>
      </c>
      <c r="G1481" t="s">
        <v>7586</v>
      </c>
      <c r="H1481" t="s">
        <v>1491</v>
      </c>
      <c r="K1481">
        <v>396480</v>
      </c>
      <c r="L1481" t="s">
        <v>6803</v>
      </c>
    </row>
    <row r="1482" spans="1:12" x14ac:dyDescent="0.35">
      <c r="A1482" t="s">
        <v>26</v>
      </c>
      <c r="B1482" s="1">
        <v>45740</v>
      </c>
      <c r="C1482" t="s">
        <v>7776</v>
      </c>
      <c r="D1482" t="s">
        <v>1720</v>
      </c>
      <c r="E1482" t="s">
        <v>7777</v>
      </c>
      <c r="F1482" t="s">
        <v>7516</v>
      </c>
      <c r="H1482" t="s">
        <v>1491</v>
      </c>
      <c r="J1482">
        <v>396480</v>
      </c>
      <c r="L1482" t="s">
        <v>5928</v>
      </c>
    </row>
    <row r="1483" spans="1:12" x14ac:dyDescent="0.35">
      <c r="A1483" t="s">
        <v>26</v>
      </c>
      <c r="B1483" s="1">
        <v>45740</v>
      </c>
      <c r="C1483" t="s">
        <v>7778</v>
      </c>
      <c r="D1483" t="s">
        <v>1721</v>
      </c>
      <c r="E1483" t="s">
        <v>7779</v>
      </c>
      <c r="F1483" t="s">
        <v>6804</v>
      </c>
      <c r="G1483" t="s">
        <v>7624</v>
      </c>
      <c r="H1483" t="s">
        <v>1722</v>
      </c>
      <c r="I1483" s="1">
        <v>45740</v>
      </c>
      <c r="K1483">
        <v>50000</v>
      </c>
      <c r="L1483" t="s">
        <v>6803</v>
      </c>
    </row>
    <row r="1484" spans="1:12" x14ac:dyDescent="0.35">
      <c r="A1484" t="s">
        <v>26</v>
      </c>
      <c r="B1484" s="1">
        <v>45740</v>
      </c>
      <c r="C1484" t="s">
        <v>7778</v>
      </c>
      <c r="D1484" t="s">
        <v>1721</v>
      </c>
      <c r="E1484" t="s">
        <v>7779</v>
      </c>
      <c r="F1484" t="s">
        <v>7615</v>
      </c>
      <c r="H1484" t="s">
        <v>1722</v>
      </c>
      <c r="J1484">
        <v>50000</v>
      </c>
      <c r="L1484" t="s">
        <v>5928</v>
      </c>
    </row>
    <row r="1485" spans="1:12" x14ac:dyDescent="0.35">
      <c r="A1485" t="s">
        <v>26</v>
      </c>
      <c r="B1485" s="1">
        <v>45740</v>
      </c>
      <c r="C1485" t="s">
        <v>7780</v>
      </c>
      <c r="D1485" t="s">
        <v>1723</v>
      </c>
      <c r="E1485" t="s">
        <v>7781</v>
      </c>
      <c r="F1485" t="s">
        <v>6804</v>
      </c>
      <c r="G1485" t="s">
        <v>7347</v>
      </c>
      <c r="H1485" t="s">
        <v>1724</v>
      </c>
      <c r="I1485" s="1">
        <v>45740</v>
      </c>
      <c r="K1485">
        <v>407100</v>
      </c>
      <c r="L1485" t="s">
        <v>6803</v>
      </c>
    </row>
    <row r="1486" spans="1:12" x14ac:dyDescent="0.35">
      <c r="A1486" t="s">
        <v>26</v>
      </c>
      <c r="B1486" s="1">
        <v>45740</v>
      </c>
      <c r="C1486" t="s">
        <v>7780</v>
      </c>
      <c r="D1486" t="s">
        <v>1723</v>
      </c>
      <c r="E1486" t="s">
        <v>7781</v>
      </c>
      <c r="F1486" t="s">
        <v>6819</v>
      </c>
      <c r="H1486" t="s">
        <v>1724</v>
      </c>
      <c r="J1486">
        <v>62100</v>
      </c>
      <c r="L1486" t="s">
        <v>6803</v>
      </c>
    </row>
    <row r="1487" spans="1:12" x14ac:dyDescent="0.35">
      <c r="A1487" t="s">
        <v>26</v>
      </c>
      <c r="B1487" s="1">
        <v>45740</v>
      </c>
      <c r="C1487" t="s">
        <v>7780</v>
      </c>
      <c r="D1487" t="s">
        <v>1723</v>
      </c>
      <c r="E1487" t="s">
        <v>7781</v>
      </c>
      <c r="F1487" t="s">
        <v>7318</v>
      </c>
      <c r="G1487" t="s">
        <v>7347</v>
      </c>
      <c r="H1487" t="s">
        <v>1724</v>
      </c>
      <c r="J1487">
        <v>345000</v>
      </c>
      <c r="L1487" t="s">
        <v>6803</v>
      </c>
    </row>
    <row r="1488" spans="1:12" x14ac:dyDescent="0.35">
      <c r="A1488" t="s">
        <v>26</v>
      </c>
      <c r="B1488" s="1">
        <v>45740</v>
      </c>
      <c r="C1488" t="s">
        <v>7782</v>
      </c>
      <c r="D1488" t="s">
        <v>1725</v>
      </c>
      <c r="E1488" t="s">
        <v>7783</v>
      </c>
      <c r="F1488" t="s">
        <v>6804</v>
      </c>
      <c r="G1488" t="s">
        <v>7784</v>
      </c>
      <c r="H1488" t="s">
        <v>1726</v>
      </c>
      <c r="I1488" s="1">
        <v>45770</v>
      </c>
      <c r="K1488">
        <v>660001</v>
      </c>
      <c r="L1488" t="s">
        <v>6803</v>
      </c>
    </row>
    <row r="1489" spans="1:12" x14ac:dyDescent="0.35">
      <c r="A1489" t="s">
        <v>26</v>
      </c>
      <c r="B1489" s="1">
        <v>45740</v>
      </c>
      <c r="C1489" t="s">
        <v>7782</v>
      </c>
      <c r="D1489" t="s">
        <v>1725</v>
      </c>
      <c r="E1489" t="s">
        <v>7783</v>
      </c>
      <c r="F1489" t="s">
        <v>6806</v>
      </c>
      <c r="H1489" t="s">
        <v>1726</v>
      </c>
      <c r="J1489">
        <v>100678</v>
      </c>
      <c r="L1489" t="s">
        <v>6803</v>
      </c>
    </row>
    <row r="1490" spans="1:12" x14ac:dyDescent="0.35">
      <c r="A1490" t="s">
        <v>26</v>
      </c>
      <c r="B1490" s="1">
        <v>45740</v>
      </c>
      <c r="C1490" t="s">
        <v>7782</v>
      </c>
      <c r="D1490" t="s">
        <v>1725</v>
      </c>
      <c r="E1490" t="s">
        <v>7783</v>
      </c>
      <c r="F1490" t="s">
        <v>7785</v>
      </c>
      <c r="H1490" t="s">
        <v>1726</v>
      </c>
      <c r="J1490">
        <v>559323</v>
      </c>
      <c r="L1490" t="s">
        <v>5950</v>
      </c>
    </row>
    <row r="1491" spans="1:12" x14ac:dyDescent="0.35">
      <c r="A1491" t="s">
        <v>26</v>
      </c>
      <c r="B1491" s="1">
        <v>45740</v>
      </c>
      <c r="C1491" t="s">
        <v>7786</v>
      </c>
      <c r="D1491" t="s">
        <v>1727</v>
      </c>
      <c r="E1491" t="s">
        <v>1728</v>
      </c>
      <c r="F1491" t="s">
        <v>6804</v>
      </c>
      <c r="G1491" t="s">
        <v>7401</v>
      </c>
      <c r="H1491" t="s">
        <v>1729</v>
      </c>
      <c r="I1491" s="1">
        <v>45740</v>
      </c>
      <c r="K1491">
        <v>6000000</v>
      </c>
      <c r="L1491" t="s">
        <v>6803</v>
      </c>
    </row>
    <row r="1492" spans="1:12" x14ac:dyDescent="0.35">
      <c r="A1492" t="s">
        <v>26</v>
      </c>
      <c r="B1492" s="1">
        <v>45740</v>
      </c>
      <c r="C1492" t="s">
        <v>7786</v>
      </c>
      <c r="D1492" t="s">
        <v>1727</v>
      </c>
      <c r="E1492" t="s">
        <v>1728</v>
      </c>
      <c r="F1492" t="s">
        <v>7318</v>
      </c>
      <c r="G1492" t="s">
        <v>7401</v>
      </c>
      <c r="H1492" t="s">
        <v>1729</v>
      </c>
      <c r="J1492">
        <v>6000000</v>
      </c>
      <c r="L1492" t="s">
        <v>6803</v>
      </c>
    </row>
    <row r="1493" spans="1:12" x14ac:dyDescent="0.35">
      <c r="A1493" t="s">
        <v>26</v>
      </c>
      <c r="B1493" s="1">
        <v>45740</v>
      </c>
      <c r="C1493" t="s">
        <v>7787</v>
      </c>
      <c r="D1493" t="s">
        <v>1730</v>
      </c>
      <c r="E1493" t="s">
        <v>7788</v>
      </c>
      <c r="F1493" t="s">
        <v>6804</v>
      </c>
      <c r="G1493" t="s">
        <v>1731</v>
      </c>
      <c r="H1493" t="s">
        <v>1732</v>
      </c>
      <c r="I1493" s="1">
        <v>45740</v>
      </c>
      <c r="K1493">
        <v>1250800</v>
      </c>
      <c r="L1493" t="s">
        <v>6803</v>
      </c>
    </row>
    <row r="1494" spans="1:12" x14ac:dyDescent="0.35">
      <c r="A1494" t="s">
        <v>26</v>
      </c>
      <c r="B1494" s="1">
        <v>45740</v>
      </c>
      <c r="C1494" t="s">
        <v>7787</v>
      </c>
      <c r="D1494" t="s">
        <v>1730</v>
      </c>
      <c r="E1494" t="s">
        <v>7788</v>
      </c>
      <c r="F1494" t="s">
        <v>6819</v>
      </c>
      <c r="H1494" t="s">
        <v>1732</v>
      </c>
      <c r="J1494">
        <v>190800</v>
      </c>
      <c r="L1494" t="s">
        <v>6803</v>
      </c>
    </row>
    <row r="1495" spans="1:12" x14ac:dyDescent="0.35">
      <c r="A1495" t="s">
        <v>26</v>
      </c>
      <c r="B1495" s="1">
        <v>45740</v>
      </c>
      <c r="C1495" t="s">
        <v>7787</v>
      </c>
      <c r="D1495" t="s">
        <v>1730</v>
      </c>
      <c r="E1495" t="s">
        <v>7788</v>
      </c>
      <c r="F1495" t="s">
        <v>7789</v>
      </c>
      <c r="H1495" t="s">
        <v>1732</v>
      </c>
      <c r="J1495">
        <v>1060000</v>
      </c>
      <c r="L1495" t="s">
        <v>10115</v>
      </c>
    </row>
    <row r="1496" spans="1:12" x14ac:dyDescent="0.35">
      <c r="A1496" t="s">
        <v>26</v>
      </c>
      <c r="B1496" s="1">
        <v>45740</v>
      </c>
      <c r="C1496" t="s">
        <v>7790</v>
      </c>
      <c r="D1496" t="s">
        <v>1733</v>
      </c>
      <c r="E1496" t="s">
        <v>7791</v>
      </c>
      <c r="F1496" t="s">
        <v>6804</v>
      </c>
      <c r="G1496" t="s">
        <v>1731</v>
      </c>
      <c r="H1496" t="s">
        <v>1734</v>
      </c>
      <c r="I1496" s="1">
        <v>45740</v>
      </c>
      <c r="K1496">
        <v>1250800</v>
      </c>
      <c r="L1496" t="s">
        <v>6803</v>
      </c>
    </row>
    <row r="1497" spans="1:12" x14ac:dyDescent="0.35">
      <c r="A1497" t="s">
        <v>26</v>
      </c>
      <c r="B1497" s="1">
        <v>45740</v>
      </c>
      <c r="C1497" t="s">
        <v>7790</v>
      </c>
      <c r="D1497" t="s">
        <v>1733</v>
      </c>
      <c r="E1497" t="s">
        <v>7791</v>
      </c>
      <c r="F1497" t="s">
        <v>6819</v>
      </c>
      <c r="H1497" t="s">
        <v>1734</v>
      </c>
      <c r="J1497">
        <v>190800</v>
      </c>
      <c r="L1497" t="s">
        <v>6803</v>
      </c>
    </row>
    <row r="1498" spans="1:12" x14ac:dyDescent="0.35">
      <c r="A1498" t="s">
        <v>26</v>
      </c>
      <c r="B1498" s="1">
        <v>45740</v>
      </c>
      <c r="C1498" t="s">
        <v>7790</v>
      </c>
      <c r="D1498" t="s">
        <v>1733</v>
      </c>
      <c r="E1498" t="s">
        <v>7791</v>
      </c>
      <c r="F1498" t="s">
        <v>7789</v>
      </c>
      <c r="H1498" t="s">
        <v>1734</v>
      </c>
      <c r="J1498">
        <v>1060000</v>
      </c>
      <c r="L1498" t="s">
        <v>10115</v>
      </c>
    </row>
    <row r="1499" spans="1:12" x14ac:dyDescent="0.35">
      <c r="A1499" t="s">
        <v>26</v>
      </c>
      <c r="B1499" s="1">
        <v>45741</v>
      </c>
      <c r="C1499" t="s">
        <v>7792</v>
      </c>
      <c r="D1499" t="s">
        <v>1735</v>
      </c>
      <c r="E1499" t="s">
        <v>1736</v>
      </c>
      <c r="F1499" t="s">
        <v>6804</v>
      </c>
      <c r="G1499" t="s">
        <v>7484</v>
      </c>
      <c r="H1499" t="s">
        <v>1737</v>
      </c>
      <c r="I1499" s="1">
        <v>45741</v>
      </c>
      <c r="K1499">
        <v>1327642</v>
      </c>
      <c r="L1499" t="s">
        <v>6803</v>
      </c>
    </row>
    <row r="1500" spans="1:12" x14ac:dyDescent="0.35">
      <c r="A1500" t="s">
        <v>26</v>
      </c>
      <c r="B1500" s="1">
        <v>45741</v>
      </c>
      <c r="C1500" t="s">
        <v>7792</v>
      </c>
      <c r="D1500" t="s">
        <v>1735</v>
      </c>
      <c r="E1500" t="s">
        <v>1736</v>
      </c>
      <c r="F1500" t="s">
        <v>7338</v>
      </c>
      <c r="H1500" t="s">
        <v>1737</v>
      </c>
      <c r="J1500">
        <v>1327640</v>
      </c>
      <c r="L1500" t="s">
        <v>6803</v>
      </c>
    </row>
    <row r="1501" spans="1:12" x14ac:dyDescent="0.35">
      <c r="A1501" t="s">
        <v>26</v>
      </c>
      <c r="B1501" s="1">
        <v>45741</v>
      </c>
      <c r="C1501" t="s">
        <v>7792</v>
      </c>
      <c r="D1501" t="s">
        <v>1735</v>
      </c>
      <c r="E1501" t="s">
        <v>1736</v>
      </c>
      <c r="F1501" t="s">
        <v>7426</v>
      </c>
      <c r="H1501" t="s">
        <v>1737</v>
      </c>
      <c r="J1501">
        <v>2</v>
      </c>
      <c r="L1501" t="s">
        <v>5897</v>
      </c>
    </row>
    <row r="1502" spans="1:12" x14ac:dyDescent="0.35">
      <c r="A1502" t="s">
        <v>26</v>
      </c>
      <c r="B1502" s="1">
        <v>45741</v>
      </c>
      <c r="C1502" t="s">
        <v>7793</v>
      </c>
      <c r="D1502" t="s">
        <v>1738</v>
      </c>
      <c r="E1502" t="s">
        <v>1739</v>
      </c>
      <c r="F1502" t="s">
        <v>6804</v>
      </c>
      <c r="G1502" t="s">
        <v>1584</v>
      </c>
      <c r="H1502" t="s">
        <v>1585</v>
      </c>
      <c r="I1502" s="1">
        <v>45741</v>
      </c>
      <c r="K1502">
        <v>2000000</v>
      </c>
      <c r="L1502" t="s">
        <v>6803</v>
      </c>
    </row>
    <row r="1503" spans="1:12" x14ac:dyDescent="0.35">
      <c r="A1503" t="s">
        <v>26</v>
      </c>
      <c r="B1503" s="1">
        <v>45741</v>
      </c>
      <c r="C1503" t="s">
        <v>7793</v>
      </c>
      <c r="D1503" t="s">
        <v>1738</v>
      </c>
      <c r="E1503" t="s">
        <v>1739</v>
      </c>
      <c r="F1503" t="s">
        <v>7675</v>
      </c>
      <c r="H1503" t="s">
        <v>1585</v>
      </c>
      <c r="J1503">
        <v>2000000</v>
      </c>
      <c r="L1503" t="s">
        <v>6803</v>
      </c>
    </row>
    <row r="1504" spans="1:12" x14ac:dyDescent="0.35">
      <c r="A1504" t="s">
        <v>26</v>
      </c>
      <c r="B1504" s="1">
        <v>45742</v>
      </c>
      <c r="C1504" t="s">
        <v>7794</v>
      </c>
      <c r="D1504" t="s">
        <v>1740</v>
      </c>
      <c r="E1504" t="s">
        <v>1741</v>
      </c>
      <c r="F1504" t="s">
        <v>7514</v>
      </c>
      <c r="G1504" t="s">
        <v>7515</v>
      </c>
      <c r="H1504" t="s">
        <v>1396</v>
      </c>
      <c r="K1504">
        <v>236000</v>
      </c>
      <c r="L1504" t="s">
        <v>6803</v>
      </c>
    </row>
    <row r="1505" spans="1:12" x14ac:dyDescent="0.35">
      <c r="A1505" t="s">
        <v>26</v>
      </c>
      <c r="B1505" s="1">
        <v>45742</v>
      </c>
      <c r="C1505" t="s">
        <v>7794</v>
      </c>
      <c r="D1505" t="s">
        <v>1740</v>
      </c>
      <c r="E1505" t="s">
        <v>1741</v>
      </c>
      <c r="F1505" t="s">
        <v>7516</v>
      </c>
      <c r="H1505" t="s">
        <v>1396</v>
      </c>
      <c r="J1505">
        <v>236000</v>
      </c>
      <c r="L1505" t="s">
        <v>5928</v>
      </c>
    </row>
    <row r="1506" spans="1:12" x14ac:dyDescent="0.35">
      <c r="A1506" t="s">
        <v>26</v>
      </c>
      <c r="B1506" s="1">
        <v>45742</v>
      </c>
      <c r="C1506" t="s">
        <v>7795</v>
      </c>
      <c r="D1506" t="s">
        <v>1742</v>
      </c>
      <c r="E1506" t="s">
        <v>7796</v>
      </c>
      <c r="F1506" t="s">
        <v>6804</v>
      </c>
      <c r="G1506" t="s">
        <v>7797</v>
      </c>
      <c r="H1506" t="s">
        <v>1743</v>
      </c>
      <c r="I1506" s="1">
        <v>45742</v>
      </c>
      <c r="K1506">
        <v>180000</v>
      </c>
      <c r="L1506" t="s">
        <v>6803</v>
      </c>
    </row>
    <row r="1507" spans="1:12" x14ac:dyDescent="0.35">
      <c r="A1507" t="s">
        <v>26</v>
      </c>
      <c r="B1507" s="1">
        <v>45742</v>
      </c>
      <c r="C1507" t="s">
        <v>7795</v>
      </c>
      <c r="D1507" t="s">
        <v>1742</v>
      </c>
      <c r="E1507" t="s">
        <v>7796</v>
      </c>
      <c r="F1507" t="s">
        <v>7615</v>
      </c>
      <c r="H1507" t="s">
        <v>1743</v>
      </c>
      <c r="J1507">
        <v>180000</v>
      </c>
      <c r="L1507" t="s">
        <v>5905</v>
      </c>
    </row>
    <row r="1508" spans="1:12" x14ac:dyDescent="0.35">
      <c r="A1508" t="s">
        <v>26</v>
      </c>
      <c r="B1508" s="1">
        <v>45742</v>
      </c>
      <c r="C1508" t="s">
        <v>7798</v>
      </c>
      <c r="D1508" t="s">
        <v>1744</v>
      </c>
      <c r="E1508" t="s">
        <v>7799</v>
      </c>
      <c r="F1508" t="s">
        <v>6804</v>
      </c>
      <c r="G1508" t="s">
        <v>7797</v>
      </c>
      <c r="H1508" t="s">
        <v>1745</v>
      </c>
      <c r="I1508" s="1">
        <v>45742</v>
      </c>
      <c r="K1508">
        <v>108000</v>
      </c>
      <c r="L1508" t="s">
        <v>6803</v>
      </c>
    </row>
    <row r="1509" spans="1:12" x14ac:dyDescent="0.35">
      <c r="A1509" t="s">
        <v>26</v>
      </c>
      <c r="B1509" s="1">
        <v>45742</v>
      </c>
      <c r="C1509" t="s">
        <v>7798</v>
      </c>
      <c r="D1509" t="s">
        <v>1744</v>
      </c>
      <c r="E1509" t="s">
        <v>7799</v>
      </c>
      <c r="F1509" t="s">
        <v>7335</v>
      </c>
      <c r="H1509" t="s">
        <v>1745</v>
      </c>
      <c r="J1509">
        <v>108000</v>
      </c>
      <c r="L1509" t="s">
        <v>5902</v>
      </c>
    </row>
    <row r="1510" spans="1:12" x14ac:dyDescent="0.35">
      <c r="A1510" t="s">
        <v>26</v>
      </c>
      <c r="B1510" s="1">
        <v>45742</v>
      </c>
      <c r="C1510" t="s">
        <v>7800</v>
      </c>
      <c r="D1510" t="s">
        <v>1746</v>
      </c>
      <c r="E1510" t="s">
        <v>1747</v>
      </c>
      <c r="F1510" t="s">
        <v>6804</v>
      </c>
      <c r="G1510" t="s">
        <v>7797</v>
      </c>
      <c r="H1510" t="s">
        <v>1748</v>
      </c>
      <c r="I1510" s="1">
        <v>45742</v>
      </c>
      <c r="K1510">
        <v>708000</v>
      </c>
      <c r="L1510" t="s">
        <v>6803</v>
      </c>
    </row>
    <row r="1511" spans="1:12" x14ac:dyDescent="0.35">
      <c r="A1511" t="s">
        <v>26</v>
      </c>
      <c r="B1511" s="1">
        <v>45742</v>
      </c>
      <c r="C1511" t="s">
        <v>7800</v>
      </c>
      <c r="D1511" t="s">
        <v>1746</v>
      </c>
      <c r="E1511" t="s">
        <v>1747</v>
      </c>
      <c r="F1511" t="s">
        <v>7615</v>
      </c>
      <c r="H1511" t="s">
        <v>1748</v>
      </c>
      <c r="J1511">
        <v>708000</v>
      </c>
      <c r="L1511" t="s">
        <v>5905</v>
      </c>
    </row>
    <row r="1512" spans="1:12" x14ac:dyDescent="0.35">
      <c r="A1512" t="s">
        <v>26</v>
      </c>
      <c r="B1512" s="1">
        <v>45742</v>
      </c>
      <c r="C1512" t="s">
        <v>7801</v>
      </c>
      <c r="D1512" t="s">
        <v>1749</v>
      </c>
      <c r="E1512" t="s">
        <v>7802</v>
      </c>
      <c r="F1512" t="s">
        <v>6804</v>
      </c>
      <c r="G1512" t="s">
        <v>7797</v>
      </c>
      <c r="H1512" t="s">
        <v>1750</v>
      </c>
      <c r="I1512" s="1">
        <v>45742</v>
      </c>
      <c r="K1512">
        <v>45000</v>
      </c>
      <c r="L1512" t="s">
        <v>6803</v>
      </c>
    </row>
    <row r="1513" spans="1:12" x14ac:dyDescent="0.35">
      <c r="A1513" t="s">
        <v>26</v>
      </c>
      <c r="B1513" s="1">
        <v>45742</v>
      </c>
      <c r="C1513" t="s">
        <v>7801</v>
      </c>
      <c r="D1513" t="s">
        <v>1749</v>
      </c>
      <c r="E1513" t="s">
        <v>7802</v>
      </c>
      <c r="F1513" t="s">
        <v>7615</v>
      </c>
      <c r="H1513" t="s">
        <v>1750</v>
      </c>
      <c r="J1513">
        <v>45000</v>
      </c>
      <c r="L1513" t="s">
        <v>5905</v>
      </c>
    </row>
    <row r="1514" spans="1:12" x14ac:dyDescent="0.35">
      <c r="A1514" t="s">
        <v>26</v>
      </c>
      <c r="B1514" s="1">
        <v>45742</v>
      </c>
      <c r="C1514" t="s">
        <v>7803</v>
      </c>
      <c r="D1514" t="s">
        <v>1751</v>
      </c>
      <c r="E1514" t="s">
        <v>7804</v>
      </c>
      <c r="F1514" t="s">
        <v>6804</v>
      </c>
      <c r="G1514" t="s">
        <v>7797</v>
      </c>
      <c r="H1514" t="s">
        <v>1752</v>
      </c>
      <c r="I1514" s="1">
        <v>45742</v>
      </c>
      <c r="K1514">
        <v>93000</v>
      </c>
      <c r="L1514" t="s">
        <v>6803</v>
      </c>
    </row>
    <row r="1515" spans="1:12" x14ac:dyDescent="0.35">
      <c r="A1515" t="s">
        <v>26</v>
      </c>
      <c r="B1515" s="1">
        <v>45742</v>
      </c>
      <c r="C1515" t="s">
        <v>7803</v>
      </c>
      <c r="D1515" t="s">
        <v>1751</v>
      </c>
      <c r="E1515" t="s">
        <v>7804</v>
      </c>
      <c r="F1515" t="s">
        <v>7615</v>
      </c>
      <c r="H1515" t="s">
        <v>1752</v>
      </c>
      <c r="J1515">
        <v>93000</v>
      </c>
      <c r="L1515" t="s">
        <v>5905</v>
      </c>
    </row>
    <row r="1516" spans="1:12" x14ac:dyDescent="0.35">
      <c r="A1516" t="s">
        <v>26</v>
      </c>
      <c r="B1516" s="1">
        <v>45744</v>
      </c>
      <c r="C1516" t="s">
        <v>7805</v>
      </c>
      <c r="D1516" t="s">
        <v>1753</v>
      </c>
      <c r="E1516" t="s">
        <v>1754</v>
      </c>
      <c r="F1516" t="s">
        <v>7514</v>
      </c>
      <c r="G1516" t="s">
        <v>7521</v>
      </c>
      <c r="H1516" t="s">
        <v>1405</v>
      </c>
      <c r="K1516">
        <v>57943</v>
      </c>
      <c r="L1516" t="s">
        <v>6803</v>
      </c>
    </row>
    <row r="1517" spans="1:12" x14ac:dyDescent="0.35">
      <c r="A1517" t="s">
        <v>26</v>
      </c>
      <c r="B1517" s="1">
        <v>45744</v>
      </c>
      <c r="C1517" t="s">
        <v>7805</v>
      </c>
      <c r="D1517" t="s">
        <v>1753</v>
      </c>
      <c r="E1517" t="s">
        <v>1754</v>
      </c>
      <c r="F1517" t="s">
        <v>7516</v>
      </c>
      <c r="H1517" t="s">
        <v>1405</v>
      </c>
      <c r="J1517">
        <v>57943</v>
      </c>
      <c r="L1517" t="s">
        <v>5928</v>
      </c>
    </row>
    <row r="1518" spans="1:12" x14ac:dyDescent="0.35">
      <c r="A1518" t="s">
        <v>26</v>
      </c>
      <c r="B1518" s="1">
        <v>45744</v>
      </c>
      <c r="C1518" t="s">
        <v>7806</v>
      </c>
      <c r="D1518" t="s">
        <v>1755</v>
      </c>
      <c r="E1518" t="s">
        <v>1756</v>
      </c>
      <c r="F1518" t="s">
        <v>7514</v>
      </c>
      <c r="G1518" t="s">
        <v>7521</v>
      </c>
      <c r="H1518" t="s">
        <v>1405</v>
      </c>
      <c r="K1518">
        <v>14486</v>
      </c>
      <c r="L1518" t="s">
        <v>6803</v>
      </c>
    </row>
    <row r="1519" spans="1:12" x14ac:dyDescent="0.35">
      <c r="A1519" t="s">
        <v>26</v>
      </c>
      <c r="B1519" s="1">
        <v>45744</v>
      </c>
      <c r="C1519" t="s">
        <v>7806</v>
      </c>
      <c r="D1519" t="s">
        <v>1755</v>
      </c>
      <c r="E1519" t="s">
        <v>1756</v>
      </c>
      <c r="F1519" t="s">
        <v>7516</v>
      </c>
      <c r="H1519" t="s">
        <v>1405</v>
      </c>
      <c r="J1519">
        <v>14486</v>
      </c>
      <c r="L1519" t="s">
        <v>5928</v>
      </c>
    </row>
    <row r="1520" spans="1:12" x14ac:dyDescent="0.35">
      <c r="A1520" t="s">
        <v>26</v>
      </c>
      <c r="B1520" s="1">
        <v>45744</v>
      </c>
      <c r="C1520" t="s">
        <v>7807</v>
      </c>
      <c r="D1520" t="s">
        <v>1757</v>
      </c>
      <c r="E1520" t="s">
        <v>1758</v>
      </c>
      <c r="F1520" t="s">
        <v>7514</v>
      </c>
      <c r="G1520" t="s">
        <v>7521</v>
      </c>
      <c r="H1520" t="s">
        <v>1405</v>
      </c>
      <c r="K1520">
        <v>57943</v>
      </c>
      <c r="L1520" t="s">
        <v>6803</v>
      </c>
    </row>
    <row r="1521" spans="1:12" x14ac:dyDescent="0.35">
      <c r="A1521" t="s">
        <v>26</v>
      </c>
      <c r="B1521" s="1">
        <v>45744</v>
      </c>
      <c r="C1521" t="s">
        <v>7807</v>
      </c>
      <c r="D1521" t="s">
        <v>1757</v>
      </c>
      <c r="E1521" t="s">
        <v>1758</v>
      </c>
      <c r="F1521" t="s">
        <v>7516</v>
      </c>
      <c r="H1521" t="s">
        <v>1405</v>
      </c>
      <c r="J1521">
        <v>57943</v>
      </c>
      <c r="L1521" t="s">
        <v>5928</v>
      </c>
    </row>
    <row r="1522" spans="1:12" x14ac:dyDescent="0.35">
      <c r="A1522" t="s">
        <v>26</v>
      </c>
      <c r="B1522" s="1">
        <v>45744</v>
      </c>
      <c r="C1522" t="s">
        <v>7808</v>
      </c>
      <c r="D1522" t="s">
        <v>1759</v>
      </c>
      <c r="E1522" t="s">
        <v>1760</v>
      </c>
      <c r="F1522" t="s">
        <v>7514</v>
      </c>
      <c r="G1522" t="s">
        <v>7521</v>
      </c>
      <c r="H1522" t="s">
        <v>1405</v>
      </c>
      <c r="K1522">
        <v>173829</v>
      </c>
      <c r="L1522" t="s">
        <v>6803</v>
      </c>
    </row>
    <row r="1523" spans="1:12" x14ac:dyDescent="0.35">
      <c r="A1523" t="s">
        <v>26</v>
      </c>
      <c r="B1523" s="1">
        <v>45744</v>
      </c>
      <c r="C1523" t="s">
        <v>7808</v>
      </c>
      <c r="D1523" t="s">
        <v>1759</v>
      </c>
      <c r="E1523" t="s">
        <v>1760</v>
      </c>
      <c r="F1523" t="s">
        <v>7516</v>
      </c>
      <c r="H1523" t="s">
        <v>1405</v>
      </c>
      <c r="J1523">
        <v>173829</v>
      </c>
      <c r="L1523" t="s">
        <v>5928</v>
      </c>
    </row>
    <row r="1524" spans="1:12" x14ac:dyDescent="0.35">
      <c r="A1524" t="s">
        <v>26</v>
      </c>
      <c r="B1524" s="1">
        <v>45744</v>
      </c>
      <c r="C1524" t="s">
        <v>7809</v>
      </c>
      <c r="D1524" t="s">
        <v>1761</v>
      </c>
      <c r="E1524" t="s">
        <v>7810</v>
      </c>
      <c r="F1524" t="s">
        <v>6804</v>
      </c>
      <c r="G1524" t="s">
        <v>1368</v>
      </c>
      <c r="H1524" t="s">
        <v>1762</v>
      </c>
      <c r="I1524" s="1">
        <v>45744</v>
      </c>
      <c r="K1524">
        <v>1800000</v>
      </c>
      <c r="L1524" t="s">
        <v>6803</v>
      </c>
    </row>
    <row r="1525" spans="1:12" x14ac:dyDescent="0.35">
      <c r="A1525" t="s">
        <v>26</v>
      </c>
      <c r="B1525" s="1">
        <v>45744</v>
      </c>
      <c r="C1525" t="s">
        <v>7809</v>
      </c>
      <c r="D1525" t="s">
        <v>1761</v>
      </c>
      <c r="E1525" t="s">
        <v>7810</v>
      </c>
      <c r="F1525" t="s">
        <v>7488</v>
      </c>
      <c r="H1525" t="s">
        <v>1762</v>
      </c>
      <c r="J1525">
        <v>1800000</v>
      </c>
      <c r="L1525" t="s">
        <v>5943</v>
      </c>
    </row>
    <row r="1526" spans="1:12" x14ac:dyDescent="0.35">
      <c r="A1526" t="s">
        <v>26</v>
      </c>
      <c r="B1526" s="1">
        <v>45744</v>
      </c>
      <c r="C1526" t="s">
        <v>7811</v>
      </c>
      <c r="D1526" t="s">
        <v>1763</v>
      </c>
      <c r="E1526" t="s">
        <v>7812</v>
      </c>
      <c r="F1526" t="s">
        <v>6804</v>
      </c>
      <c r="G1526" t="s">
        <v>1368</v>
      </c>
      <c r="H1526" t="s">
        <v>1764</v>
      </c>
      <c r="I1526" s="1">
        <v>45744</v>
      </c>
      <c r="K1526">
        <v>1695000</v>
      </c>
      <c r="L1526" t="s">
        <v>6803</v>
      </c>
    </row>
    <row r="1527" spans="1:12" x14ac:dyDescent="0.35">
      <c r="A1527" t="s">
        <v>26</v>
      </c>
      <c r="B1527" s="1">
        <v>45744</v>
      </c>
      <c r="C1527" t="s">
        <v>7811</v>
      </c>
      <c r="D1527" t="s">
        <v>1763</v>
      </c>
      <c r="E1527" t="s">
        <v>7812</v>
      </c>
      <c r="F1527" t="s">
        <v>7488</v>
      </c>
      <c r="H1527" t="s">
        <v>1764</v>
      </c>
      <c r="J1527">
        <v>1695000</v>
      </c>
      <c r="L1527" t="s">
        <v>5943</v>
      </c>
    </row>
    <row r="1528" spans="1:12" x14ac:dyDescent="0.35">
      <c r="A1528" t="s">
        <v>26</v>
      </c>
      <c r="B1528" s="1">
        <v>45744</v>
      </c>
      <c r="C1528" t="s">
        <v>7813</v>
      </c>
      <c r="D1528" t="s">
        <v>1765</v>
      </c>
      <c r="E1528" t="s">
        <v>7814</v>
      </c>
      <c r="F1528" t="s">
        <v>6804</v>
      </c>
      <c r="G1528" t="s">
        <v>1368</v>
      </c>
      <c r="H1528" t="s">
        <v>1766</v>
      </c>
      <c r="I1528" s="1">
        <v>45744</v>
      </c>
      <c r="K1528">
        <v>2325000</v>
      </c>
      <c r="L1528" t="s">
        <v>6803</v>
      </c>
    </row>
    <row r="1529" spans="1:12" x14ac:dyDescent="0.35">
      <c r="A1529" t="s">
        <v>26</v>
      </c>
      <c r="B1529" s="1">
        <v>45744</v>
      </c>
      <c r="C1529" t="s">
        <v>7813</v>
      </c>
      <c r="D1529" t="s">
        <v>1765</v>
      </c>
      <c r="E1529" t="s">
        <v>7814</v>
      </c>
      <c r="F1529" t="s">
        <v>7488</v>
      </c>
      <c r="H1529" t="s">
        <v>1766</v>
      </c>
      <c r="J1529">
        <v>2325000</v>
      </c>
      <c r="L1529" t="s">
        <v>5943</v>
      </c>
    </row>
    <row r="1530" spans="1:12" x14ac:dyDescent="0.35">
      <c r="A1530" t="s">
        <v>26</v>
      </c>
      <c r="B1530" s="1">
        <v>45744</v>
      </c>
      <c r="C1530" t="s">
        <v>7815</v>
      </c>
      <c r="D1530" t="s">
        <v>1767</v>
      </c>
      <c r="E1530" t="s">
        <v>7816</v>
      </c>
      <c r="F1530" t="s">
        <v>6804</v>
      </c>
      <c r="G1530" t="s">
        <v>1365</v>
      </c>
      <c r="H1530" t="s">
        <v>1366</v>
      </c>
      <c r="I1530" s="1">
        <v>45744</v>
      </c>
      <c r="K1530">
        <v>5462500</v>
      </c>
      <c r="L1530" t="s">
        <v>6803</v>
      </c>
    </row>
    <row r="1531" spans="1:12" x14ac:dyDescent="0.35">
      <c r="A1531" t="s">
        <v>26</v>
      </c>
      <c r="B1531" s="1">
        <v>45744</v>
      </c>
      <c r="C1531" t="s">
        <v>7815</v>
      </c>
      <c r="D1531" t="s">
        <v>1767</v>
      </c>
      <c r="E1531" t="s">
        <v>7816</v>
      </c>
      <c r="F1531" t="s">
        <v>7488</v>
      </c>
      <c r="H1531" t="s">
        <v>1366</v>
      </c>
      <c r="J1531">
        <v>5462500</v>
      </c>
      <c r="L1531" t="s">
        <v>5943</v>
      </c>
    </row>
    <row r="1532" spans="1:12" x14ac:dyDescent="0.35">
      <c r="A1532" t="s">
        <v>26</v>
      </c>
      <c r="B1532" s="1">
        <v>45744</v>
      </c>
      <c r="C1532" t="s">
        <v>7817</v>
      </c>
      <c r="D1532" t="s">
        <v>1768</v>
      </c>
      <c r="E1532" t="s">
        <v>7788</v>
      </c>
      <c r="F1532" t="s">
        <v>6804</v>
      </c>
      <c r="G1532" t="s">
        <v>1365</v>
      </c>
      <c r="H1532" t="s">
        <v>1366</v>
      </c>
      <c r="I1532" s="1">
        <v>45744</v>
      </c>
      <c r="K1532">
        <v>5462500</v>
      </c>
      <c r="L1532" t="s">
        <v>6803</v>
      </c>
    </row>
    <row r="1533" spans="1:12" x14ac:dyDescent="0.35">
      <c r="A1533" t="s">
        <v>26</v>
      </c>
      <c r="B1533" s="1">
        <v>45744</v>
      </c>
      <c r="C1533" t="s">
        <v>7817</v>
      </c>
      <c r="D1533" t="s">
        <v>1768</v>
      </c>
      <c r="E1533" t="s">
        <v>7788</v>
      </c>
      <c r="F1533" t="s">
        <v>7488</v>
      </c>
      <c r="H1533" t="s">
        <v>1366</v>
      </c>
      <c r="J1533">
        <v>5462500</v>
      </c>
      <c r="L1533" t="s">
        <v>5943</v>
      </c>
    </row>
    <row r="1534" spans="1:12" x14ac:dyDescent="0.35">
      <c r="A1534" t="s">
        <v>26</v>
      </c>
      <c r="B1534" s="1">
        <v>45744</v>
      </c>
      <c r="C1534" t="s">
        <v>7818</v>
      </c>
      <c r="D1534" t="s">
        <v>1769</v>
      </c>
      <c r="E1534" t="s">
        <v>7819</v>
      </c>
      <c r="F1534" t="s">
        <v>6804</v>
      </c>
      <c r="G1534" t="s">
        <v>1365</v>
      </c>
      <c r="H1534" t="s">
        <v>1366</v>
      </c>
      <c r="I1534" s="1">
        <v>45744</v>
      </c>
      <c r="K1534">
        <v>5462500</v>
      </c>
      <c r="L1534" t="s">
        <v>6803</v>
      </c>
    </row>
    <row r="1535" spans="1:12" x14ac:dyDescent="0.35">
      <c r="A1535" t="s">
        <v>26</v>
      </c>
      <c r="B1535" s="1">
        <v>45744</v>
      </c>
      <c r="C1535" t="s">
        <v>7818</v>
      </c>
      <c r="D1535" t="s">
        <v>1769</v>
      </c>
      <c r="E1535" t="s">
        <v>7819</v>
      </c>
      <c r="F1535" t="s">
        <v>7488</v>
      </c>
      <c r="H1535" t="s">
        <v>1366</v>
      </c>
      <c r="J1535">
        <v>5462500</v>
      </c>
      <c r="L1535" t="s">
        <v>5943</v>
      </c>
    </row>
    <row r="1536" spans="1:12" x14ac:dyDescent="0.35">
      <c r="A1536" t="s">
        <v>26</v>
      </c>
      <c r="B1536" s="1">
        <v>45744</v>
      </c>
      <c r="C1536" t="s">
        <v>7820</v>
      </c>
      <c r="D1536" t="s">
        <v>1770</v>
      </c>
      <c r="E1536" t="s">
        <v>7821</v>
      </c>
      <c r="F1536" t="s">
        <v>6804</v>
      </c>
      <c r="G1536" t="s">
        <v>1653</v>
      </c>
      <c r="H1536" t="s">
        <v>1771</v>
      </c>
      <c r="I1536" s="1">
        <v>45744</v>
      </c>
      <c r="K1536">
        <v>6800000</v>
      </c>
      <c r="L1536" t="s">
        <v>6803</v>
      </c>
    </row>
    <row r="1537" spans="1:12" x14ac:dyDescent="0.35">
      <c r="A1537" t="s">
        <v>26</v>
      </c>
      <c r="B1537" s="1">
        <v>45744</v>
      </c>
      <c r="C1537" t="s">
        <v>7820</v>
      </c>
      <c r="D1537" t="s">
        <v>1770</v>
      </c>
      <c r="E1537" t="s">
        <v>7821</v>
      </c>
      <c r="F1537" t="s">
        <v>7488</v>
      </c>
      <c r="H1537" t="s">
        <v>1771</v>
      </c>
      <c r="J1537">
        <v>6800000</v>
      </c>
      <c r="L1537" t="s">
        <v>5906</v>
      </c>
    </row>
    <row r="1538" spans="1:12" x14ac:dyDescent="0.35">
      <c r="A1538" t="s">
        <v>26</v>
      </c>
      <c r="B1538" s="1">
        <v>45744</v>
      </c>
      <c r="C1538" t="s">
        <v>7822</v>
      </c>
      <c r="D1538" t="s">
        <v>1772</v>
      </c>
      <c r="E1538" t="s">
        <v>1773</v>
      </c>
      <c r="F1538" t="s">
        <v>6804</v>
      </c>
      <c r="G1538" t="s">
        <v>7319</v>
      </c>
      <c r="H1538" t="s">
        <v>1774</v>
      </c>
      <c r="I1538" s="1">
        <v>45744</v>
      </c>
      <c r="K1538">
        <v>52500000</v>
      </c>
      <c r="L1538" t="s">
        <v>6803</v>
      </c>
    </row>
    <row r="1539" spans="1:12" x14ac:dyDescent="0.35">
      <c r="A1539" t="s">
        <v>26</v>
      </c>
      <c r="B1539" s="1">
        <v>45744</v>
      </c>
      <c r="C1539" t="s">
        <v>7822</v>
      </c>
      <c r="D1539" t="s">
        <v>1772</v>
      </c>
      <c r="E1539" t="s">
        <v>1773</v>
      </c>
      <c r="F1539" t="s">
        <v>7320</v>
      </c>
      <c r="H1539" t="s">
        <v>1774</v>
      </c>
      <c r="J1539">
        <v>52500000</v>
      </c>
      <c r="L1539" t="s">
        <v>5882</v>
      </c>
    </row>
    <row r="1540" spans="1:12" x14ac:dyDescent="0.35">
      <c r="A1540" t="s">
        <v>1775</v>
      </c>
      <c r="B1540" s="1">
        <v>45717</v>
      </c>
      <c r="C1540" t="s">
        <v>1776</v>
      </c>
      <c r="D1540" t="s">
        <v>1776</v>
      </c>
      <c r="F1540" t="s">
        <v>7823</v>
      </c>
      <c r="G1540" t="s">
        <v>7824</v>
      </c>
      <c r="H1540" t="s">
        <v>1777</v>
      </c>
      <c r="I1540" s="1">
        <v>45778</v>
      </c>
      <c r="K1540">
        <v>61902045</v>
      </c>
      <c r="L1540" t="s">
        <v>6803</v>
      </c>
    </row>
    <row r="1541" spans="1:12" x14ac:dyDescent="0.35">
      <c r="A1541" t="s">
        <v>1775</v>
      </c>
      <c r="B1541" s="1">
        <v>45717</v>
      </c>
      <c r="C1541" t="s">
        <v>1776</v>
      </c>
      <c r="D1541" t="s">
        <v>1776</v>
      </c>
      <c r="F1541" t="s">
        <v>7825</v>
      </c>
      <c r="G1541" t="s">
        <v>7824</v>
      </c>
      <c r="H1541" t="s">
        <v>1777</v>
      </c>
      <c r="J1541">
        <v>61902045</v>
      </c>
      <c r="L1541" t="s">
        <v>6803</v>
      </c>
    </row>
    <row r="1542" spans="1:12" x14ac:dyDescent="0.35">
      <c r="A1542" t="s">
        <v>1775</v>
      </c>
      <c r="B1542" s="1">
        <v>45717</v>
      </c>
      <c r="C1542" t="s">
        <v>1778</v>
      </c>
      <c r="D1542" t="s">
        <v>1778</v>
      </c>
      <c r="F1542" t="s">
        <v>7823</v>
      </c>
      <c r="G1542" t="s">
        <v>7824</v>
      </c>
      <c r="H1542" t="s">
        <v>1779</v>
      </c>
      <c r="I1542" s="1">
        <v>45747</v>
      </c>
      <c r="K1542">
        <v>41585147</v>
      </c>
      <c r="L1542" t="s">
        <v>6803</v>
      </c>
    </row>
    <row r="1543" spans="1:12" x14ac:dyDescent="0.35">
      <c r="A1543" t="s">
        <v>1775</v>
      </c>
      <c r="B1543" s="1">
        <v>45717</v>
      </c>
      <c r="C1543" t="s">
        <v>1778</v>
      </c>
      <c r="D1543" t="s">
        <v>1778</v>
      </c>
      <c r="F1543" t="s">
        <v>7825</v>
      </c>
      <c r="G1543" t="s">
        <v>7824</v>
      </c>
      <c r="H1543" t="s">
        <v>1779</v>
      </c>
      <c r="J1543">
        <v>41585147</v>
      </c>
      <c r="L1543" t="s">
        <v>6803</v>
      </c>
    </row>
    <row r="1544" spans="1:12" x14ac:dyDescent="0.35">
      <c r="A1544" t="s">
        <v>1775</v>
      </c>
      <c r="B1544" s="1">
        <v>45717</v>
      </c>
      <c r="C1544" t="s">
        <v>1780</v>
      </c>
      <c r="D1544" t="s">
        <v>1780</v>
      </c>
      <c r="F1544" t="s">
        <v>7823</v>
      </c>
      <c r="G1544" t="s">
        <v>7824</v>
      </c>
      <c r="H1544" t="s">
        <v>1781</v>
      </c>
      <c r="I1544" s="1">
        <v>45747</v>
      </c>
      <c r="K1544">
        <v>2950000</v>
      </c>
      <c r="L1544" t="s">
        <v>6803</v>
      </c>
    </row>
    <row r="1545" spans="1:12" x14ac:dyDescent="0.35">
      <c r="A1545" t="s">
        <v>1775</v>
      </c>
      <c r="B1545" s="1">
        <v>45717</v>
      </c>
      <c r="C1545" t="s">
        <v>1780</v>
      </c>
      <c r="D1545" t="s">
        <v>1780</v>
      </c>
      <c r="F1545" t="s">
        <v>7825</v>
      </c>
      <c r="G1545" t="s">
        <v>7824</v>
      </c>
      <c r="H1545" t="s">
        <v>1781</v>
      </c>
      <c r="J1545">
        <v>2950000</v>
      </c>
      <c r="L1545" t="s">
        <v>6803</v>
      </c>
    </row>
    <row r="1546" spans="1:12" x14ac:dyDescent="0.35">
      <c r="A1546" t="s">
        <v>1775</v>
      </c>
      <c r="B1546" s="1">
        <v>45717</v>
      </c>
      <c r="C1546" t="s">
        <v>1782</v>
      </c>
      <c r="D1546" t="s">
        <v>1782</v>
      </c>
      <c r="F1546" t="s">
        <v>7823</v>
      </c>
      <c r="G1546" t="s">
        <v>7824</v>
      </c>
      <c r="H1546" t="s">
        <v>1783</v>
      </c>
      <c r="I1546" s="1">
        <v>45747</v>
      </c>
      <c r="K1546">
        <v>1451400</v>
      </c>
      <c r="L1546" t="s">
        <v>6803</v>
      </c>
    </row>
    <row r="1547" spans="1:12" x14ac:dyDescent="0.35">
      <c r="A1547" t="s">
        <v>1775</v>
      </c>
      <c r="B1547" s="1">
        <v>45717</v>
      </c>
      <c r="C1547" t="s">
        <v>1782</v>
      </c>
      <c r="D1547" t="s">
        <v>1782</v>
      </c>
      <c r="F1547" t="s">
        <v>7825</v>
      </c>
      <c r="G1547" t="s">
        <v>7824</v>
      </c>
      <c r="H1547" t="s">
        <v>1783</v>
      </c>
      <c r="J1547">
        <v>1451400</v>
      </c>
      <c r="L1547" t="s">
        <v>6803</v>
      </c>
    </row>
    <row r="1548" spans="1:12" x14ac:dyDescent="0.35">
      <c r="A1548" t="s">
        <v>1775</v>
      </c>
      <c r="B1548" s="1">
        <v>45717</v>
      </c>
      <c r="C1548" t="s">
        <v>1784</v>
      </c>
      <c r="D1548" t="s">
        <v>1784</v>
      </c>
      <c r="F1548" t="s">
        <v>7823</v>
      </c>
      <c r="G1548" t="s">
        <v>7824</v>
      </c>
      <c r="H1548" t="s">
        <v>1785</v>
      </c>
      <c r="I1548" s="1">
        <v>45747</v>
      </c>
      <c r="K1548">
        <v>1451400</v>
      </c>
      <c r="L1548" t="s">
        <v>6803</v>
      </c>
    </row>
    <row r="1549" spans="1:12" x14ac:dyDescent="0.35">
      <c r="A1549" t="s">
        <v>1775</v>
      </c>
      <c r="B1549" s="1">
        <v>45717</v>
      </c>
      <c r="C1549" t="s">
        <v>1784</v>
      </c>
      <c r="D1549" t="s">
        <v>1784</v>
      </c>
      <c r="F1549" t="s">
        <v>7825</v>
      </c>
      <c r="G1549" t="s">
        <v>7824</v>
      </c>
      <c r="H1549" t="s">
        <v>1785</v>
      </c>
      <c r="J1549">
        <v>1451400</v>
      </c>
      <c r="L1549" t="s">
        <v>6803</v>
      </c>
    </row>
    <row r="1550" spans="1:12" x14ac:dyDescent="0.35">
      <c r="A1550" t="s">
        <v>1775</v>
      </c>
      <c r="B1550" s="1">
        <v>45717</v>
      </c>
      <c r="C1550" t="s">
        <v>1786</v>
      </c>
      <c r="D1550" t="s">
        <v>1786</v>
      </c>
      <c r="F1550" t="s">
        <v>7823</v>
      </c>
      <c r="G1550" t="s">
        <v>7824</v>
      </c>
      <c r="H1550" t="s">
        <v>1787</v>
      </c>
      <c r="I1550" s="1">
        <v>45778</v>
      </c>
      <c r="K1550">
        <v>81354923</v>
      </c>
      <c r="L1550" t="s">
        <v>6803</v>
      </c>
    </row>
    <row r="1551" spans="1:12" x14ac:dyDescent="0.35">
      <c r="A1551" t="s">
        <v>1775</v>
      </c>
      <c r="B1551" s="1">
        <v>45717</v>
      </c>
      <c r="C1551" t="s">
        <v>1786</v>
      </c>
      <c r="D1551" t="s">
        <v>1786</v>
      </c>
      <c r="F1551" t="s">
        <v>7825</v>
      </c>
      <c r="G1551" t="s">
        <v>7824</v>
      </c>
      <c r="H1551" t="s">
        <v>1787</v>
      </c>
      <c r="J1551">
        <v>81354923</v>
      </c>
      <c r="L1551" t="s">
        <v>6803</v>
      </c>
    </row>
    <row r="1552" spans="1:12" x14ac:dyDescent="0.35">
      <c r="A1552" t="s">
        <v>1775</v>
      </c>
      <c r="B1552" s="1">
        <v>45717</v>
      </c>
      <c r="C1552" t="s">
        <v>1788</v>
      </c>
      <c r="D1552" t="s">
        <v>1788</v>
      </c>
      <c r="F1552" t="s">
        <v>7823</v>
      </c>
      <c r="G1552" t="s">
        <v>7824</v>
      </c>
      <c r="H1552" t="s">
        <v>1789</v>
      </c>
      <c r="I1552" s="1">
        <v>45747</v>
      </c>
      <c r="K1552">
        <v>47265254</v>
      </c>
      <c r="L1552" t="s">
        <v>6803</v>
      </c>
    </row>
    <row r="1553" spans="1:12" x14ac:dyDescent="0.35">
      <c r="A1553" t="s">
        <v>1775</v>
      </c>
      <c r="B1553" s="1">
        <v>45717</v>
      </c>
      <c r="C1553" t="s">
        <v>1788</v>
      </c>
      <c r="D1553" t="s">
        <v>1788</v>
      </c>
      <c r="F1553" t="s">
        <v>7825</v>
      </c>
      <c r="G1553" t="s">
        <v>7824</v>
      </c>
      <c r="H1553" t="s">
        <v>1789</v>
      </c>
      <c r="J1553">
        <v>47265254</v>
      </c>
      <c r="L1553" t="s">
        <v>6803</v>
      </c>
    </row>
    <row r="1554" spans="1:12" x14ac:dyDescent="0.35">
      <c r="A1554" t="s">
        <v>1790</v>
      </c>
      <c r="B1554" s="1">
        <v>45719</v>
      </c>
      <c r="C1554" t="s">
        <v>7527</v>
      </c>
      <c r="F1554" t="s">
        <v>7826</v>
      </c>
      <c r="H1554" t="s">
        <v>1791</v>
      </c>
      <c r="J1554">
        <v>20481468</v>
      </c>
      <c r="L1554" t="s">
        <v>6803</v>
      </c>
    </row>
    <row r="1555" spans="1:12" x14ac:dyDescent="0.35">
      <c r="A1555" t="s">
        <v>1790</v>
      </c>
      <c r="B1555" s="1">
        <v>45719</v>
      </c>
      <c r="C1555" t="s">
        <v>7527</v>
      </c>
      <c r="F1555" t="s">
        <v>7827</v>
      </c>
      <c r="H1555" t="s">
        <v>1791</v>
      </c>
      <c r="K1555">
        <v>20481468</v>
      </c>
      <c r="L1555" t="s">
        <v>6803</v>
      </c>
    </row>
    <row r="1556" spans="1:12" x14ac:dyDescent="0.35">
      <c r="A1556" t="s">
        <v>1790</v>
      </c>
      <c r="B1556" s="1">
        <v>45720</v>
      </c>
      <c r="C1556" t="s">
        <v>7733</v>
      </c>
      <c r="F1556" t="s">
        <v>6804</v>
      </c>
      <c r="G1556" t="s">
        <v>7700</v>
      </c>
      <c r="H1556" t="s">
        <v>1792</v>
      </c>
      <c r="J1556">
        <v>10620000</v>
      </c>
      <c r="L1556" t="s">
        <v>6803</v>
      </c>
    </row>
    <row r="1557" spans="1:12" x14ac:dyDescent="0.35">
      <c r="A1557" t="s">
        <v>1790</v>
      </c>
      <c r="B1557" s="1">
        <v>45720</v>
      </c>
      <c r="C1557" t="s">
        <v>7733</v>
      </c>
      <c r="F1557" t="s">
        <v>7827</v>
      </c>
      <c r="H1557" t="s">
        <v>1792</v>
      </c>
      <c r="K1557">
        <v>10620000</v>
      </c>
      <c r="L1557" t="s">
        <v>6803</v>
      </c>
    </row>
    <row r="1558" spans="1:12" x14ac:dyDescent="0.35">
      <c r="A1558" t="s">
        <v>1790</v>
      </c>
      <c r="B1558" s="1">
        <v>45720</v>
      </c>
      <c r="C1558" t="s">
        <v>7734</v>
      </c>
      <c r="F1558" t="s">
        <v>7514</v>
      </c>
      <c r="G1558" t="s">
        <v>7664</v>
      </c>
      <c r="H1558" t="s">
        <v>1793</v>
      </c>
      <c r="J1558">
        <v>3009472</v>
      </c>
      <c r="L1558" t="s">
        <v>6803</v>
      </c>
    </row>
    <row r="1559" spans="1:12" x14ac:dyDescent="0.35">
      <c r="A1559" t="s">
        <v>1790</v>
      </c>
      <c r="B1559" s="1">
        <v>45720</v>
      </c>
      <c r="C1559" t="s">
        <v>7734</v>
      </c>
      <c r="F1559" t="s">
        <v>7827</v>
      </c>
      <c r="H1559" t="s">
        <v>1793</v>
      </c>
      <c r="K1559">
        <v>3009472</v>
      </c>
      <c r="L1559" t="s">
        <v>6803</v>
      </c>
    </row>
    <row r="1560" spans="1:12" x14ac:dyDescent="0.35">
      <c r="A1560" t="s">
        <v>1790</v>
      </c>
      <c r="B1560" s="1">
        <v>45720</v>
      </c>
      <c r="C1560" t="s">
        <v>7735</v>
      </c>
      <c r="F1560" t="s">
        <v>6804</v>
      </c>
      <c r="G1560" t="s">
        <v>1365</v>
      </c>
      <c r="H1560" t="s">
        <v>1794</v>
      </c>
      <c r="J1560">
        <v>20101000</v>
      </c>
      <c r="L1560" t="s">
        <v>6803</v>
      </c>
    </row>
    <row r="1561" spans="1:12" x14ac:dyDescent="0.35">
      <c r="A1561" t="s">
        <v>1790</v>
      </c>
      <c r="B1561" s="1">
        <v>45720</v>
      </c>
      <c r="C1561" t="s">
        <v>7735</v>
      </c>
      <c r="F1561" t="s">
        <v>7827</v>
      </c>
      <c r="H1561" t="s">
        <v>1794</v>
      </c>
      <c r="K1561">
        <v>20101000</v>
      </c>
      <c r="L1561" t="s">
        <v>6803</v>
      </c>
    </row>
    <row r="1562" spans="1:12" x14ac:dyDescent="0.35">
      <c r="A1562" t="s">
        <v>1790</v>
      </c>
      <c r="B1562" s="1">
        <v>45720</v>
      </c>
      <c r="C1562" t="s">
        <v>7522</v>
      </c>
      <c r="F1562" t="s">
        <v>6804</v>
      </c>
      <c r="G1562" t="s">
        <v>1795</v>
      </c>
      <c r="H1562" t="s">
        <v>1796</v>
      </c>
      <c r="J1562">
        <v>2700000</v>
      </c>
      <c r="L1562" t="s">
        <v>6803</v>
      </c>
    </row>
    <row r="1563" spans="1:12" x14ac:dyDescent="0.35">
      <c r="A1563" t="s">
        <v>1790</v>
      </c>
      <c r="B1563" s="1">
        <v>45720</v>
      </c>
      <c r="C1563" t="s">
        <v>7522</v>
      </c>
      <c r="F1563" t="s">
        <v>7827</v>
      </c>
      <c r="H1563" t="s">
        <v>1796</v>
      </c>
      <c r="K1563">
        <v>2700000</v>
      </c>
      <c r="L1563" t="s">
        <v>6803</v>
      </c>
    </row>
    <row r="1564" spans="1:12" x14ac:dyDescent="0.35">
      <c r="A1564" t="s">
        <v>1790</v>
      </c>
      <c r="B1564" s="1">
        <v>45720</v>
      </c>
      <c r="C1564" t="s">
        <v>7523</v>
      </c>
      <c r="F1564" t="s">
        <v>7597</v>
      </c>
      <c r="H1564" t="s">
        <v>1797</v>
      </c>
      <c r="J1564">
        <v>9800000</v>
      </c>
      <c r="L1564" t="s">
        <v>6803</v>
      </c>
    </row>
    <row r="1565" spans="1:12" x14ac:dyDescent="0.35">
      <c r="A1565" t="s">
        <v>1790</v>
      </c>
      <c r="B1565" s="1">
        <v>45720</v>
      </c>
      <c r="C1565" t="s">
        <v>7523</v>
      </c>
      <c r="F1565" t="s">
        <v>7827</v>
      </c>
      <c r="H1565" t="s">
        <v>1797</v>
      </c>
      <c r="K1565">
        <v>9800000</v>
      </c>
      <c r="L1565" t="s">
        <v>6803</v>
      </c>
    </row>
    <row r="1566" spans="1:12" x14ac:dyDescent="0.35">
      <c r="A1566" t="s">
        <v>1790</v>
      </c>
      <c r="B1566" s="1">
        <v>45720</v>
      </c>
      <c r="C1566" t="s">
        <v>7532</v>
      </c>
      <c r="F1566" t="s">
        <v>7827</v>
      </c>
      <c r="H1566" t="s">
        <v>58</v>
      </c>
      <c r="K1566">
        <v>275</v>
      </c>
      <c r="L1566" t="s">
        <v>6803</v>
      </c>
    </row>
    <row r="1567" spans="1:12" x14ac:dyDescent="0.35">
      <c r="A1567" t="s">
        <v>1790</v>
      </c>
      <c r="B1567" s="1">
        <v>45720</v>
      </c>
      <c r="C1567" t="s">
        <v>7532</v>
      </c>
      <c r="F1567" t="s">
        <v>7828</v>
      </c>
      <c r="H1567" t="s">
        <v>58</v>
      </c>
      <c r="J1567">
        <v>275</v>
      </c>
      <c r="L1567" t="s">
        <v>347</v>
      </c>
    </row>
    <row r="1568" spans="1:12" x14ac:dyDescent="0.35">
      <c r="A1568" t="s">
        <v>1790</v>
      </c>
      <c r="B1568" s="1">
        <v>45720</v>
      </c>
      <c r="C1568" t="s">
        <v>7713</v>
      </c>
      <c r="F1568" t="s">
        <v>7827</v>
      </c>
      <c r="H1568" t="s">
        <v>58</v>
      </c>
      <c r="K1568">
        <v>275</v>
      </c>
      <c r="L1568" t="s">
        <v>6803</v>
      </c>
    </row>
    <row r="1569" spans="1:12" x14ac:dyDescent="0.35">
      <c r="A1569" t="s">
        <v>1790</v>
      </c>
      <c r="B1569" s="1">
        <v>45720</v>
      </c>
      <c r="C1569" t="s">
        <v>7713</v>
      </c>
      <c r="F1569" t="s">
        <v>7828</v>
      </c>
      <c r="H1569" t="s">
        <v>58</v>
      </c>
      <c r="J1569">
        <v>275</v>
      </c>
      <c r="L1569" t="s">
        <v>347</v>
      </c>
    </row>
    <row r="1570" spans="1:12" x14ac:dyDescent="0.35">
      <c r="A1570" t="s">
        <v>1790</v>
      </c>
      <c r="B1570" s="1">
        <v>45720</v>
      </c>
      <c r="C1570" t="s">
        <v>7726</v>
      </c>
      <c r="F1570" t="s">
        <v>7827</v>
      </c>
      <c r="H1570" t="s">
        <v>58</v>
      </c>
      <c r="K1570">
        <v>275</v>
      </c>
      <c r="L1570" t="s">
        <v>6803</v>
      </c>
    </row>
    <row r="1571" spans="1:12" x14ac:dyDescent="0.35">
      <c r="A1571" t="s">
        <v>1790</v>
      </c>
      <c r="B1571" s="1">
        <v>45720</v>
      </c>
      <c r="C1571" t="s">
        <v>7726</v>
      </c>
      <c r="F1571" t="s">
        <v>7828</v>
      </c>
      <c r="H1571" t="s">
        <v>58</v>
      </c>
      <c r="J1571">
        <v>275</v>
      </c>
      <c r="L1571" t="s">
        <v>347</v>
      </c>
    </row>
    <row r="1572" spans="1:12" x14ac:dyDescent="0.35">
      <c r="A1572" t="s">
        <v>1790</v>
      </c>
      <c r="B1572" s="1">
        <v>45720</v>
      </c>
      <c r="C1572" t="s">
        <v>7792</v>
      </c>
      <c r="F1572" t="s">
        <v>7827</v>
      </c>
      <c r="H1572" t="s">
        <v>58</v>
      </c>
      <c r="K1572">
        <v>275</v>
      </c>
      <c r="L1572" t="s">
        <v>6803</v>
      </c>
    </row>
    <row r="1573" spans="1:12" x14ac:dyDescent="0.35">
      <c r="A1573" t="s">
        <v>1790</v>
      </c>
      <c r="B1573" s="1">
        <v>45720</v>
      </c>
      <c r="C1573" t="s">
        <v>7792</v>
      </c>
      <c r="F1573" t="s">
        <v>7828</v>
      </c>
      <c r="H1573" t="s">
        <v>58</v>
      </c>
      <c r="J1573">
        <v>275</v>
      </c>
      <c r="L1573" t="s">
        <v>347</v>
      </c>
    </row>
    <row r="1574" spans="1:12" x14ac:dyDescent="0.35">
      <c r="A1574" t="s">
        <v>1790</v>
      </c>
      <c r="B1574" s="1">
        <v>45720</v>
      </c>
      <c r="C1574" t="s">
        <v>7545</v>
      </c>
      <c r="F1574" t="s">
        <v>7827</v>
      </c>
      <c r="H1574" t="s">
        <v>58</v>
      </c>
      <c r="K1574">
        <v>275</v>
      </c>
      <c r="L1574" t="s">
        <v>6803</v>
      </c>
    </row>
    <row r="1575" spans="1:12" x14ac:dyDescent="0.35">
      <c r="A1575" t="s">
        <v>1790</v>
      </c>
      <c r="B1575" s="1">
        <v>45720</v>
      </c>
      <c r="C1575" t="s">
        <v>7545</v>
      </c>
      <c r="F1575" t="s">
        <v>7828</v>
      </c>
      <c r="H1575" t="s">
        <v>58</v>
      </c>
      <c r="J1575">
        <v>275</v>
      </c>
      <c r="L1575" t="s">
        <v>347</v>
      </c>
    </row>
    <row r="1576" spans="1:12" x14ac:dyDescent="0.35">
      <c r="A1576" t="s">
        <v>1790</v>
      </c>
      <c r="B1576" s="1">
        <v>45721</v>
      </c>
      <c r="C1576" t="s">
        <v>7528</v>
      </c>
      <c r="F1576" t="s">
        <v>7827</v>
      </c>
      <c r="H1576" t="s">
        <v>1798</v>
      </c>
      <c r="K1576">
        <v>25000000</v>
      </c>
      <c r="L1576" t="s">
        <v>6803</v>
      </c>
    </row>
    <row r="1577" spans="1:12" x14ac:dyDescent="0.35">
      <c r="A1577" t="s">
        <v>1790</v>
      </c>
      <c r="B1577" s="1">
        <v>45721</v>
      </c>
      <c r="C1577" t="s">
        <v>7528</v>
      </c>
      <c r="F1577" t="s">
        <v>7829</v>
      </c>
      <c r="H1577" t="s">
        <v>1798</v>
      </c>
      <c r="J1577">
        <v>25000000</v>
      </c>
      <c r="L1577" t="s">
        <v>6803</v>
      </c>
    </row>
    <row r="1578" spans="1:12" x14ac:dyDescent="0.35">
      <c r="A1578" t="s">
        <v>1790</v>
      </c>
      <c r="B1578" s="1">
        <v>45721</v>
      </c>
      <c r="C1578" t="s">
        <v>7822</v>
      </c>
      <c r="F1578" t="s">
        <v>7827</v>
      </c>
      <c r="H1578" t="s">
        <v>58</v>
      </c>
      <c r="K1578">
        <v>100</v>
      </c>
      <c r="L1578" t="s">
        <v>6803</v>
      </c>
    </row>
    <row r="1579" spans="1:12" x14ac:dyDescent="0.35">
      <c r="A1579" t="s">
        <v>1790</v>
      </c>
      <c r="B1579" s="1">
        <v>45721</v>
      </c>
      <c r="C1579" t="s">
        <v>7822</v>
      </c>
      <c r="F1579" t="s">
        <v>7828</v>
      </c>
      <c r="H1579" t="s">
        <v>58</v>
      </c>
      <c r="J1579">
        <v>100</v>
      </c>
      <c r="L1579" t="s">
        <v>347</v>
      </c>
    </row>
    <row r="1580" spans="1:12" x14ac:dyDescent="0.35">
      <c r="A1580" t="s">
        <v>1790</v>
      </c>
      <c r="B1580" s="1">
        <v>45721</v>
      </c>
      <c r="C1580" t="s">
        <v>7533</v>
      </c>
      <c r="F1580" t="s">
        <v>7827</v>
      </c>
      <c r="H1580" t="s">
        <v>58</v>
      </c>
      <c r="K1580">
        <v>2200</v>
      </c>
      <c r="L1580" t="s">
        <v>6803</v>
      </c>
    </row>
    <row r="1581" spans="1:12" x14ac:dyDescent="0.35">
      <c r="A1581" t="s">
        <v>1790</v>
      </c>
      <c r="B1581" s="1">
        <v>45721</v>
      </c>
      <c r="C1581" t="s">
        <v>7533</v>
      </c>
      <c r="F1581" t="s">
        <v>7828</v>
      </c>
      <c r="H1581" t="s">
        <v>58</v>
      </c>
      <c r="J1581">
        <v>2200</v>
      </c>
      <c r="L1581" t="s">
        <v>347</v>
      </c>
    </row>
    <row r="1582" spans="1:12" x14ac:dyDescent="0.35">
      <c r="A1582" t="s">
        <v>1790</v>
      </c>
      <c r="B1582" s="1">
        <v>45722</v>
      </c>
      <c r="C1582" t="s">
        <v>7818</v>
      </c>
      <c r="F1582" t="s">
        <v>7830</v>
      </c>
      <c r="H1582" t="s">
        <v>1799</v>
      </c>
      <c r="K1582">
        <v>3540000</v>
      </c>
      <c r="L1582" t="s">
        <v>6803</v>
      </c>
    </row>
    <row r="1583" spans="1:12" x14ac:dyDescent="0.35">
      <c r="A1583" t="s">
        <v>1790</v>
      </c>
      <c r="B1583" s="1">
        <v>45722</v>
      </c>
      <c r="C1583" t="s">
        <v>7818</v>
      </c>
      <c r="F1583" t="s">
        <v>7827</v>
      </c>
      <c r="H1583" t="s">
        <v>1799</v>
      </c>
      <c r="J1583">
        <v>3540000</v>
      </c>
      <c r="L1583" t="s">
        <v>6803</v>
      </c>
    </row>
    <row r="1584" spans="1:12" x14ac:dyDescent="0.35">
      <c r="A1584" t="s">
        <v>1790</v>
      </c>
      <c r="B1584" s="1">
        <v>45722</v>
      </c>
      <c r="C1584" t="s">
        <v>7689</v>
      </c>
      <c r="F1584" t="s">
        <v>7827</v>
      </c>
      <c r="H1584" t="s">
        <v>58</v>
      </c>
      <c r="K1584">
        <v>4400</v>
      </c>
      <c r="L1584" t="s">
        <v>6803</v>
      </c>
    </row>
    <row r="1585" spans="1:12" x14ac:dyDescent="0.35">
      <c r="A1585" t="s">
        <v>1790</v>
      </c>
      <c r="B1585" s="1">
        <v>45722</v>
      </c>
      <c r="C1585" t="s">
        <v>7689</v>
      </c>
      <c r="F1585" t="s">
        <v>7828</v>
      </c>
      <c r="H1585" t="s">
        <v>58</v>
      </c>
      <c r="J1585">
        <v>4400</v>
      </c>
      <c r="L1585" t="s">
        <v>347</v>
      </c>
    </row>
    <row r="1586" spans="1:12" x14ac:dyDescent="0.35">
      <c r="A1586" t="s">
        <v>1790</v>
      </c>
      <c r="B1586" s="1">
        <v>45722</v>
      </c>
      <c r="C1586" t="s">
        <v>7547</v>
      </c>
      <c r="F1586" t="s">
        <v>7827</v>
      </c>
      <c r="H1586" t="s">
        <v>58</v>
      </c>
      <c r="K1586">
        <v>275</v>
      </c>
      <c r="L1586" t="s">
        <v>6803</v>
      </c>
    </row>
    <row r="1587" spans="1:12" x14ac:dyDescent="0.35">
      <c r="A1587" t="s">
        <v>1790</v>
      </c>
      <c r="B1587" s="1">
        <v>45722</v>
      </c>
      <c r="C1587" t="s">
        <v>7547</v>
      </c>
      <c r="F1587" t="s">
        <v>7828</v>
      </c>
      <c r="H1587" t="s">
        <v>58</v>
      </c>
      <c r="J1587">
        <v>275</v>
      </c>
      <c r="L1587" t="s">
        <v>347</v>
      </c>
    </row>
    <row r="1588" spans="1:12" x14ac:dyDescent="0.35">
      <c r="A1588" t="s">
        <v>1790</v>
      </c>
      <c r="B1588" s="1">
        <v>45723</v>
      </c>
      <c r="C1588" t="s">
        <v>7530</v>
      </c>
      <c r="F1588" t="s">
        <v>7514</v>
      </c>
      <c r="G1588" t="s">
        <v>7664</v>
      </c>
      <c r="H1588" t="s">
        <v>1800</v>
      </c>
      <c r="K1588">
        <v>36872640</v>
      </c>
      <c r="L1588" t="s">
        <v>6803</v>
      </c>
    </row>
    <row r="1589" spans="1:12" x14ac:dyDescent="0.35">
      <c r="A1589" t="s">
        <v>1790</v>
      </c>
      <c r="B1589" s="1">
        <v>45723</v>
      </c>
      <c r="C1589" t="s">
        <v>7530</v>
      </c>
      <c r="F1589" t="s">
        <v>7827</v>
      </c>
      <c r="H1589" t="s">
        <v>1800</v>
      </c>
      <c r="J1589">
        <v>36872640</v>
      </c>
      <c r="L1589" t="s">
        <v>6803</v>
      </c>
    </row>
    <row r="1590" spans="1:12" x14ac:dyDescent="0.35">
      <c r="A1590" t="s">
        <v>1790</v>
      </c>
      <c r="B1590" s="1">
        <v>45723</v>
      </c>
      <c r="C1590" t="s">
        <v>7773</v>
      </c>
      <c r="F1590" t="s">
        <v>7830</v>
      </c>
      <c r="H1590" t="s">
        <v>1801</v>
      </c>
      <c r="K1590">
        <v>2714000</v>
      </c>
      <c r="L1590" t="s">
        <v>6803</v>
      </c>
    </row>
    <row r="1591" spans="1:12" x14ac:dyDescent="0.35">
      <c r="A1591" t="s">
        <v>1790</v>
      </c>
      <c r="B1591" s="1">
        <v>45723</v>
      </c>
      <c r="C1591" t="s">
        <v>7773</v>
      </c>
      <c r="F1591" t="s">
        <v>7827</v>
      </c>
      <c r="H1591" t="s">
        <v>1801</v>
      </c>
      <c r="J1591">
        <v>2714000</v>
      </c>
      <c r="L1591" t="s">
        <v>6803</v>
      </c>
    </row>
    <row r="1592" spans="1:12" x14ac:dyDescent="0.35">
      <c r="A1592" t="s">
        <v>1790</v>
      </c>
      <c r="B1592" s="1">
        <v>45726</v>
      </c>
      <c r="C1592" t="s">
        <v>7525</v>
      </c>
      <c r="F1592" t="s">
        <v>7831</v>
      </c>
      <c r="G1592" t="s">
        <v>7832</v>
      </c>
      <c r="H1592" t="s">
        <v>1802</v>
      </c>
      <c r="K1592">
        <v>1220304</v>
      </c>
      <c r="L1592" t="s">
        <v>6803</v>
      </c>
    </row>
    <row r="1593" spans="1:12" x14ac:dyDescent="0.35">
      <c r="A1593" t="s">
        <v>1790</v>
      </c>
      <c r="B1593" s="1">
        <v>45726</v>
      </c>
      <c r="C1593" t="s">
        <v>7525</v>
      </c>
      <c r="F1593" t="s">
        <v>7827</v>
      </c>
      <c r="H1593" t="s">
        <v>1802</v>
      </c>
      <c r="J1593">
        <v>1220304</v>
      </c>
      <c r="L1593" t="s">
        <v>6803</v>
      </c>
    </row>
    <row r="1594" spans="1:12" x14ac:dyDescent="0.35">
      <c r="A1594" t="s">
        <v>1790</v>
      </c>
      <c r="B1594" s="1">
        <v>45726</v>
      </c>
      <c r="C1594" t="s">
        <v>7672</v>
      </c>
      <c r="F1594" t="s">
        <v>7514</v>
      </c>
      <c r="G1594" t="s">
        <v>7664</v>
      </c>
      <c r="H1594" t="s">
        <v>1803</v>
      </c>
      <c r="J1594">
        <v>36872640</v>
      </c>
      <c r="L1594" t="s">
        <v>6803</v>
      </c>
    </row>
    <row r="1595" spans="1:12" x14ac:dyDescent="0.35">
      <c r="A1595" t="s">
        <v>1790</v>
      </c>
      <c r="B1595" s="1">
        <v>45726</v>
      </c>
      <c r="C1595" t="s">
        <v>7672</v>
      </c>
      <c r="F1595" t="s">
        <v>7827</v>
      </c>
      <c r="H1595" t="s">
        <v>1804</v>
      </c>
      <c r="K1595">
        <v>36872640</v>
      </c>
      <c r="L1595" t="s">
        <v>6803</v>
      </c>
    </row>
    <row r="1596" spans="1:12" x14ac:dyDescent="0.35">
      <c r="A1596" t="s">
        <v>1790</v>
      </c>
      <c r="B1596" s="1">
        <v>45726</v>
      </c>
      <c r="C1596" t="s">
        <v>7531</v>
      </c>
      <c r="F1596" t="s">
        <v>7830</v>
      </c>
      <c r="H1596" t="s">
        <v>1805</v>
      </c>
      <c r="K1596">
        <v>25099780</v>
      </c>
      <c r="L1596" t="s">
        <v>6803</v>
      </c>
    </row>
    <row r="1597" spans="1:12" x14ac:dyDescent="0.35">
      <c r="A1597" t="s">
        <v>1790</v>
      </c>
      <c r="B1597" s="1">
        <v>45726</v>
      </c>
      <c r="C1597" t="s">
        <v>7531</v>
      </c>
      <c r="F1597" t="s">
        <v>7827</v>
      </c>
      <c r="H1597" t="s">
        <v>1805</v>
      </c>
      <c r="J1597">
        <v>25099780</v>
      </c>
      <c r="L1597" t="s">
        <v>6803</v>
      </c>
    </row>
    <row r="1598" spans="1:12" x14ac:dyDescent="0.35">
      <c r="A1598" t="s">
        <v>1790</v>
      </c>
      <c r="B1598" s="1">
        <v>45727</v>
      </c>
      <c r="C1598" t="s">
        <v>7526</v>
      </c>
      <c r="F1598" t="s">
        <v>6804</v>
      </c>
      <c r="G1598" t="s">
        <v>7444</v>
      </c>
      <c r="H1598" t="s">
        <v>1806</v>
      </c>
      <c r="J1598">
        <v>14809140</v>
      </c>
      <c r="L1598" t="s">
        <v>6803</v>
      </c>
    </row>
    <row r="1599" spans="1:12" x14ac:dyDescent="0.35">
      <c r="A1599" t="s">
        <v>1790</v>
      </c>
      <c r="B1599" s="1">
        <v>45727</v>
      </c>
      <c r="C1599" t="s">
        <v>7526</v>
      </c>
      <c r="F1599" t="s">
        <v>7827</v>
      </c>
      <c r="H1599" t="s">
        <v>1806</v>
      </c>
      <c r="K1599">
        <v>14809140</v>
      </c>
      <c r="L1599" t="s">
        <v>6803</v>
      </c>
    </row>
    <row r="1600" spans="1:12" x14ac:dyDescent="0.35">
      <c r="A1600" t="s">
        <v>1790</v>
      </c>
      <c r="B1600" s="1">
        <v>45728</v>
      </c>
      <c r="C1600" t="s">
        <v>7820</v>
      </c>
      <c r="F1600" t="s">
        <v>7827</v>
      </c>
      <c r="H1600" t="s">
        <v>58</v>
      </c>
      <c r="K1600">
        <v>275</v>
      </c>
      <c r="L1600" t="s">
        <v>6803</v>
      </c>
    </row>
    <row r="1601" spans="1:12" x14ac:dyDescent="0.35">
      <c r="A1601" t="s">
        <v>1790</v>
      </c>
      <c r="B1601" s="1">
        <v>45728</v>
      </c>
      <c r="C1601" t="s">
        <v>7820</v>
      </c>
      <c r="F1601" t="s">
        <v>7828</v>
      </c>
      <c r="H1601" t="s">
        <v>58</v>
      </c>
      <c r="J1601">
        <v>275</v>
      </c>
      <c r="L1601" t="s">
        <v>347</v>
      </c>
    </row>
    <row r="1602" spans="1:12" x14ac:dyDescent="0.35">
      <c r="A1602" t="s">
        <v>1790</v>
      </c>
      <c r="B1602" s="1">
        <v>45729</v>
      </c>
      <c r="C1602" t="s">
        <v>7529</v>
      </c>
      <c r="F1602" t="s">
        <v>7597</v>
      </c>
      <c r="H1602" t="s">
        <v>1807</v>
      </c>
      <c r="J1602">
        <v>1000000</v>
      </c>
      <c r="L1602" t="s">
        <v>6803</v>
      </c>
    </row>
    <row r="1603" spans="1:12" x14ac:dyDescent="0.35">
      <c r="A1603" t="s">
        <v>1790</v>
      </c>
      <c r="B1603" s="1">
        <v>45729</v>
      </c>
      <c r="C1603" t="s">
        <v>7529</v>
      </c>
      <c r="F1603" t="s">
        <v>7827</v>
      </c>
      <c r="H1603" t="s">
        <v>1807</v>
      </c>
      <c r="K1603">
        <v>1000000</v>
      </c>
      <c r="L1603" t="s">
        <v>6803</v>
      </c>
    </row>
    <row r="1604" spans="1:12" x14ac:dyDescent="0.35">
      <c r="A1604" t="s">
        <v>1790</v>
      </c>
      <c r="B1604" s="1">
        <v>45730</v>
      </c>
      <c r="C1604" t="s">
        <v>7817</v>
      </c>
      <c r="F1604" t="s">
        <v>7827</v>
      </c>
      <c r="H1604" t="s">
        <v>1808</v>
      </c>
      <c r="J1604">
        <v>120458050</v>
      </c>
      <c r="L1604" t="s">
        <v>6803</v>
      </c>
    </row>
    <row r="1605" spans="1:12" x14ac:dyDescent="0.35">
      <c r="A1605" t="s">
        <v>1790</v>
      </c>
      <c r="B1605" s="1">
        <v>45730</v>
      </c>
      <c r="C1605" t="s">
        <v>7817</v>
      </c>
      <c r="F1605" t="s">
        <v>7829</v>
      </c>
      <c r="H1605" t="s">
        <v>1808</v>
      </c>
      <c r="K1605">
        <v>120458050</v>
      </c>
      <c r="L1605" t="s">
        <v>6803</v>
      </c>
    </row>
    <row r="1606" spans="1:12" x14ac:dyDescent="0.35">
      <c r="A1606" t="s">
        <v>1790</v>
      </c>
      <c r="B1606" s="1">
        <v>45731</v>
      </c>
      <c r="C1606" t="s">
        <v>7811</v>
      </c>
      <c r="F1606" t="s">
        <v>7833</v>
      </c>
      <c r="H1606" t="s">
        <v>1809</v>
      </c>
      <c r="J1606">
        <v>7999643</v>
      </c>
      <c r="L1606" t="s">
        <v>6803</v>
      </c>
    </row>
    <row r="1607" spans="1:12" x14ac:dyDescent="0.35">
      <c r="A1607" t="s">
        <v>1790</v>
      </c>
      <c r="B1607" s="1">
        <v>45731</v>
      </c>
      <c r="C1607" t="s">
        <v>7811</v>
      </c>
      <c r="F1607" t="s">
        <v>6819</v>
      </c>
      <c r="H1607" t="s">
        <v>1809</v>
      </c>
      <c r="J1607">
        <v>146858</v>
      </c>
      <c r="L1607" t="s">
        <v>6803</v>
      </c>
    </row>
    <row r="1608" spans="1:12" x14ac:dyDescent="0.35">
      <c r="A1608" t="s">
        <v>1790</v>
      </c>
      <c r="B1608" s="1">
        <v>45731</v>
      </c>
      <c r="C1608" t="s">
        <v>7811</v>
      </c>
      <c r="F1608" t="s">
        <v>7827</v>
      </c>
      <c r="H1608" t="s">
        <v>1809</v>
      </c>
      <c r="K1608">
        <v>9615081</v>
      </c>
      <c r="L1608" t="s">
        <v>6803</v>
      </c>
    </row>
    <row r="1609" spans="1:12" x14ac:dyDescent="0.35">
      <c r="A1609" t="s">
        <v>1790</v>
      </c>
      <c r="B1609" s="1">
        <v>45731</v>
      </c>
      <c r="C1609" t="s">
        <v>7811</v>
      </c>
      <c r="F1609" t="s">
        <v>7834</v>
      </c>
      <c r="H1609" t="s">
        <v>1809</v>
      </c>
      <c r="J1609">
        <v>1468580</v>
      </c>
      <c r="L1609" t="s">
        <v>347</v>
      </c>
    </row>
    <row r="1610" spans="1:12" x14ac:dyDescent="0.35">
      <c r="A1610" t="s">
        <v>1790</v>
      </c>
      <c r="B1610" s="1">
        <v>45731</v>
      </c>
      <c r="C1610" t="s">
        <v>7322</v>
      </c>
      <c r="F1610" t="s">
        <v>6804</v>
      </c>
      <c r="G1610" t="s">
        <v>7464</v>
      </c>
      <c r="H1610" t="s">
        <v>1810</v>
      </c>
      <c r="J1610">
        <v>378736</v>
      </c>
      <c r="L1610" t="s">
        <v>6803</v>
      </c>
    </row>
    <row r="1611" spans="1:12" x14ac:dyDescent="0.35">
      <c r="A1611" t="s">
        <v>1790</v>
      </c>
      <c r="B1611" s="1">
        <v>45731</v>
      </c>
      <c r="C1611" t="s">
        <v>7322</v>
      </c>
      <c r="F1611" t="s">
        <v>6804</v>
      </c>
      <c r="G1611" t="s">
        <v>7464</v>
      </c>
      <c r="H1611" t="s">
        <v>1810</v>
      </c>
      <c r="J1611">
        <v>378736</v>
      </c>
      <c r="L1611" t="s">
        <v>6803</v>
      </c>
    </row>
    <row r="1612" spans="1:12" x14ac:dyDescent="0.35">
      <c r="A1612" t="s">
        <v>1790</v>
      </c>
      <c r="B1612" s="1">
        <v>45731</v>
      </c>
      <c r="C1612" t="s">
        <v>7322</v>
      </c>
      <c r="F1612" t="s">
        <v>6804</v>
      </c>
      <c r="G1612" t="s">
        <v>7464</v>
      </c>
      <c r="H1612" t="s">
        <v>1810</v>
      </c>
      <c r="J1612">
        <v>378736</v>
      </c>
      <c r="L1612" t="s">
        <v>6803</v>
      </c>
    </row>
    <row r="1613" spans="1:12" x14ac:dyDescent="0.35">
      <c r="A1613" t="s">
        <v>1790</v>
      </c>
      <c r="B1613" s="1">
        <v>45731</v>
      </c>
      <c r="C1613" t="s">
        <v>7322</v>
      </c>
      <c r="F1613" t="s">
        <v>6804</v>
      </c>
      <c r="G1613" t="s">
        <v>7464</v>
      </c>
      <c r="H1613" t="s">
        <v>1810</v>
      </c>
      <c r="J1613">
        <v>378736</v>
      </c>
      <c r="L1613" t="s">
        <v>6803</v>
      </c>
    </row>
    <row r="1614" spans="1:12" x14ac:dyDescent="0.35">
      <c r="A1614" t="s">
        <v>1790</v>
      </c>
      <c r="B1614" s="1">
        <v>45731</v>
      </c>
      <c r="C1614" t="s">
        <v>7322</v>
      </c>
      <c r="F1614" t="s">
        <v>6804</v>
      </c>
      <c r="G1614" t="s">
        <v>7464</v>
      </c>
      <c r="H1614" t="s">
        <v>1810</v>
      </c>
      <c r="J1614">
        <v>378736</v>
      </c>
      <c r="L1614" t="s">
        <v>6803</v>
      </c>
    </row>
    <row r="1615" spans="1:12" x14ac:dyDescent="0.35">
      <c r="A1615" t="s">
        <v>1790</v>
      </c>
      <c r="B1615" s="1">
        <v>45731</v>
      </c>
      <c r="C1615" t="s">
        <v>7322</v>
      </c>
      <c r="F1615" t="s">
        <v>6804</v>
      </c>
      <c r="G1615" t="s">
        <v>7464</v>
      </c>
      <c r="H1615" t="s">
        <v>1811</v>
      </c>
      <c r="J1615">
        <v>340535</v>
      </c>
      <c r="L1615" t="s">
        <v>6803</v>
      </c>
    </row>
    <row r="1616" spans="1:12" x14ac:dyDescent="0.35">
      <c r="A1616" t="s">
        <v>1790</v>
      </c>
      <c r="B1616" s="1">
        <v>45731</v>
      </c>
      <c r="C1616" t="s">
        <v>7322</v>
      </c>
      <c r="F1616" t="s">
        <v>6804</v>
      </c>
      <c r="G1616" t="s">
        <v>7464</v>
      </c>
      <c r="H1616" t="s">
        <v>1811</v>
      </c>
      <c r="J1616">
        <v>340535</v>
      </c>
      <c r="L1616" t="s">
        <v>6803</v>
      </c>
    </row>
    <row r="1617" spans="1:12" x14ac:dyDescent="0.35">
      <c r="A1617" t="s">
        <v>1790</v>
      </c>
      <c r="B1617" s="1">
        <v>45731</v>
      </c>
      <c r="C1617" t="s">
        <v>7322</v>
      </c>
      <c r="F1617" t="s">
        <v>6804</v>
      </c>
      <c r="G1617" t="s">
        <v>7464</v>
      </c>
      <c r="H1617" t="s">
        <v>1811</v>
      </c>
      <c r="J1617">
        <v>340535</v>
      </c>
      <c r="L1617" t="s">
        <v>6803</v>
      </c>
    </row>
    <row r="1618" spans="1:12" x14ac:dyDescent="0.35">
      <c r="A1618" t="s">
        <v>1790</v>
      </c>
      <c r="B1618" s="1">
        <v>45731</v>
      </c>
      <c r="C1618" t="s">
        <v>7322</v>
      </c>
      <c r="F1618" t="s">
        <v>6804</v>
      </c>
      <c r="G1618" t="s">
        <v>7464</v>
      </c>
      <c r="H1618" t="s">
        <v>1812</v>
      </c>
      <c r="J1618">
        <v>419681</v>
      </c>
      <c r="L1618" t="s">
        <v>6803</v>
      </c>
    </row>
    <row r="1619" spans="1:12" x14ac:dyDescent="0.35">
      <c r="A1619" t="s">
        <v>1790</v>
      </c>
      <c r="B1619" s="1">
        <v>45731</v>
      </c>
      <c r="C1619" t="s">
        <v>7322</v>
      </c>
      <c r="F1619" t="s">
        <v>6804</v>
      </c>
      <c r="G1619" t="s">
        <v>7464</v>
      </c>
      <c r="H1619" t="s">
        <v>1812</v>
      </c>
      <c r="J1619">
        <v>419681</v>
      </c>
      <c r="L1619" t="s">
        <v>6803</v>
      </c>
    </row>
    <row r="1620" spans="1:12" x14ac:dyDescent="0.35">
      <c r="A1620" t="s">
        <v>1790</v>
      </c>
      <c r="B1620" s="1">
        <v>45731</v>
      </c>
      <c r="C1620" t="s">
        <v>7322</v>
      </c>
      <c r="F1620" t="s">
        <v>6804</v>
      </c>
      <c r="G1620" t="s">
        <v>7464</v>
      </c>
      <c r="H1620" t="s">
        <v>1812</v>
      </c>
      <c r="J1620">
        <v>419681</v>
      </c>
      <c r="L1620" t="s">
        <v>6803</v>
      </c>
    </row>
    <row r="1621" spans="1:12" x14ac:dyDescent="0.35">
      <c r="A1621" t="s">
        <v>1790</v>
      </c>
      <c r="B1621" s="1">
        <v>45731</v>
      </c>
      <c r="C1621" t="s">
        <v>7322</v>
      </c>
      <c r="F1621" t="s">
        <v>6804</v>
      </c>
      <c r="G1621" t="s">
        <v>7464</v>
      </c>
      <c r="H1621" t="s">
        <v>1813</v>
      </c>
      <c r="J1621">
        <v>182203</v>
      </c>
      <c r="L1621" t="s">
        <v>6803</v>
      </c>
    </row>
    <row r="1622" spans="1:12" x14ac:dyDescent="0.35">
      <c r="A1622" t="s">
        <v>1790</v>
      </c>
      <c r="B1622" s="1">
        <v>45731</v>
      </c>
      <c r="C1622" t="s">
        <v>7322</v>
      </c>
      <c r="F1622" t="s">
        <v>6804</v>
      </c>
      <c r="G1622" t="s">
        <v>7464</v>
      </c>
      <c r="H1622" t="s">
        <v>1813</v>
      </c>
      <c r="J1622">
        <v>182203</v>
      </c>
      <c r="L1622" t="s">
        <v>6803</v>
      </c>
    </row>
    <row r="1623" spans="1:12" x14ac:dyDescent="0.35">
      <c r="A1623" t="s">
        <v>1790</v>
      </c>
      <c r="B1623" s="1">
        <v>45731</v>
      </c>
      <c r="C1623" t="s">
        <v>7322</v>
      </c>
      <c r="F1623" t="s">
        <v>6804</v>
      </c>
      <c r="G1623" t="s">
        <v>7464</v>
      </c>
      <c r="H1623" t="s">
        <v>1813</v>
      </c>
      <c r="J1623">
        <v>182203</v>
      </c>
      <c r="L1623" t="s">
        <v>6803</v>
      </c>
    </row>
    <row r="1624" spans="1:12" x14ac:dyDescent="0.35">
      <c r="A1624" t="s">
        <v>1790</v>
      </c>
      <c r="B1624" s="1">
        <v>45731</v>
      </c>
      <c r="C1624" t="s">
        <v>7322</v>
      </c>
      <c r="F1624" t="s">
        <v>6804</v>
      </c>
      <c r="G1624" t="s">
        <v>7464</v>
      </c>
      <c r="H1624" t="s">
        <v>1814</v>
      </c>
      <c r="J1624">
        <v>427869</v>
      </c>
      <c r="L1624" t="s">
        <v>6803</v>
      </c>
    </row>
    <row r="1625" spans="1:12" x14ac:dyDescent="0.35">
      <c r="A1625" t="s">
        <v>1790</v>
      </c>
      <c r="B1625" s="1">
        <v>45731</v>
      </c>
      <c r="C1625" t="s">
        <v>7322</v>
      </c>
      <c r="F1625" t="s">
        <v>6804</v>
      </c>
      <c r="G1625" t="s">
        <v>7464</v>
      </c>
      <c r="H1625" t="s">
        <v>1815</v>
      </c>
      <c r="J1625">
        <v>428893</v>
      </c>
      <c r="L1625" t="s">
        <v>6803</v>
      </c>
    </row>
    <row r="1626" spans="1:12" x14ac:dyDescent="0.35">
      <c r="A1626" t="s">
        <v>1790</v>
      </c>
      <c r="B1626" s="1">
        <v>45731</v>
      </c>
      <c r="C1626" t="s">
        <v>7322</v>
      </c>
      <c r="F1626" t="s">
        <v>7827</v>
      </c>
      <c r="H1626" t="s">
        <v>1810</v>
      </c>
      <c r="K1626">
        <v>378736</v>
      </c>
      <c r="L1626" t="s">
        <v>6803</v>
      </c>
    </row>
    <row r="1627" spans="1:12" x14ac:dyDescent="0.35">
      <c r="A1627" t="s">
        <v>1790</v>
      </c>
      <c r="B1627" s="1">
        <v>45731</v>
      </c>
      <c r="C1627" t="s">
        <v>7322</v>
      </c>
      <c r="F1627" t="s">
        <v>7827</v>
      </c>
      <c r="H1627" t="s">
        <v>1810</v>
      </c>
      <c r="K1627">
        <v>378736</v>
      </c>
      <c r="L1627" t="s">
        <v>6803</v>
      </c>
    </row>
    <row r="1628" spans="1:12" x14ac:dyDescent="0.35">
      <c r="A1628" t="s">
        <v>1790</v>
      </c>
      <c r="B1628" s="1">
        <v>45731</v>
      </c>
      <c r="C1628" t="s">
        <v>7322</v>
      </c>
      <c r="F1628" t="s">
        <v>7827</v>
      </c>
      <c r="H1628" t="s">
        <v>1810</v>
      </c>
      <c r="K1628">
        <v>378736</v>
      </c>
      <c r="L1628" t="s">
        <v>6803</v>
      </c>
    </row>
    <row r="1629" spans="1:12" x14ac:dyDescent="0.35">
      <c r="A1629" t="s">
        <v>1790</v>
      </c>
      <c r="B1629" s="1">
        <v>45731</v>
      </c>
      <c r="C1629" t="s">
        <v>7322</v>
      </c>
      <c r="F1629" t="s">
        <v>7827</v>
      </c>
      <c r="H1629" t="s">
        <v>1810</v>
      </c>
      <c r="K1629">
        <v>378736</v>
      </c>
      <c r="L1629" t="s">
        <v>6803</v>
      </c>
    </row>
    <row r="1630" spans="1:12" x14ac:dyDescent="0.35">
      <c r="A1630" t="s">
        <v>1790</v>
      </c>
      <c r="B1630" s="1">
        <v>45731</v>
      </c>
      <c r="C1630" t="s">
        <v>7322</v>
      </c>
      <c r="F1630" t="s">
        <v>7827</v>
      </c>
      <c r="H1630" t="s">
        <v>1810</v>
      </c>
      <c r="K1630">
        <v>378736</v>
      </c>
      <c r="L1630" t="s">
        <v>6803</v>
      </c>
    </row>
    <row r="1631" spans="1:12" x14ac:dyDescent="0.35">
      <c r="A1631" t="s">
        <v>1790</v>
      </c>
      <c r="B1631" s="1">
        <v>45731</v>
      </c>
      <c r="C1631" t="s">
        <v>7322</v>
      </c>
      <c r="F1631" t="s">
        <v>7827</v>
      </c>
      <c r="H1631" t="s">
        <v>1811</v>
      </c>
      <c r="K1631">
        <v>340535</v>
      </c>
      <c r="L1631" t="s">
        <v>6803</v>
      </c>
    </row>
    <row r="1632" spans="1:12" x14ac:dyDescent="0.35">
      <c r="A1632" t="s">
        <v>1790</v>
      </c>
      <c r="B1632" s="1">
        <v>45731</v>
      </c>
      <c r="C1632" t="s">
        <v>7322</v>
      </c>
      <c r="F1632" t="s">
        <v>7827</v>
      </c>
      <c r="H1632" t="s">
        <v>1811</v>
      </c>
      <c r="K1632">
        <v>340535</v>
      </c>
      <c r="L1632" t="s">
        <v>6803</v>
      </c>
    </row>
    <row r="1633" spans="1:12" x14ac:dyDescent="0.35">
      <c r="A1633" t="s">
        <v>1790</v>
      </c>
      <c r="B1633" s="1">
        <v>45731</v>
      </c>
      <c r="C1633" t="s">
        <v>7322</v>
      </c>
      <c r="F1633" t="s">
        <v>7827</v>
      </c>
      <c r="H1633" t="s">
        <v>1811</v>
      </c>
      <c r="K1633">
        <v>340535</v>
      </c>
      <c r="L1633" t="s">
        <v>6803</v>
      </c>
    </row>
    <row r="1634" spans="1:12" x14ac:dyDescent="0.35">
      <c r="A1634" t="s">
        <v>1790</v>
      </c>
      <c r="B1634" s="1">
        <v>45731</v>
      </c>
      <c r="C1634" t="s">
        <v>7322</v>
      </c>
      <c r="F1634" t="s">
        <v>7827</v>
      </c>
      <c r="H1634" t="s">
        <v>1812</v>
      </c>
      <c r="K1634">
        <v>419681</v>
      </c>
      <c r="L1634" t="s">
        <v>6803</v>
      </c>
    </row>
    <row r="1635" spans="1:12" x14ac:dyDescent="0.35">
      <c r="A1635" t="s">
        <v>1790</v>
      </c>
      <c r="B1635" s="1">
        <v>45731</v>
      </c>
      <c r="C1635" t="s">
        <v>7322</v>
      </c>
      <c r="F1635" t="s">
        <v>7827</v>
      </c>
      <c r="H1635" t="s">
        <v>1812</v>
      </c>
      <c r="K1635">
        <v>419681</v>
      </c>
      <c r="L1635" t="s">
        <v>6803</v>
      </c>
    </row>
    <row r="1636" spans="1:12" x14ac:dyDescent="0.35">
      <c r="A1636" t="s">
        <v>1790</v>
      </c>
      <c r="B1636" s="1">
        <v>45731</v>
      </c>
      <c r="C1636" t="s">
        <v>7322</v>
      </c>
      <c r="F1636" t="s">
        <v>7827</v>
      </c>
      <c r="H1636" t="s">
        <v>1812</v>
      </c>
      <c r="K1636">
        <v>419681</v>
      </c>
      <c r="L1636" t="s">
        <v>6803</v>
      </c>
    </row>
    <row r="1637" spans="1:12" x14ac:dyDescent="0.35">
      <c r="A1637" t="s">
        <v>1790</v>
      </c>
      <c r="B1637" s="1">
        <v>45731</v>
      </c>
      <c r="C1637" t="s">
        <v>7322</v>
      </c>
      <c r="F1637" t="s">
        <v>7827</v>
      </c>
      <c r="H1637" t="s">
        <v>1813</v>
      </c>
      <c r="K1637">
        <v>182203</v>
      </c>
      <c r="L1637" t="s">
        <v>6803</v>
      </c>
    </row>
    <row r="1638" spans="1:12" x14ac:dyDescent="0.35">
      <c r="A1638" t="s">
        <v>1790</v>
      </c>
      <c r="B1638" s="1">
        <v>45731</v>
      </c>
      <c r="C1638" t="s">
        <v>7322</v>
      </c>
      <c r="F1638" t="s">
        <v>7827</v>
      </c>
      <c r="H1638" t="s">
        <v>1813</v>
      </c>
      <c r="K1638">
        <v>182203</v>
      </c>
      <c r="L1638" t="s">
        <v>6803</v>
      </c>
    </row>
    <row r="1639" spans="1:12" x14ac:dyDescent="0.35">
      <c r="A1639" t="s">
        <v>1790</v>
      </c>
      <c r="B1639" s="1">
        <v>45731</v>
      </c>
      <c r="C1639" t="s">
        <v>7322</v>
      </c>
      <c r="F1639" t="s">
        <v>7827</v>
      </c>
      <c r="H1639" t="s">
        <v>1813</v>
      </c>
      <c r="K1639">
        <v>182203</v>
      </c>
      <c r="L1639" t="s">
        <v>6803</v>
      </c>
    </row>
    <row r="1640" spans="1:12" x14ac:dyDescent="0.35">
      <c r="A1640" t="s">
        <v>1790</v>
      </c>
      <c r="B1640" s="1">
        <v>45731</v>
      </c>
      <c r="C1640" t="s">
        <v>7322</v>
      </c>
      <c r="F1640" t="s">
        <v>7827</v>
      </c>
      <c r="H1640" t="s">
        <v>1814</v>
      </c>
      <c r="K1640">
        <v>427869</v>
      </c>
      <c r="L1640" t="s">
        <v>6803</v>
      </c>
    </row>
    <row r="1641" spans="1:12" x14ac:dyDescent="0.35">
      <c r="A1641" t="s">
        <v>1790</v>
      </c>
      <c r="B1641" s="1">
        <v>45731</v>
      </c>
      <c r="C1641" t="s">
        <v>7322</v>
      </c>
      <c r="F1641" t="s">
        <v>7827</v>
      </c>
      <c r="H1641" t="s">
        <v>1815</v>
      </c>
      <c r="K1641">
        <v>428893</v>
      </c>
      <c r="L1641" t="s">
        <v>6803</v>
      </c>
    </row>
    <row r="1642" spans="1:12" x14ac:dyDescent="0.35">
      <c r="A1642" t="s">
        <v>1790</v>
      </c>
      <c r="B1642" s="1">
        <v>45733</v>
      </c>
      <c r="C1642" t="s">
        <v>7772</v>
      </c>
      <c r="F1642" t="s">
        <v>6804</v>
      </c>
      <c r="G1642" t="s">
        <v>7524</v>
      </c>
      <c r="H1642" t="s">
        <v>1816</v>
      </c>
      <c r="J1642">
        <v>147673846</v>
      </c>
      <c r="L1642" t="s">
        <v>6803</v>
      </c>
    </row>
    <row r="1643" spans="1:12" x14ac:dyDescent="0.35">
      <c r="A1643" t="s">
        <v>1790</v>
      </c>
      <c r="B1643" s="1">
        <v>45733</v>
      </c>
      <c r="C1643" t="s">
        <v>7772</v>
      </c>
      <c r="F1643" t="s">
        <v>7827</v>
      </c>
      <c r="H1643" t="s">
        <v>1816</v>
      </c>
      <c r="K1643">
        <v>147673846</v>
      </c>
      <c r="L1643" t="s">
        <v>6803</v>
      </c>
    </row>
    <row r="1644" spans="1:12" x14ac:dyDescent="0.35">
      <c r="A1644" t="s">
        <v>1790</v>
      </c>
      <c r="B1644" s="1">
        <v>45733</v>
      </c>
      <c r="C1644" t="s">
        <v>7809</v>
      </c>
      <c r="F1644" t="s">
        <v>7827</v>
      </c>
      <c r="H1644" t="s">
        <v>1808</v>
      </c>
      <c r="J1644">
        <v>15707360</v>
      </c>
      <c r="L1644" t="s">
        <v>6803</v>
      </c>
    </row>
    <row r="1645" spans="1:12" x14ac:dyDescent="0.35">
      <c r="A1645" t="s">
        <v>1790</v>
      </c>
      <c r="B1645" s="1">
        <v>45733</v>
      </c>
      <c r="C1645" t="s">
        <v>7809</v>
      </c>
      <c r="F1645" t="s">
        <v>7829</v>
      </c>
      <c r="H1645" t="s">
        <v>1808</v>
      </c>
      <c r="K1645">
        <v>15707360</v>
      </c>
      <c r="L1645" t="s">
        <v>6803</v>
      </c>
    </row>
    <row r="1646" spans="1:12" x14ac:dyDescent="0.35">
      <c r="A1646" t="s">
        <v>1790</v>
      </c>
      <c r="B1646" s="1">
        <v>45733</v>
      </c>
      <c r="C1646" t="s">
        <v>7813</v>
      </c>
      <c r="F1646" t="s">
        <v>7823</v>
      </c>
      <c r="G1646" t="s">
        <v>7835</v>
      </c>
      <c r="H1646" t="s">
        <v>1817</v>
      </c>
      <c r="K1646">
        <v>246771604</v>
      </c>
      <c r="L1646" t="s">
        <v>6803</v>
      </c>
    </row>
    <row r="1647" spans="1:12" x14ac:dyDescent="0.35">
      <c r="A1647" t="s">
        <v>1790</v>
      </c>
      <c r="B1647" s="1">
        <v>45733</v>
      </c>
      <c r="C1647" t="s">
        <v>7813</v>
      </c>
      <c r="F1647" t="s">
        <v>7827</v>
      </c>
      <c r="H1647" t="s">
        <v>1817</v>
      </c>
      <c r="J1647">
        <v>246771604</v>
      </c>
      <c r="L1647" t="s">
        <v>6803</v>
      </c>
    </row>
    <row r="1648" spans="1:12" x14ac:dyDescent="0.35">
      <c r="A1648" t="s">
        <v>1790</v>
      </c>
      <c r="B1648" s="1">
        <v>45733</v>
      </c>
      <c r="C1648" t="s">
        <v>7815</v>
      </c>
      <c r="F1648" t="s">
        <v>7831</v>
      </c>
      <c r="G1648" t="s">
        <v>7515</v>
      </c>
      <c r="H1648" t="s">
        <v>40</v>
      </c>
      <c r="K1648">
        <v>21671880</v>
      </c>
      <c r="L1648" t="s">
        <v>6803</v>
      </c>
    </row>
    <row r="1649" spans="1:12" x14ac:dyDescent="0.35">
      <c r="A1649" t="s">
        <v>1790</v>
      </c>
      <c r="B1649" s="1">
        <v>45733</v>
      </c>
      <c r="C1649" t="s">
        <v>7815</v>
      </c>
      <c r="F1649" t="s">
        <v>7827</v>
      </c>
      <c r="H1649" t="s">
        <v>40</v>
      </c>
      <c r="J1649">
        <v>21671880</v>
      </c>
      <c r="L1649" t="s">
        <v>6803</v>
      </c>
    </row>
    <row r="1650" spans="1:12" x14ac:dyDescent="0.35">
      <c r="A1650" t="s">
        <v>1790</v>
      </c>
      <c r="B1650" s="1">
        <v>45733</v>
      </c>
      <c r="C1650" t="s">
        <v>7706</v>
      </c>
      <c r="F1650" t="s">
        <v>7836</v>
      </c>
      <c r="H1650" t="s">
        <v>1818</v>
      </c>
      <c r="J1650">
        <v>20218747</v>
      </c>
      <c r="L1650" t="s">
        <v>6803</v>
      </c>
    </row>
    <row r="1651" spans="1:12" x14ac:dyDescent="0.35">
      <c r="A1651" t="s">
        <v>1790</v>
      </c>
      <c r="B1651" s="1">
        <v>45733</v>
      </c>
      <c r="C1651" t="s">
        <v>7706</v>
      </c>
      <c r="F1651" t="s">
        <v>7827</v>
      </c>
      <c r="H1651" t="s">
        <v>1818</v>
      </c>
      <c r="K1651">
        <v>20218747</v>
      </c>
      <c r="L1651" t="s">
        <v>6803</v>
      </c>
    </row>
    <row r="1652" spans="1:12" x14ac:dyDescent="0.35">
      <c r="A1652" t="s">
        <v>1790</v>
      </c>
      <c r="B1652" s="1">
        <v>45733</v>
      </c>
      <c r="C1652" t="s">
        <v>7673</v>
      </c>
      <c r="F1652" t="s">
        <v>7827</v>
      </c>
      <c r="H1652" t="s">
        <v>58</v>
      </c>
      <c r="K1652">
        <v>275</v>
      </c>
      <c r="L1652" t="s">
        <v>6803</v>
      </c>
    </row>
    <row r="1653" spans="1:12" x14ac:dyDescent="0.35">
      <c r="A1653" t="s">
        <v>1790</v>
      </c>
      <c r="B1653" s="1">
        <v>45733</v>
      </c>
      <c r="C1653" t="s">
        <v>7673</v>
      </c>
      <c r="F1653" t="s">
        <v>7828</v>
      </c>
      <c r="H1653" t="s">
        <v>58</v>
      </c>
      <c r="J1653">
        <v>275</v>
      </c>
      <c r="L1653" t="s">
        <v>347</v>
      </c>
    </row>
    <row r="1654" spans="1:12" x14ac:dyDescent="0.35">
      <c r="A1654" t="s">
        <v>1790</v>
      </c>
      <c r="B1654" s="1">
        <v>45733</v>
      </c>
      <c r="C1654" t="s">
        <v>7793</v>
      </c>
      <c r="F1654" t="s">
        <v>7827</v>
      </c>
      <c r="H1654" t="s">
        <v>58</v>
      </c>
      <c r="K1654">
        <v>275</v>
      </c>
      <c r="L1654" t="s">
        <v>6803</v>
      </c>
    </row>
    <row r="1655" spans="1:12" x14ac:dyDescent="0.35">
      <c r="A1655" t="s">
        <v>1790</v>
      </c>
      <c r="B1655" s="1">
        <v>45733</v>
      </c>
      <c r="C1655" t="s">
        <v>7793</v>
      </c>
      <c r="F1655" t="s">
        <v>7828</v>
      </c>
      <c r="H1655" t="s">
        <v>58</v>
      </c>
      <c r="J1655">
        <v>275</v>
      </c>
      <c r="L1655" t="s">
        <v>347</v>
      </c>
    </row>
    <row r="1656" spans="1:12" x14ac:dyDescent="0.35">
      <c r="A1656" t="s">
        <v>1790</v>
      </c>
      <c r="B1656" s="1">
        <v>45734</v>
      </c>
      <c r="C1656" t="s">
        <v>7707</v>
      </c>
      <c r="F1656" t="s">
        <v>6804</v>
      </c>
      <c r="G1656" t="s">
        <v>7837</v>
      </c>
      <c r="H1656" t="s">
        <v>1819</v>
      </c>
      <c r="J1656">
        <v>50000000</v>
      </c>
      <c r="L1656" t="s">
        <v>6803</v>
      </c>
    </row>
    <row r="1657" spans="1:12" x14ac:dyDescent="0.35">
      <c r="A1657" t="s">
        <v>1790</v>
      </c>
      <c r="B1657" s="1">
        <v>45734</v>
      </c>
      <c r="C1657" t="s">
        <v>7707</v>
      </c>
      <c r="F1657" t="s">
        <v>7827</v>
      </c>
      <c r="H1657" t="s">
        <v>1819</v>
      </c>
      <c r="K1657">
        <v>50000000</v>
      </c>
      <c r="L1657" t="s">
        <v>6803</v>
      </c>
    </row>
    <row r="1658" spans="1:12" x14ac:dyDescent="0.35">
      <c r="A1658" t="s">
        <v>1790</v>
      </c>
      <c r="B1658" s="1">
        <v>45734</v>
      </c>
      <c r="C1658" t="s">
        <v>7708</v>
      </c>
      <c r="F1658" t="s">
        <v>7597</v>
      </c>
      <c r="H1658" t="s">
        <v>1820</v>
      </c>
      <c r="J1658">
        <v>6000000</v>
      </c>
      <c r="L1658" t="s">
        <v>6803</v>
      </c>
    </row>
    <row r="1659" spans="1:12" x14ac:dyDescent="0.35">
      <c r="A1659" t="s">
        <v>1790</v>
      </c>
      <c r="B1659" s="1">
        <v>45734</v>
      </c>
      <c r="C1659" t="s">
        <v>7708</v>
      </c>
      <c r="F1659" t="s">
        <v>7827</v>
      </c>
      <c r="H1659" t="s">
        <v>1820</v>
      </c>
      <c r="K1659">
        <v>6000000</v>
      </c>
      <c r="L1659" t="s">
        <v>6803</v>
      </c>
    </row>
    <row r="1660" spans="1:12" x14ac:dyDescent="0.35">
      <c r="A1660" t="s">
        <v>1790</v>
      </c>
      <c r="B1660" s="1">
        <v>45734</v>
      </c>
      <c r="C1660" t="s">
        <v>7709</v>
      </c>
      <c r="F1660" t="s">
        <v>7514</v>
      </c>
      <c r="G1660" t="s">
        <v>7664</v>
      </c>
      <c r="H1660" t="s">
        <v>1821</v>
      </c>
      <c r="J1660">
        <v>10000000</v>
      </c>
      <c r="L1660" t="s">
        <v>6803</v>
      </c>
    </row>
    <row r="1661" spans="1:12" x14ac:dyDescent="0.35">
      <c r="A1661" t="s">
        <v>1790</v>
      </c>
      <c r="B1661" s="1">
        <v>45734</v>
      </c>
      <c r="C1661" t="s">
        <v>7709</v>
      </c>
      <c r="F1661" t="s">
        <v>7827</v>
      </c>
      <c r="H1661" t="s">
        <v>1821</v>
      </c>
      <c r="K1661">
        <v>10000000</v>
      </c>
      <c r="L1661" t="s">
        <v>6803</v>
      </c>
    </row>
    <row r="1662" spans="1:12" x14ac:dyDescent="0.35">
      <c r="A1662" t="s">
        <v>1790</v>
      </c>
      <c r="B1662" s="1">
        <v>45734</v>
      </c>
      <c r="C1662" t="s">
        <v>7710</v>
      </c>
      <c r="F1662" t="s">
        <v>7597</v>
      </c>
      <c r="H1662" t="s">
        <v>1820</v>
      </c>
      <c r="J1662">
        <v>44000000</v>
      </c>
      <c r="L1662" t="s">
        <v>6803</v>
      </c>
    </row>
    <row r="1663" spans="1:12" x14ac:dyDescent="0.35">
      <c r="A1663" t="s">
        <v>1790</v>
      </c>
      <c r="B1663" s="1">
        <v>45734</v>
      </c>
      <c r="C1663" t="s">
        <v>7710</v>
      </c>
      <c r="F1663" t="s">
        <v>7827</v>
      </c>
      <c r="H1663" t="s">
        <v>1820</v>
      </c>
      <c r="K1663">
        <v>44000000</v>
      </c>
      <c r="L1663" t="s">
        <v>6803</v>
      </c>
    </row>
    <row r="1664" spans="1:12" x14ac:dyDescent="0.35">
      <c r="A1664" t="s">
        <v>1790</v>
      </c>
      <c r="B1664" s="1">
        <v>45734</v>
      </c>
      <c r="C1664" t="s">
        <v>7838</v>
      </c>
      <c r="F1664" t="s">
        <v>7827</v>
      </c>
      <c r="H1664" t="s">
        <v>58</v>
      </c>
      <c r="K1664">
        <v>275</v>
      </c>
      <c r="L1664" t="s">
        <v>6803</v>
      </c>
    </row>
    <row r="1665" spans="1:12" x14ac:dyDescent="0.35">
      <c r="A1665" t="s">
        <v>1790</v>
      </c>
      <c r="B1665" s="1">
        <v>45734</v>
      </c>
      <c r="C1665" t="s">
        <v>7838</v>
      </c>
      <c r="F1665" t="s">
        <v>7828</v>
      </c>
      <c r="H1665" t="s">
        <v>58</v>
      </c>
      <c r="J1665">
        <v>275</v>
      </c>
      <c r="L1665" t="s">
        <v>347</v>
      </c>
    </row>
    <row r="1666" spans="1:12" x14ac:dyDescent="0.35">
      <c r="A1666" t="s">
        <v>1790</v>
      </c>
      <c r="B1666" s="1">
        <v>45734</v>
      </c>
      <c r="C1666" t="s">
        <v>7839</v>
      </c>
      <c r="F1666" t="s">
        <v>7827</v>
      </c>
      <c r="H1666" t="s">
        <v>58</v>
      </c>
      <c r="K1666">
        <v>275</v>
      </c>
      <c r="L1666" t="s">
        <v>6803</v>
      </c>
    </row>
    <row r="1667" spans="1:12" x14ac:dyDescent="0.35">
      <c r="A1667" t="s">
        <v>1790</v>
      </c>
      <c r="B1667" s="1">
        <v>45734</v>
      </c>
      <c r="C1667" t="s">
        <v>7839</v>
      </c>
      <c r="F1667" t="s">
        <v>7828</v>
      </c>
      <c r="H1667" t="s">
        <v>58</v>
      </c>
      <c r="J1667">
        <v>275</v>
      </c>
      <c r="L1667" t="s">
        <v>347</v>
      </c>
    </row>
    <row r="1668" spans="1:12" x14ac:dyDescent="0.35">
      <c r="A1668" t="s">
        <v>1790</v>
      </c>
      <c r="B1668" s="1">
        <v>45735</v>
      </c>
      <c r="C1668" t="s">
        <v>7711</v>
      </c>
      <c r="F1668" t="s">
        <v>6804</v>
      </c>
      <c r="G1668" t="s">
        <v>7840</v>
      </c>
      <c r="H1668" t="s">
        <v>1822</v>
      </c>
      <c r="J1668">
        <v>42834000</v>
      </c>
      <c r="L1668" t="s">
        <v>6803</v>
      </c>
    </row>
    <row r="1669" spans="1:12" x14ac:dyDescent="0.35">
      <c r="A1669" t="s">
        <v>1790</v>
      </c>
      <c r="B1669" s="1">
        <v>45735</v>
      </c>
      <c r="C1669" t="s">
        <v>7711</v>
      </c>
      <c r="F1669" t="s">
        <v>7827</v>
      </c>
      <c r="H1669" t="s">
        <v>1822</v>
      </c>
      <c r="K1669">
        <v>42834000</v>
      </c>
      <c r="L1669" t="s">
        <v>6803</v>
      </c>
    </row>
    <row r="1670" spans="1:12" x14ac:dyDescent="0.35">
      <c r="A1670" t="s">
        <v>1790</v>
      </c>
      <c r="B1670" s="1">
        <v>45735</v>
      </c>
      <c r="C1670" t="s">
        <v>7712</v>
      </c>
      <c r="F1670" t="s">
        <v>7827</v>
      </c>
      <c r="H1670" t="s">
        <v>1823</v>
      </c>
      <c r="K1670">
        <v>20000000</v>
      </c>
      <c r="L1670" t="s">
        <v>6803</v>
      </c>
    </row>
    <row r="1671" spans="1:12" x14ac:dyDescent="0.35">
      <c r="A1671" t="s">
        <v>1790</v>
      </c>
      <c r="B1671" s="1">
        <v>45735</v>
      </c>
      <c r="C1671" t="s">
        <v>7712</v>
      </c>
      <c r="F1671" t="s">
        <v>7829</v>
      </c>
      <c r="H1671" t="s">
        <v>1823</v>
      </c>
      <c r="J1671">
        <v>20000000</v>
      </c>
      <c r="L1671" t="s">
        <v>6803</v>
      </c>
    </row>
    <row r="1672" spans="1:12" x14ac:dyDescent="0.35">
      <c r="A1672" t="s">
        <v>1790</v>
      </c>
      <c r="B1672" s="1">
        <v>45735</v>
      </c>
      <c r="C1672" t="s">
        <v>7841</v>
      </c>
      <c r="F1672" t="s">
        <v>7691</v>
      </c>
      <c r="H1672" t="s">
        <v>1824</v>
      </c>
      <c r="J1672">
        <v>58067215</v>
      </c>
      <c r="L1672" t="s">
        <v>6803</v>
      </c>
    </row>
    <row r="1673" spans="1:12" x14ac:dyDescent="0.35">
      <c r="A1673" t="s">
        <v>1790</v>
      </c>
      <c r="B1673" s="1">
        <v>45735</v>
      </c>
      <c r="C1673" t="s">
        <v>7841</v>
      </c>
      <c r="F1673" t="s">
        <v>7827</v>
      </c>
      <c r="H1673" t="s">
        <v>1824</v>
      </c>
      <c r="K1673">
        <v>58067215</v>
      </c>
      <c r="L1673" t="s">
        <v>6803</v>
      </c>
    </row>
    <row r="1674" spans="1:12" x14ac:dyDescent="0.35">
      <c r="A1674" t="s">
        <v>1790</v>
      </c>
      <c r="B1674" s="1">
        <v>45735</v>
      </c>
      <c r="C1674" t="s">
        <v>7842</v>
      </c>
      <c r="F1674" t="s">
        <v>7691</v>
      </c>
      <c r="H1674" t="s">
        <v>1824</v>
      </c>
      <c r="J1674">
        <v>2616815</v>
      </c>
      <c r="L1674" t="s">
        <v>6803</v>
      </c>
    </row>
    <row r="1675" spans="1:12" x14ac:dyDescent="0.35">
      <c r="A1675" t="s">
        <v>1790</v>
      </c>
      <c r="B1675" s="1">
        <v>45735</v>
      </c>
      <c r="C1675" t="s">
        <v>7842</v>
      </c>
      <c r="F1675" t="s">
        <v>7827</v>
      </c>
      <c r="H1675" t="s">
        <v>1824</v>
      </c>
      <c r="K1675">
        <v>2616815</v>
      </c>
      <c r="L1675" t="s">
        <v>6803</v>
      </c>
    </row>
    <row r="1676" spans="1:12" x14ac:dyDescent="0.35">
      <c r="A1676" t="s">
        <v>1790</v>
      </c>
      <c r="B1676" s="1">
        <v>45735</v>
      </c>
      <c r="C1676" t="s">
        <v>7843</v>
      </c>
      <c r="F1676" t="s">
        <v>7691</v>
      </c>
      <c r="H1676" t="s">
        <v>1824</v>
      </c>
      <c r="J1676">
        <v>12086400</v>
      </c>
      <c r="L1676" t="s">
        <v>6803</v>
      </c>
    </row>
    <row r="1677" spans="1:12" x14ac:dyDescent="0.35">
      <c r="A1677" t="s">
        <v>1790</v>
      </c>
      <c r="B1677" s="1">
        <v>45735</v>
      </c>
      <c r="C1677" t="s">
        <v>7843</v>
      </c>
      <c r="F1677" t="s">
        <v>7827</v>
      </c>
      <c r="H1677" t="s">
        <v>1824</v>
      </c>
      <c r="K1677">
        <v>12086400</v>
      </c>
      <c r="L1677" t="s">
        <v>6803</v>
      </c>
    </row>
    <row r="1678" spans="1:12" x14ac:dyDescent="0.35">
      <c r="A1678" t="s">
        <v>1790</v>
      </c>
      <c r="B1678" s="1">
        <v>45735</v>
      </c>
      <c r="C1678" t="s">
        <v>7844</v>
      </c>
      <c r="F1678" t="s">
        <v>7691</v>
      </c>
      <c r="H1678" t="s">
        <v>1824</v>
      </c>
      <c r="J1678">
        <v>2415170</v>
      </c>
      <c r="L1678" t="s">
        <v>6803</v>
      </c>
    </row>
    <row r="1679" spans="1:12" x14ac:dyDescent="0.35">
      <c r="A1679" t="s">
        <v>1790</v>
      </c>
      <c r="B1679" s="1">
        <v>45735</v>
      </c>
      <c r="C1679" t="s">
        <v>7844</v>
      </c>
      <c r="F1679" t="s">
        <v>7827</v>
      </c>
      <c r="H1679" t="s">
        <v>1824</v>
      </c>
      <c r="K1679">
        <v>2415170</v>
      </c>
      <c r="L1679" t="s">
        <v>6803</v>
      </c>
    </row>
    <row r="1680" spans="1:12" x14ac:dyDescent="0.35">
      <c r="A1680" t="s">
        <v>1790</v>
      </c>
      <c r="B1680" s="1">
        <v>45735</v>
      </c>
      <c r="C1680" t="s">
        <v>7321</v>
      </c>
      <c r="F1680" t="s">
        <v>7691</v>
      </c>
      <c r="H1680" t="s">
        <v>1824</v>
      </c>
      <c r="J1680">
        <v>588925</v>
      </c>
      <c r="L1680" t="s">
        <v>6803</v>
      </c>
    </row>
    <row r="1681" spans="1:12" x14ac:dyDescent="0.35">
      <c r="A1681" t="s">
        <v>1790</v>
      </c>
      <c r="B1681" s="1">
        <v>45735</v>
      </c>
      <c r="C1681" t="s">
        <v>7321</v>
      </c>
      <c r="F1681" t="s">
        <v>7827</v>
      </c>
      <c r="H1681" t="s">
        <v>1824</v>
      </c>
      <c r="K1681">
        <v>588925</v>
      </c>
      <c r="L1681" t="s">
        <v>6803</v>
      </c>
    </row>
    <row r="1682" spans="1:12" x14ac:dyDescent="0.35">
      <c r="A1682" t="s">
        <v>1790</v>
      </c>
      <c r="B1682" s="1">
        <v>45736</v>
      </c>
      <c r="C1682" t="s">
        <v>7543</v>
      </c>
      <c r="F1682" t="s">
        <v>7823</v>
      </c>
      <c r="G1682" t="s">
        <v>7845</v>
      </c>
      <c r="H1682" t="s">
        <v>1825</v>
      </c>
      <c r="K1682">
        <v>11246250</v>
      </c>
      <c r="L1682" t="s">
        <v>6803</v>
      </c>
    </row>
    <row r="1683" spans="1:12" x14ac:dyDescent="0.35">
      <c r="A1683" t="s">
        <v>1790</v>
      </c>
      <c r="B1683" s="1">
        <v>45736</v>
      </c>
      <c r="C1683" t="s">
        <v>7543</v>
      </c>
      <c r="F1683" t="s">
        <v>7827</v>
      </c>
      <c r="H1683" t="s">
        <v>1825</v>
      </c>
      <c r="J1683">
        <v>11246250</v>
      </c>
      <c r="L1683" t="s">
        <v>6803</v>
      </c>
    </row>
    <row r="1684" spans="1:12" x14ac:dyDescent="0.35">
      <c r="A1684" t="s">
        <v>1790</v>
      </c>
      <c r="B1684" s="1">
        <v>45740</v>
      </c>
      <c r="C1684" t="s">
        <v>7537</v>
      </c>
      <c r="F1684" t="s">
        <v>6804</v>
      </c>
      <c r="G1684" t="s">
        <v>7354</v>
      </c>
      <c r="H1684" t="s">
        <v>1826</v>
      </c>
      <c r="J1684">
        <v>4937000</v>
      </c>
      <c r="L1684" t="s">
        <v>6803</v>
      </c>
    </row>
    <row r="1685" spans="1:12" x14ac:dyDescent="0.35">
      <c r="A1685" t="s">
        <v>1790</v>
      </c>
      <c r="B1685" s="1">
        <v>45740</v>
      </c>
      <c r="C1685" t="s">
        <v>7537</v>
      </c>
      <c r="F1685" t="s">
        <v>7827</v>
      </c>
      <c r="H1685" t="s">
        <v>1826</v>
      </c>
      <c r="K1685">
        <v>4937000</v>
      </c>
      <c r="L1685" t="s">
        <v>6803</v>
      </c>
    </row>
    <row r="1686" spans="1:12" x14ac:dyDescent="0.35">
      <c r="A1686" t="s">
        <v>1790</v>
      </c>
      <c r="B1686" s="1">
        <v>45740</v>
      </c>
      <c r="C1686" t="s">
        <v>7539</v>
      </c>
      <c r="F1686" t="s">
        <v>6804</v>
      </c>
      <c r="G1686" t="s">
        <v>1584</v>
      </c>
      <c r="H1686" t="s">
        <v>1827</v>
      </c>
      <c r="J1686">
        <v>2000000</v>
      </c>
      <c r="L1686" t="s">
        <v>6803</v>
      </c>
    </row>
    <row r="1687" spans="1:12" x14ac:dyDescent="0.35">
      <c r="A1687" t="s">
        <v>1790</v>
      </c>
      <c r="B1687" s="1">
        <v>45740</v>
      </c>
      <c r="C1687" t="s">
        <v>7539</v>
      </c>
      <c r="F1687" t="s">
        <v>7827</v>
      </c>
      <c r="H1687" t="s">
        <v>1827</v>
      </c>
      <c r="K1687">
        <v>2000000</v>
      </c>
      <c r="L1687" t="s">
        <v>6803</v>
      </c>
    </row>
    <row r="1688" spans="1:12" x14ac:dyDescent="0.35">
      <c r="A1688" t="s">
        <v>1790</v>
      </c>
      <c r="B1688" s="1">
        <v>45740</v>
      </c>
      <c r="C1688" t="s">
        <v>7541</v>
      </c>
      <c r="F1688" t="s">
        <v>6804</v>
      </c>
      <c r="G1688" t="s">
        <v>1584</v>
      </c>
      <c r="H1688" t="s">
        <v>1828</v>
      </c>
      <c r="J1688">
        <v>500000</v>
      </c>
      <c r="L1688" t="s">
        <v>6803</v>
      </c>
    </row>
    <row r="1689" spans="1:12" x14ac:dyDescent="0.35">
      <c r="A1689" t="s">
        <v>1790</v>
      </c>
      <c r="B1689" s="1">
        <v>45740</v>
      </c>
      <c r="C1689" t="s">
        <v>7541</v>
      </c>
      <c r="F1689" t="s">
        <v>7827</v>
      </c>
      <c r="H1689" t="s">
        <v>1828</v>
      </c>
      <c r="K1689">
        <v>500000</v>
      </c>
      <c r="L1689" t="s">
        <v>6803</v>
      </c>
    </row>
    <row r="1690" spans="1:12" x14ac:dyDescent="0.35">
      <c r="A1690" t="s">
        <v>1790</v>
      </c>
      <c r="B1690" s="1">
        <v>45742</v>
      </c>
      <c r="C1690" t="s">
        <v>7846</v>
      </c>
      <c r="F1690" t="s">
        <v>7847</v>
      </c>
      <c r="H1690" t="s">
        <v>1829</v>
      </c>
      <c r="J1690">
        <v>17706172</v>
      </c>
      <c r="L1690" t="s">
        <v>6803</v>
      </c>
    </row>
    <row r="1691" spans="1:12" x14ac:dyDescent="0.35">
      <c r="A1691" t="s">
        <v>1790</v>
      </c>
      <c r="B1691" s="1">
        <v>45742</v>
      </c>
      <c r="C1691" t="s">
        <v>7846</v>
      </c>
      <c r="F1691" t="s">
        <v>7827</v>
      </c>
      <c r="H1691" t="s">
        <v>1829</v>
      </c>
      <c r="K1691">
        <v>17706172</v>
      </c>
      <c r="L1691" t="s">
        <v>6803</v>
      </c>
    </row>
    <row r="1692" spans="1:12" x14ac:dyDescent="0.35">
      <c r="A1692" t="s">
        <v>1790</v>
      </c>
      <c r="B1692" s="1">
        <v>45742</v>
      </c>
      <c r="C1692" t="s">
        <v>7848</v>
      </c>
      <c r="F1692" t="s">
        <v>7827</v>
      </c>
      <c r="H1692" t="s">
        <v>58</v>
      </c>
      <c r="K1692">
        <v>31900</v>
      </c>
      <c r="L1692" t="s">
        <v>6803</v>
      </c>
    </row>
    <row r="1693" spans="1:12" x14ac:dyDescent="0.35">
      <c r="A1693" t="s">
        <v>1790</v>
      </c>
      <c r="B1693" s="1">
        <v>45742</v>
      </c>
      <c r="C1693" t="s">
        <v>7848</v>
      </c>
      <c r="F1693" t="s">
        <v>7828</v>
      </c>
      <c r="H1693" t="s">
        <v>58</v>
      </c>
      <c r="J1693">
        <v>31900</v>
      </c>
      <c r="L1693" t="s">
        <v>347</v>
      </c>
    </row>
    <row r="1694" spans="1:12" x14ac:dyDescent="0.35">
      <c r="A1694" t="s">
        <v>1790</v>
      </c>
      <c r="B1694" s="1">
        <v>45742</v>
      </c>
      <c r="C1694" t="s">
        <v>7849</v>
      </c>
      <c r="F1694" t="s">
        <v>7827</v>
      </c>
      <c r="H1694" t="s">
        <v>58</v>
      </c>
      <c r="K1694">
        <v>275</v>
      </c>
      <c r="L1694" t="s">
        <v>6803</v>
      </c>
    </row>
    <row r="1695" spans="1:12" x14ac:dyDescent="0.35">
      <c r="A1695" t="s">
        <v>1790</v>
      </c>
      <c r="B1695" s="1">
        <v>45742</v>
      </c>
      <c r="C1695" t="s">
        <v>7849</v>
      </c>
      <c r="F1695" t="s">
        <v>7828</v>
      </c>
      <c r="H1695" t="s">
        <v>58</v>
      </c>
      <c r="J1695">
        <v>275</v>
      </c>
      <c r="L1695" t="s">
        <v>347</v>
      </c>
    </row>
    <row r="1696" spans="1:12" x14ac:dyDescent="0.35">
      <c r="A1696" t="s">
        <v>1790</v>
      </c>
      <c r="B1696" s="1">
        <v>45744</v>
      </c>
      <c r="C1696" t="s">
        <v>7850</v>
      </c>
      <c r="F1696" t="s">
        <v>7847</v>
      </c>
      <c r="H1696" t="s">
        <v>1829</v>
      </c>
      <c r="J1696">
        <v>171999</v>
      </c>
      <c r="L1696" t="s">
        <v>6803</v>
      </c>
    </row>
    <row r="1697" spans="1:12" x14ac:dyDescent="0.35">
      <c r="A1697" t="s">
        <v>1790</v>
      </c>
      <c r="B1697" s="1">
        <v>45744</v>
      </c>
      <c r="C1697" t="s">
        <v>7850</v>
      </c>
      <c r="F1697" t="s">
        <v>7827</v>
      </c>
      <c r="H1697" t="s">
        <v>1829</v>
      </c>
      <c r="K1697">
        <v>171999</v>
      </c>
      <c r="L1697" t="s">
        <v>6803</v>
      </c>
    </row>
    <row r="1698" spans="1:12" x14ac:dyDescent="0.35">
      <c r="A1698" t="s">
        <v>1790</v>
      </c>
      <c r="B1698" s="1">
        <v>45744</v>
      </c>
      <c r="C1698" t="s">
        <v>7851</v>
      </c>
      <c r="F1698" t="s">
        <v>7827</v>
      </c>
      <c r="H1698" t="s">
        <v>58</v>
      </c>
      <c r="K1698">
        <v>16638</v>
      </c>
      <c r="L1698" t="s">
        <v>6803</v>
      </c>
    </row>
    <row r="1699" spans="1:12" x14ac:dyDescent="0.35">
      <c r="A1699" t="s">
        <v>1790</v>
      </c>
      <c r="B1699" s="1">
        <v>45744</v>
      </c>
      <c r="C1699" t="s">
        <v>7851</v>
      </c>
      <c r="F1699" t="s">
        <v>7828</v>
      </c>
      <c r="H1699" t="s">
        <v>58</v>
      </c>
      <c r="J1699">
        <v>16638</v>
      </c>
      <c r="L1699" t="s">
        <v>347</v>
      </c>
    </row>
    <row r="1700" spans="1:12" x14ac:dyDescent="0.35">
      <c r="A1700" t="s">
        <v>1790</v>
      </c>
      <c r="B1700" s="1">
        <v>45747</v>
      </c>
      <c r="C1700" t="s">
        <v>7852</v>
      </c>
      <c r="F1700" t="s">
        <v>7827</v>
      </c>
      <c r="H1700" t="s">
        <v>1830</v>
      </c>
      <c r="K1700">
        <v>2734720</v>
      </c>
      <c r="L1700" t="s">
        <v>6803</v>
      </c>
    </row>
    <row r="1701" spans="1:12" x14ac:dyDescent="0.35">
      <c r="A1701" t="s">
        <v>1790</v>
      </c>
      <c r="B1701" s="1">
        <v>45747</v>
      </c>
      <c r="C1701" t="s">
        <v>7852</v>
      </c>
      <c r="F1701" t="s">
        <v>7424</v>
      </c>
      <c r="H1701" t="s">
        <v>1830</v>
      </c>
      <c r="J1701">
        <v>2734720</v>
      </c>
      <c r="L1701" t="s">
        <v>347</v>
      </c>
    </row>
    <row r="1702" spans="1:12" x14ac:dyDescent="0.35">
      <c r="A1702" t="s">
        <v>1831</v>
      </c>
      <c r="B1702" s="1">
        <v>45717</v>
      </c>
      <c r="C1702" t="s">
        <v>7509</v>
      </c>
      <c r="F1702" t="s">
        <v>7853</v>
      </c>
      <c r="H1702" t="s">
        <v>1832</v>
      </c>
      <c r="J1702">
        <v>1174568</v>
      </c>
      <c r="L1702" t="s">
        <v>6803</v>
      </c>
    </row>
    <row r="1703" spans="1:12" x14ac:dyDescent="0.35">
      <c r="A1703" t="s">
        <v>1831</v>
      </c>
      <c r="B1703" s="1">
        <v>45717</v>
      </c>
      <c r="C1703" t="s">
        <v>7509</v>
      </c>
      <c r="F1703" t="s">
        <v>7854</v>
      </c>
      <c r="H1703" t="s">
        <v>1832</v>
      </c>
      <c r="K1703">
        <v>1174568</v>
      </c>
      <c r="L1703" t="s">
        <v>6803</v>
      </c>
    </row>
    <row r="1704" spans="1:12" x14ac:dyDescent="0.35">
      <c r="A1704" t="s">
        <v>1831</v>
      </c>
      <c r="B1704" s="1">
        <v>45720</v>
      </c>
      <c r="C1704" t="s">
        <v>7716</v>
      </c>
      <c r="F1704" t="s">
        <v>6804</v>
      </c>
      <c r="G1704" t="s">
        <v>1387</v>
      </c>
      <c r="H1704" t="s">
        <v>1833</v>
      </c>
      <c r="J1704">
        <v>3350000</v>
      </c>
      <c r="L1704" t="s">
        <v>6803</v>
      </c>
    </row>
    <row r="1705" spans="1:12" x14ac:dyDescent="0.35">
      <c r="A1705" t="s">
        <v>1831</v>
      </c>
      <c r="B1705" s="1">
        <v>45720</v>
      </c>
      <c r="C1705" t="s">
        <v>7716</v>
      </c>
      <c r="F1705" t="s">
        <v>7854</v>
      </c>
      <c r="H1705" t="s">
        <v>1833</v>
      </c>
      <c r="K1705">
        <v>3350000</v>
      </c>
      <c r="L1705" t="s">
        <v>6803</v>
      </c>
    </row>
    <row r="1706" spans="1:12" x14ac:dyDescent="0.35">
      <c r="A1706" t="s">
        <v>1831</v>
      </c>
      <c r="B1706" s="1">
        <v>45720</v>
      </c>
      <c r="C1706" t="s">
        <v>7718</v>
      </c>
      <c r="F1706" t="s">
        <v>6804</v>
      </c>
      <c r="G1706" t="s">
        <v>1834</v>
      </c>
      <c r="H1706" t="s">
        <v>1835</v>
      </c>
      <c r="J1706">
        <v>1951639</v>
      </c>
      <c r="L1706" t="s">
        <v>6803</v>
      </c>
    </row>
    <row r="1707" spans="1:12" x14ac:dyDescent="0.35">
      <c r="A1707" t="s">
        <v>1831</v>
      </c>
      <c r="B1707" s="1">
        <v>45720</v>
      </c>
      <c r="C1707" t="s">
        <v>7718</v>
      </c>
      <c r="F1707" t="s">
        <v>7854</v>
      </c>
      <c r="H1707" t="s">
        <v>1835</v>
      </c>
      <c r="K1707">
        <v>1951639</v>
      </c>
      <c r="L1707" t="s">
        <v>6803</v>
      </c>
    </row>
    <row r="1708" spans="1:12" x14ac:dyDescent="0.35">
      <c r="A1708" t="s">
        <v>1831</v>
      </c>
      <c r="B1708" s="1">
        <v>45720</v>
      </c>
      <c r="C1708" t="s">
        <v>7720</v>
      </c>
      <c r="F1708" t="s">
        <v>6804</v>
      </c>
      <c r="G1708" t="s">
        <v>6989</v>
      </c>
      <c r="H1708" t="s">
        <v>1836</v>
      </c>
      <c r="J1708">
        <v>853858</v>
      </c>
      <c r="L1708" t="s">
        <v>6803</v>
      </c>
    </row>
    <row r="1709" spans="1:12" x14ac:dyDescent="0.35">
      <c r="A1709" t="s">
        <v>1831</v>
      </c>
      <c r="B1709" s="1">
        <v>45720</v>
      </c>
      <c r="C1709" t="s">
        <v>7720</v>
      </c>
      <c r="F1709" t="s">
        <v>7854</v>
      </c>
      <c r="H1709" t="s">
        <v>1836</v>
      </c>
      <c r="K1709">
        <v>853858</v>
      </c>
      <c r="L1709" t="s">
        <v>6803</v>
      </c>
    </row>
    <row r="1710" spans="1:12" x14ac:dyDescent="0.35">
      <c r="A1710" t="s">
        <v>1831</v>
      </c>
      <c r="B1710" s="1">
        <v>45720</v>
      </c>
      <c r="C1710" t="s">
        <v>7722</v>
      </c>
      <c r="F1710" t="s">
        <v>6804</v>
      </c>
      <c r="G1710" t="s">
        <v>7855</v>
      </c>
      <c r="H1710" t="s">
        <v>1837</v>
      </c>
      <c r="J1710">
        <v>182900</v>
      </c>
      <c r="L1710" t="s">
        <v>6803</v>
      </c>
    </row>
    <row r="1711" spans="1:12" x14ac:dyDescent="0.35">
      <c r="A1711" t="s">
        <v>1831</v>
      </c>
      <c r="B1711" s="1">
        <v>45720</v>
      </c>
      <c r="C1711" t="s">
        <v>7722</v>
      </c>
      <c r="F1711" t="s">
        <v>7854</v>
      </c>
      <c r="H1711" t="s">
        <v>1837</v>
      </c>
      <c r="K1711">
        <v>182900</v>
      </c>
      <c r="L1711" t="s">
        <v>6803</v>
      </c>
    </row>
    <row r="1712" spans="1:12" x14ac:dyDescent="0.35">
      <c r="A1712" t="s">
        <v>1831</v>
      </c>
      <c r="B1712" s="1">
        <v>45720</v>
      </c>
      <c r="C1712" t="s">
        <v>7723</v>
      </c>
      <c r="F1712" t="s">
        <v>6804</v>
      </c>
      <c r="G1712" t="s">
        <v>7154</v>
      </c>
      <c r="H1712" t="s">
        <v>1838</v>
      </c>
      <c r="J1712">
        <v>771145</v>
      </c>
      <c r="L1712" t="s">
        <v>6803</v>
      </c>
    </row>
    <row r="1713" spans="1:12" x14ac:dyDescent="0.35">
      <c r="A1713" t="s">
        <v>1831</v>
      </c>
      <c r="B1713" s="1">
        <v>45720</v>
      </c>
      <c r="C1713" t="s">
        <v>7723</v>
      </c>
      <c r="F1713" t="s">
        <v>7854</v>
      </c>
      <c r="H1713" t="s">
        <v>1838</v>
      </c>
      <c r="K1713">
        <v>771145</v>
      </c>
      <c r="L1713" t="s">
        <v>6803</v>
      </c>
    </row>
    <row r="1714" spans="1:12" x14ac:dyDescent="0.35">
      <c r="A1714" t="s">
        <v>1831</v>
      </c>
      <c r="B1714" s="1">
        <v>45720</v>
      </c>
      <c r="C1714" t="s">
        <v>7736</v>
      </c>
      <c r="F1714" t="s">
        <v>6804</v>
      </c>
      <c r="G1714" t="s">
        <v>7732</v>
      </c>
      <c r="H1714" t="s">
        <v>1839</v>
      </c>
      <c r="J1714">
        <v>708000</v>
      </c>
      <c r="L1714" t="s">
        <v>6803</v>
      </c>
    </row>
    <row r="1715" spans="1:12" x14ac:dyDescent="0.35">
      <c r="A1715" t="s">
        <v>1831</v>
      </c>
      <c r="B1715" s="1">
        <v>45720</v>
      </c>
      <c r="C1715" t="s">
        <v>7736</v>
      </c>
      <c r="F1715" t="s">
        <v>7854</v>
      </c>
      <c r="H1715" t="s">
        <v>1839</v>
      </c>
      <c r="K1715">
        <v>708000</v>
      </c>
      <c r="L1715" t="s">
        <v>6803</v>
      </c>
    </row>
    <row r="1716" spans="1:12" x14ac:dyDescent="0.35">
      <c r="A1716" t="s">
        <v>1831</v>
      </c>
      <c r="B1716" s="1">
        <v>45720</v>
      </c>
      <c r="C1716" t="s">
        <v>7742</v>
      </c>
      <c r="F1716" t="s">
        <v>6804</v>
      </c>
      <c r="G1716" t="s">
        <v>7856</v>
      </c>
      <c r="H1716" t="s">
        <v>1840</v>
      </c>
      <c r="J1716">
        <v>1073210</v>
      </c>
      <c r="L1716" t="s">
        <v>6803</v>
      </c>
    </row>
    <row r="1717" spans="1:12" x14ac:dyDescent="0.35">
      <c r="A1717" t="s">
        <v>1831</v>
      </c>
      <c r="B1717" s="1">
        <v>45720</v>
      </c>
      <c r="C1717" t="s">
        <v>7742</v>
      </c>
      <c r="F1717" t="s">
        <v>7854</v>
      </c>
      <c r="H1717" t="s">
        <v>1840</v>
      </c>
      <c r="K1717">
        <v>1073210</v>
      </c>
      <c r="L1717" t="s">
        <v>6803</v>
      </c>
    </row>
    <row r="1718" spans="1:12" x14ac:dyDescent="0.35">
      <c r="A1718" t="s">
        <v>1831</v>
      </c>
      <c r="B1718" s="1">
        <v>45720</v>
      </c>
      <c r="C1718" t="s">
        <v>7738</v>
      </c>
      <c r="F1718" t="s">
        <v>6804</v>
      </c>
      <c r="G1718" t="s">
        <v>7755</v>
      </c>
      <c r="H1718" t="s">
        <v>1841</v>
      </c>
      <c r="J1718">
        <v>70176</v>
      </c>
      <c r="L1718" t="s">
        <v>6803</v>
      </c>
    </row>
    <row r="1719" spans="1:12" x14ac:dyDescent="0.35">
      <c r="A1719" t="s">
        <v>1831</v>
      </c>
      <c r="B1719" s="1">
        <v>45720</v>
      </c>
      <c r="C1719" t="s">
        <v>7738</v>
      </c>
      <c r="F1719" t="s">
        <v>7854</v>
      </c>
      <c r="H1719" t="s">
        <v>1841</v>
      </c>
      <c r="K1719">
        <v>70176</v>
      </c>
      <c r="L1719" t="s">
        <v>6803</v>
      </c>
    </row>
    <row r="1720" spans="1:12" x14ac:dyDescent="0.35">
      <c r="A1720" t="s">
        <v>1831</v>
      </c>
      <c r="B1720" s="1">
        <v>45721</v>
      </c>
      <c r="C1720" t="s">
        <v>7714</v>
      </c>
      <c r="F1720" t="s">
        <v>7854</v>
      </c>
      <c r="H1720" t="s">
        <v>1842</v>
      </c>
      <c r="K1720">
        <v>756000</v>
      </c>
      <c r="L1720" t="s">
        <v>6803</v>
      </c>
    </row>
    <row r="1721" spans="1:12" x14ac:dyDescent="0.35">
      <c r="A1721" t="s">
        <v>1831</v>
      </c>
      <c r="B1721" s="1">
        <v>45721</v>
      </c>
      <c r="C1721" t="s">
        <v>7714</v>
      </c>
      <c r="F1721" t="s">
        <v>7554</v>
      </c>
      <c r="H1721" t="s">
        <v>1842</v>
      </c>
      <c r="J1721">
        <v>756000</v>
      </c>
      <c r="L1721" t="s">
        <v>5903</v>
      </c>
    </row>
    <row r="1722" spans="1:12" x14ac:dyDescent="0.35">
      <c r="A1722" t="s">
        <v>1831</v>
      </c>
      <c r="B1722" s="1">
        <v>45721</v>
      </c>
      <c r="C1722" t="s">
        <v>7748</v>
      </c>
      <c r="F1722" t="s">
        <v>7857</v>
      </c>
      <c r="H1722" t="s">
        <v>1843</v>
      </c>
      <c r="J1722">
        <v>2004250</v>
      </c>
      <c r="L1722" t="s">
        <v>6803</v>
      </c>
    </row>
    <row r="1723" spans="1:12" x14ac:dyDescent="0.35">
      <c r="A1723" t="s">
        <v>1831</v>
      </c>
      <c r="B1723" s="1">
        <v>45721</v>
      </c>
      <c r="C1723" t="s">
        <v>7748</v>
      </c>
      <c r="F1723" t="s">
        <v>7854</v>
      </c>
      <c r="H1723" t="s">
        <v>1843</v>
      </c>
      <c r="K1723">
        <v>2004250</v>
      </c>
      <c r="L1723" t="s">
        <v>6803</v>
      </c>
    </row>
    <row r="1724" spans="1:12" x14ac:dyDescent="0.35">
      <c r="A1724" t="s">
        <v>1831</v>
      </c>
      <c r="B1724" s="1">
        <v>45721</v>
      </c>
      <c r="C1724" t="s">
        <v>7750</v>
      </c>
      <c r="F1724" t="s">
        <v>7854</v>
      </c>
      <c r="H1724" t="s">
        <v>1844</v>
      </c>
      <c r="K1724">
        <v>728000</v>
      </c>
      <c r="L1724" t="s">
        <v>6803</v>
      </c>
    </row>
    <row r="1725" spans="1:12" x14ac:dyDescent="0.35">
      <c r="A1725" t="s">
        <v>1831</v>
      </c>
      <c r="B1725" s="1">
        <v>45721</v>
      </c>
      <c r="C1725" t="s">
        <v>7750</v>
      </c>
      <c r="F1725" t="s">
        <v>7447</v>
      </c>
      <c r="H1725" t="s">
        <v>1844</v>
      </c>
      <c r="J1725">
        <v>728000</v>
      </c>
      <c r="L1725" t="s">
        <v>5917</v>
      </c>
    </row>
    <row r="1726" spans="1:12" x14ac:dyDescent="0.35">
      <c r="A1726" t="s">
        <v>1831</v>
      </c>
      <c r="B1726" s="1">
        <v>45727</v>
      </c>
      <c r="C1726" t="s">
        <v>7729</v>
      </c>
      <c r="F1726" t="s">
        <v>7854</v>
      </c>
      <c r="H1726" t="s">
        <v>1845</v>
      </c>
      <c r="K1726">
        <v>350000</v>
      </c>
      <c r="L1726" t="s">
        <v>6803</v>
      </c>
    </row>
    <row r="1727" spans="1:12" x14ac:dyDescent="0.35">
      <c r="A1727" t="s">
        <v>1831</v>
      </c>
      <c r="B1727" s="1">
        <v>45727</v>
      </c>
      <c r="C1727" t="s">
        <v>7729</v>
      </c>
      <c r="F1727" t="s">
        <v>7858</v>
      </c>
      <c r="H1727" t="s">
        <v>1845</v>
      </c>
      <c r="J1727">
        <v>350000</v>
      </c>
      <c r="L1727" t="s">
        <v>5944</v>
      </c>
    </row>
    <row r="1728" spans="1:12" x14ac:dyDescent="0.35">
      <c r="A1728" t="s">
        <v>1831</v>
      </c>
      <c r="B1728" s="1">
        <v>45728</v>
      </c>
      <c r="C1728" t="s">
        <v>7747</v>
      </c>
      <c r="F1728" t="s">
        <v>6804</v>
      </c>
      <c r="G1728" t="s">
        <v>7330</v>
      </c>
      <c r="H1728" t="s">
        <v>1846</v>
      </c>
      <c r="J1728">
        <v>2082421</v>
      </c>
      <c r="L1728" t="s">
        <v>6803</v>
      </c>
    </row>
    <row r="1729" spans="1:12" x14ac:dyDescent="0.35">
      <c r="A1729" t="s">
        <v>1831</v>
      </c>
      <c r="B1729" s="1">
        <v>45728</v>
      </c>
      <c r="C1729" t="s">
        <v>7747</v>
      </c>
      <c r="F1729" t="s">
        <v>7854</v>
      </c>
      <c r="H1729" t="s">
        <v>1846</v>
      </c>
      <c r="K1729">
        <v>2082421</v>
      </c>
      <c r="L1729" t="s">
        <v>6803</v>
      </c>
    </row>
    <row r="1730" spans="1:12" x14ac:dyDescent="0.35">
      <c r="A1730" t="s">
        <v>1831</v>
      </c>
      <c r="B1730" s="1">
        <v>45728</v>
      </c>
      <c r="C1730" t="s">
        <v>7727</v>
      </c>
      <c r="F1730" t="s">
        <v>6804</v>
      </c>
      <c r="G1730" t="s">
        <v>7330</v>
      </c>
      <c r="H1730" t="s">
        <v>1847</v>
      </c>
      <c r="J1730">
        <v>3618259</v>
      </c>
      <c r="L1730" t="s">
        <v>6803</v>
      </c>
    </row>
    <row r="1731" spans="1:12" x14ac:dyDescent="0.35">
      <c r="A1731" t="s">
        <v>1831</v>
      </c>
      <c r="B1731" s="1">
        <v>45728</v>
      </c>
      <c r="C1731" t="s">
        <v>7727</v>
      </c>
      <c r="F1731" t="s">
        <v>7854</v>
      </c>
      <c r="H1731" t="s">
        <v>1848</v>
      </c>
      <c r="K1731">
        <v>3618259</v>
      </c>
      <c r="L1731" t="s">
        <v>6803</v>
      </c>
    </row>
    <row r="1732" spans="1:12" x14ac:dyDescent="0.35">
      <c r="A1732" t="s">
        <v>1831</v>
      </c>
      <c r="B1732" s="1">
        <v>45729</v>
      </c>
      <c r="C1732" t="s">
        <v>7745</v>
      </c>
      <c r="F1732" t="s">
        <v>6804</v>
      </c>
      <c r="G1732" t="s">
        <v>7746</v>
      </c>
      <c r="H1732" t="s">
        <v>1849</v>
      </c>
      <c r="J1732">
        <v>1171150</v>
      </c>
      <c r="L1732" t="s">
        <v>6803</v>
      </c>
    </row>
    <row r="1733" spans="1:12" x14ac:dyDescent="0.35">
      <c r="A1733" t="s">
        <v>1831</v>
      </c>
      <c r="B1733" s="1">
        <v>45729</v>
      </c>
      <c r="C1733" t="s">
        <v>7745</v>
      </c>
      <c r="F1733" t="s">
        <v>7854</v>
      </c>
      <c r="H1733" t="s">
        <v>1849</v>
      </c>
      <c r="K1733">
        <v>1171150</v>
      </c>
      <c r="L1733" t="s">
        <v>6803</v>
      </c>
    </row>
    <row r="1734" spans="1:12" x14ac:dyDescent="0.35">
      <c r="A1734" t="s">
        <v>1831</v>
      </c>
      <c r="B1734" s="1">
        <v>45730</v>
      </c>
      <c r="C1734" t="s">
        <v>7757</v>
      </c>
      <c r="F1734" t="s">
        <v>7859</v>
      </c>
      <c r="H1734" t="s">
        <v>1850</v>
      </c>
      <c r="K1734">
        <v>19866000</v>
      </c>
      <c r="L1734" t="s">
        <v>6803</v>
      </c>
    </row>
    <row r="1735" spans="1:12" x14ac:dyDescent="0.35">
      <c r="A1735" t="s">
        <v>1831</v>
      </c>
      <c r="B1735" s="1">
        <v>45730</v>
      </c>
      <c r="C1735" t="s">
        <v>7757</v>
      </c>
      <c r="F1735" t="s">
        <v>7854</v>
      </c>
      <c r="H1735" t="s">
        <v>1850</v>
      </c>
      <c r="J1735">
        <v>19866000</v>
      </c>
      <c r="L1735" t="s">
        <v>6803</v>
      </c>
    </row>
    <row r="1736" spans="1:12" x14ac:dyDescent="0.35">
      <c r="A1736" t="s">
        <v>1831</v>
      </c>
      <c r="B1736" s="1">
        <v>45730</v>
      </c>
      <c r="C1736" t="s">
        <v>7612</v>
      </c>
      <c r="F1736" t="s">
        <v>7854</v>
      </c>
      <c r="H1736" t="s">
        <v>1851</v>
      </c>
      <c r="K1736">
        <v>71212</v>
      </c>
      <c r="L1736" t="s">
        <v>6803</v>
      </c>
    </row>
    <row r="1737" spans="1:12" x14ac:dyDescent="0.35">
      <c r="A1737" t="s">
        <v>1831</v>
      </c>
      <c r="B1737" s="1">
        <v>45730</v>
      </c>
      <c r="C1737" t="s">
        <v>7612</v>
      </c>
      <c r="F1737" t="s">
        <v>7828</v>
      </c>
      <c r="H1737" t="s">
        <v>1851</v>
      </c>
      <c r="J1737">
        <v>71212</v>
      </c>
      <c r="L1737" t="s">
        <v>347</v>
      </c>
    </row>
    <row r="1738" spans="1:12" x14ac:dyDescent="0.35">
      <c r="A1738" t="s">
        <v>1831</v>
      </c>
      <c r="B1738" s="1">
        <v>45730</v>
      </c>
      <c r="C1738" t="s">
        <v>7317</v>
      </c>
      <c r="F1738" t="s">
        <v>7854</v>
      </c>
      <c r="H1738" t="s">
        <v>1851</v>
      </c>
      <c r="K1738">
        <v>61996</v>
      </c>
      <c r="L1738" t="s">
        <v>6803</v>
      </c>
    </row>
    <row r="1739" spans="1:12" x14ac:dyDescent="0.35">
      <c r="A1739" t="s">
        <v>1831</v>
      </c>
      <c r="B1739" s="1">
        <v>45730</v>
      </c>
      <c r="C1739" t="s">
        <v>7317</v>
      </c>
      <c r="F1739" t="s">
        <v>7828</v>
      </c>
      <c r="H1739" t="s">
        <v>1851</v>
      </c>
      <c r="J1739">
        <v>61996</v>
      </c>
      <c r="L1739" t="s">
        <v>347</v>
      </c>
    </row>
    <row r="1740" spans="1:12" x14ac:dyDescent="0.35">
      <c r="A1740" t="s">
        <v>1831</v>
      </c>
      <c r="B1740" s="1">
        <v>45731</v>
      </c>
      <c r="C1740" t="s">
        <v>7696</v>
      </c>
      <c r="F1740" t="s">
        <v>6804</v>
      </c>
      <c r="G1740" t="s">
        <v>7464</v>
      </c>
      <c r="H1740" t="s">
        <v>1852</v>
      </c>
      <c r="J1740">
        <v>2071867</v>
      </c>
      <c r="L1740" t="s">
        <v>6803</v>
      </c>
    </row>
    <row r="1741" spans="1:12" x14ac:dyDescent="0.35">
      <c r="A1741" t="s">
        <v>1831</v>
      </c>
      <c r="B1741" s="1">
        <v>45731</v>
      </c>
      <c r="C1741" t="s">
        <v>7696</v>
      </c>
      <c r="F1741" t="s">
        <v>6804</v>
      </c>
      <c r="G1741" t="s">
        <v>7464</v>
      </c>
      <c r="H1741" t="s">
        <v>1853</v>
      </c>
      <c r="J1741">
        <v>2071867</v>
      </c>
      <c r="L1741" t="s">
        <v>6803</v>
      </c>
    </row>
    <row r="1742" spans="1:12" x14ac:dyDescent="0.35">
      <c r="A1742" t="s">
        <v>1831</v>
      </c>
      <c r="B1742" s="1">
        <v>45731</v>
      </c>
      <c r="C1742" t="s">
        <v>7696</v>
      </c>
      <c r="F1742" t="s">
        <v>7854</v>
      </c>
      <c r="H1742" t="s">
        <v>1853</v>
      </c>
      <c r="K1742">
        <v>4143734</v>
      </c>
      <c r="L1742" t="s">
        <v>6803</v>
      </c>
    </row>
    <row r="1743" spans="1:12" x14ac:dyDescent="0.35">
      <c r="A1743" t="s">
        <v>1831</v>
      </c>
      <c r="B1743" s="1">
        <v>45731</v>
      </c>
      <c r="C1743" t="s">
        <v>7761</v>
      </c>
      <c r="F1743" t="s">
        <v>6804</v>
      </c>
      <c r="G1743" t="s">
        <v>7464</v>
      </c>
      <c r="H1743" t="s">
        <v>1854</v>
      </c>
      <c r="J1743">
        <v>4143734</v>
      </c>
      <c r="L1743" t="s">
        <v>6803</v>
      </c>
    </row>
    <row r="1744" spans="1:12" x14ac:dyDescent="0.35">
      <c r="A1744" t="s">
        <v>1831</v>
      </c>
      <c r="B1744" s="1">
        <v>45731</v>
      </c>
      <c r="C1744" t="s">
        <v>7761</v>
      </c>
      <c r="F1744" t="s">
        <v>7854</v>
      </c>
      <c r="H1744" t="s">
        <v>1854</v>
      </c>
      <c r="K1744">
        <v>4143734</v>
      </c>
      <c r="L1744" t="s">
        <v>6803</v>
      </c>
    </row>
    <row r="1745" spans="1:12" x14ac:dyDescent="0.35">
      <c r="A1745" t="s">
        <v>1831</v>
      </c>
      <c r="B1745" s="1">
        <v>45731</v>
      </c>
      <c r="C1745" t="s">
        <v>7513</v>
      </c>
      <c r="F1745" t="s">
        <v>6804</v>
      </c>
      <c r="G1745" t="s">
        <v>7464</v>
      </c>
      <c r="H1745" t="s">
        <v>1855</v>
      </c>
      <c r="J1745">
        <v>747450</v>
      </c>
      <c r="L1745" t="s">
        <v>6803</v>
      </c>
    </row>
    <row r="1746" spans="1:12" x14ac:dyDescent="0.35">
      <c r="A1746" t="s">
        <v>1831</v>
      </c>
      <c r="B1746" s="1">
        <v>45731</v>
      </c>
      <c r="C1746" t="s">
        <v>7513</v>
      </c>
      <c r="F1746" t="s">
        <v>6804</v>
      </c>
      <c r="G1746" t="s">
        <v>7464</v>
      </c>
      <c r="H1746" t="s">
        <v>1856</v>
      </c>
      <c r="J1746">
        <v>1501261</v>
      </c>
      <c r="L1746" t="s">
        <v>6803</v>
      </c>
    </row>
    <row r="1747" spans="1:12" x14ac:dyDescent="0.35">
      <c r="A1747" t="s">
        <v>1831</v>
      </c>
      <c r="B1747" s="1">
        <v>45731</v>
      </c>
      <c r="C1747" t="s">
        <v>7513</v>
      </c>
      <c r="F1747" t="s">
        <v>7854</v>
      </c>
      <c r="H1747" t="s">
        <v>1855</v>
      </c>
      <c r="K1747">
        <v>747450</v>
      </c>
      <c r="L1747" t="s">
        <v>6803</v>
      </c>
    </row>
    <row r="1748" spans="1:12" x14ac:dyDescent="0.35">
      <c r="A1748" t="s">
        <v>1831</v>
      </c>
      <c r="B1748" s="1">
        <v>45731</v>
      </c>
      <c r="C1748" t="s">
        <v>7513</v>
      </c>
      <c r="F1748" t="s">
        <v>7854</v>
      </c>
      <c r="H1748" t="s">
        <v>1856</v>
      </c>
      <c r="K1748">
        <v>1501261</v>
      </c>
      <c r="L1748" t="s">
        <v>6803</v>
      </c>
    </row>
    <row r="1749" spans="1:12" x14ac:dyDescent="0.35">
      <c r="A1749" t="s">
        <v>1831</v>
      </c>
      <c r="B1749" s="1">
        <v>45731</v>
      </c>
      <c r="C1749" t="s">
        <v>7517</v>
      </c>
      <c r="F1749" t="s">
        <v>6804</v>
      </c>
      <c r="G1749" t="s">
        <v>7464</v>
      </c>
      <c r="H1749" t="s">
        <v>1857</v>
      </c>
      <c r="J1749">
        <v>715643</v>
      </c>
      <c r="L1749" t="s">
        <v>6803</v>
      </c>
    </row>
    <row r="1750" spans="1:12" x14ac:dyDescent="0.35">
      <c r="A1750" t="s">
        <v>1831</v>
      </c>
      <c r="B1750" s="1">
        <v>45731</v>
      </c>
      <c r="C1750" t="s">
        <v>7517</v>
      </c>
      <c r="F1750" t="s">
        <v>6804</v>
      </c>
      <c r="G1750" t="s">
        <v>7464</v>
      </c>
      <c r="H1750" t="s">
        <v>1858</v>
      </c>
      <c r="J1750">
        <v>874675</v>
      </c>
      <c r="L1750" t="s">
        <v>6803</v>
      </c>
    </row>
    <row r="1751" spans="1:12" x14ac:dyDescent="0.35">
      <c r="A1751" t="s">
        <v>1831</v>
      </c>
      <c r="B1751" s="1">
        <v>45731</v>
      </c>
      <c r="C1751" t="s">
        <v>7517</v>
      </c>
      <c r="F1751" t="s">
        <v>7854</v>
      </c>
      <c r="H1751" t="s">
        <v>1857</v>
      </c>
      <c r="K1751">
        <v>715643</v>
      </c>
      <c r="L1751" t="s">
        <v>6803</v>
      </c>
    </row>
    <row r="1752" spans="1:12" x14ac:dyDescent="0.35">
      <c r="A1752" t="s">
        <v>1831</v>
      </c>
      <c r="B1752" s="1">
        <v>45731</v>
      </c>
      <c r="C1752" t="s">
        <v>7517</v>
      </c>
      <c r="F1752" t="s">
        <v>7854</v>
      </c>
      <c r="H1752" t="s">
        <v>1858</v>
      </c>
      <c r="K1752">
        <v>874675</v>
      </c>
      <c r="L1752" t="s">
        <v>6803</v>
      </c>
    </row>
    <row r="1753" spans="1:12" x14ac:dyDescent="0.35">
      <c r="A1753" t="s">
        <v>1831</v>
      </c>
      <c r="B1753" s="1">
        <v>45731</v>
      </c>
      <c r="C1753" t="s">
        <v>7518</v>
      </c>
      <c r="F1753" t="s">
        <v>6804</v>
      </c>
      <c r="G1753" t="s">
        <v>7464</v>
      </c>
      <c r="H1753" t="s">
        <v>1859</v>
      </c>
      <c r="J1753">
        <v>1145030</v>
      </c>
      <c r="L1753" t="s">
        <v>6803</v>
      </c>
    </row>
    <row r="1754" spans="1:12" x14ac:dyDescent="0.35">
      <c r="A1754" t="s">
        <v>1831</v>
      </c>
      <c r="B1754" s="1">
        <v>45731</v>
      </c>
      <c r="C1754" t="s">
        <v>7518</v>
      </c>
      <c r="F1754" t="s">
        <v>6804</v>
      </c>
      <c r="G1754" t="s">
        <v>7464</v>
      </c>
      <c r="H1754" t="s">
        <v>1860</v>
      </c>
      <c r="J1754">
        <v>3113844</v>
      </c>
      <c r="L1754" t="s">
        <v>6803</v>
      </c>
    </row>
    <row r="1755" spans="1:12" x14ac:dyDescent="0.35">
      <c r="A1755" t="s">
        <v>1831</v>
      </c>
      <c r="B1755" s="1">
        <v>45731</v>
      </c>
      <c r="C1755" t="s">
        <v>7518</v>
      </c>
      <c r="F1755" t="s">
        <v>6804</v>
      </c>
      <c r="G1755" t="s">
        <v>7464</v>
      </c>
      <c r="H1755" t="s">
        <v>1861</v>
      </c>
      <c r="J1755">
        <v>2946650</v>
      </c>
      <c r="L1755" t="s">
        <v>6803</v>
      </c>
    </row>
    <row r="1756" spans="1:12" x14ac:dyDescent="0.35">
      <c r="A1756" t="s">
        <v>1831</v>
      </c>
      <c r="B1756" s="1">
        <v>45731</v>
      </c>
      <c r="C1756" t="s">
        <v>7518</v>
      </c>
      <c r="F1756" t="s">
        <v>7854</v>
      </c>
      <c r="H1756" t="s">
        <v>1859</v>
      </c>
      <c r="K1756">
        <v>1145030</v>
      </c>
      <c r="L1756" t="s">
        <v>6803</v>
      </c>
    </row>
    <row r="1757" spans="1:12" x14ac:dyDescent="0.35">
      <c r="A1757" t="s">
        <v>1831</v>
      </c>
      <c r="B1757" s="1">
        <v>45731</v>
      </c>
      <c r="C1757" t="s">
        <v>7518</v>
      </c>
      <c r="F1757" t="s">
        <v>7854</v>
      </c>
      <c r="H1757" t="s">
        <v>1860</v>
      </c>
      <c r="K1757">
        <v>3113844</v>
      </c>
      <c r="L1757" t="s">
        <v>6803</v>
      </c>
    </row>
    <row r="1758" spans="1:12" x14ac:dyDescent="0.35">
      <c r="A1758" t="s">
        <v>1831</v>
      </c>
      <c r="B1758" s="1">
        <v>45731</v>
      </c>
      <c r="C1758" t="s">
        <v>7518</v>
      </c>
      <c r="F1758" t="s">
        <v>7854</v>
      </c>
      <c r="H1758" t="s">
        <v>1861</v>
      </c>
      <c r="K1758">
        <v>2946650</v>
      </c>
      <c r="L1758" t="s">
        <v>6803</v>
      </c>
    </row>
    <row r="1759" spans="1:12" x14ac:dyDescent="0.35">
      <c r="A1759" t="s">
        <v>1831</v>
      </c>
      <c r="B1759" s="1">
        <v>45731</v>
      </c>
      <c r="C1759" t="s">
        <v>7519</v>
      </c>
      <c r="F1759" t="s">
        <v>6804</v>
      </c>
      <c r="G1759" t="s">
        <v>7464</v>
      </c>
      <c r="H1759" t="s">
        <v>1854</v>
      </c>
      <c r="J1759">
        <v>4143734</v>
      </c>
      <c r="L1759" t="s">
        <v>6803</v>
      </c>
    </row>
    <row r="1760" spans="1:12" x14ac:dyDescent="0.35">
      <c r="A1760" t="s">
        <v>1831</v>
      </c>
      <c r="B1760" s="1">
        <v>45731</v>
      </c>
      <c r="C1760" t="s">
        <v>7519</v>
      </c>
      <c r="F1760" t="s">
        <v>7854</v>
      </c>
      <c r="H1760" t="s">
        <v>1854</v>
      </c>
      <c r="K1760">
        <v>4143734</v>
      </c>
      <c r="L1760" t="s">
        <v>6803</v>
      </c>
    </row>
    <row r="1761" spans="1:12" x14ac:dyDescent="0.35">
      <c r="A1761" t="s">
        <v>1831</v>
      </c>
      <c r="B1761" s="1">
        <v>45731</v>
      </c>
      <c r="C1761" t="s">
        <v>7582</v>
      </c>
      <c r="F1761" t="s">
        <v>6804</v>
      </c>
      <c r="G1761" t="s">
        <v>7464</v>
      </c>
      <c r="H1761" t="s">
        <v>1862</v>
      </c>
      <c r="J1761">
        <v>1081417</v>
      </c>
      <c r="L1761" t="s">
        <v>6803</v>
      </c>
    </row>
    <row r="1762" spans="1:12" x14ac:dyDescent="0.35">
      <c r="A1762" t="s">
        <v>1831</v>
      </c>
      <c r="B1762" s="1">
        <v>45731</v>
      </c>
      <c r="C1762" t="s">
        <v>7582</v>
      </c>
      <c r="F1762" t="s">
        <v>6804</v>
      </c>
      <c r="G1762" t="s">
        <v>7464</v>
      </c>
      <c r="H1762" t="s">
        <v>1863</v>
      </c>
      <c r="J1762">
        <v>1335867</v>
      </c>
      <c r="L1762" t="s">
        <v>6803</v>
      </c>
    </row>
    <row r="1763" spans="1:12" x14ac:dyDescent="0.35">
      <c r="A1763" t="s">
        <v>1831</v>
      </c>
      <c r="B1763" s="1">
        <v>45731</v>
      </c>
      <c r="C1763" t="s">
        <v>7582</v>
      </c>
      <c r="F1763" t="s">
        <v>6804</v>
      </c>
      <c r="G1763" t="s">
        <v>7464</v>
      </c>
      <c r="H1763" t="s">
        <v>1864</v>
      </c>
      <c r="J1763">
        <v>1463093</v>
      </c>
      <c r="L1763" t="s">
        <v>6803</v>
      </c>
    </row>
    <row r="1764" spans="1:12" x14ac:dyDescent="0.35">
      <c r="A1764" t="s">
        <v>1831</v>
      </c>
      <c r="B1764" s="1">
        <v>45731</v>
      </c>
      <c r="C1764" t="s">
        <v>7582</v>
      </c>
      <c r="F1764" t="s">
        <v>7854</v>
      </c>
      <c r="H1764" t="s">
        <v>1862</v>
      </c>
      <c r="K1764">
        <v>1081417</v>
      </c>
      <c r="L1764" t="s">
        <v>6803</v>
      </c>
    </row>
    <row r="1765" spans="1:12" x14ac:dyDescent="0.35">
      <c r="A1765" t="s">
        <v>1831</v>
      </c>
      <c r="B1765" s="1">
        <v>45731</v>
      </c>
      <c r="C1765" t="s">
        <v>7582</v>
      </c>
      <c r="F1765" t="s">
        <v>7854</v>
      </c>
      <c r="H1765" t="s">
        <v>1863</v>
      </c>
      <c r="K1765">
        <v>1335867</v>
      </c>
      <c r="L1765" t="s">
        <v>6803</v>
      </c>
    </row>
    <row r="1766" spans="1:12" x14ac:dyDescent="0.35">
      <c r="A1766" t="s">
        <v>1831</v>
      </c>
      <c r="B1766" s="1">
        <v>45731</v>
      </c>
      <c r="C1766" t="s">
        <v>7582</v>
      </c>
      <c r="F1766" t="s">
        <v>7854</v>
      </c>
      <c r="H1766" t="s">
        <v>1864</v>
      </c>
      <c r="K1766">
        <v>1463093</v>
      </c>
      <c r="L1766" t="s">
        <v>6803</v>
      </c>
    </row>
    <row r="1767" spans="1:12" x14ac:dyDescent="0.35">
      <c r="A1767" t="s">
        <v>1831</v>
      </c>
      <c r="B1767" s="1">
        <v>45731</v>
      </c>
      <c r="C1767" t="s">
        <v>7667</v>
      </c>
      <c r="F1767" t="s">
        <v>6804</v>
      </c>
      <c r="G1767" t="s">
        <v>7464</v>
      </c>
      <c r="H1767" t="s">
        <v>1865</v>
      </c>
      <c r="J1767">
        <v>3928866</v>
      </c>
      <c r="L1767" t="s">
        <v>6803</v>
      </c>
    </row>
    <row r="1768" spans="1:12" x14ac:dyDescent="0.35">
      <c r="A1768" t="s">
        <v>1831</v>
      </c>
      <c r="B1768" s="1">
        <v>45731</v>
      </c>
      <c r="C1768" t="s">
        <v>7667</v>
      </c>
      <c r="F1768" t="s">
        <v>7854</v>
      </c>
      <c r="H1768" t="s">
        <v>1865</v>
      </c>
      <c r="K1768">
        <v>3928866</v>
      </c>
      <c r="L1768" t="s">
        <v>6803</v>
      </c>
    </row>
    <row r="1769" spans="1:12" x14ac:dyDescent="0.35">
      <c r="A1769" t="s">
        <v>1831</v>
      </c>
      <c r="B1769" s="1">
        <v>45733</v>
      </c>
      <c r="C1769" t="s">
        <v>7754</v>
      </c>
      <c r="F1769" t="s">
        <v>7831</v>
      </c>
      <c r="G1769" t="s">
        <v>7521</v>
      </c>
      <c r="H1769" t="s">
        <v>34</v>
      </c>
      <c r="K1769">
        <v>10978720</v>
      </c>
      <c r="L1769" t="s">
        <v>6803</v>
      </c>
    </row>
    <row r="1770" spans="1:12" x14ac:dyDescent="0.35">
      <c r="A1770" t="s">
        <v>1831</v>
      </c>
      <c r="B1770" s="1">
        <v>45733</v>
      </c>
      <c r="C1770" t="s">
        <v>7754</v>
      </c>
      <c r="F1770" t="s">
        <v>7854</v>
      </c>
      <c r="H1770" t="s">
        <v>34</v>
      </c>
      <c r="J1770">
        <v>10978720</v>
      </c>
      <c r="L1770" t="s">
        <v>6803</v>
      </c>
    </row>
    <row r="1771" spans="1:12" x14ac:dyDescent="0.35">
      <c r="A1771" t="s">
        <v>1831</v>
      </c>
      <c r="B1771" s="1">
        <v>45733</v>
      </c>
      <c r="C1771" t="s">
        <v>7758</v>
      </c>
      <c r="F1771" t="s">
        <v>6804</v>
      </c>
      <c r="G1771" t="s">
        <v>7605</v>
      </c>
      <c r="H1771" t="s">
        <v>1866</v>
      </c>
      <c r="J1771">
        <v>471467</v>
      </c>
      <c r="L1771" t="s">
        <v>6803</v>
      </c>
    </row>
    <row r="1772" spans="1:12" x14ac:dyDescent="0.35">
      <c r="A1772" t="s">
        <v>1831</v>
      </c>
      <c r="B1772" s="1">
        <v>45733</v>
      </c>
      <c r="C1772" t="s">
        <v>7758</v>
      </c>
      <c r="F1772" t="s">
        <v>7854</v>
      </c>
      <c r="H1772" t="s">
        <v>1866</v>
      </c>
      <c r="K1772">
        <v>471467</v>
      </c>
      <c r="L1772" t="s">
        <v>6803</v>
      </c>
    </row>
    <row r="1773" spans="1:12" x14ac:dyDescent="0.35">
      <c r="A1773" t="s">
        <v>1831</v>
      </c>
      <c r="B1773" s="1">
        <v>45733</v>
      </c>
      <c r="C1773" t="s">
        <v>7762</v>
      </c>
      <c r="F1773" t="s">
        <v>6804</v>
      </c>
      <c r="G1773" t="s">
        <v>7605</v>
      </c>
      <c r="H1773" t="s">
        <v>1867</v>
      </c>
      <c r="J1773">
        <v>131994</v>
      </c>
      <c r="L1773" t="s">
        <v>6803</v>
      </c>
    </row>
    <row r="1774" spans="1:12" x14ac:dyDescent="0.35">
      <c r="A1774" t="s">
        <v>1831</v>
      </c>
      <c r="B1774" s="1">
        <v>45733</v>
      </c>
      <c r="C1774" t="s">
        <v>7762</v>
      </c>
      <c r="F1774" t="s">
        <v>7854</v>
      </c>
      <c r="H1774" t="s">
        <v>1867</v>
      </c>
      <c r="K1774">
        <v>131994</v>
      </c>
      <c r="L1774" t="s">
        <v>6803</v>
      </c>
    </row>
    <row r="1775" spans="1:12" x14ac:dyDescent="0.35">
      <c r="A1775" t="s">
        <v>1831</v>
      </c>
      <c r="B1775" s="1">
        <v>45733</v>
      </c>
      <c r="C1775" t="s">
        <v>7764</v>
      </c>
      <c r="F1775" t="s">
        <v>6804</v>
      </c>
      <c r="G1775" t="s">
        <v>7605</v>
      </c>
      <c r="H1775" t="s">
        <v>1868</v>
      </c>
      <c r="J1775">
        <v>4784</v>
      </c>
      <c r="L1775" t="s">
        <v>6803</v>
      </c>
    </row>
    <row r="1776" spans="1:12" x14ac:dyDescent="0.35">
      <c r="A1776" t="s">
        <v>1831</v>
      </c>
      <c r="B1776" s="1">
        <v>45733</v>
      </c>
      <c r="C1776" t="s">
        <v>7764</v>
      </c>
      <c r="F1776" t="s">
        <v>7854</v>
      </c>
      <c r="H1776" t="s">
        <v>1868</v>
      </c>
      <c r="K1776">
        <v>4784</v>
      </c>
      <c r="L1776" t="s">
        <v>6803</v>
      </c>
    </row>
    <row r="1777" spans="1:12" x14ac:dyDescent="0.35">
      <c r="A1777" t="s">
        <v>1831</v>
      </c>
      <c r="B1777" s="1">
        <v>45736</v>
      </c>
      <c r="C1777" t="s">
        <v>7583</v>
      </c>
      <c r="F1777" t="s">
        <v>7854</v>
      </c>
      <c r="H1777" t="s">
        <v>1869</v>
      </c>
      <c r="K1777">
        <v>4004</v>
      </c>
      <c r="L1777" t="s">
        <v>6803</v>
      </c>
    </row>
    <row r="1778" spans="1:12" x14ac:dyDescent="0.35">
      <c r="A1778" t="s">
        <v>1831</v>
      </c>
      <c r="B1778" s="1">
        <v>45736</v>
      </c>
      <c r="C1778" t="s">
        <v>7583</v>
      </c>
      <c r="F1778" t="s">
        <v>7828</v>
      </c>
      <c r="H1778" t="s">
        <v>1869</v>
      </c>
      <c r="J1778">
        <v>4004</v>
      </c>
      <c r="L1778" t="s">
        <v>347</v>
      </c>
    </row>
    <row r="1779" spans="1:12" x14ac:dyDescent="0.35">
      <c r="A1779" t="s">
        <v>1831</v>
      </c>
      <c r="B1779" s="1">
        <v>45742</v>
      </c>
      <c r="C1779" t="s">
        <v>7668</v>
      </c>
      <c r="F1779" t="s">
        <v>7831</v>
      </c>
      <c r="G1779" t="s">
        <v>7860</v>
      </c>
      <c r="H1779" t="s">
        <v>1870</v>
      </c>
      <c r="K1779">
        <v>2714000</v>
      </c>
      <c r="L1779" t="s">
        <v>6803</v>
      </c>
    </row>
    <row r="1780" spans="1:12" x14ac:dyDescent="0.35">
      <c r="A1780" t="s">
        <v>1831</v>
      </c>
      <c r="B1780" s="1">
        <v>45742</v>
      </c>
      <c r="C1780" t="s">
        <v>7668</v>
      </c>
      <c r="F1780" t="s">
        <v>7854</v>
      </c>
      <c r="H1780" t="s">
        <v>1870</v>
      </c>
      <c r="J1780">
        <v>2714000</v>
      </c>
      <c r="L1780" t="s">
        <v>6803</v>
      </c>
    </row>
    <row r="1781" spans="1:12" x14ac:dyDescent="0.35">
      <c r="A1781" t="s">
        <v>1831</v>
      </c>
      <c r="B1781" s="1">
        <v>45744</v>
      </c>
      <c r="C1781" t="s">
        <v>7669</v>
      </c>
      <c r="F1781" t="s">
        <v>7854</v>
      </c>
      <c r="H1781" t="s">
        <v>58</v>
      </c>
      <c r="K1781">
        <v>11000</v>
      </c>
      <c r="L1781" t="s">
        <v>6803</v>
      </c>
    </row>
    <row r="1782" spans="1:12" x14ac:dyDescent="0.35">
      <c r="A1782" t="s">
        <v>1831</v>
      </c>
      <c r="B1782" s="1">
        <v>45744</v>
      </c>
      <c r="C1782" t="s">
        <v>7669</v>
      </c>
      <c r="F1782" t="s">
        <v>7828</v>
      </c>
      <c r="H1782" t="s">
        <v>58</v>
      </c>
      <c r="J1782">
        <v>11000</v>
      </c>
      <c r="L1782" t="s">
        <v>347</v>
      </c>
    </row>
    <row r="1783" spans="1:12" x14ac:dyDescent="0.35">
      <c r="A1783" t="s">
        <v>1831</v>
      </c>
      <c r="B1783" s="1">
        <v>45744</v>
      </c>
      <c r="C1783" t="s">
        <v>7686</v>
      </c>
      <c r="F1783" t="s">
        <v>7854</v>
      </c>
      <c r="H1783" t="s">
        <v>1871</v>
      </c>
      <c r="K1783">
        <v>19800</v>
      </c>
      <c r="L1783" t="s">
        <v>6803</v>
      </c>
    </row>
    <row r="1784" spans="1:12" x14ac:dyDescent="0.35">
      <c r="A1784" t="s">
        <v>1831</v>
      </c>
      <c r="B1784" s="1">
        <v>45744</v>
      </c>
      <c r="C1784" t="s">
        <v>7686</v>
      </c>
      <c r="F1784" t="s">
        <v>7828</v>
      </c>
      <c r="H1784" t="s">
        <v>1871</v>
      </c>
      <c r="J1784">
        <v>19800</v>
      </c>
      <c r="L1784" t="s">
        <v>347</v>
      </c>
    </row>
    <row r="1785" spans="1:12" x14ac:dyDescent="0.35">
      <c r="A1785" t="s">
        <v>1831</v>
      </c>
      <c r="B1785" s="1">
        <v>45744</v>
      </c>
      <c r="C1785" t="s">
        <v>7698</v>
      </c>
      <c r="F1785" t="s">
        <v>7854</v>
      </c>
      <c r="H1785" t="s">
        <v>58</v>
      </c>
      <c r="K1785">
        <v>27748</v>
      </c>
      <c r="L1785" t="s">
        <v>6803</v>
      </c>
    </row>
    <row r="1786" spans="1:12" x14ac:dyDescent="0.35">
      <c r="A1786" t="s">
        <v>1831</v>
      </c>
      <c r="B1786" s="1">
        <v>45744</v>
      </c>
      <c r="C1786" t="s">
        <v>7698</v>
      </c>
      <c r="F1786" t="s">
        <v>7828</v>
      </c>
      <c r="H1786" t="s">
        <v>58</v>
      </c>
      <c r="J1786">
        <v>27748</v>
      </c>
      <c r="L1786" t="s">
        <v>347</v>
      </c>
    </row>
    <row r="1787" spans="1:12" x14ac:dyDescent="0.35">
      <c r="A1787" t="s">
        <v>1831</v>
      </c>
      <c r="B1787" s="1">
        <v>45744</v>
      </c>
      <c r="C1787" t="s">
        <v>7702</v>
      </c>
      <c r="F1787" t="s">
        <v>7831</v>
      </c>
      <c r="G1787" t="s">
        <v>7861</v>
      </c>
      <c r="H1787" t="s">
        <v>1872</v>
      </c>
      <c r="K1787">
        <v>103840</v>
      </c>
      <c r="L1787" t="s">
        <v>6803</v>
      </c>
    </row>
    <row r="1788" spans="1:12" x14ac:dyDescent="0.35">
      <c r="A1788" t="s">
        <v>1831</v>
      </c>
      <c r="B1788" s="1">
        <v>45744</v>
      </c>
      <c r="C1788" t="s">
        <v>7702</v>
      </c>
      <c r="F1788" t="s">
        <v>7854</v>
      </c>
      <c r="H1788" t="s">
        <v>1872</v>
      </c>
      <c r="J1788">
        <v>103840</v>
      </c>
      <c r="L1788" t="s">
        <v>6803</v>
      </c>
    </row>
    <row r="1789" spans="1:12" x14ac:dyDescent="0.35">
      <c r="A1789" t="s">
        <v>1873</v>
      </c>
      <c r="B1789" s="1">
        <v>45717</v>
      </c>
      <c r="C1789" t="s">
        <v>7507</v>
      </c>
      <c r="F1789" t="s">
        <v>7862</v>
      </c>
      <c r="G1789" t="s">
        <v>6843</v>
      </c>
      <c r="H1789" t="s">
        <v>1874</v>
      </c>
      <c r="J1789">
        <v>40582866</v>
      </c>
      <c r="L1789" t="s">
        <v>6803</v>
      </c>
    </row>
    <row r="1790" spans="1:12" x14ac:dyDescent="0.35">
      <c r="A1790" t="s">
        <v>1873</v>
      </c>
      <c r="B1790" s="1">
        <v>45717</v>
      </c>
      <c r="C1790" t="s">
        <v>7507</v>
      </c>
      <c r="F1790" t="s">
        <v>7863</v>
      </c>
      <c r="H1790" t="s">
        <v>1874</v>
      </c>
      <c r="K1790">
        <v>40582866</v>
      </c>
      <c r="L1790" t="s">
        <v>6803</v>
      </c>
    </row>
    <row r="1791" spans="1:12" x14ac:dyDescent="0.35">
      <c r="A1791" t="s">
        <v>1873</v>
      </c>
      <c r="B1791" s="1">
        <v>45717</v>
      </c>
      <c r="C1791" t="s">
        <v>7661</v>
      </c>
      <c r="F1791" t="s">
        <v>7862</v>
      </c>
      <c r="G1791" t="s">
        <v>6843</v>
      </c>
      <c r="H1791" t="s">
        <v>1875</v>
      </c>
      <c r="J1791">
        <v>40582866</v>
      </c>
      <c r="L1791" t="s">
        <v>6803</v>
      </c>
    </row>
    <row r="1792" spans="1:12" x14ac:dyDescent="0.35">
      <c r="A1792" t="s">
        <v>1873</v>
      </c>
      <c r="B1792" s="1">
        <v>45717</v>
      </c>
      <c r="C1792" t="s">
        <v>7661</v>
      </c>
      <c r="F1792" t="s">
        <v>7863</v>
      </c>
      <c r="H1792" t="s">
        <v>1875</v>
      </c>
      <c r="K1792">
        <v>40582866</v>
      </c>
      <c r="L1792" t="s">
        <v>6803</v>
      </c>
    </row>
    <row r="1793" spans="1:12" x14ac:dyDescent="0.35">
      <c r="A1793" t="s">
        <v>1873</v>
      </c>
      <c r="B1793" s="1">
        <v>45717</v>
      </c>
      <c r="C1793" t="s">
        <v>7665</v>
      </c>
      <c r="F1793" t="s">
        <v>7862</v>
      </c>
      <c r="G1793" t="s">
        <v>6843</v>
      </c>
      <c r="H1793" t="s">
        <v>1876</v>
      </c>
      <c r="J1793">
        <v>40582869</v>
      </c>
      <c r="L1793" t="s">
        <v>6803</v>
      </c>
    </row>
    <row r="1794" spans="1:12" x14ac:dyDescent="0.35">
      <c r="A1794" t="s">
        <v>1873</v>
      </c>
      <c r="B1794" s="1">
        <v>45717</v>
      </c>
      <c r="C1794" t="s">
        <v>7665</v>
      </c>
      <c r="F1794" t="s">
        <v>7863</v>
      </c>
      <c r="H1794" t="s">
        <v>1876</v>
      </c>
      <c r="K1794">
        <v>40582869</v>
      </c>
      <c r="L1794" t="s">
        <v>6803</v>
      </c>
    </row>
    <row r="1795" spans="1:12" x14ac:dyDescent="0.35">
      <c r="A1795" t="s">
        <v>1873</v>
      </c>
      <c r="B1795" s="1">
        <v>45720</v>
      </c>
      <c r="C1795" t="s">
        <v>7647</v>
      </c>
      <c r="F1795" t="s">
        <v>6804</v>
      </c>
      <c r="G1795" t="s">
        <v>7620</v>
      </c>
      <c r="H1795" t="s">
        <v>1877</v>
      </c>
      <c r="J1795">
        <v>1492995</v>
      </c>
      <c r="L1795" t="s">
        <v>6803</v>
      </c>
    </row>
    <row r="1796" spans="1:12" x14ac:dyDescent="0.35">
      <c r="A1796" t="s">
        <v>1873</v>
      </c>
      <c r="B1796" s="1">
        <v>45720</v>
      </c>
      <c r="C1796" t="s">
        <v>7647</v>
      </c>
      <c r="F1796" t="s">
        <v>7863</v>
      </c>
      <c r="H1796" t="s">
        <v>1877</v>
      </c>
      <c r="K1796">
        <v>1492995</v>
      </c>
      <c r="L1796" t="s">
        <v>6803</v>
      </c>
    </row>
    <row r="1797" spans="1:12" x14ac:dyDescent="0.35">
      <c r="A1797" t="s">
        <v>1873</v>
      </c>
      <c r="B1797" s="1">
        <v>45720</v>
      </c>
      <c r="C1797" t="s">
        <v>7495</v>
      </c>
      <c r="F1797" t="s">
        <v>6804</v>
      </c>
      <c r="G1797" t="s">
        <v>7864</v>
      </c>
      <c r="H1797" t="s">
        <v>1878</v>
      </c>
      <c r="J1797">
        <v>2224189</v>
      </c>
      <c r="L1797" t="s">
        <v>6803</v>
      </c>
    </row>
    <row r="1798" spans="1:12" x14ac:dyDescent="0.35">
      <c r="A1798" t="s">
        <v>1873</v>
      </c>
      <c r="B1798" s="1">
        <v>45720</v>
      </c>
      <c r="C1798" t="s">
        <v>7495</v>
      </c>
      <c r="F1798" t="s">
        <v>7863</v>
      </c>
      <c r="H1798" t="s">
        <v>1878</v>
      </c>
      <c r="K1798">
        <v>2224189</v>
      </c>
      <c r="L1798" t="s">
        <v>6803</v>
      </c>
    </row>
    <row r="1799" spans="1:12" x14ac:dyDescent="0.35">
      <c r="A1799" t="s">
        <v>1873</v>
      </c>
      <c r="B1799" s="1">
        <v>45720</v>
      </c>
      <c r="C1799" t="s">
        <v>7496</v>
      </c>
      <c r="F1799" t="s">
        <v>6804</v>
      </c>
      <c r="G1799" t="s">
        <v>7797</v>
      </c>
      <c r="H1799" t="s">
        <v>1879</v>
      </c>
      <c r="J1799">
        <v>2359000</v>
      </c>
      <c r="L1799" t="s">
        <v>6803</v>
      </c>
    </row>
    <row r="1800" spans="1:12" x14ac:dyDescent="0.35">
      <c r="A1800" t="s">
        <v>1873</v>
      </c>
      <c r="B1800" s="1">
        <v>45720</v>
      </c>
      <c r="C1800" t="s">
        <v>7496</v>
      </c>
      <c r="F1800" t="s">
        <v>7865</v>
      </c>
      <c r="H1800" t="s">
        <v>1879</v>
      </c>
      <c r="K1800">
        <v>47180</v>
      </c>
      <c r="L1800" t="s">
        <v>6803</v>
      </c>
    </row>
    <row r="1801" spans="1:12" x14ac:dyDescent="0.35">
      <c r="A1801" t="s">
        <v>1873</v>
      </c>
      <c r="B1801" s="1">
        <v>45720</v>
      </c>
      <c r="C1801" t="s">
        <v>7496</v>
      </c>
      <c r="F1801" t="s">
        <v>7863</v>
      </c>
      <c r="H1801" t="s">
        <v>1879</v>
      </c>
      <c r="K1801">
        <v>2311820</v>
      </c>
      <c r="L1801" t="s">
        <v>6803</v>
      </c>
    </row>
    <row r="1802" spans="1:12" x14ac:dyDescent="0.35">
      <c r="A1802" t="s">
        <v>1873</v>
      </c>
      <c r="B1802" s="1">
        <v>45720</v>
      </c>
      <c r="C1802" t="s">
        <v>7497</v>
      </c>
      <c r="F1802" t="s">
        <v>6804</v>
      </c>
      <c r="G1802" t="s">
        <v>7347</v>
      </c>
      <c r="H1802" t="s">
        <v>1880</v>
      </c>
      <c r="J1802">
        <v>814200</v>
      </c>
      <c r="L1802" t="s">
        <v>6803</v>
      </c>
    </row>
    <row r="1803" spans="1:12" x14ac:dyDescent="0.35">
      <c r="A1803" t="s">
        <v>1873</v>
      </c>
      <c r="B1803" s="1">
        <v>45720</v>
      </c>
      <c r="C1803" t="s">
        <v>7497</v>
      </c>
      <c r="F1803" t="s">
        <v>7863</v>
      </c>
      <c r="H1803" t="s">
        <v>1880</v>
      </c>
      <c r="K1803">
        <v>814200</v>
      </c>
      <c r="L1803" t="s">
        <v>6803</v>
      </c>
    </row>
    <row r="1804" spans="1:12" x14ac:dyDescent="0.35">
      <c r="A1804" t="s">
        <v>1873</v>
      </c>
      <c r="B1804" s="1">
        <v>45720</v>
      </c>
      <c r="C1804" t="s">
        <v>7498</v>
      </c>
      <c r="F1804" t="s">
        <v>6804</v>
      </c>
      <c r="G1804" t="s">
        <v>7103</v>
      </c>
      <c r="H1804" t="s">
        <v>1881</v>
      </c>
      <c r="J1804">
        <v>880125</v>
      </c>
      <c r="L1804" t="s">
        <v>6803</v>
      </c>
    </row>
    <row r="1805" spans="1:12" x14ac:dyDescent="0.35">
      <c r="A1805" t="s">
        <v>1873</v>
      </c>
      <c r="B1805" s="1">
        <v>45720</v>
      </c>
      <c r="C1805" t="s">
        <v>7498</v>
      </c>
      <c r="F1805" t="s">
        <v>7863</v>
      </c>
      <c r="H1805" t="s">
        <v>1881</v>
      </c>
      <c r="K1805">
        <v>880125</v>
      </c>
      <c r="L1805" t="s">
        <v>6803</v>
      </c>
    </row>
    <row r="1806" spans="1:12" x14ac:dyDescent="0.35">
      <c r="A1806" t="s">
        <v>1873</v>
      </c>
      <c r="B1806" s="1">
        <v>45720</v>
      </c>
      <c r="C1806" t="s">
        <v>7649</v>
      </c>
      <c r="F1806" t="s">
        <v>6804</v>
      </c>
      <c r="G1806" t="s">
        <v>7620</v>
      </c>
      <c r="H1806" t="s">
        <v>1882</v>
      </c>
      <c r="J1806">
        <v>-1492995</v>
      </c>
      <c r="L1806" t="s">
        <v>6803</v>
      </c>
    </row>
    <row r="1807" spans="1:12" x14ac:dyDescent="0.35">
      <c r="A1807" t="s">
        <v>1873</v>
      </c>
      <c r="B1807" s="1">
        <v>45720</v>
      </c>
      <c r="C1807" t="s">
        <v>7649</v>
      </c>
      <c r="F1807" t="s">
        <v>7863</v>
      </c>
      <c r="H1807" t="s">
        <v>1882</v>
      </c>
      <c r="K1807">
        <v>-1492995</v>
      </c>
      <c r="L1807" t="s">
        <v>6803</v>
      </c>
    </row>
    <row r="1808" spans="1:12" x14ac:dyDescent="0.35">
      <c r="A1808" t="s">
        <v>1873</v>
      </c>
      <c r="B1808" s="1">
        <v>45720</v>
      </c>
      <c r="C1808" t="s">
        <v>7659</v>
      </c>
      <c r="F1808" t="s">
        <v>7866</v>
      </c>
      <c r="H1808" t="s">
        <v>1883</v>
      </c>
      <c r="K1808">
        <v>76139890</v>
      </c>
      <c r="L1808" t="s">
        <v>6803</v>
      </c>
    </row>
    <row r="1809" spans="1:12" x14ac:dyDescent="0.35">
      <c r="A1809" t="s">
        <v>1873</v>
      </c>
      <c r="B1809" s="1">
        <v>45720</v>
      </c>
      <c r="C1809" t="s">
        <v>7659</v>
      </c>
      <c r="F1809" t="s">
        <v>7863</v>
      </c>
      <c r="H1809" t="s">
        <v>1883</v>
      </c>
      <c r="J1809">
        <v>76139890</v>
      </c>
      <c r="L1809" t="s">
        <v>6803</v>
      </c>
    </row>
    <row r="1810" spans="1:12" x14ac:dyDescent="0.35">
      <c r="A1810" t="s">
        <v>1873</v>
      </c>
      <c r="B1810" s="1">
        <v>45722</v>
      </c>
      <c r="C1810" t="s">
        <v>7651</v>
      </c>
      <c r="F1810" t="s">
        <v>6804</v>
      </c>
      <c r="G1810" t="s">
        <v>7620</v>
      </c>
      <c r="H1810" t="s">
        <v>1884</v>
      </c>
      <c r="J1810">
        <v>1492995</v>
      </c>
      <c r="L1810" t="s">
        <v>6803</v>
      </c>
    </row>
    <row r="1811" spans="1:12" x14ac:dyDescent="0.35">
      <c r="A1811" t="s">
        <v>1873</v>
      </c>
      <c r="B1811" s="1">
        <v>45722</v>
      </c>
      <c r="C1811" t="s">
        <v>7651</v>
      </c>
      <c r="F1811" t="s">
        <v>7863</v>
      </c>
      <c r="H1811" t="s">
        <v>1884</v>
      </c>
      <c r="K1811">
        <v>1492995</v>
      </c>
      <c r="L1811" t="s">
        <v>6803</v>
      </c>
    </row>
    <row r="1812" spans="1:12" x14ac:dyDescent="0.35">
      <c r="A1812" t="s">
        <v>1873</v>
      </c>
      <c r="B1812" s="1">
        <v>45722</v>
      </c>
      <c r="C1812" t="s">
        <v>7500</v>
      </c>
      <c r="F1812" t="s">
        <v>7866</v>
      </c>
      <c r="H1812" t="s">
        <v>1885</v>
      </c>
      <c r="K1812">
        <v>18254416</v>
      </c>
      <c r="L1812" t="s">
        <v>6803</v>
      </c>
    </row>
    <row r="1813" spans="1:12" x14ac:dyDescent="0.35">
      <c r="A1813" t="s">
        <v>1873</v>
      </c>
      <c r="B1813" s="1">
        <v>45722</v>
      </c>
      <c r="C1813" t="s">
        <v>7500</v>
      </c>
      <c r="F1813" t="s">
        <v>7863</v>
      </c>
      <c r="H1813" t="s">
        <v>1885</v>
      </c>
      <c r="J1813">
        <v>18254416</v>
      </c>
      <c r="L1813" t="s">
        <v>6803</v>
      </c>
    </row>
    <row r="1814" spans="1:12" x14ac:dyDescent="0.35">
      <c r="A1814" t="s">
        <v>1873</v>
      </c>
      <c r="B1814" s="1">
        <v>45726</v>
      </c>
      <c r="C1814" t="s">
        <v>7657</v>
      </c>
      <c r="F1814" t="s">
        <v>7863</v>
      </c>
      <c r="H1814" t="s">
        <v>1886</v>
      </c>
      <c r="K1814">
        <v>10000000</v>
      </c>
      <c r="L1814" t="s">
        <v>6803</v>
      </c>
    </row>
    <row r="1815" spans="1:12" x14ac:dyDescent="0.35">
      <c r="A1815" t="s">
        <v>1873</v>
      </c>
      <c r="B1815" s="1">
        <v>45726</v>
      </c>
      <c r="C1815" t="s">
        <v>7657</v>
      </c>
      <c r="F1815" t="s">
        <v>7829</v>
      </c>
      <c r="H1815" t="s">
        <v>1886</v>
      </c>
      <c r="J1815">
        <v>10000000</v>
      </c>
      <c r="L1815" t="s">
        <v>6803</v>
      </c>
    </row>
    <row r="1816" spans="1:12" x14ac:dyDescent="0.35">
      <c r="A1816" t="s">
        <v>1873</v>
      </c>
      <c r="B1816" s="1">
        <v>45730</v>
      </c>
      <c r="C1816" t="s">
        <v>7653</v>
      </c>
      <c r="F1816" t="s">
        <v>6804</v>
      </c>
      <c r="G1816" t="s">
        <v>1887</v>
      </c>
      <c r="H1816" t="s">
        <v>1888</v>
      </c>
      <c r="J1816">
        <v>4321180</v>
      </c>
      <c r="L1816" t="s">
        <v>6803</v>
      </c>
    </row>
    <row r="1817" spans="1:12" x14ac:dyDescent="0.35">
      <c r="A1817" t="s">
        <v>1873</v>
      </c>
      <c r="B1817" s="1">
        <v>45730</v>
      </c>
      <c r="C1817" t="s">
        <v>7653</v>
      </c>
      <c r="F1817" t="s">
        <v>7863</v>
      </c>
      <c r="H1817" t="s">
        <v>1888</v>
      </c>
      <c r="K1817">
        <v>4321180</v>
      </c>
      <c r="L1817" t="s">
        <v>6803</v>
      </c>
    </row>
    <row r="1818" spans="1:12" x14ac:dyDescent="0.35">
      <c r="A1818" t="s">
        <v>1873</v>
      </c>
      <c r="B1818" s="1">
        <v>45730</v>
      </c>
      <c r="C1818" t="s">
        <v>7655</v>
      </c>
      <c r="F1818" t="s">
        <v>7863</v>
      </c>
      <c r="H1818" t="s">
        <v>1889</v>
      </c>
      <c r="K1818">
        <v>450000</v>
      </c>
      <c r="L1818" t="s">
        <v>6803</v>
      </c>
    </row>
    <row r="1819" spans="1:12" x14ac:dyDescent="0.35">
      <c r="A1819" t="s">
        <v>1873</v>
      </c>
      <c r="B1819" s="1">
        <v>45730</v>
      </c>
      <c r="C1819" t="s">
        <v>7655</v>
      </c>
      <c r="F1819" t="s">
        <v>7858</v>
      </c>
      <c r="H1819" t="s">
        <v>1889</v>
      </c>
      <c r="J1819">
        <v>450000</v>
      </c>
      <c r="L1819" t="s">
        <v>5952</v>
      </c>
    </row>
    <row r="1820" spans="1:12" x14ac:dyDescent="0.35">
      <c r="A1820" t="s">
        <v>1873</v>
      </c>
      <c r="B1820" s="1">
        <v>45730</v>
      </c>
      <c r="C1820" t="s">
        <v>7505</v>
      </c>
      <c r="F1820" t="s">
        <v>7863</v>
      </c>
      <c r="H1820" t="s">
        <v>58</v>
      </c>
      <c r="K1820">
        <v>2200</v>
      </c>
      <c r="L1820" t="s">
        <v>6803</v>
      </c>
    </row>
    <row r="1821" spans="1:12" x14ac:dyDescent="0.35">
      <c r="A1821" t="s">
        <v>1873</v>
      </c>
      <c r="B1821" s="1">
        <v>45730</v>
      </c>
      <c r="C1821" t="s">
        <v>7505</v>
      </c>
      <c r="F1821" t="s">
        <v>7828</v>
      </c>
      <c r="H1821" t="s">
        <v>58</v>
      </c>
      <c r="J1821">
        <v>2200</v>
      </c>
      <c r="L1821" t="s">
        <v>347</v>
      </c>
    </row>
    <row r="1822" spans="1:12" x14ac:dyDescent="0.35">
      <c r="A1822" t="s">
        <v>1873</v>
      </c>
      <c r="B1822" s="1">
        <v>45734</v>
      </c>
      <c r="C1822" t="s">
        <v>7503</v>
      </c>
      <c r="F1822" t="s">
        <v>7867</v>
      </c>
      <c r="G1822" t="s">
        <v>7097</v>
      </c>
      <c r="H1822" t="s">
        <v>1890</v>
      </c>
      <c r="J1822">
        <v>1509928</v>
      </c>
      <c r="L1822" t="s">
        <v>6803</v>
      </c>
    </row>
    <row r="1823" spans="1:12" x14ac:dyDescent="0.35">
      <c r="A1823" t="s">
        <v>1873</v>
      </c>
      <c r="B1823" s="1">
        <v>45734</v>
      </c>
      <c r="C1823" t="s">
        <v>7503</v>
      </c>
      <c r="F1823" t="s">
        <v>7863</v>
      </c>
      <c r="H1823" t="s">
        <v>1890</v>
      </c>
      <c r="K1823">
        <v>1509928</v>
      </c>
      <c r="L1823" t="s">
        <v>6803</v>
      </c>
    </row>
    <row r="1824" spans="1:12" x14ac:dyDescent="0.35">
      <c r="A1824" t="s">
        <v>1873</v>
      </c>
      <c r="B1824" s="1">
        <v>45736</v>
      </c>
      <c r="C1824" t="s">
        <v>7676</v>
      </c>
      <c r="F1824" t="s">
        <v>6804</v>
      </c>
      <c r="G1824" t="s">
        <v>7610</v>
      </c>
      <c r="H1824" t="s">
        <v>1891</v>
      </c>
      <c r="J1824">
        <v>324615</v>
      </c>
      <c r="L1824" t="s">
        <v>6803</v>
      </c>
    </row>
    <row r="1825" spans="1:12" x14ac:dyDescent="0.35">
      <c r="A1825" t="s">
        <v>1873</v>
      </c>
      <c r="B1825" s="1">
        <v>45736</v>
      </c>
      <c r="C1825" t="s">
        <v>7676</v>
      </c>
      <c r="F1825" t="s">
        <v>7863</v>
      </c>
      <c r="H1825" t="s">
        <v>1891</v>
      </c>
      <c r="K1825">
        <v>324615</v>
      </c>
      <c r="L1825" t="s">
        <v>6803</v>
      </c>
    </row>
    <row r="1826" spans="1:12" x14ac:dyDescent="0.35">
      <c r="A1826" t="s">
        <v>1873</v>
      </c>
      <c r="B1826" s="1">
        <v>45737</v>
      </c>
      <c r="C1826" t="s">
        <v>7679</v>
      </c>
      <c r="F1826" t="s">
        <v>6804</v>
      </c>
      <c r="G1826" t="s">
        <v>1887</v>
      </c>
      <c r="H1826" t="s">
        <v>1888</v>
      </c>
      <c r="J1826">
        <v>2073175</v>
      </c>
      <c r="L1826" t="s">
        <v>6803</v>
      </c>
    </row>
    <row r="1827" spans="1:12" x14ac:dyDescent="0.35">
      <c r="A1827" t="s">
        <v>1873</v>
      </c>
      <c r="B1827" s="1">
        <v>45737</v>
      </c>
      <c r="C1827" t="s">
        <v>7679</v>
      </c>
      <c r="F1827" t="s">
        <v>7863</v>
      </c>
      <c r="H1827" t="s">
        <v>1888</v>
      </c>
      <c r="K1827">
        <v>2073175</v>
      </c>
      <c r="L1827" t="s">
        <v>6803</v>
      </c>
    </row>
    <row r="1828" spans="1:12" x14ac:dyDescent="0.35">
      <c r="A1828" t="s">
        <v>1873</v>
      </c>
      <c r="B1828" s="1">
        <v>45737</v>
      </c>
      <c r="C1828" t="s">
        <v>7682</v>
      </c>
      <c r="F1828" t="s">
        <v>7863</v>
      </c>
      <c r="H1828" t="s">
        <v>1851</v>
      </c>
      <c r="K1828">
        <v>2200</v>
      </c>
      <c r="L1828" t="s">
        <v>6803</v>
      </c>
    </row>
    <row r="1829" spans="1:12" x14ac:dyDescent="0.35">
      <c r="A1829" t="s">
        <v>1873</v>
      </c>
      <c r="B1829" s="1">
        <v>45737</v>
      </c>
      <c r="C1829" t="s">
        <v>7682</v>
      </c>
      <c r="F1829" t="s">
        <v>7828</v>
      </c>
      <c r="H1829" t="s">
        <v>1851</v>
      </c>
      <c r="J1829">
        <v>2200</v>
      </c>
      <c r="L1829" t="s">
        <v>347</v>
      </c>
    </row>
    <row r="1830" spans="1:12" x14ac:dyDescent="0.35">
      <c r="A1830" t="s">
        <v>1873</v>
      </c>
      <c r="B1830" s="1">
        <v>45747</v>
      </c>
      <c r="C1830" t="s">
        <v>7578</v>
      </c>
      <c r="F1830" t="s">
        <v>7863</v>
      </c>
      <c r="H1830" t="s">
        <v>58</v>
      </c>
      <c r="K1830">
        <v>20000</v>
      </c>
      <c r="L1830" t="s">
        <v>6803</v>
      </c>
    </row>
    <row r="1831" spans="1:12" x14ac:dyDescent="0.35">
      <c r="A1831" t="s">
        <v>1873</v>
      </c>
      <c r="B1831" s="1">
        <v>45747</v>
      </c>
      <c r="C1831" t="s">
        <v>7578</v>
      </c>
      <c r="F1831" t="s">
        <v>7828</v>
      </c>
      <c r="H1831" t="s">
        <v>58</v>
      </c>
      <c r="J1831">
        <v>20000</v>
      </c>
      <c r="L1831" t="s">
        <v>347</v>
      </c>
    </row>
    <row r="1832" spans="1:12" x14ac:dyDescent="0.35">
      <c r="A1832" t="s">
        <v>1873</v>
      </c>
      <c r="B1832" s="1">
        <v>45747</v>
      </c>
      <c r="C1832" t="s">
        <v>7557</v>
      </c>
      <c r="F1832" t="s">
        <v>7863</v>
      </c>
      <c r="H1832" t="s">
        <v>58</v>
      </c>
      <c r="K1832">
        <v>2000</v>
      </c>
      <c r="L1832" t="s">
        <v>6803</v>
      </c>
    </row>
    <row r="1833" spans="1:12" x14ac:dyDescent="0.35">
      <c r="A1833" t="s">
        <v>1873</v>
      </c>
      <c r="B1833" s="1">
        <v>45747</v>
      </c>
      <c r="C1833" t="s">
        <v>7557</v>
      </c>
      <c r="F1833" t="s">
        <v>7828</v>
      </c>
      <c r="H1833" t="s">
        <v>58</v>
      </c>
      <c r="J1833">
        <v>2000</v>
      </c>
      <c r="L1833" t="s">
        <v>347</v>
      </c>
    </row>
    <row r="1834" spans="1:12" x14ac:dyDescent="0.35">
      <c r="A1834" t="s">
        <v>1873</v>
      </c>
      <c r="B1834" s="1">
        <v>45747</v>
      </c>
      <c r="C1834" t="s">
        <v>7685</v>
      </c>
      <c r="F1834" t="s">
        <v>6819</v>
      </c>
      <c r="H1834" t="s">
        <v>58</v>
      </c>
      <c r="J1834">
        <v>4635</v>
      </c>
      <c r="L1834" t="s">
        <v>6803</v>
      </c>
    </row>
    <row r="1835" spans="1:12" x14ac:dyDescent="0.35">
      <c r="A1835" t="s">
        <v>1873</v>
      </c>
      <c r="B1835" s="1">
        <v>45747</v>
      </c>
      <c r="C1835" t="s">
        <v>7685</v>
      </c>
      <c r="F1835" t="s">
        <v>7863</v>
      </c>
      <c r="H1835" t="s">
        <v>58</v>
      </c>
      <c r="K1835">
        <v>50984</v>
      </c>
      <c r="L1835" t="s">
        <v>6803</v>
      </c>
    </row>
    <row r="1836" spans="1:12" x14ac:dyDescent="0.35">
      <c r="A1836" t="s">
        <v>1873</v>
      </c>
      <c r="B1836" s="1">
        <v>45747</v>
      </c>
      <c r="C1836" t="s">
        <v>7685</v>
      </c>
      <c r="F1836" t="s">
        <v>7828</v>
      </c>
      <c r="H1836" t="s">
        <v>58</v>
      </c>
      <c r="J1836">
        <v>46349</v>
      </c>
      <c r="L1836" t="s">
        <v>347</v>
      </c>
    </row>
    <row r="1837" spans="1:12" x14ac:dyDescent="0.35">
      <c r="A1837" t="s">
        <v>1892</v>
      </c>
      <c r="B1837" s="1">
        <v>45717</v>
      </c>
      <c r="C1837" t="s">
        <v>7495</v>
      </c>
      <c r="F1837" t="s">
        <v>6804</v>
      </c>
      <c r="G1837" t="s">
        <v>7326</v>
      </c>
      <c r="H1837" t="s">
        <v>1893</v>
      </c>
      <c r="J1837">
        <v>4115885</v>
      </c>
      <c r="L1837" t="s">
        <v>6803</v>
      </c>
    </row>
    <row r="1838" spans="1:12" x14ac:dyDescent="0.35">
      <c r="A1838" t="s">
        <v>1892</v>
      </c>
      <c r="B1838" s="1">
        <v>45717</v>
      </c>
      <c r="C1838" t="s">
        <v>7495</v>
      </c>
      <c r="F1838" t="s">
        <v>7868</v>
      </c>
      <c r="H1838" t="s">
        <v>1893</v>
      </c>
      <c r="K1838">
        <v>4115885</v>
      </c>
      <c r="L1838" t="s">
        <v>6803</v>
      </c>
    </row>
    <row r="1839" spans="1:12" x14ac:dyDescent="0.35">
      <c r="A1839" t="s">
        <v>1892</v>
      </c>
      <c r="B1839" s="1">
        <v>45719</v>
      </c>
      <c r="C1839" t="s">
        <v>7496</v>
      </c>
      <c r="F1839" t="s">
        <v>7514</v>
      </c>
      <c r="G1839" t="s">
        <v>7869</v>
      </c>
      <c r="H1839" t="s">
        <v>1894</v>
      </c>
      <c r="J1839">
        <v>54112058</v>
      </c>
      <c r="L1839" t="s">
        <v>6803</v>
      </c>
    </row>
    <row r="1840" spans="1:12" x14ac:dyDescent="0.35">
      <c r="A1840" t="s">
        <v>1892</v>
      </c>
      <c r="B1840" s="1">
        <v>45719</v>
      </c>
      <c r="C1840" t="s">
        <v>7496</v>
      </c>
      <c r="F1840" t="s">
        <v>7868</v>
      </c>
      <c r="H1840" t="s">
        <v>1894</v>
      </c>
      <c r="K1840">
        <v>54112058</v>
      </c>
      <c r="L1840" t="s">
        <v>6803</v>
      </c>
    </row>
    <row r="1841" spans="1:12" x14ac:dyDescent="0.35">
      <c r="A1841" t="s">
        <v>1892</v>
      </c>
      <c r="B1841" s="1">
        <v>45720</v>
      </c>
      <c r="C1841" t="s">
        <v>7645</v>
      </c>
      <c r="F1841" t="s">
        <v>7870</v>
      </c>
      <c r="H1841" t="s">
        <v>1895</v>
      </c>
      <c r="K1841">
        <v>22446000</v>
      </c>
      <c r="L1841" t="s">
        <v>6803</v>
      </c>
    </row>
    <row r="1842" spans="1:12" x14ac:dyDescent="0.35">
      <c r="A1842" t="s">
        <v>1892</v>
      </c>
      <c r="B1842" s="1">
        <v>45720</v>
      </c>
      <c r="C1842" t="s">
        <v>7645</v>
      </c>
      <c r="F1842" t="s">
        <v>7868</v>
      </c>
      <c r="H1842" t="s">
        <v>1895</v>
      </c>
      <c r="J1842">
        <v>22446000</v>
      </c>
      <c r="L1842" t="s">
        <v>6803</v>
      </c>
    </row>
    <row r="1843" spans="1:12" x14ac:dyDescent="0.35">
      <c r="A1843" t="s">
        <v>1892</v>
      </c>
      <c r="B1843" s="1">
        <v>45720</v>
      </c>
      <c r="C1843" t="s">
        <v>7647</v>
      </c>
      <c r="F1843" t="s">
        <v>7870</v>
      </c>
      <c r="H1843" t="s">
        <v>1896</v>
      </c>
      <c r="K1843">
        <v>40520124</v>
      </c>
      <c r="L1843" t="s">
        <v>6803</v>
      </c>
    </row>
    <row r="1844" spans="1:12" x14ac:dyDescent="0.35">
      <c r="A1844" t="s">
        <v>1892</v>
      </c>
      <c r="B1844" s="1">
        <v>45720</v>
      </c>
      <c r="C1844" t="s">
        <v>7647</v>
      </c>
      <c r="F1844" t="s">
        <v>7868</v>
      </c>
      <c r="H1844" t="s">
        <v>1896</v>
      </c>
      <c r="J1844">
        <v>40520124</v>
      </c>
      <c r="L1844" t="s">
        <v>6803</v>
      </c>
    </row>
    <row r="1845" spans="1:12" x14ac:dyDescent="0.35">
      <c r="A1845" t="s">
        <v>1892</v>
      </c>
      <c r="B1845" s="1">
        <v>45721</v>
      </c>
      <c r="C1845" t="s">
        <v>7497</v>
      </c>
      <c r="F1845" t="s">
        <v>7868</v>
      </c>
      <c r="H1845" t="s">
        <v>1897</v>
      </c>
      <c r="J1845">
        <v>25000000</v>
      </c>
      <c r="L1845" t="s">
        <v>6803</v>
      </c>
    </row>
    <row r="1846" spans="1:12" x14ac:dyDescent="0.35">
      <c r="A1846" t="s">
        <v>1892</v>
      </c>
      <c r="B1846" s="1">
        <v>45721</v>
      </c>
      <c r="C1846" t="s">
        <v>7497</v>
      </c>
      <c r="F1846" t="s">
        <v>7829</v>
      </c>
      <c r="H1846" t="s">
        <v>1897</v>
      </c>
      <c r="K1846">
        <v>25000000</v>
      </c>
      <c r="L1846" t="s">
        <v>6803</v>
      </c>
    </row>
    <row r="1847" spans="1:12" x14ac:dyDescent="0.35">
      <c r="A1847" t="s">
        <v>1892</v>
      </c>
      <c r="B1847" s="1">
        <v>45721</v>
      </c>
      <c r="C1847" t="s">
        <v>7692</v>
      </c>
      <c r="F1847" t="s">
        <v>7868</v>
      </c>
      <c r="H1847" t="s">
        <v>1898</v>
      </c>
      <c r="J1847">
        <v>50000000</v>
      </c>
      <c r="L1847" t="s">
        <v>6803</v>
      </c>
    </row>
    <row r="1848" spans="1:12" x14ac:dyDescent="0.35">
      <c r="A1848" t="s">
        <v>1892</v>
      </c>
      <c r="B1848" s="1">
        <v>45721</v>
      </c>
      <c r="C1848" t="s">
        <v>7692</v>
      </c>
      <c r="F1848" t="s">
        <v>7829</v>
      </c>
      <c r="H1848" t="s">
        <v>1898</v>
      </c>
      <c r="K1848">
        <v>50000000</v>
      </c>
      <c r="L1848" t="s">
        <v>6803</v>
      </c>
    </row>
    <row r="1849" spans="1:12" x14ac:dyDescent="0.35">
      <c r="A1849" t="s">
        <v>1892</v>
      </c>
      <c r="B1849" s="1">
        <v>45722</v>
      </c>
      <c r="C1849" t="s">
        <v>7690</v>
      </c>
      <c r="F1849" t="s">
        <v>7870</v>
      </c>
      <c r="H1849" t="s">
        <v>1899</v>
      </c>
      <c r="K1849">
        <v>-40520124</v>
      </c>
      <c r="L1849" t="s">
        <v>6803</v>
      </c>
    </row>
    <row r="1850" spans="1:12" x14ac:dyDescent="0.35">
      <c r="A1850" t="s">
        <v>1892</v>
      </c>
      <c r="B1850" s="1">
        <v>45722</v>
      </c>
      <c r="C1850" t="s">
        <v>7690</v>
      </c>
      <c r="F1850" t="s">
        <v>7868</v>
      </c>
      <c r="H1850" t="s">
        <v>1899</v>
      </c>
      <c r="J1850">
        <v>-40520124</v>
      </c>
      <c r="L1850" t="s">
        <v>6803</v>
      </c>
    </row>
    <row r="1851" spans="1:12" x14ac:dyDescent="0.35">
      <c r="A1851" t="s">
        <v>1892</v>
      </c>
      <c r="B1851" s="1">
        <v>45726</v>
      </c>
      <c r="C1851" t="s">
        <v>7685</v>
      </c>
      <c r="F1851" t="s">
        <v>7871</v>
      </c>
      <c r="H1851" t="s">
        <v>1900</v>
      </c>
      <c r="J1851">
        <v>29951525</v>
      </c>
      <c r="L1851" t="s">
        <v>6803</v>
      </c>
    </row>
    <row r="1852" spans="1:12" x14ac:dyDescent="0.35">
      <c r="A1852" t="s">
        <v>1892</v>
      </c>
      <c r="B1852" s="1">
        <v>45726</v>
      </c>
      <c r="C1852" t="s">
        <v>7685</v>
      </c>
      <c r="F1852" t="s">
        <v>6819</v>
      </c>
      <c r="H1852" t="s">
        <v>1900</v>
      </c>
      <c r="J1852">
        <v>513275</v>
      </c>
      <c r="L1852" t="s">
        <v>6803</v>
      </c>
    </row>
    <row r="1853" spans="1:12" x14ac:dyDescent="0.35">
      <c r="A1853" t="s">
        <v>1892</v>
      </c>
      <c r="B1853" s="1">
        <v>45726</v>
      </c>
      <c r="C1853" t="s">
        <v>7685</v>
      </c>
      <c r="F1853" t="s">
        <v>7868</v>
      </c>
      <c r="H1853" t="s">
        <v>1900</v>
      </c>
      <c r="K1853">
        <v>35597548</v>
      </c>
      <c r="L1853" t="s">
        <v>6803</v>
      </c>
    </row>
    <row r="1854" spans="1:12" x14ac:dyDescent="0.35">
      <c r="A1854" t="s">
        <v>1892</v>
      </c>
      <c r="B1854" s="1">
        <v>45726</v>
      </c>
      <c r="C1854" t="s">
        <v>7685</v>
      </c>
      <c r="F1854" t="s">
        <v>7834</v>
      </c>
      <c r="H1854" t="s">
        <v>1900</v>
      </c>
      <c r="J1854">
        <v>5132748</v>
      </c>
      <c r="L1854" t="s">
        <v>347</v>
      </c>
    </row>
    <row r="1855" spans="1:12" x14ac:dyDescent="0.35">
      <c r="A1855" t="s">
        <v>1892</v>
      </c>
      <c r="B1855" s="1">
        <v>45727</v>
      </c>
      <c r="C1855" t="s">
        <v>7655</v>
      </c>
      <c r="F1855" t="s">
        <v>7868</v>
      </c>
      <c r="H1855" t="s">
        <v>58</v>
      </c>
      <c r="K1855">
        <v>11000</v>
      </c>
      <c r="L1855" t="s">
        <v>6803</v>
      </c>
    </row>
    <row r="1856" spans="1:12" x14ac:dyDescent="0.35">
      <c r="A1856" t="s">
        <v>1892</v>
      </c>
      <c r="B1856" s="1">
        <v>45727</v>
      </c>
      <c r="C1856" t="s">
        <v>7655</v>
      </c>
      <c r="F1856" t="s">
        <v>7828</v>
      </c>
      <c r="H1856" t="s">
        <v>58</v>
      </c>
      <c r="J1856">
        <v>11000</v>
      </c>
      <c r="L1856" t="s">
        <v>347</v>
      </c>
    </row>
    <row r="1857" spans="1:12" x14ac:dyDescent="0.35">
      <c r="A1857" t="s">
        <v>1892</v>
      </c>
      <c r="B1857" s="1">
        <v>45727</v>
      </c>
      <c r="C1857" t="s">
        <v>7657</v>
      </c>
      <c r="F1857" t="s">
        <v>6819</v>
      </c>
      <c r="H1857" t="s">
        <v>58</v>
      </c>
      <c r="J1857">
        <v>2492</v>
      </c>
      <c r="L1857" t="s">
        <v>6803</v>
      </c>
    </row>
    <row r="1858" spans="1:12" x14ac:dyDescent="0.35">
      <c r="A1858" t="s">
        <v>1892</v>
      </c>
      <c r="B1858" s="1">
        <v>45727</v>
      </c>
      <c r="C1858" t="s">
        <v>7657</v>
      </c>
      <c r="F1858" t="s">
        <v>7868</v>
      </c>
      <c r="H1858" t="s">
        <v>58</v>
      </c>
      <c r="K1858">
        <v>27407</v>
      </c>
      <c r="L1858" t="s">
        <v>6803</v>
      </c>
    </row>
    <row r="1859" spans="1:12" x14ac:dyDescent="0.35">
      <c r="A1859" t="s">
        <v>1892</v>
      </c>
      <c r="B1859" s="1">
        <v>45727</v>
      </c>
      <c r="C1859" t="s">
        <v>7657</v>
      </c>
      <c r="F1859" t="s">
        <v>7828</v>
      </c>
      <c r="H1859" t="s">
        <v>58</v>
      </c>
      <c r="J1859">
        <v>24915</v>
      </c>
      <c r="L1859" t="s">
        <v>347</v>
      </c>
    </row>
    <row r="1860" spans="1:12" x14ac:dyDescent="0.35">
      <c r="A1860" t="s">
        <v>1892</v>
      </c>
      <c r="B1860" s="1">
        <v>45727</v>
      </c>
      <c r="C1860" t="s">
        <v>7659</v>
      </c>
      <c r="F1860" t="s">
        <v>7868</v>
      </c>
      <c r="H1860" t="s">
        <v>58</v>
      </c>
      <c r="K1860">
        <v>11000</v>
      </c>
      <c r="L1860" t="s">
        <v>6803</v>
      </c>
    </row>
    <row r="1861" spans="1:12" x14ac:dyDescent="0.35">
      <c r="A1861" t="s">
        <v>1892</v>
      </c>
      <c r="B1861" s="1">
        <v>45727</v>
      </c>
      <c r="C1861" t="s">
        <v>7659</v>
      </c>
      <c r="F1861" t="s">
        <v>7828</v>
      </c>
      <c r="H1861" t="s">
        <v>58</v>
      </c>
      <c r="J1861">
        <v>11000</v>
      </c>
      <c r="L1861" t="s">
        <v>347</v>
      </c>
    </row>
    <row r="1862" spans="1:12" x14ac:dyDescent="0.35">
      <c r="A1862" t="s">
        <v>1892</v>
      </c>
      <c r="B1862" s="1">
        <v>45728</v>
      </c>
      <c r="C1862" t="s">
        <v>7500</v>
      </c>
      <c r="F1862" t="s">
        <v>7868</v>
      </c>
      <c r="H1862" t="s">
        <v>58</v>
      </c>
      <c r="K1862">
        <v>11000</v>
      </c>
      <c r="L1862" t="s">
        <v>6803</v>
      </c>
    </row>
    <row r="1863" spans="1:12" x14ac:dyDescent="0.35">
      <c r="A1863" t="s">
        <v>1892</v>
      </c>
      <c r="B1863" s="1">
        <v>45728</v>
      </c>
      <c r="C1863" t="s">
        <v>7500</v>
      </c>
      <c r="F1863" t="s">
        <v>7828</v>
      </c>
      <c r="H1863" t="s">
        <v>58</v>
      </c>
      <c r="J1863">
        <v>11000</v>
      </c>
      <c r="L1863" t="s">
        <v>347</v>
      </c>
    </row>
    <row r="1864" spans="1:12" x14ac:dyDescent="0.35">
      <c r="A1864" t="s">
        <v>1892</v>
      </c>
      <c r="B1864" s="1">
        <v>45733</v>
      </c>
      <c r="C1864" t="s">
        <v>7649</v>
      </c>
      <c r="F1864" t="s">
        <v>7831</v>
      </c>
      <c r="G1864" t="s">
        <v>7872</v>
      </c>
      <c r="H1864" t="s">
        <v>1901</v>
      </c>
      <c r="K1864">
        <v>31034000</v>
      </c>
      <c r="L1864" t="s">
        <v>6803</v>
      </c>
    </row>
    <row r="1865" spans="1:12" x14ac:dyDescent="0.35">
      <c r="A1865" t="s">
        <v>1892</v>
      </c>
      <c r="B1865" s="1">
        <v>45733</v>
      </c>
      <c r="C1865" t="s">
        <v>7649</v>
      </c>
      <c r="F1865" t="s">
        <v>7868</v>
      </c>
      <c r="H1865" t="s">
        <v>1901</v>
      </c>
      <c r="J1865">
        <v>31034000</v>
      </c>
      <c r="L1865" t="s">
        <v>6803</v>
      </c>
    </row>
    <row r="1866" spans="1:12" x14ac:dyDescent="0.35">
      <c r="A1866" t="s">
        <v>1892</v>
      </c>
      <c r="B1866" s="1">
        <v>45733</v>
      </c>
      <c r="C1866" t="s">
        <v>7503</v>
      </c>
      <c r="F1866" t="s">
        <v>7870</v>
      </c>
      <c r="H1866" t="s">
        <v>1902</v>
      </c>
      <c r="K1866">
        <v>147500</v>
      </c>
      <c r="L1866" t="s">
        <v>6803</v>
      </c>
    </row>
    <row r="1867" spans="1:12" x14ac:dyDescent="0.35">
      <c r="A1867" t="s">
        <v>1892</v>
      </c>
      <c r="B1867" s="1">
        <v>45733</v>
      </c>
      <c r="C1867" t="s">
        <v>7503</v>
      </c>
      <c r="F1867" t="s">
        <v>7868</v>
      </c>
      <c r="H1867" t="s">
        <v>1902</v>
      </c>
      <c r="J1867">
        <v>147500</v>
      </c>
      <c r="L1867" t="s">
        <v>6803</v>
      </c>
    </row>
    <row r="1868" spans="1:12" x14ac:dyDescent="0.35">
      <c r="A1868" t="s">
        <v>1892</v>
      </c>
      <c r="B1868" s="1">
        <v>45733</v>
      </c>
      <c r="C1868" t="s">
        <v>7505</v>
      </c>
      <c r="F1868" t="s">
        <v>7868</v>
      </c>
      <c r="H1868" t="s">
        <v>1903</v>
      </c>
      <c r="J1868">
        <v>15000000</v>
      </c>
      <c r="L1868" t="s">
        <v>6803</v>
      </c>
    </row>
    <row r="1869" spans="1:12" x14ac:dyDescent="0.35">
      <c r="A1869" t="s">
        <v>1892</v>
      </c>
      <c r="B1869" s="1">
        <v>45733</v>
      </c>
      <c r="C1869" t="s">
        <v>7505</v>
      </c>
      <c r="F1869" t="s">
        <v>7829</v>
      </c>
      <c r="H1869" t="s">
        <v>1903</v>
      </c>
      <c r="K1869">
        <v>15000000</v>
      </c>
      <c r="L1869" t="s">
        <v>6803</v>
      </c>
    </row>
    <row r="1870" spans="1:12" x14ac:dyDescent="0.35">
      <c r="A1870" t="s">
        <v>1892</v>
      </c>
      <c r="B1870" s="1">
        <v>45733</v>
      </c>
      <c r="C1870" t="s">
        <v>7507</v>
      </c>
      <c r="F1870" t="s">
        <v>7868</v>
      </c>
      <c r="H1870" t="s">
        <v>58</v>
      </c>
      <c r="K1870">
        <v>5095</v>
      </c>
      <c r="L1870" t="s">
        <v>6803</v>
      </c>
    </row>
    <row r="1871" spans="1:12" x14ac:dyDescent="0.35">
      <c r="A1871" t="s">
        <v>1892</v>
      </c>
      <c r="B1871" s="1">
        <v>45733</v>
      </c>
      <c r="C1871" t="s">
        <v>7507</v>
      </c>
      <c r="F1871" t="s">
        <v>7828</v>
      </c>
      <c r="H1871" t="s">
        <v>58</v>
      </c>
      <c r="J1871">
        <v>5095</v>
      </c>
      <c r="L1871" t="s">
        <v>347</v>
      </c>
    </row>
    <row r="1872" spans="1:12" x14ac:dyDescent="0.35">
      <c r="A1872" t="s">
        <v>1892</v>
      </c>
      <c r="B1872" s="1">
        <v>45733</v>
      </c>
      <c r="C1872" t="s">
        <v>7661</v>
      </c>
      <c r="F1872" t="s">
        <v>6819</v>
      </c>
      <c r="H1872" t="s">
        <v>58</v>
      </c>
      <c r="J1872">
        <v>2500</v>
      </c>
      <c r="L1872" t="s">
        <v>6803</v>
      </c>
    </row>
    <row r="1873" spans="1:12" x14ac:dyDescent="0.35">
      <c r="A1873" t="s">
        <v>1892</v>
      </c>
      <c r="B1873" s="1">
        <v>45733</v>
      </c>
      <c r="C1873" t="s">
        <v>7661</v>
      </c>
      <c r="F1873" t="s">
        <v>7868</v>
      </c>
      <c r="H1873" t="s">
        <v>58</v>
      </c>
      <c r="K1873">
        <v>27500</v>
      </c>
      <c r="L1873" t="s">
        <v>6803</v>
      </c>
    </row>
    <row r="1874" spans="1:12" x14ac:dyDescent="0.35">
      <c r="A1874" t="s">
        <v>1892</v>
      </c>
      <c r="B1874" s="1">
        <v>45733</v>
      </c>
      <c r="C1874" t="s">
        <v>7661</v>
      </c>
      <c r="F1874" t="s">
        <v>7828</v>
      </c>
      <c r="H1874" t="s">
        <v>58</v>
      </c>
      <c r="J1874">
        <v>25000</v>
      </c>
      <c r="L1874" t="s">
        <v>347</v>
      </c>
    </row>
    <row r="1875" spans="1:12" x14ac:dyDescent="0.35">
      <c r="A1875" t="s">
        <v>1892</v>
      </c>
      <c r="B1875" s="1">
        <v>45734</v>
      </c>
      <c r="C1875" t="s">
        <v>7665</v>
      </c>
      <c r="F1875" t="s">
        <v>7870</v>
      </c>
      <c r="H1875" t="s">
        <v>1904</v>
      </c>
      <c r="K1875">
        <v>3957000</v>
      </c>
      <c r="L1875" t="s">
        <v>6803</v>
      </c>
    </row>
    <row r="1876" spans="1:12" x14ac:dyDescent="0.35">
      <c r="A1876" t="s">
        <v>1892</v>
      </c>
      <c r="B1876" s="1">
        <v>45734</v>
      </c>
      <c r="C1876" t="s">
        <v>7665</v>
      </c>
      <c r="F1876" t="s">
        <v>7868</v>
      </c>
      <c r="H1876" t="s">
        <v>1904</v>
      </c>
      <c r="J1876">
        <v>3957000</v>
      </c>
      <c r="L1876" t="s">
        <v>6803</v>
      </c>
    </row>
    <row r="1877" spans="1:12" x14ac:dyDescent="0.35">
      <c r="A1877" t="s">
        <v>1892</v>
      </c>
      <c r="B1877" s="1">
        <v>45735</v>
      </c>
      <c r="C1877" t="s">
        <v>7676</v>
      </c>
      <c r="F1877" t="s">
        <v>7870</v>
      </c>
      <c r="H1877" t="s">
        <v>1905</v>
      </c>
      <c r="K1877">
        <v>12255556</v>
      </c>
      <c r="L1877" t="s">
        <v>6803</v>
      </c>
    </row>
    <row r="1878" spans="1:12" x14ac:dyDescent="0.35">
      <c r="A1878" t="s">
        <v>1892</v>
      </c>
      <c r="B1878" s="1">
        <v>45735</v>
      </c>
      <c r="C1878" t="s">
        <v>7676</v>
      </c>
      <c r="F1878" t="s">
        <v>7868</v>
      </c>
      <c r="H1878" t="s">
        <v>1905</v>
      </c>
      <c r="J1878">
        <v>12255556</v>
      </c>
      <c r="L1878" t="s">
        <v>6803</v>
      </c>
    </row>
    <row r="1879" spans="1:12" x14ac:dyDescent="0.35">
      <c r="A1879" t="s">
        <v>1892</v>
      </c>
      <c r="B1879" s="1">
        <v>45736</v>
      </c>
      <c r="C1879" t="s">
        <v>7498</v>
      </c>
      <c r="F1879" t="s">
        <v>6804</v>
      </c>
      <c r="G1879" t="s">
        <v>7097</v>
      </c>
      <c r="H1879" t="s">
        <v>1906</v>
      </c>
      <c r="J1879">
        <v>1000000</v>
      </c>
      <c r="L1879" t="s">
        <v>6803</v>
      </c>
    </row>
    <row r="1880" spans="1:12" x14ac:dyDescent="0.35">
      <c r="A1880" t="s">
        <v>1892</v>
      </c>
      <c r="B1880" s="1">
        <v>45736</v>
      </c>
      <c r="C1880" t="s">
        <v>7498</v>
      </c>
      <c r="F1880" t="s">
        <v>7865</v>
      </c>
      <c r="H1880" t="s">
        <v>1906</v>
      </c>
      <c r="K1880">
        <v>20000</v>
      </c>
      <c r="L1880" t="s">
        <v>6803</v>
      </c>
    </row>
    <row r="1881" spans="1:12" x14ac:dyDescent="0.35">
      <c r="A1881" t="s">
        <v>1892</v>
      </c>
      <c r="B1881" s="1">
        <v>45736</v>
      </c>
      <c r="C1881" t="s">
        <v>7498</v>
      </c>
      <c r="F1881" t="s">
        <v>7868</v>
      </c>
      <c r="H1881" t="s">
        <v>1906</v>
      </c>
      <c r="K1881">
        <v>980000</v>
      </c>
      <c r="L1881" t="s">
        <v>6803</v>
      </c>
    </row>
    <row r="1882" spans="1:12" x14ac:dyDescent="0.35">
      <c r="A1882" t="s">
        <v>1892</v>
      </c>
      <c r="B1882" s="1">
        <v>45736</v>
      </c>
      <c r="C1882" t="s">
        <v>7499</v>
      </c>
      <c r="F1882" t="s">
        <v>6804</v>
      </c>
      <c r="G1882" t="s">
        <v>7271</v>
      </c>
      <c r="H1882" t="s">
        <v>1907</v>
      </c>
      <c r="J1882">
        <v>136880</v>
      </c>
      <c r="L1882" t="s">
        <v>6803</v>
      </c>
    </row>
    <row r="1883" spans="1:12" x14ac:dyDescent="0.35">
      <c r="A1883" t="s">
        <v>1892</v>
      </c>
      <c r="B1883" s="1">
        <v>45736</v>
      </c>
      <c r="C1883" t="s">
        <v>7499</v>
      </c>
      <c r="F1883" t="s">
        <v>7868</v>
      </c>
      <c r="H1883" t="s">
        <v>1907</v>
      </c>
      <c r="K1883">
        <v>136880</v>
      </c>
      <c r="L1883" t="s">
        <v>6803</v>
      </c>
    </row>
    <row r="1884" spans="1:12" x14ac:dyDescent="0.35">
      <c r="A1884" t="s">
        <v>1892</v>
      </c>
      <c r="B1884" s="1">
        <v>45740</v>
      </c>
      <c r="C1884" t="s">
        <v>7679</v>
      </c>
      <c r="F1884" t="s">
        <v>7868</v>
      </c>
      <c r="H1884" t="s">
        <v>1908</v>
      </c>
      <c r="K1884">
        <v>1015000</v>
      </c>
      <c r="L1884" t="s">
        <v>6803</v>
      </c>
    </row>
    <row r="1885" spans="1:12" x14ac:dyDescent="0.35">
      <c r="A1885" t="s">
        <v>1892</v>
      </c>
      <c r="B1885" s="1">
        <v>45740</v>
      </c>
      <c r="C1885" t="s">
        <v>7679</v>
      </c>
      <c r="F1885" t="s">
        <v>7568</v>
      </c>
      <c r="H1885" t="s">
        <v>1908</v>
      </c>
      <c r="J1885">
        <v>1015000</v>
      </c>
      <c r="L1885" t="s">
        <v>5951</v>
      </c>
    </row>
    <row r="1886" spans="1:12" x14ac:dyDescent="0.35">
      <c r="A1886" t="s">
        <v>1892</v>
      </c>
      <c r="B1886" s="1">
        <v>45741</v>
      </c>
      <c r="C1886" t="s">
        <v>7651</v>
      </c>
      <c r="F1886" t="s">
        <v>7867</v>
      </c>
      <c r="G1886" t="s">
        <v>7097</v>
      </c>
      <c r="H1886" t="s">
        <v>1909</v>
      </c>
      <c r="J1886">
        <v>1120000</v>
      </c>
      <c r="L1886" t="s">
        <v>6803</v>
      </c>
    </row>
    <row r="1887" spans="1:12" x14ac:dyDescent="0.35">
      <c r="A1887" t="s">
        <v>1892</v>
      </c>
      <c r="B1887" s="1">
        <v>45741</v>
      </c>
      <c r="C1887" t="s">
        <v>7651</v>
      </c>
      <c r="F1887" t="s">
        <v>7868</v>
      </c>
      <c r="H1887" t="s">
        <v>1909</v>
      </c>
      <c r="K1887">
        <v>1120000</v>
      </c>
      <c r="L1887" t="s">
        <v>6803</v>
      </c>
    </row>
    <row r="1888" spans="1:12" x14ac:dyDescent="0.35">
      <c r="A1888" t="s">
        <v>1892</v>
      </c>
      <c r="B1888" s="1">
        <v>45741</v>
      </c>
      <c r="C1888" t="s">
        <v>7653</v>
      </c>
      <c r="F1888" t="s">
        <v>6804</v>
      </c>
      <c r="G1888" t="s">
        <v>7271</v>
      </c>
      <c r="H1888" t="s">
        <v>1910</v>
      </c>
      <c r="J1888">
        <v>91431</v>
      </c>
      <c r="L1888" t="s">
        <v>6803</v>
      </c>
    </row>
    <row r="1889" spans="1:12" x14ac:dyDescent="0.35">
      <c r="A1889" t="s">
        <v>1892</v>
      </c>
      <c r="B1889" s="1">
        <v>45741</v>
      </c>
      <c r="C1889" t="s">
        <v>7653</v>
      </c>
      <c r="F1889" t="s">
        <v>7868</v>
      </c>
      <c r="H1889" t="s">
        <v>1910</v>
      </c>
      <c r="K1889">
        <v>91431</v>
      </c>
      <c r="L1889" t="s">
        <v>6803</v>
      </c>
    </row>
    <row r="1890" spans="1:12" x14ac:dyDescent="0.35">
      <c r="A1890" t="s">
        <v>1892</v>
      </c>
      <c r="B1890" s="1">
        <v>45744</v>
      </c>
      <c r="C1890" t="s">
        <v>7682</v>
      </c>
      <c r="F1890" t="s">
        <v>6819</v>
      </c>
      <c r="H1890" t="s">
        <v>58</v>
      </c>
      <c r="J1890">
        <v>23401</v>
      </c>
      <c r="L1890" t="s">
        <v>6803</v>
      </c>
    </row>
    <row r="1891" spans="1:12" x14ac:dyDescent="0.35">
      <c r="A1891" t="s">
        <v>1892</v>
      </c>
      <c r="B1891" s="1">
        <v>45744</v>
      </c>
      <c r="C1891" t="s">
        <v>7682</v>
      </c>
      <c r="F1891" t="s">
        <v>7868</v>
      </c>
      <c r="H1891" t="s">
        <v>58</v>
      </c>
      <c r="K1891">
        <v>257408</v>
      </c>
      <c r="L1891" t="s">
        <v>6803</v>
      </c>
    </row>
    <row r="1892" spans="1:12" x14ac:dyDescent="0.35">
      <c r="A1892" t="s">
        <v>1892</v>
      </c>
      <c r="B1892" s="1">
        <v>45744</v>
      </c>
      <c r="C1892" t="s">
        <v>7682</v>
      </c>
      <c r="F1892" t="s">
        <v>7828</v>
      </c>
      <c r="H1892" t="s">
        <v>58</v>
      </c>
      <c r="J1892">
        <v>234007</v>
      </c>
      <c r="L1892" t="s">
        <v>347</v>
      </c>
    </row>
    <row r="1893" spans="1:12" x14ac:dyDescent="0.35">
      <c r="A1893" t="s">
        <v>1892</v>
      </c>
      <c r="B1893" s="1">
        <v>45744</v>
      </c>
      <c r="C1893" t="s">
        <v>7684</v>
      </c>
      <c r="F1893" t="s">
        <v>6819</v>
      </c>
      <c r="H1893" t="s">
        <v>58</v>
      </c>
      <c r="J1893">
        <v>3963</v>
      </c>
      <c r="L1893" t="s">
        <v>6803</v>
      </c>
    </row>
    <row r="1894" spans="1:12" x14ac:dyDescent="0.35">
      <c r="A1894" t="s">
        <v>1892</v>
      </c>
      <c r="B1894" s="1">
        <v>45744</v>
      </c>
      <c r="C1894" t="s">
        <v>7684</v>
      </c>
      <c r="F1894" t="s">
        <v>7868</v>
      </c>
      <c r="H1894" t="s">
        <v>58</v>
      </c>
      <c r="K1894">
        <v>43590</v>
      </c>
      <c r="L1894" t="s">
        <v>6803</v>
      </c>
    </row>
    <row r="1895" spans="1:12" x14ac:dyDescent="0.35">
      <c r="A1895" t="s">
        <v>1892</v>
      </c>
      <c r="B1895" s="1">
        <v>45744</v>
      </c>
      <c r="C1895" t="s">
        <v>7684</v>
      </c>
      <c r="F1895" t="s">
        <v>7828</v>
      </c>
      <c r="H1895" t="s">
        <v>58</v>
      </c>
      <c r="J1895">
        <v>39627</v>
      </c>
      <c r="L1895" t="s">
        <v>347</v>
      </c>
    </row>
    <row r="1896" spans="1:12" x14ac:dyDescent="0.35">
      <c r="A1896" t="s">
        <v>1892</v>
      </c>
      <c r="B1896" s="1">
        <v>45744</v>
      </c>
      <c r="C1896" t="s">
        <v>7578</v>
      </c>
      <c r="F1896" t="s">
        <v>6819</v>
      </c>
      <c r="H1896" t="s">
        <v>58</v>
      </c>
      <c r="J1896">
        <v>2000</v>
      </c>
      <c r="L1896" t="s">
        <v>6803</v>
      </c>
    </row>
    <row r="1897" spans="1:12" x14ac:dyDescent="0.35">
      <c r="A1897" t="s">
        <v>1892</v>
      </c>
      <c r="B1897" s="1">
        <v>45744</v>
      </c>
      <c r="C1897" t="s">
        <v>7578</v>
      </c>
      <c r="F1897" t="s">
        <v>7868</v>
      </c>
      <c r="H1897" t="s">
        <v>58</v>
      </c>
      <c r="K1897">
        <v>22000</v>
      </c>
      <c r="L1897" t="s">
        <v>6803</v>
      </c>
    </row>
    <row r="1898" spans="1:12" x14ac:dyDescent="0.35">
      <c r="A1898" t="s">
        <v>1892</v>
      </c>
      <c r="B1898" s="1">
        <v>45744</v>
      </c>
      <c r="C1898" t="s">
        <v>7578</v>
      </c>
      <c r="F1898" t="s">
        <v>7828</v>
      </c>
      <c r="H1898" t="s">
        <v>58</v>
      </c>
      <c r="J1898">
        <v>20000</v>
      </c>
      <c r="L1898" t="s">
        <v>347</v>
      </c>
    </row>
    <row r="1899" spans="1:12" x14ac:dyDescent="0.35">
      <c r="A1899" t="s">
        <v>1892</v>
      </c>
      <c r="B1899" s="1">
        <v>45744</v>
      </c>
      <c r="C1899" t="s">
        <v>7557</v>
      </c>
      <c r="F1899" t="s">
        <v>6819</v>
      </c>
      <c r="H1899" t="s">
        <v>58</v>
      </c>
      <c r="J1899">
        <v>2126</v>
      </c>
      <c r="L1899" t="s">
        <v>6803</v>
      </c>
    </row>
    <row r="1900" spans="1:12" x14ac:dyDescent="0.35">
      <c r="A1900" t="s">
        <v>1892</v>
      </c>
      <c r="B1900" s="1">
        <v>45744</v>
      </c>
      <c r="C1900" t="s">
        <v>7557</v>
      </c>
      <c r="F1900" t="s">
        <v>7868</v>
      </c>
      <c r="H1900" t="s">
        <v>58</v>
      </c>
      <c r="K1900">
        <v>23382</v>
      </c>
      <c r="L1900" t="s">
        <v>6803</v>
      </c>
    </row>
    <row r="1901" spans="1:12" x14ac:dyDescent="0.35">
      <c r="A1901" t="s">
        <v>1892</v>
      </c>
      <c r="B1901" s="1">
        <v>45744</v>
      </c>
      <c r="C1901" t="s">
        <v>7557</v>
      </c>
      <c r="F1901" t="s">
        <v>7828</v>
      </c>
      <c r="H1901" t="s">
        <v>58</v>
      </c>
      <c r="J1901">
        <v>21256</v>
      </c>
      <c r="L1901" t="s">
        <v>347</v>
      </c>
    </row>
    <row r="1902" spans="1:12" x14ac:dyDescent="0.35">
      <c r="A1902" t="s">
        <v>1911</v>
      </c>
      <c r="B1902" s="1">
        <v>45719</v>
      </c>
      <c r="C1902" t="s">
        <v>7818</v>
      </c>
      <c r="F1902" t="s">
        <v>6804</v>
      </c>
      <c r="G1902" t="s">
        <v>7397</v>
      </c>
      <c r="H1902" t="s">
        <v>1912</v>
      </c>
      <c r="J1902">
        <v>794966</v>
      </c>
      <c r="L1902" t="s">
        <v>6803</v>
      </c>
    </row>
    <row r="1903" spans="1:12" x14ac:dyDescent="0.35">
      <c r="A1903" t="s">
        <v>1911</v>
      </c>
      <c r="B1903" s="1">
        <v>45719</v>
      </c>
      <c r="C1903" t="s">
        <v>7818</v>
      </c>
      <c r="F1903" t="s">
        <v>7873</v>
      </c>
      <c r="H1903" t="s">
        <v>1912</v>
      </c>
      <c r="K1903">
        <v>794966</v>
      </c>
      <c r="L1903" t="s">
        <v>6803</v>
      </c>
    </row>
    <row r="1904" spans="1:12" x14ac:dyDescent="0.35">
      <c r="A1904" t="s">
        <v>1911</v>
      </c>
      <c r="B1904" s="1">
        <v>45719</v>
      </c>
      <c r="C1904" t="s">
        <v>7710</v>
      </c>
      <c r="F1904" t="s">
        <v>7874</v>
      </c>
      <c r="H1904" t="s">
        <v>1913</v>
      </c>
      <c r="J1904">
        <v>60000000</v>
      </c>
      <c r="L1904" t="s">
        <v>6803</v>
      </c>
    </row>
    <row r="1905" spans="1:12" x14ac:dyDescent="0.35">
      <c r="A1905" t="s">
        <v>1911</v>
      </c>
      <c r="B1905" s="1">
        <v>45719</v>
      </c>
      <c r="C1905" t="s">
        <v>7710</v>
      </c>
      <c r="F1905" t="s">
        <v>7873</v>
      </c>
      <c r="H1905" t="s">
        <v>1913</v>
      </c>
      <c r="K1905">
        <v>60000000</v>
      </c>
      <c r="L1905" t="s">
        <v>6803</v>
      </c>
    </row>
    <row r="1906" spans="1:12" x14ac:dyDescent="0.35">
      <c r="A1906" t="s">
        <v>1911</v>
      </c>
      <c r="B1906" s="1">
        <v>45719</v>
      </c>
      <c r="C1906" t="s">
        <v>7712</v>
      </c>
      <c r="F1906" t="s">
        <v>7875</v>
      </c>
      <c r="H1906" t="s">
        <v>1914</v>
      </c>
      <c r="J1906">
        <v>584721</v>
      </c>
      <c r="L1906" t="s">
        <v>6803</v>
      </c>
    </row>
    <row r="1907" spans="1:12" x14ac:dyDescent="0.35">
      <c r="A1907" t="s">
        <v>1911</v>
      </c>
      <c r="B1907" s="1">
        <v>45719</v>
      </c>
      <c r="C1907" t="s">
        <v>7712</v>
      </c>
      <c r="F1907" t="s">
        <v>7873</v>
      </c>
      <c r="H1907" t="s">
        <v>1914</v>
      </c>
      <c r="K1907">
        <v>584721</v>
      </c>
      <c r="L1907" t="s">
        <v>6803</v>
      </c>
    </row>
    <row r="1908" spans="1:12" x14ac:dyDescent="0.35">
      <c r="A1908" t="s">
        <v>1911</v>
      </c>
      <c r="B1908" s="1">
        <v>45720</v>
      </c>
      <c r="C1908" t="s">
        <v>7529</v>
      </c>
      <c r="F1908" t="s">
        <v>6804</v>
      </c>
      <c r="G1908" t="s">
        <v>1368</v>
      </c>
      <c r="H1908" t="s">
        <v>1915</v>
      </c>
      <c r="J1908">
        <v>14685000</v>
      </c>
      <c r="L1908" t="s">
        <v>6803</v>
      </c>
    </row>
    <row r="1909" spans="1:12" x14ac:dyDescent="0.35">
      <c r="A1909" t="s">
        <v>1911</v>
      </c>
      <c r="B1909" s="1">
        <v>45720</v>
      </c>
      <c r="C1909" t="s">
        <v>7529</v>
      </c>
      <c r="F1909" t="s">
        <v>7873</v>
      </c>
      <c r="H1909" t="s">
        <v>1915</v>
      </c>
      <c r="K1909">
        <v>14685000</v>
      </c>
      <c r="L1909" t="s">
        <v>6803</v>
      </c>
    </row>
    <row r="1910" spans="1:12" x14ac:dyDescent="0.35">
      <c r="A1910" t="s">
        <v>1911</v>
      </c>
      <c r="B1910" s="1">
        <v>45720</v>
      </c>
      <c r="C1910" t="s">
        <v>7530</v>
      </c>
      <c r="F1910" t="s">
        <v>6804</v>
      </c>
      <c r="G1910" t="s">
        <v>6822</v>
      </c>
      <c r="H1910" t="s">
        <v>1916</v>
      </c>
      <c r="J1910">
        <v>5269019</v>
      </c>
      <c r="L1910" t="s">
        <v>6803</v>
      </c>
    </row>
    <row r="1911" spans="1:12" x14ac:dyDescent="0.35">
      <c r="A1911" t="s">
        <v>1911</v>
      </c>
      <c r="B1911" s="1">
        <v>45720</v>
      </c>
      <c r="C1911" t="s">
        <v>7530</v>
      </c>
      <c r="F1911" t="s">
        <v>7867</v>
      </c>
      <c r="G1911" t="s">
        <v>6822</v>
      </c>
      <c r="H1911" t="s">
        <v>1916</v>
      </c>
      <c r="J1911">
        <v>787650</v>
      </c>
      <c r="L1911" t="s">
        <v>6803</v>
      </c>
    </row>
    <row r="1912" spans="1:12" x14ac:dyDescent="0.35">
      <c r="A1912" t="s">
        <v>1911</v>
      </c>
      <c r="B1912" s="1">
        <v>45720</v>
      </c>
      <c r="C1912" t="s">
        <v>7530</v>
      </c>
      <c r="F1912" t="s">
        <v>7873</v>
      </c>
      <c r="H1912" t="s">
        <v>1916</v>
      </c>
      <c r="K1912">
        <v>6056669</v>
      </c>
      <c r="L1912" t="s">
        <v>6803</v>
      </c>
    </row>
    <row r="1913" spans="1:12" x14ac:dyDescent="0.35">
      <c r="A1913" t="s">
        <v>1911</v>
      </c>
      <c r="B1913" s="1">
        <v>45720</v>
      </c>
      <c r="C1913" t="s">
        <v>7672</v>
      </c>
      <c r="F1913" t="s">
        <v>6804</v>
      </c>
      <c r="G1913" t="s">
        <v>7049</v>
      </c>
      <c r="H1913" t="s">
        <v>1917</v>
      </c>
      <c r="J1913">
        <v>2732875</v>
      </c>
      <c r="L1913" t="s">
        <v>6803</v>
      </c>
    </row>
    <row r="1914" spans="1:12" x14ac:dyDescent="0.35">
      <c r="A1914" t="s">
        <v>1911</v>
      </c>
      <c r="B1914" s="1">
        <v>45720</v>
      </c>
      <c r="C1914" t="s">
        <v>7672</v>
      </c>
      <c r="F1914" t="s">
        <v>7873</v>
      </c>
      <c r="H1914" t="s">
        <v>1917</v>
      </c>
      <c r="K1914">
        <v>2732875</v>
      </c>
      <c r="L1914" t="s">
        <v>6803</v>
      </c>
    </row>
    <row r="1915" spans="1:12" x14ac:dyDescent="0.35">
      <c r="A1915" t="s">
        <v>1911</v>
      </c>
      <c r="B1915" s="1">
        <v>45720</v>
      </c>
      <c r="C1915" t="s">
        <v>7772</v>
      </c>
      <c r="F1915" t="s">
        <v>6804</v>
      </c>
      <c r="G1915" t="s">
        <v>7624</v>
      </c>
      <c r="H1915" t="s">
        <v>1918</v>
      </c>
      <c r="J1915">
        <v>780000</v>
      </c>
      <c r="L1915" t="s">
        <v>6803</v>
      </c>
    </row>
    <row r="1916" spans="1:12" x14ac:dyDescent="0.35">
      <c r="A1916" t="s">
        <v>1911</v>
      </c>
      <c r="B1916" s="1">
        <v>45720</v>
      </c>
      <c r="C1916" t="s">
        <v>7772</v>
      </c>
      <c r="F1916" t="s">
        <v>7876</v>
      </c>
      <c r="H1916" t="s">
        <v>1918</v>
      </c>
      <c r="J1916">
        <v>130000</v>
      </c>
      <c r="L1916" t="s">
        <v>6803</v>
      </c>
    </row>
    <row r="1917" spans="1:12" x14ac:dyDescent="0.35">
      <c r="A1917" t="s">
        <v>1911</v>
      </c>
      <c r="B1917" s="1">
        <v>45720</v>
      </c>
      <c r="C1917" t="s">
        <v>7772</v>
      </c>
      <c r="F1917" t="s">
        <v>7873</v>
      </c>
      <c r="H1917" t="s">
        <v>1918</v>
      </c>
      <c r="K1917">
        <v>910000</v>
      </c>
      <c r="L1917" t="s">
        <v>6803</v>
      </c>
    </row>
    <row r="1918" spans="1:12" x14ac:dyDescent="0.35">
      <c r="A1918" t="s">
        <v>1911</v>
      </c>
      <c r="B1918" s="1">
        <v>45720</v>
      </c>
      <c r="C1918" t="s">
        <v>7708</v>
      </c>
      <c r="F1918" t="s">
        <v>7873</v>
      </c>
      <c r="H1918" t="s">
        <v>1919</v>
      </c>
      <c r="K1918">
        <v>1330000</v>
      </c>
      <c r="L1918" t="s">
        <v>6803</v>
      </c>
    </row>
    <row r="1919" spans="1:12" x14ac:dyDescent="0.35">
      <c r="A1919" t="s">
        <v>1911</v>
      </c>
      <c r="B1919" s="1">
        <v>45720</v>
      </c>
      <c r="C1919" t="s">
        <v>7708</v>
      </c>
      <c r="F1919" t="s">
        <v>7858</v>
      </c>
      <c r="H1919" t="s">
        <v>1919</v>
      </c>
      <c r="J1919">
        <v>1330000</v>
      </c>
      <c r="L1919" t="s">
        <v>5953</v>
      </c>
    </row>
    <row r="1920" spans="1:12" x14ac:dyDescent="0.35">
      <c r="A1920" t="s">
        <v>1911</v>
      </c>
      <c r="B1920" s="1">
        <v>45721</v>
      </c>
      <c r="C1920" t="s">
        <v>7532</v>
      </c>
      <c r="F1920" t="s">
        <v>7823</v>
      </c>
      <c r="G1920" t="s">
        <v>7877</v>
      </c>
      <c r="H1920" t="s">
        <v>1920</v>
      </c>
      <c r="K1920">
        <v>42161097</v>
      </c>
      <c r="L1920" t="s">
        <v>6803</v>
      </c>
    </row>
    <row r="1921" spans="1:12" x14ac:dyDescent="0.35">
      <c r="A1921" t="s">
        <v>1911</v>
      </c>
      <c r="B1921" s="1">
        <v>45721</v>
      </c>
      <c r="C1921" t="s">
        <v>7532</v>
      </c>
      <c r="F1921" t="s">
        <v>7873</v>
      </c>
      <c r="H1921" t="s">
        <v>1920</v>
      </c>
      <c r="J1921">
        <v>42161097</v>
      </c>
      <c r="L1921" t="s">
        <v>6803</v>
      </c>
    </row>
    <row r="1922" spans="1:12" x14ac:dyDescent="0.35">
      <c r="A1922" t="s">
        <v>1911</v>
      </c>
      <c r="B1922" s="1">
        <v>45721</v>
      </c>
      <c r="C1922" t="s">
        <v>7709</v>
      </c>
      <c r="F1922" t="s">
        <v>7873</v>
      </c>
      <c r="H1922" t="s">
        <v>1921</v>
      </c>
      <c r="K1922">
        <v>50000000</v>
      </c>
      <c r="L1922" t="s">
        <v>6803</v>
      </c>
    </row>
    <row r="1923" spans="1:12" x14ac:dyDescent="0.35">
      <c r="A1923" t="s">
        <v>1911</v>
      </c>
      <c r="B1923" s="1">
        <v>45721</v>
      </c>
      <c r="C1923" t="s">
        <v>7709</v>
      </c>
      <c r="F1923" t="s">
        <v>7829</v>
      </c>
      <c r="H1923" t="s">
        <v>1921</v>
      </c>
      <c r="J1923">
        <v>50000000</v>
      </c>
      <c r="L1923" t="s">
        <v>6803</v>
      </c>
    </row>
    <row r="1924" spans="1:12" x14ac:dyDescent="0.35">
      <c r="A1924" t="s">
        <v>1911</v>
      </c>
      <c r="B1924" s="1">
        <v>45722</v>
      </c>
      <c r="C1924" t="s">
        <v>7817</v>
      </c>
      <c r="F1924" t="s">
        <v>7873</v>
      </c>
      <c r="H1924" t="s">
        <v>1922</v>
      </c>
      <c r="K1924">
        <v>864720</v>
      </c>
      <c r="L1924" t="s">
        <v>6803</v>
      </c>
    </row>
    <row r="1925" spans="1:12" x14ac:dyDescent="0.35">
      <c r="A1925" t="s">
        <v>1911</v>
      </c>
      <c r="B1925" s="1">
        <v>45722</v>
      </c>
      <c r="C1925" t="s">
        <v>7817</v>
      </c>
      <c r="F1925" t="s">
        <v>7878</v>
      </c>
      <c r="H1925" t="s">
        <v>1922</v>
      </c>
      <c r="J1925">
        <v>864720</v>
      </c>
      <c r="L1925" t="s">
        <v>5902</v>
      </c>
    </row>
    <row r="1926" spans="1:12" x14ac:dyDescent="0.35">
      <c r="A1926" t="s">
        <v>1911</v>
      </c>
      <c r="B1926" s="1">
        <v>45722</v>
      </c>
      <c r="C1926" t="s">
        <v>7820</v>
      </c>
      <c r="F1926" t="s">
        <v>6804</v>
      </c>
      <c r="G1926" t="s">
        <v>7609</v>
      </c>
      <c r="H1926" t="s">
        <v>1923</v>
      </c>
      <c r="J1926">
        <v>4950000</v>
      </c>
      <c r="L1926" t="s">
        <v>6803</v>
      </c>
    </row>
    <row r="1927" spans="1:12" x14ac:dyDescent="0.35">
      <c r="A1927" t="s">
        <v>1911</v>
      </c>
      <c r="B1927" s="1">
        <v>45722</v>
      </c>
      <c r="C1927" t="s">
        <v>7820</v>
      </c>
      <c r="F1927" t="s">
        <v>7873</v>
      </c>
      <c r="H1927" t="s">
        <v>1923</v>
      </c>
      <c r="K1927">
        <v>4950000</v>
      </c>
      <c r="L1927" t="s">
        <v>6803</v>
      </c>
    </row>
    <row r="1928" spans="1:12" x14ac:dyDescent="0.35">
      <c r="A1928" t="s">
        <v>1911</v>
      </c>
      <c r="B1928" s="1">
        <v>45722</v>
      </c>
      <c r="C1928" t="s">
        <v>7773</v>
      </c>
      <c r="F1928" t="s">
        <v>7831</v>
      </c>
      <c r="G1928" t="s">
        <v>7879</v>
      </c>
      <c r="H1928" t="s">
        <v>1924</v>
      </c>
      <c r="K1928">
        <v>21441134</v>
      </c>
      <c r="L1928" t="s">
        <v>6803</v>
      </c>
    </row>
    <row r="1929" spans="1:12" x14ac:dyDescent="0.35">
      <c r="A1929" t="s">
        <v>1911</v>
      </c>
      <c r="B1929" s="1">
        <v>45722</v>
      </c>
      <c r="C1929" t="s">
        <v>7773</v>
      </c>
      <c r="F1929" t="s">
        <v>7873</v>
      </c>
      <c r="H1929" t="s">
        <v>1924</v>
      </c>
      <c r="J1929">
        <v>21441134</v>
      </c>
      <c r="L1929" t="s">
        <v>6803</v>
      </c>
    </row>
    <row r="1930" spans="1:12" x14ac:dyDescent="0.35">
      <c r="A1930" t="s">
        <v>1911</v>
      </c>
      <c r="B1930" s="1">
        <v>45723</v>
      </c>
      <c r="C1930" t="s">
        <v>7547</v>
      </c>
      <c r="F1930" t="s">
        <v>6804</v>
      </c>
      <c r="G1930" t="s">
        <v>1584</v>
      </c>
      <c r="H1930" t="s">
        <v>1925</v>
      </c>
      <c r="J1930">
        <v>2000000</v>
      </c>
      <c r="L1930" t="s">
        <v>6803</v>
      </c>
    </row>
    <row r="1931" spans="1:12" x14ac:dyDescent="0.35">
      <c r="A1931" t="s">
        <v>1911</v>
      </c>
      <c r="B1931" s="1">
        <v>45723</v>
      </c>
      <c r="C1931" t="s">
        <v>7547</v>
      </c>
      <c r="F1931" t="s">
        <v>7873</v>
      </c>
      <c r="H1931" t="s">
        <v>1925</v>
      </c>
      <c r="K1931">
        <v>2000000</v>
      </c>
      <c r="L1931" t="s">
        <v>6803</v>
      </c>
    </row>
    <row r="1932" spans="1:12" x14ac:dyDescent="0.35">
      <c r="A1932" t="s">
        <v>1911</v>
      </c>
      <c r="B1932" s="1">
        <v>45727</v>
      </c>
      <c r="C1932" t="s">
        <v>7706</v>
      </c>
      <c r="F1932" t="s">
        <v>6804</v>
      </c>
      <c r="G1932" t="s">
        <v>7624</v>
      </c>
      <c r="H1932" t="s">
        <v>1926</v>
      </c>
      <c r="J1932">
        <v>575000</v>
      </c>
      <c r="L1932" t="s">
        <v>6803</v>
      </c>
    </row>
    <row r="1933" spans="1:12" x14ac:dyDescent="0.35">
      <c r="A1933" t="s">
        <v>1911</v>
      </c>
      <c r="B1933" s="1">
        <v>45727</v>
      </c>
      <c r="C1933" t="s">
        <v>7706</v>
      </c>
      <c r="F1933" t="s">
        <v>7865</v>
      </c>
      <c r="H1933" t="s">
        <v>1926</v>
      </c>
      <c r="K1933">
        <v>11500</v>
      </c>
      <c r="L1933" t="s">
        <v>6803</v>
      </c>
    </row>
    <row r="1934" spans="1:12" x14ac:dyDescent="0.35">
      <c r="A1934" t="s">
        <v>1911</v>
      </c>
      <c r="B1934" s="1">
        <v>45727</v>
      </c>
      <c r="C1934" t="s">
        <v>7706</v>
      </c>
      <c r="F1934" t="s">
        <v>7876</v>
      </c>
      <c r="H1934" t="s">
        <v>1926</v>
      </c>
      <c r="J1934">
        <v>63700</v>
      </c>
      <c r="L1934" t="s">
        <v>6803</v>
      </c>
    </row>
    <row r="1935" spans="1:12" x14ac:dyDescent="0.35">
      <c r="A1935" t="s">
        <v>1911</v>
      </c>
      <c r="B1935" s="1">
        <v>45727</v>
      </c>
      <c r="C1935" t="s">
        <v>7706</v>
      </c>
      <c r="F1935" t="s">
        <v>7873</v>
      </c>
      <c r="H1935" t="s">
        <v>1926</v>
      </c>
      <c r="K1935">
        <v>627000</v>
      </c>
      <c r="L1935" t="s">
        <v>6803</v>
      </c>
    </row>
    <row r="1936" spans="1:12" x14ac:dyDescent="0.35">
      <c r="A1936" t="s">
        <v>1911</v>
      </c>
      <c r="B1936" s="1">
        <v>45727</v>
      </c>
      <c r="C1936" t="s">
        <v>7706</v>
      </c>
      <c r="F1936" t="s">
        <v>7880</v>
      </c>
      <c r="H1936" t="s">
        <v>1927</v>
      </c>
      <c r="K1936">
        <v>200</v>
      </c>
      <c r="L1936" t="s">
        <v>5954</v>
      </c>
    </row>
    <row r="1937" spans="1:12" x14ac:dyDescent="0.35">
      <c r="A1937" t="s">
        <v>1911</v>
      </c>
      <c r="B1937" s="1">
        <v>45728</v>
      </c>
      <c r="C1937" t="s">
        <v>7689</v>
      </c>
      <c r="F1937" t="s">
        <v>7514</v>
      </c>
      <c r="G1937" t="s">
        <v>7586</v>
      </c>
      <c r="H1937" t="s">
        <v>1928</v>
      </c>
      <c r="J1937">
        <v>3319666</v>
      </c>
      <c r="L1937" t="s">
        <v>6803</v>
      </c>
    </row>
    <row r="1938" spans="1:12" x14ac:dyDescent="0.35">
      <c r="A1938" t="s">
        <v>1911</v>
      </c>
      <c r="B1938" s="1">
        <v>45728</v>
      </c>
      <c r="C1938" t="s">
        <v>7689</v>
      </c>
      <c r="F1938" t="s">
        <v>7873</v>
      </c>
      <c r="H1938" t="s">
        <v>1928</v>
      </c>
      <c r="K1938">
        <v>3319666</v>
      </c>
      <c r="L1938" t="s">
        <v>6803</v>
      </c>
    </row>
    <row r="1939" spans="1:12" x14ac:dyDescent="0.35">
      <c r="A1939" t="s">
        <v>1911</v>
      </c>
      <c r="B1939" s="1">
        <v>45728</v>
      </c>
      <c r="C1939" t="s">
        <v>7711</v>
      </c>
      <c r="F1939" t="s">
        <v>7873</v>
      </c>
      <c r="H1939" t="s">
        <v>1929</v>
      </c>
      <c r="K1939">
        <v>15000000</v>
      </c>
      <c r="L1939" t="s">
        <v>6803</v>
      </c>
    </row>
    <row r="1940" spans="1:12" x14ac:dyDescent="0.35">
      <c r="A1940" t="s">
        <v>1911</v>
      </c>
      <c r="B1940" s="1">
        <v>45728</v>
      </c>
      <c r="C1940" t="s">
        <v>7711</v>
      </c>
      <c r="F1940" t="s">
        <v>7829</v>
      </c>
      <c r="H1940" t="s">
        <v>1929</v>
      </c>
      <c r="J1940">
        <v>15000000</v>
      </c>
      <c r="L1940" t="s">
        <v>6803</v>
      </c>
    </row>
    <row r="1941" spans="1:12" x14ac:dyDescent="0.35">
      <c r="A1941" t="s">
        <v>1911</v>
      </c>
      <c r="B1941" s="1">
        <v>45730</v>
      </c>
      <c r="C1941" t="s">
        <v>7707</v>
      </c>
      <c r="F1941" t="s">
        <v>7831</v>
      </c>
      <c r="G1941" t="s">
        <v>7881</v>
      </c>
      <c r="H1941" t="s">
        <v>1930</v>
      </c>
      <c r="K1941">
        <v>520399</v>
      </c>
      <c r="L1941" t="s">
        <v>6803</v>
      </c>
    </row>
    <row r="1942" spans="1:12" x14ac:dyDescent="0.35">
      <c r="A1942" t="s">
        <v>1911</v>
      </c>
      <c r="B1942" s="1">
        <v>45730</v>
      </c>
      <c r="C1942" t="s">
        <v>7707</v>
      </c>
      <c r="F1942" t="s">
        <v>7873</v>
      </c>
      <c r="H1942" t="s">
        <v>1930</v>
      </c>
      <c r="J1942">
        <v>520399</v>
      </c>
      <c r="L1942" t="s">
        <v>6803</v>
      </c>
    </row>
    <row r="1943" spans="1:12" x14ac:dyDescent="0.35">
      <c r="A1943" t="s">
        <v>1911</v>
      </c>
      <c r="B1943" s="1">
        <v>45730</v>
      </c>
      <c r="C1943" t="s">
        <v>7713</v>
      </c>
      <c r="F1943" t="s">
        <v>7875</v>
      </c>
      <c r="H1943" t="s">
        <v>1931</v>
      </c>
      <c r="J1943">
        <v>393561</v>
      </c>
      <c r="L1943" t="s">
        <v>6803</v>
      </c>
    </row>
    <row r="1944" spans="1:12" x14ac:dyDescent="0.35">
      <c r="A1944" t="s">
        <v>1911</v>
      </c>
      <c r="B1944" s="1">
        <v>45730</v>
      </c>
      <c r="C1944" t="s">
        <v>7713</v>
      </c>
      <c r="F1944" t="s">
        <v>7873</v>
      </c>
      <c r="H1944" t="s">
        <v>1931</v>
      </c>
      <c r="K1944">
        <v>393561</v>
      </c>
      <c r="L1944" t="s">
        <v>6803</v>
      </c>
    </row>
    <row r="1945" spans="1:12" x14ac:dyDescent="0.35">
      <c r="A1945" t="s">
        <v>1911</v>
      </c>
      <c r="B1945" s="1">
        <v>45730</v>
      </c>
      <c r="C1945" t="s">
        <v>7726</v>
      </c>
      <c r="F1945" t="s">
        <v>7882</v>
      </c>
      <c r="H1945" t="s">
        <v>1932</v>
      </c>
      <c r="J1945">
        <v>10342029</v>
      </c>
      <c r="L1945" t="s">
        <v>6803</v>
      </c>
    </row>
    <row r="1946" spans="1:12" x14ac:dyDescent="0.35">
      <c r="A1946" t="s">
        <v>1911</v>
      </c>
      <c r="B1946" s="1">
        <v>45730</v>
      </c>
      <c r="C1946" t="s">
        <v>7726</v>
      </c>
      <c r="F1946" t="s">
        <v>7873</v>
      </c>
      <c r="H1946" t="s">
        <v>1932</v>
      </c>
      <c r="K1946">
        <v>10342029</v>
      </c>
      <c r="L1946" t="s">
        <v>6803</v>
      </c>
    </row>
    <row r="1947" spans="1:12" x14ac:dyDescent="0.35">
      <c r="A1947" t="s">
        <v>1911</v>
      </c>
      <c r="B1947" s="1">
        <v>45730</v>
      </c>
      <c r="C1947" t="s">
        <v>7792</v>
      </c>
      <c r="F1947" t="s">
        <v>7883</v>
      </c>
      <c r="H1947" t="s">
        <v>1933</v>
      </c>
      <c r="J1947">
        <v>31213518</v>
      </c>
      <c r="L1947" t="s">
        <v>6803</v>
      </c>
    </row>
    <row r="1948" spans="1:12" x14ac:dyDescent="0.35">
      <c r="A1948" t="s">
        <v>1911</v>
      </c>
      <c r="B1948" s="1">
        <v>45730</v>
      </c>
      <c r="C1948" t="s">
        <v>7792</v>
      </c>
      <c r="F1948" t="s">
        <v>7873</v>
      </c>
      <c r="H1948" t="s">
        <v>1933</v>
      </c>
      <c r="K1948">
        <v>31213518</v>
      </c>
      <c r="L1948" t="s">
        <v>6803</v>
      </c>
    </row>
    <row r="1949" spans="1:12" x14ac:dyDescent="0.35">
      <c r="A1949" t="s">
        <v>1911</v>
      </c>
      <c r="B1949" s="1">
        <v>45730</v>
      </c>
      <c r="C1949" t="s">
        <v>7822</v>
      </c>
      <c r="F1949" t="s">
        <v>7823</v>
      </c>
      <c r="G1949" t="s">
        <v>7877</v>
      </c>
      <c r="H1949" t="s">
        <v>1934</v>
      </c>
      <c r="K1949">
        <v>40000000</v>
      </c>
      <c r="L1949" t="s">
        <v>6803</v>
      </c>
    </row>
    <row r="1950" spans="1:12" x14ac:dyDescent="0.35">
      <c r="A1950" t="s">
        <v>1911</v>
      </c>
      <c r="B1950" s="1">
        <v>45730</v>
      </c>
      <c r="C1950" t="s">
        <v>7822</v>
      </c>
      <c r="F1950" t="s">
        <v>7873</v>
      </c>
      <c r="H1950" t="s">
        <v>1934</v>
      </c>
      <c r="J1950">
        <v>40000000</v>
      </c>
      <c r="L1950" t="s">
        <v>6803</v>
      </c>
    </row>
    <row r="1951" spans="1:12" x14ac:dyDescent="0.35">
      <c r="A1951" t="s">
        <v>1911</v>
      </c>
      <c r="B1951" s="1">
        <v>45730</v>
      </c>
      <c r="C1951" t="s">
        <v>7533</v>
      </c>
      <c r="F1951" t="s">
        <v>7823</v>
      </c>
      <c r="G1951" t="s">
        <v>7877</v>
      </c>
      <c r="H1951" t="s">
        <v>1934</v>
      </c>
      <c r="K1951">
        <v>41925859</v>
      </c>
      <c r="L1951" t="s">
        <v>6803</v>
      </c>
    </row>
    <row r="1952" spans="1:12" x14ac:dyDescent="0.35">
      <c r="A1952" t="s">
        <v>1911</v>
      </c>
      <c r="B1952" s="1">
        <v>45730</v>
      </c>
      <c r="C1952" t="s">
        <v>7533</v>
      </c>
      <c r="F1952" t="s">
        <v>7873</v>
      </c>
      <c r="H1952" t="s">
        <v>1934</v>
      </c>
      <c r="J1952">
        <v>41925859</v>
      </c>
      <c r="L1952" t="s">
        <v>6803</v>
      </c>
    </row>
    <row r="1953" spans="1:12" x14ac:dyDescent="0.35">
      <c r="A1953" t="s">
        <v>1911</v>
      </c>
      <c r="B1953" s="1">
        <v>45733</v>
      </c>
      <c r="C1953" t="s">
        <v>7543</v>
      </c>
      <c r="F1953" t="s">
        <v>7884</v>
      </c>
      <c r="H1953" t="s">
        <v>1935</v>
      </c>
      <c r="J1953">
        <v>5000000</v>
      </c>
      <c r="L1953" t="s">
        <v>6803</v>
      </c>
    </row>
    <row r="1954" spans="1:12" x14ac:dyDescent="0.35">
      <c r="A1954" t="s">
        <v>1911</v>
      </c>
      <c r="B1954" s="1">
        <v>45733</v>
      </c>
      <c r="C1954" t="s">
        <v>7543</v>
      </c>
      <c r="F1954" t="s">
        <v>7873</v>
      </c>
      <c r="H1954" t="s">
        <v>1935</v>
      </c>
      <c r="K1954">
        <v>5000000</v>
      </c>
      <c r="L1954" t="s">
        <v>6803</v>
      </c>
    </row>
    <row r="1955" spans="1:12" x14ac:dyDescent="0.35">
      <c r="A1955" t="s">
        <v>1911</v>
      </c>
      <c r="B1955" s="1">
        <v>45734</v>
      </c>
      <c r="C1955" t="s">
        <v>7537</v>
      </c>
      <c r="F1955" t="s">
        <v>6804</v>
      </c>
      <c r="G1955" t="s">
        <v>7700</v>
      </c>
      <c r="H1955" t="s">
        <v>1936</v>
      </c>
      <c r="J1955">
        <v>5709500</v>
      </c>
      <c r="L1955" t="s">
        <v>6803</v>
      </c>
    </row>
    <row r="1956" spans="1:12" x14ac:dyDescent="0.35">
      <c r="A1956" t="s">
        <v>1911</v>
      </c>
      <c r="B1956" s="1">
        <v>45734</v>
      </c>
      <c r="C1956" t="s">
        <v>7537</v>
      </c>
      <c r="F1956" t="s">
        <v>7873</v>
      </c>
      <c r="H1956" t="s">
        <v>1936</v>
      </c>
      <c r="K1956">
        <v>5709500</v>
      </c>
      <c r="L1956" t="s">
        <v>6803</v>
      </c>
    </row>
    <row r="1957" spans="1:12" x14ac:dyDescent="0.35">
      <c r="A1957" t="s">
        <v>1911</v>
      </c>
      <c r="B1957" s="1">
        <v>45735</v>
      </c>
      <c r="C1957" t="s">
        <v>7545</v>
      </c>
      <c r="F1957" t="s">
        <v>7831</v>
      </c>
      <c r="G1957" t="s">
        <v>7885</v>
      </c>
      <c r="H1957" t="s">
        <v>1937</v>
      </c>
      <c r="K1957">
        <v>23500000</v>
      </c>
      <c r="L1957" t="s">
        <v>6803</v>
      </c>
    </row>
    <row r="1958" spans="1:12" x14ac:dyDescent="0.35">
      <c r="A1958" t="s">
        <v>1911</v>
      </c>
      <c r="B1958" s="1">
        <v>45735</v>
      </c>
      <c r="C1958" t="s">
        <v>7545</v>
      </c>
      <c r="F1958" t="s">
        <v>7873</v>
      </c>
      <c r="H1958" t="s">
        <v>1937</v>
      </c>
      <c r="J1958">
        <v>23500000</v>
      </c>
      <c r="L1958" t="s">
        <v>6803</v>
      </c>
    </row>
    <row r="1959" spans="1:12" x14ac:dyDescent="0.35">
      <c r="A1959" t="s">
        <v>1911</v>
      </c>
      <c r="B1959" s="1">
        <v>45737</v>
      </c>
      <c r="C1959" t="s">
        <v>7838</v>
      </c>
      <c r="F1959" t="s">
        <v>6804</v>
      </c>
      <c r="G1959" t="s">
        <v>7886</v>
      </c>
      <c r="H1959" t="s">
        <v>1938</v>
      </c>
      <c r="J1959">
        <v>512769</v>
      </c>
      <c r="L1959" t="s">
        <v>6803</v>
      </c>
    </row>
    <row r="1960" spans="1:12" x14ac:dyDescent="0.35">
      <c r="A1960" t="s">
        <v>1911</v>
      </c>
      <c r="B1960" s="1">
        <v>45737</v>
      </c>
      <c r="C1960" t="s">
        <v>7838</v>
      </c>
      <c r="F1960" t="s">
        <v>7873</v>
      </c>
      <c r="H1960" t="s">
        <v>1938</v>
      </c>
      <c r="K1960">
        <v>512769</v>
      </c>
      <c r="L1960" t="s">
        <v>6803</v>
      </c>
    </row>
    <row r="1961" spans="1:12" x14ac:dyDescent="0.35">
      <c r="A1961" t="s">
        <v>1911</v>
      </c>
      <c r="B1961" s="1">
        <v>45737</v>
      </c>
      <c r="C1961" t="s">
        <v>7839</v>
      </c>
      <c r="F1961" t="s">
        <v>6804</v>
      </c>
      <c r="G1961" t="s">
        <v>1653</v>
      </c>
      <c r="H1961" t="s">
        <v>1939</v>
      </c>
      <c r="J1961">
        <v>4000000</v>
      </c>
      <c r="L1961" t="s">
        <v>6803</v>
      </c>
    </row>
    <row r="1962" spans="1:12" x14ac:dyDescent="0.35">
      <c r="A1962" t="s">
        <v>1911</v>
      </c>
      <c r="B1962" s="1">
        <v>45737</v>
      </c>
      <c r="C1962" t="s">
        <v>7839</v>
      </c>
      <c r="F1962" t="s">
        <v>7873</v>
      </c>
      <c r="H1962" t="s">
        <v>1939</v>
      </c>
      <c r="K1962">
        <v>4000000</v>
      </c>
      <c r="L1962" t="s">
        <v>6803</v>
      </c>
    </row>
    <row r="1963" spans="1:12" x14ac:dyDescent="0.35">
      <c r="A1963" t="s">
        <v>1911</v>
      </c>
      <c r="B1963" s="1">
        <v>45737</v>
      </c>
      <c r="C1963" t="s">
        <v>7846</v>
      </c>
      <c r="F1963" t="s">
        <v>6804</v>
      </c>
      <c r="G1963" t="s">
        <v>1834</v>
      </c>
      <c r="H1963" t="s">
        <v>1940</v>
      </c>
      <c r="J1963">
        <v>3000000</v>
      </c>
      <c r="L1963" t="s">
        <v>6803</v>
      </c>
    </row>
    <row r="1964" spans="1:12" x14ac:dyDescent="0.35">
      <c r="A1964" t="s">
        <v>1911</v>
      </c>
      <c r="B1964" s="1">
        <v>45737</v>
      </c>
      <c r="C1964" t="s">
        <v>7846</v>
      </c>
      <c r="F1964" t="s">
        <v>7873</v>
      </c>
      <c r="H1964" t="s">
        <v>1940</v>
      </c>
      <c r="K1964">
        <v>3000000</v>
      </c>
      <c r="L1964" t="s">
        <v>6803</v>
      </c>
    </row>
    <row r="1965" spans="1:12" x14ac:dyDescent="0.35">
      <c r="A1965" t="s">
        <v>1911</v>
      </c>
      <c r="B1965" s="1">
        <v>45737</v>
      </c>
      <c r="C1965" t="s">
        <v>7850</v>
      </c>
      <c r="F1965" t="s">
        <v>6804</v>
      </c>
      <c r="G1965" t="s">
        <v>7045</v>
      </c>
      <c r="H1965" t="s">
        <v>1941</v>
      </c>
      <c r="J1965">
        <v>565000</v>
      </c>
      <c r="L1965" t="s">
        <v>6803</v>
      </c>
    </row>
    <row r="1966" spans="1:12" x14ac:dyDescent="0.35">
      <c r="A1966" t="s">
        <v>1911</v>
      </c>
      <c r="B1966" s="1">
        <v>45737</v>
      </c>
      <c r="C1966" t="s">
        <v>7850</v>
      </c>
      <c r="F1966" t="s">
        <v>7873</v>
      </c>
      <c r="H1966" t="s">
        <v>1941</v>
      </c>
      <c r="K1966">
        <v>565000</v>
      </c>
      <c r="L1966" t="s">
        <v>6803</v>
      </c>
    </row>
    <row r="1967" spans="1:12" x14ac:dyDescent="0.35">
      <c r="A1967" t="s">
        <v>1911</v>
      </c>
      <c r="B1967" s="1">
        <v>45739</v>
      </c>
      <c r="C1967" t="s">
        <v>7673</v>
      </c>
      <c r="F1967" t="s">
        <v>7887</v>
      </c>
      <c r="H1967" t="s">
        <v>1942</v>
      </c>
      <c r="J1967">
        <v>50154132</v>
      </c>
      <c r="L1967" t="s">
        <v>6803</v>
      </c>
    </row>
    <row r="1968" spans="1:12" x14ac:dyDescent="0.35">
      <c r="A1968" t="s">
        <v>1911</v>
      </c>
      <c r="B1968" s="1">
        <v>45739</v>
      </c>
      <c r="C1968" t="s">
        <v>7673</v>
      </c>
      <c r="F1968" t="s">
        <v>6819</v>
      </c>
      <c r="H1968" t="s">
        <v>1942</v>
      </c>
      <c r="J1968">
        <v>1044217</v>
      </c>
      <c r="L1968" t="s">
        <v>6803</v>
      </c>
    </row>
    <row r="1969" spans="1:12" x14ac:dyDescent="0.35">
      <c r="A1969" t="s">
        <v>1911</v>
      </c>
      <c r="B1969" s="1">
        <v>45739</v>
      </c>
      <c r="C1969" t="s">
        <v>7673</v>
      </c>
      <c r="F1969" t="s">
        <v>7873</v>
      </c>
      <c r="H1969" t="s">
        <v>1942</v>
      </c>
      <c r="K1969">
        <v>61640515</v>
      </c>
      <c r="L1969" t="s">
        <v>6803</v>
      </c>
    </row>
    <row r="1970" spans="1:12" x14ac:dyDescent="0.35">
      <c r="A1970" t="s">
        <v>1911</v>
      </c>
      <c r="B1970" s="1">
        <v>45739</v>
      </c>
      <c r="C1970" t="s">
        <v>7673</v>
      </c>
      <c r="F1970" t="s">
        <v>7834</v>
      </c>
      <c r="H1970" t="s">
        <v>1942</v>
      </c>
      <c r="J1970">
        <v>10442166</v>
      </c>
      <c r="L1970" t="s">
        <v>347</v>
      </c>
    </row>
    <row r="1971" spans="1:12" x14ac:dyDescent="0.35">
      <c r="A1971" t="s">
        <v>1911</v>
      </c>
      <c r="B1971" s="1">
        <v>45741</v>
      </c>
      <c r="C1971" t="s">
        <v>7539</v>
      </c>
      <c r="F1971" t="s">
        <v>6804</v>
      </c>
      <c r="G1971" t="s">
        <v>7700</v>
      </c>
      <c r="H1971" t="s">
        <v>1943</v>
      </c>
      <c r="J1971">
        <v>5709500</v>
      </c>
      <c r="L1971" t="s">
        <v>6803</v>
      </c>
    </row>
    <row r="1972" spans="1:12" x14ac:dyDescent="0.35">
      <c r="A1972" t="s">
        <v>1911</v>
      </c>
      <c r="B1972" s="1">
        <v>45741</v>
      </c>
      <c r="C1972" t="s">
        <v>7539</v>
      </c>
      <c r="F1972" t="s">
        <v>7873</v>
      </c>
      <c r="H1972" t="s">
        <v>1943</v>
      </c>
      <c r="K1972">
        <v>5709500</v>
      </c>
      <c r="L1972" t="s">
        <v>6803</v>
      </c>
    </row>
    <row r="1973" spans="1:12" x14ac:dyDescent="0.35">
      <c r="A1973" t="s">
        <v>1911</v>
      </c>
      <c r="B1973" s="1">
        <v>45741</v>
      </c>
      <c r="C1973" t="s">
        <v>7848</v>
      </c>
      <c r="F1973" t="s">
        <v>7831</v>
      </c>
      <c r="G1973" t="s">
        <v>7879</v>
      </c>
      <c r="H1973" t="s">
        <v>1924</v>
      </c>
      <c r="K1973">
        <v>19702290</v>
      </c>
      <c r="L1973" t="s">
        <v>6803</v>
      </c>
    </row>
    <row r="1974" spans="1:12" x14ac:dyDescent="0.35">
      <c r="A1974" t="s">
        <v>1911</v>
      </c>
      <c r="B1974" s="1">
        <v>45741</v>
      </c>
      <c r="C1974" t="s">
        <v>7848</v>
      </c>
      <c r="F1974" t="s">
        <v>7873</v>
      </c>
      <c r="H1974" t="s">
        <v>1924</v>
      </c>
      <c r="J1974">
        <v>19702290</v>
      </c>
      <c r="L1974" t="s">
        <v>6803</v>
      </c>
    </row>
    <row r="1975" spans="1:12" x14ac:dyDescent="0.35">
      <c r="A1975" t="s">
        <v>1911</v>
      </c>
      <c r="B1975" s="1">
        <v>45741</v>
      </c>
      <c r="C1975" t="s">
        <v>7321</v>
      </c>
      <c r="F1975" t="s">
        <v>7597</v>
      </c>
      <c r="H1975" t="s">
        <v>1944</v>
      </c>
      <c r="J1975">
        <v>7011700</v>
      </c>
      <c r="L1975" t="s">
        <v>6803</v>
      </c>
    </row>
    <row r="1976" spans="1:12" x14ac:dyDescent="0.35">
      <c r="A1976" t="s">
        <v>1911</v>
      </c>
      <c r="B1976" s="1">
        <v>45741</v>
      </c>
      <c r="C1976" t="s">
        <v>7321</v>
      </c>
      <c r="F1976" t="s">
        <v>7873</v>
      </c>
      <c r="H1976" t="s">
        <v>1944</v>
      </c>
      <c r="K1976">
        <v>7011700</v>
      </c>
      <c r="L1976" t="s">
        <v>6803</v>
      </c>
    </row>
    <row r="1977" spans="1:12" x14ac:dyDescent="0.35">
      <c r="A1977" t="s">
        <v>1911</v>
      </c>
      <c r="B1977" s="1">
        <v>45742</v>
      </c>
      <c r="C1977" t="s">
        <v>7849</v>
      </c>
      <c r="F1977" t="s">
        <v>7823</v>
      </c>
      <c r="G1977" t="s">
        <v>7877</v>
      </c>
      <c r="H1977" t="s">
        <v>1934</v>
      </c>
      <c r="K1977">
        <v>30000000</v>
      </c>
      <c r="L1977" t="s">
        <v>6803</v>
      </c>
    </row>
    <row r="1978" spans="1:12" x14ac:dyDescent="0.35">
      <c r="A1978" t="s">
        <v>1911</v>
      </c>
      <c r="B1978" s="1">
        <v>45742</v>
      </c>
      <c r="C1978" t="s">
        <v>7849</v>
      </c>
      <c r="F1978" t="s">
        <v>7873</v>
      </c>
      <c r="H1978" t="s">
        <v>1934</v>
      </c>
      <c r="J1978">
        <v>30000000</v>
      </c>
      <c r="L1978" t="s">
        <v>6803</v>
      </c>
    </row>
    <row r="1979" spans="1:12" x14ac:dyDescent="0.35">
      <c r="A1979" t="s">
        <v>1911</v>
      </c>
      <c r="B1979" s="1">
        <v>45742</v>
      </c>
      <c r="C1979" t="s">
        <v>7851</v>
      </c>
      <c r="F1979" t="s">
        <v>7514</v>
      </c>
      <c r="G1979" t="s">
        <v>7664</v>
      </c>
      <c r="H1979" t="s">
        <v>1934</v>
      </c>
      <c r="K1979">
        <v>7670000</v>
      </c>
      <c r="L1979" t="s">
        <v>6803</v>
      </c>
    </row>
    <row r="1980" spans="1:12" x14ac:dyDescent="0.35">
      <c r="A1980" t="s">
        <v>1911</v>
      </c>
      <c r="B1980" s="1">
        <v>45742</v>
      </c>
      <c r="C1980" t="s">
        <v>7851</v>
      </c>
      <c r="F1980" t="s">
        <v>7873</v>
      </c>
      <c r="H1980" t="s">
        <v>1934</v>
      </c>
      <c r="J1980">
        <v>7670000</v>
      </c>
      <c r="L1980" t="s">
        <v>6803</v>
      </c>
    </row>
    <row r="1981" spans="1:12" x14ac:dyDescent="0.35">
      <c r="A1981" t="s">
        <v>1911</v>
      </c>
      <c r="B1981" s="1">
        <v>45742</v>
      </c>
      <c r="C1981" t="s">
        <v>7852</v>
      </c>
      <c r="F1981" t="s">
        <v>7823</v>
      </c>
      <c r="G1981" t="s">
        <v>7877</v>
      </c>
      <c r="H1981" t="s">
        <v>1934</v>
      </c>
      <c r="K1981">
        <v>24087189</v>
      </c>
      <c r="L1981" t="s">
        <v>6803</v>
      </c>
    </row>
    <row r="1982" spans="1:12" x14ac:dyDescent="0.35">
      <c r="A1982" t="s">
        <v>1911</v>
      </c>
      <c r="B1982" s="1">
        <v>45742</v>
      </c>
      <c r="C1982" t="s">
        <v>7852</v>
      </c>
      <c r="F1982" t="s">
        <v>7873</v>
      </c>
      <c r="H1982" t="s">
        <v>1934</v>
      </c>
      <c r="J1982">
        <v>24087189</v>
      </c>
      <c r="L1982" t="s">
        <v>6803</v>
      </c>
    </row>
    <row r="1983" spans="1:12" x14ac:dyDescent="0.35">
      <c r="A1983" t="s">
        <v>1911</v>
      </c>
      <c r="B1983" s="1">
        <v>45742</v>
      </c>
      <c r="C1983" t="s">
        <v>7841</v>
      </c>
      <c r="F1983" t="s">
        <v>7831</v>
      </c>
      <c r="G1983" t="s">
        <v>7881</v>
      </c>
      <c r="H1983" t="s">
        <v>1930</v>
      </c>
      <c r="K1983">
        <v>6944344</v>
      </c>
      <c r="L1983" t="s">
        <v>6803</v>
      </c>
    </row>
    <row r="1984" spans="1:12" x14ac:dyDescent="0.35">
      <c r="A1984" t="s">
        <v>1911</v>
      </c>
      <c r="B1984" s="1">
        <v>45742</v>
      </c>
      <c r="C1984" t="s">
        <v>7841</v>
      </c>
      <c r="F1984" t="s">
        <v>7873</v>
      </c>
      <c r="H1984" t="s">
        <v>1930</v>
      </c>
      <c r="J1984">
        <v>6944344</v>
      </c>
      <c r="L1984" t="s">
        <v>6803</v>
      </c>
    </row>
    <row r="1985" spans="1:12" x14ac:dyDescent="0.35">
      <c r="A1985" t="s">
        <v>1911</v>
      </c>
      <c r="B1985" s="1">
        <v>45742</v>
      </c>
      <c r="C1985" t="s">
        <v>7325</v>
      </c>
      <c r="F1985" t="s">
        <v>6804</v>
      </c>
      <c r="G1985" t="s">
        <v>1368</v>
      </c>
      <c r="H1985" t="s">
        <v>1945</v>
      </c>
      <c r="J1985">
        <v>8240000</v>
      </c>
      <c r="L1985" t="s">
        <v>6803</v>
      </c>
    </row>
    <row r="1986" spans="1:12" x14ac:dyDescent="0.35">
      <c r="A1986" t="s">
        <v>1911</v>
      </c>
      <c r="B1986" s="1">
        <v>45742</v>
      </c>
      <c r="C1986" t="s">
        <v>7325</v>
      </c>
      <c r="F1986" t="s">
        <v>7873</v>
      </c>
      <c r="H1986" t="s">
        <v>1945</v>
      </c>
      <c r="K1986">
        <v>8240000</v>
      </c>
      <c r="L1986" t="s">
        <v>6803</v>
      </c>
    </row>
    <row r="1987" spans="1:12" x14ac:dyDescent="0.35">
      <c r="A1987" t="s">
        <v>1911</v>
      </c>
      <c r="B1987" s="1">
        <v>45742</v>
      </c>
      <c r="C1987" t="s">
        <v>7329</v>
      </c>
      <c r="F1987" t="s">
        <v>7847</v>
      </c>
      <c r="H1987" t="s">
        <v>1946</v>
      </c>
      <c r="J1987">
        <v>208246</v>
      </c>
      <c r="L1987" t="s">
        <v>6803</v>
      </c>
    </row>
    <row r="1988" spans="1:12" x14ac:dyDescent="0.35">
      <c r="A1988" t="s">
        <v>1911</v>
      </c>
      <c r="B1988" s="1">
        <v>45742</v>
      </c>
      <c r="C1988" t="s">
        <v>7329</v>
      </c>
      <c r="F1988" t="s">
        <v>7873</v>
      </c>
      <c r="H1988" t="s">
        <v>1946</v>
      </c>
      <c r="K1988">
        <v>208246</v>
      </c>
      <c r="L1988" t="s">
        <v>6803</v>
      </c>
    </row>
    <row r="1989" spans="1:12" x14ac:dyDescent="0.35">
      <c r="A1989" t="s">
        <v>1911</v>
      </c>
      <c r="B1989" s="1">
        <v>45742</v>
      </c>
      <c r="C1989" t="s">
        <v>7332</v>
      </c>
      <c r="F1989" t="s">
        <v>7847</v>
      </c>
      <c r="H1989" t="s">
        <v>1947</v>
      </c>
      <c r="J1989">
        <v>238458</v>
      </c>
      <c r="L1989" t="s">
        <v>6803</v>
      </c>
    </row>
    <row r="1990" spans="1:12" x14ac:dyDescent="0.35">
      <c r="A1990" t="s">
        <v>1911</v>
      </c>
      <c r="B1990" s="1">
        <v>45742</v>
      </c>
      <c r="C1990" t="s">
        <v>7332</v>
      </c>
      <c r="F1990" t="s">
        <v>7873</v>
      </c>
      <c r="H1990" t="s">
        <v>1948</v>
      </c>
      <c r="K1990">
        <v>238458</v>
      </c>
      <c r="L1990" t="s">
        <v>6803</v>
      </c>
    </row>
    <row r="1991" spans="1:12" x14ac:dyDescent="0.35">
      <c r="A1991" t="s">
        <v>1911</v>
      </c>
      <c r="B1991" s="1">
        <v>45742</v>
      </c>
      <c r="C1991" t="s">
        <v>7333</v>
      </c>
      <c r="F1991" t="s">
        <v>7847</v>
      </c>
      <c r="H1991" t="s">
        <v>1949</v>
      </c>
      <c r="J1991">
        <v>210488</v>
      </c>
      <c r="L1991" t="s">
        <v>6803</v>
      </c>
    </row>
    <row r="1992" spans="1:12" x14ac:dyDescent="0.35">
      <c r="A1992" t="s">
        <v>1911</v>
      </c>
      <c r="B1992" s="1">
        <v>45742</v>
      </c>
      <c r="C1992" t="s">
        <v>7333</v>
      </c>
      <c r="F1992" t="s">
        <v>7873</v>
      </c>
      <c r="H1992" t="s">
        <v>1949</v>
      </c>
      <c r="K1992">
        <v>210488</v>
      </c>
      <c r="L1992" t="s">
        <v>6803</v>
      </c>
    </row>
    <row r="1993" spans="1:12" x14ac:dyDescent="0.35">
      <c r="A1993" t="s">
        <v>1911</v>
      </c>
      <c r="B1993" s="1">
        <v>45742</v>
      </c>
      <c r="C1993" t="s">
        <v>7336</v>
      </c>
      <c r="F1993" t="s">
        <v>7847</v>
      </c>
      <c r="H1993" t="s">
        <v>1950</v>
      </c>
      <c r="J1993">
        <v>177302</v>
      </c>
      <c r="L1993" t="s">
        <v>6803</v>
      </c>
    </row>
    <row r="1994" spans="1:12" x14ac:dyDescent="0.35">
      <c r="A1994" t="s">
        <v>1911</v>
      </c>
      <c r="B1994" s="1">
        <v>45742</v>
      </c>
      <c r="C1994" t="s">
        <v>7336</v>
      </c>
      <c r="F1994" t="s">
        <v>7873</v>
      </c>
      <c r="H1994" t="s">
        <v>1950</v>
      </c>
      <c r="K1994">
        <v>177302</v>
      </c>
      <c r="L1994" t="s">
        <v>6803</v>
      </c>
    </row>
    <row r="1995" spans="1:12" x14ac:dyDescent="0.35">
      <c r="A1995" t="s">
        <v>1911</v>
      </c>
      <c r="B1995" s="1">
        <v>45742</v>
      </c>
      <c r="C1995" t="s">
        <v>7337</v>
      </c>
      <c r="F1995" t="s">
        <v>7847</v>
      </c>
      <c r="H1995" t="s">
        <v>1951</v>
      </c>
      <c r="J1995">
        <v>201863</v>
      </c>
      <c r="L1995" t="s">
        <v>6803</v>
      </c>
    </row>
    <row r="1996" spans="1:12" x14ac:dyDescent="0.35">
      <c r="A1996" t="s">
        <v>1911</v>
      </c>
      <c r="B1996" s="1">
        <v>45742</v>
      </c>
      <c r="C1996" t="s">
        <v>7337</v>
      </c>
      <c r="F1996" t="s">
        <v>7873</v>
      </c>
      <c r="H1996" t="s">
        <v>1951</v>
      </c>
      <c r="K1996">
        <v>201863</v>
      </c>
      <c r="L1996" t="s">
        <v>6803</v>
      </c>
    </row>
    <row r="1997" spans="1:12" x14ac:dyDescent="0.35">
      <c r="A1997" t="s">
        <v>1911</v>
      </c>
      <c r="B1997" s="1">
        <v>45742</v>
      </c>
      <c r="C1997" t="s">
        <v>7340</v>
      </c>
      <c r="F1997" t="s">
        <v>7847</v>
      </c>
      <c r="H1997" t="s">
        <v>1952</v>
      </c>
      <c r="J1997">
        <v>174405</v>
      </c>
      <c r="L1997" t="s">
        <v>6803</v>
      </c>
    </row>
    <row r="1998" spans="1:12" x14ac:dyDescent="0.35">
      <c r="A1998" t="s">
        <v>1911</v>
      </c>
      <c r="B1998" s="1">
        <v>45742</v>
      </c>
      <c r="C1998" t="s">
        <v>7340</v>
      </c>
      <c r="F1998" t="s">
        <v>7873</v>
      </c>
      <c r="H1998" t="s">
        <v>1952</v>
      </c>
      <c r="K1998">
        <v>174405</v>
      </c>
      <c r="L1998" t="s">
        <v>6803</v>
      </c>
    </row>
    <row r="1999" spans="1:12" x14ac:dyDescent="0.35">
      <c r="A1999" t="s">
        <v>1911</v>
      </c>
      <c r="B1999" s="1">
        <v>45742</v>
      </c>
      <c r="C1999" t="s">
        <v>7341</v>
      </c>
      <c r="F1999" t="s">
        <v>7847</v>
      </c>
      <c r="H1999" t="s">
        <v>1953</v>
      </c>
      <c r="J1999">
        <v>181045</v>
      </c>
      <c r="L1999" t="s">
        <v>6803</v>
      </c>
    </row>
    <row r="2000" spans="1:12" x14ac:dyDescent="0.35">
      <c r="A2000" t="s">
        <v>1911</v>
      </c>
      <c r="B2000" s="1">
        <v>45742</v>
      </c>
      <c r="C2000" t="s">
        <v>7341</v>
      </c>
      <c r="F2000" t="s">
        <v>7873</v>
      </c>
      <c r="H2000" t="s">
        <v>1953</v>
      </c>
      <c r="K2000">
        <v>181045</v>
      </c>
      <c r="L2000" t="s">
        <v>6803</v>
      </c>
    </row>
    <row r="2001" spans="1:12" x14ac:dyDescent="0.35">
      <c r="A2001" t="s">
        <v>1911</v>
      </c>
      <c r="B2001" s="1">
        <v>45742</v>
      </c>
      <c r="C2001" t="s">
        <v>7342</v>
      </c>
      <c r="F2001" t="s">
        <v>7847</v>
      </c>
      <c r="H2001" t="s">
        <v>1954</v>
      </c>
      <c r="J2001">
        <v>177151</v>
      </c>
      <c r="L2001" t="s">
        <v>6803</v>
      </c>
    </row>
    <row r="2002" spans="1:12" x14ac:dyDescent="0.35">
      <c r="A2002" t="s">
        <v>1911</v>
      </c>
      <c r="B2002" s="1">
        <v>45742</v>
      </c>
      <c r="C2002" t="s">
        <v>7342</v>
      </c>
      <c r="F2002" t="s">
        <v>7873</v>
      </c>
      <c r="H2002" t="s">
        <v>1954</v>
      </c>
      <c r="K2002">
        <v>177151</v>
      </c>
      <c r="L2002" t="s">
        <v>6803</v>
      </c>
    </row>
    <row r="2003" spans="1:12" x14ac:dyDescent="0.35">
      <c r="A2003" t="s">
        <v>1911</v>
      </c>
      <c r="B2003" s="1">
        <v>45742</v>
      </c>
      <c r="C2003" t="s">
        <v>7344</v>
      </c>
      <c r="F2003" t="s">
        <v>7847</v>
      </c>
      <c r="H2003" t="s">
        <v>1955</v>
      </c>
      <c r="J2003">
        <v>177001</v>
      </c>
      <c r="L2003" t="s">
        <v>6803</v>
      </c>
    </row>
    <row r="2004" spans="1:12" x14ac:dyDescent="0.35">
      <c r="A2004" t="s">
        <v>1911</v>
      </c>
      <c r="B2004" s="1">
        <v>45742</v>
      </c>
      <c r="C2004" t="s">
        <v>7344</v>
      </c>
      <c r="F2004" t="s">
        <v>7873</v>
      </c>
      <c r="H2004" t="s">
        <v>1955</v>
      </c>
      <c r="K2004">
        <v>177001</v>
      </c>
      <c r="L2004" t="s">
        <v>6803</v>
      </c>
    </row>
    <row r="2005" spans="1:12" x14ac:dyDescent="0.35">
      <c r="A2005" t="s">
        <v>1911</v>
      </c>
      <c r="B2005" s="1">
        <v>45742</v>
      </c>
      <c r="C2005" t="s">
        <v>7346</v>
      </c>
      <c r="F2005" t="s">
        <v>7847</v>
      </c>
      <c r="H2005" t="s">
        <v>1956</v>
      </c>
      <c r="J2005">
        <v>174405</v>
      </c>
      <c r="L2005" t="s">
        <v>6803</v>
      </c>
    </row>
    <row r="2006" spans="1:12" x14ac:dyDescent="0.35">
      <c r="A2006" t="s">
        <v>1911</v>
      </c>
      <c r="B2006" s="1">
        <v>45742</v>
      </c>
      <c r="C2006" t="s">
        <v>7346</v>
      </c>
      <c r="F2006" t="s">
        <v>7873</v>
      </c>
      <c r="H2006" t="s">
        <v>1956</v>
      </c>
      <c r="K2006">
        <v>174405</v>
      </c>
      <c r="L2006" t="s">
        <v>6803</v>
      </c>
    </row>
    <row r="2007" spans="1:12" x14ac:dyDescent="0.35">
      <c r="A2007" t="s">
        <v>1911</v>
      </c>
      <c r="B2007" s="1">
        <v>45742</v>
      </c>
      <c r="C2007" t="s">
        <v>7349</v>
      </c>
      <c r="F2007" t="s">
        <v>7847</v>
      </c>
      <c r="H2007" t="s">
        <v>1957</v>
      </c>
      <c r="J2007">
        <v>163592</v>
      </c>
      <c r="L2007" t="s">
        <v>6803</v>
      </c>
    </row>
    <row r="2008" spans="1:12" x14ac:dyDescent="0.35">
      <c r="A2008" t="s">
        <v>1911</v>
      </c>
      <c r="B2008" s="1">
        <v>45742</v>
      </c>
      <c r="C2008" t="s">
        <v>7349</v>
      </c>
      <c r="F2008" t="s">
        <v>7873</v>
      </c>
      <c r="H2008" t="s">
        <v>1957</v>
      </c>
      <c r="K2008">
        <v>163592</v>
      </c>
      <c r="L2008" t="s">
        <v>6803</v>
      </c>
    </row>
    <row r="2009" spans="1:12" x14ac:dyDescent="0.35">
      <c r="A2009" t="s">
        <v>1911</v>
      </c>
      <c r="B2009" s="1">
        <v>45742</v>
      </c>
      <c r="C2009" t="s">
        <v>7352</v>
      </c>
      <c r="F2009" t="s">
        <v>7847</v>
      </c>
      <c r="H2009" t="s">
        <v>1958</v>
      </c>
      <c r="J2009">
        <v>150615</v>
      </c>
      <c r="L2009" t="s">
        <v>6803</v>
      </c>
    </row>
    <row r="2010" spans="1:12" x14ac:dyDescent="0.35">
      <c r="A2010" t="s">
        <v>1911</v>
      </c>
      <c r="B2010" s="1">
        <v>45742</v>
      </c>
      <c r="C2010" t="s">
        <v>7352</v>
      </c>
      <c r="F2010" t="s">
        <v>7873</v>
      </c>
      <c r="H2010" t="s">
        <v>1958</v>
      </c>
      <c r="K2010">
        <v>150615</v>
      </c>
      <c r="L2010" t="s">
        <v>6803</v>
      </c>
    </row>
    <row r="2011" spans="1:12" x14ac:dyDescent="0.35">
      <c r="A2011" t="s">
        <v>1911</v>
      </c>
      <c r="B2011" s="1">
        <v>45742</v>
      </c>
      <c r="C2011" t="s">
        <v>7353</v>
      </c>
      <c r="F2011" t="s">
        <v>7847</v>
      </c>
      <c r="H2011" t="s">
        <v>1959</v>
      </c>
      <c r="J2011">
        <v>113040</v>
      </c>
      <c r="L2011" t="s">
        <v>6803</v>
      </c>
    </row>
    <row r="2012" spans="1:12" x14ac:dyDescent="0.35">
      <c r="A2012" t="s">
        <v>1911</v>
      </c>
      <c r="B2012" s="1">
        <v>45742</v>
      </c>
      <c r="C2012" t="s">
        <v>7353</v>
      </c>
      <c r="F2012" t="s">
        <v>7873</v>
      </c>
      <c r="H2012" t="s">
        <v>1959</v>
      </c>
      <c r="K2012">
        <v>113040</v>
      </c>
      <c r="L2012" t="s">
        <v>6803</v>
      </c>
    </row>
    <row r="2013" spans="1:12" x14ac:dyDescent="0.35">
      <c r="A2013" t="s">
        <v>1911</v>
      </c>
      <c r="B2013" s="1">
        <v>45742</v>
      </c>
      <c r="C2013" t="s">
        <v>7356</v>
      </c>
      <c r="F2013" t="s">
        <v>7847</v>
      </c>
      <c r="H2013" t="s">
        <v>1960</v>
      </c>
      <c r="J2013">
        <v>113040</v>
      </c>
      <c r="L2013" t="s">
        <v>6803</v>
      </c>
    </row>
    <row r="2014" spans="1:12" x14ac:dyDescent="0.35">
      <c r="A2014" t="s">
        <v>1911</v>
      </c>
      <c r="B2014" s="1">
        <v>45742</v>
      </c>
      <c r="C2014" t="s">
        <v>7356</v>
      </c>
      <c r="F2014" t="s">
        <v>7873</v>
      </c>
      <c r="H2014" t="s">
        <v>1960</v>
      </c>
      <c r="K2014">
        <v>113040</v>
      </c>
      <c r="L2014" t="s">
        <v>6803</v>
      </c>
    </row>
    <row r="2015" spans="1:12" x14ac:dyDescent="0.35">
      <c r="A2015" t="s">
        <v>1911</v>
      </c>
      <c r="B2015" s="1">
        <v>45742</v>
      </c>
      <c r="C2015" t="s">
        <v>7359</v>
      </c>
      <c r="F2015" t="s">
        <v>7847</v>
      </c>
      <c r="H2015" t="s">
        <v>1961</v>
      </c>
      <c r="J2015">
        <v>113040</v>
      </c>
      <c r="L2015" t="s">
        <v>6803</v>
      </c>
    </row>
    <row r="2016" spans="1:12" x14ac:dyDescent="0.35">
      <c r="A2016" t="s">
        <v>1911</v>
      </c>
      <c r="B2016" s="1">
        <v>45742</v>
      </c>
      <c r="C2016" t="s">
        <v>7359</v>
      </c>
      <c r="F2016" t="s">
        <v>7873</v>
      </c>
      <c r="H2016" t="s">
        <v>1961</v>
      </c>
      <c r="K2016">
        <v>113040</v>
      </c>
      <c r="L2016" t="s">
        <v>6803</v>
      </c>
    </row>
    <row r="2017" spans="1:12" x14ac:dyDescent="0.35">
      <c r="A2017" t="s">
        <v>1911</v>
      </c>
      <c r="B2017" s="1">
        <v>45742</v>
      </c>
      <c r="C2017" t="s">
        <v>7361</v>
      </c>
      <c r="F2017" t="s">
        <v>7847</v>
      </c>
      <c r="H2017" t="s">
        <v>1962</v>
      </c>
      <c r="J2017">
        <v>113040</v>
      </c>
      <c r="L2017" t="s">
        <v>6803</v>
      </c>
    </row>
    <row r="2018" spans="1:12" x14ac:dyDescent="0.35">
      <c r="A2018" t="s">
        <v>1911</v>
      </c>
      <c r="B2018" s="1">
        <v>45742</v>
      </c>
      <c r="C2018" t="s">
        <v>7361</v>
      </c>
      <c r="F2018" t="s">
        <v>7873</v>
      </c>
      <c r="H2018" t="s">
        <v>1962</v>
      </c>
      <c r="K2018">
        <v>113040</v>
      </c>
      <c r="L2018" t="s">
        <v>6803</v>
      </c>
    </row>
    <row r="2019" spans="1:12" x14ac:dyDescent="0.35">
      <c r="A2019" t="s">
        <v>1911</v>
      </c>
      <c r="B2019" s="1">
        <v>45742</v>
      </c>
      <c r="C2019" t="s">
        <v>7362</v>
      </c>
      <c r="F2019" t="s">
        <v>7847</v>
      </c>
      <c r="H2019" t="s">
        <v>1963</v>
      </c>
      <c r="J2019">
        <v>113040</v>
      </c>
      <c r="L2019" t="s">
        <v>6803</v>
      </c>
    </row>
    <row r="2020" spans="1:12" x14ac:dyDescent="0.35">
      <c r="A2020" t="s">
        <v>1911</v>
      </c>
      <c r="B2020" s="1">
        <v>45742</v>
      </c>
      <c r="C2020" t="s">
        <v>7362</v>
      </c>
      <c r="F2020" t="s">
        <v>7873</v>
      </c>
      <c r="H2020" t="s">
        <v>1963</v>
      </c>
      <c r="K2020">
        <v>113040</v>
      </c>
      <c r="L2020" t="s">
        <v>6803</v>
      </c>
    </row>
    <row r="2021" spans="1:12" x14ac:dyDescent="0.35">
      <c r="A2021" t="s">
        <v>1911</v>
      </c>
      <c r="B2021" s="1">
        <v>45742</v>
      </c>
      <c r="C2021" t="s">
        <v>7364</v>
      </c>
      <c r="F2021" t="s">
        <v>7847</v>
      </c>
      <c r="H2021" t="s">
        <v>1964</v>
      </c>
      <c r="J2021">
        <v>113040</v>
      </c>
      <c r="L2021" t="s">
        <v>6803</v>
      </c>
    </row>
    <row r="2022" spans="1:12" x14ac:dyDescent="0.35">
      <c r="A2022" t="s">
        <v>1911</v>
      </c>
      <c r="B2022" s="1">
        <v>45742</v>
      </c>
      <c r="C2022" t="s">
        <v>7364</v>
      </c>
      <c r="F2022" t="s">
        <v>7873</v>
      </c>
      <c r="H2022" t="s">
        <v>1964</v>
      </c>
      <c r="K2022">
        <v>113040</v>
      </c>
      <c r="L2022" t="s">
        <v>6803</v>
      </c>
    </row>
    <row r="2023" spans="1:12" x14ac:dyDescent="0.35">
      <c r="A2023" t="s">
        <v>1911</v>
      </c>
      <c r="B2023" s="1">
        <v>45742</v>
      </c>
      <c r="C2023" t="s">
        <v>7365</v>
      </c>
      <c r="F2023" t="s">
        <v>7847</v>
      </c>
      <c r="H2023" t="s">
        <v>1965</v>
      </c>
      <c r="J2023">
        <v>113040</v>
      </c>
      <c r="L2023" t="s">
        <v>6803</v>
      </c>
    </row>
    <row r="2024" spans="1:12" x14ac:dyDescent="0.35">
      <c r="A2024" t="s">
        <v>1911</v>
      </c>
      <c r="B2024" s="1">
        <v>45742</v>
      </c>
      <c r="C2024" t="s">
        <v>7365</v>
      </c>
      <c r="F2024" t="s">
        <v>7873</v>
      </c>
      <c r="H2024" t="s">
        <v>1965</v>
      </c>
      <c r="K2024">
        <v>113040</v>
      </c>
      <c r="L2024" t="s">
        <v>6803</v>
      </c>
    </row>
    <row r="2025" spans="1:12" x14ac:dyDescent="0.35">
      <c r="A2025" t="s">
        <v>1911</v>
      </c>
      <c r="B2025" s="1">
        <v>45742</v>
      </c>
      <c r="C2025" t="s">
        <v>7366</v>
      </c>
      <c r="F2025" t="s">
        <v>7847</v>
      </c>
      <c r="H2025" t="s">
        <v>1966</v>
      </c>
      <c r="J2025">
        <v>113040</v>
      </c>
      <c r="L2025" t="s">
        <v>6803</v>
      </c>
    </row>
    <row r="2026" spans="1:12" x14ac:dyDescent="0.35">
      <c r="A2026" t="s">
        <v>1911</v>
      </c>
      <c r="B2026" s="1">
        <v>45742</v>
      </c>
      <c r="C2026" t="s">
        <v>7366</v>
      </c>
      <c r="F2026" t="s">
        <v>7873</v>
      </c>
      <c r="H2026" t="s">
        <v>1966</v>
      </c>
      <c r="K2026">
        <v>113040</v>
      </c>
      <c r="L2026" t="s">
        <v>6803</v>
      </c>
    </row>
    <row r="2027" spans="1:12" x14ac:dyDescent="0.35">
      <c r="A2027" t="s">
        <v>1911</v>
      </c>
      <c r="B2027" s="1">
        <v>45742</v>
      </c>
      <c r="C2027" t="s">
        <v>7368</v>
      </c>
      <c r="F2027" t="s">
        <v>7847</v>
      </c>
      <c r="H2027" t="s">
        <v>1967</v>
      </c>
      <c r="J2027">
        <v>113040</v>
      </c>
      <c r="L2027" t="s">
        <v>6803</v>
      </c>
    </row>
    <row r="2028" spans="1:12" x14ac:dyDescent="0.35">
      <c r="A2028" t="s">
        <v>1911</v>
      </c>
      <c r="B2028" s="1">
        <v>45742</v>
      </c>
      <c r="C2028" t="s">
        <v>7368</v>
      </c>
      <c r="F2028" t="s">
        <v>7873</v>
      </c>
      <c r="H2028" t="s">
        <v>1967</v>
      </c>
      <c r="K2028">
        <v>113040</v>
      </c>
      <c r="L2028" t="s">
        <v>6803</v>
      </c>
    </row>
    <row r="2029" spans="1:12" x14ac:dyDescent="0.35">
      <c r="A2029" t="s">
        <v>1911</v>
      </c>
      <c r="B2029" s="1">
        <v>45742</v>
      </c>
      <c r="C2029" t="s">
        <v>7371</v>
      </c>
      <c r="F2029" t="s">
        <v>7847</v>
      </c>
      <c r="H2029" t="s">
        <v>1968</v>
      </c>
      <c r="J2029">
        <v>113040</v>
      </c>
      <c r="L2029" t="s">
        <v>6803</v>
      </c>
    </row>
    <row r="2030" spans="1:12" x14ac:dyDescent="0.35">
      <c r="A2030" t="s">
        <v>1911</v>
      </c>
      <c r="B2030" s="1">
        <v>45742</v>
      </c>
      <c r="C2030" t="s">
        <v>7371</v>
      </c>
      <c r="F2030" t="s">
        <v>7873</v>
      </c>
      <c r="H2030" t="s">
        <v>1968</v>
      </c>
      <c r="K2030">
        <v>113040</v>
      </c>
      <c r="L2030" t="s">
        <v>6803</v>
      </c>
    </row>
    <row r="2031" spans="1:12" x14ac:dyDescent="0.35">
      <c r="A2031" t="s">
        <v>1911</v>
      </c>
      <c r="B2031" s="1">
        <v>45742</v>
      </c>
      <c r="C2031" t="s">
        <v>7373</v>
      </c>
      <c r="F2031" t="s">
        <v>7847</v>
      </c>
      <c r="H2031" t="s">
        <v>1969</v>
      </c>
      <c r="J2031">
        <v>113040</v>
      </c>
      <c r="L2031" t="s">
        <v>6803</v>
      </c>
    </row>
    <row r="2032" spans="1:12" x14ac:dyDescent="0.35">
      <c r="A2032" t="s">
        <v>1911</v>
      </c>
      <c r="B2032" s="1">
        <v>45742</v>
      </c>
      <c r="C2032" t="s">
        <v>7373</v>
      </c>
      <c r="F2032" t="s">
        <v>7873</v>
      </c>
      <c r="H2032" t="s">
        <v>1969</v>
      </c>
      <c r="K2032">
        <v>113040</v>
      </c>
      <c r="L2032" t="s">
        <v>6803</v>
      </c>
    </row>
    <row r="2033" spans="1:12" x14ac:dyDescent="0.35">
      <c r="A2033" t="s">
        <v>1911</v>
      </c>
      <c r="B2033" s="1">
        <v>45742</v>
      </c>
      <c r="C2033" t="s">
        <v>7375</v>
      </c>
      <c r="F2033" t="s">
        <v>7847</v>
      </c>
      <c r="H2033" t="s">
        <v>1970</v>
      </c>
      <c r="J2033">
        <v>113040</v>
      </c>
      <c r="L2033" t="s">
        <v>6803</v>
      </c>
    </row>
    <row r="2034" spans="1:12" x14ac:dyDescent="0.35">
      <c r="A2034" t="s">
        <v>1911</v>
      </c>
      <c r="B2034" s="1">
        <v>45742</v>
      </c>
      <c r="C2034" t="s">
        <v>7375</v>
      </c>
      <c r="F2034" t="s">
        <v>7873</v>
      </c>
      <c r="H2034" t="s">
        <v>1970</v>
      </c>
      <c r="K2034">
        <v>113040</v>
      </c>
      <c r="L2034" t="s">
        <v>6803</v>
      </c>
    </row>
    <row r="2035" spans="1:12" x14ac:dyDescent="0.35">
      <c r="A2035" t="s">
        <v>1911</v>
      </c>
      <c r="B2035" s="1">
        <v>45742</v>
      </c>
      <c r="C2035" t="s">
        <v>7377</v>
      </c>
      <c r="F2035" t="s">
        <v>7847</v>
      </c>
      <c r="H2035" t="s">
        <v>1971</v>
      </c>
      <c r="J2035">
        <v>113040</v>
      </c>
      <c r="L2035" t="s">
        <v>6803</v>
      </c>
    </row>
    <row r="2036" spans="1:12" x14ac:dyDescent="0.35">
      <c r="A2036" t="s">
        <v>1911</v>
      </c>
      <c r="B2036" s="1">
        <v>45742</v>
      </c>
      <c r="C2036" t="s">
        <v>7377</v>
      </c>
      <c r="F2036" t="s">
        <v>7873</v>
      </c>
      <c r="H2036" t="s">
        <v>1971</v>
      </c>
      <c r="K2036">
        <v>113040</v>
      </c>
      <c r="L2036" t="s">
        <v>6803</v>
      </c>
    </row>
    <row r="2037" spans="1:12" x14ac:dyDescent="0.35">
      <c r="A2037" t="s">
        <v>1911</v>
      </c>
      <c r="B2037" s="1">
        <v>45742</v>
      </c>
      <c r="C2037" t="s">
        <v>7379</v>
      </c>
      <c r="F2037" t="s">
        <v>7847</v>
      </c>
      <c r="H2037" t="s">
        <v>1972</v>
      </c>
      <c r="J2037">
        <v>113040</v>
      </c>
      <c r="L2037" t="s">
        <v>6803</v>
      </c>
    </row>
    <row r="2038" spans="1:12" x14ac:dyDescent="0.35">
      <c r="A2038" t="s">
        <v>1911</v>
      </c>
      <c r="B2038" s="1">
        <v>45742</v>
      </c>
      <c r="C2038" t="s">
        <v>7379</v>
      </c>
      <c r="F2038" t="s">
        <v>7873</v>
      </c>
      <c r="H2038" t="s">
        <v>1972</v>
      </c>
      <c r="K2038">
        <v>113040</v>
      </c>
      <c r="L2038" t="s">
        <v>6803</v>
      </c>
    </row>
    <row r="2039" spans="1:12" x14ac:dyDescent="0.35">
      <c r="A2039" t="s">
        <v>1911</v>
      </c>
      <c r="B2039" s="1">
        <v>45742</v>
      </c>
      <c r="C2039" t="s">
        <v>7381</v>
      </c>
      <c r="F2039" t="s">
        <v>7847</v>
      </c>
      <c r="H2039" t="s">
        <v>1973</v>
      </c>
      <c r="J2039">
        <v>113040</v>
      </c>
      <c r="L2039" t="s">
        <v>6803</v>
      </c>
    </row>
    <row r="2040" spans="1:12" x14ac:dyDescent="0.35">
      <c r="A2040" t="s">
        <v>1911</v>
      </c>
      <c r="B2040" s="1">
        <v>45742</v>
      </c>
      <c r="C2040" t="s">
        <v>7381</v>
      </c>
      <c r="F2040" t="s">
        <v>7873</v>
      </c>
      <c r="H2040" t="s">
        <v>1973</v>
      </c>
      <c r="K2040">
        <v>113040</v>
      </c>
      <c r="L2040" t="s">
        <v>6803</v>
      </c>
    </row>
    <row r="2041" spans="1:12" x14ac:dyDescent="0.35">
      <c r="A2041" t="s">
        <v>1911</v>
      </c>
      <c r="B2041" s="1">
        <v>45742</v>
      </c>
      <c r="C2041" t="s">
        <v>7383</v>
      </c>
      <c r="F2041" t="s">
        <v>7847</v>
      </c>
      <c r="H2041" t="s">
        <v>1974</v>
      </c>
      <c r="J2041">
        <v>113040</v>
      </c>
      <c r="L2041" t="s">
        <v>6803</v>
      </c>
    </row>
    <row r="2042" spans="1:12" x14ac:dyDescent="0.35">
      <c r="A2042" t="s">
        <v>1911</v>
      </c>
      <c r="B2042" s="1">
        <v>45742</v>
      </c>
      <c r="C2042" t="s">
        <v>7383</v>
      </c>
      <c r="F2042" t="s">
        <v>7873</v>
      </c>
      <c r="H2042" t="s">
        <v>1974</v>
      </c>
      <c r="K2042">
        <v>113040</v>
      </c>
      <c r="L2042" t="s">
        <v>6803</v>
      </c>
    </row>
    <row r="2043" spans="1:12" x14ac:dyDescent="0.35">
      <c r="A2043" t="s">
        <v>1911</v>
      </c>
      <c r="B2043" s="1">
        <v>45742</v>
      </c>
      <c r="C2043" t="s">
        <v>7385</v>
      </c>
      <c r="F2043" t="s">
        <v>7847</v>
      </c>
      <c r="H2043" t="s">
        <v>1975</v>
      </c>
      <c r="J2043">
        <v>161893</v>
      </c>
      <c r="L2043" t="s">
        <v>6803</v>
      </c>
    </row>
    <row r="2044" spans="1:12" x14ac:dyDescent="0.35">
      <c r="A2044" t="s">
        <v>1911</v>
      </c>
      <c r="B2044" s="1">
        <v>45742</v>
      </c>
      <c r="C2044" t="s">
        <v>7385</v>
      </c>
      <c r="F2044" t="s">
        <v>7873</v>
      </c>
      <c r="H2044" t="s">
        <v>1975</v>
      </c>
      <c r="K2044">
        <v>161893</v>
      </c>
      <c r="L2044" t="s">
        <v>6803</v>
      </c>
    </row>
    <row r="2045" spans="1:12" x14ac:dyDescent="0.35">
      <c r="A2045" t="s">
        <v>1911</v>
      </c>
      <c r="B2045" s="1">
        <v>45742</v>
      </c>
      <c r="C2045" t="s">
        <v>7400</v>
      </c>
      <c r="F2045" t="s">
        <v>6804</v>
      </c>
      <c r="G2045" t="s">
        <v>1365</v>
      </c>
      <c r="H2045" t="s">
        <v>1794</v>
      </c>
      <c r="J2045">
        <v>13120000</v>
      </c>
      <c r="L2045" t="s">
        <v>6803</v>
      </c>
    </row>
    <row r="2046" spans="1:12" x14ac:dyDescent="0.35">
      <c r="A2046" t="s">
        <v>1911</v>
      </c>
      <c r="B2046" s="1">
        <v>45742</v>
      </c>
      <c r="C2046" t="s">
        <v>7400</v>
      </c>
      <c r="F2046" t="s">
        <v>7873</v>
      </c>
      <c r="H2046" t="s">
        <v>1794</v>
      </c>
      <c r="K2046">
        <v>13120000</v>
      </c>
      <c r="L2046" t="s">
        <v>6803</v>
      </c>
    </row>
    <row r="2047" spans="1:12" x14ac:dyDescent="0.35">
      <c r="A2047" t="s">
        <v>1911</v>
      </c>
      <c r="B2047" s="1">
        <v>45744</v>
      </c>
      <c r="C2047" t="s">
        <v>7793</v>
      </c>
      <c r="F2047" t="s">
        <v>7888</v>
      </c>
      <c r="H2047" t="s">
        <v>1976</v>
      </c>
      <c r="J2047">
        <v>17743300</v>
      </c>
      <c r="L2047" t="s">
        <v>6803</v>
      </c>
    </row>
    <row r="2048" spans="1:12" x14ac:dyDescent="0.35">
      <c r="A2048" t="s">
        <v>1911</v>
      </c>
      <c r="B2048" s="1">
        <v>45744</v>
      </c>
      <c r="C2048" t="s">
        <v>7793</v>
      </c>
      <c r="F2048" t="s">
        <v>6819</v>
      </c>
      <c r="H2048" t="s">
        <v>1976</v>
      </c>
      <c r="J2048">
        <v>738332</v>
      </c>
      <c r="L2048" t="s">
        <v>6803</v>
      </c>
    </row>
    <row r="2049" spans="1:12" x14ac:dyDescent="0.35">
      <c r="A2049" t="s">
        <v>1911</v>
      </c>
      <c r="B2049" s="1">
        <v>45744</v>
      </c>
      <c r="C2049" t="s">
        <v>7793</v>
      </c>
      <c r="F2049" t="s">
        <v>7873</v>
      </c>
      <c r="H2049" t="s">
        <v>1976</v>
      </c>
      <c r="K2049">
        <v>25864950</v>
      </c>
      <c r="L2049" t="s">
        <v>6803</v>
      </c>
    </row>
    <row r="2050" spans="1:12" x14ac:dyDescent="0.35">
      <c r="A2050" t="s">
        <v>1911</v>
      </c>
      <c r="B2050" s="1">
        <v>45744</v>
      </c>
      <c r="C2050" t="s">
        <v>7793</v>
      </c>
      <c r="F2050" t="s">
        <v>7834</v>
      </c>
      <c r="H2050" t="s">
        <v>1976</v>
      </c>
      <c r="J2050">
        <v>7383318</v>
      </c>
      <c r="L2050" t="s">
        <v>347</v>
      </c>
    </row>
    <row r="2051" spans="1:12" x14ac:dyDescent="0.35">
      <c r="A2051" t="s">
        <v>1911</v>
      </c>
      <c r="B2051" s="1">
        <v>45744</v>
      </c>
      <c r="C2051" t="s">
        <v>7842</v>
      </c>
      <c r="F2051" t="s">
        <v>6804</v>
      </c>
      <c r="G2051" t="s">
        <v>7889</v>
      </c>
      <c r="H2051" t="s">
        <v>1977</v>
      </c>
      <c r="J2051">
        <v>8017200</v>
      </c>
      <c r="L2051" t="s">
        <v>6803</v>
      </c>
    </row>
    <row r="2052" spans="1:12" x14ac:dyDescent="0.35">
      <c r="A2052" t="s">
        <v>1911</v>
      </c>
      <c r="B2052" s="1">
        <v>45744</v>
      </c>
      <c r="C2052" t="s">
        <v>7842</v>
      </c>
      <c r="F2052" t="s">
        <v>7873</v>
      </c>
      <c r="H2052" t="s">
        <v>1977</v>
      </c>
      <c r="K2052">
        <v>8017200</v>
      </c>
      <c r="L2052" t="s">
        <v>6803</v>
      </c>
    </row>
    <row r="2053" spans="1:12" x14ac:dyDescent="0.35">
      <c r="A2053" t="s">
        <v>1911</v>
      </c>
      <c r="B2053" s="1">
        <v>45744</v>
      </c>
      <c r="C2053" t="s">
        <v>7843</v>
      </c>
      <c r="F2053" t="s">
        <v>6804</v>
      </c>
      <c r="G2053" t="s">
        <v>7169</v>
      </c>
      <c r="H2053" t="s">
        <v>1978</v>
      </c>
      <c r="J2053">
        <v>150000</v>
      </c>
      <c r="L2053" t="s">
        <v>6803</v>
      </c>
    </row>
    <row r="2054" spans="1:12" x14ac:dyDescent="0.35">
      <c r="A2054" t="s">
        <v>1911</v>
      </c>
      <c r="B2054" s="1">
        <v>45744</v>
      </c>
      <c r="C2054" t="s">
        <v>7843</v>
      </c>
      <c r="F2054" t="s">
        <v>7873</v>
      </c>
      <c r="H2054" t="s">
        <v>1978</v>
      </c>
      <c r="K2054">
        <v>150000</v>
      </c>
      <c r="L2054" t="s">
        <v>6803</v>
      </c>
    </row>
    <row r="2055" spans="1:12" x14ac:dyDescent="0.35">
      <c r="A2055" t="s">
        <v>1911</v>
      </c>
      <c r="B2055" s="1">
        <v>45744</v>
      </c>
      <c r="C2055" t="s">
        <v>7844</v>
      </c>
      <c r="F2055" t="s">
        <v>6804</v>
      </c>
      <c r="G2055" t="s">
        <v>7890</v>
      </c>
      <c r="H2055" t="s">
        <v>1979</v>
      </c>
      <c r="J2055">
        <v>345000</v>
      </c>
      <c r="L2055" t="s">
        <v>6803</v>
      </c>
    </row>
    <row r="2056" spans="1:12" x14ac:dyDescent="0.35">
      <c r="A2056" t="s">
        <v>1911</v>
      </c>
      <c r="B2056" s="1">
        <v>45744</v>
      </c>
      <c r="C2056" t="s">
        <v>7844</v>
      </c>
      <c r="F2056" t="s">
        <v>7873</v>
      </c>
      <c r="H2056" t="s">
        <v>1979</v>
      </c>
      <c r="K2056">
        <v>345000</v>
      </c>
      <c r="L2056" t="s">
        <v>6803</v>
      </c>
    </row>
    <row r="2057" spans="1:12" x14ac:dyDescent="0.35">
      <c r="A2057" t="s">
        <v>1911</v>
      </c>
      <c r="B2057" s="1">
        <v>45744</v>
      </c>
      <c r="C2057" t="s">
        <v>7322</v>
      </c>
      <c r="F2057" t="s">
        <v>6804</v>
      </c>
      <c r="G2057" t="s">
        <v>1387</v>
      </c>
      <c r="H2057" t="s">
        <v>1980</v>
      </c>
      <c r="J2057">
        <v>4200000</v>
      </c>
      <c r="L2057" t="s">
        <v>6803</v>
      </c>
    </row>
    <row r="2058" spans="1:12" x14ac:dyDescent="0.35">
      <c r="A2058" t="s">
        <v>1911</v>
      </c>
      <c r="B2058" s="1">
        <v>45744</v>
      </c>
      <c r="C2058" t="s">
        <v>7322</v>
      </c>
      <c r="F2058" t="s">
        <v>7873</v>
      </c>
      <c r="H2058" t="s">
        <v>1980</v>
      </c>
      <c r="K2058">
        <v>4200000</v>
      </c>
      <c r="L2058" t="s">
        <v>6803</v>
      </c>
    </row>
    <row r="2059" spans="1:12" x14ac:dyDescent="0.35">
      <c r="A2059" t="s">
        <v>1911</v>
      </c>
      <c r="B2059" s="1">
        <v>45744</v>
      </c>
      <c r="C2059" t="s">
        <v>7328</v>
      </c>
      <c r="F2059" t="s">
        <v>7873</v>
      </c>
      <c r="H2059" t="s">
        <v>1981</v>
      </c>
      <c r="K2059">
        <v>6503907</v>
      </c>
      <c r="L2059" t="s">
        <v>6803</v>
      </c>
    </row>
    <row r="2060" spans="1:12" x14ac:dyDescent="0.35">
      <c r="A2060" t="s">
        <v>1911</v>
      </c>
      <c r="B2060" s="1">
        <v>45744</v>
      </c>
      <c r="C2060" t="s">
        <v>7328</v>
      </c>
      <c r="F2060" t="s">
        <v>7829</v>
      </c>
      <c r="H2060" t="s">
        <v>1981</v>
      </c>
      <c r="J2060">
        <v>6503907</v>
      </c>
      <c r="L2060" t="s">
        <v>6803</v>
      </c>
    </row>
    <row r="2061" spans="1:12" x14ac:dyDescent="0.35">
      <c r="A2061" t="s">
        <v>1911</v>
      </c>
      <c r="B2061" s="1">
        <v>45744</v>
      </c>
      <c r="C2061" t="s">
        <v>7386</v>
      </c>
      <c r="F2061" t="s">
        <v>6804</v>
      </c>
      <c r="G2061" t="s">
        <v>1584</v>
      </c>
      <c r="H2061" t="s">
        <v>1982</v>
      </c>
      <c r="J2061">
        <v>2000000</v>
      </c>
      <c r="L2061" t="s">
        <v>6803</v>
      </c>
    </row>
    <row r="2062" spans="1:12" x14ac:dyDescent="0.35">
      <c r="A2062" t="s">
        <v>1911</v>
      </c>
      <c r="B2062" s="1">
        <v>45744</v>
      </c>
      <c r="C2062" t="s">
        <v>7386</v>
      </c>
      <c r="F2062" t="s">
        <v>7873</v>
      </c>
      <c r="H2062" t="s">
        <v>1982</v>
      </c>
      <c r="K2062">
        <v>2000000</v>
      </c>
      <c r="L2062" t="s">
        <v>6803</v>
      </c>
    </row>
    <row r="2063" spans="1:12" x14ac:dyDescent="0.35">
      <c r="A2063" t="s">
        <v>1911</v>
      </c>
      <c r="B2063" s="1">
        <v>45744</v>
      </c>
      <c r="C2063" t="s">
        <v>7393</v>
      </c>
      <c r="F2063" t="s">
        <v>7831</v>
      </c>
      <c r="G2063" t="s">
        <v>7879</v>
      </c>
      <c r="H2063" t="s">
        <v>1924</v>
      </c>
      <c r="K2063">
        <v>13281305</v>
      </c>
      <c r="L2063" t="s">
        <v>6803</v>
      </c>
    </row>
    <row r="2064" spans="1:12" x14ac:dyDescent="0.35">
      <c r="A2064" t="s">
        <v>1911</v>
      </c>
      <c r="B2064" s="1">
        <v>45744</v>
      </c>
      <c r="C2064" t="s">
        <v>7393</v>
      </c>
      <c r="F2064" t="s">
        <v>7873</v>
      </c>
      <c r="H2064" t="s">
        <v>1924</v>
      </c>
      <c r="J2064">
        <v>13281305</v>
      </c>
      <c r="L2064" t="s">
        <v>6803</v>
      </c>
    </row>
    <row r="2065" spans="1:12" x14ac:dyDescent="0.35">
      <c r="A2065" t="s">
        <v>1911</v>
      </c>
      <c r="B2065" s="1">
        <v>45744</v>
      </c>
      <c r="C2065" t="s">
        <v>7394</v>
      </c>
      <c r="F2065" t="s">
        <v>7873</v>
      </c>
      <c r="H2065" t="s">
        <v>1983</v>
      </c>
      <c r="K2065">
        <v>10000000</v>
      </c>
      <c r="L2065" t="s">
        <v>6803</v>
      </c>
    </row>
    <row r="2066" spans="1:12" x14ac:dyDescent="0.35">
      <c r="A2066" t="s">
        <v>1911</v>
      </c>
      <c r="B2066" s="1">
        <v>45744</v>
      </c>
      <c r="C2066" t="s">
        <v>7394</v>
      </c>
      <c r="F2066" t="s">
        <v>7829</v>
      </c>
      <c r="H2066" t="s">
        <v>1983</v>
      </c>
      <c r="J2066">
        <v>10000000</v>
      </c>
      <c r="L2066" t="s">
        <v>6803</v>
      </c>
    </row>
    <row r="2067" spans="1:12" x14ac:dyDescent="0.35">
      <c r="A2067" t="s">
        <v>1911</v>
      </c>
      <c r="B2067" s="1">
        <v>45744</v>
      </c>
      <c r="C2067" t="s">
        <v>7396</v>
      </c>
      <c r="F2067" t="s">
        <v>7873</v>
      </c>
      <c r="H2067" t="s">
        <v>1984</v>
      </c>
      <c r="K2067">
        <v>10000000</v>
      </c>
      <c r="L2067" t="s">
        <v>6803</v>
      </c>
    </row>
    <row r="2068" spans="1:12" x14ac:dyDescent="0.35">
      <c r="A2068" t="s">
        <v>1911</v>
      </c>
      <c r="B2068" s="1">
        <v>45744</v>
      </c>
      <c r="C2068" t="s">
        <v>7396</v>
      </c>
      <c r="F2068" t="s">
        <v>7829</v>
      </c>
      <c r="H2068" t="s">
        <v>1984</v>
      </c>
      <c r="J2068">
        <v>10000000</v>
      </c>
      <c r="L2068" t="s">
        <v>6803</v>
      </c>
    </row>
    <row r="2069" spans="1:12" x14ac:dyDescent="0.35">
      <c r="A2069" t="s">
        <v>1911</v>
      </c>
      <c r="B2069" s="1">
        <v>45744</v>
      </c>
      <c r="C2069" t="s">
        <v>7399</v>
      </c>
      <c r="F2069" t="s">
        <v>7873</v>
      </c>
      <c r="H2069" t="s">
        <v>1985</v>
      </c>
      <c r="K2069">
        <v>40582866</v>
      </c>
      <c r="L2069" t="s">
        <v>6803</v>
      </c>
    </row>
    <row r="2070" spans="1:12" x14ac:dyDescent="0.35">
      <c r="A2070" t="s">
        <v>1911</v>
      </c>
      <c r="B2070" s="1">
        <v>45744</v>
      </c>
      <c r="C2070" t="s">
        <v>7399</v>
      </c>
      <c r="F2070" t="s">
        <v>7829</v>
      </c>
      <c r="H2070" t="s">
        <v>1985</v>
      </c>
      <c r="J2070">
        <v>40582866</v>
      </c>
      <c r="L2070" t="s">
        <v>6803</v>
      </c>
    </row>
    <row r="2071" spans="1:12" x14ac:dyDescent="0.35">
      <c r="A2071" t="s">
        <v>1911</v>
      </c>
      <c r="B2071" s="1">
        <v>45747</v>
      </c>
      <c r="C2071" t="s">
        <v>7388</v>
      </c>
      <c r="F2071" t="s">
        <v>6819</v>
      </c>
      <c r="H2071" t="s">
        <v>58</v>
      </c>
      <c r="J2071">
        <v>22118</v>
      </c>
      <c r="L2071" t="s">
        <v>6803</v>
      </c>
    </row>
    <row r="2072" spans="1:12" x14ac:dyDescent="0.35">
      <c r="A2072" t="s">
        <v>1911</v>
      </c>
      <c r="B2072" s="1">
        <v>45747</v>
      </c>
      <c r="C2072" t="s">
        <v>7388</v>
      </c>
      <c r="F2072" t="s">
        <v>7873</v>
      </c>
      <c r="H2072" t="s">
        <v>58</v>
      </c>
      <c r="K2072">
        <v>243299</v>
      </c>
      <c r="L2072" t="s">
        <v>6803</v>
      </c>
    </row>
    <row r="2073" spans="1:12" x14ac:dyDescent="0.35">
      <c r="A2073" t="s">
        <v>1911</v>
      </c>
      <c r="B2073" s="1">
        <v>45747</v>
      </c>
      <c r="C2073" t="s">
        <v>7388</v>
      </c>
      <c r="F2073" t="s">
        <v>7828</v>
      </c>
      <c r="H2073" t="s">
        <v>58</v>
      </c>
      <c r="J2073">
        <v>221181</v>
      </c>
      <c r="L2073" t="s">
        <v>347</v>
      </c>
    </row>
    <row r="2074" spans="1:12" x14ac:dyDescent="0.35">
      <c r="A2074" t="s">
        <v>1911</v>
      </c>
      <c r="B2074" s="1">
        <v>45747</v>
      </c>
      <c r="C2074" t="s">
        <v>7389</v>
      </c>
      <c r="F2074" t="s">
        <v>7828</v>
      </c>
      <c r="H2074" t="s">
        <v>58</v>
      </c>
      <c r="J2074">
        <v>15000</v>
      </c>
      <c r="L2074" t="s">
        <v>347</v>
      </c>
    </row>
    <row r="2075" spans="1:12" x14ac:dyDescent="0.35">
      <c r="A2075" t="s">
        <v>1911</v>
      </c>
      <c r="B2075" s="1">
        <v>45747</v>
      </c>
      <c r="C2075" t="s">
        <v>7392</v>
      </c>
      <c r="F2075" t="s">
        <v>6819</v>
      </c>
      <c r="H2075" t="s">
        <v>58</v>
      </c>
      <c r="J2075">
        <v>1500</v>
      </c>
      <c r="L2075" t="s">
        <v>6803</v>
      </c>
    </row>
    <row r="2076" spans="1:12" x14ac:dyDescent="0.35">
      <c r="A2076" t="s">
        <v>1911</v>
      </c>
      <c r="B2076" s="1">
        <v>45747</v>
      </c>
      <c r="C2076" t="s">
        <v>7392</v>
      </c>
      <c r="F2076" t="s">
        <v>7873</v>
      </c>
      <c r="H2076" t="s">
        <v>58</v>
      </c>
      <c r="K2076">
        <v>16500</v>
      </c>
      <c r="L2076" t="s">
        <v>6803</v>
      </c>
    </row>
    <row r="2077" spans="1:12" x14ac:dyDescent="0.35">
      <c r="A2077" t="s">
        <v>1986</v>
      </c>
      <c r="B2077" s="1">
        <v>45717</v>
      </c>
      <c r="C2077" t="s">
        <v>7499</v>
      </c>
      <c r="F2077" t="s">
        <v>7338</v>
      </c>
      <c r="H2077" t="s">
        <v>1987</v>
      </c>
      <c r="J2077">
        <v>-12449000</v>
      </c>
      <c r="L2077" t="s">
        <v>6803</v>
      </c>
    </row>
    <row r="2078" spans="1:12" x14ac:dyDescent="0.35">
      <c r="A2078" t="s">
        <v>1986</v>
      </c>
      <c r="B2078" s="1">
        <v>45717</v>
      </c>
      <c r="C2078" t="s">
        <v>7499</v>
      </c>
      <c r="F2078" t="s">
        <v>7891</v>
      </c>
      <c r="H2078" t="s">
        <v>1987</v>
      </c>
      <c r="K2078">
        <v>-12449000</v>
      </c>
      <c r="L2078" t="s">
        <v>6803</v>
      </c>
    </row>
    <row r="2079" spans="1:12" x14ac:dyDescent="0.35">
      <c r="A2079" t="s">
        <v>1986</v>
      </c>
      <c r="B2079" s="1">
        <v>45717</v>
      </c>
      <c r="C2079" t="s">
        <v>7649</v>
      </c>
      <c r="F2079" t="s">
        <v>6804</v>
      </c>
      <c r="G2079" t="s">
        <v>7581</v>
      </c>
      <c r="H2079" t="s">
        <v>1988</v>
      </c>
      <c r="J2079">
        <v>12449000</v>
      </c>
      <c r="L2079" t="s">
        <v>6803</v>
      </c>
    </row>
    <row r="2080" spans="1:12" x14ac:dyDescent="0.35">
      <c r="A2080" t="s">
        <v>1986</v>
      </c>
      <c r="B2080" s="1">
        <v>45717</v>
      </c>
      <c r="C2080" t="s">
        <v>7649</v>
      </c>
      <c r="F2080" t="s">
        <v>7891</v>
      </c>
      <c r="H2080" t="s">
        <v>1988</v>
      </c>
      <c r="K2080">
        <v>12449000</v>
      </c>
      <c r="L2080" t="s">
        <v>6803</v>
      </c>
    </row>
    <row r="2081" spans="1:12" x14ac:dyDescent="0.35">
      <c r="A2081" t="s">
        <v>1986</v>
      </c>
      <c r="B2081" s="1">
        <v>45717</v>
      </c>
      <c r="C2081" t="s">
        <v>7679</v>
      </c>
      <c r="F2081" t="s">
        <v>7882</v>
      </c>
      <c r="H2081" t="s">
        <v>1989</v>
      </c>
      <c r="J2081">
        <v>-10342029</v>
      </c>
      <c r="L2081" t="s">
        <v>6803</v>
      </c>
    </row>
    <row r="2082" spans="1:12" x14ac:dyDescent="0.35">
      <c r="A2082" t="s">
        <v>1986</v>
      </c>
      <c r="B2082" s="1">
        <v>45717</v>
      </c>
      <c r="C2082" t="s">
        <v>7679</v>
      </c>
      <c r="F2082" t="s">
        <v>7891</v>
      </c>
      <c r="H2082" t="s">
        <v>1989</v>
      </c>
      <c r="K2082">
        <v>-10342029</v>
      </c>
      <c r="L2082" t="s">
        <v>6803</v>
      </c>
    </row>
    <row r="2083" spans="1:12" x14ac:dyDescent="0.35">
      <c r="A2083" t="s">
        <v>1986</v>
      </c>
      <c r="B2083" s="1">
        <v>45719</v>
      </c>
      <c r="C2083" t="s">
        <v>7684</v>
      </c>
      <c r="F2083" t="s">
        <v>7892</v>
      </c>
      <c r="H2083" t="s">
        <v>1990</v>
      </c>
      <c r="K2083">
        <v>7653800</v>
      </c>
      <c r="L2083" t="s">
        <v>6803</v>
      </c>
    </row>
    <row r="2084" spans="1:12" x14ac:dyDescent="0.35">
      <c r="A2084" t="s">
        <v>1986</v>
      </c>
      <c r="B2084" s="1">
        <v>45719</v>
      </c>
      <c r="C2084" t="s">
        <v>7684</v>
      </c>
      <c r="F2084" t="s">
        <v>7891</v>
      </c>
      <c r="H2084" t="s">
        <v>1990</v>
      </c>
      <c r="J2084">
        <v>7653800</v>
      </c>
      <c r="L2084" t="s">
        <v>6803</v>
      </c>
    </row>
    <row r="2085" spans="1:12" x14ac:dyDescent="0.35">
      <c r="A2085" t="s">
        <v>1986</v>
      </c>
      <c r="B2085" s="1">
        <v>45728</v>
      </c>
      <c r="C2085" t="s">
        <v>7638</v>
      </c>
      <c r="F2085" t="s">
        <v>6804</v>
      </c>
      <c r="G2085" t="s">
        <v>7700</v>
      </c>
      <c r="H2085" t="s">
        <v>1991</v>
      </c>
      <c r="J2085">
        <v>12036000</v>
      </c>
      <c r="L2085" t="s">
        <v>6803</v>
      </c>
    </row>
    <row r="2086" spans="1:12" x14ac:dyDescent="0.35">
      <c r="A2086" t="s">
        <v>1986</v>
      </c>
      <c r="B2086" s="1">
        <v>45728</v>
      </c>
      <c r="C2086" t="s">
        <v>7638</v>
      </c>
      <c r="F2086" t="s">
        <v>7891</v>
      </c>
      <c r="H2086" t="s">
        <v>1991</v>
      </c>
      <c r="K2086">
        <v>12036000</v>
      </c>
      <c r="L2086" t="s">
        <v>6803</v>
      </c>
    </row>
    <row r="2087" spans="1:12" x14ac:dyDescent="0.35">
      <c r="A2087" t="s">
        <v>1986</v>
      </c>
      <c r="B2087" s="1">
        <v>45728</v>
      </c>
      <c r="C2087" t="s">
        <v>7651</v>
      </c>
      <c r="F2087" t="s">
        <v>6804</v>
      </c>
      <c r="G2087" t="s">
        <v>1588</v>
      </c>
      <c r="H2087" t="s">
        <v>1992</v>
      </c>
      <c r="J2087">
        <v>6018100</v>
      </c>
      <c r="L2087" t="s">
        <v>6803</v>
      </c>
    </row>
    <row r="2088" spans="1:12" x14ac:dyDescent="0.35">
      <c r="A2088" t="s">
        <v>1986</v>
      </c>
      <c r="B2088" s="1">
        <v>45728</v>
      </c>
      <c r="C2088" t="s">
        <v>7651</v>
      </c>
      <c r="F2088" t="s">
        <v>7891</v>
      </c>
      <c r="H2088" t="s">
        <v>1992</v>
      </c>
      <c r="K2088">
        <v>6018100</v>
      </c>
      <c r="L2088" t="s">
        <v>6803</v>
      </c>
    </row>
    <row r="2089" spans="1:12" x14ac:dyDescent="0.35">
      <c r="A2089" t="s">
        <v>1986</v>
      </c>
      <c r="B2089" s="1">
        <v>45728</v>
      </c>
      <c r="C2089" t="s">
        <v>7653</v>
      </c>
      <c r="F2089" t="s">
        <v>6804</v>
      </c>
      <c r="G2089" t="s">
        <v>6826</v>
      </c>
      <c r="H2089" t="s">
        <v>1993</v>
      </c>
      <c r="J2089">
        <v>4015063</v>
      </c>
      <c r="L2089" t="s">
        <v>6803</v>
      </c>
    </row>
    <row r="2090" spans="1:12" x14ac:dyDescent="0.35">
      <c r="A2090" t="s">
        <v>1986</v>
      </c>
      <c r="B2090" s="1">
        <v>45728</v>
      </c>
      <c r="C2090" t="s">
        <v>7653</v>
      </c>
      <c r="F2090" t="s">
        <v>7891</v>
      </c>
      <c r="H2090" t="s">
        <v>1993</v>
      </c>
      <c r="K2090">
        <v>4015063</v>
      </c>
      <c r="L2090" t="s">
        <v>6803</v>
      </c>
    </row>
    <row r="2091" spans="1:12" x14ac:dyDescent="0.35">
      <c r="A2091" t="s">
        <v>1986</v>
      </c>
      <c r="B2091" s="1">
        <v>45728</v>
      </c>
      <c r="C2091" t="s">
        <v>7655</v>
      </c>
      <c r="F2091" t="s">
        <v>7867</v>
      </c>
      <c r="G2091" t="s">
        <v>7680</v>
      </c>
      <c r="H2091" t="s">
        <v>1994</v>
      </c>
      <c r="J2091">
        <v>4644389</v>
      </c>
      <c r="L2091" t="s">
        <v>6803</v>
      </c>
    </row>
    <row r="2092" spans="1:12" x14ac:dyDescent="0.35">
      <c r="A2092" t="s">
        <v>1986</v>
      </c>
      <c r="B2092" s="1">
        <v>45728</v>
      </c>
      <c r="C2092" t="s">
        <v>7655</v>
      </c>
      <c r="F2092" t="s">
        <v>7891</v>
      </c>
      <c r="H2092" t="s">
        <v>1994</v>
      </c>
      <c r="K2092">
        <v>4644389</v>
      </c>
      <c r="L2092" t="s">
        <v>6803</v>
      </c>
    </row>
    <row r="2093" spans="1:12" x14ac:dyDescent="0.35">
      <c r="A2093" t="s">
        <v>1986</v>
      </c>
      <c r="B2093" s="1">
        <v>45728</v>
      </c>
      <c r="C2093" t="s">
        <v>7657</v>
      </c>
      <c r="F2093" t="s">
        <v>6804</v>
      </c>
      <c r="G2093" t="s">
        <v>7743</v>
      </c>
      <c r="H2093" t="s">
        <v>1995</v>
      </c>
      <c r="J2093">
        <v>84960</v>
      </c>
      <c r="L2093" t="s">
        <v>6803</v>
      </c>
    </row>
    <row r="2094" spans="1:12" x14ac:dyDescent="0.35">
      <c r="A2094" t="s">
        <v>1986</v>
      </c>
      <c r="B2094" s="1">
        <v>45728</v>
      </c>
      <c r="C2094" t="s">
        <v>7657</v>
      </c>
      <c r="F2094" t="s">
        <v>7891</v>
      </c>
      <c r="H2094" t="s">
        <v>1995</v>
      </c>
      <c r="K2094">
        <v>84960</v>
      </c>
      <c r="L2094" t="s">
        <v>6803</v>
      </c>
    </row>
    <row r="2095" spans="1:12" x14ac:dyDescent="0.35">
      <c r="A2095" t="s">
        <v>1986</v>
      </c>
      <c r="B2095" s="1">
        <v>45728</v>
      </c>
      <c r="C2095" t="s">
        <v>7505</v>
      </c>
      <c r="F2095" t="s">
        <v>6804</v>
      </c>
      <c r="G2095" t="s">
        <v>6934</v>
      </c>
      <c r="H2095" t="s">
        <v>1996</v>
      </c>
      <c r="J2095">
        <v>15260600</v>
      </c>
      <c r="L2095" t="s">
        <v>6803</v>
      </c>
    </row>
    <row r="2096" spans="1:12" x14ac:dyDescent="0.35">
      <c r="A2096" t="s">
        <v>1986</v>
      </c>
      <c r="B2096" s="1">
        <v>45728</v>
      </c>
      <c r="C2096" t="s">
        <v>7505</v>
      </c>
      <c r="F2096" t="s">
        <v>7891</v>
      </c>
      <c r="H2096" t="s">
        <v>1996</v>
      </c>
      <c r="K2096">
        <v>15260600</v>
      </c>
      <c r="L2096" t="s">
        <v>6803</v>
      </c>
    </row>
    <row r="2097" spans="1:12" x14ac:dyDescent="0.35">
      <c r="A2097" t="s">
        <v>1986</v>
      </c>
      <c r="B2097" s="1">
        <v>45728</v>
      </c>
      <c r="C2097" t="s">
        <v>7507</v>
      </c>
      <c r="F2097" t="s">
        <v>7867</v>
      </c>
      <c r="G2097" t="s">
        <v>7097</v>
      </c>
      <c r="H2097" t="s">
        <v>1997</v>
      </c>
      <c r="J2097">
        <v>1699750</v>
      </c>
      <c r="L2097" t="s">
        <v>6803</v>
      </c>
    </row>
    <row r="2098" spans="1:12" x14ac:dyDescent="0.35">
      <c r="A2098" t="s">
        <v>1986</v>
      </c>
      <c r="B2098" s="1">
        <v>45728</v>
      </c>
      <c r="C2098" t="s">
        <v>7507</v>
      </c>
      <c r="F2098" t="s">
        <v>7865</v>
      </c>
      <c r="H2098" t="s">
        <v>1997</v>
      </c>
      <c r="K2098">
        <v>6704</v>
      </c>
      <c r="L2098" t="s">
        <v>6803</v>
      </c>
    </row>
    <row r="2099" spans="1:12" x14ac:dyDescent="0.35">
      <c r="A2099" t="s">
        <v>1986</v>
      </c>
      <c r="B2099" s="1">
        <v>45728</v>
      </c>
      <c r="C2099" t="s">
        <v>7507</v>
      </c>
      <c r="F2099" t="s">
        <v>7891</v>
      </c>
      <c r="H2099" t="s">
        <v>1997</v>
      </c>
      <c r="K2099">
        <v>1693046</v>
      </c>
      <c r="L2099" t="s">
        <v>6803</v>
      </c>
    </row>
    <row r="2100" spans="1:12" x14ac:dyDescent="0.35">
      <c r="A2100" t="s">
        <v>1986</v>
      </c>
      <c r="B2100" s="1">
        <v>45729</v>
      </c>
      <c r="C2100" t="s">
        <v>7498</v>
      </c>
      <c r="F2100" t="s">
        <v>7338</v>
      </c>
      <c r="H2100" t="s">
        <v>1998</v>
      </c>
      <c r="J2100">
        <v>-12312000</v>
      </c>
      <c r="L2100" t="s">
        <v>6803</v>
      </c>
    </row>
    <row r="2101" spans="1:12" x14ac:dyDescent="0.35">
      <c r="A2101" t="s">
        <v>1986</v>
      </c>
      <c r="B2101" s="1">
        <v>45729</v>
      </c>
      <c r="C2101" t="s">
        <v>7498</v>
      </c>
      <c r="F2101" t="s">
        <v>7891</v>
      </c>
      <c r="H2101" t="s">
        <v>1998</v>
      </c>
      <c r="K2101">
        <v>-12312000</v>
      </c>
      <c r="L2101" t="s">
        <v>6803</v>
      </c>
    </row>
    <row r="2102" spans="1:12" x14ac:dyDescent="0.35">
      <c r="A2102" t="s">
        <v>1986</v>
      </c>
      <c r="B2102" s="1">
        <v>45729</v>
      </c>
      <c r="C2102" t="s">
        <v>7659</v>
      </c>
      <c r="F2102" t="s">
        <v>7338</v>
      </c>
      <c r="H2102" t="s">
        <v>1999</v>
      </c>
      <c r="J2102">
        <v>12240000</v>
      </c>
      <c r="L2102" t="s">
        <v>6803</v>
      </c>
    </row>
    <row r="2103" spans="1:12" x14ac:dyDescent="0.35">
      <c r="A2103" t="s">
        <v>1986</v>
      </c>
      <c r="B2103" s="1">
        <v>45729</v>
      </c>
      <c r="C2103" t="s">
        <v>7659</v>
      </c>
      <c r="F2103" t="s">
        <v>7891</v>
      </c>
      <c r="H2103" t="s">
        <v>1999</v>
      </c>
      <c r="K2103">
        <v>12240000</v>
      </c>
      <c r="L2103" t="s">
        <v>6803</v>
      </c>
    </row>
    <row r="2104" spans="1:12" x14ac:dyDescent="0.35">
      <c r="A2104" t="s">
        <v>1986</v>
      </c>
      <c r="B2104" s="1">
        <v>45729</v>
      </c>
      <c r="C2104" t="s">
        <v>7500</v>
      </c>
      <c r="F2104" t="s">
        <v>7675</v>
      </c>
      <c r="H2104" t="s">
        <v>2000</v>
      </c>
      <c r="J2104">
        <v>2000000</v>
      </c>
      <c r="L2104" t="s">
        <v>6803</v>
      </c>
    </row>
    <row r="2105" spans="1:12" x14ac:dyDescent="0.35">
      <c r="A2105" t="s">
        <v>1986</v>
      </c>
      <c r="B2105" s="1">
        <v>45729</v>
      </c>
      <c r="C2105" t="s">
        <v>7500</v>
      </c>
      <c r="F2105" t="s">
        <v>7891</v>
      </c>
      <c r="H2105" t="s">
        <v>2000</v>
      </c>
      <c r="K2105">
        <v>2000000</v>
      </c>
      <c r="L2105" t="s">
        <v>6803</v>
      </c>
    </row>
    <row r="2106" spans="1:12" x14ac:dyDescent="0.35">
      <c r="A2106" t="s">
        <v>1986</v>
      </c>
      <c r="B2106" s="1">
        <v>45729</v>
      </c>
      <c r="C2106" t="s">
        <v>7503</v>
      </c>
      <c r="F2106" t="s">
        <v>6804</v>
      </c>
      <c r="G2106" t="s">
        <v>7137</v>
      </c>
      <c r="H2106" t="s">
        <v>2001</v>
      </c>
      <c r="J2106">
        <v>424800</v>
      </c>
      <c r="L2106" t="s">
        <v>6803</v>
      </c>
    </row>
    <row r="2107" spans="1:12" x14ac:dyDescent="0.35">
      <c r="A2107" t="s">
        <v>1986</v>
      </c>
      <c r="B2107" s="1">
        <v>45729</v>
      </c>
      <c r="C2107" t="s">
        <v>7503</v>
      </c>
      <c r="F2107" t="s">
        <v>7891</v>
      </c>
      <c r="H2107" t="s">
        <v>2001</v>
      </c>
      <c r="K2107">
        <v>424800</v>
      </c>
      <c r="L2107" t="s">
        <v>6803</v>
      </c>
    </row>
    <row r="2108" spans="1:12" x14ac:dyDescent="0.35">
      <c r="A2108" t="s">
        <v>1986</v>
      </c>
      <c r="B2108" s="1">
        <v>45729</v>
      </c>
      <c r="C2108" t="s">
        <v>7661</v>
      </c>
      <c r="F2108" t="s">
        <v>7675</v>
      </c>
      <c r="H2108" t="s">
        <v>2002</v>
      </c>
      <c r="J2108">
        <v>-2000000</v>
      </c>
      <c r="L2108" t="s">
        <v>6803</v>
      </c>
    </row>
    <row r="2109" spans="1:12" x14ac:dyDescent="0.35">
      <c r="A2109" t="s">
        <v>1986</v>
      </c>
      <c r="B2109" s="1">
        <v>45729</v>
      </c>
      <c r="C2109" t="s">
        <v>7661</v>
      </c>
      <c r="F2109" t="s">
        <v>7891</v>
      </c>
      <c r="H2109" t="s">
        <v>2002</v>
      </c>
      <c r="K2109">
        <v>-2000000</v>
      </c>
      <c r="L2109" t="s">
        <v>6803</v>
      </c>
    </row>
    <row r="2110" spans="1:12" x14ac:dyDescent="0.35">
      <c r="A2110" t="s">
        <v>1986</v>
      </c>
      <c r="B2110" s="1">
        <v>45730</v>
      </c>
      <c r="C2110" t="s">
        <v>7665</v>
      </c>
      <c r="F2110" t="s">
        <v>6804</v>
      </c>
      <c r="G2110" t="s">
        <v>1584</v>
      </c>
      <c r="H2110" t="s">
        <v>2003</v>
      </c>
      <c r="J2110">
        <v>2000000</v>
      </c>
      <c r="L2110" t="s">
        <v>6803</v>
      </c>
    </row>
    <row r="2111" spans="1:12" x14ac:dyDescent="0.35">
      <c r="A2111" t="s">
        <v>1986</v>
      </c>
      <c r="B2111" s="1">
        <v>45730</v>
      </c>
      <c r="C2111" t="s">
        <v>7665</v>
      </c>
      <c r="F2111" t="s">
        <v>7891</v>
      </c>
      <c r="H2111" t="s">
        <v>2003</v>
      </c>
      <c r="K2111">
        <v>2000000</v>
      </c>
      <c r="L2111" t="s">
        <v>6803</v>
      </c>
    </row>
    <row r="2112" spans="1:12" x14ac:dyDescent="0.35">
      <c r="A2112" t="s">
        <v>1986</v>
      </c>
      <c r="B2112" s="1">
        <v>45730</v>
      </c>
      <c r="C2112" t="s">
        <v>7578</v>
      </c>
      <c r="F2112" t="s">
        <v>7891</v>
      </c>
      <c r="H2112" t="s">
        <v>2004</v>
      </c>
      <c r="K2112">
        <v>55000</v>
      </c>
      <c r="L2112" t="s">
        <v>6803</v>
      </c>
    </row>
    <row r="2113" spans="1:12" x14ac:dyDescent="0.35">
      <c r="A2113" t="s">
        <v>1986</v>
      </c>
      <c r="B2113" s="1">
        <v>45730</v>
      </c>
      <c r="C2113" t="s">
        <v>7578</v>
      </c>
      <c r="F2113" t="s">
        <v>7828</v>
      </c>
      <c r="H2113" t="s">
        <v>2004</v>
      </c>
      <c r="J2113">
        <v>55000</v>
      </c>
      <c r="L2113" t="s">
        <v>347</v>
      </c>
    </row>
    <row r="2114" spans="1:12" x14ac:dyDescent="0.35">
      <c r="A2114" t="s">
        <v>1986</v>
      </c>
      <c r="B2114" s="1">
        <v>45733</v>
      </c>
      <c r="C2114" t="s">
        <v>7676</v>
      </c>
      <c r="F2114" t="s">
        <v>7831</v>
      </c>
      <c r="G2114" t="s">
        <v>7893</v>
      </c>
      <c r="H2114" t="s">
        <v>2005</v>
      </c>
      <c r="J2114">
        <v>875000</v>
      </c>
      <c r="L2114" t="s">
        <v>6803</v>
      </c>
    </row>
    <row r="2115" spans="1:12" x14ac:dyDescent="0.35">
      <c r="A2115" t="s">
        <v>1986</v>
      </c>
      <c r="B2115" s="1">
        <v>45733</v>
      </c>
      <c r="C2115" t="s">
        <v>7676</v>
      </c>
      <c r="F2115" t="s">
        <v>7891</v>
      </c>
      <c r="H2115" t="s">
        <v>2005</v>
      </c>
      <c r="K2115">
        <v>875000</v>
      </c>
      <c r="L2115" t="s">
        <v>6803</v>
      </c>
    </row>
    <row r="2116" spans="1:12" x14ac:dyDescent="0.35">
      <c r="A2116" t="s">
        <v>1986</v>
      </c>
      <c r="B2116" s="1">
        <v>45735</v>
      </c>
      <c r="C2116" t="s">
        <v>7557</v>
      </c>
      <c r="F2116" t="s">
        <v>7891</v>
      </c>
      <c r="H2116" t="s">
        <v>58</v>
      </c>
      <c r="K2116">
        <v>38500</v>
      </c>
      <c r="L2116" t="s">
        <v>6803</v>
      </c>
    </row>
    <row r="2117" spans="1:12" x14ac:dyDescent="0.35">
      <c r="A2117" t="s">
        <v>1986</v>
      </c>
      <c r="B2117" s="1">
        <v>45735</v>
      </c>
      <c r="C2117" t="s">
        <v>7557</v>
      </c>
      <c r="F2117" t="s">
        <v>7828</v>
      </c>
      <c r="H2117" t="s">
        <v>58</v>
      </c>
      <c r="J2117">
        <v>38500</v>
      </c>
      <c r="L2117" t="s">
        <v>347</v>
      </c>
    </row>
    <row r="2118" spans="1:12" x14ac:dyDescent="0.35">
      <c r="A2118" t="s">
        <v>1986</v>
      </c>
      <c r="B2118" s="1">
        <v>45735</v>
      </c>
      <c r="C2118" t="s">
        <v>7685</v>
      </c>
      <c r="F2118" t="s">
        <v>7891</v>
      </c>
      <c r="H2118" t="s">
        <v>58</v>
      </c>
      <c r="K2118">
        <v>38500</v>
      </c>
      <c r="L2118" t="s">
        <v>6803</v>
      </c>
    </row>
    <row r="2119" spans="1:12" x14ac:dyDescent="0.35">
      <c r="A2119" t="s">
        <v>1986</v>
      </c>
      <c r="B2119" s="1">
        <v>45735</v>
      </c>
      <c r="C2119" t="s">
        <v>7685</v>
      </c>
      <c r="F2119" t="s">
        <v>7828</v>
      </c>
      <c r="H2119" t="s">
        <v>58</v>
      </c>
      <c r="J2119">
        <v>38500</v>
      </c>
      <c r="L2119" t="s">
        <v>347</v>
      </c>
    </row>
    <row r="2120" spans="1:12" x14ac:dyDescent="0.35">
      <c r="A2120" t="s">
        <v>1986</v>
      </c>
      <c r="B2120" s="1">
        <v>45735</v>
      </c>
      <c r="C2120" t="s">
        <v>7723</v>
      </c>
      <c r="F2120" t="s">
        <v>7891</v>
      </c>
      <c r="H2120" t="s">
        <v>1851</v>
      </c>
      <c r="K2120">
        <v>110000</v>
      </c>
      <c r="L2120" t="s">
        <v>6803</v>
      </c>
    </row>
    <row r="2121" spans="1:12" x14ac:dyDescent="0.35">
      <c r="A2121" t="s">
        <v>1986</v>
      </c>
      <c r="B2121" s="1">
        <v>45735</v>
      </c>
      <c r="C2121" t="s">
        <v>7723</v>
      </c>
      <c r="F2121" t="s">
        <v>7828</v>
      </c>
      <c r="H2121" t="s">
        <v>1851</v>
      </c>
      <c r="J2121">
        <v>110000</v>
      </c>
      <c r="L2121" t="s">
        <v>347</v>
      </c>
    </row>
    <row r="2122" spans="1:12" x14ac:dyDescent="0.35">
      <c r="A2122" t="s">
        <v>1986</v>
      </c>
      <c r="B2122" s="1">
        <v>45736</v>
      </c>
      <c r="C2122" t="s">
        <v>7682</v>
      </c>
      <c r="F2122" t="s">
        <v>7891</v>
      </c>
      <c r="H2122" t="s">
        <v>2006</v>
      </c>
      <c r="J2122">
        <v>20000000</v>
      </c>
      <c r="L2122" t="s">
        <v>6803</v>
      </c>
    </row>
    <row r="2123" spans="1:12" x14ac:dyDescent="0.35">
      <c r="A2123" t="s">
        <v>1986</v>
      </c>
      <c r="B2123" s="1">
        <v>45736</v>
      </c>
      <c r="C2123" t="s">
        <v>7682</v>
      </c>
      <c r="F2123" t="s">
        <v>7829</v>
      </c>
      <c r="H2123" t="s">
        <v>2006</v>
      </c>
      <c r="K2123">
        <v>20000000</v>
      </c>
      <c r="L2123" t="s">
        <v>6803</v>
      </c>
    </row>
    <row r="2124" spans="1:12" x14ac:dyDescent="0.35">
      <c r="A2124" t="s">
        <v>1986</v>
      </c>
      <c r="B2124" s="1">
        <v>45736</v>
      </c>
      <c r="C2124" t="s">
        <v>7690</v>
      </c>
      <c r="F2124" t="s">
        <v>7891</v>
      </c>
      <c r="H2124" t="s">
        <v>58</v>
      </c>
      <c r="K2124">
        <v>55000</v>
      </c>
      <c r="L2124" t="s">
        <v>6803</v>
      </c>
    </row>
    <row r="2125" spans="1:12" x14ac:dyDescent="0.35">
      <c r="A2125" t="s">
        <v>1986</v>
      </c>
      <c r="B2125" s="1">
        <v>45736</v>
      </c>
      <c r="C2125" t="s">
        <v>7690</v>
      </c>
      <c r="F2125" t="s">
        <v>7828</v>
      </c>
      <c r="H2125" t="s">
        <v>58</v>
      </c>
      <c r="J2125">
        <v>55000</v>
      </c>
      <c r="L2125" t="s">
        <v>347</v>
      </c>
    </row>
    <row r="2126" spans="1:12" x14ac:dyDescent="0.35">
      <c r="A2126" t="s">
        <v>1986</v>
      </c>
      <c r="B2126" s="1">
        <v>45736</v>
      </c>
      <c r="C2126" t="s">
        <v>7692</v>
      </c>
      <c r="F2126" t="s">
        <v>7891</v>
      </c>
      <c r="H2126" t="s">
        <v>58</v>
      </c>
      <c r="K2126">
        <v>55000</v>
      </c>
      <c r="L2126" t="s">
        <v>6803</v>
      </c>
    </row>
    <row r="2127" spans="1:12" x14ac:dyDescent="0.35">
      <c r="A2127" t="s">
        <v>1986</v>
      </c>
      <c r="B2127" s="1">
        <v>45736</v>
      </c>
      <c r="C2127" t="s">
        <v>7692</v>
      </c>
      <c r="F2127" t="s">
        <v>7828</v>
      </c>
      <c r="H2127" t="s">
        <v>58</v>
      </c>
      <c r="J2127">
        <v>55000</v>
      </c>
      <c r="L2127" t="s">
        <v>347</v>
      </c>
    </row>
    <row r="2128" spans="1:12" x14ac:dyDescent="0.35">
      <c r="A2128" t="s">
        <v>1986</v>
      </c>
      <c r="B2128" s="1">
        <v>45736</v>
      </c>
      <c r="C2128" t="s">
        <v>7714</v>
      </c>
      <c r="F2128" t="s">
        <v>6804</v>
      </c>
      <c r="G2128" t="s">
        <v>7894</v>
      </c>
      <c r="H2128" t="s">
        <v>2007</v>
      </c>
      <c r="J2128">
        <v>172800</v>
      </c>
      <c r="L2128" t="s">
        <v>6803</v>
      </c>
    </row>
    <row r="2129" spans="1:12" x14ac:dyDescent="0.35">
      <c r="A2129" t="s">
        <v>1986</v>
      </c>
      <c r="B2129" s="1">
        <v>45736</v>
      </c>
      <c r="C2129" t="s">
        <v>7714</v>
      </c>
      <c r="F2129" t="s">
        <v>7891</v>
      </c>
      <c r="H2129" t="s">
        <v>2007</v>
      </c>
      <c r="K2129">
        <v>172800</v>
      </c>
      <c r="L2129" t="s">
        <v>6803</v>
      </c>
    </row>
    <row r="2130" spans="1:12" x14ac:dyDescent="0.35">
      <c r="A2130" t="s">
        <v>1986</v>
      </c>
      <c r="B2130" s="1">
        <v>45736</v>
      </c>
      <c r="C2130" t="s">
        <v>7716</v>
      </c>
      <c r="F2130" t="s">
        <v>6804</v>
      </c>
      <c r="G2130" t="s">
        <v>7895</v>
      </c>
      <c r="H2130" t="s">
        <v>2008</v>
      </c>
      <c r="J2130">
        <v>519200</v>
      </c>
      <c r="L2130" t="s">
        <v>6803</v>
      </c>
    </row>
    <row r="2131" spans="1:12" x14ac:dyDescent="0.35">
      <c r="A2131" t="s">
        <v>1986</v>
      </c>
      <c r="B2131" s="1">
        <v>45736</v>
      </c>
      <c r="C2131" t="s">
        <v>7716</v>
      </c>
      <c r="F2131" t="s">
        <v>7891</v>
      </c>
      <c r="H2131" t="s">
        <v>2008</v>
      </c>
      <c r="K2131">
        <v>519200</v>
      </c>
      <c r="L2131" t="s">
        <v>6803</v>
      </c>
    </row>
    <row r="2132" spans="1:12" x14ac:dyDescent="0.35">
      <c r="A2132" t="s">
        <v>1986</v>
      </c>
      <c r="B2132" s="1">
        <v>45736</v>
      </c>
      <c r="C2132" t="s">
        <v>7718</v>
      </c>
      <c r="F2132" t="s">
        <v>6804</v>
      </c>
      <c r="G2132" t="s">
        <v>7784</v>
      </c>
      <c r="H2132" t="s">
        <v>2009</v>
      </c>
      <c r="J2132">
        <v>660001</v>
      </c>
      <c r="L2132" t="s">
        <v>6803</v>
      </c>
    </row>
    <row r="2133" spans="1:12" x14ac:dyDescent="0.35">
      <c r="A2133" t="s">
        <v>1986</v>
      </c>
      <c r="B2133" s="1">
        <v>45736</v>
      </c>
      <c r="C2133" t="s">
        <v>7718</v>
      </c>
      <c r="F2133" t="s">
        <v>7891</v>
      </c>
      <c r="H2133" t="s">
        <v>2009</v>
      </c>
      <c r="K2133">
        <v>660001</v>
      </c>
      <c r="L2133" t="s">
        <v>6803</v>
      </c>
    </row>
    <row r="2134" spans="1:12" x14ac:dyDescent="0.35">
      <c r="A2134" t="s">
        <v>1986</v>
      </c>
      <c r="B2134" s="1">
        <v>45736</v>
      </c>
      <c r="C2134" t="s">
        <v>7736</v>
      </c>
      <c r="F2134" t="s">
        <v>7896</v>
      </c>
      <c r="H2134" t="s">
        <v>2010</v>
      </c>
      <c r="J2134">
        <v>2242000</v>
      </c>
      <c r="L2134" t="s">
        <v>6803</v>
      </c>
    </row>
    <row r="2135" spans="1:12" x14ac:dyDescent="0.35">
      <c r="A2135" t="s">
        <v>1986</v>
      </c>
      <c r="B2135" s="1">
        <v>45736</v>
      </c>
      <c r="C2135" t="s">
        <v>7736</v>
      </c>
      <c r="F2135" t="s">
        <v>7891</v>
      </c>
      <c r="H2135" t="s">
        <v>2010</v>
      </c>
      <c r="K2135">
        <v>2242000</v>
      </c>
      <c r="L2135" t="s">
        <v>6803</v>
      </c>
    </row>
    <row r="2136" spans="1:12" x14ac:dyDescent="0.35">
      <c r="A2136" t="s">
        <v>1986</v>
      </c>
      <c r="B2136" s="1">
        <v>45738</v>
      </c>
      <c r="C2136" t="s">
        <v>7695</v>
      </c>
      <c r="F2136" t="s">
        <v>7897</v>
      </c>
      <c r="H2136" t="s">
        <v>2011</v>
      </c>
      <c r="J2136">
        <v>9935874</v>
      </c>
      <c r="L2136" t="s">
        <v>6803</v>
      </c>
    </row>
    <row r="2137" spans="1:12" x14ac:dyDescent="0.35">
      <c r="A2137" t="s">
        <v>1986</v>
      </c>
      <c r="B2137" s="1">
        <v>45738</v>
      </c>
      <c r="C2137" t="s">
        <v>7695</v>
      </c>
      <c r="F2137" t="s">
        <v>6819</v>
      </c>
      <c r="H2137" t="s">
        <v>2011</v>
      </c>
      <c r="J2137">
        <v>265727</v>
      </c>
      <c r="L2137" t="s">
        <v>6803</v>
      </c>
    </row>
    <row r="2138" spans="1:12" x14ac:dyDescent="0.35">
      <c r="A2138" t="s">
        <v>1986</v>
      </c>
      <c r="B2138" s="1">
        <v>45738</v>
      </c>
      <c r="C2138" t="s">
        <v>7695</v>
      </c>
      <c r="F2138" t="s">
        <v>7891</v>
      </c>
      <c r="H2138" t="s">
        <v>2011</v>
      </c>
      <c r="K2138">
        <v>12858874</v>
      </c>
      <c r="L2138" t="s">
        <v>6803</v>
      </c>
    </row>
    <row r="2139" spans="1:12" x14ac:dyDescent="0.35">
      <c r="A2139" t="s">
        <v>1986</v>
      </c>
      <c r="B2139" s="1">
        <v>45738</v>
      </c>
      <c r="C2139" t="s">
        <v>7695</v>
      </c>
      <c r="F2139" t="s">
        <v>7834</v>
      </c>
      <c r="H2139" t="s">
        <v>2012</v>
      </c>
      <c r="J2139">
        <v>2657273</v>
      </c>
      <c r="L2139" t="s">
        <v>347</v>
      </c>
    </row>
    <row r="2140" spans="1:12" x14ac:dyDescent="0.35">
      <c r="A2140" t="s">
        <v>1986</v>
      </c>
      <c r="B2140" s="1">
        <v>45740</v>
      </c>
      <c r="C2140" t="s">
        <v>7693</v>
      </c>
      <c r="F2140" t="s">
        <v>7898</v>
      </c>
      <c r="H2140" t="s">
        <v>2013</v>
      </c>
      <c r="J2140">
        <v>4286767</v>
      </c>
      <c r="L2140" t="s">
        <v>6803</v>
      </c>
    </row>
    <row r="2141" spans="1:12" x14ac:dyDescent="0.35">
      <c r="A2141" t="s">
        <v>1986</v>
      </c>
      <c r="B2141" s="1">
        <v>45740</v>
      </c>
      <c r="C2141" t="s">
        <v>7693</v>
      </c>
      <c r="F2141" t="s">
        <v>7891</v>
      </c>
      <c r="H2141" t="s">
        <v>2013</v>
      </c>
      <c r="K2141">
        <v>4286767</v>
      </c>
      <c r="L2141" t="s">
        <v>6803</v>
      </c>
    </row>
    <row r="2142" spans="1:12" x14ac:dyDescent="0.35">
      <c r="A2142" t="s">
        <v>1986</v>
      </c>
      <c r="B2142" s="1">
        <v>45740</v>
      </c>
      <c r="C2142" t="s">
        <v>7720</v>
      </c>
      <c r="F2142" t="s">
        <v>7892</v>
      </c>
      <c r="H2142" t="s">
        <v>2014</v>
      </c>
      <c r="K2142">
        <v>2242000</v>
      </c>
      <c r="L2142" t="s">
        <v>6803</v>
      </c>
    </row>
    <row r="2143" spans="1:12" x14ac:dyDescent="0.35">
      <c r="A2143" t="s">
        <v>1986</v>
      </c>
      <c r="B2143" s="1">
        <v>45740</v>
      </c>
      <c r="C2143" t="s">
        <v>7720</v>
      </c>
      <c r="F2143" t="s">
        <v>7891</v>
      </c>
      <c r="H2143" t="s">
        <v>2014</v>
      </c>
      <c r="J2143">
        <v>2242000</v>
      </c>
      <c r="L2143" t="s">
        <v>6803</v>
      </c>
    </row>
    <row r="2144" spans="1:12" x14ac:dyDescent="0.35">
      <c r="A2144" t="s">
        <v>1986</v>
      </c>
      <c r="B2144" s="1">
        <v>45740</v>
      </c>
      <c r="C2144" t="s">
        <v>7722</v>
      </c>
      <c r="F2144" t="s">
        <v>7892</v>
      </c>
      <c r="H2144" t="s">
        <v>2015</v>
      </c>
      <c r="K2144">
        <v>1180000</v>
      </c>
      <c r="L2144" t="s">
        <v>6803</v>
      </c>
    </row>
    <row r="2145" spans="1:12" x14ac:dyDescent="0.35">
      <c r="A2145" t="s">
        <v>1986</v>
      </c>
      <c r="B2145" s="1">
        <v>45740</v>
      </c>
      <c r="C2145" t="s">
        <v>7722</v>
      </c>
      <c r="F2145" t="s">
        <v>7891</v>
      </c>
      <c r="H2145" t="s">
        <v>2015</v>
      </c>
      <c r="J2145">
        <v>1180000</v>
      </c>
      <c r="L2145" t="s">
        <v>6803</v>
      </c>
    </row>
    <row r="2146" spans="1:12" x14ac:dyDescent="0.35">
      <c r="A2146" t="s">
        <v>1986</v>
      </c>
      <c r="B2146" s="1">
        <v>45744</v>
      </c>
      <c r="C2146" t="s">
        <v>7742</v>
      </c>
      <c r="F2146" t="s">
        <v>7891</v>
      </c>
      <c r="H2146" t="s">
        <v>1851</v>
      </c>
      <c r="K2146">
        <v>16500</v>
      </c>
      <c r="L2146" t="s">
        <v>6803</v>
      </c>
    </row>
    <row r="2147" spans="1:12" x14ac:dyDescent="0.35">
      <c r="A2147" t="s">
        <v>1986</v>
      </c>
      <c r="B2147" s="1">
        <v>45744</v>
      </c>
      <c r="C2147" t="s">
        <v>7742</v>
      </c>
      <c r="F2147" t="s">
        <v>7828</v>
      </c>
      <c r="H2147" t="s">
        <v>1851</v>
      </c>
      <c r="J2147">
        <v>16500</v>
      </c>
      <c r="L2147" t="s">
        <v>347</v>
      </c>
    </row>
    <row r="2148" spans="1:12" x14ac:dyDescent="0.35">
      <c r="A2148" t="s">
        <v>1986</v>
      </c>
      <c r="B2148" s="1">
        <v>45744</v>
      </c>
      <c r="C2148" t="s">
        <v>7738</v>
      </c>
      <c r="F2148" t="s">
        <v>7891</v>
      </c>
      <c r="H2148" t="s">
        <v>1851</v>
      </c>
      <c r="K2148">
        <v>20000</v>
      </c>
      <c r="L2148" t="s">
        <v>6803</v>
      </c>
    </row>
    <row r="2149" spans="1:12" x14ac:dyDescent="0.35">
      <c r="A2149" t="s">
        <v>1986</v>
      </c>
      <c r="B2149" s="1">
        <v>45744</v>
      </c>
      <c r="C2149" t="s">
        <v>7738</v>
      </c>
      <c r="F2149" t="s">
        <v>7828</v>
      </c>
      <c r="H2149" t="s">
        <v>1851</v>
      </c>
      <c r="J2149">
        <v>20000</v>
      </c>
      <c r="L2149" t="s">
        <v>347</v>
      </c>
    </row>
    <row r="2150" spans="1:12" x14ac:dyDescent="0.35">
      <c r="A2150" t="s">
        <v>1986</v>
      </c>
      <c r="B2150" s="1">
        <v>45744</v>
      </c>
      <c r="C2150" t="s">
        <v>7745</v>
      </c>
      <c r="F2150" t="s">
        <v>7891</v>
      </c>
      <c r="H2150" t="s">
        <v>1851</v>
      </c>
      <c r="K2150">
        <v>79350</v>
      </c>
      <c r="L2150" t="s">
        <v>6803</v>
      </c>
    </row>
    <row r="2151" spans="1:12" x14ac:dyDescent="0.35">
      <c r="A2151" t="s">
        <v>1986</v>
      </c>
      <c r="B2151" s="1">
        <v>45744</v>
      </c>
      <c r="C2151" t="s">
        <v>7745</v>
      </c>
      <c r="F2151" t="s">
        <v>7828</v>
      </c>
      <c r="H2151" t="s">
        <v>1851</v>
      </c>
      <c r="J2151">
        <v>79350</v>
      </c>
      <c r="L2151" t="s">
        <v>347</v>
      </c>
    </row>
    <row r="2152" spans="1:12" x14ac:dyDescent="0.35">
      <c r="A2152" t="s">
        <v>1986</v>
      </c>
      <c r="B2152" s="1">
        <v>45744</v>
      </c>
      <c r="C2152" t="s">
        <v>7747</v>
      </c>
      <c r="F2152" t="s">
        <v>7891</v>
      </c>
      <c r="H2152" t="s">
        <v>1851</v>
      </c>
      <c r="K2152">
        <v>2000</v>
      </c>
      <c r="L2152" t="s">
        <v>6803</v>
      </c>
    </row>
    <row r="2153" spans="1:12" x14ac:dyDescent="0.35">
      <c r="A2153" t="s">
        <v>1986</v>
      </c>
      <c r="B2153" s="1">
        <v>45744</v>
      </c>
      <c r="C2153" t="s">
        <v>7747</v>
      </c>
      <c r="F2153" t="s">
        <v>7828</v>
      </c>
      <c r="H2153" t="s">
        <v>1851</v>
      </c>
      <c r="J2153">
        <v>2000</v>
      </c>
      <c r="L2153" t="s">
        <v>347</v>
      </c>
    </row>
    <row r="2154" spans="1:12" x14ac:dyDescent="0.35">
      <c r="A2154" t="s">
        <v>2016</v>
      </c>
      <c r="B2154" s="1">
        <v>45741</v>
      </c>
      <c r="C2154" t="s">
        <v>7599</v>
      </c>
      <c r="F2154" t="s">
        <v>7899</v>
      </c>
      <c r="H2154" t="s">
        <v>2017</v>
      </c>
      <c r="K2154">
        <v>6185</v>
      </c>
      <c r="L2154" t="s">
        <v>6803</v>
      </c>
    </row>
    <row r="2155" spans="1:12" x14ac:dyDescent="0.35">
      <c r="A2155" t="s">
        <v>2016</v>
      </c>
      <c r="B2155" s="1">
        <v>45741</v>
      </c>
      <c r="C2155" t="s">
        <v>7599</v>
      </c>
      <c r="F2155" t="s">
        <v>7606</v>
      </c>
      <c r="H2155" t="s">
        <v>2017</v>
      </c>
      <c r="J2155">
        <v>6185</v>
      </c>
      <c r="L2155" t="s">
        <v>5926</v>
      </c>
    </row>
    <row r="2156" spans="1:12" x14ac:dyDescent="0.35">
      <c r="A2156" t="s">
        <v>2018</v>
      </c>
      <c r="B2156" s="1">
        <v>45719</v>
      </c>
      <c r="C2156" t="s">
        <v>7900</v>
      </c>
      <c r="F2156" t="s">
        <v>7901</v>
      </c>
      <c r="H2156" t="s">
        <v>2019</v>
      </c>
      <c r="K2156">
        <v>47000</v>
      </c>
      <c r="L2156" t="s">
        <v>6803</v>
      </c>
    </row>
    <row r="2157" spans="1:12" x14ac:dyDescent="0.35">
      <c r="A2157" t="s">
        <v>2018</v>
      </c>
      <c r="B2157" s="1">
        <v>45719</v>
      </c>
      <c r="C2157" t="s">
        <v>7900</v>
      </c>
      <c r="F2157" t="s">
        <v>7902</v>
      </c>
      <c r="H2157" t="s">
        <v>2019</v>
      </c>
      <c r="J2157">
        <v>47000</v>
      </c>
      <c r="L2157" t="s">
        <v>5906</v>
      </c>
    </row>
    <row r="2158" spans="1:12" x14ac:dyDescent="0.35">
      <c r="A2158" t="s">
        <v>2018</v>
      </c>
      <c r="B2158" s="1">
        <v>45720</v>
      </c>
      <c r="C2158" t="s">
        <v>7903</v>
      </c>
      <c r="F2158" t="s">
        <v>7901</v>
      </c>
      <c r="H2158" t="s">
        <v>2020</v>
      </c>
      <c r="K2158">
        <v>30000</v>
      </c>
      <c r="L2158" t="s">
        <v>6803</v>
      </c>
    </row>
    <row r="2159" spans="1:12" x14ac:dyDescent="0.35">
      <c r="A2159" t="s">
        <v>2018</v>
      </c>
      <c r="B2159" s="1">
        <v>45720</v>
      </c>
      <c r="C2159" t="s">
        <v>7903</v>
      </c>
      <c r="F2159" t="s">
        <v>7595</v>
      </c>
      <c r="H2159" t="s">
        <v>2020</v>
      </c>
      <c r="J2159">
        <v>30000</v>
      </c>
      <c r="L2159" t="s">
        <v>5906</v>
      </c>
    </row>
    <row r="2160" spans="1:12" x14ac:dyDescent="0.35">
      <c r="A2160" t="s">
        <v>2018</v>
      </c>
      <c r="B2160" s="1">
        <v>45720</v>
      </c>
      <c r="C2160" t="s">
        <v>7904</v>
      </c>
      <c r="F2160" t="s">
        <v>7901</v>
      </c>
      <c r="H2160" t="s">
        <v>2021</v>
      </c>
      <c r="K2160">
        <v>25025</v>
      </c>
      <c r="L2160" t="s">
        <v>6803</v>
      </c>
    </row>
    <row r="2161" spans="1:12" x14ac:dyDescent="0.35">
      <c r="A2161" t="s">
        <v>2018</v>
      </c>
      <c r="B2161" s="1">
        <v>45720</v>
      </c>
      <c r="C2161" t="s">
        <v>7904</v>
      </c>
      <c r="F2161" t="s">
        <v>7905</v>
      </c>
      <c r="H2161" t="s">
        <v>2021</v>
      </c>
      <c r="J2161">
        <v>25025</v>
      </c>
      <c r="L2161" t="s">
        <v>5943</v>
      </c>
    </row>
    <row r="2162" spans="1:12" x14ac:dyDescent="0.35">
      <c r="A2162" t="s">
        <v>2018</v>
      </c>
      <c r="B2162" s="1">
        <v>45720</v>
      </c>
      <c r="C2162" t="s">
        <v>7906</v>
      </c>
      <c r="F2162" t="s">
        <v>7901</v>
      </c>
      <c r="H2162" t="s">
        <v>2022</v>
      </c>
      <c r="K2162">
        <v>280000</v>
      </c>
      <c r="L2162" t="s">
        <v>6803</v>
      </c>
    </row>
    <row r="2163" spans="1:12" x14ac:dyDescent="0.35">
      <c r="A2163" t="s">
        <v>2018</v>
      </c>
      <c r="B2163" s="1">
        <v>45720</v>
      </c>
      <c r="C2163" t="s">
        <v>7906</v>
      </c>
      <c r="F2163" t="s">
        <v>7905</v>
      </c>
      <c r="H2163" t="s">
        <v>2022</v>
      </c>
      <c r="J2163">
        <v>280000</v>
      </c>
      <c r="L2163" t="s">
        <v>5943</v>
      </c>
    </row>
    <row r="2164" spans="1:12" x14ac:dyDescent="0.35">
      <c r="A2164" t="s">
        <v>2018</v>
      </c>
      <c r="B2164" s="1">
        <v>45721</v>
      </c>
      <c r="C2164" t="s">
        <v>7907</v>
      </c>
      <c r="F2164" t="s">
        <v>7901</v>
      </c>
      <c r="H2164" t="s">
        <v>2023</v>
      </c>
      <c r="K2164">
        <v>17500</v>
      </c>
      <c r="L2164" t="s">
        <v>6803</v>
      </c>
    </row>
    <row r="2165" spans="1:12" x14ac:dyDescent="0.35">
      <c r="A2165" t="s">
        <v>2018</v>
      </c>
      <c r="B2165" s="1">
        <v>45721</v>
      </c>
      <c r="C2165" t="s">
        <v>7907</v>
      </c>
      <c r="F2165" t="s">
        <v>7905</v>
      </c>
      <c r="H2165" t="s">
        <v>2024</v>
      </c>
      <c r="J2165">
        <v>10000</v>
      </c>
      <c r="L2165" t="s">
        <v>5943</v>
      </c>
    </row>
    <row r="2166" spans="1:12" x14ac:dyDescent="0.35">
      <c r="A2166" t="s">
        <v>2018</v>
      </c>
      <c r="B2166" s="1">
        <v>45721</v>
      </c>
      <c r="C2166" t="s">
        <v>7907</v>
      </c>
      <c r="F2166" t="s">
        <v>7908</v>
      </c>
      <c r="H2166" t="s">
        <v>2025</v>
      </c>
      <c r="J2166">
        <v>7500</v>
      </c>
      <c r="L2166" t="s">
        <v>5943</v>
      </c>
    </row>
    <row r="2167" spans="1:12" x14ac:dyDescent="0.35">
      <c r="A2167" t="s">
        <v>2018</v>
      </c>
      <c r="B2167" s="1">
        <v>45721</v>
      </c>
      <c r="C2167" t="s">
        <v>7909</v>
      </c>
      <c r="F2167" t="s">
        <v>7901</v>
      </c>
      <c r="H2167" t="s">
        <v>2026</v>
      </c>
      <c r="K2167">
        <v>14000</v>
      </c>
      <c r="L2167" t="s">
        <v>6803</v>
      </c>
    </row>
    <row r="2168" spans="1:12" x14ac:dyDescent="0.35">
      <c r="A2168" t="s">
        <v>2018</v>
      </c>
      <c r="B2168" s="1">
        <v>45721</v>
      </c>
      <c r="C2168" t="s">
        <v>7909</v>
      </c>
      <c r="F2168" t="s">
        <v>7905</v>
      </c>
      <c r="H2168" t="s">
        <v>2027</v>
      </c>
      <c r="J2168">
        <v>10000</v>
      </c>
      <c r="L2168" t="s">
        <v>5943</v>
      </c>
    </row>
    <row r="2169" spans="1:12" x14ac:dyDescent="0.35">
      <c r="A2169" t="s">
        <v>2018</v>
      </c>
      <c r="B2169" s="1">
        <v>45721</v>
      </c>
      <c r="C2169" t="s">
        <v>7909</v>
      </c>
      <c r="F2169" t="s">
        <v>7908</v>
      </c>
      <c r="H2169" t="s">
        <v>2028</v>
      </c>
      <c r="J2169">
        <v>4000</v>
      </c>
      <c r="L2169" t="s">
        <v>5943</v>
      </c>
    </row>
    <row r="2170" spans="1:12" x14ac:dyDescent="0.35">
      <c r="A2170" t="s">
        <v>2018</v>
      </c>
      <c r="B2170" s="1">
        <v>45721</v>
      </c>
      <c r="C2170" t="s">
        <v>7910</v>
      </c>
      <c r="F2170" t="s">
        <v>7901</v>
      </c>
      <c r="H2170" t="s">
        <v>2029</v>
      </c>
      <c r="K2170">
        <v>10000</v>
      </c>
      <c r="L2170" t="s">
        <v>6803</v>
      </c>
    </row>
    <row r="2171" spans="1:12" x14ac:dyDescent="0.35">
      <c r="A2171" t="s">
        <v>2018</v>
      </c>
      <c r="B2171" s="1">
        <v>45721</v>
      </c>
      <c r="C2171" t="s">
        <v>7910</v>
      </c>
      <c r="F2171" t="s">
        <v>7905</v>
      </c>
      <c r="H2171" t="s">
        <v>2030</v>
      </c>
      <c r="J2171">
        <v>10000</v>
      </c>
      <c r="L2171" t="s">
        <v>5943</v>
      </c>
    </row>
    <row r="2172" spans="1:12" x14ac:dyDescent="0.35">
      <c r="A2172" t="s">
        <v>2018</v>
      </c>
      <c r="B2172" s="1">
        <v>45721</v>
      </c>
      <c r="C2172" t="s">
        <v>7911</v>
      </c>
      <c r="F2172" t="s">
        <v>7901</v>
      </c>
      <c r="H2172" t="s">
        <v>2031</v>
      </c>
      <c r="K2172">
        <v>42000</v>
      </c>
      <c r="L2172" t="s">
        <v>6803</v>
      </c>
    </row>
    <row r="2173" spans="1:12" x14ac:dyDescent="0.35">
      <c r="A2173" t="s">
        <v>2018</v>
      </c>
      <c r="B2173" s="1">
        <v>45721</v>
      </c>
      <c r="C2173" t="s">
        <v>7911</v>
      </c>
      <c r="F2173" t="s">
        <v>7905</v>
      </c>
      <c r="H2173" t="s">
        <v>2032</v>
      </c>
      <c r="J2173">
        <v>10000</v>
      </c>
      <c r="L2173" t="s">
        <v>5943</v>
      </c>
    </row>
    <row r="2174" spans="1:12" x14ac:dyDescent="0.35">
      <c r="A2174" t="s">
        <v>2018</v>
      </c>
      <c r="B2174" s="1">
        <v>45721</v>
      </c>
      <c r="C2174" t="s">
        <v>7911</v>
      </c>
      <c r="F2174" t="s">
        <v>7908</v>
      </c>
      <c r="H2174" t="s">
        <v>2033</v>
      </c>
      <c r="J2174">
        <v>32000</v>
      </c>
      <c r="L2174" t="s">
        <v>5943</v>
      </c>
    </row>
    <row r="2175" spans="1:12" x14ac:dyDescent="0.35">
      <c r="A2175" t="s">
        <v>2018</v>
      </c>
      <c r="B2175" s="1">
        <v>45721</v>
      </c>
      <c r="C2175" t="s">
        <v>7912</v>
      </c>
      <c r="F2175" t="s">
        <v>7901</v>
      </c>
      <c r="H2175" t="s">
        <v>2034</v>
      </c>
      <c r="K2175">
        <v>40000</v>
      </c>
      <c r="L2175" t="s">
        <v>6803</v>
      </c>
    </row>
    <row r="2176" spans="1:12" x14ac:dyDescent="0.35">
      <c r="A2176" t="s">
        <v>2018</v>
      </c>
      <c r="B2176" s="1">
        <v>45721</v>
      </c>
      <c r="C2176" t="s">
        <v>7912</v>
      </c>
      <c r="F2176" t="s">
        <v>6820</v>
      </c>
      <c r="H2176" t="s">
        <v>2034</v>
      </c>
      <c r="J2176">
        <v>40000</v>
      </c>
      <c r="L2176" t="s">
        <v>5955</v>
      </c>
    </row>
    <row r="2177" spans="1:12" x14ac:dyDescent="0.35">
      <c r="A2177" t="s">
        <v>2018</v>
      </c>
      <c r="B2177" s="1">
        <v>45722</v>
      </c>
      <c r="C2177" t="s">
        <v>7913</v>
      </c>
      <c r="F2177" t="s">
        <v>7901</v>
      </c>
      <c r="H2177" t="s">
        <v>2035</v>
      </c>
      <c r="K2177">
        <v>5600</v>
      </c>
      <c r="L2177" t="s">
        <v>6803</v>
      </c>
    </row>
    <row r="2178" spans="1:12" x14ac:dyDescent="0.35">
      <c r="A2178" t="s">
        <v>2018</v>
      </c>
      <c r="B2178" s="1">
        <v>45722</v>
      </c>
      <c r="C2178" t="s">
        <v>7913</v>
      </c>
      <c r="F2178" t="s">
        <v>7914</v>
      </c>
      <c r="H2178" t="s">
        <v>2035</v>
      </c>
      <c r="J2178">
        <v>5600</v>
      </c>
      <c r="L2178" t="s">
        <v>5906</v>
      </c>
    </row>
    <row r="2179" spans="1:12" x14ac:dyDescent="0.35">
      <c r="A2179" t="s">
        <v>2018</v>
      </c>
      <c r="B2179" s="1">
        <v>45722</v>
      </c>
      <c r="C2179" t="s">
        <v>7915</v>
      </c>
      <c r="F2179" t="s">
        <v>7901</v>
      </c>
      <c r="H2179" t="s">
        <v>2036</v>
      </c>
      <c r="K2179">
        <v>12000</v>
      </c>
      <c r="L2179" t="s">
        <v>6803</v>
      </c>
    </row>
    <row r="2180" spans="1:12" x14ac:dyDescent="0.35">
      <c r="A2180" t="s">
        <v>2018</v>
      </c>
      <c r="B2180" s="1">
        <v>45722</v>
      </c>
      <c r="C2180" t="s">
        <v>7915</v>
      </c>
      <c r="F2180" t="s">
        <v>7905</v>
      </c>
      <c r="H2180" t="s">
        <v>2024</v>
      </c>
      <c r="J2180">
        <v>10000</v>
      </c>
      <c r="L2180" t="s">
        <v>5943</v>
      </c>
    </row>
    <row r="2181" spans="1:12" x14ac:dyDescent="0.35">
      <c r="A2181" t="s">
        <v>2018</v>
      </c>
      <c r="B2181" s="1">
        <v>45722</v>
      </c>
      <c r="C2181" t="s">
        <v>7915</v>
      </c>
      <c r="F2181" t="s">
        <v>7908</v>
      </c>
      <c r="H2181" t="s">
        <v>2025</v>
      </c>
      <c r="J2181">
        <v>2000</v>
      </c>
      <c r="L2181" t="s">
        <v>5943</v>
      </c>
    </row>
    <row r="2182" spans="1:12" x14ac:dyDescent="0.35">
      <c r="A2182" t="s">
        <v>2018</v>
      </c>
      <c r="B2182" s="1">
        <v>45722</v>
      </c>
      <c r="C2182" t="s">
        <v>7916</v>
      </c>
      <c r="F2182" t="s">
        <v>7901</v>
      </c>
      <c r="H2182" t="s">
        <v>2037</v>
      </c>
      <c r="K2182">
        <v>12000</v>
      </c>
      <c r="L2182" t="s">
        <v>6803</v>
      </c>
    </row>
    <row r="2183" spans="1:12" x14ac:dyDescent="0.35">
      <c r="A2183" t="s">
        <v>2018</v>
      </c>
      <c r="B2183" s="1">
        <v>45722</v>
      </c>
      <c r="C2183" t="s">
        <v>7916</v>
      </c>
      <c r="F2183" t="s">
        <v>7905</v>
      </c>
      <c r="H2183" t="s">
        <v>2038</v>
      </c>
      <c r="J2183">
        <v>10000</v>
      </c>
      <c r="L2183" t="s">
        <v>5943</v>
      </c>
    </row>
    <row r="2184" spans="1:12" x14ac:dyDescent="0.35">
      <c r="A2184" t="s">
        <v>2018</v>
      </c>
      <c r="B2184" s="1">
        <v>45722</v>
      </c>
      <c r="C2184" t="s">
        <v>7916</v>
      </c>
      <c r="F2184" t="s">
        <v>7908</v>
      </c>
      <c r="H2184" t="s">
        <v>2039</v>
      </c>
      <c r="J2184">
        <v>2000</v>
      </c>
      <c r="L2184" t="s">
        <v>5943</v>
      </c>
    </row>
    <row r="2185" spans="1:12" x14ac:dyDescent="0.35">
      <c r="A2185" t="s">
        <v>2018</v>
      </c>
      <c r="B2185" s="1">
        <v>45722</v>
      </c>
      <c r="C2185" t="s">
        <v>7917</v>
      </c>
      <c r="F2185" t="s">
        <v>7901</v>
      </c>
      <c r="H2185" t="s">
        <v>2040</v>
      </c>
      <c r="K2185">
        <v>12000</v>
      </c>
      <c r="L2185" t="s">
        <v>6803</v>
      </c>
    </row>
    <row r="2186" spans="1:12" x14ac:dyDescent="0.35">
      <c r="A2186" t="s">
        <v>2018</v>
      </c>
      <c r="B2186" s="1">
        <v>45722</v>
      </c>
      <c r="C2186" t="s">
        <v>7917</v>
      </c>
      <c r="F2186" t="s">
        <v>7905</v>
      </c>
      <c r="H2186" t="s">
        <v>2041</v>
      </c>
      <c r="J2186">
        <v>10000</v>
      </c>
      <c r="L2186" t="s">
        <v>5943</v>
      </c>
    </row>
    <row r="2187" spans="1:12" x14ac:dyDescent="0.35">
      <c r="A2187" t="s">
        <v>2018</v>
      </c>
      <c r="B2187" s="1">
        <v>45722</v>
      </c>
      <c r="C2187" t="s">
        <v>7917</v>
      </c>
      <c r="F2187" t="s">
        <v>7908</v>
      </c>
      <c r="H2187" t="s">
        <v>2042</v>
      </c>
      <c r="J2187">
        <v>2000</v>
      </c>
      <c r="L2187" t="s">
        <v>5943</v>
      </c>
    </row>
    <row r="2188" spans="1:12" x14ac:dyDescent="0.35">
      <c r="A2188" t="s">
        <v>2018</v>
      </c>
      <c r="B2188" s="1">
        <v>45722</v>
      </c>
      <c r="C2188" t="s">
        <v>7918</v>
      </c>
      <c r="F2188" t="s">
        <v>7901</v>
      </c>
      <c r="H2188" t="s">
        <v>2026</v>
      </c>
      <c r="K2188">
        <v>12000</v>
      </c>
      <c r="L2188" t="s">
        <v>6803</v>
      </c>
    </row>
    <row r="2189" spans="1:12" x14ac:dyDescent="0.35">
      <c r="A2189" t="s">
        <v>2018</v>
      </c>
      <c r="B2189" s="1">
        <v>45722</v>
      </c>
      <c r="C2189" t="s">
        <v>7918</v>
      </c>
      <c r="F2189" t="s">
        <v>7905</v>
      </c>
      <c r="H2189" t="s">
        <v>2027</v>
      </c>
      <c r="J2189">
        <v>10000</v>
      </c>
      <c r="L2189" t="s">
        <v>5943</v>
      </c>
    </row>
    <row r="2190" spans="1:12" x14ac:dyDescent="0.35">
      <c r="A2190" t="s">
        <v>2018</v>
      </c>
      <c r="B2190" s="1">
        <v>45722</v>
      </c>
      <c r="C2190" t="s">
        <v>7918</v>
      </c>
      <c r="F2190" t="s">
        <v>7908</v>
      </c>
      <c r="H2190" t="s">
        <v>2028</v>
      </c>
      <c r="J2190">
        <v>2000</v>
      </c>
      <c r="L2190" t="s">
        <v>5943</v>
      </c>
    </row>
    <row r="2191" spans="1:12" x14ac:dyDescent="0.35">
      <c r="A2191" t="s">
        <v>2018</v>
      </c>
      <c r="B2191" s="1">
        <v>45723</v>
      </c>
      <c r="C2191" t="s">
        <v>7919</v>
      </c>
      <c r="F2191" t="s">
        <v>7901</v>
      </c>
      <c r="H2191" t="s">
        <v>2043</v>
      </c>
      <c r="K2191">
        <v>100000</v>
      </c>
      <c r="L2191" t="s">
        <v>6803</v>
      </c>
    </row>
    <row r="2192" spans="1:12" x14ac:dyDescent="0.35">
      <c r="A2192" t="s">
        <v>2018</v>
      </c>
      <c r="B2192" s="1">
        <v>45723</v>
      </c>
      <c r="C2192" t="s">
        <v>7919</v>
      </c>
      <c r="F2192" t="s">
        <v>7858</v>
      </c>
      <c r="H2192" t="s">
        <v>2043</v>
      </c>
      <c r="J2192">
        <v>100000</v>
      </c>
      <c r="L2192" t="s">
        <v>5943</v>
      </c>
    </row>
    <row r="2193" spans="1:12" x14ac:dyDescent="0.35">
      <c r="A2193" t="s">
        <v>2018</v>
      </c>
      <c r="B2193" s="1">
        <v>45723</v>
      </c>
      <c r="C2193" t="s">
        <v>7920</v>
      </c>
      <c r="F2193" t="s">
        <v>7901</v>
      </c>
      <c r="H2193" t="s">
        <v>2044</v>
      </c>
      <c r="K2193">
        <v>2000</v>
      </c>
      <c r="L2193" t="s">
        <v>6803</v>
      </c>
    </row>
    <row r="2194" spans="1:12" x14ac:dyDescent="0.35">
      <c r="A2194" t="s">
        <v>2018</v>
      </c>
      <c r="B2194" s="1">
        <v>45723</v>
      </c>
      <c r="C2194" t="s">
        <v>7920</v>
      </c>
      <c r="F2194" t="s">
        <v>7905</v>
      </c>
      <c r="H2194" t="s">
        <v>2044</v>
      </c>
      <c r="J2194">
        <v>2000</v>
      </c>
      <c r="L2194" t="s">
        <v>5943</v>
      </c>
    </row>
    <row r="2195" spans="1:12" x14ac:dyDescent="0.35">
      <c r="A2195" t="s">
        <v>2018</v>
      </c>
      <c r="B2195" s="1">
        <v>45723</v>
      </c>
      <c r="C2195" t="s">
        <v>7921</v>
      </c>
      <c r="F2195" t="s">
        <v>7901</v>
      </c>
      <c r="H2195" t="s">
        <v>2045</v>
      </c>
      <c r="K2195">
        <v>5000</v>
      </c>
      <c r="L2195" t="s">
        <v>6803</v>
      </c>
    </row>
    <row r="2196" spans="1:12" x14ac:dyDescent="0.35">
      <c r="A2196" t="s">
        <v>2018</v>
      </c>
      <c r="B2196" s="1">
        <v>45723</v>
      </c>
      <c r="C2196" t="s">
        <v>7921</v>
      </c>
      <c r="F2196" t="s">
        <v>7905</v>
      </c>
      <c r="H2196" t="s">
        <v>2045</v>
      </c>
      <c r="J2196">
        <v>5000</v>
      </c>
      <c r="L2196" t="s">
        <v>5943</v>
      </c>
    </row>
    <row r="2197" spans="1:12" x14ac:dyDescent="0.35">
      <c r="A2197" t="s">
        <v>2018</v>
      </c>
      <c r="B2197" s="1">
        <v>45724</v>
      </c>
      <c r="C2197" t="s">
        <v>7922</v>
      </c>
      <c r="F2197" t="s">
        <v>7901</v>
      </c>
      <c r="H2197" t="s">
        <v>2046</v>
      </c>
      <c r="K2197">
        <v>10000</v>
      </c>
      <c r="L2197" t="s">
        <v>6803</v>
      </c>
    </row>
    <row r="2198" spans="1:12" x14ac:dyDescent="0.35">
      <c r="A2198" t="s">
        <v>2018</v>
      </c>
      <c r="B2198" s="1">
        <v>45724</v>
      </c>
      <c r="C2198" t="s">
        <v>7922</v>
      </c>
      <c r="F2198" t="s">
        <v>7905</v>
      </c>
      <c r="H2198" t="s">
        <v>2046</v>
      </c>
      <c r="J2198">
        <v>10000</v>
      </c>
      <c r="L2198" t="s">
        <v>5943</v>
      </c>
    </row>
    <row r="2199" spans="1:12" x14ac:dyDescent="0.35">
      <c r="A2199" t="s">
        <v>2018</v>
      </c>
      <c r="B2199" s="1">
        <v>45724</v>
      </c>
      <c r="C2199" t="s">
        <v>7923</v>
      </c>
      <c r="F2199" t="s">
        <v>7901</v>
      </c>
      <c r="H2199" t="s">
        <v>2047</v>
      </c>
      <c r="K2199">
        <v>5000</v>
      </c>
      <c r="L2199" t="s">
        <v>6803</v>
      </c>
    </row>
    <row r="2200" spans="1:12" x14ac:dyDescent="0.35">
      <c r="A2200" t="s">
        <v>2018</v>
      </c>
      <c r="B2200" s="1">
        <v>45724</v>
      </c>
      <c r="C2200" t="s">
        <v>7923</v>
      </c>
      <c r="F2200" t="s">
        <v>7905</v>
      </c>
      <c r="H2200" t="s">
        <v>2047</v>
      </c>
      <c r="J2200">
        <v>5000</v>
      </c>
      <c r="L2200" t="s">
        <v>5943</v>
      </c>
    </row>
    <row r="2201" spans="1:12" x14ac:dyDescent="0.35">
      <c r="A2201" t="s">
        <v>2018</v>
      </c>
      <c r="B2201" s="1">
        <v>45724</v>
      </c>
      <c r="C2201" t="s">
        <v>7924</v>
      </c>
      <c r="F2201" t="s">
        <v>7901</v>
      </c>
      <c r="H2201" t="s">
        <v>2048</v>
      </c>
      <c r="K2201">
        <v>13500</v>
      </c>
      <c r="L2201" t="s">
        <v>6803</v>
      </c>
    </row>
    <row r="2202" spans="1:12" x14ac:dyDescent="0.35">
      <c r="A2202" t="s">
        <v>2018</v>
      </c>
      <c r="B2202" s="1">
        <v>45724</v>
      </c>
      <c r="C2202" t="s">
        <v>7924</v>
      </c>
      <c r="F2202" t="s">
        <v>7905</v>
      </c>
      <c r="H2202" t="s">
        <v>2049</v>
      </c>
      <c r="J2202">
        <v>10000</v>
      </c>
      <c r="L2202" t="s">
        <v>5943</v>
      </c>
    </row>
    <row r="2203" spans="1:12" x14ac:dyDescent="0.35">
      <c r="A2203" t="s">
        <v>2018</v>
      </c>
      <c r="B2203" s="1">
        <v>45724</v>
      </c>
      <c r="C2203" t="s">
        <v>7924</v>
      </c>
      <c r="F2203" t="s">
        <v>7908</v>
      </c>
      <c r="H2203" t="s">
        <v>2050</v>
      </c>
      <c r="J2203">
        <v>3500</v>
      </c>
      <c r="L2203" t="s">
        <v>5943</v>
      </c>
    </row>
    <row r="2204" spans="1:12" x14ac:dyDescent="0.35">
      <c r="A2204" t="s">
        <v>2018</v>
      </c>
      <c r="B2204" s="1">
        <v>45724</v>
      </c>
      <c r="C2204" t="s">
        <v>7925</v>
      </c>
      <c r="F2204" t="s">
        <v>7901</v>
      </c>
      <c r="H2204" t="s">
        <v>2051</v>
      </c>
      <c r="K2204">
        <v>15000</v>
      </c>
      <c r="L2204" t="s">
        <v>6803</v>
      </c>
    </row>
    <row r="2205" spans="1:12" x14ac:dyDescent="0.35">
      <c r="A2205" t="s">
        <v>2018</v>
      </c>
      <c r="B2205" s="1">
        <v>45724</v>
      </c>
      <c r="C2205" t="s">
        <v>7925</v>
      </c>
      <c r="F2205" t="s">
        <v>7905</v>
      </c>
      <c r="H2205" t="s">
        <v>2048</v>
      </c>
      <c r="J2205">
        <v>15000</v>
      </c>
      <c r="L2205" t="s">
        <v>5943</v>
      </c>
    </row>
    <row r="2206" spans="1:12" x14ac:dyDescent="0.35">
      <c r="A2206" t="s">
        <v>2018</v>
      </c>
      <c r="B2206" s="1">
        <v>45726</v>
      </c>
      <c r="C2206" t="s">
        <v>7926</v>
      </c>
      <c r="F2206" t="s">
        <v>7901</v>
      </c>
      <c r="H2206" t="s">
        <v>2052</v>
      </c>
      <c r="J2206">
        <v>3000000</v>
      </c>
      <c r="L2206" t="s">
        <v>6803</v>
      </c>
    </row>
    <row r="2207" spans="1:12" x14ac:dyDescent="0.35">
      <c r="A2207" t="s">
        <v>2018</v>
      </c>
      <c r="B2207" s="1">
        <v>45726</v>
      </c>
      <c r="C2207" t="s">
        <v>7926</v>
      </c>
      <c r="F2207" t="s">
        <v>7829</v>
      </c>
      <c r="H2207" t="s">
        <v>2052</v>
      </c>
      <c r="K2207">
        <v>3000000</v>
      </c>
      <c r="L2207" t="s">
        <v>6803</v>
      </c>
    </row>
    <row r="2208" spans="1:12" x14ac:dyDescent="0.35">
      <c r="A2208" t="s">
        <v>2018</v>
      </c>
      <c r="B2208" s="1">
        <v>45726</v>
      </c>
      <c r="C2208" t="s">
        <v>7927</v>
      </c>
      <c r="F2208" t="s">
        <v>7901</v>
      </c>
      <c r="H2208" t="s">
        <v>2053</v>
      </c>
      <c r="K2208">
        <v>10000</v>
      </c>
      <c r="L2208" t="s">
        <v>6803</v>
      </c>
    </row>
    <row r="2209" spans="1:12" x14ac:dyDescent="0.35">
      <c r="A2209" t="s">
        <v>2018</v>
      </c>
      <c r="B2209" s="1">
        <v>45726</v>
      </c>
      <c r="C2209" t="s">
        <v>7927</v>
      </c>
      <c r="F2209" t="s">
        <v>7928</v>
      </c>
      <c r="H2209" t="s">
        <v>2053</v>
      </c>
      <c r="J2209">
        <v>10000</v>
      </c>
      <c r="L2209" t="s">
        <v>5906</v>
      </c>
    </row>
    <row r="2210" spans="1:12" x14ac:dyDescent="0.35">
      <c r="A2210" t="s">
        <v>2018</v>
      </c>
      <c r="B2210" s="1">
        <v>45726</v>
      </c>
      <c r="C2210" t="s">
        <v>7929</v>
      </c>
      <c r="F2210" t="s">
        <v>7901</v>
      </c>
      <c r="H2210" t="s">
        <v>2054</v>
      </c>
      <c r="K2210">
        <v>25000</v>
      </c>
      <c r="L2210" t="s">
        <v>6803</v>
      </c>
    </row>
    <row r="2211" spans="1:12" x14ac:dyDescent="0.35">
      <c r="A2211" t="s">
        <v>2018</v>
      </c>
      <c r="B2211" s="1">
        <v>45726</v>
      </c>
      <c r="C2211" t="s">
        <v>7929</v>
      </c>
      <c r="F2211" t="s">
        <v>7858</v>
      </c>
      <c r="H2211" t="s">
        <v>2054</v>
      </c>
      <c r="J2211">
        <v>25000</v>
      </c>
      <c r="L2211" t="s">
        <v>5943</v>
      </c>
    </row>
    <row r="2212" spans="1:12" x14ac:dyDescent="0.35">
      <c r="A2212" t="s">
        <v>2018</v>
      </c>
      <c r="B2212" s="1">
        <v>45726</v>
      </c>
      <c r="C2212" t="s">
        <v>7930</v>
      </c>
      <c r="F2212" t="s">
        <v>7901</v>
      </c>
      <c r="H2212" t="s">
        <v>2055</v>
      </c>
      <c r="K2212">
        <v>80000</v>
      </c>
      <c r="L2212" t="s">
        <v>6803</v>
      </c>
    </row>
    <row r="2213" spans="1:12" x14ac:dyDescent="0.35">
      <c r="A2213" t="s">
        <v>2018</v>
      </c>
      <c r="B2213" s="1">
        <v>45726</v>
      </c>
      <c r="C2213" t="s">
        <v>7930</v>
      </c>
      <c r="F2213" t="s">
        <v>7905</v>
      </c>
      <c r="H2213" t="s">
        <v>2055</v>
      </c>
      <c r="J2213">
        <v>80000</v>
      </c>
      <c r="L2213" t="s">
        <v>5943</v>
      </c>
    </row>
    <row r="2214" spans="1:12" x14ac:dyDescent="0.35">
      <c r="A2214" t="s">
        <v>2018</v>
      </c>
      <c r="B2214" s="1">
        <v>45726</v>
      </c>
      <c r="C2214" t="s">
        <v>7931</v>
      </c>
      <c r="F2214" t="s">
        <v>7901</v>
      </c>
      <c r="H2214" t="s">
        <v>2056</v>
      </c>
      <c r="K2214">
        <v>52000</v>
      </c>
      <c r="L2214" t="s">
        <v>6803</v>
      </c>
    </row>
    <row r="2215" spans="1:12" x14ac:dyDescent="0.35">
      <c r="A2215" t="s">
        <v>2018</v>
      </c>
      <c r="B2215" s="1">
        <v>45726</v>
      </c>
      <c r="C2215" t="s">
        <v>7931</v>
      </c>
      <c r="F2215" t="s">
        <v>7928</v>
      </c>
      <c r="H2215" t="s">
        <v>2056</v>
      </c>
      <c r="J2215">
        <v>52000</v>
      </c>
      <c r="L2215" t="s">
        <v>5906</v>
      </c>
    </row>
    <row r="2216" spans="1:12" x14ac:dyDescent="0.35">
      <c r="A2216" t="s">
        <v>2018</v>
      </c>
      <c r="B2216" s="1">
        <v>45726</v>
      </c>
      <c r="C2216" t="s">
        <v>7932</v>
      </c>
      <c r="F2216" t="s">
        <v>7901</v>
      </c>
      <c r="H2216" t="s">
        <v>2057</v>
      </c>
      <c r="K2216">
        <v>4000</v>
      </c>
      <c r="L2216" t="s">
        <v>6803</v>
      </c>
    </row>
    <row r="2217" spans="1:12" x14ac:dyDescent="0.35">
      <c r="A2217" t="s">
        <v>2018</v>
      </c>
      <c r="B2217" s="1">
        <v>45726</v>
      </c>
      <c r="C2217" t="s">
        <v>7932</v>
      </c>
      <c r="F2217" t="s">
        <v>7905</v>
      </c>
      <c r="H2217" t="s">
        <v>2058</v>
      </c>
      <c r="J2217">
        <v>2000</v>
      </c>
      <c r="L2217" t="s">
        <v>5943</v>
      </c>
    </row>
    <row r="2218" spans="1:12" x14ac:dyDescent="0.35">
      <c r="A2218" t="s">
        <v>2018</v>
      </c>
      <c r="B2218" s="1">
        <v>45726</v>
      </c>
      <c r="C2218" t="s">
        <v>7932</v>
      </c>
      <c r="F2218" t="s">
        <v>7908</v>
      </c>
      <c r="H2218" t="s">
        <v>2059</v>
      </c>
      <c r="J2218">
        <v>2000</v>
      </c>
      <c r="L2218" t="s">
        <v>5943</v>
      </c>
    </row>
    <row r="2219" spans="1:12" x14ac:dyDescent="0.35">
      <c r="A2219" t="s">
        <v>2018</v>
      </c>
      <c r="B2219" s="1">
        <v>45726</v>
      </c>
      <c r="C2219" t="s">
        <v>7933</v>
      </c>
      <c r="F2219" t="s">
        <v>7901</v>
      </c>
      <c r="H2219" t="s">
        <v>2060</v>
      </c>
      <c r="K2219">
        <v>5000</v>
      </c>
      <c r="L2219" t="s">
        <v>6803</v>
      </c>
    </row>
    <row r="2220" spans="1:12" x14ac:dyDescent="0.35">
      <c r="A2220" t="s">
        <v>2018</v>
      </c>
      <c r="B2220" s="1">
        <v>45726</v>
      </c>
      <c r="C2220" t="s">
        <v>7933</v>
      </c>
      <c r="F2220" t="s">
        <v>7934</v>
      </c>
      <c r="H2220" t="s">
        <v>2060</v>
      </c>
      <c r="J2220">
        <v>5000</v>
      </c>
      <c r="L2220" t="s">
        <v>5906</v>
      </c>
    </row>
    <row r="2221" spans="1:12" x14ac:dyDescent="0.35">
      <c r="A2221" t="s">
        <v>2018</v>
      </c>
      <c r="B2221" s="1">
        <v>45726</v>
      </c>
      <c r="C2221" t="s">
        <v>7935</v>
      </c>
      <c r="F2221" t="s">
        <v>7901</v>
      </c>
      <c r="H2221" t="s">
        <v>2061</v>
      </c>
      <c r="K2221">
        <v>52480</v>
      </c>
      <c r="L2221" t="s">
        <v>6803</v>
      </c>
    </row>
    <row r="2222" spans="1:12" x14ac:dyDescent="0.35">
      <c r="A2222" t="s">
        <v>2018</v>
      </c>
      <c r="B2222" s="1">
        <v>45726</v>
      </c>
      <c r="C2222" t="s">
        <v>7935</v>
      </c>
      <c r="F2222" t="s">
        <v>7606</v>
      </c>
      <c r="H2222" t="s">
        <v>2061</v>
      </c>
      <c r="J2222">
        <v>52480</v>
      </c>
      <c r="L2222" t="s">
        <v>5906</v>
      </c>
    </row>
    <row r="2223" spans="1:12" x14ac:dyDescent="0.35">
      <c r="A2223" t="s">
        <v>2018</v>
      </c>
      <c r="B2223" s="1">
        <v>45726</v>
      </c>
      <c r="C2223" t="s">
        <v>7936</v>
      </c>
      <c r="F2223" t="s">
        <v>7901</v>
      </c>
      <c r="H2223" t="s">
        <v>2062</v>
      </c>
      <c r="K2223">
        <v>17000</v>
      </c>
      <c r="L2223" t="s">
        <v>6803</v>
      </c>
    </row>
    <row r="2224" spans="1:12" x14ac:dyDescent="0.35">
      <c r="A2224" t="s">
        <v>2018</v>
      </c>
      <c r="B2224" s="1">
        <v>45726</v>
      </c>
      <c r="C2224" t="s">
        <v>7936</v>
      </c>
      <c r="F2224" t="s">
        <v>7905</v>
      </c>
      <c r="H2224" t="s">
        <v>2063</v>
      </c>
      <c r="J2224">
        <v>15000</v>
      </c>
      <c r="L2224" t="s">
        <v>5943</v>
      </c>
    </row>
    <row r="2225" spans="1:12" x14ac:dyDescent="0.35">
      <c r="A2225" t="s">
        <v>2018</v>
      </c>
      <c r="B2225" s="1">
        <v>45726</v>
      </c>
      <c r="C2225" t="s">
        <v>7936</v>
      </c>
      <c r="F2225" t="s">
        <v>7908</v>
      </c>
      <c r="H2225" t="s">
        <v>2064</v>
      </c>
      <c r="J2225">
        <v>2000</v>
      </c>
      <c r="L2225" t="s">
        <v>5943</v>
      </c>
    </row>
    <row r="2226" spans="1:12" x14ac:dyDescent="0.35">
      <c r="A2226" t="s">
        <v>2018</v>
      </c>
      <c r="B2226" s="1">
        <v>45726</v>
      </c>
      <c r="C2226" t="s">
        <v>7937</v>
      </c>
      <c r="F2226" t="s">
        <v>7901</v>
      </c>
      <c r="H2226" t="s">
        <v>2065</v>
      </c>
      <c r="K2226">
        <v>5000</v>
      </c>
      <c r="L2226" t="s">
        <v>6803</v>
      </c>
    </row>
    <row r="2227" spans="1:12" x14ac:dyDescent="0.35">
      <c r="A2227" t="s">
        <v>2018</v>
      </c>
      <c r="B2227" s="1">
        <v>45726</v>
      </c>
      <c r="C2227" t="s">
        <v>7937</v>
      </c>
      <c r="F2227" t="s">
        <v>7905</v>
      </c>
      <c r="H2227" t="s">
        <v>2065</v>
      </c>
      <c r="J2227">
        <v>5000</v>
      </c>
      <c r="L2227" t="s">
        <v>5943</v>
      </c>
    </row>
    <row r="2228" spans="1:12" x14ac:dyDescent="0.35">
      <c r="A2228" t="s">
        <v>2018</v>
      </c>
      <c r="B2228" s="1">
        <v>45726</v>
      </c>
      <c r="C2228" t="s">
        <v>7938</v>
      </c>
      <c r="F2228" t="s">
        <v>7901</v>
      </c>
      <c r="H2228" t="s">
        <v>2066</v>
      </c>
      <c r="K2228">
        <v>12000</v>
      </c>
      <c r="L2228" t="s">
        <v>6803</v>
      </c>
    </row>
    <row r="2229" spans="1:12" x14ac:dyDescent="0.35">
      <c r="A2229" t="s">
        <v>2018</v>
      </c>
      <c r="B2229" s="1">
        <v>45726</v>
      </c>
      <c r="C2229" t="s">
        <v>7938</v>
      </c>
      <c r="F2229" t="s">
        <v>7905</v>
      </c>
      <c r="H2229" t="s">
        <v>2067</v>
      </c>
      <c r="J2229">
        <v>10000</v>
      </c>
      <c r="L2229" t="s">
        <v>5943</v>
      </c>
    </row>
    <row r="2230" spans="1:12" x14ac:dyDescent="0.35">
      <c r="A2230" t="s">
        <v>2018</v>
      </c>
      <c r="B2230" s="1">
        <v>45726</v>
      </c>
      <c r="C2230" t="s">
        <v>7938</v>
      </c>
      <c r="F2230" t="s">
        <v>7908</v>
      </c>
      <c r="H2230" t="s">
        <v>2068</v>
      </c>
      <c r="J2230">
        <v>2000</v>
      </c>
      <c r="L2230" t="s">
        <v>5943</v>
      </c>
    </row>
    <row r="2231" spans="1:12" x14ac:dyDescent="0.35">
      <c r="A2231" t="s">
        <v>2018</v>
      </c>
      <c r="B2231" s="1">
        <v>45726</v>
      </c>
      <c r="C2231" t="s">
        <v>7939</v>
      </c>
      <c r="F2231" t="s">
        <v>7901</v>
      </c>
      <c r="H2231" t="s">
        <v>2069</v>
      </c>
      <c r="K2231">
        <v>6000</v>
      </c>
      <c r="L2231" t="s">
        <v>6803</v>
      </c>
    </row>
    <row r="2232" spans="1:12" x14ac:dyDescent="0.35">
      <c r="A2232" t="s">
        <v>2018</v>
      </c>
      <c r="B2232" s="1">
        <v>45726</v>
      </c>
      <c r="C2232" t="s">
        <v>7939</v>
      </c>
      <c r="F2232" t="s">
        <v>7928</v>
      </c>
      <c r="H2232" t="s">
        <v>2069</v>
      </c>
      <c r="J2232">
        <v>6000</v>
      </c>
      <c r="L2232" t="s">
        <v>5906</v>
      </c>
    </row>
    <row r="2233" spans="1:12" x14ac:dyDescent="0.35">
      <c r="A2233" t="s">
        <v>2018</v>
      </c>
      <c r="B2233" s="1">
        <v>45727</v>
      </c>
      <c r="C2233" t="s">
        <v>7940</v>
      </c>
      <c r="F2233" t="s">
        <v>7901</v>
      </c>
      <c r="H2233" t="s">
        <v>2070</v>
      </c>
      <c r="K2233">
        <v>15000</v>
      </c>
      <c r="L2233" t="s">
        <v>6803</v>
      </c>
    </row>
    <row r="2234" spans="1:12" x14ac:dyDescent="0.35">
      <c r="A2234" t="s">
        <v>2018</v>
      </c>
      <c r="B2234" s="1">
        <v>45727</v>
      </c>
      <c r="C2234" t="s">
        <v>7940</v>
      </c>
      <c r="F2234" t="s">
        <v>7914</v>
      </c>
      <c r="H2234" t="s">
        <v>2070</v>
      </c>
      <c r="J2234">
        <v>15000</v>
      </c>
      <c r="L2234" t="s">
        <v>5906</v>
      </c>
    </row>
    <row r="2235" spans="1:12" x14ac:dyDescent="0.35">
      <c r="A2235" t="s">
        <v>2018</v>
      </c>
      <c r="B2235" s="1">
        <v>45727</v>
      </c>
      <c r="C2235" t="s">
        <v>7941</v>
      </c>
      <c r="F2235" t="s">
        <v>7901</v>
      </c>
      <c r="H2235" t="s">
        <v>2071</v>
      </c>
      <c r="K2235">
        <v>22000</v>
      </c>
      <c r="L2235" t="s">
        <v>6803</v>
      </c>
    </row>
    <row r="2236" spans="1:12" x14ac:dyDescent="0.35">
      <c r="A2236" t="s">
        <v>2018</v>
      </c>
      <c r="B2236" s="1">
        <v>45727</v>
      </c>
      <c r="C2236" t="s">
        <v>7941</v>
      </c>
      <c r="F2236" t="s">
        <v>7905</v>
      </c>
      <c r="H2236" t="s">
        <v>2072</v>
      </c>
      <c r="J2236">
        <v>15000</v>
      </c>
      <c r="L2236" t="s">
        <v>5943</v>
      </c>
    </row>
    <row r="2237" spans="1:12" x14ac:dyDescent="0.35">
      <c r="A2237" t="s">
        <v>2018</v>
      </c>
      <c r="B2237" s="1">
        <v>45727</v>
      </c>
      <c r="C2237" t="s">
        <v>7941</v>
      </c>
      <c r="F2237" t="s">
        <v>7908</v>
      </c>
      <c r="H2237" t="s">
        <v>2073</v>
      </c>
      <c r="J2237">
        <v>7000</v>
      </c>
      <c r="L2237" t="s">
        <v>5943</v>
      </c>
    </row>
    <row r="2238" spans="1:12" x14ac:dyDescent="0.35">
      <c r="A2238" t="s">
        <v>2018</v>
      </c>
      <c r="B2238" s="1">
        <v>45727</v>
      </c>
      <c r="C2238" t="s">
        <v>7942</v>
      </c>
      <c r="F2238" t="s">
        <v>7901</v>
      </c>
      <c r="H2238" t="s">
        <v>2074</v>
      </c>
      <c r="K2238">
        <v>12000</v>
      </c>
      <c r="L2238" t="s">
        <v>6803</v>
      </c>
    </row>
    <row r="2239" spans="1:12" x14ac:dyDescent="0.35">
      <c r="A2239" t="s">
        <v>2018</v>
      </c>
      <c r="B2239" s="1">
        <v>45727</v>
      </c>
      <c r="C2239" t="s">
        <v>7942</v>
      </c>
      <c r="F2239" t="s">
        <v>7905</v>
      </c>
      <c r="H2239" t="s">
        <v>2075</v>
      </c>
      <c r="J2239">
        <v>10000</v>
      </c>
      <c r="L2239" t="s">
        <v>5943</v>
      </c>
    </row>
    <row r="2240" spans="1:12" x14ac:dyDescent="0.35">
      <c r="A2240" t="s">
        <v>2018</v>
      </c>
      <c r="B2240" s="1">
        <v>45727</v>
      </c>
      <c r="C2240" t="s">
        <v>7942</v>
      </c>
      <c r="F2240" t="s">
        <v>7908</v>
      </c>
      <c r="H2240" t="s">
        <v>2076</v>
      </c>
      <c r="J2240">
        <v>2000</v>
      </c>
      <c r="L2240" t="s">
        <v>5943</v>
      </c>
    </row>
    <row r="2241" spans="1:12" x14ac:dyDescent="0.35">
      <c r="A2241" t="s">
        <v>2018</v>
      </c>
      <c r="B2241" s="1">
        <v>45727</v>
      </c>
      <c r="C2241" t="s">
        <v>7943</v>
      </c>
      <c r="F2241" t="s">
        <v>7901</v>
      </c>
      <c r="H2241" t="s">
        <v>2029</v>
      </c>
      <c r="K2241">
        <v>12000</v>
      </c>
      <c r="L2241" t="s">
        <v>6803</v>
      </c>
    </row>
    <row r="2242" spans="1:12" x14ac:dyDescent="0.35">
      <c r="A2242" t="s">
        <v>2018</v>
      </c>
      <c r="B2242" s="1">
        <v>45727</v>
      </c>
      <c r="C2242" t="s">
        <v>7943</v>
      </c>
      <c r="F2242" t="s">
        <v>7905</v>
      </c>
      <c r="H2242" t="s">
        <v>2030</v>
      </c>
      <c r="J2242">
        <v>10000</v>
      </c>
      <c r="L2242" t="s">
        <v>5943</v>
      </c>
    </row>
    <row r="2243" spans="1:12" x14ac:dyDescent="0.35">
      <c r="A2243" t="s">
        <v>2018</v>
      </c>
      <c r="B2243" s="1">
        <v>45727</v>
      </c>
      <c r="C2243" t="s">
        <v>7943</v>
      </c>
      <c r="F2243" t="s">
        <v>7908</v>
      </c>
      <c r="H2243" t="s">
        <v>2077</v>
      </c>
      <c r="J2243">
        <v>2000</v>
      </c>
      <c r="L2243" t="s">
        <v>5943</v>
      </c>
    </row>
    <row r="2244" spans="1:12" x14ac:dyDescent="0.35">
      <c r="A2244" t="s">
        <v>2018</v>
      </c>
      <c r="B2244" s="1">
        <v>45727</v>
      </c>
      <c r="C2244" t="s">
        <v>7944</v>
      </c>
      <c r="F2244" t="s">
        <v>7901</v>
      </c>
      <c r="H2244" t="s">
        <v>2078</v>
      </c>
      <c r="K2244">
        <v>28000</v>
      </c>
      <c r="L2244" t="s">
        <v>6803</v>
      </c>
    </row>
    <row r="2245" spans="1:12" x14ac:dyDescent="0.35">
      <c r="A2245" t="s">
        <v>2018</v>
      </c>
      <c r="B2245" s="1">
        <v>45727</v>
      </c>
      <c r="C2245" t="s">
        <v>7944</v>
      </c>
      <c r="F2245" t="s">
        <v>7905</v>
      </c>
      <c r="H2245" t="s">
        <v>2079</v>
      </c>
      <c r="J2245">
        <v>10000</v>
      </c>
      <c r="L2245" t="s">
        <v>5943</v>
      </c>
    </row>
    <row r="2246" spans="1:12" x14ac:dyDescent="0.35">
      <c r="A2246" t="s">
        <v>2018</v>
      </c>
      <c r="B2246" s="1">
        <v>45727</v>
      </c>
      <c r="C2246" t="s">
        <v>7944</v>
      </c>
      <c r="F2246" t="s">
        <v>7908</v>
      </c>
      <c r="H2246" t="s">
        <v>2080</v>
      </c>
      <c r="J2246">
        <v>18000</v>
      </c>
      <c r="L2246" t="s">
        <v>5943</v>
      </c>
    </row>
    <row r="2247" spans="1:12" x14ac:dyDescent="0.35">
      <c r="A2247" t="s">
        <v>2018</v>
      </c>
      <c r="B2247" s="1">
        <v>45728</v>
      </c>
      <c r="C2247" t="s">
        <v>7945</v>
      </c>
      <c r="F2247" t="s">
        <v>7901</v>
      </c>
      <c r="H2247" t="s">
        <v>2081</v>
      </c>
      <c r="K2247">
        <v>10000</v>
      </c>
      <c r="L2247" t="s">
        <v>6803</v>
      </c>
    </row>
    <row r="2248" spans="1:12" x14ac:dyDescent="0.35">
      <c r="A2248" t="s">
        <v>2018</v>
      </c>
      <c r="B2248" s="1">
        <v>45728</v>
      </c>
      <c r="C2248" t="s">
        <v>7945</v>
      </c>
      <c r="F2248" t="s">
        <v>7905</v>
      </c>
      <c r="H2248" t="s">
        <v>2081</v>
      </c>
      <c r="J2248">
        <v>10000</v>
      </c>
      <c r="L2248" t="s">
        <v>5943</v>
      </c>
    </row>
    <row r="2249" spans="1:12" x14ac:dyDescent="0.35">
      <c r="A2249" t="s">
        <v>2018</v>
      </c>
      <c r="B2249" s="1">
        <v>45728</v>
      </c>
      <c r="C2249" t="s">
        <v>7946</v>
      </c>
      <c r="F2249" t="s">
        <v>7901</v>
      </c>
      <c r="H2249" t="s">
        <v>2082</v>
      </c>
      <c r="K2249">
        <v>5000</v>
      </c>
      <c r="L2249" t="s">
        <v>6803</v>
      </c>
    </row>
    <row r="2250" spans="1:12" x14ac:dyDescent="0.35">
      <c r="A2250" t="s">
        <v>2018</v>
      </c>
      <c r="B2250" s="1">
        <v>45728</v>
      </c>
      <c r="C2250" t="s">
        <v>7946</v>
      </c>
      <c r="F2250" t="s">
        <v>7934</v>
      </c>
      <c r="H2250" t="s">
        <v>2082</v>
      </c>
      <c r="J2250">
        <v>5000</v>
      </c>
      <c r="L2250" t="s">
        <v>5906</v>
      </c>
    </row>
    <row r="2251" spans="1:12" x14ac:dyDescent="0.35">
      <c r="A2251" t="s">
        <v>2018</v>
      </c>
      <c r="B2251" s="1">
        <v>45728</v>
      </c>
      <c r="C2251" t="s">
        <v>7947</v>
      </c>
      <c r="F2251" t="s">
        <v>7901</v>
      </c>
      <c r="H2251" t="s">
        <v>2054</v>
      </c>
      <c r="K2251">
        <v>17500</v>
      </c>
      <c r="L2251" t="s">
        <v>6803</v>
      </c>
    </row>
    <row r="2252" spans="1:12" x14ac:dyDescent="0.35">
      <c r="A2252" t="s">
        <v>2018</v>
      </c>
      <c r="B2252" s="1">
        <v>45728</v>
      </c>
      <c r="C2252" t="s">
        <v>7947</v>
      </c>
      <c r="F2252" t="s">
        <v>7858</v>
      </c>
      <c r="H2252" t="s">
        <v>2054</v>
      </c>
      <c r="J2252">
        <v>17500</v>
      </c>
      <c r="L2252" t="s">
        <v>5943</v>
      </c>
    </row>
    <row r="2253" spans="1:12" x14ac:dyDescent="0.35">
      <c r="A2253" t="s">
        <v>2018</v>
      </c>
      <c r="B2253" s="1">
        <v>45728</v>
      </c>
      <c r="C2253" t="s">
        <v>7948</v>
      </c>
      <c r="F2253" t="s">
        <v>7901</v>
      </c>
      <c r="H2253" t="s">
        <v>2083</v>
      </c>
      <c r="K2253">
        <v>5000</v>
      </c>
      <c r="L2253" t="s">
        <v>6803</v>
      </c>
    </row>
    <row r="2254" spans="1:12" x14ac:dyDescent="0.35">
      <c r="A2254" t="s">
        <v>2018</v>
      </c>
      <c r="B2254" s="1">
        <v>45728</v>
      </c>
      <c r="C2254" t="s">
        <v>7948</v>
      </c>
      <c r="F2254" t="s">
        <v>7905</v>
      </c>
      <c r="H2254" t="s">
        <v>2083</v>
      </c>
      <c r="J2254">
        <v>5000</v>
      </c>
      <c r="L2254" t="s">
        <v>5943</v>
      </c>
    </row>
    <row r="2255" spans="1:12" x14ac:dyDescent="0.35">
      <c r="A2255" t="s">
        <v>2018</v>
      </c>
      <c r="B2255" s="1">
        <v>45728</v>
      </c>
      <c r="C2255" t="s">
        <v>7949</v>
      </c>
      <c r="F2255" t="s">
        <v>7901</v>
      </c>
      <c r="H2255" t="s">
        <v>2084</v>
      </c>
      <c r="K2255">
        <v>15000</v>
      </c>
      <c r="L2255" t="s">
        <v>6803</v>
      </c>
    </row>
    <row r="2256" spans="1:12" x14ac:dyDescent="0.35">
      <c r="A2256" t="s">
        <v>2018</v>
      </c>
      <c r="B2256" s="1">
        <v>45728</v>
      </c>
      <c r="C2256" t="s">
        <v>7949</v>
      </c>
      <c r="F2256" t="s">
        <v>7905</v>
      </c>
      <c r="H2256" t="s">
        <v>2084</v>
      </c>
      <c r="J2256">
        <v>15000</v>
      </c>
      <c r="L2256" t="s">
        <v>5943</v>
      </c>
    </row>
    <row r="2257" spans="1:12" x14ac:dyDescent="0.35">
      <c r="A2257" t="s">
        <v>2018</v>
      </c>
      <c r="B2257" s="1">
        <v>45728</v>
      </c>
      <c r="C2257" t="s">
        <v>7950</v>
      </c>
      <c r="F2257" t="s">
        <v>7901</v>
      </c>
      <c r="H2257" t="s">
        <v>2085</v>
      </c>
      <c r="K2257">
        <v>17200</v>
      </c>
      <c r="L2257" t="s">
        <v>6803</v>
      </c>
    </row>
    <row r="2258" spans="1:12" x14ac:dyDescent="0.35">
      <c r="A2258" t="s">
        <v>2018</v>
      </c>
      <c r="B2258" s="1">
        <v>45728</v>
      </c>
      <c r="C2258" t="s">
        <v>7950</v>
      </c>
      <c r="F2258" t="s">
        <v>7905</v>
      </c>
      <c r="H2258" t="s">
        <v>2086</v>
      </c>
      <c r="J2258">
        <v>15000</v>
      </c>
      <c r="L2258" t="s">
        <v>5943</v>
      </c>
    </row>
    <row r="2259" spans="1:12" x14ac:dyDescent="0.35">
      <c r="A2259" t="s">
        <v>2018</v>
      </c>
      <c r="B2259" s="1">
        <v>45728</v>
      </c>
      <c r="C2259" t="s">
        <v>7950</v>
      </c>
      <c r="F2259" t="s">
        <v>7908</v>
      </c>
      <c r="H2259" t="s">
        <v>2087</v>
      </c>
      <c r="J2259">
        <v>2200</v>
      </c>
      <c r="L2259" t="s">
        <v>5943</v>
      </c>
    </row>
    <row r="2260" spans="1:12" x14ac:dyDescent="0.35">
      <c r="A2260" t="s">
        <v>2018</v>
      </c>
      <c r="B2260" s="1">
        <v>45728</v>
      </c>
      <c r="C2260" t="s">
        <v>7951</v>
      </c>
      <c r="F2260" t="s">
        <v>7901</v>
      </c>
      <c r="H2260" t="s">
        <v>2088</v>
      </c>
      <c r="K2260">
        <v>15300</v>
      </c>
      <c r="L2260" t="s">
        <v>6803</v>
      </c>
    </row>
    <row r="2261" spans="1:12" x14ac:dyDescent="0.35">
      <c r="A2261" t="s">
        <v>2018</v>
      </c>
      <c r="B2261" s="1">
        <v>45728</v>
      </c>
      <c r="C2261" t="s">
        <v>7951</v>
      </c>
      <c r="F2261" t="s">
        <v>7905</v>
      </c>
      <c r="H2261" t="s">
        <v>2088</v>
      </c>
      <c r="J2261">
        <v>15300</v>
      </c>
      <c r="L2261" t="s">
        <v>5943</v>
      </c>
    </row>
    <row r="2262" spans="1:12" x14ac:dyDescent="0.35">
      <c r="A2262" t="s">
        <v>2018</v>
      </c>
      <c r="B2262" s="1">
        <v>45728</v>
      </c>
      <c r="C2262" t="s">
        <v>7952</v>
      </c>
      <c r="F2262" t="s">
        <v>7901</v>
      </c>
      <c r="H2262" t="s">
        <v>2040</v>
      </c>
      <c r="K2262">
        <v>12000</v>
      </c>
      <c r="L2262" t="s">
        <v>6803</v>
      </c>
    </row>
    <row r="2263" spans="1:12" x14ac:dyDescent="0.35">
      <c r="A2263" t="s">
        <v>2018</v>
      </c>
      <c r="B2263" s="1">
        <v>45728</v>
      </c>
      <c r="C2263" t="s">
        <v>7952</v>
      </c>
      <c r="F2263" t="s">
        <v>7905</v>
      </c>
      <c r="H2263" t="s">
        <v>2088</v>
      </c>
      <c r="J2263">
        <v>10000</v>
      </c>
      <c r="L2263" t="s">
        <v>5943</v>
      </c>
    </row>
    <row r="2264" spans="1:12" x14ac:dyDescent="0.35">
      <c r="A2264" t="s">
        <v>2018</v>
      </c>
      <c r="B2264" s="1">
        <v>45728</v>
      </c>
      <c r="C2264" t="s">
        <v>7952</v>
      </c>
      <c r="F2264" t="s">
        <v>7908</v>
      </c>
      <c r="H2264" t="s">
        <v>2089</v>
      </c>
      <c r="J2264">
        <v>2000</v>
      </c>
      <c r="L2264" t="s">
        <v>5943</v>
      </c>
    </row>
    <row r="2265" spans="1:12" x14ac:dyDescent="0.35">
      <c r="A2265" t="s">
        <v>2018</v>
      </c>
      <c r="B2265" s="1">
        <v>45728</v>
      </c>
      <c r="C2265" t="s">
        <v>7953</v>
      </c>
      <c r="F2265" t="s">
        <v>7901</v>
      </c>
      <c r="H2265" t="s">
        <v>2037</v>
      </c>
      <c r="K2265">
        <v>12000</v>
      </c>
      <c r="L2265" t="s">
        <v>6803</v>
      </c>
    </row>
    <row r="2266" spans="1:12" x14ac:dyDescent="0.35">
      <c r="A2266" t="s">
        <v>2018</v>
      </c>
      <c r="B2266" s="1">
        <v>45728</v>
      </c>
      <c r="C2266" t="s">
        <v>7953</v>
      </c>
      <c r="F2266" t="s">
        <v>7905</v>
      </c>
      <c r="H2266" t="s">
        <v>2038</v>
      </c>
      <c r="J2266">
        <v>10000</v>
      </c>
      <c r="L2266" t="s">
        <v>5943</v>
      </c>
    </row>
    <row r="2267" spans="1:12" x14ac:dyDescent="0.35">
      <c r="A2267" t="s">
        <v>2018</v>
      </c>
      <c r="B2267" s="1">
        <v>45728</v>
      </c>
      <c r="C2267" t="s">
        <v>7953</v>
      </c>
      <c r="F2267" t="s">
        <v>7908</v>
      </c>
      <c r="H2267" t="s">
        <v>2090</v>
      </c>
      <c r="J2267">
        <v>2000</v>
      </c>
      <c r="L2267" t="s">
        <v>5943</v>
      </c>
    </row>
    <row r="2268" spans="1:12" x14ac:dyDescent="0.35">
      <c r="A2268" t="s">
        <v>2018</v>
      </c>
      <c r="B2268" s="1">
        <v>45728</v>
      </c>
      <c r="C2268" t="s">
        <v>7954</v>
      </c>
      <c r="F2268" t="s">
        <v>7901</v>
      </c>
      <c r="H2268" t="s">
        <v>2091</v>
      </c>
      <c r="K2268">
        <v>12000</v>
      </c>
      <c r="L2268" t="s">
        <v>6803</v>
      </c>
    </row>
    <row r="2269" spans="1:12" x14ac:dyDescent="0.35">
      <c r="A2269" t="s">
        <v>2018</v>
      </c>
      <c r="B2269" s="1">
        <v>45728</v>
      </c>
      <c r="C2269" t="s">
        <v>7954</v>
      </c>
      <c r="F2269" t="s">
        <v>7905</v>
      </c>
      <c r="H2269" t="s">
        <v>2024</v>
      </c>
      <c r="J2269">
        <v>10000</v>
      </c>
      <c r="L2269" t="s">
        <v>5943</v>
      </c>
    </row>
    <row r="2270" spans="1:12" x14ac:dyDescent="0.35">
      <c r="A2270" t="s">
        <v>2018</v>
      </c>
      <c r="B2270" s="1">
        <v>45728</v>
      </c>
      <c r="C2270" t="s">
        <v>7954</v>
      </c>
      <c r="F2270" t="s">
        <v>7908</v>
      </c>
      <c r="H2270" t="s">
        <v>2092</v>
      </c>
      <c r="J2270">
        <v>2000</v>
      </c>
      <c r="L2270" t="s">
        <v>5943</v>
      </c>
    </row>
    <row r="2271" spans="1:12" x14ac:dyDescent="0.35">
      <c r="A2271" t="s">
        <v>2018</v>
      </c>
      <c r="B2271" s="1">
        <v>45728</v>
      </c>
      <c r="C2271" t="s">
        <v>7955</v>
      </c>
      <c r="F2271" t="s">
        <v>7901</v>
      </c>
      <c r="H2271" t="s">
        <v>2093</v>
      </c>
      <c r="K2271">
        <v>32000</v>
      </c>
      <c r="L2271" t="s">
        <v>6803</v>
      </c>
    </row>
    <row r="2272" spans="1:12" x14ac:dyDescent="0.35">
      <c r="A2272" t="s">
        <v>2018</v>
      </c>
      <c r="B2272" s="1">
        <v>45728</v>
      </c>
      <c r="C2272" t="s">
        <v>7955</v>
      </c>
      <c r="F2272" t="s">
        <v>7905</v>
      </c>
      <c r="H2272" t="s">
        <v>2094</v>
      </c>
      <c r="J2272">
        <v>10000</v>
      </c>
      <c r="L2272" t="s">
        <v>5943</v>
      </c>
    </row>
    <row r="2273" spans="1:12" x14ac:dyDescent="0.35">
      <c r="A2273" t="s">
        <v>2018</v>
      </c>
      <c r="B2273" s="1">
        <v>45728</v>
      </c>
      <c r="C2273" t="s">
        <v>7955</v>
      </c>
      <c r="F2273" t="s">
        <v>7908</v>
      </c>
      <c r="H2273" t="s">
        <v>2095</v>
      </c>
      <c r="J2273">
        <v>22000</v>
      </c>
      <c r="L2273" t="s">
        <v>5943</v>
      </c>
    </row>
    <row r="2274" spans="1:12" x14ac:dyDescent="0.35">
      <c r="A2274" t="s">
        <v>2018</v>
      </c>
      <c r="B2274" s="1">
        <v>45729</v>
      </c>
      <c r="C2274" t="s">
        <v>7956</v>
      </c>
      <c r="F2274" t="s">
        <v>7901</v>
      </c>
      <c r="H2274" t="s">
        <v>2026</v>
      </c>
      <c r="K2274">
        <v>22000</v>
      </c>
      <c r="L2274" t="s">
        <v>6803</v>
      </c>
    </row>
    <row r="2275" spans="1:12" x14ac:dyDescent="0.35">
      <c r="A2275" t="s">
        <v>2018</v>
      </c>
      <c r="B2275" s="1">
        <v>45729</v>
      </c>
      <c r="C2275" t="s">
        <v>7956</v>
      </c>
      <c r="F2275" t="s">
        <v>7905</v>
      </c>
      <c r="H2275" t="s">
        <v>2027</v>
      </c>
      <c r="J2275">
        <v>20000</v>
      </c>
      <c r="L2275" t="s">
        <v>5943</v>
      </c>
    </row>
    <row r="2276" spans="1:12" x14ac:dyDescent="0.35">
      <c r="A2276" t="s">
        <v>2018</v>
      </c>
      <c r="B2276" s="1">
        <v>45729</v>
      </c>
      <c r="C2276" t="s">
        <v>7956</v>
      </c>
      <c r="F2276" t="s">
        <v>7908</v>
      </c>
      <c r="H2276" t="s">
        <v>2096</v>
      </c>
      <c r="J2276">
        <v>2000</v>
      </c>
      <c r="L2276" t="s">
        <v>5943</v>
      </c>
    </row>
    <row r="2277" spans="1:12" x14ac:dyDescent="0.35">
      <c r="A2277" t="s">
        <v>2018</v>
      </c>
      <c r="B2277" s="1">
        <v>45729</v>
      </c>
      <c r="C2277" t="s">
        <v>7957</v>
      </c>
      <c r="F2277" t="s">
        <v>7901</v>
      </c>
      <c r="H2277" t="s">
        <v>2097</v>
      </c>
      <c r="K2277">
        <v>12000</v>
      </c>
      <c r="L2277" t="s">
        <v>6803</v>
      </c>
    </row>
    <row r="2278" spans="1:12" x14ac:dyDescent="0.35">
      <c r="A2278" t="s">
        <v>2018</v>
      </c>
      <c r="B2278" s="1">
        <v>45729</v>
      </c>
      <c r="C2278" t="s">
        <v>7957</v>
      </c>
      <c r="F2278" t="s">
        <v>7905</v>
      </c>
      <c r="H2278" t="s">
        <v>2038</v>
      </c>
      <c r="J2278">
        <v>10000</v>
      </c>
      <c r="L2278" t="s">
        <v>5943</v>
      </c>
    </row>
    <row r="2279" spans="1:12" x14ac:dyDescent="0.35">
      <c r="A2279" t="s">
        <v>2018</v>
      </c>
      <c r="B2279" s="1">
        <v>45729</v>
      </c>
      <c r="C2279" t="s">
        <v>7957</v>
      </c>
      <c r="F2279" t="s">
        <v>7908</v>
      </c>
      <c r="H2279" t="s">
        <v>2090</v>
      </c>
      <c r="J2279">
        <v>2000</v>
      </c>
      <c r="L2279" t="s">
        <v>5943</v>
      </c>
    </row>
    <row r="2280" spans="1:12" x14ac:dyDescent="0.35">
      <c r="A2280" t="s">
        <v>2018</v>
      </c>
      <c r="B2280" s="1">
        <v>45729</v>
      </c>
      <c r="C2280" t="s">
        <v>7958</v>
      </c>
      <c r="F2280" t="s">
        <v>7901</v>
      </c>
      <c r="H2280" t="s">
        <v>2098</v>
      </c>
      <c r="K2280">
        <v>12000</v>
      </c>
      <c r="L2280" t="s">
        <v>6803</v>
      </c>
    </row>
    <row r="2281" spans="1:12" x14ac:dyDescent="0.35">
      <c r="A2281" t="s">
        <v>2018</v>
      </c>
      <c r="B2281" s="1">
        <v>45729</v>
      </c>
      <c r="C2281" t="s">
        <v>7958</v>
      </c>
      <c r="F2281" t="s">
        <v>7905</v>
      </c>
      <c r="H2281" t="s">
        <v>2041</v>
      </c>
      <c r="J2281">
        <v>10000</v>
      </c>
      <c r="L2281" t="s">
        <v>5943</v>
      </c>
    </row>
    <row r="2282" spans="1:12" x14ac:dyDescent="0.35">
      <c r="A2282" t="s">
        <v>2018</v>
      </c>
      <c r="B2282" s="1">
        <v>45729</v>
      </c>
      <c r="C2282" t="s">
        <v>7958</v>
      </c>
      <c r="F2282" t="s">
        <v>7908</v>
      </c>
      <c r="H2282" t="s">
        <v>2089</v>
      </c>
      <c r="J2282">
        <v>2000</v>
      </c>
      <c r="L2282" t="s">
        <v>5943</v>
      </c>
    </row>
    <row r="2283" spans="1:12" x14ac:dyDescent="0.35">
      <c r="A2283" t="s">
        <v>2018</v>
      </c>
      <c r="B2283" s="1">
        <v>45730</v>
      </c>
      <c r="C2283" t="s">
        <v>7959</v>
      </c>
      <c r="F2283" t="s">
        <v>7901</v>
      </c>
      <c r="H2283" t="s">
        <v>2099</v>
      </c>
      <c r="K2283">
        <v>15000</v>
      </c>
      <c r="L2283" t="s">
        <v>6803</v>
      </c>
    </row>
    <row r="2284" spans="1:12" x14ac:dyDescent="0.35">
      <c r="A2284" t="s">
        <v>2018</v>
      </c>
      <c r="B2284" s="1">
        <v>45730</v>
      </c>
      <c r="C2284" t="s">
        <v>7959</v>
      </c>
      <c r="F2284" t="s">
        <v>7905</v>
      </c>
      <c r="H2284" t="s">
        <v>2099</v>
      </c>
      <c r="J2284">
        <v>15000</v>
      </c>
      <c r="L2284" t="s">
        <v>5943</v>
      </c>
    </row>
    <row r="2285" spans="1:12" x14ac:dyDescent="0.35">
      <c r="A2285" t="s">
        <v>2018</v>
      </c>
      <c r="B2285" s="1">
        <v>45730</v>
      </c>
      <c r="C2285" t="s">
        <v>7960</v>
      </c>
      <c r="F2285" t="s">
        <v>7901</v>
      </c>
      <c r="H2285" t="s">
        <v>2094</v>
      </c>
      <c r="K2285">
        <v>10000</v>
      </c>
      <c r="L2285" t="s">
        <v>6803</v>
      </c>
    </row>
    <row r="2286" spans="1:12" x14ac:dyDescent="0.35">
      <c r="A2286" t="s">
        <v>2018</v>
      </c>
      <c r="B2286" s="1">
        <v>45730</v>
      </c>
      <c r="C2286" t="s">
        <v>7960</v>
      </c>
      <c r="F2286" t="s">
        <v>7905</v>
      </c>
      <c r="H2286" t="s">
        <v>2094</v>
      </c>
      <c r="J2286">
        <v>10000</v>
      </c>
      <c r="L2286" t="s">
        <v>5943</v>
      </c>
    </row>
    <row r="2287" spans="1:12" x14ac:dyDescent="0.35">
      <c r="A2287" t="s">
        <v>2018</v>
      </c>
      <c r="B2287" s="1">
        <v>45730</v>
      </c>
      <c r="C2287" t="s">
        <v>7961</v>
      </c>
      <c r="F2287" t="s">
        <v>7901</v>
      </c>
      <c r="H2287" t="s">
        <v>2037</v>
      </c>
      <c r="K2287">
        <v>12000</v>
      </c>
      <c r="L2287" t="s">
        <v>6803</v>
      </c>
    </row>
    <row r="2288" spans="1:12" x14ac:dyDescent="0.35">
      <c r="A2288" t="s">
        <v>2018</v>
      </c>
      <c r="B2288" s="1">
        <v>45730</v>
      </c>
      <c r="C2288" t="s">
        <v>7961</v>
      </c>
      <c r="F2288" t="s">
        <v>7905</v>
      </c>
      <c r="H2288" t="s">
        <v>2038</v>
      </c>
      <c r="J2288">
        <v>10000</v>
      </c>
      <c r="L2288" t="s">
        <v>5943</v>
      </c>
    </row>
    <row r="2289" spans="1:12" x14ac:dyDescent="0.35">
      <c r="A2289" t="s">
        <v>2018</v>
      </c>
      <c r="B2289" s="1">
        <v>45730</v>
      </c>
      <c r="C2289" t="s">
        <v>7961</v>
      </c>
      <c r="F2289" t="s">
        <v>7908</v>
      </c>
      <c r="H2289" t="s">
        <v>2090</v>
      </c>
      <c r="J2289">
        <v>2000</v>
      </c>
      <c r="L2289" t="s">
        <v>5943</v>
      </c>
    </row>
    <row r="2290" spans="1:12" x14ac:dyDescent="0.35">
      <c r="A2290" t="s">
        <v>2018</v>
      </c>
      <c r="B2290" s="1">
        <v>45730</v>
      </c>
      <c r="C2290" t="s">
        <v>7962</v>
      </c>
      <c r="F2290" t="s">
        <v>7901</v>
      </c>
      <c r="H2290" t="s">
        <v>2100</v>
      </c>
      <c r="K2290">
        <v>12000</v>
      </c>
      <c r="L2290" t="s">
        <v>6803</v>
      </c>
    </row>
    <row r="2291" spans="1:12" x14ac:dyDescent="0.35">
      <c r="A2291" t="s">
        <v>2018</v>
      </c>
      <c r="B2291" s="1">
        <v>45730</v>
      </c>
      <c r="C2291" t="s">
        <v>7962</v>
      </c>
      <c r="F2291" t="s">
        <v>7905</v>
      </c>
      <c r="H2291" t="s">
        <v>2075</v>
      </c>
      <c r="J2291">
        <v>10000</v>
      </c>
      <c r="L2291" t="s">
        <v>5943</v>
      </c>
    </row>
    <row r="2292" spans="1:12" x14ac:dyDescent="0.35">
      <c r="A2292" t="s">
        <v>2018</v>
      </c>
      <c r="B2292" s="1">
        <v>45730</v>
      </c>
      <c r="C2292" t="s">
        <v>7962</v>
      </c>
      <c r="F2292" t="s">
        <v>7908</v>
      </c>
      <c r="H2292" t="s">
        <v>2101</v>
      </c>
      <c r="J2292">
        <v>2000</v>
      </c>
      <c r="L2292" t="s">
        <v>5943</v>
      </c>
    </row>
    <row r="2293" spans="1:12" x14ac:dyDescent="0.35">
      <c r="A2293" t="s">
        <v>2018</v>
      </c>
      <c r="B2293" s="1">
        <v>45730</v>
      </c>
      <c r="C2293" t="s">
        <v>7963</v>
      </c>
      <c r="F2293" t="s">
        <v>7901</v>
      </c>
      <c r="H2293" t="s">
        <v>2054</v>
      </c>
      <c r="K2293">
        <v>12500</v>
      </c>
      <c r="L2293" t="s">
        <v>6803</v>
      </c>
    </row>
    <row r="2294" spans="1:12" x14ac:dyDescent="0.35">
      <c r="A2294" t="s">
        <v>2018</v>
      </c>
      <c r="B2294" s="1">
        <v>45730</v>
      </c>
      <c r="C2294" t="s">
        <v>7963</v>
      </c>
      <c r="F2294" t="s">
        <v>7858</v>
      </c>
      <c r="H2294" t="s">
        <v>2054</v>
      </c>
      <c r="J2294">
        <v>12500</v>
      </c>
      <c r="L2294" t="s">
        <v>5943</v>
      </c>
    </row>
    <row r="2295" spans="1:12" x14ac:dyDescent="0.35">
      <c r="A2295" t="s">
        <v>2018</v>
      </c>
      <c r="B2295" s="1">
        <v>45730</v>
      </c>
      <c r="C2295" t="s">
        <v>7964</v>
      </c>
      <c r="F2295" t="s">
        <v>7901</v>
      </c>
      <c r="H2295" t="s">
        <v>2081</v>
      </c>
      <c r="K2295">
        <v>10000</v>
      </c>
      <c r="L2295" t="s">
        <v>6803</v>
      </c>
    </row>
    <row r="2296" spans="1:12" x14ac:dyDescent="0.35">
      <c r="A2296" t="s">
        <v>2018</v>
      </c>
      <c r="B2296" s="1">
        <v>45730</v>
      </c>
      <c r="C2296" t="s">
        <v>7964</v>
      </c>
      <c r="F2296" t="s">
        <v>7905</v>
      </c>
      <c r="H2296" t="s">
        <v>2081</v>
      </c>
      <c r="J2296">
        <v>10000</v>
      </c>
      <c r="L2296" t="s">
        <v>5943</v>
      </c>
    </row>
    <row r="2297" spans="1:12" x14ac:dyDescent="0.35">
      <c r="A2297" t="s">
        <v>2018</v>
      </c>
      <c r="B2297" s="1">
        <v>45731</v>
      </c>
      <c r="C2297" t="s">
        <v>7965</v>
      </c>
      <c r="F2297" t="s">
        <v>7901</v>
      </c>
      <c r="H2297" t="s">
        <v>2102</v>
      </c>
      <c r="K2297">
        <v>10000</v>
      </c>
      <c r="L2297" t="s">
        <v>6803</v>
      </c>
    </row>
    <row r="2298" spans="1:12" x14ac:dyDescent="0.35">
      <c r="A2298" t="s">
        <v>2018</v>
      </c>
      <c r="B2298" s="1">
        <v>45731</v>
      </c>
      <c r="C2298" t="s">
        <v>7965</v>
      </c>
      <c r="F2298" t="s">
        <v>7905</v>
      </c>
      <c r="H2298" t="s">
        <v>2102</v>
      </c>
      <c r="J2298">
        <v>10000</v>
      </c>
      <c r="L2298" t="s">
        <v>5943</v>
      </c>
    </row>
    <row r="2299" spans="1:12" x14ac:dyDescent="0.35">
      <c r="A2299" t="s">
        <v>2018</v>
      </c>
      <c r="B2299" s="1">
        <v>45731</v>
      </c>
      <c r="C2299" t="s">
        <v>7966</v>
      </c>
      <c r="F2299" t="s">
        <v>7901</v>
      </c>
      <c r="H2299" t="s">
        <v>2103</v>
      </c>
      <c r="K2299">
        <v>10000</v>
      </c>
      <c r="L2299" t="s">
        <v>6803</v>
      </c>
    </row>
    <row r="2300" spans="1:12" x14ac:dyDescent="0.35">
      <c r="A2300" t="s">
        <v>2018</v>
      </c>
      <c r="B2300" s="1">
        <v>45731</v>
      </c>
      <c r="C2300" t="s">
        <v>7966</v>
      </c>
      <c r="F2300" t="s">
        <v>7905</v>
      </c>
      <c r="H2300" t="s">
        <v>2103</v>
      </c>
      <c r="J2300">
        <v>10000</v>
      </c>
      <c r="L2300" t="s">
        <v>5943</v>
      </c>
    </row>
    <row r="2301" spans="1:12" x14ac:dyDescent="0.35">
      <c r="A2301" t="s">
        <v>2018</v>
      </c>
      <c r="B2301" s="1">
        <v>45731</v>
      </c>
      <c r="C2301" t="s">
        <v>7967</v>
      </c>
      <c r="F2301" t="s">
        <v>7901</v>
      </c>
      <c r="H2301" t="s">
        <v>2104</v>
      </c>
      <c r="K2301">
        <v>10000</v>
      </c>
      <c r="L2301" t="s">
        <v>6803</v>
      </c>
    </row>
    <row r="2302" spans="1:12" x14ac:dyDescent="0.35">
      <c r="A2302" t="s">
        <v>2018</v>
      </c>
      <c r="B2302" s="1">
        <v>45731</v>
      </c>
      <c r="C2302" t="s">
        <v>7967</v>
      </c>
      <c r="F2302" t="s">
        <v>7905</v>
      </c>
      <c r="H2302" t="s">
        <v>2104</v>
      </c>
      <c r="J2302">
        <v>10000</v>
      </c>
      <c r="L2302" t="s">
        <v>5943</v>
      </c>
    </row>
    <row r="2303" spans="1:12" x14ac:dyDescent="0.35">
      <c r="A2303" t="s">
        <v>2018</v>
      </c>
      <c r="B2303" s="1">
        <v>45731</v>
      </c>
      <c r="C2303" t="s">
        <v>7968</v>
      </c>
      <c r="F2303" t="s">
        <v>7901</v>
      </c>
      <c r="H2303" t="s">
        <v>2105</v>
      </c>
      <c r="K2303">
        <v>10000</v>
      </c>
      <c r="L2303" t="s">
        <v>6803</v>
      </c>
    </row>
    <row r="2304" spans="1:12" x14ac:dyDescent="0.35">
      <c r="A2304" t="s">
        <v>2018</v>
      </c>
      <c r="B2304" s="1">
        <v>45731</v>
      </c>
      <c r="C2304" t="s">
        <v>7968</v>
      </c>
      <c r="F2304" t="s">
        <v>7905</v>
      </c>
      <c r="H2304" t="s">
        <v>2105</v>
      </c>
      <c r="J2304">
        <v>10000</v>
      </c>
      <c r="L2304" t="s">
        <v>5943</v>
      </c>
    </row>
    <row r="2305" spans="1:12" x14ac:dyDescent="0.35">
      <c r="A2305" t="s">
        <v>2018</v>
      </c>
      <c r="B2305" s="1">
        <v>45731</v>
      </c>
      <c r="C2305" t="s">
        <v>7969</v>
      </c>
      <c r="F2305" t="s">
        <v>7901</v>
      </c>
      <c r="H2305" t="s">
        <v>2106</v>
      </c>
      <c r="K2305">
        <v>10000</v>
      </c>
      <c r="L2305" t="s">
        <v>6803</v>
      </c>
    </row>
    <row r="2306" spans="1:12" x14ac:dyDescent="0.35">
      <c r="A2306" t="s">
        <v>2018</v>
      </c>
      <c r="B2306" s="1">
        <v>45731</v>
      </c>
      <c r="C2306" t="s">
        <v>7969</v>
      </c>
      <c r="F2306" t="s">
        <v>7905</v>
      </c>
      <c r="H2306" t="s">
        <v>2106</v>
      </c>
      <c r="J2306">
        <v>10000</v>
      </c>
      <c r="L2306" t="s">
        <v>5943</v>
      </c>
    </row>
    <row r="2307" spans="1:12" x14ac:dyDescent="0.35">
      <c r="A2307" t="s">
        <v>2018</v>
      </c>
      <c r="B2307" s="1">
        <v>45731</v>
      </c>
      <c r="C2307" t="s">
        <v>7970</v>
      </c>
      <c r="F2307" t="s">
        <v>7901</v>
      </c>
      <c r="H2307" t="s">
        <v>2107</v>
      </c>
      <c r="K2307">
        <v>930000</v>
      </c>
      <c r="L2307" t="s">
        <v>6803</v>
      </c>
    </row>
    <row r="2308" spans="1:12" x14ac:dyDescent="0.35">
      <c r="A2308" t="s">
        <v>2018</v>
      </c>
      <c r="B2308" s="1">
        <v>45731</v>
      </c>
      <c r="C2308" t="s">
        <v>7970</v>
      </c>
      <c r="F2308" t="s">
        <v>7902</v>
      </c>
      <c r="H2308" t="s">
        <v>2108</v>
      </c>
      <c r="J2308">
        <v>400000</v>
      </c>
      <c r="L2308" t="s">
        <v>5943</v>
      </c>
    </row>
    <row r="2309" spans="1:12" x14ac:dyDescent="0.35">
      <c r="A2309" t="s">
        <v>2018</v>
      </c>
      <c r="B2309" s="1">
        <v>45731</v>
      </c>
      <c r="C2309" t="s">
        <v>7970</v>
      </c>
      <c r="F2309" t="s">
        <v>7905</v>
      </c>
      <c r="H2309" t="s">
        <v>2109</v>
      </c>
      <c r="J2309">
        <v>530000</v>
      </c>
      <c r="L2309" t="s">
        <v>5943</v>
      </c>
    </row>
    <row r="2310" spans="1:12" x14ac:dyDescent="0.35">
      <c r="A2310" t="s">
        <v>2018</v>
      </c>
      <c r="B2310" s="1">
        <v>45731</v>
      </c>
      <c r="C2310" t="s">
        <v>7971</v>
      </c>
      <c r="F2310" t="s">
        <v>7901</v>
      </c>
      <c r="H2310" t="s">
        <v>2110</v>
      </c>
      <c r="K2310">
        <v>930000</v>
      </c>
      <c r="L2310" t="s">
        <v>6803</v>
      </c>
    </row>
    <row r="2311" spans="1:12" x14ac:dyDescent="0.35">
      <c r="A2311" t="s">
        <v>2018</v>
      </c>
      <c r="B2311" s="1">
        <v>45731</v>
      </c>
      <c r="C2311" t="s">
        <v>7971</v>
      </c>
      <c r="F2311" t="s">
        <v>7902</v>
      </c>
      <c r="H2311" t="s">
        <v>2111</v>
      </c>
      <c r="J2311">
        <v>400000</v>
      </c>
      <c r="L2311" t="s">
        <v>5943</v>
      </c>
    </row>
    <row r="2312" spans="1:12" x14ac:dyDescent="0.35">
      <c r="A2312" t="s">
        <v>2018</v>
      </c>
      <c r="B2312" s="1">
        <v>45731</v>
      </c>
      <c r="C2312" t="s">
        <v>7971</v>
      </c>
      <c r="F2312" t="s">
        <v>7905</v>
      </c>
      <c r="H2312" t="s">
        <v>2112</v>
      </c>
      <c r="J2312">
        <v>530000</v>
      </c>
      <c r="L2312" t="s">
        <v>5943</v>
      </c>
    </row>
    <row r="2313" spans="1:12" x14ac:dyDescent="0.35">
      <c r="A2313" t="s">
        <v>2018</v>
      </c>
      <c r="B2313" s="1">
        <v>45732</v>
      </c>
      <c r="C2313" t="s">
        <v>7972</v>
      </c>
      <c r="F2313" t="s">
        <v>7901</v>
      </c>
      <c r="H2313" t="s">
        <v>2113</v>
      </c>
      <c r="K2313">
        <v>3000</v>
      </c>
      <c r="L2313" t="s">
        <v>6803</v>
      </c>
    </row>
    <row r="2314" spans="1:12" x14ac:dyDescent="0.35">
      <c r="A2314" t="s">
        <v>2018</v>
      </c>
      <c r="B2314" s="1">
        <v>45732</v>
      </c>
      <c r="C2314" t="s">
        <v>7972</v>
      </c>
      <c r="F2314" t="s">
        <v>7928</v>
      </c>
      <c r="H2314" t="s">
        <v>2113</v>
      </c>
      <c r="J2314">
        <v>3000</v>
      </c>
      <c r="L2314" t="s">
        <v>5906</v>
      </c>
    </row>
    <row r="2315" spans="1:12" x14ac:dyDescent="0.35">
      <c r="A2315" t="s">
        <v>2018</v>
      </c>
      <c r="B2315" s="1">
        <v>45732</v>
      </c>
      <c r="C2315" t="s">
        <v>7973</v>
      </c>
      <c r="F2315" t="s">
        <v>7901</v>
      </c>
      <c r="H2315" t="s">
        <v>2114</v>
      </c>
      <c r="K2315">
        <v>3000</v>
      </c>
      <c r="L2315" t="s">
        <v>6803</v>
      </c>
    </row>
    <row r="2316" spans="1:12" x14ac:dyDescent="0.35">
      <c r="A2316" t="s">
        <v>2018</v>
      </c>
      <c r="B2316" s="1">
        <v>45732</v>
      </c>
      <c r="C2316" t="s">
        <v>7973</v>
      </c>
      <c r="F2316" t="s">
        <v>7928</v>
      </c>
      <c r="H2316" t="s">
        <v>2114</v>
      </c>
      <c r="J2316">
        <v>3000</v>
      </c>
      <c r="L2316" t="s">
        <v>5906</v>
      </c>
    </row>
    <row r="2317" spans="1:12" x14ac:dyDescent="0.35">
      <c r="A2317" t="s">
        <v>2018</v>
      </c>
      <c r="B2317" s="1">
        <v>45733</v>
      </c>
      <c r="C2317" t="s">
        <v>7974</v>
      </c>
      <c r="F2317" t="s">
        <v>7901</v>
      </c>
      <c r="H2317" t="s">
        <v>2115</v>
      </c>
      <c r="K2317">
        <v>5000</v>
      </c>
      <c r="L2317" t="s">
        <v>6803</v>
      </c>
    </row>
    <row r="2318" spans="1:12" x14ac:dyDescent="0.35">
      <c r="A2318" t="s">
        <v>2018</v>
      </c>
      <c r="B2318" s="1">
        <v>45733</v>
      </c>
      <c r="C2318" t="s">
        <v>7974</v>
      </c>
      <c r="F2318" t="s">
        <v>7928</v>
      </c>
      <c r="H2318" t="s">
        <v>2115</v>
      </c>
      <c r="J2318">
        <v>5000</v>
      </c>
      <c r="L2318" t="s">
        <v>5906</v>
      </c>
    </row>
    <row r="2319" spans="1:12" x14ac:dyDescent="0.35">
      <c r="A2319" t="s">
        <v>2018</v>
      </c>
      <c r="B2319" s="1">
        <v>45733</v>
      </c>
      <c r="C2319" t="s">
        <v>7975</v>
      </c>
      <c r="F2319" t="s">
        <v>7901</v>
      </c>
      <c r="H2319" t="s">
        <v>2116</v>
      </c>
      <c r="K2319">
        <v>62225</v>
      </c>
      <c r="L2319" t="s">
        <v>6803</v>
      </c>
    </row>
    <row r="2320" spans="1:12" x14ac:dyDescent="0.35">
      <c r="A2320" t="s">
        <v>2018</v>
      </c>
      <c r="B2320" s="1">
        <v>45733</v>
      </c>
      <c r="C2320" t="s">
        <v>7975</v>
      </c>
      <c r="F2320" t="s">
        <v>7611</v>
      </c>
      <c r="H2320" t="s">
        <v>2116</v>
      </c>
      <c r="J2320">
        <v>62225</v>
      </c>
      <c r="L2320" t="s">
        <v>5906</v>
      </c>
    </row>
    <row r="2321" spans="1:12" x14ac:dyDescent="0.35">
      <c r="A2321" t="s">
        <v>2018</v>
      </c>
      <c r="B2321" s="1">
        <v>45734</v>
      </c>
      <c r="C2321" t="s">
        <v>7976</v>
      </c>
      <c r="F2321" t="s">
        <v>7901</v>
      </c>
      <c r="H2321" t="s">
        <v>2117</v>
      </c>
      <c r="K2321">
        <v>12000</v>
      </c>
      <c r="L2321" t="s">
        <v>6803</v>
      </c>
    </row>
    <row r="2322" spans="1:12" x14ac:dyDescent="0.35">
      <c r="A2322" t="s">
        <v>2018</v>
      </c>
      <c r="B2322" s="1">
        <v>45734</v>
      </c>
      <c r="C2322" t="s">
        <v>7976</v>
      </c>
      <c r="F2322" t="s">
        <v>7905</v>
      </c>
      <c r="H2322" t="s">
        <v>2118</v>
      </c>
      <c r="J2322">
        <v>10000</v>
      </c>
      <c r="L2322" t="s">
        <v>5943</v>
      </c>
    </row>
    <row r="2323" spans="1:12" x14ac:dyDescent="0.35">
      <c r="A2323" t="s">
        <v>2018</v>
      </c>
      <c r="B2323" s="1">
        <v>45734</v>
      </c>
      <c r="C2323" t="s">
        <v>7976</v>
      </c>
      <c r="F2323" t="s">
        <v>7908</v>
      </c>
      <c r="H2323" t="s">
        <v>2119</v>
      </c>
      <c r="J2323">
        <v>2000</v>
      </c>
      <c r="L2323" t="s">
        <v>5943</v>
      </c>
    </row>
    <row r="2324" spans="1:12" x14ac:dyDescent="0.35">
      <c r="A2324" t="s">
        <v>2018</v>
      </c>
      <c r="B2324" s="1">
        <v>45734</v>
      </c>
      <c r="C2324" t="s">
        <v>7977</v>
      </c>
      <c r="F2324" t="s">
        <v>7901</v>
      </c>
      <c r="H2324" t="s">
        <v>2120</v>
      </c>
      <c r="K2324">
        <v>12000</v>
      </c>
      <c r="L2324" t="s">
        <v>6803</v>
      </c>
    </row>
    <row r="2325" spans="1:12" x14ac:dyDescent="0.35">
      <c r="A2325" t="s">
        <v>2018</v>
      </c>
      <c r="B2325" s="1">
        <v>45734</v>
      </c>
      <c r="C2325" t="s">
        <v>7977</v>
      </c>
      <c r="F2325" t="s">
        <v>7905</v>
      </c>
      <c r="H2325" t="s">
        <v>2030</v>
      </c>
      <c r="J2325">
        <v>10000</v>
      </c>
      <c r="L2325" t="s">
        <v>5943</v>
      </c>
    </row>
    <row r="2326" spans="1:12" x14ac:dyDescent="0.35">
      <c r="A2326" t="s">
        <v>2018</v>
      </c>
      <c r="B2326" s="1">
        <v>45734</v>
      </c>
      <c r="C2326" t="s">
        <v>7977</v>
      </c>
      <c r="F2326" t="s">
        <v>7908</v>
      </c>
      <c r="H2326" t="s">
        <v>2121</v>
      </c>
      <c r="J2326">
        <v>2000</v>
      </c>
      <c r="L2326" t="s">
        <v>5943</v>
      </c>
    </row>
    <row r="2327" spans="1:12" x14ac:dyDescent="0.35">
      <c r="A2327" t="s">
        <v>2018</v>
      </c>
      <c r="B2327" s="1">
        <v>45734</v>
      </c>
      <c r="C2327" t="s">
        <v>7978</v>
      </c>
      <c r="F2327" t="s">
        <v>7901</v>
      </c>
      <c r="H2327" t="s">
        <v>2122</v>
      </c>
      <c r="K2327">
        <v>50500</v>
      </c>
      <c r="L2327" t="s">
        <v>6803</v>
      </c>
    </row>
    <row r="2328" spans="1:12" x14ac:dyDescent="0.35">
      <c r="A2328" t="s">
        <v>2018</v>
      </c>
      <c r="B2328" s="1">
        <v>45734</v>
      </c>
      <c r="C2328" t="s">
        <v>7978</v>
      </c>
      <c r="F2328" t="s">
        <v>7615</v>
      </c>
      <c r="H2328" t="s">
        <v>2122</v>
      </c>
      <c r="J2328">
        <v>50500</v>
      </c>
      <c r="L2328" t="s">
        <v>5906</v>
      </c>
    </row>
    <row r="2329" spans="1:12" x14ac:dyDescent="0.35">
      <c r="A2329" t="s">
        <v>2018</v>
      </c>
      <c r="B2329" s="1">
        <v>45734</v>
      </c>
      <c r="C2329" t="s">
        <v>7979</v>
      </c>
      <c r="F2329" t="s">
        <v>7901</v>
      </c>
      <c r="H2329" t="s">
        <v>2123</v>
      </c>
      <c r="K2329">
        <v>2000</v>
      </c>
      <c r="L2329" t="s">
        <v>6803</v>
      </c>
    </row>
    <row r="2330" spans="1:12" x14ac:dyDescent="0.35">
      <c r="A2330" t="s">
        <v>2018</v>
      </c>
      <c r="B2330" s="1">
        <v>45734</v>
      </c>
      <c r="C2330" t="s">
        <v>7979</v>
      </c>
      <c r="F2330" t="s">
        <v>7905</v>
      </c>
      <c r="H2330" t="s">
        <v>2123</v>
      </c>
      <c r="J2330">
        <v>2000</v>
      </c>
      <c r="L2330" t="s">
        <v>5943</v>
      </c>
    </row>
    <row r="2331" spans="1:12" x14ac:dyDescent="0.35">
      <c r="A2331" t="s">
        <v>2018</v>
      </c>
      <c r="B2331" s="1">
        <v>45734</v>
      </c>
      <c r="C2331" t="s">
        <v>7980</v>
      </c>
      <c r="F2331" t="s">
        <v>7901</v>
      </c>
      <c r="H2331" t="s">
        <v>2056</v>
      </c>
      <c r="K2331">
        <v>45200</v>
      </c>
      <c r="L2331" t="s">
        <v>6803</v>
      </c>
    </row>
    <row r="2332" spans="1:12" x14ac:dyDescent="0.35">
      <c r="A2332" t="s">
        <v>2018</v>
      </c>
      <c r="B2332" s="1">
        <v>45734</v>
      </c>
      <c r="C2332" t="s">
        <v>7980</v>
      </c>
      <c r="F2332" t="s">
        <v>7928</v>
      </c>
      <c r="H2332" t="s">
        <v>2056</v>
      </c>
      <c r="J2332">
        <v>45200</v>
      </c>
      <c r="L2332" t="s">
        <v>5906</v>
      </c>
    </row>
    <row r="2333" spans="1:12" x14ac:dyDescent="0.35">
      <c r="A2333" t="s">
        <v>2018</v>
      </c>
      <c r="B2333" s="1">
        <v>45734</v>
      </c>
      <c r="C2333" t="s">
        <v>7981</v>
      </c>
      <c r="F2333" t="s">
        <v>7901</v>
      </c>
      <c r="H2333" t="s">
        <v>2124</v>
      </c>
      <c r="K2333">
        <v>72500</v>
      </c>
      <c r="L2333" t="s">
        <v>6803</v>
      </c>
    </row>
    <row r="2334" spans="1:12" x14ac:dyDescent="0.35">
      <c r="A2334" t="s">
        <v>2018</v>
      </c>
      <c r="B2334" s="1">
        <v>45734</v>
      </c>
      <c r="C2334" t="s">
        <v>7981</v>
      </c>
      <c r="F2334" t="s">
        <v>6820</v>
      </c>
      <c r="H2334" t="s">
        <v>2124</v>
      </c>
      <c r="J2334">
        <v>72500</v>
      </c>
      <c r="L2334" t="s">
        <v>5955</v>
      </c>
    </row>
    <row r="2335" spans="1:12" x14ac:dyDescent="0.35">
      <c r="A2335" t="s">
        <v>2018</v>
      </c>
      <c r="B2335" s="1">
        <v>45734</v>
      </c>
      <c r="C2335" t="s">
        <v>7982</v>
      </c>
      <c r="F2335" t="s">
        <v>7901</v>
      </c>
      <c r="H2335" t="s">
        <v>2125</v>
      </c>
      <c r="K2335">
        <v>2000</v>
      </c>
      <c r="L2335" t="s">
        <v>6803</v>
      </c>
    </row>
    <row r="2336" spans="1:12" x14ac:dyDescent="0.35">
      <c r="A2336" t="s">
        <v>2018</v>
      </c>
      <c r="B2336" s="1">
        <v>45734</v>
      </c>
      <c r="C2336" t="s">
        <v>7982</v>
      </c>
      <c r="F2336" t="s">
        <v>7983</v>
      </c>
      <c r="H2336" t="s">
        <v>2125</v>
      </c>
      <c r="J2336">
        <v>2000</v>
      </c>
      <c r="L2336" t="s">
        <v>5906</v>
      </c>
    </row>
    <row r="2337" spans="1:12" x14ac:dyDescent="0.35">
      <c r="A2337" t="s">
        <v>2018</v>
      </c>
      <c r="B2337" s="1">
        <v>45734</v>
      </c>
      <c r="C2337" t="s">
        <v>7984</v>
      </c>
      <c r="F2337" t="s">
        <v>7901</v>
      </c>
      <c r="H2337" t="s">
        <v>2126</v>
      </c>
      <c r="K2337">
        <v>17170</v>
      </c>
      <c r="L2337" t="s">
        <v>6803</v>
      </c>
    </row>
    <row r="2338" spans="1:12" x14ac:dyDescent="0.35">
      <c r="A2338" t="s">
        <v>2018</v>
      </c>
      <c r="B2338" s="1">
        <v>45734</v>
      </c>
      <c r="C2338" t="s">
        <v>7984</v>
      </c>
      <c r="F2338" t="s">
        <v>7905</v>
      </c>
      <c r="H2338" t="s">
        <v>2127</v>
      </c>
      <c r="J2338">
        <v>15150</v>
      </c>
      <c r="L2338" t="s">
        <v>5943</v>
      </c>
    </row>
    <row r="2339" spans="1:12" x14ac:dyDescent="0.35">
      <c r="A2339" t="s">
        <v>2018</v>
      </c>
      <c r="B2339" s="1">
        <v>45734</v>
      </c>
      <c r="C2339" t="s">
        <v>7984</v>
      </c>
      <c r="F2339" t="s">
        <v>7908</v>
      </c>
      <c r="H2339" t="s">
        <v>2128</v>
      </c>
      <c r="J2339">
        <v>2020</v>
      </c>
      <c r="L2339" t="s">
        <v>5943</v>
      </c>
    </row>
    <row r="2340" spans="1:12" x14ac:dyDescent="0.35">
      <c r="A2340" t="s">
        <v>2018</v>
      </c>
      <c r="B2340" s="1">
        <v>45734</v>
      </c>
      <c r="C2340" t="s">
        <v>7985</v>
      </c>
      <c r="F2340" t="s">
        <v>7901</v>
      </c>
      <c r="H2340" t="s">
        <v>2129</v>
      </c>
      <c r="K2340">
        <v>17170</v>
      </c>
      <c r="L2340" t="s">
        <v>6803</v>
      </c>
    </row>
    <row r="2341" spans="1:12" x14ac:dyDescent="0.35">
      <c r="A2341" t="s">
        <v>2018</v>
      </c>
      <c r="B2341" s="1">
        <v>45734</v>
      </c>
      <c r="C2341" t="s">
        <v>7985</v>
      </c>
      <c r="F2341" t="s">
        <v>7905</v>
      </c>
      <c r="H2341" t="s">
        <v>2130</v>
      </c>
      <c r="J2341">
        <v>15150</v>
      </c>
      <c r="L2341" t="s">
        <v>5943</v>
      </c>
    </row>
    <row r="2342" spans="1:12" x14ac:dyDescent="0.35">
      <c r="A2342" t="s">
        <v>2018</v>
      </c>
      <c r="B2342" s="1">
        <v>45734</v>
      </c>
      <c r="C2342" t="s">
        <v>7985</v>
      </c>
      <c r="F2342" t="s">
        <v>7908</v>
      </c>
      <c r="H2342" t="s">
        <v>2131</v>
      </c>
      <c r="J2342">
        <v>2020</v>
      </c>
      <c r="L2342" t="s">
        <v>5943</v>
      </c>
    </row>
    <row r="2343" spans="1:12" x14ac:dyDescent="0.35">
      <c r="A2343" t="s">
        <v>2018</v>
      </c>
      <c r="B2343" s="1">
        <v>45734</v>
      </c>
      <c r="C2343" t="s">
        <v>7986</v>
      </c>
      <c r="F2343" t="s">
        <v>7901</v>
      </c>
      <c r="H2343" t="s">
        <v>2067</v>
      </c>
      <c r="K2343">
        <v>10000</v>
      </c>
      <c r="L2343" t="s">
        <v>6803</v>
      </c>
    </row>
    <row r="2344" spans="1:12" x14ac:dyDescent="0.35">
      <c r="A2344" t="s">
        <v>2018</v>
      </c>
      <c r="B2344" s="1">
        <v>45734</v>
      </c>
      <c r="C2344" t="s">
        <v>7986</v>
      </c>
      <c r="F2344" t="s">
        <v>7905</v>
      </c>
      <c r="H2344" t="s">
        <v>2067</v>
      </c>
      <c r="J2344">
        <v>10000</v>
      </c>
      <c r="L2344" t="s">
        <v>5943</v>
      </c>
    </row>
    <row r="2345" spans="1:12" x14ac:dyDescent="0.35">
      <c r="A2345" t="s">
        <v>2018</v>
      </c>
      <c r="B2345" s="1">
        <v>45734</v>
      </c>
      <c r="C2345" t="s">
        <v>7987</v>
      </c>
      <c r="F2345" t="s">
        <v>7901</v>
      </c>
      <c r="H2345" t="s">
        <v>2132</v>
      </c>
      <c r="K2345">
        <v>12120</v>
      </c>
      <c r="L2345" t="s">
        <v>6803</v>
      </c>
    </row>
    <row r="2346" spans="1:12" x14ac:dyDescent="0.35">
      <c r="A2346" t="s">
        <v>2018</v>
      </c>
      <c r="B2346" s="1">
        <v>45734</v>
      </c>
      <c r="C2346" t="s">
        <v>7987</v>
      </c>
      <c r="F2346" t="s">
        <v>7905</v>
      </c>
      <c r="H2346" t="s">
        <v>2133</v>
      </c>
      <c r="J2346">
        <v>10100</v>
      </c>
      <c r="L2346" t="s">
        <v>5943</v>
      </c>
    </row>
    <row r="2347" spans="1:12" x14ac:dyDescent="0.35">
      <c r="A2347" t="s">
        <v>2018</v>
      </c>
      <c r="B2347" s="1">
        <v>45734</v>
      </c>
      <c r="C2347" t="s">
        <v>7987</v>
      </c>
      <c r="F2347" t="s">
        <v>7908</v>
      </c>
      <c r="H2347" t="s">
        <v>2134</v>
      </c>
      <c r="J2347">
        <v>2020</v>
      </c>
      <c r="L2347" t="s">
        <v>5943</v>
      </c>
    </row>
    <row r="2348" spans="1:12" x14ac:dyDescent="0.35">
      <c r="A2348" t="s">
        <v>2018</v>
      </c>
      <c r="B2348" s="1">
        <v>45734</v>
      </c>
      <c r="C2348" t="s">
        <v>7988</v>
      </c>
      <c r="F2348" t="s">
        <v>7901</v>
      </c>
      <c r="H2348" t="s">
        <v>2135</v>
      </c>
      <c r="K2348">
        <v>10100</v>
      </c>
      <c r="L2348" t="s">
        <v>6803</v>
      </c>
    </row>
    <row r="2349" spans="1:12" x14ac:dyDescent="0.35">
      <c r="A2349" t="s">
        <v>2018</v>
      </c>
      <c r="B2349" s="1">
        <v>45734</v>
      </c>
      <c r="C2349" t="s">
        <v>7988</v>
      </c>
      <c r="F2349" t="s">
        <v>7905</v>
      </c>
      <c r="H2349" t="s">
        <v>2135</v>
      </c>
      <c r="J2349">
        <v>10100</v>
      </c>
      <c r="L2349" t="s">
        <v>5943</v>
      </c>
    </row>
    <row r="2350" spans="1:12" x14ac:dyDescent="0.35">
      <c r="A2350" t="s">
        <v>2018</v>
      </c>
      <c r="B2350" s="1">
        <v>45735</v>
      </c>
      <c r="C2350" t="s">
        <v>7989</v>
      </c>
      <c r="F2350" t="s">
        <v>7901</v>
      </c>
      <c r="H2350" t="s">
        <v>2136</v>
      </c>
      <c r="K2350">
        <v>10000</v>
      </c>
      <c r="L2350" t="s">
        <v>6803</v>
      </c>
    </row>
    <row r="2351" spans="1:12" x14ac:dyDescent="0.35">
      <c r="A2351" t="s">
        <v>2018</v>
      </c>
      <c r="B2351" s="1">
        <v>45735</v>
      </c>
      <c r="C2351" t="s">
        <v>7989</v>
      </c>
      <c r="F2351" t="s">
        <v>7905</v>
      </c>
      <c r="H2351" t="s">
        <v>2136</v>
      </c>
      <c r="J2351">
        <v>10000</v>
      </c>
      <c r="L2351" t="s">
        <v>5943</v>
      </c>
    </row>
    <row r="2352" spans="1:12" x14ac:dyDescent="0.35">
      <c r="A2352" t="s">
        <v>2018</v>
      </c>
      <c r="B2352" s="1">
        <v>45735</v>
      </c>
      <c r="C2352" t="s">
        <v>7990</v>
      </c>
      <c r="F2352" t="s">
        <v>7901</v>
      </c>
      <c r="H2352" t="s">
        <v>2137</v>
      </c>
      <c r="K2352">
        <v>12000</v>
      </c>
      <c r="L2352" t="s">
        <v>6803</v>
      </c>
    </row>
    <row r="2353" spans="1:12" x14ac:dyDescent="0.35">
      <c r="A2353" t="s">
        <v>2018</v>
      </c>
      <c r="B2353" s="1">
        <v>45735</v>
      </c>
      <c r="C2353" t="s">
        <v>7990</v>
      </c>
      <c r="F2353" t="s">
        <v>7905</v>
      </c>
      <c r="H2353" t="s">
        <v>2138</v>
      </c>
      <c r="J2353">
        <v>10000</v>
      </c>
      <c r="L2353" t="s">
        <v>5943</v>
      </c>
    </row>
    <row r="2354" spans="1:12" x14ac:dyDescent="0.35">
      <c r="A2354" t="s">
        <v>2018</v>
      </c>
      <c r="B2354" s="1">
        <v>45735</v>
      </c>
      <c r="C2354" t="s">
        <v>7990</v>
      </c>
      <c r="F2354" t="s">
        <v>7908</v>
      </c>
      <c r="H2354" t="s">
        <v>2139</v>
      </c>
      <c r="J2354">
        <v>2000</v>
      </c>
      <c r="L2354" t="s">
        <v>5943</v>
      </c>
    </row>
    <row r="2355" spans="1:12" x14ac:dyDescent="0.35">
      <c r="A2355" t="s">
        <v>2018</v>
      </c>
      <c r="B2355" s="1">
        <v>45735</v>
      </c>
      <c r="C2355" t="s">
        <v>7991</v>
      </c>
      <c r="F2355" t="s">
        <v>7901</v>
      </c>
      <c r="H2355" t="s">
        <v>2052</v>
      </c>
      <c r="J2355">
        <v>1000000</v>
      </c>
      <c r="L2355" t="s">
        <v>6803</v>
      </c>
    </row>
    <row r="2356" spans="1:12" x14ac:dyDescent="0.35">
      <c r="A2356" t="s">
        <v>2018</v>
      </c>
      <c r="B2356" s="1">
        <v>45735</v>
      </c>
      <c r="C2356" t="s">
        <v>7991</v>
      </c>
      <c r="F2356" t="s">
        <v>7829</v>
      </c>
      <c r="H2356" t="s">
        <v>2052</v>
      </c>
      <c r="K2356">
        <v>1000000</v>
      </c>
      <c r="L2356" t="s">
        <v>6803</v>
      </c>
    </row>
    <row r="2357" spans="1:12" x14ac:dyDescent="0.35">
      <c r="A2357" t="s">
        <v>2018</v>
      </c>
      <c r="B2357" s="1">
        <v>45735</v>
      </c>
      <c r="C2357" t="s">
        <v>7992</v>
      </c>
      <c r="F2357" t="s">
        <v>7901</v>
      </c>
      <c r="H2357" t="s">
        <v>2043</v>
      </c>
      <c r="K2357">
        <v>100000</v>
      </c>
      <c r="L2357" t="s">
        <v>6803</v>
      </c>
    </row>
    <row r="2358" spans="1:12" x14ac:dyDescent="0.35">
      <c r="A2358" t="s">
        <v>2018</v>
      </c>
      <c r="B2358" s="1">
        <v>45735</v>
      </c>
      <c r="C2358" t="s">
        <v>7992</v>
      </c>
      <c r="F2358" t="s">
        <v>7858</v>
      </c>
      <c r="H2358" t="s">
        <v>2043</v>
      </c>
      <c r="J2358">
        <v>100000</v>
      </c>
      <c r="L2358" t="s">
        <v>5943</v>
      </c>
    </row>
    <row r="2359" spans="1:12" x14ac:dyDescent="0.35">
      <c r="A2359" t="s">
        <v>2018</v>
      </c>
      <c r="B2359" s="1">
        <v>45735</v>
      </c>
      <c r="C2359" t="s">
        <v>7993</v>
      </c>
      <c r="F2359" t="s">
        <v>7901</v>
      </c>
      <c r="H2359" t="s">
        <v>2125</v>
      </c>
      <c r="K2359">
        <v>30000</v>
      </c>
      <c r="L2359" t="s">
        <v>6803</v>
      </c>
    </row>
    <row r="2360" spans="1:12" x14ac:dyDescent="0.35">
      <c r="A2360" t="s">
        <v>2018</v>
      </c>
      <c r="B2360" s="1">
        <v>45735</v>
      </c>
      <c r="C2360" t="s">
        <v>7993</v>
      </c>
      <c r="F2360" t="s">
        <v>6820</v>
      </c>
      <c r="H2360" t="s">
        <v>2125</v>
      </c>
      <c r="J2360">
        <v>30000</v>
      </c>
      <c r="L2360" t="s">
        <v>5955</v>
      </c>
    </row>
    <row r="2361" spans="1:12" x14ac:dyDescent="0.35">
      <c r="A2361" t="s">
        <v>2018</v>
      </c>
      <c r="B2361" s="1">
        <v>45735</v>
      </c>
      <c r="C2361" t="s">
        <v>7994</v>
      </c>
      <c r="F2361" t="s">
        <v>7901</v>
      </c>
      <c r="H2361" t="s">
        <v>2140</v>
      </c>
      <c r="K2361">
        <v>930000</v>
      </c>
      <c r="L2361" t="s">
        <v>6803</v>
      </c>
    </row>
    <row r="2362" spans="1:12" x14ac:dyDescent="0.35">
      <c r="A2362" t="s">
        <v>2018</v>
      </c>
      <c r="B2362" s="1">
        <v>45735</v>
      </c>
      <c r="C2362" t="s">
        <v>7994</v>
      </c>
      <c r="F2362" t="s">
        <v>7902</v>
      </c>
      <c r="H2362" t="s">
        <v>2141</v>
      </c>
      <c r="J2362">
        <v>400000</v>
      </c>
      <c r="L2362" t="s">
        <v>5943</v>
      </c>
    </row>
    <row r="2363" spans="1:12" x14ac:dyDescent="0.35">
      <c r="A2363" t="s">
        <v>2018</v>
      </c>
      <c r="B2363" s="1">
        <v>45735</v>
      </c>
      <c r="C2363" t="s">
        <v>7994</v>
      </c>
      <c r="F2363" t="s">
        <v>7905</v>
      </c>
      <c r="H2363" t="s">
        <v>2142</v>
      </c>
      <c r="J2363">
        <v>530000</v>
      </c>
      <c r="L2363" t="s">
        <v>5943</v>
      </c>
    </row>
    <row r="2364" spans="1:12" x14ac:dyDescent="0.35">
      <c r="A2364" t="s">
        <v>2018</v>
      </c>
      <c r="B2364" s="1">
        <v>45735</v>
      </c>
      <c r="C2364" t="s">
        <v>7995</v>
      </c>
      <c r="F2364" t="s">
        <v>7901</v>
      </c>
      <c r="H2364" t="s">
        <v>2143</v>
      </c>
      <c r="K2364">
        <v>17170</v>
      </c>
      <c r="L2364" t="s">
        <v>6803</v>
      </c>
    </row>
    <row r="2365" spans="1:12" x14ac:dyDescent="0.35">
      <c r="A2365" t="s">
        <v>2018</v>
      </c>
      <c r="B2365" s="1">
        <v>45735</v>
      </c>
      <c r="C2365" t="s">
        <v>7995</v>
      </c>
      <c r="F2365" t="s">
        <v>7905</v>
      </c>
      <c r="H2365" t="s">
        <v>2144</v>
      </c>
      <c r="J2365">
        <v>15150</v>
      </c>
      <c r="L2365" t="s">
        <v>5943</v>
      </c>
    </row>
    <row r="2366" spans="1:12" x14ac:dyDescent="0.35">
      <c r="A2366" t="s">
        <v>2018</v>
      </c>
      <c r="B2366" s="1">
        <v>45735</v>
      </c>
      <c r="C2366" t="s">
        <v>7995</v>
      </c>
      <c r="F2366" t="s">
        <v>7908</v>
      </c>
      <c r="H2366" t="s">
        <v>2145</v>
      </c>
      <c r="J2366">
        <v>2020</v>
      </c>
      <c r="L2366" t="s">
        <v>5943</v>
      </c>
    </row>
    <row r="2367" spans="1:12" x14ac:dyDescent="0.35">
      <c r="A2367" t="s">
        <v>2018</v>
      </c>
      <c r="B2367" s="1">
        <v>45736</v>
      </c>
      <c r="C2367" t="s">
        <v>7996</v>
      </c>
      <c r="F2367" t="s">
        <v>7901</v>
      </c>
      <c r="H2367" t="s">
        <v>2146</v>
      </c>
      <c r="K2367">
        <v>58580</v>
      </c>
      <c r="L2367" t="s">
        <v>6803</v>
      </c>
    </row>
    <row r="2368" spans="1:12" x14ac:dyDescent="0.35">
      <c r="A2368" t="s">
        <v>2018</v>
      </c>
      <c r="B2368" s="1">
        <v>45736</v>
      </c>
      <c r="C2368" t="s">
        <v>7996</v>
      </c>
      <c r="F2368" t="s">
        <v>7902</v>
      </c>
      <c r="H2368" t="s">
        <v>2147</v>
      </c>
      <c r="J2368">
        <v>43430</v>
      </c>
      <c r="L2368" t="s">
        <v>5943</v>
      </c>
    </row>
    <row r="2369" spans="1:12" x14ac:dyDescent="0.35">
      <c r="A2369" t="s">
        <v>2018</v>
      </c>
      <c r="B2369" s="1">
        <v>45736</v>
      </c>
      <c r="C2369" t="s">
        <v>7996</v>
      </c>
      <c r="F2369" t="s">
        <v>7905</v>
      </c>
      <c r="H2369" t="s">
        <v>2148</v>
      </c>
      <c r="J2369">
        <v>15150</v>
      </c>
      <c r="L2369" t="s">
        <v>5943</v>
      </c>
    </row>
    <row r="2370" spans="1:12" x14ac:dyDescent="0.35">
      <c r="A2370" t="s">
        <v>2018</v>
      </c>
      <c r="B2370" s="1">
        <v>45736</v>
      </c>
      <c r="C2370" t="s">
        <v>7997</v>
      </c>
      <c r="F2370" t="s">
        <v>7901</v>
      </c>
      <c r="H2370" t="s">
        <v>2149</v>
      </c>
      <c r="K2370">
        <v>15150</v>
      </c>
      <c r="L2370" t="s">
        <v>6803</v>
      </c>
    </row>
    <row r="2371" spans="1:12" x14ac:dyDescent="0.35">
      <c r="A2371" t="s">
        <v>2018</v>
      </c>
      <c r="B2371" s="1">
        <v>45736</v>
      </c>
      <c r="C2371" t="s">
        <v>7997</v>
      </c>
      <c r="F2371" t="s">
        <v>7905</v>
      </c>
      <c r="H2371" t="s">
        <v>2149</v>
      </c>
      <c r="J2371">
        <v>15150</v>
      </c>
      <c r="L2371" t="s">
        <v>5943</v>
      </c>
    </row>
    <row r="2372" spans="1:12" x14ac:dyDescent="0.35">
      <c r="A2372" t="s">
        <v>2018</v>
      </c>
      <c r="B2372" s="1">
        <v>45736</v>
      </c>
      <c r="C2372" t="s">
        <v>7998</v>
      </c>
      <c r="F2372" t="s">
        <v>7901</v>
      </c>
      <c r="H2372" t="s">
        <v>2054</v>
      </c>
      <c r="K2372">
        <v>15000</v>
      </c>
      <c r="L2372" t="s">
        <v>6803</v>
      </c>
    </row>
    <row r="2373" spans="1:12" x14ac:dyDescent="0.35">
      <c r="A2373" t="s">
        <v>2018</v>
      </c>
      <c r="B2373" s="1">
        <v>45736</v>
      </c>
      <c r="C2373" t="s">
        <v>7998</v>
      </c>
      <c r="F2373" t="s">
        <v>7858</v>
      </c>
      <c r="H2373" t="s">
        <v>2054</v>
      </c>
      <c r="J2373">
        <v>15000</v>
      </c>
      <c r="L2373" t="s">
        <v>5943</v>
      </c>
    </row>
    <row r="2374" spans="1:12" x14ac:dyDescent="0.35">
      <c r="A2374" t="s">
        <v>2018</v>
      </c>
      <c r="B2374" s="1">
        <v>45736</v>
      </c>
      <c r="C2374" t="s">
        <v>7999</v>
      </c>
      <c r="F2374" t="s">
        <v>7901</v>
      </c>
      <c r="H2374" t="s">
        <v>2069</v>
      </c>
      <c r="K2374">
        <v>6000</v>
      </c>
      <c r="L2374" t="s">
        <v>6803</v>
      </c>
    </row>
    <row r="2375" spans="1:12" x14ac:dyDescent="0.35">
      <c r="A2375" t="s">
        <v>2018</v>
      </c>
      <c r="B2375" s="1">
        <v>45736</v>
      </c>
      <c r="C2375" t="s">
        <v>7999</v>
      </c>
      <c r="F2375" t="s">
        <v>7928</v>
      </c>
      <c r="H2375" t="s">
        <v>2069</v>
      </c>
      <c r="J2375">
        <v>6000</v>
      </c>
      <c r="L2375" t="s">
        <v>5906</v>
      </c>
    </row>
    <row r="2376" spans="1:12" x14ac:dyDescent="0.35">
      <c r="A2376" t="s">
        <v>2018</v>
      </c>
      <c r="B2376" s="1">
        <v>45736</v>
      </c>
      <c r="C2376" t="s">
        <v>8000</v>
      </c>
      <c r="F2376" t="s">
        <v>7901</v>
      </c>
      <c r="H2376" t="s">
        <v>2150</v>
      </c>
      <c r="K2376">
        <v>17170</v>
      </c>
      <c r="L2376" t="s">
        <v>6803</v>
      </c>
    </row>
    <row r="2377" spans="1:12" x14ac:dyDescent="0.35">
      <c r="A2377" t="s">
        <v>2018</v>
      </c>
      <c r="B2377" s="1">
        <v>45736</v>
      </c>
      <c r="C2377" t="s">
        <v>8000</v>
      </c>
      <c r="F2377" t="s">
        <v>7905</v>
      </c>
      <c r="H2377" t="s">
        <v>2086</v>
      </c>
      <c r="J2377">
        <v>15150</v>
      </c>
      <c r="L2377" t="s">
        <v>5943</v>
      </c>
    </row>
    <row r="2378" spans="1:12" x14ac:dyDescent="0.35">
      <c r="A2378" t="s">
        <v>2018</v>
      </c>
      <c r="B2378" s="1">
        <v>45736</v>
      </c>
      <c r="C2378" t="s">
        <v>8000</v>
      </c>
      <c r="F2378" t="s">
        <v>7908</v>
      </c>
      <c r="H2378" t="s">
        <v>2087</v>
      </c>
      <c r="J2378">
        <v>2020</v>
      </c>
      <c r="L2378" t="s">
        <v>5943</v>
      </c>
    </row>
    <row r="2379" spans="1:12" x14ac:dyDescent="0.35">
      <c r="A2379" t="s">
        <v>2018</v>
      </c>
      <c r="B2379" s="1">
        <v>45736</v>
      </c>
      <c r="C2379" t="s">
        <v>8001</v>
      </c>
      <c r="F2379" t="s">
        <v>7901</v>
      </c>
      <c r="H2379" t="s">
        <v>2151</v>
      </c>
      <c r="K2379">
        <v>45450</v>
      </c>
      <c r="L2379" t="s">
        <v>6803</v>
      </c>
    </row>
    <row r="2380" spans="1:12" x14ac:dyDescent="0.35">
      <c r="A2380" t="s">
        <v>2018</v>
      </c>
      <c r="B2380" s="1">
        <v>45736</v>
      </c>
      <c r="C2380" t="s">
        <v>8001</v>
      </c>
      <c r="F2380" t="s">
        <v>7902</v>
      </c>
      <c r="H2380" t="s">
        <v>2152</v>
      </c>
      <c r="J2380">
        <v>43430</v>
      </c>
      <c r="L2380" t="s">
        <v>5943</v>
      </c>
    </row>
    <row r="2381" spans="1:12" x14ac:dyDescent="0.35">
      <c r="A2381" t="s">
        <v>2018</v>
      </c>
      <c r="B2381" s="1">
        <v>45736</v>
      </c>
      <c r="C2381" t="s">
        <v>8001</v>
      </c>
      <c r="F2381" t="s">
        <v>7905</v>
      </c>
      <c r="H2381" t="s">
        <v>2153</v>
      </c>
      <c r="J2381">
        <v>2020</v>
      </c>
      <c r="L2381" t="s">
        <v>5943</v>
      </c>
    </row>
    <row r="2382" spans="1:12" x14ac:dyDescent="0.35">
      <c r="A2382" t="s">
        <v>2018</v>
      </c>
      <c r="B2382" s="1">
        <v>45737</v>
      </c>
      <c r="C2382" t="s">
        <v>8002</v>
      </c>
      <c r="F2382" t="s">
        <v>7901</v>
      </c>
      <c r="H2382" t="s">
        <v>2052</v>
      </c>
      <c r="J2382">
        <v>1000000</v>
      </c>
      <c r="L2382" t="s">
        <v>6803</v>
      </c>
    </row>
    <row r="2383" spans="1:12" x14ac:dyDescent="0.35">
      <c r="A2383" t="s">
        <v>2018</v>
      </c>
      <c r="B2383" s="1">
        <v>45737</v>
      </c>
      <c r="C2383" t="s">
        <v>8002</v>
      </c>
      <c r="F2383" t="s">
        <v>7829</v>
      </c>
      <c r="H2383" t="s">
        <v>2052</v>
      </c>
      <c r="K2383">
        <v>1000000</v>
      </c>
      <c r="L2383" t="s">
        <v>6803</v>
      </c>
    </row>
    <row r="2384" spans="1:12" x14ac:dyDescent="0.35">
      <c r="A2384" t="s">
        <v>2018</v>
      </c>
      <c r="B2384" s="1">
        <v>45737</v>
      </c>
      <c r="C2384" t="s">
        <v>8003</v>
      </c>
      <c r="F2384" t="s">
        <v>7901</v>
      </c>
      <c r="H2384" t="s">
        <v>2154</v>
      </c>
      <c r="K2384">
        <v>12030</v>
      </c>
      <c r="L2384" t="s">
        <v>6803</v>
      </c>
    </row>
    <row r="2385" spans="1:12" x14ac:dyDescent="0.35">
      <c r="A2385" t="s">
        <v>2018</v>
      </c>
      <c r="B2385" s="1">
        <v>45737</v>
      </c>
      <c r="C2385" t="s">
        <v>8003</v>
      </c>
      <c r="F2385" t="s">
        <v>7905</v>
      </c>
      <c r="H2385" t="s">
        <v>2155</v>
      </c>
      <c r="J2385">
        <v>10010</v>
      </c>
      <c r="L2385" t="s">
        <v>5943</v>
      </c>
    </row>
    <row r="2386" spans="1:12" x14ac:dyDescent="0.35">
      <c r="A2386" t="s">
        <v>2018</v>
      </c>
      <c r="B2386" s="1">
        <v>45737</v>
      </c>
      <c r="C2386" t="s">
        <v>8003</v>
      </c>
      <c r="F2386" t="s">
        <v>7908</v>
      </c>
      <c r="H2386" t="s">
        <v>2156</v>
      </c>
      <c r="J2386">
        <v>2020</v>
      </c>
      <c r="L2386" t="s">
        <v>5943</v>
      </c>
    </row>
    <row r="2387" spans="1:12" x14ac:dyDescent="0.35">
      <c r="A2387" t="s">
        <v>2018</v>
      </c>
      <c r="B2387" s="1">
        <v>45737</v>
      </c>
      <c r="C2387" t="s">
        <v>8004</v>
      </c>
      <c r="F2387" t="s">
        <v>7901</v>
      </c>
      <c r="H2387" t="s">
        <v>2157</v>
      </c>
      <c r="K2387">
        <v>5000</v>
      </c>
      <c r="L2387" t="s">
        <v>6803</v>
      </c>
    </row>
    <row r="2388" spans="1:12" x14ac:dyDescent="0.35">
      <c r="A2388" t="s">
        <v>2018</v>
      </c>
      <c r="B2388" s="1">
        <v>45737</v>
      </c>
      <c r="C2388" t="s">
        <v>8004</v>
      </c>
      <c r="F2388" t="s">
        <v>7905</v>
      </c>
      <c r="H2388" t="s">
        <v>2157</v>
      </c>
      <c r="J2388">
        <v>5000</v>
      </c>
      <c r="L2388" t="s">
        <v>5943</v>
      </c>
    </row>
    <row r="2389" spans="1:12" x14ac:dyDescent="0.35">
      <c r="A2389" t="s">
        <v>2018</v>
      </c>
      <c r="B2389" s="1">
        <v>45737</v>
      </c>
      <c r="C2389" t="s">
        <v>8005</v>
      </c>
      <c r="F2389" t="s">
        <v>7901</v>
      </c>
      <c r="H2389" t="s">
        <v>2158</v>
      </c>
      <c r="K2389">
        <v>58000</v>
      </c>
      <c r="L2389" t="s">
        <v>6803</v>
      </c>
    </row>
    <row r="2390" spans="1:12" x14ac:dyDescent="0.35">
      <c r="A2390" t="s">
        <v>2018</v>
      </c>
      <c r="B2390" s="1">
        <v>45737</v>
      </c>
      <c r="C2390" t="s">
        <v>8005</v>
      </c>
      <c r="F2390" t="s">
        <v>7902</v>
      </c>
      <c r="H2390" t="s">
        <v>2159</v>
      </c>
      <c r="J2390">
        <v>43000</v>
      </c>
      <c r="L2390" t="s">
        <v>5943</v>
      </c>
    </row>
    <row r="2391" spans="1:12" x14ac:dyDescent="0.35">
      <c r="A2391" t="s">
        <v>2018</v>
      </c>
      <c r="B2391" s="1">
        <v>45737</v>
      </c>
      <c r="C2391" t="s">
        <v>8005</v>
      </c>
      <c r="F2391" t="s">
        <v>7905</v>
      </c>
      <c r="H2391" t="s">
        <v>2160</v>
      </c>
      <c r="J2391">
        <v>15000</v>
      </c>
      <c r="L2391" t="s">
        <v>5943</v>
      </c>
    </row>
    <row r="2392" spans="1:12" x14ac:dyDescent="0.35">
      <c r="A2392" t="s">
        <v>2018</v>
      </c>
      <c r="B2392" s="1">
        <v>45737</v>
      </c>
      <c r="C2392" t="s">
        <v>8006</v>
      </c>
      <c r="F2392" t="s">
        <v>7901</v>
      </c>
      <c r="H2392" t="s">
        <v>2161</v>
      </c>
      <c r="K2392">
        <v>17170</v>
      </c>
      <c r="L2392" t="s">
        <v>6803</v>
      </c>
    </row>
    <row r="2393" spans="1:12" x14ac:dyDescent="0.35">
      <c r="A2393" t="s">
        <v>2018</v>
      </c>
      <c r="B2393" s="1">
        <v>45737</v>
      </c>
      <c r="C2393" t="s">
        <v>8006</v>
      </c>
      <c r="F2393" t="s">
        <v>7905</v>
      </c>
      <c r="H2393" t="s">
        <v>2162</v>
      </c>
      <c r="J2393">
        <v>15150</v>
      </c>
      <c r="L2393" t="s">
        <v>5943</v>
      </c>
    </row>
    <row r="2394" spans="1:12" x14ac:dyDescent="0.35">
      <c r="A2394" t="s">
        <v>2018</v>
      </c>
      <c r="B2394" s="1">
        <v>45737</v>
      </c>
      <c r="C2394" t="s">
        <v>8006</v>
      </c>
      <c r="F2394" t="s">
        <v>7908</v>
      </c>
      <c r="H2394" t="s">
        <v>2163</v>
      </c>
      <c r="J2394">
        <v>2020</v>
      </c>
      <c r="L2394" t="s">
        <v>5943</v>
      </c>
    </row>
    <row r="2395" spans="1:12" x14ac:dyDescent="0.35">
      <c r="A2395" t="s">
        <v>2018</v>
      </c>
      <c r="B2395" s="1">
        <v>45737</v>
      </c>
      <c r="C2395" t="s">
        <v>8007</v>
      </c>
      <c r="F2395" t="s">
        <v>7901</v>
      </c>
      <c r="H2395" t="s">
        <v>2164</v>
      </c>
      <c r="K2395">
        <v>17170</v>
      </c>
      <c r="L2395" t="s">
        <v>6803</v>
      </c>
    </row>
    <row r="2396" spans="1:12" x14ac:dyDescent="0.35">
      <c r="A2396" t="s">
        <v>2018</v>
      </c>
      <c r="B2396" s="1">
        <v>45737</v>
      </c>
      <c r="C2396" t="s">
        <v>8007</v>
      </c>
      <c r="F2396" t="s">
        <v>7905</v>
      </c>
      <c r="H2396" t="s">
        <v>2165</v>
      </c>
      <c r="J2396">
        <v>15150</v>
      </c>
      <c r="L2396" t="s">
        <v>5943</v>
      </c>
    </row>
    <row r="2397" spans="1:12" x14ac:dyDescent="0.35">
      <c r="A2397" t="s">
        <v>2018</v>
      </c>
      <c r="B2397" s="1">
        <v>45737</v>
      </c>
      <c r="C2397" t="s">
        <v>8007</v>
      </c>
      <c r="F2397" t="s">
        <v>7908</v>
      </c>
      <c r="H2397" t="s">
        <v>2166</v>
      </c>
      <c r="J2397">
        <v>2020</v>
      </c>
      <c r="L2397" t="s">
        <v>5943</v>
      </c>
    </row>
    <row r="2398" spans="1:12" x14ac:dyDescent="0.35">
      <c r="A2398" t="s">
        <v>2018</v>
      </c>
      <c r="B2398" s="1">
        <v>45737</v>
      </c>
      <c r="C2398" t="s">
        <v>8008</v>
      </c>
      <c r="F2398" t="s">
        <v>7901</v>
      </c>
      <c r="H2398" t="s">
        <v>2067</v>
      </c>
      <c r="K2398">
        <v>10000</v>
      </c>
      <c r="L2398" t="s">
        <v>6803</v>
      </c>
    </row>
    <row r="2399" spans="1:12" x14ac:dyDescent="0.35">
      <c r="A2399" t="s">
        <v>2018</v>
      </c>
      <c r="B2399" s="1">
        <v>45737</v>
      </c>
      <c r="C2399" t="s">
        <v>8008</v>
      </c>
      <c r="F2399" t="s">
        <v>7905</v>
      </c>
      <c r="H2399" t="s">
        <v>2067</v>
      </c>
      <c r="J2399">
        <v>10000</v>
      </c>
      <c r="L2399" t="s">
        <v>5943</v>
      </c>
    </row>
    <row r="2400" spans="1:12" x14ac:dyDescent="0.35">
      <c r="A2400" t="s">
        <v>2018</v>
      </c>
      <c r="B2400" s="1">
        <v>45738</v>
      </c>
      <c r="C2400" t="s">
        <v>8009</v>
      </c>
      <c r="F2400" t="s">
        <v>7901</v>
      </c>
      <c r="H2400" t="s">
        <v>2167</v>
      </c>
      <c r="K2400">
        <v>10000</v>
      </c>
      <c r="L2400" t="s">
        <v>6803</v>
      </c>
    </row>
    <row r="2401" spans="1:12" x14ac:dyDescent="0.35">
      <c r="A2401" t="s">
        <v>2018</v>
      </c>
      <c r="B2401" s="1">
        <v>45738</v>
      </c>
      <c r="C2401" t="s">
        <v>8009</v>
      </c>
      <c r="F2401" t="s">
        <v>7905</v>
      </c>
      <c r="H2401" t="s">
        <v>2167</v>
      </c>
      <c r="J2401">
        <v>10000</v>
      </c>
      <c r="L2401" t="s">
        <v>5943</v>
      </c>
    </row>
    <row r="2402" spans="1:12" x14ac:dyDescent="0.35">
      <c r="A2402" t="s">
        <v>2018</v>
      </c>
      <c r="B2402" s="1">
        <v>45738</v>
      </c>
      <c r="C2402" t="s">
        <v>8010</v>
      </c>
      <c r="F2402" t="s">
        <v>7901</v>
      </c>
      <c r="H2402" t="s">
        <v>2168</v>
      </c>
      <c r="K2402">
        <v>10000</v>
      </c>
      <c r="L2402" t="s">
        <v>6803</v>
      </c>
    </row>
    <row r="2403" spans="1:12" x14ac:dyDescent="0.35">
      <c r="A2403" t="s">
        <v>2018</v>
      </c>
      <c r="B2403" s="1">
        <v>45738</v>
      </c>
      <c r="C2403" t="s">
        <v>8010</v>
      </c>
      <c r="F2403" t="s">
        <v>7905</v>
      </c>
      <c r="H2403" t="s">
        <v>2168</v>
      </c>
      <c r="J2403">
        <v>10000</v>
      </c>
      <c r="L2403" t="s">
        <v>5943</v>
      </c>
    </row>
    <row r="2404" spans="1:12" x14ac:dyDescent="0.35">
      <c r="A2404" t="s">
        <v>2018</v>
      </c>
      <c r="B2404" s="1">
        <v>45738</v>
      </c>
      <c r="C2404" t="s">
        <v>8011</v>
      </c>
      <c r="F2404" t="s">
        <v>7901</v>
      </c>
      <c r="H2404" t="s">
        <v>2169</v>
      </c>
      <c r="K2404">
        <v>10100</v>
      </c>
      <c r="L2404" t="s">
        <v>6803</v>
      </c>
    </row>
    <row r="2405" spans="1:12" x14ac:dyDescent="0.35">
      <c r="A2405" t="s">
        <v>2018</v>
      </c>
      <c r="B2405" s="1">
        <v>45738</v>
      </c>
      <c r="C2405" t="s">
        <v>8011</v>
      </c>
      <c r="F2405" t="s">
        <v>7905</v>
      </c>
      <c r="H2405" t="s">
        <v>2169</v>
      </c>
      <c r="J2405">
        <v>10100</v>
      </c>
      <c r="L2405" t="s">
        <v>5943</v>
      </c>
    </row>
    <row r="2406" spans="1:12" x14ac:dyDescent="0.35">
      <c r="A2406" t="s">
        <v>2018</v>
      </c>
      <c r="B2406" s="1">
        <v>45738</v>
      </c>
      <c r="C2406" t="s">
        <v>8012</v>
      </c>
      <c r="F2406" t="s">
        <v>7901</v>
      </c>
      <c r="H2406" t="s">
        <v>2170</v>
      </c>
      <c r="K2406">
        <v>10000</v>
      </c>
      <c r="L2406" t="s">
        <v>6803</v>
      </c>
    </row>
    <row r="2407" spans="1:12" x14ac:dyDescent="0.35">
      <c r="A2407" t="s">
        <v>2018</v>
      </c>
      <c r="B2407" s="1">
        <v>45738</v>
      </c>
      <c r="C2407" t="s">
        <v>8012</v>
      </c>
      <c r="F2407" t="s">
        <v>7905</v>
      </c>
      <c r="H2407" t="s">
        <v>2170</v>
      </c>
      <c r="J2407">
        <v>10000</v>
      </c>
      <c r="L2407" t="s">
        <v>5943</v>
      </c>
    </row>
    <row r="2408" spans="1:12" x14ac:dyDescent="0.35">
      <c r="A2408" t="s">
        <v>2018</v>
      </c>
      <c r="B2408" s="1">
        <v>45738</v>
      </c>
      <c r="C2408" t="s">
        <v>8013</v>
      </c>
      <c r="F2408" t="s">
        <v>7901</v>
      </c>
      <c r="H2408" t="s">
        <v>2171</v>
      </c>
      <c r="K2408">
        <v>10000</v>
      </c>
      <c r="L2408" t="s">
        <v>6803</v>
      </c>
    </row>
    <row r="2409" spans="1:12" x14ac:dyDescent="0.35">
      <c r="A2409" t="s">
        <v>2018</v>
      </c>
      <c r="B2409" s="1">
        <v>45738</v>
      </c>
      <c r="C2409" t="s">
        <v>8013</v>
      </c>
      <c r="F2409" t="s">
        <v>7905</v>
      </c>
      <c r="H2409" t="s">
        <v>2171</v>
      </c>
      <c r="J2409">
        <v>10000</v>
      </c>
      <c r="L2409" t="s">
        <v>5943</v>
      </c>
    </row>
    <row r="2410" spans="1:12" x14ac:dyDescent="0.35">
      <c r="A2410" t="s">
        <v>2018</v>
      </c>
      <c r="B2410" s="1">
        <v>45738</v>
      </c>
      <c r="C2410" t="s">
        <v>8014</v>
      </c>
      <c r="F2410" t="s">
        <v>7901</v>
      </c>
      <c r="H2410" t="s">
        <v>2154</v>
      </c>
      <c r="K2410">
        <v>12000</v>
      </c>
      <c r="L2410" t="s">
        <v>6803</v>
      </c>
    </row>
    <row r="2411" spans="1:12" x14ac:dyDescent="0.35">
      <c r="A2411" t="s">
        <v>2018</v>
      </c>
      <c r="B2411" s="1">
        <v>45738</v>
      </c>
      <c r="C2411" t="s">
        <v>8014</v>
      </c>
      <c r="F2411" t="s">
        <v>7905</v>
      </c>
      <c r="H2411" t="s">
        <v>2155</v>
      </c>
      <c r="J2411">
        <v>10000</v>
      </c>
      <c r="L2411" t="s">
        <v>5943</v>
      </c>
    </row>
    <row r="2412" spans="1:12" x14ac:dyDescent="0.35">
      <c r="A2412" t="s">
        <v>2018</v>
      </c>
      <c r="B2412" s="1">
        <v>45738</v>
      </c>
      <c r="C2412" t="s">
        <v>8014</v>
      </c>
      <c r="F2412" t="s">
        <v>7908</v>
      </c>
      <c r="H2412" t="s">
        <v>2156</v>
      </c>
      <c r="J2412">
        <v>2000</v>
      </c>
      <c r="L2412" t="s">
        <v>5943</v>
      </c>
    </row>
    <row r="2413" spans="1:12" x14ac:dyDescent="0.35">
      <c r="A2413" t="s">
        <v>2018</v>
      </c>
      <c r="B2413" s="1">
        <v>45738</v>
      </c>
      <c r="C2413" t="s">
        <v>8015</v>
      </c>
      <c r="F2413" t="s">
        <v>7901</v>
      </c>
      <c r="H2413" t="s">
        <v>2172</v>
      </c>
      <c r="K2413">
        <v>12000</v>
      </c>
      <c r="L2413" t="s">
        <v>6803</v>
      </c>
    </row>
    <row r="2414" spans="1:12" x14ac:dyDescent="0.35">
      <c r="A2414" t="s">
        <v>2018</v>
      </c>
      <c r="B2414" s="1">
        <v>45738</v>
      </c>
      <c r="C2414" t="s">
        <v>8015</v>
      </c>
      <c r="F2414" t="s">
        <v>7905</v>
      </c>
      <c r="H2414" t="s">
        <v>2173</v>
      </c>
      <c r="J2414">
        <v>10000</v>
      </c>
      <c r="L2414" t="s">
        <v>5943</v>
      </c>
    </row>
    <row r="2415" spans="1:12" x14ac:dyDescent="0.35">
      <c r="A2415" t="s">
        <v>2018</v>
      </c>
      <c r="B2415" s="1">
        <v>45738</v>
      </c>
      <c r="C2415" t="s">
        <v>8015</v>
      </c>
      <c r="F2415" t="s">
        <v>7908</v>
      </c>
      <c r="H2415" t="s">
        <v>2174</v>
      </c>
      <c r="J2415">
        <v>2000</v>
      </c>
      <c r="L2415" t="s">
        <v>5943</v>
      </c>
    </row>
    <row r="2416" spans="1:12" x14ac:dyDescent="0.35">
      <c r="A2416" t="s">
        <v>2018</v>
      </c>
      <c r="B2416" s="1">
        <v>45738</v>
      </c>
      <c r="C2416" t="s">
        <v>8016</v>
      </c>
      <c r="F2416" t="s">
        <v>7901</v>
      </c>
      <c r="H2416" t="s">
        <v>2175</v>
      </c>
      <c r="K2416">
        <v>939300</v>
      </c>
      <c r="L2416" t="s">
        <v>6803</v>
      </c>
    </row>
    <row r="2417" spans="1:12" x14ac:dyDescent="0.35">
      <c r="A2417" t="s">
        <v>2018</v>
      </c>
      <c r="B2417" s="1">
        <v>45738</v>
      </c>
      <c r="C2417" t="s">
        <v>8016</v>
      </c>
      <c r="F2417" t="s">
        <v>7902</v>
      </c>
      <c r="H2417" t="s">
        <v>2176</v>
      </c>
      <c r="J2417">
        <v>404000</v>
      </c>
      <c r="L2417" t="s">
        <v>5943</v>
      </c>
    </row>
    <row r="2418" spans="1:12" x14ac:dyDescent="0.35">
      <c r="A2418" t="s">
        <v>2018</v>
      </c>
      <c r="B2418" s="1">
        <v>45738</v>
      </c>
      <c r="C2418" t="s">
        <v>8016</v>
      </c>
      <c r="F2418" t="s">
        <v>7905</v>
      </c>
      <c r="H2418" t="s">
        <v>2177</v>
      </c>
      <c r="J2418">
        <v>535300</v>
      </c>
      <c r="L2418" t="s">
        <v>5943</v>
      </c>
    </row>
    <row r="2419" spans="1:12" x14ac:dyDescent="0.35">
      <c r="A2419" t="s">
        <v>2018</v>
      </c>
      <c r="B2419" s="1">
        <v>45738</v>
      </c>
      <c r="C2419" t="s">
        <v>8017</v>
      </c>
      <c r="F2419" t="s">
        <v>7901</v>
      </c>
      <c r="H2419" t="s">
        <v>2056</v>
      </c>
      <c r="K2419">
        <v>50500</v>
      </c>
      <c r="L2419" t="s">
        <v>6803</v>
      </c>
    </row>
    <row r="2420" spans="1:12" x14ac:dyDescent="0.35">
      <c r="A2420" t="s">
        <v>2018</v>
      </c>
      <c r="B2420" s="1">
        <v>45738</v>
      </c>
      <c r="C2420" t="s">
        <v>8017</v>
      </c>
      <c r="F2420" t="s">
        <v>7928</v>
      </c>
      <c r="H2420" t="s">
        <v>2056</v>
      </c>
      <c r="J2420">
        <v>50500</v>
      </c>
      <c r="L2420" t="s">
        <v>5906</v>
      </c>
    </row>
    <row r="2421" spans="1:12" x14ac:dyDescent="0.35">
      <c r="A2421" t="s">
        <v>2018</v>
      </c>
      <c r="B2421" s="1">
        <v>45738</v>
      </c>
      <c r="C2421" t="s">
        <v>8018</v>
      </c>
      <c r="F2421" t="s">
        <v>7901</v>
      </c>
      <c r="H2421" t="s">
        <v>2069</v>
      </c>
      <c r="K2421">
        <v>8000</v>
      </c>
      <c r="L2421" t="s">
        <v>6803</v>
      </c>
    </row>
    <row r="2422" spans="1:12" x14ac:dyDescent="0.35">
      <c r="A2422" t="s">
        <v>2018</v>
      </c>
      <c r="B2422" s="1">
        <v>45738</v>
      </c>
      <c r="C2422" t="s">
        <v>8018</v>
      </c>
      <c r="F2422" t="s">
        <v>7928</v>
      </c>
      <c r="H2422" t="s">
        <v>2069</v>
      </c>
      <c r="J2422">
        <v>8000</v>
      </c>
      <c r="L2422" t="s">
        <v>5906</v>
      </c>
    </row>
    <row r="2423" spans="1:12" x14ac:dyDescent="0.35">
      <c r="A2423" t="s">
        <v>2018</v>
      </c>
      <c r="B2423" s="1">
        <v>45740</v>
      </c>
      <c r="C2423" t="s">
        <v>8019</v>
      </c>
      <c r="F2423" t="s">
        <v>7901</v>
      </c>
      <c r="H2423" t="s">
        <v>2054</v>
      </c>
      <c r="K2423">
        <v>12500</v>
      </c>
      <c r="L2423" t="s">
        <v>6803</v>
      </c>
    </row>
    <row r="2424" spans="1:12" x14ac:dyDescent="0.35">
      <c r="A2424" t="s">
        <v>2018</v>
      </c>
      <c r="B2424" s="1">
        <v>45740</v>
      </c>
      <c r="C2424" t="s">
        <v>8019</v>
      </c>
      <c r="F2424" t="s">
        <v>7858</v>
      </c>
      <c r="H2424" t="s">
        <v>2054</v>
      </c>
      <c r="J2424">
        <v>12500</v>
      </c>
      <c r="L2424" t="s">
        <v>5943</v>
      </c>
    </row>
    <row r="2425" spans="1:12" x14ac:dyDescent="0.35">
      <c r="A2425" t="s">
        <v>2018</v>
      </c>
      <c r="B2425" s="1">
        <v>45740</v>
      </c>
      <c r="C2425" t="s">
        <v>8020</v>
      </c>
      <c r="F2425" t="s">
        <v>7901</v>
      </c>
      <c r="H2425" t="s">
        <v>2178</v>
      </c>
      <c r="K2425">
        <v>12120</v>
      </c>
      <c r="L2425" t="s">
        <v>6803</v>
      </c>
    </row>
    <row r="2426" spans="1:12" x14ac:dyDescent="0.35">
      <c r="A2426" t="s">
        <v>2018</v>
      </c>
      <c r="B2426" s="1">
        <v>45740</v>
      </c>
      <c r="C2426" t="s">
        <v>8020</v>
      </c>
      <c r="F2426" t="s">
        <v>7905</v>
      </c>
      <c r="H2426" t="s">
        <v>2067</v>
      </c>
      <c r="J2426">
        <v>10100</v>
      </c>
      <c r="L2426" t="s">
        <v>5943</v>
      </c>
    </row>
    <row r="2427" spans="1:12" x14ac:dyDescent="0.35">
      <c r="A2427" t="s">
        <v>2018</v>
      </c>
      <c r="B2427" s="1">
        <v>45740</v>
      </c>
      <c r="C2427" t="s">
        <v>8020</v>
      </c>
      <c r="F2427" t="s">
        <v>7908</v>
      </c>
      <c r="H2427" t="s">
        <v>2068</v>
      </c>
      <c r="J2427">
        <v>2020</v>
      </c>
      <c r="L2427" t="s">
        <v>5943</v>
      </c>
    </row>
    <row r="2428" spans="1:12" x14ac:dyDescent="0.35">
      <c r="A2428" t="s">
        <v>2018</v>
      </c>
      <c r="B2428" s="1">
        <v>45740</v>
      </c>
      <c r="C2428" t="s">
        <v>8021</v>
      </c>
      <c r="F2428" t="s">
        <v>7901</v>
      </c>
      <c r="H2428" t="s">
        <v>2179</v>
      </c>
      <c r="K2428">
        <v>14140</v>
      </c>
      <c r="L2428" t="s">
        <v>6803</v>
      </c>
    </row>
    <row r="2429" spans="1:12" x14ac:dyDescent="0.35">
      <c r="A2429" t="s">
        <v>2018</v>
      </c>
      <c r="B2429" s="1">
        <v>45740</v>
      </c>
      <c r="C2429" t="s">
        <v>8021</v>
      </c>
      <c r="F2429" t="s">
        <v>7905</v>
      </c>
      <c r="H2429" t="s">
        <v>2136</v>
      </c>
      <c r="J2429">
        <v>10100</v>
      </c>
      <c r="L2429" t="s">
        <v>5943</v>
      </c>
    </row>
    <row r="2430" spans="1:12" x14ac:dyDescent="0.35">
      <c r="A2430" t="s">
        <v>2018</v>
      </c>
      <c r="B2430" s="1">
        <v>45740</v>
      </c>
      <c r="C2430" t="s">
        <v>8021</v>
      </c>
      <c r="F2430" t="s">
        <v>7908</v>
      </c>
      <c r="H2430" t="s">
        <v>2121</v>
      </c>
      <c r="J2430">
        <v>4040</v>
      </c>
      <c r="L2430" t="s">
        <v>5943</v>
      </c>
    </row>
    <row r="2431" spans="1:12" x14ac:dyDescent="0.35">
      <c r="A2431" t="s">
        <v>2018</v>
      </c>
      <c r="B2431" s="1">
        <v>45740</v>
      </c>
      <c r="C2431" t="s">
        <v>8022</v>
      </c>
      <c r="F2431" t="s">
        <v>7901</v>
      </c>
      <c r="H2431" t="s">
        <v>2180</v>
      </c>
      <c r="K2431">
        <v>10100</v>
      </c>
      <c r="L2431" t="s">
        <v>6803</v>
      </c>
    </row>
    <row r="2432" spans="1:12" x14ac:dyDescent="0.35">
      <c r="A2432" t="s">
        <v>2018</v>
      </c>
      <c r="B2432" s="1">
        <v>45740</v>
      </c>
      <c r="C2432" t="s">
        <v>8022</v>
      </c>
      <c r="F2432" t="s">
        <v>7905</v>
      </c>
      <c r="H2432" t="s">
        <v>2181</v>
      </c>
      <c r="J2432">
        <v>10100</v>
      </c>
      <c r="L2432" t="s">
        <v>5943</v>
      </c>
    </row>
    <row r="2433" spans="1:12" x14ac:dyDescent="0.35">
      <c r="A2433" t="s">
        <v>2018</v>
      </c>
      <c r="B2433" s="1">
        <v>45740</v>
      </c>
      <c r="C2433" t="s">
        <v>8022</v>
      </c>
      <c r="F2433" t="s">
        <v>7908</v>
      </c>
      <c r="H2433" t="s">
        <v>2182</v>
      </c>
      <c r="J2433">
        <v>2020</v>
      </c>
      <c r="L2433" t="s">
        <v>5943</v>
      </c>
    </row>
    <row r="2434" spans="1:12" x14ac:dyDescent="0.35">
      <c r="A2434" t="s">
        <v>2018</v>
      </c>
      <c r="B2434" s="1">
        <v>45740</v>
      </c>
      <c r="C2434" t="s">
        <v>8022</v>
      </c>
      <c r="F2434" t="s">
        <v>7908</v>
      </c>
      <c r="H2434" t="s">
        <v>2182</v>
      </c>
      <c r="J2434">
        <v>-2020</v>
      </c>
      <c r="L2434" t="s">
        <v>5943</v>
      </c>
    </row>
    <row r="2435" spans="1:12" x14ac:dyDescent="0.35">
      <c r="A2435" t="s">
        <v>2018</v>
      </c>
      <c r="B2435" s="1">
        <v>45740</v>
      </c>
      <c r="C2435" t="s">
        <v>8023</v>
      </c>
      <c r="F2435" t="s">
        <v>7901</v>
      </c>
      <c r="H2435" t="s">
        <v>2183</v>
      </c>
      <c r="K2435">
        <v>60600</v>
      </c>
      <c r="L2435" t="s">
        <v>6803</v>
      </c>
    </row>
    <row r="2436" spans="1:12" x14ac:dyDescent="0.35">
      <c r="A2436" t="s">
        <v>2018</v>
      </c>
      <c r="B2436" s="1">
        <v>45740</v>
      </c>
      <c r="C2436" t="s">
        <v>8023</v>
      </c>
      <c r="F2436" t="s">
        <v>7902</v>
      </c>
      <c r="H2436" t="s">
        <v>2184</v>
      </c>
      <c r="J2436">
        <v>43430</v>
      </c>
      <c r="L2436" t="s">
        <v>5943</v>
      </c>
    </row>
    <row r="2437" spans="1:12" x14ac:dyDescent="0.35">
      <c r="A2437" t="s">
        <v>2018</v>
      </c>
      <c r="B2437" s="1">
        <v>45740</v>
      </c>
      <c r="C2437" t="s">
        <v>8023</v>
      </c>
      <c r="F2437" t="s">
        <v>7905</v>
      </c>
      <c r="H2437" t="s">
        <v>2185</v>
      </c>
      <c r="J2437">
        <v>15150</v>
      </c>
      <c r="L2437" t="s">
        <v>5943</v>
      </c>
    </row>
    <row r="2438" spans="1:12" x14ac:dyDescent="0.35">
      <c r="A2438" t="s">
        <v>2018</v>
      </c>
      <c r="B2438" s="1">
        <v>45740</v>
      </c>
      <c r="C2438" t="s">
        <v>8023</v>
      </c>
      <c r="F2438" t="s">
        <v>7908</v>
      </c>
      <c r="H2438" t="s">
        <v>2186</v>
      </c>
      <c r="J2438">
        <v>2020</v>
      </c>
      <c r="L2438" t="s">
        <v>5943</v>
      </c>
    </row>
    <row r="2439" spans="1:12" x14ac:dyDescent="0.35">
      <c r="A2439" t="s">
        <v>2018</v>
      </c>
      <c r="B2439" s="1">
        <v>45740</v>
      </c>
      <c r="C2439" t="s">
        <v>8024</v>
      </c>
      <c r="F2439" t="s">
        <v>7901</v>
      </c>
      <c r="H2439" t="s">
        <v>2174</v>
      </c>
      <c r="K2439">
        <v>12120</v>
      </c>
      <c r="L2439" t="s">
        <v>6803</v>
      </c>
    </row>
    <row r="2440" spans="1:12" x14ac:dyDescent="0.35">
      <c r="A2440" t="s">
        <v>2018</v>
      </c>
      <c r="B2440" s="1">
        <v>45740</v>
      </c>
      <c r="C2440" t="s">
        <v>8024</v>
      </c>
      <c r="F2440" t="s">
        <v>7905</v>
      </c>
      <c r="H2440" t="s">
        <v>2173</v>
      </c>
      <c r="J2440">
        <v>10100</v>
      </c>
      <c r="L2440" t="s">
        <v>5943</v>
      </c>
    </row>
    <row r="2441" spans="1:12" x14ac:dyDescent="0.35">
      <c r="A2441" t="s">
        <v>2018</v>
      </c>
      <c r="B2441" s="1">
        <v>45740</v>
      </c>
      <c r="C2441" t="s">
        <v>8024</v>
      </c>
      <c r="F2441" t="s">
        <v>7908</v>
      </c>
      <c r="H2441" t="s">
        <v>2174</v>
      </c>
      <c r="J2441">
        <v>2020</v>
      </c>
      <c r="L2441" t="s">
        <v>5943</v>
      </c>
    </row>
    <row r="2442" spans="1:12" x14ac:dyDescent="0.35">
      <c r="A2442" t="s">
        <v>2018</v>
      </c>
      <c r="B2442" s="1">
        <v>45740</v>
      </c>
      <c r="C2442" t="s">
        <v>8025</v>
      </c>
      <c r="F2442" t="s">
        <v>7901</v>
      </c>
      <c r="H2442" t="s">
        <v>2187</v>
      </c>
      <c r="K2442">
        <v>12120</v>
      </c>
      <c r="L2442" t="s">
        <v>6803</v>
      </c>
    </row>
    <row r="2443" spans="1:12" x14ac:dyDescent="0.35">
      <c r="A2443" t="s">
        <v>2018</v>
      </c>
      <c r="B2443" s="1">
        <v>45740</v>
      </c>
      <c r="C2443" t="s">
        <v>8025</v>
      </c>
      <c r="F2443" t="s">
        <v>7905</v>
      </c>
      <c r="H2443" t="s">
        <v>2155</v>
      </c>
      <c r="J2443">
        <v>10100</v>
      </c>
      <c r="L2443" t="s">
        <v>5943</v>
      </c>
    </row>
    <row r="2444" spans="1:12" x14ac:dyDescent="0.35">
      <c r="A2444" t="s">
        <v>2018</v>
      </c>
      <c r="B2444" s="1">
        <v>45740</v>
      </c>
      <c r="C2444" t="s">
        <v>8025</v>
      </c>
      <c r="F2444" t="s">
        <v>7908</v>
      </c>
      <c r="H2444" t="s">
        <v>2156</v>
      </c>
      <c r="J2444">
        <v>2020</v>
      </c>
      <c r="L2444" t="s">
        <v>5943</v>
      </c>
    </row>
    <row r="2445" spans="1:12" x14ac:dyDescent="0.35">
      <c r="A2445" t="s">
        <v>2018</v>
      </c>
      <c r="B2445" s="1">
        <v>45741</v>
      </c>
      <c r="C2445" t="s">
        <v>8026</v>
      </c>
      <c r="F2445" t="s">
        <v>7901</v>
      </c>
      <c r="H2445" t="s">
        <v>2188</v>
      </c>
      <c r="K2445">
        <v>12120</v>
      </c>
      <c r="L2445" t="s">
        <v>6803</v>
      </c>
    </row>
    <row r="2446" spans="1:12" x14ac:dyDescent="0.35">
      <c r="A2446" t="s">
        <v>2018</v>
      </c>
      <c r="B2446" s="1">
        <v>45741</v>
      </c>
      <c r="C2446" t="s">
        <v>8026</v>
      </c>
      <c r="F2446" t="s">
        <v>7905</v>
      </c>
      <c r="H2446" t="s">
        <v>2189</v>
      </c>
      <c r="J2446">
        <v>10100</v>
      </c>
      <c r="L2446" t="s">
        <v>5943</v>
      </c>
    </row>
    <row r="2447" spans="1:12" x14ac:dyDescent="0.35">
      <c r="A2447" t="s">
        <v>2018</v>
      </c>
      <c r="B2447" s="1">
        <v>45741</v>
      </c>
      <c r="C2447" t="s">
        <v>8026</v>
      </c>
      <c r="F2447" t="s">
        <v>7908</v>
      </c>
      <c r="H2447" t="s">
        <v>2190</v>
      </c>
      <c r="J2447">
        <v>2020</v>
      </c>
      <c r="L2447" t="s">
        <v>5943</v>
      </c>
    </row>
    <row r="2448" spans="1:12" x14ac:dyDescent="0.35">
      <c r="A2448" t="s">
        <v>2018</v>
      </c>
      <c r="B2448" s="1">
        <v>45741</v>
      </c>
      <c r="C2448" t="s">
        <v>8027</v>
      </c>
      <c r="F2448" t="s">
        <v>7901</v>
      </c>
      <c r="H2448" t="s">
        <v>2191</v>
      </c>
      <c r="K2448">
        <v>12120</v>
      </c>
      <c r="L2448" t="s">
        <v>6803</v>
      </c>
    </row>
    <row r="2449" spans="1:12" x14ac:dyDescent="0.35">
      <c r="A2449" t="s">
        <v>2018</v>
      </c>
      <c r="B2449" s="1">
        <v>45741</v>
      </c>
      <c r="C2449" t="s">
        <v>8027</v>
      </c>
      <c r="F2449" t="s">
        <v>7905</v>
      </c>
      <c r="H2449" t="s">
        <v>2067</v>
      </c>
      <c r="J2449">
        <v>10100</v>
      </c>
      <c r="L2449" t="s">
        <v>5943</v>
      </c>
    </row>
    <row r="2450" spans="1:12" x14ac:dyDescent="0.35">
      <c r="A2450" t="s">
        <v>2018</v>
      </c>
      <c r="B2450" s="1">
        <v>45741</v>
      </c>
      <c r="C2450" t="s">
        <v>8027</v>
      </c>
      <c r="F2450" t="s">
        <v>7908</v>
      </c>
      <c r="H2450" t="s">
        <v>2068</v>
      </c>
      <c r="J2450">
        <v>2020</v>
      </c>
      <c r="L2450" t="s">
        <v>5943</v>
      </c>
    </row>
    <row r="2451" spans="1:12" x14ac:dyDescent="0.35">
      <c r="A2451" t="s">
        <v>2018</v>
      </c>
      <c r="B2451" s="1">
        <v>45741</v>
      </c>
      <c r="C2451" t="s">
        <v>8028</v>
      </c>
      <c r="F2451" t="s">
        <v>7901</v>
      </c>
      <c r="H2451" t="s">
        <v>2192</v>
      </c>
      <c r="K2451">
        <v>12120</v>
      </c>
      <c r="L2451" t="s">
        <v>6803</v>
      </c>
    </row>
    <row r="2452" spans="1:12" x14ac:dyDescent="0.35">
      <c r="A2452" t="s">
        <v>2018</v>
      </c>
      <c r="B2452" s="1">
        <v>45741</v>
      </c>
      <c r="C2452" t="s">
        <v>8028</v>
      </c>
      <c r="F2452" t="s">
        <v>7905</v>
      </c>
      <c r="H2452" t="s">
        <v>2173</v>
      </c>
      <c r="J2452">
        <v>10100</v>
      </c>
      <c r="L2452" t="s">
        <v>5943</v>
      </c>
    </row>
    <row r="2453" spans="1:12" x14ac:dyDescent="0.35">
      <c r="A2453" t="s">
        <v>2018</v>
      </c>
      <c r="B2453" s="1">
        <v>45741</v>
      </c>
      <c r="C2453" t="s">
        <v>8028</v>
      </c>
      <c r="F2453" t="s">
        <v>7908</v>
      </c>
      <c r="H2453" t="s">
        <v>2174</v>
      </c>
      <c r="J2453">
        <v>2020</v>
      </c>
      <c r="L2453" t="s">
        <v>5943</v>
      </c>
    </row>
    <row r="2454" spans="1:12" x14ac:dyDescent="0.35">
      <c r="A2454" t="s">
        <v>2018</v>
      </c>
      <c r="B2454" s="1">
        <v>45741</v>
      </c>
      <c r="C2454" t="s">
        <v>8029</v>
      </c>
      <c r="F2454" t="s">
        <v>7901</v>
      </c>
      <c r="H2454" t="s">
        <v>2193</v>
      </c>
      <c r="K2454">
        <v>12120</v>
      </c>
      <c r="L2454" t="s">
        <v>6803</v>
      </c>
    </row>
    <row r="2455" spans="1:12" x14ac:dyDescent="0.35">
      <c r="A2455" t="s">
        <v>2018</v>
      </c>
      <c r="B2455" s="1">
        <v>45741</v>
      </c>
      <c r="C2455" t="s">
        <v>8029</v>
      </c>
      <c r="F2455" t="s">
        <v>7905</v>
      </c>
      <c r="H2455" t="s">
        <v>2194</v>
      </c>
      <c r="J2455">
        <v>10100</v>
      </c>
      <c r="L2455" t="s">
        <v>5943</v>
      </c>
    </row>
    <row r="2456" spans="1:12" x14ac:dyDescent="0.35">
      <c r="A2456" t="s">
        <v>2018</v>
      </c>
      <c r="B2456" s="1">
        <v>45741</v>
      </c>
      <c r="C2456" t="s">
        <v>8029</v>
      </c>
      <c r="F2456" t="s">
        <v>7908</v>
      </c>
      <c r="H2456" t="s">
        <v>2195</v>
      </c>
      <c r="J2456">
        <v>2020</v>
      </c>
      <c r="L2456" t="s">
        <v>5943</v>
      </c>
    </row>
    <row r="2457" spans="1:12" x14ac:dyDescent="0.35">
      <c r="A2457" t="s">
        <v>2018</v>
      </c>
      <c r="B2457" s="1">
        <v>45741</v>
      </c>
      <c r="C2457" t="s">
        <v>8030</v>
      </c>
      <c r="F2457" t="s">
        <v>7901</v>
      </c>
      <c r="H2457" t="s">
        <v>2196</v>
      </c>
      <c r="K2457">
        <v>12000</v>
      </c>
      <c r="L2457" t="s">
        <v>6803</v>
      </c>
    </row>
    <row r="2458" spans="1:12" x14ac:dyDescent="0.35">
      <c r="A2458" t="s">
        <v>2018</v>
      </c>
      <c r="B2458" s="1">
        <v>45741</v>
      </c>
      <c r="C2458" t="s">
        <v>8030</v>
      </c>
      <c r="F2458" t="s">
        <v>7905</v>
      </c>
      <c r="H2458" t="s">
        <v>2197</v>
      </c>
      <c r="J2458">
        <v>10000</v>
      </c>
      <c r="L2458" t="s">
        <v>5943</v>
      </c>
    </row>
    <row r="2459" spans="1:12" x14ac:dyDescent="0.35">
      <c r="A2459" t="s">
        <v>2018</v>
      </c>
      <c r="B2459" s="1">
        <v>45741</v>
      </c>
      <c r="C2459" t="s">
        <v>8030</v>
      </c>
      <c r="F2459" t="s">
        <v>7934</v>
      </c>
      <c r="H2459" t="s">
        <v>2198</v>
      </c>
      <c r="J2459">
        <v>2000</v>
      </c>
      <c r="L2459" t="s">
        <v>5906</v>
      </c>
    </row>
    <row r="2460" spans="1:12" x14ac:dyDescent="0.35">
      <c r="A2460" t="s">
        <v>2018</v>
      </c>
      <c r="B2460" s="1">
        <v>45741</v>
      </c>
      <c r="C2460" t="s">
        <v>8031</v>
      </c>
      <c r="F2460" t="s">
        <v>7901</v>
      </c>
      <c r="H2460" t="s">
        <v>2199</v>
      </c>
      <c r="K2460">
        <v>14140</v>
      </c>
      <c r="L2460" t="s">
        <v>6803</v>
      </c>
    </row>
    <row r="2461" spans="1:12" x14ac:dyDescent="0.35">
      <c r="A2461" t="s">
        <v>2018</v>
      </c>
      <c r="B2461" s="1">
        <v>45741</v>
      </c>
      <c r="C2461" t="s">
        <v>8031</v>
      </c>
      <c r="F2461" t="s">
        <v>7905</v>
      </c>
      <c r="H2461" t="s">
        <v>2181</v>
      </c>
      <c r="J2461">
        <v>10100</v>
      </c>
      <c r="L2461" t="s">
        <v>5943</v>
      </c>
    </row>
    <row r="2462" spans="1:12" x14ac:dyDescent="0.35">
      <c r="A2462" t="s">
        <v>2018</v>
      </c>
      <c r="B2462" s="1">
        <v>45741</v>
      </c>
      <c r="C2462" t="s">
        <v>8031</v>
      </c>
      <c r="F2462" t="s">
        <v>7908</v>
      </c>
      <c r="H2462" t="s">
        <v>2182</v>
      </c>
      <c r="J2462">
        <v>4040</v>
      </c>
      <c r="L2462" t="s">
        <v>5943</v>
      </c>
    </row>
    <row r="2463" spans="1:12" x14ac:dyDescent="0.35">
      <c r="A2463" t="s">
        <v>2018</v>
      </c>
      <c r="B2463" s="1">
        <v>45742</v>
      </c>
      <c r="C2463" t="s">
        <v>8032</v>
      </c>
      <c r="F2463" t="s">
        <v>7901</v>
      </c>
      <c r="H2463" t="s">
        <v>2200</v>
      </c>
      <c r="K2463">
        <v>10000</v>
      </c>
      <c r="L2463" t="s">
        <v>6803</v>
      </c>
    </row>
    <row r="2464" spans="1:12" x14ac:dyDescent="0.35">
      <c r="A2464" t="s">
        <v>2018</v>
      </c>
      <c r="B2464" s="1">
        <v>45742</v>
      </c>
      <c r="C2464" t="s">
        <v>8032</v>
      </c>
      <c r="F2464" t="s">
        <v>7677</v>
      </c>
      <c r="H2464" t="s">
        <v>2200</v>
      </c>
      <c r="J2464">
        <v>10000</v>
      </c>
      <c r="L2464" t="s">
        <v>5956</v>
      </c>
    </row>
    <row r="2465" spans="1:12" x14ac:dyDescent="0.35">
      <c r="A2465" t="s">
        <v>2018</v>
      </c>
      <c r="B2465" s="1">
        <v>45742</v>
      </c>
      <c r="C2465" t="s">
        <v>8033</v>
      </c>
      <c r="F2465" t="s">
        <v>7901</v>
      </c>
      <c r="H2465" t="s">
        <v>2056</v>
      </c>
      <c r="K2465">
        <v>22000</v>
      </c>
      <c r="L2465" t="s">
        <v>6803</v>
      </c>
    </row>
    <row r="2466" spans="1:12" x14ac:dyDescent="0.35">
      <c r="A2466" t="s">
        <v>2018</v>
      </c>
      <c r="B2466" s="1">
        <v>45742</v>
      </c>
      <c r="C2466" t="s">
        <v>8033</v>
      </c>
      <c r="F2466" t="s">
        <v>7928</v>
      </c>
      <c r="H2466" t="s">
        <v>2056</v>
      </c>
      <c r="J2466">
        <v>22000</v>
      </c>
      <c r="L2466" t="s">
        <v>5906</v>
      </c>
    </row>
    <row r="2467" spans="1:12" x14ac:dyDescent="0.35">
      <c r="A2467" t="s">
        <v>2018</v>
      </c>
      <c r="B2467" s="1">
        <v>45742</v>
      </c>
      <c r="C2467" t="s">
        <v>8034</v>
      </c>
      <c r="F2467" t="s">
        <v>7901</v>
      </c>
      <c r="H2467" t="s">
        <v>2052</v>
      </c>
      <c r="J2467">
        <v>2000000</v>
      </c>
      <c r="L2467" t="s">
        <v>6803</v>
      </c>
    </row>
    <row r="2468" spans="1:12" x14ac:dyDescent="0.35">
      <c r="A2468" t="s">
        <v>2018</v>
      </c>
      <c r="B2468" s="1">
        <v>45742</v>
      </c>
      <c r="C2468" t="s">
        <v>8034</v>
      </c>
      <c r="F2468" t="s">
        <v>7829</v>
      </c>
      <c r="H2468" t="s">
        <v>2052</v>
      </c>
      <c r="K2468">
        <v>2000000</v>
      </c>
      <c r="L2468" t="s">
        <v>6803</v>
      </c>
    </row>
    <row r="2469" spans="1:12" x14ac:dyDescent="0.35">
      <c r="A2469" t="s">
        <v>2018</v>
      </c>
      <c r="B2469" s="1">
        <v>45742</v>
      </c>
      <c r="C2469" t="s">
        <v>8035</v>
      </c>
      <c r="F2469" t="s">
        <v>7901</v>
      </c>
      <c r="H2469" t="s">
        <v>2201</v>
      </c>
      <c r="K2469">
        <v>930000</v>
      </c>
      <c r="L2469" t="s">
        <v>6803</v>
      </c>
    </row>
    <row r="2470" spans="1:12" x14ac:dyDescent="0.35">
      <c r="A2470" t="s">
        <v>2018</v>
      </c>
      <c r="B2470" s="1">
        <v>45742</v>
      </c>
      <c r="C2470" t="s">
        <v>8035</v>
      </c>
      <c r="F2470" t="s">
        <v>7902</v>
      </c>
      <c r="H2470" t="s">
        <v>2202</v>
      </c>
      <c r="J2470">
        <v>400000</v>
      </c>
      <c r="L2470" t="s">
        <v>5943</v>
      </c>
    </row>
    <row r="2471" spans="1:12" x14ac:dyDescent="0.35">
      <c r="A2471" t="s">
        <v>2018</v>
      </c>
      <c r="B2471" s="1">
        <v>45742</v>
      </c>
      <c r="C2471" t="s">
        <v>8035</v>
      </c>
      <c r="F2471" t="s">
        <v>7905</v>
      </c>
      <c r="H2471" t="s">
        <v>2203</v>
      </c>
      <c r="J2471">
        <v>530000</v>
      </c>
      <c r="L2471" t="s">
        <v>5943</v>
      </c>
    </row>
    <row r="2472" spans="1:12" x14ac:dyDescent="0.35">
      <c r="A2472" t="s">
        <v>2018</v>
      </c>
      <c r="B2472" s="1">
        <v>45742</v>
      </c>
      <c r="C2472" t="s">
        <v>8036</v>
      </c>
      <c r="F2472" t="s">
        <v>7901</v>
      </c>
      <c r="H2472" t="s">
        <v>2204</v>
      </c>
      <c r="K2472">
        <v>12120</v>
      </c>
      <c r="L2472" t="s">
        <v>6803</v>
      </c>
    </row>
    <row r="2473" spans="1:12" x14ac:dyDescent="0.35">
      <c r="A2473" t="s">
        <v>2018</v>
      </c>
      <c r="B2473" s="1">
        <v>45742</v>
      </c>
      <c r="C2473" t="s">
        <v>8036</v>
      </c>
      <c r="F2473" t="s">
        <v>7905</v>
      </c>
      <c r="H2473" t="s">
        <v>2067</v>
      </c>
      <c r="J2473">
        <v>10100</v>
      </c>
      <c r="L2473" t="s">
        <v>5943</v>
      </c>
    </row>
    <row r="2474" spans="1:12" x14ac:dyDescent="0.35">
      <c r="A2474" t="s">
        <v>2018</v>
      </c>
      <c r="B2474" s="1">
        <v>45742</v>
      </c>
      <c r="C2474" t="s">
        <v>8036</v>
      </c>
      <c r="F2474" t="s">
        <v>7908</v>
      </c>
      <c r="H2474" t="s">
        <v>2068</v>
      </c>
      <c r="J2474">
        <v>2020</v>
      </c>
      <c r="L2474" t="s">
        <v>5943</v>
      </c>
    </row>
    <row r="2475" spans="1:12" x14ac:dyDescent="0.35">
      <c r="A2475" t="s">
        <v>2018</v>
      </c>
      <c r="B2475" s="1">
        <v>45742</v>
      </c>
      <c r="C2475" t="s">
        <v>8037</v>
      </c>
      <c r="F2475" t="s">
        <v>7901</v>
      </c>
      <c r="H2475" t="s">
        <v>2205</v>
      </c>
      <c r="K2475">
        <v>14140</v>
      </c>
      <c r="L2475" t="s">
        <v>6803</v>
      </c>
    </row>
    <row r="2476" spans="1:12" x14ac:dyDescent="0.35">
      <c r="A2476" t="s">
        <v>2018</v>
      </c>
      <c r="B2476" s="1">
        <v>45742</v>
      </c>
      <c r="C2476" t="s">
        <v>8037</v>
      </c>
      <c r="F2476" t="s">
        <v>7905</v>
      </c>
      <c r="H2476" t="s">
        <v>2136</v>
      </c>
      <c r="J2476">
        <v>10100</v>
      </c>
      <c r="L2476" t="s">
        <v>5943</v>
      </c>
    </row>
    <row r="2477" spans="1:12" x14ac:dyDescent="0.35">
      <c r="A2477" t="s">
        <v>2018</v>
      </c>
      <c r="B2477" s="1">
        <v>45742</v>
      </c>
      <c r="C2477" t="s">
        <v>8037</v>
      </c>
      <c r="F2477" t="s">
        <v>7908</v>
      </c>
      <c r="H2477" t="s">
        <v>2121</v>
      </c>
      <c r="J2477">
        <v>4040</v>
      </c>
      <c r="L2477" t="s">
        <v>5943</v>
      </c>
    </row>
    <row r="2478" spans="1:12" x14ac:dyDescent="0.35">
      <c r="A2478" t="s">
        <v>2018</v>
      </c>
      <c r="B2478" s="1">
        <v>45742</v>
      </c>
      <c r="C2478" t="s">
        <v>8038</v>
      </c>
      <c r="F2478" t="s">
        <v>7901</v>
      </c>
      <c r="H2478" t="s">
        <v>2188</v>
      </c>
      <c r="K2478">
        <v>12120</v>
      </c>
      <c r="L2478" t="s">
        <v>6803</v>
      </c>
    </row>
    <row r="2479" spans="1:12" x14ac:dyDescent="0.35">
      <c r="A2479" t="s">
        <v>2018</v>
      </c>
      <c r="B2479" s="1">
        <v>45742</v>
      </c>
      <c r="C2479" t="s">
        <v>8038</v>
      </c>
      <c r="F2479" t="s">
        <v>7905</v>
      </c>
      <c r="H2479" t="s">
        <v>2189</v>
      </c>
      <c r="J2479">
        <v>10100</v>
      </c>
      <c r="L2479" t="s">
        <v>5943</v>
      </c>
    </row>
    <row r="2480" spans="1:12" x14ac:dyDescent="0.35">
      <c r="A2480" t="s">
        <v>2018</v>
      </c>
      <c r="B2480" s="1">
        <v>45742</v>
      </c>
      <c r="C2480" t="s">
        <v>8038</v>
      </c>
      <c r="F2480" t="s">
        <v>7908</v>
      </c>
      <c r="H2480" t="s">
        <v>2190</v>
      </c>
      <c r="J2480">
        <v>2020</v>
      </c>
      <c r="L2480" t="s">
        <v>5943</v>
      </c>
    </row>
    <row r="2481" spans="1:12" x14ac:dyDescent="0.35">
      <c r="A2481" t="s">
        <v>2018</v>
      </c>
      <c r="B2481" s="1">
        <v>45743</v>
      </c>
      <c r="C2481" t="s">
        <v>8039</v>
      </c>
      <c r="F2481" t="s">
        <v>7901</v>
      </c>
      <c r="H2481" t="s">
        <v>2206</v>
      </c>
      <c r="K2481">
        <v>3030</v>
      </c>
      <c r="L2481" t="s">
        <v>6803</v>
      </c>
    </row>
    <row r="2482" spans="1:12" x14ac:dyDescent="0.35">
      <c r="A2482" t="s">
        <v>2018</v>
      </c>
      <c r="B2482" s="1">
        <v>45743</v>
      </c>
      <c r="C2482" t="s">
        <v>8039</v>
      </c>
      <c r="F2482" t="s">
        <v>7928</v>
      </c>
      <c r="H2482" t="s">
        <v>2206</v>
      </c>
      <c r="J2482">
        <v>3030</v>
      </c>
      <c r="L2482" t="s">
        <v>5906</v>
      </c>
    </row>
    <row r="2483" spans="1:12" x14ac:dyDescent="0.35">
      <c r="A2483" t="s">
        <v>2018</v>
      </c>
      <c r="B2483" s="1">
        <v>45743</v>
      </c>
      <c r="C2483" t="s">
        <v>8040</v>
      </c>
      <c r="F2483" t="s">
        <v>7901</v>
      </c>
      <c r="H2483" t="s">
        <v>2207</v>
      </c>
      <c r="K2483">
        <v>3030</v>
      </c>
      <c r="L2483" t="s">
        <v>6803</v>
      </c>
    </row>
    <row r="2484" spans="1:12" x14ac:dyDescent="0.35">
      <c r="A2484" t="s">
        <v>2018</v>
      </c>
      <c r="B2484" s="1">
        <v>45743</v>
      </c>
      <c r="C2484" t="s">
        <v>8040</v>
      </c>
      <c r="F2484" t="s">
        <v>7928</v>
      </c>
      <c r="H2484" t="s">
        <v>2207</v>
      </c>
      <c r="J2484">
        <v>3030</v>
      </c>
      <c r="L2484" t="s">
        <v>5906</v>
      </c>
    </row>
    <row r="2485" spans="1:12" x14ac:dyDescent="0.35">
      <c r="A2485" t="s">
        <v>2018</v>
      </c>
      <c r="B2485" s="1">
        <v>45743</v>
      </c>
      <c r="C2485" t="s">
        <v>8041</v>
      </c>
      <c r="F2485" t="s">
        <v>7901</v>
      </c>
      <c r="H2485" t="s">
        <v>2208</v>
      </c>
      <c r="K2485">
        <v>3030</v>
      </c>
      <c r="L2485" t="s">
        <v>6803</v>
      </c>
    </row>
    <row r="2486" spans="1:12" x14ac:dyDescent="0.35">
      <c r="A2486" t="s">
        <v>2018</v>
      </c>
      <c r="B2486" s="1">
        <v>45743</v>
      </c>
      <c r="C2486" t="s">
        <v>8041</v>
      </c>
      <c r="F2486" t="s">
        <v>7928</v>
      </c>
      <c r="H2486" t="s">
        <v>2208</v>
      </c>
      <c r="J2486">
        <v>3030</v>
      </c>
      <c r="L2486" t="s">
        <v>5906</v>
      </c>
    </row>
    <row r="2487" spans="1:12" x14ac:dyDescent="0.35">
      <c r="A2487" t="s">
        <v>2018</v>
      </c>
      <c r="B2487" s="1">
        <v>45743</v>
      </c>
      <c r="C2487" t="s">
        <v>8042</v>
      </c>
      <c r="F2487" t="s">
        <v>7901</v>
      </c>
      <c r="H2487" t="s">
        <v>2209</v>
      </c>
      <c r="K2487">
        <v>3030</v>
      </c>
      <c r="L2487" t="s">
        <v>6803</v>
      </c>
    </row>
    <row r="2488" spans="1:12" x14ac:dyDescent="0.35">
      <c r="A2488" t="s">
        <v>2018</v>
      </c>
      <c r="B2488" s="1">
        <v>45743</v>
      </c>
      <c r="C2488" t="s">
        <v>8042</v>
      </c>
      <c r="F2488" t="s">
        <v>7928</v>
      </c>
      <c r="H2488" t="s">
        <v>2209</v>
      </c>
      <c r="J2488">
        <v>3030</v>
      </c>
      <c r="L2488" t="s">
        <v>5906</v>
      </c>
    </row>
    <row r="2489" spans="1:12" x14ac:dyDescent="0.35">
      <c r="A2489" t="s">
        <v>2018</v>
      </c>
      <c r="B2489" s="1">
        <v>45743</v>
      </c>
      <c r="C2489" t="s">
        <v>8043</v>
      </c>
      <c r="F2489" t="s">
        <v>7901</v>
      </c>
      <c r="H2489" t="s">
        <v>2210</v>
      </c>
      <c r="K2489">
        <v>5000</v>
      </c>
      <c r="L2489" t="s">
        <v>6803</v>
      </c>
    </row>
    <row r="2490" spans="1:12" x14ac:dyDescent="0.35">
      <c r="A2490" t="s">
        <v>2018</v>
      </c>
      <c r="B2490" s="1">
        <v>45743</v>
      </c>
      <c r="C2490" t="s">
        <v>8043</v>
      </c>
      <c r="F2490" t="s">
        <v>7928</v>
      </c>
      <c r="H2490" t="s">
        <v>2210</v>
      </c>
      <c r="J2490">
        <v>5000</v>
      </c>
      <c r="L2490" t="s">
        <v>5906</v>
      </c>
    </row>
    <row r="2491" spans="1:12" x14ac:dyDescent="0.35">
      <c r="A2491" t="s">
        <v>2018</v>
      </c>
      <c r="B2491" s="1">
        <v>45743</v>
      </c>
      <c r="C2491" t="s">
        <v>8044</v>
      </c>
      <c r="F2491" t="s">
        <v>7901</v>
      </c>
      <c r="H2491" t="s">
        <v>2211</v>
      </c>
      <c r="K2491">
        <v>10000</v>
      </c>
      <c r="L2491" t="s">
        <v>6803</v>
      </c>
    </row>
    <row r="2492" spans="1:12" x14ac:dyDescent="0.35">
      <c r="A2492" t="s">
        <v>2018</v>
      </c>
      <c r="B2492" s="1">
        <v>45743</v>
      </c>
      <c r="C2492" t="s">
        <v>8044</v>
      </c>
      <c r="F2492" t="s">
        <v>7905</v>
      </c>
      <c r="H2492" t="s">
        <v>2211</v>
      </c>
      <c r="J2492">
        <v>10000</v>
      </c>
      <c r="L2492" t="s">
        <v>5943</v>
      </c>
    </row>
    <row r="2493" spans="1:12" x14ac:dyDescent="0.35">
      <c r="A2493" t="s">
        <v>2018</v>
      </c>
      <c r="B2493" s="1">
        <v>45744</v>
      </c>
      <c r="C2493" t="s">
        <v>8045</v>
      </c>
      <c r="F2493" t="s">
        <v>7901</v>
      </c>
      <c r="H2493" t="s">
        <v>2212</v>
      </c>
      <c r="K2493">
        <v>10100</v>
      </c>
      <c r="L2493" t="s">
        <v>6803</v>
      </c>
    </row>
    <row r="2494" spans="1:12" x14ac:dyDescent="0.35">
      <c r="A2494" t="s">
        <v>2018</v>
      </c>
      <c r="B2494" s="1">
        <v>45744</v>
      </c>
      <c r="C2494" t="s">
        <v>8045</v>
      </c>
      <c r="F2494" t="s">
        <v>7905</v>
      </c>
      <c r="H2494" t="s">
        <v>2212</v>
      </c>
      <c r="J2494">
        <v>10100</v>
      </c>
      <c r="L2494" t="s">
        <v>5943</v>
      </c>
    </row>
    <row r="2495" spans="1:12" x14ac:dyDescent="0.35">
      <c r="A2495" t="s">
        <v>2018</v>
      </c>
      <c r="B2495" s="1">
        <v>45744</v>
      </c>
      <c r="C2495" t="s">
        <v>8046</v>
      </c>
      <c r="F2495" t="s">
        <v>7901</v>
      </c>
      <c r="H2495" t="s">
        <v>2213</v>
      </c>
      <c r="K2495">
        <v>40000</v>
      </c>
      <c r="L2495" t="s">
        <v>6803</v>
      </c>
    </row>
    <row r="2496" spans="1:12" x14ac:dyDescent="0.35">
      <c r="A2496" t="s">
        <v>2018</v>
      </c>
      <c r="B2496" s="1">
        <v>45744</v>
      </c>
      <c r="C2496" t="s">
        <v>8046</v>
      </c>
      <c r="F2496" t="s">
        <v>7905</v>
      </c>
      <c r="H2496" t="s">
        <v>2213</v>
      </c>
      <c r="J2496">
        <v>40000</v>
      </c>
      <c r="L2496" t="s">
        <v>5943</v>
      </c>
    </row>
    <row r="2497" spans="1:12" x14ac:dyDescent="0.35">
      <c r="A2497" t="s">
        <v>2018</v>
      </c>
      <c r="B2497" s="1">
        <v>45744</v>
      </c>
      <c r="C2497" t="s">
        <v>8047</v>
      </c>
      <c r="F2497" t="s">
        <v>7901</v>
      </c>
      <c r="H2497" t="s">
        <v>2054</v>
      </c>
      <c r="K2497">
        <v>50000</v>
      </c>
      <c r="L2497" t="s">
        <v>6803</v>
      </c>
    </row>
    <row r="2498" spans="1:12" x14ac:dyDescent="0.35">
      <c r="A2498" t="s">
        <v>2018</v>
      </c>
      <c r="B2498" s="1">
        <v>45744</v>
      </c>
      <c r="C2498" t="s">
        <v>8047</v>
      </c>
      <c r="F2498" t="s">
        <v>7858</v>
      </c>
      <c r="H2498" t="s">
        <v>2054</v>
      </c>
      <c r="J2498">
        <v>50000</v>
      </c>
      <c r="L2498" t="s">
        <v>5943</v>
      </c>
    </row>
    <row r="2499" spans="1:12" x14ac:dyDescent="0.35">
      <c r="A2499" t="s">
        <v>2018</v>
      </c>
      <c r="B2499" s="1">
        <v>45745</v>
      </c>
      <c r="C2499" t="s">
        <v>6876</v>
      </c>
      <c r="F2499" t="s">
        <v>7901</v>
      </c>
      <c r="H2499" t="s">
        <v>2214</v>
      </c>
      <c r="K2499">
        <v>280000</v>
      </c>
      <c r="L2499" t="s">
        <v>6803</v>
      </c>
    </row>
    <row r="2500" spans="1:12" x14ac:dyDescent="0.35">
      <c r="A2500" t="s">
        <v>2018</v>
      </c>
      <c r="B2500" s="1">
        <v>45745</v>
      </c>
      <c r="C2500" t="s">
        <v>6876</v>
      </c>
      <c r="F2500" t="s">
        <v>7905</v>
      </c>
      <c r="H2500" t="s">
        <v>2214</v>
      </c>
      <c r="J2500">
        <v>280000</v>
      </c>
      <c r="L2500" t="s">
        <v>5943</v>
      </c>
    </row>
    <row r="2501" spans="1:12" x14ac:dyDescent="0.35">
      <c r="A2501" t="s">
        <v>2018</v>
      </c>
      <c r="B2501" s="1">
        <v>45745</v>
      </c>
      <c r="C2501" t="s">
        <v>6807</v>
      </c>
      <c r="F2501" t="s">
        <v>7901</v>
      </c>
      <c r="H2501" t="s">
        <v>2052</v>
      </c>
      <c r="J2501">
        <v>1000000</v>
      </c>
      <c r="L2501" t="s">
        <v>6803</v>
      </c>
    </row>
    <row r="2502" spans="1:12" x14ac:dyDescent="0.35">
      <c r="A2502" t="s">
        <v>2018</v>
      </c>
      <c r="B2502" s="1">
        <v>45745</v>
      </c>
      <c r="C2502" t="s">
        <v>6807</v>
      </c>
      <c r="F2502" t="s">
        <v>7829</v>
      </c>
      <c r="H2502" t="s">
        <v>2052</v>
      </c>
      <c r="K2502">
        <v>1000000</v>
      </c>
      <c r="L2502" t="s">
        <v>6803</v>
      </c>
    </row>
    <row r="2503" spans="1:12" x14ac:dyDescent="0.35">
      <c r="A2503" t="s">
        <v>2018</v>
      </c>
      <c r="B2503" s="1">
        <v>45745</v>
      </c>
      <c r="C2503" t="s">
        <v>6810</v>
      </c>
      <c r="F2503" t="s">
        <v>7901</v>
      </c>
      <c r="H2503" t="s">
        <v>2215</v>
      </c>
      <c r="K2503">
        <v>939300</v>
      </c>
      <c r="L2503" t="s">
        <v>6803</v>
      </c>
    </row>
    <row r="2504" spans="1:12" x14ac:dyDescent="0.35">
      <c r="A2504" t="s">
        <v>2018</v>
      </c>
      <c r="B2504" s="1">
        <v>45745</v>
      </c>
      <c r="C2504" t="s">
        <v>6810</v>
      </c>
      <c r="F2504" t="s">
        <v>7902</v>
      </c>
      <c r="H2504" t="s">
        <v>2216</v>
      </c>
      <c r="J2504">
        <v>404000</v>
      </c>
      <c r="L2504" t="s">
        <v>5943</v>
      </c>
    </row>
    <row r="2505" spans="1:12" x14ac:dyDescent="0.35">
      <c r="A2505" t="s">
        <v>2018</v>
      </c>
      <c r="B2505" s="1">
        <v>45745</v>
      </c>
      <c r="C2505" t="s">
        <v>6810</v>
      </c>
      <c r="F2505" t="s">
        <v>7905</v>
      </c>
      <c r="H2505" t="s">
        <v>2217</v>
      </c>
      <c r="J2505">
        <v>535300</v>
      </c>
      <c r="L2505" t="s">
        <v>5943</v>
      </c>
    </row>
    <row r="2506" spans="1:12" x14ac:dyDescent="0.35">
      <c r="A2506" t="s">
        <v>2018</v>
      </c>
      <c r="B2506" s="1">
        <v>45745</v>
      </c>
      <c r="C2506" t="s">
        <v>6812</v>
      </c>
      <c r="F2506" t="s">
        <v>7901</v>
      </c>
      <c r="H2506" t="s">
        <v>2056</v>
      </c>
      <c r="K2506">
        <v>50000</v>
      </c>
      <c r="L2506" t="s">
        <v>6803</v>
      </c>
    </row>
    <row r="2507" spans="1:12" x14ac:dyDescent="0.35">
      <c r="A2507" t="s">
        <v>2018</v>
      </c>
      <c r="B2507" s="1">
        <v>45745</v>
      </c>
      <c r="C2507" t="s">
        <v>6812</v>
      </c>
      <c r="F2507" t="s">
        <v>7928</v>
      </c>
      <c r="H2507" t="s">
        <v>2056</v>
      </c>
      <c r="J2507">
        <v>50000</v>
      </c>
      <c r="L2507" t="s">
        <v>5906</v>
      </c>
    </row>
    <row r="2508" spans="1:12" x14ac:dyDescent="0.35">
      <c r="A2508" t="s">
        <v>2018</v>
      </c>
      <c r="B2508" s="1">
        <v>45745</v>
      </c>
      <c r="C2508" t="s">
        <v>6815</v>
      </c>
      <c r="F2508" t="s">
        <v>7901</v>
      </c>
      <c r="H2508" t="s">
        <v>2218</v>
      </c>
      <c r="K2508">
        <v>167500</v>
      </c>
      <c r="L2508" t="s">
        <v>6803</v>
      </c>
    </row>
    <row r="2509" spans="1:12" x14ac:dyDescent="0.35">
      <c r="A2509" t="s">
        <v>2018</v>
      </c>
      <c r="B2509" s="1">
        <v>45745</v>
      </c>
      <c r="C2509" t="s">
        <v>6815</v>
      </c>
      <c r="F2509" t="s">
        <v>6820</v>
      </c>
      <c r="H2509" t="s">
        <v>2218</v>
      </c>
      <c r="J2509">
        <v>167500</v>
      </c>
      <c r="L2509" t="s">
        <v>5955</v>
      </c>
    </row>
    <row r="2510" spans="1:12" x14ac:dyDescent="0.35">
      <c r="A2510" t="s">
        <v>2219</v>
      </c>
      <c r="B2510" s="1">
        <v>45717</v>
      </c>
      <c r="C2510" t="s">
        <v>7964</v>
      </c>
      <c r="F2510" t="s">
        <v>8048</v>
      </c>
      <c r="H2510" t="s">
        <v>2220</v>
      </c>
      <c r="K2510">
        <v>5000</v>
      </c>
      <c r="L2510" t="s">
        <v>6803</v>
      </c>
    </row>
    <row r="2511" spans="1:12" x14ac:dyDescent="0.35">
      <c r="A2511" t="s">
        <v>2219</v>
      </c>
      <c r="B2511" s="1">
        <v>45717</v>
      </c>
      <c r="C2511" t="s">
        <v>7964</v>
      </c>
      <c r="F2511" t="s">
        <v>7905</v>
      </c>
      <c r="H2511" t="s">
        <v>2220</v>
      </c>
      <c r="J2511">
        <v>5000</v>
      </c>
      <c r="L2511" t="s">
        <v>5957</v>
      </c>
    </row>
    <row r="2512" spans="1:12" x14ac:dyDescent="0.35">
      <c r="A2512" t="s">
        <v>2219</v>
      </c>
      <c r="B2512" s="1">
        <v>45717</v>
      </c>
      <c r="C2512" t="s">
        <v>7965</v>
      </c>
      <c r="F2512" t="s">
        <v>8048</v>
      </c>
      <c r="H2512" t="s">
        <v>2221</v>
      </c>
      <c r="K2512">
        <v>8000</v>
      </c>
      <c r="L2512" t="s">
        <v>6803</v>
      </c>
    </row>
    <row r="2513" spans="1:12" x14ac:dyDescent="0.35">
      <c r="A2513" t="s">
        <v>2219</v>
      </c>
      <c r="B2513" s="1">
        <v>45717</v>
      </c>
      <c r="C2513" t="s">
        <v>7965</v>
      </c>
      <c r="F2513" t="s">
        <v>7928</v>
      </c>
      <c r="H2513" t="s">
        <v>2221</v>
      </c>
      <c r="J2513">
        <v>8000</v>
      </c>
      <c r="L2513" t="s">
        <v>5883</v>
      </c>
    </row>
    <row r="2514" spans="1:12" x14ac:dyDescent="0.35">
      <c r="A2514" t="s">
        <v>2219</v>
      </c>
      <c r="B2514" s="1">
        <v>45717</v>
      </c>
      <c r="C2514" t="s">
        <v>7966</v>
      </c>
      <c r="F2514" t="s">
        <v>8048</v>
      </c>
      <c r="H2514" t="s">
        <v>2222</v>
      </c>
      <c r="K2514">
        <v>19000</v>
      </c>
      <c r="L2514" t="s">
        <v>6803</v>
      </c>
    </row>
    <row r="2515" spans="1:12" x14ac:dyDescent="0.35">
      <c r="A2515" t="s">
        <v>2219</v>
      </c>
      <c r="B2515" s="1">
        <v>45717</v>
      </c>
      <c r="C2515" t="s">
        <v>7966</v>
      </c>
      <c r="F2515" t="s">
        <v>7908</v>
      </c>
      <c r="H2515" t="s">
        <v>2222</v>
      </c>
      <c r="J2515">
        <v>19000</v>
      </c>
      <c r="L2515" t="s">
        <v>5957</v>
      </c>
    </row>
    <row r="2516" spans="1:12" x14ac:dyDescent="0.35">
      <c r="A2516" t="s">
        <v>2219</v>
      </c>
      <c r="B2516" s="1">
        <v>45717</v>
      </c>
      <c r="C2516" t="s">
        <v>7967</v>
      </c>
      <c r="F2516" t="s">
        <v>8048</v>
      </c>
      <c r="H2516" t="s">
        <v>2223</v>
      </c>
      <c r="K2516">
        <v>19000</v>
      </c>
      <c r="L2516" t="s">
        <v>6803</v>
      </c>
    </row>
    <row r="2517" spans="1:12" x14ac:dyDescent="0.35">
      <c r="A2517" t="s">
        <v>2219</v>
      </c>
      <c r="B2517" s="1">
        <v>45717</v>
      </c>
      <c r="C2517" t="s">
        <v>7967</v>
      </c>
      <c r="F2517" t="s">
        <v>7908</v>
      </c>
      <c r="H2517" t="s">
        <v>2223</v>
      </c>
      <c r="J2517">
        <v>19000</v>
      </c>
      <c r="L2517" t="s">
        <v>5957</v>
      </c>
    </row>
    <row r="2518" spans="1:12" x14ac:dyDescent="0.35">
      <c r="A2518" t="s">
        <v>2219</v>
      </c>
      <c r="B2518" s="1">
        <v>45717</v>
      </c>
      <c r="C2518" t="s">
        <v>7968</v>
      </c>
      <c r="F2518" t="s">
        <v>8048</v>
      </c>
      <c r="H2518" t="s">
        <v>2224</v>
      </c>
      <c r="K2518">
        <v>14000</v>
      </c>
      <c r="L2518" t="s">
        <v>6803</v>
      </c>
    </row>
    <row r="2519" spans="1:12" x14ac:dyDescent="0.35">
      <c r="A2519" t="s">
        <v>2219</v>
      </c>
      <c r="B2519" s="1">
        <v>45717</v>
      </c>
      <c r="C2519" t="s">
        <v>7968</v>
      </c>
      <c r="F2519" t="s">
        <v>7908</v>
      </c>
      <c r="H2519" t="s">
        <v>2224</v>
      </c>
      <c r="J2519">
        <v>14000</v>
      </c>
      <c r="L2519" t="s">
        <v>5957</v>
      </c>
    </row>
    <row r="2520" spans="1:12" x14ac:dyDescent="0.35">
      <c r="A2520" t="s">
        <v>2219</v>
      </c>
      <c r="B2520" s="1">
        <v>45717</v>
      </c>
      <c r="C2520" t="s">
        <v>7969</v>
      </c>
      <c r="F2520" t="s">
        <v>8048</v>
      </c>
      <c r="H2520" t="s">
        <v>2225</v>
      </c>
      <c r="K2520">
        <v>12000</v>
      </c>
      <c r="L2520" t="s">
        <v>6803</v>
      </c>
    </row>
    <row r="2521" spans="1:12" x14ac:dyDescent="0.35">
      <c r="A2521" t="s">
        <v>2219</v>
      </c>
      <c r="B2521" s="1">
        <v>45717</v>
      </c>
      <c r="C2521" t="s">
        <v>7969</v>
      </c>
      <c r="F2521" t="s">
        <v>7908</v>
      </c>
      <c r="H2521" t="s">
        <v>2225</v>
      </c>
      <c r="J2521">
        <v>12000</v>
      </c>
      <c r="L2521" t="s">
        <v>5957</v>
      </c>
    </row>
    <row r="2522" spans="1:12" x14ac:dyDescent="0.35">
      <c r="A2522" t="s">
        <v>2219</v>
      </c>
      <c r="B2522" s="1">
        <v>45717</v>
      </c>
      <c r="C2522" t="s">
        <v>7970</v>
      </c>
      <c r="F2522" t="s">
        <v>8048</v>
      </c>
      <c r="H2522" t="s">
        <v>2226</v>
      </c>
      <c r="K2522">
        <v>12000</v>
      </c>
      <c r="L2522" t="s">
        <v>6803</v>
      </c>
    </row>
    <row r="2523" spans="1:12" x14ac:dyDescent="0.35">
      <c r="A2523" t="s">
        <v>2219</v>
      </c>
      <c r="B2523" s="1">
        <v>45717</v>
      </c>
      <c r="C2523" t="s">
        <v>7970</v>
      </c>
      <c r="F2523" t="s">
        <v>7908</v>
      </c>
      <c r="H2523" t="s">
        <v>2226</v>
      </c>
      <c r="J2523">
        <v>12000</v>
      </c>
      <c r="L2523" t="s">
        <v>5957</v>
      </c>
    </row>
    <row r="2524" spans="1:12" x14ac:dyDescent="0.35">
      <c r="A2524" t="s">
        <v>2219</v>
      </c>
      <c r="B2524" s="1">
        <v>45719</v>
      </c>
      <c r="C2524" t="s">
        <v>7971</v>
      </c>
      <c r="F2524" t="s">
        <v>8048</v>
      </c>
      <c r="H2524" t="s">
        <v>2227</v>
      </c>
      <c r="K2524">
        <v>7500</v>
      </c>
      <c r="L2524" t="s">
        <v>6803</v>
      </c>
    </row>
    <row r="2525" spans="1:12" x14ac:dyDescent="0.35">
      <c r="A2525" t="s">
        <v>2219</v>
      </c>
      <c r="B2525" s="1">
        <v>45719</v>
      </c>
      <c r="C2525" t="s">
        <v>7971</v>
      </c>
      <c r="F2525" t="s">
        <v>7858</v>
      </c>
      <c r="H2525" t="s">
        <v>2227</v>
      </c>
      <c r="J2525">
        <v>7500</v>
      </c>
      <c r="L2525" t="s">
        <v>5957</v>
      </c>
    </row>
    <row r="2526" spans="1:12" x14ac:dyDescent="0.35">
      <c r="A2526" t="s">
        <v>2219</v>
      </c>
      <c r="B2526" s="1">
        <v>45719</v>
      </c>
      <c r="C2526" t="s">
        <v>7972</v>
      </c>
      <c r="F2526" t="s">
        <v>8048</v>
      </c>
      <c r="H2526" t="s">
        <v>2228</v>
      </c>
      <c r="K2526">
        <v>5000</v>
      </c>
      <c r="L2526" t="s">
        <v>6803</v>
      </c>
    </row>
    <row r="2527" spans="1:12" x14ac:dyDescent="0.35">
      <c r="A2527" t="s">
        <v>2219</v>
      </c>
      <c r="B2527" s="1">
        <v>45719</v>
      </c>
      <c r="C2527" t="s">
        <v>7972</v>
      </c>
      <c r="F2527" t="s">
        <v>7905</v>
      </c>
      <c r="H2527" t="s">
        <v>2228</v>
      </c>
      <c r="J2527">
        <v>5000</v>
      </c>
      <c r="L2527" t="s">
        <v>5957</v>
      </c>
    </row>
    <row r="2528" spans="1:12" x14ac:dyDescent="0.35">
      <c r="A2528" t="s">
        <v>2219</v>
      </c>
      <c r="B2528" s="1">
        <v>45719</v>
      </c>
      <c r="C2528" t="s">
        <v>7973</v>
      </c>
      <c r="F2528" t="s">
        <v>8048</v>
      </c>
      <c r="H2528" t="s">
        <v>2229</v>
      </c>
      <c r="K2528">
        <v>10000</v>
      </c>
      <c r="L2528" t="s">
        <v>6803</v>
      </c>
    </row>
    <row r="2529" spans="1:12" x14ac:dyDescent="0.35">
      <c r="A2529" t="s">
        <v>2219</v>
      </c>
      <c r="B2529" s="1">
        <v>45719</v>
      </c>
      <c r="C2529" t="s">
        <v>7973</v>
      </c>
      <c r="F2529" t="s">
        <v>7905</v>
      </c>
      <c r="H2529" t="s">
        <v>2229</v>
      </c>
      <c r="J2529">
        <v>10000</v>
      </c>
      <c r="L2529" t="s">
        <v>5957</v>
      </c>
    </row>
    <row r="2530" spans="1:12" x14ac:dyDescent="0.35">
      <c r="A2530" t="s">
        <v>2219</v>
      </c>
      <c r="B2530" s="1">
        <v>45719</v>
      </c>
      <c r="C2530" t="s">
        <v>7974</v>
      </c>
      <c r="F2530" t="s">
        <v>8048</v>
      </c>
      <c r="H2530" t="s">
        <v>2224</v>
      </c>
      <c r="K2530">
        <v>12000</v>
      </c>
      <c r="L2530" t="s">
        <v>6803</v>
      </c>
    </row>
    <row r="2531" spans="1:12" x14ac:dyDescent="0.35">
      <c r="A2531" t="s">
        <v>2219</v>
      </c>
      <c r="B2531" s="1">
        <v>45719</v>
      </c>
      <c r="C2531" t="s">
        <v>7974</v>
      </c>
      <c r="F2531" t="s">
        <v>7908</v>
      </c>
      <c r="H2531" t="s">
        <v>2224</v>
      </c>
      <c r="J2531">
        <v>12000</v>
      </c>
      <c r="L2531" t="s">
        <v>5957</v>
      </c>
    </row>
    <row r="2532" spans="1:12" x14ac:dyDescent="0.35">
      <c r="A2532" t="s">
        <v>2219</v>
      </c>
      <c r="B2532" s="1">
        <v>45719</v>
      </c>
      <c r="C2532" t="s">
        <v>7975</v>
      </c>
      <c r="F2532" t="s">
        <v>8048</v>
      </c>
      <c r="H2532" t="s">
        <v>2225</v>
      </c>
      <c r="K2532">
        <v>19000</v>
      </c>
      <c r="L2532" t="s">
        <v>6803</v>
      </c>
    </row>
    <row r="2533" spans="1:12" x14ac:dyDescent="0.35">
      <c r="A2533" t="s">
        <v>2219</v>
      </c>
      <c r="B2533" s="1">
        <v>45719</v>
      </c>
      <c r="C2533" t="s">
        <v>7975</v>
      </c>
      <c r="F2533" t="s">
        <v>7908</v>
      </c>
      <c r="H2533" t="s">
        <v>2225</v>
      </c>
      <c r="J2533">
        <v>19000</v>
      </c>
      <c r="L2533" t="s">
        <v>5957</v>
      </c>
    </row>
    <row r="2534" spans="1:12" x14ac:dyDescent="0.35">
      <c r="A2534" t="s">
        <v>2219</v>
      </c>
      <c r="B2534" s="1">
        <v>45719</v>
      </c>
      <c r="C2534" t="s">
        <v>7976</v>
      </c>
      <c r="F2534" t="s">
        <v>8048</v>
      </c>
      <c r="H2534" t="s">
        <v>2230</v>
      </c>
      <c r="K2534">
        <v>14000</v>
      </c>
      <c r="L2534" t="s">
        <v>6803</v>
      </c>
    </row>
    <row r="2535" spans="1:12" x14ac:dyDescent="0.35">
      <c r="A2535" t="s">
        <v>2219</v>
      </c>
      <c r="B2535" s="1">
        <v>45719</v>
      </c>
      <c r="C2535" t="s">
        <v>7976</v>
      </c>
      <c r="F2535" t="s">
        <v>7908</v>
      </c>
      <c r="H2535" t="s">
        <v>2230</v>
      </c>
      <c r="J2535">
        <v>14000</v>
      </c>
      <c r="L2535" t="s">
        <v>5957</v>
      </c>
    </row>
    <row r="2536" spans="1:12" x14ac:dyDescent="0.35">
      <c r="A2536" t="s">
        <v>2219</v>
      </c>
      <c r="B2536" s="1">
        <v>45719</v>
      </c>
      <c r="C2536" t="s">
        <v>7977</v>
      </c>
      <c r="F2536" t="s">
        <v>8048</v>
      </c>
      <c r="H2536" t="s">
        <v>2231</v>
      </c>
      <c r="K2536">
        <v>19000</v>
      </c>
      <c r="L2536" t="s">
        <v>6803</v>
      </c>
    </row>
    <row r="2537" spans="1:12" x14ac:dyDescent="0.35">
      <c r="A2537" t="s">
        <v>2219</v>
      </c>
      <c r="B2537" s="1">
        <v>45719</v>
      </c>
      <c r="C2537" t="s">
        <v>7977</v>
      </c>
      <c r="F2537" t="s">
        <v>7908</v>
      </c>
      <c r="H2537" t="s">
        <v>2231</v>
      </c>
      <c r="J2537">
        <v>19000</v>
      </c>
      <c r="L2537" t="s">
        <v>5957</v>
      </c>
    </row>
    <row r="2538" spans="1:12" x14ac:dyDescent="0.35">
      <c r="A2538" t="s">
        <v>2219</v>
      </c>
      <c r="B2538" s="1">
        <v>45719</v>
      </c>
      <c r="C2538" t="s">
        <v>7978</v>
      </c>
      <c r="F2538" t="s">
        <v>8048</v>
      </c>
      <c r="H2538" t="s">
        <v>2232</v>
      </c>
      <c r="K2538">
        <v>10000</v>
      </c>
      <c r="L2538" t="s">
        <v>6803</v>
      </c>
    </row>
    <row r="2539" spans="1:12" x14ac:dyDescent="0.35">
      <c r="A2539" t="s">
        <v>2219</v>
      </c>
      <c r="B2539" s="1">
        <v>45719</v>
      </c>
      <c r="C2539" t="s">
        <v>7978</v>
      </c>
      <c r="F2539" t="s">
        <v>7908</v>
      </c>
      <c r="H2539" t="s">
        <v>2232</v>
      </c>
      <c r="J2539">
        <v>10000</v>
      </c>
      <c r="L2539" t="s">
        <v>5957</v>
      </c>
    </row>
    <row r="2540" spans="1:12" x14ac:dyDescent="0.35">
      <c r="A2540" t="s">
        <v>2219</v>
      </c>
      <c r="B2540" s="1">
        <v>45720</v>
      </c>
      <c r="C2540" t="s">
        <v>7979</v>
      </c>
      <c r="F2540" t="s">
        <v>8048</v>
      </c>
      <c r="H2540" t="s">
        <v>2233</v>
      </c>
      <c r="K2540">
        <v>141495</v>
      </c>
      <c r="L2540" t="s">
        <v>6803</v>
      </c>
    </row>
    <row r="2541" spans="1:12" x14ac:dyDescent="0.35">
      <c r="A2541" t="s">
        <v>2219</v>
      </c>
      <c r="B2541" s="1">
        <v>45720</v>
      </c>
      <c r="C2541" t="s">
        <v>7979</v>
      </c>
      <c r="F2541" t="s">
        <v>7606</v>
      </c>
      <c r="H2541" t="s">
        <v>2233</v>
      </c>
      <c r="J2541">
        <v>141495</v>
      </c>
      <c r="L2541" t="s">
        <v>5883</v>
      </c>
    </row>
    <row r="2542" spans="1:12" x14ac:dyDescent="0.35">
      <c r="A2542" t="s">
        <v>2219</v>
      </c>
      <c r="B2542" s="1">
        <v>45720</v>
      </c>
      <c r="C2542" t="s">
        <v>7980</v>
      </c>
      <c r="F2542" t="s">
        <v>8048</v>
      </c>
      <c r="H2542" t="s">
        <v>2234</v>
      </c>
      <c r="K2542">
        <v>28570</v>
      </c>
      <c r="L2542" t="s">
        <v>6803</v>
      </c>
    </row>
    <row r="2543" spans="1:12" x14ac:dyDescent="0.35">
      <c r="A2543" t="s">
        <v>2219</v>
      </c>
      <c r="B2543" s="1">
        <v>45720</v>
      </c>
      <c r="C2543" t="s">
        <v>7980</v>
      </c>
      <c r="F2543" t="s">
        <v>7606</v>
      </c>
      <c r="H2543" t="s">
        <v>2234</v>
      </c>
      <c r="J2543">
        <v>28570</v>
      </c>
      <c r="L2543" t="s">
        <v>5883</v>
      </c>
    </row>
    <row r="2544" spans="1:12" x14ac:dyDescent="0.35">
      <c r="A2544" t="s">
        <v>2219</v>
      </c>
      <c r="B2544" s="1">
        <v>45720</v>
      </c>
      <c r="C2544" t="s">
        <v>7981</v>
      </c>
      <c r="F2544" t="s">
        <v>8048</v>
      </c>
      <c r="H2544" t="s">
        <v>2227</v>
      </c>
      <c r="K2544">
        <v>15000</v>
      </c>
      <c r="L2544" t="s">
        <v>6803</v>
      </c>
    </row>
    <row r="2545" spans="1:12" x14ac:dyDescent="0.35">
      <c r="A2545" t="s">
        <v>2219</v>
      </c>
      <c r="B2545" s="1">
        <v>45720</v>
      </c>
      <c r="C2545" t="s">
        <v>7981</v>
      </c>
      <c r="F2545" t="s">
        <v>7858</v>
      </c>
      <c r="H2545" t="s">
        <v>2227</v>
      </c>
      <c r="J2545">
        <v>15000</v>
      </c>
      <c r="L2545" t="s">
        <v>5957</v>
      </c>
    </row>
    <row r="2546" spans="1:12" x14ac:dyDescent="0.35">
      <c r="A2546" t="s">
        <v>2219</v>
      </c>
      <c r="B2546" s="1">
        <v>45720</v>
      </c>
      <c r="C2546" t="s">
        <v>7982</v>
      </c>
      <c r="F2546" t="s">
        <v>8048</v>
      </c>
      <c r="H2546" t="s">
        <v>2235</v>
      </c>
      <c r="K2546">
        <v>10000</v>
      </c>
      <c r="L2546" t="s">
        <v>6803</v>
      </c>
    </row>
    <row r="2547" spans="1:12" x14ac:dyDescent="0.35">
      <c r="A2547" t="s">
        <v>2219</v>
      </c>
      <c r="B2547" s="1">
        <v>45720</v>
      </c>
      <c r="C2547" t="s">
        <v>7982</v>
      </c>
      <c r="F2547" t="s">
        <v>7905</v>
      </c>
      <c r="H2547" t="s">
        <v>2235</v>
      </c>
      <c r="J2547">
        <v>10000</v>
      </c>
      <c r="L2547" t="s">
        <v>5957</v>
      </c>
    </row>
    <row r="2548" spans="1:12" x14ac:dyDescent="0.35">
      <c r="A2548" t="s">
        <v>2219</v>
      </c>
      <c r="B2548" s="1">
        <v>45720</v>
      </c>
      <c r="C2548" t="s">
        <v>7984</v>
      </c>
      <c r="F2548" t="s">
        <v>8048</v>
      </c>
      <c r="H2548" t="s">
        <v>2236</v>
      </c>
      <c r="K2548">
        <v>5000</v>
      </c>
      <c r="L2548" t="s">
        <v>6803</v>
      </c>
    </row>
    <row r="2549" spans="1:12" x14ac:dyDescent="0.35">
      <c r="A2549" t="s">
        <v>2219</v>
      </c>
      <c r="B2549" s="1">
        <v>45720</v>
      </c>
      <c r="C2549" t="s">
        <v>7984</v>
      </c>
      <c r="F2549" t="s">
        <v>7905</v>
      </c>
      <c r="H2549" t="s">
        <v>2236</v>
      </c>
      <c r="J2549">
        <v>5000</v>
      </c>
      <c r="L2549" t="s">
        <v>5957</v>
      </c>
    </row>
    <row r="2550" spans="1:12" x14ac:dyDescent="0.35">
      <c r="A2550" t="s">
        <v>2219</v>
      </c>
      <c r="B2550" s="1">
        <v>45720</v>
      </c>
      <c r="C2550" t="s">
        <v>7985</v>
      </c>
      <c r="F2550" t="s">
        <v>8048</v>
      </c>
      <c r="H2550" t="s">
        <v>2237</v>
      </c>
      <c r="K2550">
        <v>15000</v>
      </c>
      <c r="L2550" t="s">
        <v>6803</v>
      </c>
    </row>
    <row r="2551" spans="1:12" x14ac:dyDescent="0.35">
      <c r="A2551" t="s">
        <v>2219</v>
      </c>
      <c r="B2551" s="1">
        <v>45720</v>
      </c>
      <c r="C2551" t="s">
        <v>7985</v>
      </c>
      <c r="F2551" t="s">
        <v>7905</v>
      </c>
      <c r="H2551" t="s">
        <v>2237</v>
      </c>
      <c r="J2551">
        <v>15000</v>
      </c>
      <c r="L2551" t="s">
        <v>5957</v>
      </c>
    </row>
    <row r="2552" spans="1:12" x14ac:dyDescent="0.35">
      <c r="A2552" t="s">
        <v>2219</v>
      </c>
      <c r="B2552" s="1">
        <v>45720</v>
      </c>
      <c r="C2552" t="s">
        <v>7986</v>
      </c>
      <c r="F2552" t="s">
        <v>8048</v>
      </c>
      <c r="H2552" t="s">
        <v>2238</v>
      </c>
      <c r="K2552">
        <v>14000</v>
      </c>
      <c r="L2552" t="s">
        <v>6803</v>
      </c>
    </row>
    <row r="2553" spans="1:12" x14ac:dyDescent="0.35">
      <c r="A2553" t="s">
        <v>2219</v>
      </c>
      <c r="B2553" s="1">
        <v>45720</v>
      </c>
      <c r="C2553" t="s">
        <v>7986</v>
      </c>
      <c r="F2553" t="s">
        <v>7908</v>
      </c>
      <c r="H2553" t="s">
        <v>2238</v>
      </c>
      <c r="J2553">
        <v>14000</v>
      </c>
      <c r="L2553" t="s">
        <v>5957</v>
      </c>
    </row>
    <row r="2554" spans="1:12" x14ac:dyDescent="0.35">
      <c r="A2554" t="s">
        <v>2219</v>
      </c>
      <c r="B2554" s="1">
        <v>45720</v>
      </c>
      <c r="C2554" t="s">
        <v>7987</v>
      </c>
      <c r="F2554" t="s">
        <v>8048</v>
      </c>
      <c r="H2554" t="s">
        <v>2239</v>
      </c>
      <c r="K2554">
        <v>14000</v>
      </c>
      <c r="L2554" t="s">
        <v>6803</v>
      </c>
    </row>
    <row r="2555" spans="1:12" x14ac:dyDescent="0.35">
      <c r="A2555" t="s">
        <v>2219</v>
      </c>
      <c r="B2555" s="1">
        <v>45720</v>
      </c>
      <c r="C2555" t="s">
        <v>7987</v>
      </c>
      <c r="F2555" t="s">
        <v>7908</v>
      </c>
      <c r="H2555" t="s">
        <v>2239</v>
      </c>
      <c r="J2555">
        <v>14000</v>
      </c>
      <c r="L2555" t="s">
        <v>5957</v>
      </c>
    </row>
    <row r="2556" spans="1:12" x14ac:dyDescent="0.35">
      <c r="A2556" t="s">
        <v>2219</v>
      </c>
      <c r="B2556" s="1">
        <v>45721</v>
      </c>
      <c r="C2556" t="s">
        <v>7988</v>
      </c>
      <c r="F2556" t="s">
        <v>8048</v>
      </c>
      <c r="H2556" t="s">
        <v>2227</v>
      </c>
      <c r="K2556">
        <v>15000</v>
      </c>
      <c r="L2556" t="s">
        <v>6803</v>
      </c>
    </row>
    <row r="2557" spans="1:12" x14ac:dyDescent="0.35">
      <c r="A2557" t="s">
        <v>2219</v>
      </c>
      <c r="B2557" s="1">
        <v>45721</v>
      </c>
      <c r="C2557" t="s">
        <v>7988</v>
      </c>
      <c r="F2557" t="s">
        <v>7858</v>
      </c>
      <c r="H2557" t="s">
        <v>2227</v>
      </c>
      <c r="J2557">
        <v>15000</v>
      </c>
      <c r="L2557" t="s">
        <v>5957</v>
      </c>
    </row>
    <row r="2558" spans="1:12" x14ac:dyDescent="0.35">
      <c r="A2558" t="s">
        <v>2219</v>
      </c>
      <c r="B2558" s="1">
        <v>45721</v>
      </c>
      <c r="C2558" t="s">
        <v>7989</v>
      </c>
      <c r="F2558" t="s">
        <v>8048</v>
      </c>
      <c r="H2558" t="s">
        <v>2240</v>
      </c>
      <c r="K2558">
        <v>10000</v>
      </c>
      <c r="L2558" t="s">
        <v>6803</v>
      </c>
    </row>
    <row r="2559" spans="1:12" x14ac:dyDescent="0.35">
      <c r="A2559" t="s">
        <v>2219</v>
      </c>
      <c r="B2559" s="1">
        <v>45721</v>
      </c>
      <c r="C2559" t="s">
        <v>7989</v>
      </c>
      <c r="F2559" t="s">
        <v>7905</v>
      </c>
      <c r="H2559" t="s">
        <v>2240</v>
      </c>
      <c r="J2559">
        <v>10000</v>
      </c>
      <c r="L2559" t="s">
        <v>5957</v>
      </c>
    </row>
    <row r="2560" spans="1:12" x14ac:dyDescent="0.35">
      <c r="A2560" t="s">
        <v>2219</v>
      </c>
      <c r="B2560" s="1">
        <v>45721</v>
      </c>
      <c r="C2560" t="s">
        <v>7990</v>
      </c>
      <c r="F2560" t="s">
        <v>8048</v>
      </c>
      <c r="H2560" t="s">
        <v>2241</v>
      </c>
      <c r="K2560">
        <v>10000</v>
      </c>
      <c r="L2560" t="s">
        <v>6803</v>
      </c>
    </row>
    <row r="2561" spans="1:12" x14ac:dyDescent="0.35">
      <c r="A2561" t="s">
        <v>2219</v>
      </c>
      <c r="B2561" s="1">
        <v>45721</v>
      </c>
      <c r="C2561" t="s">
        <v>7990</v>
      </c>
      <c r="F2561" t="s">
        <v>7905</v>
      </c>
      <c r="H2561" t="s">
        <v>2241</v>
      </c>
      <c r="J2561">
        <v>10000</v>
      </c>
      <c r="L2561" t="s">
        <v>5957</v>
      </c>
    </row>
    <row r="2562" spans="1:12" x14ac:dyDescent="0.35">
      <c r="A2562" t="s">
        <v>2219</v>
      </c>
      <c r="B2562" s="1">
        <v>45721</v>
      </c>
      <c r="C2562" t="s">
        <v>7991</v>
      </c>
      <c r="F2562" t="s">
        <v>8048</v>
      </c>
      <c r="H2562" t="s">
        <v>2242</v>
      </c>
      <c r="K2562">
        <v>5000</v>
      </c>
      <c r="L2562" t="s">
        <v>6803</v>
      </c>
    </row>
    <row r="2563" spans="1:12" x14ac:dyDescent="0.35">
      <c r="A2563" t="s">
        <v>2219</v>
      </c>
      <c r="B2563" s="1">
        <v>45721</v>
      </c>
      <c r="C2563" t="s">
        <v>7991</v>
      </c>
      <c r="F2563" t="s">
        <v>7905</v>
      </c>
      <c r="H2563" t="s">
        <v>2242</v>
      </c>
      <c r="J2563">
        <v>5000</v>
      </c>
      <c r="L2563" t="s">
        <v>5957</v>
      </c>
    </row>
    <row r="2564" spans="1:12" x14ac:dyDescent="0.35">
      <c r="A2564" t="s">
        <v>2219</v>
      </c>
      <c r="B2564" s="1">
        <v>45721</v>
      </c>
      <c r="C2564" t="s">
        <v>7992</v>
      </c>
      <c r="F2564" t="s">
        <v>8048</v>
      </c>
      <c r="H2564" t="s">
        <v>2243</v>
      </c>
      <c r="K2564">
        <v>10000</v>
      </c>
      <c r="L2564" t="s">
        <v>6803</v>
      </c>
    </row>
    <row r="2565" spans="1:12" x14ac:dyDescent="0.35">
      <c r="A2565" t="s">
        <v>2219</v>
      </c>
      <c r="B2565" s="1">
        <v>45721</v>
      </c>
      <c r="C2565" t="s">
        <v>7992</v>
      </c>
      <c r="F2565" t="s">
        <v>7905</v>
      </c>
      <c r="H2565" t="s">
        <v>2243</v>
      </c>
      <c r="J2565">
        <v>10000</v>
      </c>
      <c r="L2565" t="s">
        <v>5957</v>
      </c>
    </row>
    <row r="2566" spans="1:12" x14ac:dyDescent="0.35">
      <c r="A2566" t="s">
        <v>2219</v>
      </c>
      <c r="B2566" s="1">
        <v>45721</v>
      </c>
      <c r="C2566" t="s">
        <v>7993</v>
      </c>
      <c r="F2566" t="s">
        <v>8048</v>
      </c>
      <c r="H2566" t="s">
        <v>2244</v>
      </c>
      <c r="K2566">
        <v>5000</v>
      </c>
      <c r="L2566" t="s">
        <v>6803</v>
      </c>
    </row>
    <row r="2567" spans="1:12" x14ac:dyDescent="0.35">
      <c r="A2567" t="s">
        <v>2219</v>
      </c>
      <c r="B2567" s="1">
        <v>45721</v>
      </c>
      <c r="C2567" t="s">
        <v>7993</v>
      </c>
      <c r="F2567" t="s">
        <v>7905</v>
      </c>
      <c r="H2567" t="s">
        <v>2244</v>
      </c>
      <c r="J2567">
        <v>5000</v>
      </c>
      <c r="L2567" t="s">
        <v>5957</v>
      </c>
    </row>
    <row r="2568" spans="1:12" x14ac:dyDescent="0.35">
      <c r="A2568" t="s">
        <v>2219</v>
      </c>
      <c r="B2568" s="1">
        <v>45722</v>
      </c>
      <c r="C2568" t="s">
        <v>7994</v>
      </c>
      <c r="F2568" t="s">
        <v>8048</v>
      </c>
      <c r="H2568" t="s">
        <v>2245</v>
      </c>
      <c r="K2568">
        <v>169000</v>
      </c>
      <c r="L2568" t="s">
        <v>6803</v>
      </c>
    </row>
    <row r="2569" spans="1:12" x14ac:dyDescent="0.35">
      <c r="A2569" t="s">
        <v>2219</v>
      </c>
      <c r="B2569" s="1">
        <v>45722</v>
      </c>
      <c r="C2569" t="s">
        <v>7994</v>
      </c>
      <c r="F2569" t="s">
        <v>6820</v>
      </c>
      <c r="H2569" t="s">
        <v>2245</v>
      </c>
      <c r="J2569">
        <v>169000</v>
      </c>
      <c r="L2569" t="s">
        <v>5958</v>
      </c>
    </row>
    <row r="2570" spans="1:12" x14ac:dyDescent="0.35">
      <c r="A2570" t="s">
        <v>2219</v>
      </c>
      <c r="B2570" s="1">
        <v>45722</v>
      </c>
      <c r="C2570" t="s">
        <v>7995</v>
      </c>
      <c r="F2570" t="s">
        <v>8048</v>
      </c>
      <c r="H2570" t="s">
        <v>2227</v>
      </c>
      <c r="K2570">
        <v>12500</v>
      </c>
      <c r="L2570" t="s">
        <v>6803</v>
      </c>
    </row>
    <row r="2571" spans="1:12" x14ac:dyDescent="0.35">
      <c r="A2571" t="s">
        <v>2219</v>
      </c>
      <c r="B2571" s="1">
        <v>45722</v>
      </c>
      <c r="C2571" t="s">
        <v>7995</v>
      </c>
      <c r="F2571" t="s">
        <v>7858</v>
      </c>
      <c r="H2571" t="s">
        <v>2227</v>
      </c>
      <c r="J2571">
        <v>12500</v>
      </c>
      <c r="L2571" t="s">
        <v>5957</v>
      </c>
    </row>
    <row r="2572" spans="1:12" x14ac:dyDescent="0.35">
      <c r="A2572" t="s">
        <v>2219</v>
      </c>
      <c r="B2572" s="1">
        <v>45722</v>
      </c>
      <c r="C2572" t="s">
        <v>7996</v>
      </c>
      <c r="F2572" t="s">
        <v>8048</v>
      </c>
      <c r="H2572" t="s">
        <v>2228</v>
      </c>
      <c r="K2572">
        <v>5000</v>
      </c>
      <c r="L2572" t="s">
        <v>6803</v>
      </c>
    </row>
    <row r="2573" spans="1:12" x14ac:dyDescent="0.35">
      <c r="A2573" t="s">
        <v>2219</v>
      </c>
      <c r="B2573" s="1">
        <v>45722</v>
      </c>
      <c r="C2573" t="s">
        <v>7996</v>
      </c>
      <c r="F2573" t="s">
        <v>7905</v>
      </c>
      <c r="H2573" t="s">
        <v>2228</v>
      </c>
      <c r="J2573">
        <v>5000</v>
      </c>
      <c r="L2573" t="s">
        <v>5957</v>
      </c>
    </row>
    <row r="2574" spans="1:12" x14ac:dyDescent="0.35">
      <c r="A2574" t="s">
        <v>2219</v>
      </c>
      <c r="B2574" s="1">
        <v>45722</v>
      </c>
      <c r="C2574" t="s">
        <v>7997</v>
      </c>
      <c r="F2574" t="s">
        <v>8048</v>
      </c>
      <c r="H2574" t="s">
        <v>2246</v>
      </c>
      <c r="K2574">
        <v>5000</v>
      </c>
      <c r="L2574" t="s">
        <v>6803</v>
      </c>
    </row>
    <row r="2575" spans="1:12" x14ac:dyDescent="0.35">
      <c r="A2575" t="s">
        <v>2219</v>
      </c>
      <c r="B2575" s="1">
        <v>45722</v>
      </c>
      <c r="C2575" t="s">
        <v>7997</v>
      </c>
      <c r="F2575" t="s">
        <v>7905</v>
      </c>
      <c r="H2575" t="s">
        <v>2246</v>
      </c>
      <c r="J2575">
        <v>5000</v>
      </c>
      <c r="L2575" t="s">
        <v>5957</v>
      </c>
    </row>
    <row r="2576" spans="1:12" x14ac:dyDescent="0.35">
      <c r="A2576" t="s">
        <v>2219</v>
      </c>
      <c r="B2576" s="1">
        <v>45722</v>
      </c>
      <c r="C2576" t="s">
        <v>7998</v>
      </c>
      <c r="F2576" t="s">
        <v>8048</v>
      </c>
      <c r="H2576" t="s">
        <v>2247</v>
      </c>
      <c r="K2576">
        <v>10000</v>
      </c>
      <c r="L2576" t="s">
        <v>6803</v>
      </c>
    </row>
    <row r="2577" spans="1:12" x14ac:dyDescent="0.35">
      <c r="A2577" t="s">
        <v>2219</v>
      </c>
      <c r="B2577" s="1">
        <v>45722</v>
      </c>
      <c r="C2577" t="s">
        <v>7998</v>
      </c>
      <c r="F2577" t="s">
        <v>7905</v>
      </c>
      <c r="H2577" t="s">
        <v>2247</v>
      </c>
      <c r="J2577">
        <v>10000</v>
      </c>
      <c r="L2577" t="s">
        <v>5957</v>
      </c>
    </row>
    <row r="2578" spans="1:12" x14ac:dyDescent="0.35">
      <c r="A2578" t="s">
        <v>2219</v>
      </c>
      <c r="B2578" s="1">
        <v>45722</v>
      </c>
      <c r="C2578" t="s">
        <v>7999</v>
      </c>
      <c r="F2578" t="s">
        <v>8048</v>
      </c>
      <c r="H2578" t="s">
        <v>2248</v>
      </c>
      <c r="K2578">
        <v>10000</v>
      </c>
      <c r="L2578" t="s">
        <v>6803</v>
      </c>
    </row>
    <row r="2579" spans="1:12" x14ac:dyDescent="0.35">
      <c r="A2579" t="s">
        <v>2219</v>
      </c>
      <c r="B2579" s="1">
        <v>45722</v>
      </c>
      <c r="C2579" t="s">
        <v>7999</v>
      </c>
      <c r="F2579" t="s">
        <v>7905</v>
      </c>
      <c r="H2579" t="s">
        <v>2248</v>
      </c>
      <c r="J2579">
        <v>10000</v>
      </c>
      <c r="L2579" t="s">
        <v>5957</v>
      </c>
    </row>
    <row r="2580" spans="1:12" x14ac:dyDescent="0.35">
      <c r="A2580" t="s">
        <v>2219</v>
      </c>
      <c r="B2580" s="1">
        <v>45722</v>
      </c>
      <c r="C2580" t="s">
        <v>8000</v>
      </c>
      <c r="F2580" t="s">
        <v>8048</v>
      </c>
      <c r="H2580" t="s">
        <v>2249</v>
      </c>
      <c r="K2580">
        <v>5000</v>
      </c>
      <c r="L2580" t="s">
        <v>6803</v>
      </c>
    </row>
    <row r="2581" spans="1:12" x14ac:dyDescent="0.35">
      <c r="A2581" t="s">
        <v>2219</v>
      </c>
      <c r="B2581" s="1">
        <v>45722</v>
      </c>
      <c r="C2581" t="s">
        <v>8000</v>
      </c>
      <c r="F2581" t="s">
        <v>7905</v>
      </c>
      <c r="H2581" t="s">
        <v>2249</v>
      </c>
      <c r="J2581">
        <v>5000</v>
      </c>
      <c r="L2581" t="s">
        <v>5957</v>
      </c>
    </row>
    <row r="2582" spans="1:12" x14ac:dyDescent="0.35">
      <c r="A2582" t="s">
        <v>2219</v>
      </c>
      <c r="B2582" s="1">
        <v>45723</v>
      </c>
      <c r="C2582" t="s">
        <v>8001</v>
      </c>
      <c r="F2582" t="s">
        <v>8048</v>
      </c>
      <c r="H2582" t="s">
        <v>2250</v>
      </c>
      <c r="K2582">
        <v>20900</v>
      </c>
      <c r="L2582" t="s">
        <v>6803</v>
      </c>
    </row>
    <row r="2583" spans="1:12" x14ac:dyDescent="0.35">
      <c r="A2583" t="s">
        <v>2219</v>
      </c>
      <c r="B2583" s="1">
        <v>45723</v>
      </c>
      <c r="C2583" t="s">
        <v>8001</v>
      </c>
      <c r="F2583" t="s">
        <v>7595</v>
      </c>
      <c r="H2583" t="s">
        <v>2250</v>
      </c>
      <c r="J2583">
        <v>20900</v>
      </c>
      <c r="L2583" t="s">
        <v>5883</v>
      </c>
    </row>
    <row r="2584" spans="1:12" x14ac:dyDescent="0.35">
      <c r="A2584" t="s">
        <v>2219</v>
      </c>
      <c r="B2584" s="1">
        <v>45723</v>
      </c>
      <c r="C2584" t="s">
        <v>8002</v>
      </c>
      <c r="F2584" t="s">
        <v>8048</v>
      </c>
      <c r="H2584" t="s">
        <v>2251</v>
      </c>
      <c r="K2584">
        <v>30100</v>
      </c>
      <c r="L2584" t="s">
        <v>6803</v>
      </c>
    </row>
    <row r="2585" spans="1:12" x14ac:dyDescent="0.35">
      <c r="A2585" t="s">
        <v>2219</v>
      </c>
      <c r="B2585" s="1">
        <v>45723</v>
      </c>
      <c r="C2585" t="s">
        <v>8002</v>
      </c>
      <c r="F2585" t="s">
        <v>7339</v>
      </c>
      <c r="H2585" t="s">
        <v>2251</v>
      </c>
      <c r="J2585">
        <v>30100</v>
      </c>
      <c r="L2585" t="s">
        <v>5957</v>
      </c>
    </row>
    <row r="2586" spans="1:12" x14ac:dyDescent="0.35">
      <c r="A2586" t="s">
        <v>2219</v>
      </c>
      <c r="B2586" s="1">
        <v>45723</v>
      </c>
      <c r="C2586" t="s">
        <v>8003</v>
      </c>
      <c r="F2586" t="s">
        <v>8048</v>
      </c>
      <c r="H2586" t="s">
        <v>2252</v>
      </c>
      <c r="K2586">
        <v>30100</v>
      </c>
      <c r="L2586" t="s">
        <v>6803</v>
      </c>
    </row>
    <row r="2587" spans="1:12" x14ac:dyDescent="0.35">
      <c r="A2587" t="s">
        <v>2219</v>
      </c>
      <c r="B2587" s="1">
        <v>45723</v>
      </c>
      <c r="C2587" t="s">
        <v>8003</v>
      </c>
      <c r="F2587" t="s">
        <v>7339</v>
      </c>
      <c r="H2587" t="s">
        <v>2252</v>
      </c>
      <c r="J2587">
        <v>30100</v>
      </c>
      <c r="L2587" t="s">
        <v>5957</v>
      </c>
    </row>
    <row r="2588" spans="1:12" x14ac:dyDescent="0.35">
      <c r="A2588" t="s">
        <v>2219</v>
      </c>
      <c r="B2588" s="1">
        <v>45723</v>
      </c>
      <c r="C2588" t="s">
        <v>8004</v>
      </c>
      <c r="F2588" t="s">
        <v>8048</v>
      </c>
      <c r="H2588" t="s">
        <v>2227</v>
      </c>
      <c r="K2588">
        <v>17500</v>
      </c>
      <c r="L2588" t="s">
        <v>6803</v>
      </c>
    </row>
    <row r="2589" spans="1:12" x14ac:dyDescent="0.35">
      <c r="A2589" t="s">
        <v>2219</v>
      </c>
      <c r="B2589" s="1">
        <v>45723</v>
      </c>
      <c r="C2589" t="s">
        <v>8004</v>
      </c>
      <c r="F2589" t="s">
        <v>7858</v>
      </c>
      <c r="H2589" t="s">
        <v>2227</v>
      </c>
      <c r="J2589">
        <v>17500</v>
      </c>
      <c r="L2589" t="s">
        <v>5957</v>
      </c>
    </row>
    <row r="2590" spans="1:12" x14ac:dyDescent="0.35">
      <c r="A2590" t="s">
        <v>2219</v>
      </c>
      <c r="B2590" s="1">
        <v>45723</v>
      </c>
      <c r="C2590" t="s">
        <v>8005</v>
      </c>
      <c r="F2590" t="s">
        <v>8048</v>
      </c>
      <c r="H2590" t="s">
        <v>2253</v>
      </c>
      <c r="K2590">
        <v>5000</v>
      </c>
      <c r="L2590" t="s">
        <v>6803</v>
      </c>
    </row>
    <row r="2591" spans="1:12" x14ac:dyDescent="0.35">
      <c r="A2591" t="s">
        <v>2219</v>
      </c>
      <c r="B2591" s="1">
        <v>45723</v>
      </c>
      <c r="C2591" t="s">
        <v>8005</v>
      </c>
      <c r="F2591" t="s">
        <v>7905</v>
      </c>
      <c r="H2591" t="s">
        <v>2253</v>
      </c>
      <c r="J2591">
        <v>5000</v>
      </c>
      <c r="L2591" t="s">
        <v>5957</v>
      </c>
    </row>
    <row r="2592" spans="1:12" x14ac:dyDescent="0.35">
      <c r="A2592" t="s">
        <v>2219</v>
      </c>
      <c r="B2592" s="1">
        <v>45723</v>
      </c>
      <c r="C2592" t="s">
        <v>8006</v>
      </c>
      <c r="F2592" t="s">
        <v>8048</v>
      </c>
      <c r="H2592" t="s">
        <v>2254</v>
      </c>
      <c r="K2592">
        <v>15000</v>
      </c>
      <c r="L2592" t="s">
        <v>6803</v>
      </c>
    </row>
    <row r="2593" spans="1:12" x14ac:dyDescent="0.35">
      <c r="A2593" t="s">
        <v>2219</v>
      </c>
      <c r="B2593" s="1">
        <v>45723</v>
      </c>
      <c r="C2593" t="s">
        <v>8006</v>
      </c>
      <c r="F2593" t="s">
        <v>7905</v>
      </c>
      <c r="H2593" t="s">
        <v>2254</v>
      </c>
      <c r="J2593">
        <v>15000</v>
      </c>
      <c r="L2593" t="s">
        <v>5957</v>
      </c>
    </row>
    <row r="2594" spans="1:12" x14ac:dyDescent="0.35">
      <c r="A2594" t="s">
        <v>2219</v>
      </c>
      <c r="B2594" s="1">
        <v>45723</v>
      </c>
      <c r="C2594" t="s">
        <v>8007</v>
      </c>
      <c r="F2594" t="s">
        <v>8048</v>
      </c>
      <c r="H2594" t="s">
        <v>2255</v>
      </c>
      <c r="K2594">
        <v>15000</v>
      </c>
      <c r="L2594" t="s">
        <v>6803</v>
      </c>
    </row>
    <row r="2595" spans="1:12" x14ac:dyDescent="0.35">
      <c r="A2595" t="s">
        <v>2219</v>
      </c>
      <c r="B2595" s="1">
        <v>45723</v>
      </c>
      <c r="C2595" t="s">
        <v>8007</v>
      </c>
      <c r="F2595" t="s">
        <v>7905</v>
      </c>
      <c r="H2595" t="s">
        <v>2255</v>
      </c>
      <c r="J2595">
        <v>15000</v>
      </c>
      <c r="L2595" t="s">
        <v>5957</v>
      </c>
    </row>
    <row r="2596" spans="1:12" x14ac:dyDescent="0.35">
      <c r="A2596" t="s">
        <v>2219</v>
      </c>
      <c r="B2596" s="1">
        <v>45724</v>
      </c>
      <c r="C2596" t="s">
        <v>8008</v>
      </c>
      <c r="F2596" t="s">
        <v>8048</v>
      </c>
      <c r="H2596" t="s">
        <v>2227</v>
      </c>
      <c r="K2596">
        <v>12500</v>
      </c>
      <c r="L2596" t="s">
        <v>6803</v>
      </c>
    </row>
    <row r="2597" spans="1:12" x14ac:dyDescent="0.35">
      <c r="A2597" t="s">
        <v>2219</v>
      </c>
      <c r="B2597" s="1">
        <v>45724</v>
      </c>
      <c r="C2597" t="s">
        <v>8008</v>
      </c>
      <c r="F2597" t="s">
        <v>7858</v>
      </c>
      <c r="H2597" t="s">
        <v>2227</v>
      </c>
      <c r="J2597">
        <v>12500</v>
      </c>
      <c r="L2597" t="s">
        <v>5957</v>
      </c>
    </row>
    <row r="2598" spans="1:12" x14ac:dyDescent="0.35">
      <c r="A2598" t="s">
        <v>2219</v>
      </c>
      <c r="B2598" s="1">
        <v>45724</v>
      </c>
      <c r="C2598" t="s">
        <v>8009</v>
      </c>
      <c r="F2598" t="s">
        <v>8048</v>
      </c>
      <c r="H2598" t="s">
        <v>2256</v>
      </c>
      <c r="K2598">
        <v>5000</v>
      </c>
      <c r="L2598" t="s">
        <v>6803</v>
      </c>
    </row>
    <row r="2599" spans="1:12" x14ac:dyDescent="0.35">
      <c r="A2599" t="s">
        <v>2219</v>
      </c>
      <c r="B2599" s="1">
        <v>45724</v>
      </c>
      <c r="C2599" t="s">
        <v>8009</v>
      </c>
      <c r="F2599" t="s">
        <v>7905</v>
      </c>
      <c r="H2599" t="s">
        <v>2256</v>
      </c>
      <c r="J2599">
        <v>5000</v>
      </c>
      <c r="L2599" t="s">
        <v>5957</v>
      </c>
    </row>
    <row r="2600" spans="1:12" x14ac:dyDescent="0.35">
      <c r="A2600" t="s">
        <v>2219</v>
      </c>
      <c r="B2600" s="1">
        <v>45724</v>
      </c>
      <c r="C2600" t="s">
        <v>8010</v>
      </c>
      <c r="F2600" t="s">
        <v>8048</v>
      </c>
      <c r="H2600" t="s">
        <v>2257</v>
      </c>
      <c r="K2600">
        <v>10000</v>
      </c>
      <c r="L2600" t="s">
        <v>6803</v>
      </c>
    </row>
    <row r="2601" spans="1:12" x14ac:dyDescent="0.35">
      <c r="A2601" t="s">
        <v>2219</v>
      </c>
      <c r="B2601" s="1">
        <v>45724</v>
      </c>
      <c r="C2601" t="s">
        <v>8010</v>
      </c>
      <c r="F2601" t="s">
        <v>7905</v>
      </c>
      <c r="H2601" t="s">
        <v>2257</v>
      </c>
      <c r="J2601">
        <v>10000</v>
      </c>
      <c r="L2601" t="s">
        <v>5957</v>
      </c>
    </row>
    <row r="2602" spans="1:12" x14ac:dyDescent="0.35">
      <c r="A2602" t="s">
        <v>2219</v>
      </c>
      <c r="B2602" s="1">
        <v>45724</v>
      </c>
      <c r="C2602" t="s">
        <v>8011</v>
      </c>
      <c r="F2602" t="s">
        <v>8048</v>
      </c>
      <c r="H2602" t="s">
        <v>2258</v>
      </c>
      <c r="K2602">
        <v>8000</v>
      </c>
      <c r="L2602" t="s">
        <v>6803</v>
      </c>
    </row>
    <row r="2603" spans="1:12" x14ac:dyDescent="0.35">
      <c r="A2603" t="s">
        <v>2219</v>
      </c>
      <c r="B2603" s="1">
        <v>45724</v>
      </c>
      <c r="C2603" t="s">
        <v>8011</v>
      </c>
      <c r="F2603" t="s">
        <v>7928</v>
      </c>
      <c r="H2603" t="s">
        <v>2258</v>
      </c>
      <c r="J2603">
        <v>8000</v>
      </c>
      <c r="L2603" t="s">
        <v>5883</v>
      </c>
    </row>
    <row r="2604" spans="1:12" x14ac:dyDescent="0.35">
      <c r="A2604" t="s">
        <v>2219</v>
      </c>
      <c r="B2604" s="1">
        <v>45726</v>
      </c>
      <c r="C2604" t="s">
        <v>8012</v>
      </c>
      <c r="F2604" t="s">
        <v>8048</v>
      </c>
      <c r="H2604" t="s">
        <v>2259</v>
      </c>
      <c r="J2604">
        <v>1500000</v>
      </c>
      <c r="L2604" t="s">
        <v>6803</v>
      </c>
    </row>
    <row r="2605" spans="1:12" x14ac:dyDescent="0.35">
      <c r="A2605" t="s">
        <v>2219</v>
      </c>
      <c r="B2605" s="1">
        <v>45726</v>
      </c>
      <c r="C2605" t="s">
        <v>8012</v>
      </c>
      <c r="F2605" t="s">
        <v>7829</v>
      </c>
      <c r="H2605" t="s">
        <v>2259</v>
      </c>
      <c r="K2605">
        <v>1500000</v>
      </c>
      <c r="L2605" t="s">
        <v>6803</v>
      </c>
    </row>
    <row r="2606" spans="1:12" x14ac:dyDescent="0.35">
      <c r="A2606" t="s">
        <v>2219</v>
      </c>
      <c r="B2606" s="1">
        <v>45726</v>
      </c>
      <c r="C2606" t="s">
        <v>8013</v>
      </c>
      <c r="F2606" t="s">
        <v>8048</v>
      </c>
      <c r="H2606" t="s">
        <v>2227</v>
      </c>
      <c r="K2606">
        <v>15000</v>
      </c>
      <c r="L2606" t="s">
        <v>6803</v>
      </c>
    </row>
    <row r="2607" spans="1:12" x14ac:dyDescent="0.35">
      <c r="A2607" t="s">
        <v>2219</v>
      </c>
      <c r="B2607" s="1">
        <v>45726</v>
      </c>
      <c r="C2607" t="s">
        <v>8013</v>
      </c>
      <c r="F2607" t="s">
        <v>7858</v>
      </c>
      <c r="H2607" t="s">
        <v>2227</v>
      </c>
      <c r="J2607">
        <v>15000</v>
      </c>
      <c r="L2607" t="s">
        <v>5957</v>
      </c>
    </row>
    <row r="2608" spans="1:12" x14ac:dyDescent="0.35">
      <c r="A2608" t="s">
        <v>2219</v>
      </c>
      <c r="B2608" s="1">
        <v>45726</v>
      </c>
      <c r="C2608" t="s">
        <v>8014</v>
      </c>
      <c r="F2608" t="s">
        <v>8048</v>
      </c>
      <c r="H2608" t="s">
        <v>2228</v>
      </c>
      <c r="K2608">
        <v>5000</v>
      </c>
      <c r="L2608" t="s">
        <v>6803</v>
      </c>
    </row>
    <row r="2609" spans="1:12" x14ac:dyDescent="0.35">
      <c r="A2609" t="s">
        <v>2219</v>
      </c>
      <c r="B2609" s="1">
        <v>45726</v>
      </c>
      <c r="C2609" t="s">
        <v>8014</v>
      </c>
      <c r="F2609" t="s">
        <v>7905</v>
      </c>
      <c r="H2609" t="s">
        <v>2228</v>
      </c>
      <c r="J2609">
        <v>5000</v>
      </c>
      <c r="L2609" t="s">
        <v>5957</v>
      </c>
    </row>
    <row r="2610" spans="1:12" x14ac:dyDescent="0.35">
      <c r="A2610" t="s">
        <v>2219</v>
      </c>
      <c r="B2610" s="1">
        <v>45726</v>
      </c>
      <c r="C2610" t="s">
        <v>8015</v>
      </c>
      <c r="F2610" t="s">
        <v>8048</v>
      </c>
      <c r="H2610" t="s">
        <v>2260</v>
      </c>
      <c r="K2610">
        <v>15000</v>
      </c>
      <c r="L2610" t="s">
        <v>6803</v>
      </c>
    </row>
    <row r="2611" spans="1:12" x14ac:dyDescent="0.35">
      <c r="A2611" t="s">
        <v>2219</v>
      </c>
      <c r="B2611" s="1">
        <v>45726</v>
      </c>
      <c r="C2611" t="s">
        <v>8015</v>
      </c>
      <c r="F2611" t="s">
        <v>7905</v>
      </c>
      <c r="H2611" t="s">
        <v>2260</v>
      </c>
      <c r="J2611">
        <v>15000</v>
      </c>
      <c r="L2611" t="s">
        <v>5957</v>
      </c>
    </row>
    <row r="2612" spans="1:12" x14ac:dyDescent="0.35">
      <c r="A2612" t="s">
        <v>2219</v>
      </c>
      <c r="B2612" s="1">
        <v>45726</v>
      </c>
      <c r="C2612" t="s">
        <v>8016</v>
      </c>
      <c r="F2612" t="s">
        <v>8048</v>
      </c>
      <c r="H2612" t="s">
        <v>2261</v>
      </c>
      <c r="K2612">
        <v>10000</v>
      </c>
      <c r="L2612" t="s">
        <v>6803</v>
      </c>
    </row>
    <row r="2613" spans="1:12" x14ac:dyDescent="0.35">
      <c r="A2613" t="s">
        <v>2219</v>
      </c>
      <c r="B2613" s="1">
        <v>45726</v>
      </c>
      <c r="C2613" t="s">
        <v>8016</v>
      </c>
      <c r="F2613" t="s">
        <v>7905</v>
      </c>
      <c r="H2613" t="s">
        <v>2261</v>
      </c>
      <c r="J2613">
        <v>10000</v>
      </c>
      <c r="L2613" t="s">
        <v>5957</v>
      </c>
    </row>
    <row r="2614" spans="1:12" x14ac:dyDescent="0.35">
      <c r="A2614" t="s">
        <v>2219</v>
      </c>
      <c r="B2614" s="1">
        <v>45726</v>
      </c>
      <c r="C2614" t="s">
        <v>8017</v>
      </c>
      <c r="F2614" t="s">
        <v>8048</v>
      </c>
      <c r="H2614" t="s">
        <v>2262</v>
      </c>
      <c r="K2614">
        <v>19000</v>
      </c>
      <c r="L2614" t="s">
        <v>6803</v>
      </c>
    </row>
    <row r="2615" spans="1:12" x14ac:dyDescent="0.35">
      <c r="A2615" t="s">
        <v>2219</v>
      </c>
      <c r="B2615" s="1">
        <v>45726</v>
      </c>
      <c r="C2615" t="s">
        <v>8017</v>
      </c>
      <c r="F2615" t="s">
        <v>7908</v>
      </c>
      <c r="H2615" t="s">
        <v>2262</v>
      </c>
      <c r="J2615">
        <v>19000</v>
      </c>
      <c r="L2615" t="s">
        <v>5957</v>
      </c>
    </row>
    <row r="2616" spans="1:12" x14ac:dyDescent="0.35">
      <c r="A2616" t="s">
        <v>2219</v>
      </c>
      <c r="B2616" s="1">
        <v>45726</v>
      </c>
      <c r="C2616" t="s">
        <v>8018</v>
      </c>
      <c r="F2616" t="s">
        <v>8048</v>
      </c>
      <c r="H2616" t="s">
        <v>2263</v>
      </c>
      <c r="K2616">
        <v>250000</v>
      </c>
      <c r="L2616" t="s">
        <v>6803</v>
      </c>
    </row>
    <row r="2617" spans="1:12" x14ac:dyDescent="0.35">
      <c r="A2617" t="s">
        <v>2219</v>
      </c>
      <c r="B2617" s="1">
        <v>45726</v>
      </c>
      <c r="C2617" t="s">
        <v>8018</v>
      </c>
      <c r="F2617" t="s">
        <v>7320</v>
      </c>
      <c r="H2617" t="s">
        <v>2263</v>
      </c>
      <c r="J2617">
        <v>250000</v>
      </c>
      <c r="L2617" t="s">
        <v>5883</v>
      </c>
    </row>
    <row r="2618" spans="1:12" x14ac:dyDescent="0.35">
      <c r="A2618" t="s">
        <v>2219</v>
      </c>
      <c r="B2618" s="1">
        <v>45727</v>
      </c>
      <c r="C2618" t="s">
        <v>8019</v>
      </c>
      <c r="F2618" t="s">
        <v>8048</v>
      </c>
      <c r="H2618" t="s">
        <v>2264</v>
      </c>
      <c r="K2618">
        <v>90000</v>
      </c>
      <c r="L2618" t="s">
        <v>6803</v>
      </c>
    </row>
    <row r="2619" spans="1:12" x14ac:dyDescent="0.35">
      <c r="A2619" t="s">
        <v>2219</v>
      </c>
      <c r="B2619" s="1">
        <v>45727</v>
      </c>
      <c r="C2619" t="s">
        <v>8019</v>
      </c>
      <c r="F2619" t="s">
        <v>7320</v>
      </c>
      <c r="H2619" t="s">
        <v>2264</v>
      </c>
      <c r="J2619">
        <v>90000</v>
      </c>
      <c r="L2619" t="s">
        <v>5883</v>
      </c>
    </row>
    <row r="2620" spans="1:12" x14ac:dyDescent="0.35">
      <c r="A2620" t="s">
        <v>2219</v>
      </c>
      <c r="B2620" s="1">
        <v>45727</v>
      </c>
      <c r="C2620" t="s">
        <v>8020</v>
      </c>
      <c r="F2620" t="s">
        <v>8048</v>
      </c>
      <c r="H2620" t="s">
        <v>2227</v>
      </c>
      <c r="K2620">
        <v>10000</v>
      </c>
      <c r="L2620" t="s">
        <v>6803</v>
      </c>
    </row>
    <row r="2621" spans="1:12" x14ac:dyDescent="0.35">
      <c r="A2621" t="s">
        <v>2219</v>
      </c>
      <c r="B2621" s="1">
        <v>45727</v>
      </c>
      <c r="C2621" t="s">
        <v>8020</v>
      </c>
      <c r="F2621" t="s">
        <v>7858</v>
      </c>
      <c r="H2621" t="s">
        <v>2227</v>
      </c>
      <c r="J2621">
        <v>10000</v>
      </c>
      <c r="L2621" t="s">
        <v>5957</v>
      </c>
    </row>
    <row r="2622" spans="1:12" x14ac:dyDescent="0.35">
      <c r="A2622" t="s">
        <v>2219</v>
      </c>
      <c r="B2622" s="1">
        <v>45727</v>
      </c>
      <c r="C2622" t="s">
        <v>8021</v>
      </c>
      <c r="F2622" t="s">
        <v>8048</v>
      </c>
      <c r="H2622" t="s">
        <v>2265</v>
      </c>
      <c r="K2622">
        <v>5000</v>
      </c>
      <c r="L2622" t="s">
        <v>6803</v>
      </c>
    </row>
    <row r="2623" spans="1:12" x14ac:dyDescent="0.35">
      <c r="A2623" t="s">
        <v>2219</v>
      </c>
      <c r="B2623" s="1">
        <v>45727</v>
      </c>
      <c r="C2623" t="s">
        <v>8021</v>
      </c>
      <c r="F2623" t="s">
        <v>7905</v>
      </c>
      <c r="H2623" t="s">
        <v>2265</v>
      </c>
      <c r="J2623">
        <v>5000</v>
      </c>
      <c r="L2623" t="s">
        <v>5957</v>
      </c>
    </row>
    <row r="2624" spans="1:12" x14ac:dyDescent="0.35">
      <c r="A2624" t="s">
        <v>2219</v>
      </c>
      <c r="B2624" s="1">
        <v>45727</v>
      </c>
      <c r="C2624" t="s">
        <v>8022</v>
      </c>
      <c r="F2624" t="s">
        <v>8048</v>
      </c>
      <c r="H2624" t="s">
        <v>2266</v>
      </c>
      <c r="K2624">
        <v>10000</v>
      </c>
      <c r="L2624" t="s">
        <v>6803</v>
      </c>
    </row>
    <row r="2625" spans="1:12" x14ac:dyDescent="0.35">
      <c r="A2625" t="s">
        <v>2219</v>
      </c>
      <c r="B2625" s="1">
        <v>45727</v>
      </c>
      <c r="C2625" t="s">
        <v>8022</v>
      </c>
      <c r="F2625" t="s">
        <v>7905</v>
      </c>
      <c r="H2625" t="s">
        <v>2266</v>
      </c>
      <c r="J2625">
        <v>10000</v>
      </c>
      <c r="L2625" t="s">
        <v>5957</v>
      </c>
    </row>
    <row r="2626" spans="1:12" x14ac:dyDescent="0.35">
      <c r="A2626" t="s">
        <v>2219</v>
      </c>
      <c r="B2626" s="1">
        <v>45727</v>
      </c>
      <c r="C2626" t="s">
        <v>8023</v>
      </c>
      <c r="F2626" t="s">
        <v>8048</v>
      </c>
      <c r="H2626" t="s">
        <v>2267</v>
      </c>
      <c r="K2626">
        <v>10000</v>
      </c>
      <c r="L2626" t="s">
        <v>6803</v>
      </c>
    </row>
    <row r="2627" spans="1:12" x14ac:dyDescent="0.35">
      <c r="A2627" t="s">
        <v>2219</v>
      </c>
      <c r="B2627" s="1">
        <v>45727</v>
      </c>
      <c r="C2627" t="s">
        <v>8023</v>
      </c>
      <c r="F2627" t="s">
        <v>7905</v>
      </c>
      <c r="H2627" t="s">
        <v>2267</v>
      </c>
      <c r="J2627">
        <v>10000</v>
      </c>
      <c r="L2627" t="s">
        <v>5957</v>
      </c>
    </row>
    <row r="2628" spans="1:12" x14ac:dyDescent="0.35">
      <c r="A2628" t="s">
        <v>2219</v>
      </c>
      <c r="B2628" s="1">
        <v>45727</v>
      </c>
      <c r="C2628" t="s">
        <v>8024</v>
      </c>
      <c r="F2628" t="s">
        <v>8048</v>
      </c>
      <c r="H2628" t="s">
        <v>2268</v>
      </c>
      <c r="K2628">
        <v>5000</v>
      </c>
      <c r="L2628" t="s">
        <v>6803</v>
      </c>
    </row>
    <row r="2629" spans="1:12" x14ac:dyDescent="0.35">
      <c r="A2629" t="s">
        <v>2219</v>
      </c>
      <c r="B2629" s="1">
        <v>45727</v>
      </c>
      <c r="C2629" t="s">
        <v>8024</v>
      </c>
      <c r="F2629" t="s">
        <v>7905</v>
      </c>
      <c r="H2629" t="s">
        <v>2268</v>
      </c>
      <c r="J2629">
        <v>5000</v>
      </c>
      <c r="L2629" t="s">
        <v>5957</v>
      </c>
    </row>
    <row r="2630" spans="1:12" x14ac:dyDescent="0.35">
      <c r="A2630" t="s">
        <v>2219</v>
      </c>
      <c r="B2630" s="1">
        <v>45728</v>
      </c>
      <c r="C2630" t="s">
        <v>8025</v>
      </c>
      <c r="F2630" t="s">
        <v>8048</v>
      </c>
      <c r="H2630" t="s">
        <v>2227</v>
      </c>
      <c r="K2630">
        <v>17500</v>
      </c>
      <c r="L2630" t="s">
        <v>6803</v>
      </c>
    </row>
    <row r="2631" spans="1:12" x14ac:dyDescent="0.35">
      <c r="A2631" t="s">
        <v>2219</v>
      </c>
      <c r="B2631" s="1">
        <v>45728</v>
      </c>
      <c r="C2631" t="s">
        <v>8025</v>
      </c>
      <c r="F2631" t="s">
        <v>7858</v>
      </c>
      <c r="H2631" t="s">
        <v>2227</v>
      </c>
      <c r="J2631">
        <v>17500</v>
      </c>
      <c r="L2631" t="s">
        <v>5957</v>
      </c>
    </row>
    <row r="2632" spans="1:12" x14ac:dyDescent="0.35">
      <c r="A2632" t="s">
        <v>2219</v>
      </c>
      <c r="B2632" s="1">
        <v>45728</v>
      </c>
      <c r="C2632" t="s">
        <v>8026</v>
      </c>
      <c r="F2632" t="s">
        <v>8048</v>
      </c>
      <c r="H2632" t="s">
        <v>2269</v>
      </c>
      <c r="K2632">
        <v>50000</v>
      </c>
      <c r="L2632" t="s">
        <v>6803</v>
      </c>
    </row>
    <row r="2633" spans="1:12" x14ac:dyDescent="0.35">
      <c r="A2633" t="s">
        <v>2219</v>
      </c>
      <c r="B2633" s="1">
        <v>45728</v>
      </c>
      <c r="C2633" t="s">
        <v>8026</v>
      </c>
      <c r="F2633" t="s">
        <v>7556</v>
      </c>
      <c r="H2633" t="s">
        <v>2269</v>
      </c>
      <c r="J2633">
        <v>50000</v>
      </c>
      <c r="L2633" t="s">
        <v>5883</v>
      </c>
    </row>
    <row r="2634" spans="1:12" x14ac:dyDescent="0.35">
      <c r="A2634" t="s">
        <v>2219</v>
      </c>
      <c r="B2634" s="1">
        <v>45728</v>
      </c>
      <c r="C2634" t="s">
        <v>8027</v>
      </c>
      <c r="F2634" t="s">
        <v>8048</v>
      </c>
      <c r="H2634" t="s">
        <v>2270</v>
      </c>
      <c r="K2634">
        <v>10000</v>
      </c>
      <c r="L2634" t="s">
        <v>6803</v>
      </c>
    </row>
    <row r="2635" spans="1:12" x14ac:dyDescent="0.35">
      <c r="A2635" t="s">
        <v>2219</v>
      </c>
      <c r="B2635" s="1">
        <v>45728</v>
      </c>
      <c r="C2635" t="s">
        <v>8027</v>
      </c>
      <c r="F2635" t="s">
        <v>7905</v>
      </c>
      <c r="H2635" t="s">
        <v>2270</v>
      </c>
      <c r="J2635">
        <v>10000</v>
      </c>
      <c r="L2635" t="s">
        <v>5952</v>
      </c>
    </row>
    <row r="2636" spans="1:12" x14ac:dyDescent="0.35">
      <c r="A2636" t="s">
        <v>2219</v>
      </c>
      <c r="B2636" s="1">
        <v>45728</v>
      </c>
      <c r="C2636" t="s">
        <v>8028</v>
      </c>
      <c r="F2636" t="s">
        <v>8048</v>
      </c>
      <c r="H2636" t="s">
        <v>2271</v>
      </c>
      <c r="K2636">
        <v>5000</v>
      </c>
      <c r="L2636" t="s">
        <v>6803</v>
      </c>
    </row>
    <row r="2637" spans="1:12" x14ac:dyDescent="0.35">
      <c r="A2637" t="s">
        <v>2219</v>
      </c>
      <c r="B2637" s="1">
        <v>45728</v>
      </c>
      <c r="C2637" t="s">
        <v>8028</v>
      </c>
      <c r="F2637" t="s">
        <v>7905</v>
      </c>
      <c r="H2637" t="s">
        <v>2271</v>
      </c>
      <c r="J2637">
        <v>5000</v>
      </c>
      <c r="L2637" t="s">
        <v>5957</v>
      </c>
    </row>
    <row r="2638" spans="1:12" x14ac:dyDescent="0.35">
      <c r="A2638" t="s">
        <v>2219</v>
      </c>
      <c r="B2638" s="1">
        <v>45728</v>
      </c>
      <c r="C2638" t="s">
        <v>8029</v>
      </c>
      <c r="F2638" t="s">
        <v>8048</v>
      </c>
      <c r="H2638" t="s">
        <v>2272</v>
      </c>
      <c r="K2638">
        <v>5000</v>
      </c>
      <c r="L2638" t="s">
        <v>6803</v>
      </c>
    </row>
    <row r="2639" spans="1:12" x14ac:dyDescent="0.35">
      <c r="A2639" t="s">
        <v>2219</v>
      </c>
      <c r="B2639" s="1">
        <v>45728</v>
      </c>
      <c r="C2639" t="s">
        <v>8029</v>
      </c>
      <c r="F2639" t="s">
        <v>7905</v>
      </c>
      <c r="H2639" t="s">
        <v>2272</v>
      </c>
      <c r="J2639">
        <v>5000</v>
      </c>
      <c r="L2639" t="s">
        <v>5957</v>
      </c>
    </row>
    <row r="2640" spans="1:12" x14ac:dyDescent="0.35">
      <c r="A2640" t="s">
        <v>2219</v>
      </c>
      <c r="B2640" s="1">
        <v>45729</v>
      </c>
      <c r="C2640" t="s">
        <v>8030</v>
      </c>
      <c r="F2640" t="s">
        <v>8048</v>
      </c>
      <c r="H2640" t="s">
        <v>2273</v>
      </c>
      <c r="K2640">
        <v>168000</v>
      </c>
      <c r="L2640" t="s">
        <v>6803</v>
      </c>
    </row>
    <row r="2641" spans="1:12" x14ac:dyDescent="0.35">
      <c r="A2641" t="s">
        <v>2219</v>
      </c>
      <c r="B2641" s="1">
        <v>45729</v>
      </c>
      <c r="C2641" t="s">
        <v>8030</v>
      </c>
      <c r="F2641" t="s">
        <v>6820</v>
      </c>
      <c r="H2641" t="s">
        <v>2273</v>
      </c>
      <c r="J2641">
        <v>168000</v>
      </c>
      <c r="L2641" t="s">
        <v>5958</v>
      </c>
    </row>
    <row r="2642" spans="1:12" x14ac:dyDescent="0.35">
      <c r="A2642" t="s">
        <v>2219</v>
      </c>
      <c r="B2642" s="1">
        <v>45729</v>
      </c>
      <c r="C2642" t="s">
        <v>8031</v>
      </c>
      <c r="F2642" t="s">
        <v>8048</v>
      </c>
      <c r="H2642" t="s">
        <v>2274</v>
      </c>
      <c r="K2642">
        <v>50000</v>
      </c>
      <c r="L2642" t="s">
        <v>6803</v>
      </c>
    </row>
    <row r="2643" spans="1:12" x14ac:dyDescent="0.35">
      <c r="A2643" t="s">
        <v>2219</v>
      </c>
      <c r="B2643" s="1">
        <v>45729</v>
      </c>
      <c r="C2643" t="s">
        <v>8031</v>
      </c>
      <c r="F2643" t="s">
        <v>7595</v>
      </c>
      <c r="H2643" t="s">
        <v>2274</v>
      </c>
      <c r="J2643">
        <v>50000</v>
      </c>
      <c r="L2643" t="s">
        <v>5883</v>
      </c>
    </row>
    <row r="2644" spans="1:12" x14ac:dyDescent="0.35">
      <c r="A2644" t="s">
        <v>2219</v>
      </c>
      <c r="B2644" s="1">
        <v>45729</v>
      </c>
      <c r="C2644" t="s">
        <v>8032</v>
      </c>
      <c r="F2644" t="s">
        <v>8048</v>
      </c>
      <c r="H2644" t="s">
        <v>2275</v>
      </c>
      <c r="K2644">
        <v>30100</v>
      </c>
      <c r="L2644" t="s">
        <v>6803</v>
      </c>
    </row>
    <row r="2645" spans="1:12" x14ac:dyDescent="0.35">
      <c r="A2645" t="s">
        <v>2219</v>
      </c>
      <c r="B2645" s="1">
        <v>45729</v>
      </c>
      <c r="C2645" t="s">
        <v>8032</v>
      </c>
      <c r="F2645" t="s">
        <v>7339</v>
      </c>
      <c r="H2645" t="s">
        <v>2275</v>
      </c>
      <c r="J2645">
        <v>30100</v>
      </c>
      <c r="L2645" t="s">
        <v>5957</v>
      </c>
    </row>
    <row r="2646" spans="1:12" x14ac:dyDescent="0.35">
      <c r="A2646" t="s">
        <v>2219</v>
      </c>
      <c r="B2646" s="1">
        <v>45729</v>
      </c>
      <c r="C2646" t="s">
        <v>8033</v>
      </c>
      <c r="F2646" t="s">
        <v>8048</v>
      </c>
      <c r="H2646" t="s">
        <v>2227</v>
      </c>
      <c r="K2646">
        <v>10000</v>
      </c>
      <c r="L2646" t="s">
        <v>6803</v>
      </c>
    </row>
    <row r="2647" spans="1:12" x14ac:dyDescent="0.35">
      <c r="A2647" t="s">
        <v>2219</v>
      </c>
      <c r="B2647" s="1">
        <v>45729</v>
      </c>
      <c r="C2647" t="s">
        <v>8033</v>
      </c>
      <c r="F2647" t="s">
        <v>7858</v>
      </c>
      <c r="H2647" t="s">
        <v>2227</v>
      </c>
      <c r="J2647">
        <v>10000</v>
      </c>
      <c r="L2647" t="s">
        <v>5957</v>
      </c>
    </row>
    <row r="2648" spans="1:12" x14ac:dyDescent="0.35">
      <c r="A2648" t="s">
        <v>2219</v>
      </c>
      <c r="B2648" s="1">
        <v>45729</v>
      </c>
      <c r="C2648" t="s">
        <v>8034</v>
      </c>
      <c r="F2648" t="s">
        <v>8048</v>
      </c>
      <c r="H2648" t="s">
        <v>2276</v>
      </c>
      <c r="K2648">
        <v>19000</v>
      </c>
      <c r="L2648" t="s">
        <v>6803</v>
      </c>
    </row>
    <row r="2649" spans="1:12" x14ac:dyDescent="0.35">
      <c r="A2649" t="s">
        <v>2219</v>
      </c>
      <c r="B2649" s="1">
        <v>45729</v>
      </c>
      <c r="C2649" t="s">
        <v>8034</v>
      </c>
      <c r="F2649" t="s">
        <v>7908</v>
      </c>
      <c r="H2649" t="s">
        <v>2276</v>
      </c>
      <c r="J2649">
        <v>19000</v>
      </c>
      <c r="L2649" t="s">
        <v>5957</v>
      </c>
    </row>
    <row r="2650" spans="1:12" x14ac:dyDescent="0.35">
      <c r="A2650" t="s">
        <v>2219</v>
      </c>
      <c r="B2650" s="1">
        <v>45729</v>
      </c>
      <c r="C2650" t="s">
        <v>8035</v>
      </c>
      <c r="F2650" t="s">
        <v>8048</v>
      </c>
      <c r="H2650" t="s">
        <v>2277</v>
      </c>
      <c r="K2650">
        <v>15000</v>
      </c>
      <c r="L2650" t="s">
        <v>6803</v>
      </c>
    </row>
    <row r="2651" spans="1:12" x14ac:dyDescent="0.35">
      <c r="A2651" t="s">
        <v>2219</v>
      </c>
      <c r="B2651" s="1">
        <v>45729</v>
      </c>
      <c r="C2651" t="s">
        <v>8035</v>
      </c>
      <c r="F2651" t="s">
        <v>7905</v>
      </c>
      <c r="H2651" t="s">
        <v>2277</v>
      </c>
      <c r="J2651">
        <v>15000</v>
      </c>
      <c r="L2651" t="s">
        <v>5957</v>
      </c>
    </row>
    <row r="2652" spans="1:12" x14ac:dyDescent="0.35">
      <c r="A2652" t="s">
        <v>2219</v>
      </c>
      <c r="B2652" s="1">
        <v>45729</v>
      </c>
      <c r="C2652" t="s">
        <v>8036</v>
      </c>
      <c r="F2652" t="s">
        <v>8048</v>
      </c>
      <c r="H2652" t="s">
        <v>2278</v>
      </c>
      <c r="K2652">
        <v>5000</v>
      </c>
      <c r="L2652" t="s">
        <v>6803</v>
      </c>
    </row>
    <row r="2653" spans="1:12" x14ac:dyDescent="0.35">
      <c r="A2653" t="s">
        <v>2219</v>
      </c>
      <c r="B2653" s="1">
        <v>45729</v>
      </c>
      <c r="C2653" t="s">
        <v>8036</v>
      </c>
      <c r="F2653" t="s">
        <v>7905</v>
      </c>
      <c r="H2653" t="s">
        <v>2278</v>
      </c>
      <c r="J2653">
        <v>5000</v>
      </c>
      <c r="L2653" t="s">
        <v>5957</v>
      </c>
    </row>
    <row r="2654" spans="1:12" x14ac:dyDescent="0.35">
      <c r="A2654" t="s">
        <v>2219</v>
      </c>
      <c r="B2654" s="1">
        <v>45729</v>
      </c>
      <c r="C2654" t="s">
        <v>8037</v>
      </c>
      <c r="F2654" t="s">
        <v>8048</v>
      </c>
      <c r="H2654" t="s">
        <v>2279</v>
      </c>
      <c r="K2654">
        <v>15000</v>
      </c>
      <c r="L2654" t="s">
        <v>6803</v>
      </c>
    </row>
    <row r="2655" spans="1:12" x14ac:dyDescent="0.35">
      <c r="A2655" t="s">
        <v>2219</v>
      </c>
      <c r="B2655" s="1">
        <v>45729</v>
      </c>
      <c r="C2655" t="s">
        <v>8037</v>
      </c>
      <c r="F2655" t="s">
        <v>7905</v>
      </c>
      <c r="H2655" t="s">
        <v>2279</v>
      </c>
      <c r="J2655">
        <v>15000</v>
      </c>
      <c r="L2655" t="s">
        <v>5957</v>
      </c>
    </row>
    <row r="2656" spans="1:12" x14ac:dyDescent="0.35">
      <c r="A2656" t="s">
        <v>2219</v>
      </c>
      <c r="B2656" s="1">
        <v>45730</v>
      </c>
      <c r="C2656" t="s">
        <v>8038</v>
      </c>
      <c r="F2656" t="s">
        <v>8048</v>
      </c>
      <c r="H2656" t="s">
        <v>2227</v>
      </c>
      <c r="K2656">
        <v>17500</v>
      </c>
      <c r="L2656" t="s">
        <v>6803</v>
      </c>
    </row>
    <row r="2657" spans="1:12" x14ac:dyDescent="0.35">
      <c r="A2657" t="s">
        <v>2219</v>
      </c>
      <c r="B2657" s="1">
        <v>45730</v>
      </c>
      <c r="C2657" t="s">
        <v>8038</v>
      </c>
      <c r="F2657" t="s">
        <v>7858</v>
      </c>
      <c r="H2657" t="s">
        <v>2227</v>
      </c>
      <c r="J2657">
        <v>17500</v>
      </c>
      <c r="L2657" t="s">
        <v>5957</v>
      </c>
    </row>
    <row r="2658" spans="1:12" x14ac:dyDescent="0.35">
      <c r="A2658" t="s">
        <v>2219</v>
      </c>
      <c r="B2658" s="1">
        <v>45730</v>
      </c>
      <c r="C2658" t="s">
        <v>8039</v>
      </c>
      <c r="F2658" t="s">
        <v>8048</v>
      </c>
      <c r="H2658" t="s">
        <v>2253</v>
      </c>
      <c r="K2658">
        <v>5000</v>
      </c>
      <c r="L2658" t="s">
        <v>6803</v>
      </c>
    </row>
    <row r="2659" spans="1:12" x14ac:dyDescent="0.35">
      <c r="A2659" t="s">
        <v>2219</v>
      </c>
      <c r="B2659" s="1">
        <v>45730</v>
      </c>
      <c r="C2659" t="s">
        <v>8039</v>
      </c>
      <c r="F2659" t="s">
        <v>7905</v>
      </c>
      <c r="H2659" t="s">
        <v>2253</v>
      </c>
      <c r="J2659">
        <v>5000</v>
      </c>
      <c r="L2659" t="s">
        <v>5957</v>
      </c>
    </row>
    <row r="2660" spans="1:12" x14ac:dyDescent="0.35">
      <c r="A2660" t="s">
        <v>2219</v>
      </c>
      <c r="B2660" s="1">
        <v>45730</v>
      </c>
      <c r="C2660" t="s">
        <v>8040</v>
      </c>
      <c r="F2660" t="s">
        <v>8048</v>
      </c>
      <c r="H2660" t="s">
        <v>2280</v>
      </c>
      <c r="K2660">
        <v>15000</v>
      </c>
      <c r="L2660" t="s">
        <v>6803</v>
      </c>
    </row>
    <row r="2661" spans="1:12" x14ac:dyDescent="0.35">
      <c r="A2661" t="s">
        <v>2219</v>
      </c>
      <c r="B2661" s="1">
        <v>45730</v>
      </c>
      <c r="C2661" t="s">
        <v>8040</v>
      </c>
      <c r="F2661" t="s">
        <v>7905</v>
      </c>
      <c r="H2661" t="s">
        <v>2280</v>
      </c>
      <c r="J2661">
        <v>15000</v>
      </c>
      <c r="L2661" t="s">
        <v>5957</v>
      </c>
    </row>
    <row r="2662" spans="1:12" x14ac:dyDescent="0.35">
      <c r="A2662" t="s">
        <v>2219</v>
      </c>
      <c r="B2662" s="1">
        <v>45730</v>
      </c>
      <c r="C2662" t="s">
        <v>8041</v>
      </c>
      <c r="F2662" t="s">
        <v>8048</v>
      </c>
      <c r="H2662" t="s">
        <v>2281</v>
      </c>
      <c r="K2662">
        <v>5000</v>
      </c>
      <c r="L2662" t="s">
        <v>6803</v>
      </c>
    </row>
    <row r="2663" spans="1:12" x14ac:dyDescent="0.35">
      <c r="A2663" t="s">
        <v>2219</v>
      </c>
      <c r="B2663" s="1">
        <v>45730</v>
      </c>
      <c r="C2663" t="s">
        <v>8041</v>
      </c>
      <c r="F2663" t="s">
        <v>7905</v>
      </c>
      <c r="H2663" t="s">
        <v>2281</v>
      </c>
      <c r="J2663">
        <v>5000</v>
      </c>
      <c r="L2663" t="s">
        <v>5957</v>
      </c>
    </row>
    <row r="2664" spans="1:12" x14ac:dyDescent="0.35">
      <c r="A2664" t="s">
        <v>2219</v>
      </c>
      <c r="B2664" s="1">
        <v>45733</v>
      </c>
      <c r="C2664" t="s">
        <v>8042</v>
      </c>
      <c r="F2664" t="s">
        <v>8048</v>
      </c>
      <c r="H2664" t="s">
        <v>2227</v>
      </c>
      <c r="K2664">
        <v>12500</v>
      </c>
      <c r="L2664" t="s">
        <v>6803</v>
      </c>
    </row>
    <row r="2665" spans="1:12" x14ac:dyDescent="0.35">
      <c r="A2665" t="s">
        <v>2219</v>
      </c>
      <c r="B2665" s="1">
        <v>45733</v>
      </c>
      <c r="C2665" t="s">
        <v>8042</v>
      </c>
      <c r="F2665" t="s">
        <v>7858</v>
      </c>
      <c r="H2665" t="s">
        <v>2227</v>
      </c>
      <c r="J2665">
        <v>12500</v>
      </c>
      <c r="L2665" t="s">
        <v>5957</v>
      </c>
    </row>
    <row r="2666" spans="1:12" x14ac:dyDescent="0.35">
      <c r="A2666" t="s">
        <v>2219</v>
      </c>
      <c r="B2666" s="1">
        <v>45733</v>
      </c>
      <c r="C2666" t="s">
        <v>8043</v>
      </c>
      <c r="F2666" t="s">
        <v>8048</v>
      </c>
      <c r="H2666" t="s">
        <v>2282</v>
      </c>
      <c r="K2666">
        <v>8000</v>
      </c>
      <c r="L2666" t="s">
        <v>6803</v>
      </c>
    </row>
    <row r="2667" spans="1:12" x14ac:dyDescent="0.35">
      <c r="A2667" t="s">
        <v>2219</v>
      </c>
      <c r="B2667" s="1">
        <v>45733</v>
      </c>
      <c r="C2667" t="s">
        <v>8043</v>
      </c>
      <c r="F2667" t="s">
        <v>7928</v>
      </c>
      <c r="H2667" t="s">
        <v>2282</v>
      </c>
      <c r="J2667">
        <v>8000</v>
      </c>
      <c r="L2667" t="s">
        <v>5883</v>
      </c>
    </row>
    <row r="2668" spans="1:12" x14ac:dyDescent="0.35">
      <c r="A2668" t="s">
        <v>2219</v>
      </c>
      <c r="B2668" s="1">
        <v>45733</v>
      </c>
      <c r="C2668" t="s">
        <v>8044</v>
      </c>
      <c r="F2668" t="s">
        <v>8048</v>
      </c>
      <c r="H2668" t="s">
        <v>2283</v>
      </c>
      <c r="K2668">
        <v>5000</v>
      </c>
      <c r="L2668" t="s">
        <v>6803</v>
      </c>
    </row>
    <row r="2669" spans="1:12" x14ac:dyDescent="0.35">
      <c r="A2669" t="s">
        <v>2219</v>
      </c>
      <c r="B2669" s="1">
        <v>45733</v>
      </c>
      <c r="C2669" t="s">
        <v>8044</v>
      </c>
      <c r="F2669" t="s">
        <v>7905</v>
      </c>
      <c r="H2669" t="s">
        <v>2283</v>
      </c>
      <c r="J2669">
        <v>5000</v>
      </c>
      <c r="L2669" t="s">
        <v>5957</v>
      </c>
    </row>
    <row r="2670" spans="1:12" x14ac:dyDescent="0.35">
      <c r="A2670" t="s">
        <v>2219</v>
      </c>
      <c r="B2670" s="1">
        <v>45733</v>
      </c>
      <c r="C2670" t="s">
        <v>8045</v>
      </c>
      <c r="F2670" t="s">
        <v>8048</v>
      </c>
      <c r="H2670" t="s">
        <v>2284</v>
      </c>
      <c r="K2670">
        <v>15000</v>
      </c>
      <c r="L2670" t="s">
        <v>6803</v>
      </c>
    </row>
    <row r="2671" spans="1:12" x14ac:dyDescent="0.35">
      <c r="A2671" t="s">
        <v>2219</v>
      </c>
      <c r="B2671" s="1">
        <v>45733</v>
      </c>
      <c r="C2671" t="s">
        <v>8045</v>
      </c>
      <c r="F2671" t="s">
        <v>7905</v>
      </c>
      <c r="H2671" t="s">
        <v>2284</v>
      </c>
      <c r="J2671">
        <v>15000</v>
      </c>
      <c r="L2671" t="s">
        <v>5957</v>
      </c>
    </row>
    <row r="2672" spans="1:12" x14ac:dyDescent="0.35">
      <c r="A2672" t="s">
        <v>2219</v>
      </c>
      <c r="B2672" s="1">
        <v>45733</v>
      </c>
      <c r="C2672" t="s">
        <v>8046</v>
      </c>
      <c r="F2672" t="s">
        <v>8048</v>
      </c>
      <c r="H2672" t="s">
        <v>2285</v>
      </c>
      <c r="K2672">
        <v>10000</v>
      </c>
      <c r="L2672" t="s">
        <v>6803</v>
      </c>
    </row>
    <row r="2673" spans="1:12" x14ac:dyDescent="0.35">
      <c r="A2673" t="s">
        <v>2219</v>
      </c>
      <c r="B2673" s="1">
        <v>45733</v>
      </c>
      <c r="C2673" t="s">
        <v>8046</v>
      </c>
      <c r="F2673" t="s">
        <v>7905</v>
      </c>
      <c r="H2673" t="s">
        <v>2285</v>
      </c>
      <c r="J2673">
        <v>10000</v>
      </c>
      <c r="L2673" t="s">
        <v>5957</v>
      </c>
    </row>
    <row r="2674" spans="1:12" x14ac:dyDescent="0.35">
      <c r="A2674" t="s">
        <v>2219</v>
      </c>
      <c r="B2674" s="1">
        <v>45734</v>
      </c>
      <c r="C2674" t="s">
        <v>8047</v>
      </c>
      <c r="F2674" t="s">
        <v>8048</v>
      </c>
      <c r="H2674" t="s">
        <v>2227</v>
      </c>
      <c r="K2674">
        <v>17500</v>
      </c>
      <c r="L2674" t="s">
        <v>6803</v>
      </c>
    </row>
    <row r="2675" spans="1:12" x14ac:dyDescent="0.35">
      <c r="A2675" t="s">
        <v>2219</v>
      </c>
      <c r="B2675" s="1">
        <v>45734</v>
      </c>
      <c r="C2675" t="s">
        <v>8047</v>
      </c>
      <c r="F2675" t="s">
        <v>7858</v>
      </c>
      <c r="H2675" t="s">
        <v>2227</v>
      </c>
      <c r="J2675">
        <v>17500</v>
      </c>
      <c r="L2675" t="s">
        <v>5957</v>
      </c>
    </row>
    <row r="2676" spans="1:12" x14ac:dyDescent="0.35">
      <c r="A2676" t="s">
        <v>2219</v>
      </c>
      <c r="B2676" s="1">
        <v>45734</v>
      </c>
      <c r="C2676" t="s">
        <v>6876</v>
      </c>
      <c r="F2676" t="s">
        <v>8048</v>
      </c>
      <c r="H2676" t="s">
        <v>2286</v>
      </c>
      <c r="K2676">
        <v>5000</v>
      </c>
      <c r="L2676" t="s">
        <v>6803</v>
      </c>
    </row>
    <row r="2677" spans="1:12" x14ac:dyDescent="0.35">
      <c r="A2677" t="s">
        <v>2219</v>
      </c>
      <c r="B2677" s="1">
        <v>45734</v>
      </c>
      <c r="C2677" t="s">
        <v>6876</v>
      </c>
      <c r="F2677" t="s">
        <v>7905</v>
      </c>
      <c r="H2677" t="s">
        <v>2286</v>
      </c>
      <c r="J2677">
        <v>5000</v>
      </c>
      <c r="L2677" t="s">
        <v>5957</v>
      </c>
    </row>
    <row r="2678" spans="1:12" x14ac:dyDescent="0.35">
      <c r="A2678" t="s">
        <v>2219</v>
      </c>
      <c r="B2678" s="1">
        <v>45734</v>
      </c>
      <c r="C2678" t="s">
        <v>6807</v>
      </c>
      <c r="F2678" t="s">
        <v>8048</v>
      </c>
      <c r="H2678" t="s">
        <v>2287</v>
      </c>
      <c r="K2678">
        <v>10000</v>
      </c>
      <c r="L2678" t="s">
        <v>6803</v>
      </c>
    </row>
    <row r="2679" spans="1:12" x14ac:dyDescent="0.35">
      <c r="A2679" t="s">
        <v>2219</v>
      </c>
      <c r="B2679" s="1">
        <v>45734</v>
      </c>
      <c r="C2679" t="s">
        <v>6807</v>
      </c>
      <c r="F2679" t="s">
        <v>7905</v>
      </c>
      <c r="H2679" t="s">
        <v>2287</v>
      </c>
      <c r="J2679">
        <v>10000</v>
      </c>
      <c r="L2679" t="s">
        <v>5957</v>
      </c>
    </row>
    <row r="2680" spans="1:12" x14ac:dyDescent="0.35">
      <c r="A2680" t="s">
        <v>2219</v>
      </c>
      <c r="B2680" s="1">
        <v>45734</v>
      </c>
      <c r="C2680" t="s">
        <v>6810</v>
      </c>
      <c r="F2680" t="s">
        <v>8048</v>
      </c>
      <c r="H2680" t="s">
        <v>2288</v>
      </c>
      <c r="K2680">
        <v>10000</v>
      </c>
      <c r="L2680" t="s">
        <v>6803</v>
      </c>
    </row>
    <row r="2681" spans="1:12" x14ac:dyDescent="0.35">
      <c r="A2681" t="s">
        <v>2219</v>
      </c>
      <c r="B2681" s="1">
        <v>45734</v>
      </c>
      <c r="C2681" t="s">
        <v>6810</v>
      </c>
      <c r="F2681" t="s">
        <v>7905</v>
      </c>
      <c r="H2681" t="s">
        <v>2288</v>
      </c>
      <c r="J2681">
        <v>10000</v>
      </c>
      <c r="L2681" t="s">
        <v>5957</v>
      </c>
    </row>
    <row r="2682" spans="1:12" x14ac:dyDescent="0.35">
      <c r="A2682" t="s">
        <v>2219</v>
      </c>
      <c r="B2682" s="1">
        <v>45734</v>
      </c>
      <c r="C2682" t="s">
        <v>6812</v>
      </c>
      <c r="F2682" t="s">
        <v>8048</v>
      </c>
      <c r="H2682" t="s">
        <v>2289</v>
      </c>
      <c r="K2682">
        <v>5000</v>
      </c>
      <c r="L2682" t="s">
        <v>6803</v>
      </c>
    </row>
    <row r="2683" spans="1:12" x14ac:dyDescent="0.35">
      <c r="A2683" t="s">
        <v>2219</v>
      </c>
      <c r="B2683" s="1">
        <v>45734</v>
      </c>
      <c r="C2683" t="s">
        <v>6812</v>
      </c>
      <c r="F2683" t="s">
        <v>7905</v>
      </c>
      <c r="H2683" t="s">
        <v>2289</v>
      </c>
      <c r="J2683">
        <v>5000</v>
      </c>
      <c r="L2683" t="s">
        <v>5957</v>
      </c>
    </row>
    <row r="2684" spans="1:12" x14ac:dyDescent="0.35">
      <c r="A2684" t="s">
        <v>2219</v>
      </c>
      <c r="B2684" s="1">
        <v>45735</v>
      </c>
      <c r="C2684" t="s">
        <v>6815</v>
      </c>
      <c r="F2684" t="s">
        <v>8048</v>
      </c>
      <c r="H2684" t="s">
        <v>2259</v>
      </c>
      <c r="J2684">
        <v>500000</v>
      </c>
      <c r="L2684" t="s">
        <v>6803</v>
      </c>
    </row>
    <row r="2685" spans="1:12" x14ac:dyDescent="0.35">
      <c r="A2685" t="s">
        <v>2219</v>
      </c>
      <c r="B2685" s="1">
        <v>45735</v>
      </c>
      <c r="C2685" t="s">
        <v>6815</v>
      </c>
      <c r="F2685" t="s">
        <v>7829</v>
      </c>
      <c r="H2685" t="s">
        <v>2259</v>
      </c>
      <c r="K2685">
        <v>500000</v>
      </c>
      <c r="L2685" t="s">
        <v>6803</v>
      </c>
    </row>
    <row r="2686" spans="1:12" x14ac:dyDescent="0.35">
      <c r="A2686" t="s">
        <v>2219</v>
      </c>
      <c r="B2686" s="1">
        <v>45735</v>
      </c>
      <c r="C2686" t="s">
        <v>6817</v>
      </c>
      <c r="F2686" t="s">
        <v>8048</v>
      </c>
      <c r="H2686" t="s">
        <v>2227</v>
      </c>
      <c r="K2686">
        <v>7500</v>
      </c>
      <c r="L2686" t="s">
        <v>6803</v>
      </c>
    </row>
    <row r="2687" spans="1:12" x14ac:dyDescent="0.35">
      <c r="A2687" t="s">
        <v>2219</v>
      </c>
      <c r="B2687" s="1">
        <v>45735</v>
      </c>
      <c r="C2687" t="s">
        <v>6817</v>
      </c>
      <c r="F2687" t="s">
        <v>7858</v>
      </c>
      <c r="H2687" t="s">
        <v>2227</v>
      </c>
      <c r="J2687">
        <v>7500</v>
      </c>
      <c r="L2687" t="s">
        <v>5957</v>
      </c>
    </row>
    <row r="2688" spans="1:12" x14ac:dyDescent="0.35">
      <c r="A2688" t="s">
        <v>2219</v>
      </c>
      <c r="B2688" s="1">
        <v>45735</v>
      </c>
      <c r="C2688" t="s">
        <v>6821</v>
      </c>
      <c r="F2688" t="s">
        <v>8048</v>
      </c>
      <c r="H2688" t="s">
        <v>2290</v>
      </c>
      <c r="K2688">
        <v>5000</v>
      </c>
      <c r="L2688" t="s">
        <v>6803</v>
      </c>
    </row>
    <row r="2689" spans="1:12" x14ac:dyDescent="0.35">
      <c r="A2689" t="s">
        <v>2219</v>
      </c>
      <c r="B2689" s="1">
        <v>45735</v>
      </c>
      <c r="C2689" t="s">
        <v>6821</v>
      </c>
      <c r="F2689" t="s">
        <v>7905</v>
      </c>
      <c r="H2689" t="s">
        <v>2290</v>
      </c>
      <c r="J2689">
        <v>5000</v>
      </c>
      <c r="L2689" t="s">
        <v>5957</v>
      </c>
    </row>
    <row r="2690" spans="1:12" x14ac:dyDescent="0.35">
      <c r="A2690" t="s">
        <v>2219</v>
      </c>
      <c r="B2690" s="1">
        <v>45735</v>
      </c>
      <c r="C2690" t="s">
        <v>6823</v>
      </c>
      <c r="F2690" t="s">
        <v>8048</v>
      </c>
      <c r="H2690" t="s">
        <v>2291</v>
      </c>
      <c r="K2690">
        <v>10000</v>
      </c>
      <c r="L2690" t="s">
        <v>6803</v>
      </c>
    </row>
    <row r="2691" spans="1:12" x14ac:dyDescent="0.35">
      <c r="A2691" t="s">
        <v>2219</v>
      </c>
      <c r="B2691" s="1">
        <v>45735</v>
      </c>
      <c r="C2691" t="s">
        <v>6823</v>
      </c>
      <c r="F2691" t="s">
        <v>7905</v>
      </c>
      <c r="H2691" t="s">
        <v>2291</v>
      </c>
      <c r="J2691">
        <v>10000</v>
      </c>
      <c r="L2691" t="s">
        <v>5957</v>
      </c>
    </row>
    <row r="2692" spans="1:12" x14ac:dyDescent="0.35">
      <c r="A2692" t="s">
        <v>2219</v>
      </c>
      <c r="B2692" s="1">
        <v>45736</v>
      </c>
      <c r="C2692" t="s">
        <v>6824</v>
      </c>
      <c r="F2692" t="s">
        <v>8048</v>
      </c>
      <c r="H2692" t="s">
        <v>2227</v>
      </c>
      <c r="K2692">
        <v>22500</v>
      </c>
      <c r="L2692" t="s">
        <v>6803</v>
      </c>
    </row>
    <row r="2693" spans="1:12" x14ac:dyDescent="0.35">
      <c r="A2693" t="s">
        <v>2219</v>
      </c>
      <c r="B2693" s="1">
        <v>45736</v>
      </c>
      <c r="C2693" t="s">
        <v>6824</v>
      </c>
      <c r="F2693" t="s">
        <v>7858</v>
      </c>
      <c r="H2693" t="s">
        <v>2227</v>
      </c>
      <c r="J2693">
        <v>22500</v>
      </c>
      <c r="L2693" t="s">
        <v>5957</v>
      </c>
    </row>
    <row r="2694" spans="1:12" x14ac:dyDescent="0.35">
      <c r="A2694" t="s">
        <v>2219</v>
      </c>
      <c r="B2694" s="1">
        <v>45736</v>
      </c>
      <c r="C2694" t="s">
        <v>6825</v>
      </c>
      <c r="F2694" t="s">
        <v>8048</v>
      </c>
      <c r="H2694" t="s">
        <v>2292</v>
      </c>
      <c r="K2694">
        <v>15000</v>
      </c>
      <c r="L2694" t="s">
        <v>6803</v>
      </c>
    </row>
    <row r="2695" spans="1:12" x14ac:dyDescent="0.35">
      <c r="A2695" t="s">
        <v>2219</v>
      </c>
      <c r="B2695" s="1">
        <v>45736</v>
      </c>
      <c r="C2695" t="s">
        <v>6825</v>
      </c>
      <c r="F2695" t="s">
        <v>7905</v>
      </c>
      <c r="H2695" t="s">
        <v>2292</v>
      </c>
      <c r="J2695">
        <v>15000</v>
      </c>
      <c r="L2695" t="s">
        <v>5957</v>
      </c>
    </row>
    <row r="2696" spans="1:12" x14ac:dyDescent="0.35">
      <c r="A2696" t="s">
        <v>2219</v>
      </c>
      <c r="B2696" s="1">
        <v>45736</v>
      </c>
      <c r="C2696" t="s">
        <v>6827</v>
      </c>
      <c r="F2696" t="s">
        <v>8048</v>
      </c>
      <c r="H2696" t="s">
        <v>2293</v>
      </c>
      <c r="K2696">
        <v>15000</v>
      </c>
      <c r="L2696" t="s">
        <v>6803</v>
      </c>
    </row>
    <row r="2697" spans="1:12" x14ac:dyDescent="0.35">
      <c r="A2697" t="s">
        <v>2219</v>
      </c>
      <c r="B2697" s="1">
        <v>45736</v>
      </c>
      <c r="C2697" t="s">
        <v>6827</v>
      </c>
      <c r="F2697" t="s">
        <v>7905</v>
      </c>
      <c r="H2697" t="s">
        <v>2293</v>
      </c>
      <c r="J2697">
        <v>15000</v>
      </c>
      <c r="L2697" t="s">
        <v>5957</v>
      </c>
    </row>
    <row r="2698" spans="1:12" x14ac:dyDescent="0.35">
      <c r="A2698" t="s">
        <v>2219</v>
      </c>
      <c r="B2698" s="1">
        <v>45736</v>
      </c>
      <c r="C2698" t="s">
        <v>6828</v>
      </c>
      <c r="F2698" t="s">
        <v>8048</v>
      </c>
      <c r="H2698" t="s">
        <v>2294</v>
      </c>
      <c r="K2698">
        <v>10000</v>
      </c>
      <c r="L2698" t="s">
        <v>6803</v>
      </c>
    </row>
    <row r="2699" spans="1:12" x14ac:dyDescent="0.35">
      <c r="A2699" t="s">
        <v>2219</v>
      </c>
      <c r="B2699" s="1">
        <v>45736</v>
      </c>
      <c r="C2699" t="s">
        <v>6828</v>
      </c>
      <c r="F2699" t="s">
        <v>7905</v>
      </c>
      <c r="H2699" t="s">
        <v>2294</v>
      </c>
      <c r="J2699">
        <v>10000</v>
      </c>
      <c r="L2699" t="s">
        <v>5957</v>
      </c>
    </row>
    <row r="2700" spans="1:12" x14ac:dyDescent="0.35">
      <c r="A2700" t="s">
        <v>2219</v>
      </c>
      <c r="B2700" s="1">
        <v>45736</v>
      </c>
      <c r="C2700" t="s">
        <v>6829</v>
      </c>
      <c r="F2700" t="s">
        <v>8048</v>
      </c>
      <c r="H2700" t="s">
        <v>2295</v>
      </c>
      <c r="K2700">
        <v>5000</v>
      </c>
      <c r="L2700" t="s">
        <v>6803</v>
      </c>
    </row>
    <row r="2701" spans="1:12" x14ac:dyDescent="0.35">
      <c r="A2701" t="s">
        <v>2219</v>
      </c>
      <c r="B2701" s="1">
        <v>45736</v>
      </c>
      <c r="C2701" t="s">
        <v>6829</v>
      </c>
      <c r="F2701" t="s">
        <v>7905</v>
      </c>
      <c r="H2701" t="s">
        <v>2295</v>
      </c>
      <c r="J2701">
        <v>5000</v>
      </c>
      <c r="L2701" t="s">
        <v>5957</v>
      </c>
    </row>
    <row r="2702" spans="1:12" x14ac:dyDescent="0.35">
      <c r="A2702" t="s">
        <v>2219</v>
      </c>
      <c r="B2702" s="1">
        <v>45736</v>
      </c>
      <c r="C2702" t="s">
        <v>6830</v>
      </c>
      <c r="F2702" t="s">
        <v>8048</v>
      </c>
      <c r="H2702" t="s">
        <v>2257</v>
      </c>
      <c r="K2702">
        <v>10000</v>
      </c>
      <c r="L2702" t="s">
        <v>6803</v>
      </c>
    </row>
    <row r="2703" spans="1:12" x14ac:dyDescent="0.35">
      <c r="A2703" t="s">
        <v>2219</v>
      </c>
      <c r="B2703" s="1">
        <v>45736</v>
      </c>
      <c r="C2703" t="s">
        <v>6830</v>
      </c>
      <c r="F2703" t="s">
        <v>7905</v>
      </c>
      <c r="H2703" t="s">
        <v>2257</v>
      </c>
      <c r="J2703">
        <v>10000</v>
      </c>
      <c r="L2703" t="s">
        <v>5957</v>
      </c>
    </row>
    <row r="2704" spans="1:12" x14ac:dyDescent="0.35">
      <c r="A2704" t="s">
        <v>2219</v>
      </c>
      <c r="B2704" s="1">
        <v>45736</v>
      </c>
      <c r="C2704" t="s">
        <v>6831</v>
      </c>
      <c r="F2704" t="s">
        <v>8048</v>
      </c>
      <c r="H2704" t="s">
        <v>2296</v>
      </c>
      <c r="K2704">
        <v>140000</v>
      </c>
      <c r="L2704" t="s">
        <v>6803</v>
      </c>
    </row>
    <row r="2705" spans="1:12" x14ac:dyDescent="0.35">
      <c r="A2705" t="s">
        <v>2219</v>
      </c>
      <c r="B2705" s="1">
        <v>45736</v>
      </c>
      <c r="C2705" t="s">
        <v>6831</v>
      </c>
      <c r="F2705" t="s">
        <v>6820</v>
      </c>
      <c r="H2705" t="s">
        <v>2296</v>
      </c>
      <c r="J2705">
        <v>140000</v>
      </c>
      <c r="L2705" t="s">
        <v>5958</v>
      </c>
    </row>
    <row r="2706" spans="1:12" x14ac:dyDescent="0.35">
      <c r="A2706" t="s">
        <v>2219</v>
      </c>
      <c r="B2706" s="1">
        <v>45737</v>
      </c>
      <c r="C2706" t="s">
        <v>6833</v>
      </c>
      <c r="F2706" t="s">
        <v>8048</v>
      </c>
      <c r="H2706" t="s">
        <v>2227</v>
      </c>
      <c r="K2706">
        <v>12500</v>
      </c>
      <c r="L2706" t="s">
        <v>6803</v>
      </c>
    </row>
    <row r="2707" spans="1:12" x14ac:dyDescent="0.35">
      <c r="A2707" t="s">
        <v>2219</v>
      </c>
      <c r="B2707" s="1">
        <v>45737</v>
      </c>
      <c r="C2707" t="s">
        <v>6833</v>
      </c>
      <c r="F2707" t="s">
        <v>7858</v>
      </c>
      <c r="H2707" t="s">
        <v>2227</v>
      </c>
      <c r="J2707">
        <v>12500</v>
      </c>
      <c r="L2707" t="s">
        <v>5957</v>
      </c>
    </row>
    <row r="2708" spans="1:12" x14ac:dyDescent="0.35">
      <c r="A2708" t="s">
        <v>2219</v>
      </c>
      <c r="B2708" s="1">
        <v>45737</v>
      </c>
      <c r="C2708" t="s">
        <v>6834</v>
      </c>
      <c r="F2708" t="s">
        <v>8048</v>
      </c>
      <c r="H2708" t="s">
        <v>2297</v>
      </c>
      <c r="K2708">
        <v>5000</v>
      </c>
      <c r="L2708" t="s">
        <v>6803</v>
      </c>
    </row>
    <row r="2709" spans="1:12" x14ac:dyDescent="0.35">
      <c r="A2709" t="s">
        <v>2219</v>
      </c>
      <c r="B2709" s="1">
        <v>45737</v>
      </c>
      <c r="C2709" t="s">
        <v>6834</v>
      </c>
      <c r="F2709" t="s">
        <v>7905</v>
      </c>
      <c r="H2709" t="s">
        <v>2297</v>
      </c>
      <c r="J2709">
        <v>5000</v>
      </c>
      <c r="L2709" t="s">
        <v>5957</v>
      </c>
    </row>
    <row r="2710" spans="1:12" x14ac:dyDescent="0.35">
      <c r="A2710" t="s">
        <v>2219</v>
      </c>
      <c r="B2710" s="1">
        <v>45737</v>
      </c>
      <c r="C2710" t="s">
        <v>6835</v>
      </c>
      <c r="F2710" t="s">
        <v>8048</v>
      </c>
      <c r="H2710" t="s">
        <v>2298</v>
      </c>
      <c r="K2710">
        <v>5000</v>
      </c>
      <c r="L2710" t="s">
        <v>6803</v>
      </c>
    </row>
    <row r="2711" spans="1:12" x14ac:dyDescent="0.35">
      <c r="A2711" t="s">
        <v>2219</v>
      </c>
      <c r="B2711" s="1">
        <v>45737</v>
      </c>
      <c r="C2711" t="s">
        <v>6835</v>
      </c>
      <c r="F2711" t="s">
        <v>7905</v>
      </c>
      <c r="H2711" t="s">
        <v>2298</v>
      </c>
      <c r="J2711">
        <v>5000</v>
      </c>
      <c r="L2711" t="s">
        <v>5957</v>
      </c>
    </row>
    <row r="2712" spans="1:12" x14ac:dyDescent="0.35">
      <c r="A2712" t="s">
        <v>2219</v>
      </c>
      <c r="B2712" s="1">
        <v>45740</v>
      </c>
      <c r="C2712" t="s">
        <v>6836</v>
      </c>
      <c r="F2712" t="s">
        <v>8048</v>
      </c>
      <c r="H2712" t="s">
        <v>2227</v>
      </c>
      <c r="K2712">
        <v>15000</v>
      </c>
      <c r="L2712" t="s">
        <v>6803</v>
      </c>
    </row>
    <row r="2713" spans="1:12" x14ac:dyDescent="0.35">
      <c r="A2713" t="s">
        <v>2219</v>
      </c>
      <c r="B2713" s="1">
        <v>45740</v>
      </c>
      <c r="C2713" t="s">
        <v>6836</v>
      </c>
      <c r="F2713" t="s">
        <v>7858</v>
      </c>
      <c r="H2713" t="s">
        <v>2227</v>
      </c>
      <c r="J2713">
        <v>15000</v>
      </c>
      <c r="L2713" t="s">
        <v>5957</v>
      </c>
    </row>
    <row r="2714" spans="1:12" x14ac:dyDescent="0.35">
      <c r="A2714" t="s">
        <v>2219</v>
      </c>
      <c r="B2714" s="1">
        <v>45740</v>
      </c>
      <c r="C2714" t="s">
        <v>6837</v>
      </c>
      <c r="F2714" t="s">
        <v>8048</v>
      </c>
      <c r="H2714" t="s">
        <v>2299</v>
      </c>
      <c r="K2714">
        <v>60000</v>
      </c>
      <c r="L2714" t="s">
        <v>6803</v>
      </c>
    </row>
    <row r="2715" spans="1:12" x14ac:dyDescent="0.35">
      <c r="A2715" t="s">
        <v>2219</v>
      </c>
      <c r="B2715" s="1">
        <v>45740</v>
      </c>
      <c r="C2715" t="s">
        <v>6837</v>
      </c>
      <c r="F2715" t="s">
        <v>7615</v>
      </c>
      <c r="H2715" t="s">
        <v>2299</v>
      </c>
      <c r="J2715">
        <v>60000</v>
      </c>
      <c r="L2715" t="s">
        <v>5883</v>
      </c>
    </row>
    <row r="2716" spans="1:12" x14ac:dyDescent="0.35">
      <c r="A2716" t="s">
        <v>2219</v>
      </c>
      <c r="B2716" s="1">
        <v>45740</v>
      </c>
      <c r="C2716" t="s">
        <v>6838</v>
      </c>
      <c r="F2716" t="s">
        <v>8048</v>
      </c>
      <c r="H2716" t="s">
        <v>2300</v>
      </c>
      <c r="K2716">
        <v>10000</v>
      </c>
      <c r="L2716" t="s">
        <v>6803</v>
      </c>
    </row>
    <row r="2717" spans="1:12" x14ac:dyDescent="0.35">
      <c r="A2717" t="s">
        <v>2219</v>
      </c>
      <c r="B2717" s="1">
        <v>45740</v>
      </c>
      <c r="C2717" t="s">
        <v>6838</v>
      </c>
      <c r="F2717" t="s">
        <v>7905</v>
      </c>
      <c r="H2717" t="s">
        <v>2300</v>
      </c>
      <c r="J2717">
        <v>10000</v>
      </c>
      <c r="L2717" t="s">
        <v>5957</v>
      </c>
    </row>
    <row r="2718" spans="1:12" x14ac:dyDescent="0.35">
      <c r="A2718" t="s">
        <v>2219</v>
      </c>
      <c r="B2718" s="1">
        <v>45740</v>
      </c>
      <c r="C2718" t="s">
        <v>6840</v>
      </c>
      <c r="F2718" t="s">
        <v>8048</v>
      </c>
      <c r="H2718" t="s">
        <v>2301</v>
      </c>
      <c r="K2718">
        <v>10000</v>
      </c>
      <c r="L2718" t="s">
        <v>6803</v>
      </c>
    </row>
    <row r="2719" spans="1:12" x14ac:dyDescent="0.35">
      <c r="A2719" t="s">
        <v>2219</v>
      </c>
      <c r="B2719" s="1">
        <v>45740</v>
      </c>
      <c r="C2719" t="s">
        <v>6840</v>
      </c>
      <c r="F2719" t="s">
        <v>7905</v>
      </c>
      <c r="H2719" t="s">
        <v>2301</v>
      </c>
      <c r="J2719">
        <v>10000</v>
      </c>
      <c r="L2719" t="s">
        <v>5957</v>
      </c>
    </row>
    <row r="2720" spans="1:12" x14ac:dyDescent="0.35">
      <c r="A2720" t="s">
        <v>2219</v>
      </c>
      <c r="B2720" s="1">
        <v>45741</v>
      </c>
      <c r="C2720" t="s">
        <v>6839</v>
      </c>
      <c r="F2720" t="s">
        <v>8048</v>
      </c>
      <c r="H2720" t="s">
        <v>2302</v>
      </c>
      <c r="K2720">
        <v>15000</v>
      </c>
      <c r="L2720" t="s">
        <v>6803</v>
      </c>
    </row>
    <row r="2721" spans="1:12" x14ac:dyDescent="0.35">
      <c r="A2721" t="s">
        <v>2219</v>
      </c>
      <c r="B2721" s="1">
        <v>45741</v>
      </c>
      <c r="C2721" t="s">
        <v>6839</v>
      </c>
      <c r="F2721" t="s">
        <v>7905</v>
      </c>
      <c r="H2721" t="s">
        <v>2302</v>
      </c>
      <c r="J2721">
        <v>15000</v>
      </c>
      <c r="L2721" t="s">
        <v>5957</v>
      </c>
    </row>
    <row r="2722" spans="1:12" x14ac:dyDescent="0.35">
      <c r="A2722" t="s">
        <v>2219</v>
      </c>
      <c r="B2722" s="1">
        <v>45741</v>
      </c>
      <c r="C2722" t="s">
        <v>6841</v>
      </c>
      <c r="F2722" t="s">
        <v>8048</v>
      </c>
      <c r="H2722" t="s">
        <v>2227</v>
      </c>
      <c r="K2722">
        <v>12500</v>
      </c>
      <c r="L2722" t="s">
        <v>6803</v>
      </c>
    </row>
    <row r="2723" spans="1:12" x14ac:dyDescent="0.35">
      <c r="A2723" t="s">
        <v>2219</v>
      </c>
      <c r="B2723" s="1">
        <v>45741</v>
      </c>
      <c r="C2723" t="s">
        <v>6841</v>
      </c>
      <c r="F2723" t="s">
        <v>7858</v>
      </c>
      <c r="H2723" t="s">
        <v>2227</v>
      </c>
      <c r="J2723">
        <v>12500</v>
      </c>
      <c r="L2723" t="s">
        <v>5957</v>
      </c>
    </row>
    <row r="2724" spans="1:12" x14ac:dyDescent="0.35">
      <c r="A2724" t="s">
        <v>2219</v>
      </c>
      <c r="B2724" s="1">
        <v>45741</v>
      </c>
      <c r="C2724" t="s">
        <v>6842</v>
      </c>
      <c r="F2724" t="s">
        <v>8048</v>
      </c>
      <c r="H2724" t="s">
        <v>2303</v>
      </c>
      <c r="K2724">
        <v>156000</v>
      </c>
      <c r="L2724" t="s">
        <v>6803</v>
      </c>
    </row>
    <row r="2725" spans="1:12" x14ac:dyDescent="0.35">
      <c r="A2725" t="s">
        <v>2219</v>
      </c>
      <c r="B2725" s="1">
        <v>45741</v>
      </c>
      <c r="C2725" t="s">
        <v>6842</v>
      </c>
      <c r="F2725" t="s">
        <v>6820</v>
      </c>
      <c r="H2725" t="s">
        <v>2303</v>
      </c>
      <c r="J2725">
        <v>156000</v>
      </c>
      <c r="L2725" t="s">
        <v>5958</v>
      </c>
    </row>
    <row r="2726" spans="1:12" x14ac:dyDescent="0.35">
      <c r="A2726" t="s">
        <v>2219</v>
      </c>
      <c r="B2726" s="1">
        <v>45741</v>
      </c>
      <c r="C2726" t="s">
        <v>6844</v>
      </c>
      <c r="F2726" t="s">
        <v>8048</v>
      </c>
      <c r="H2726" t="s">
        <v>2304</v>
      </c>
      <c r="K2726">
        <v>5000</v>
      </c>
      <c r="L2726" t="s">
        <v>6803</v>
      </c>
    </row>
    <row r="2727" spans="1:12" x14ac:dyDescent="0.35">
      <c r="A2727" t="s">
        <v>2219</v>
      </c>
      <c r="B2727" s="1">
        <v>45741</v>
      </c>
      <c r="C2727" t="s">
        <v>6844</v>
      </c>
      <c r="F2727" t="s">
        <v>7905</v>
      </c>
      <c r="H2727" t="s">
        <v>2304</v>
      </c>
      <c r="J2727">
        <v>5000</v>
      </c>
      <c r="L2727" t="s">
        <v>5957</v>
      </c>
    </row>
    <row r="2728" spans="1:12" x14ac:dyDescent="0.35">
      <c r="A2728" t="s">
        <v>2219</v>
      </c>
      <c r="B2728" s="1">
        <v>45741</v>
      </c>
      <c r="C2728" t="s">
        <v>6845</v>
      </c>
      <c r="F2728" t="s">
        <v>8048</v>
      </c>
      <c r="H2728" t="s">
        <v>2297</v>
      </c>
      <c r="K2728">
        <v>5000</v>
      </c>
      <c r="L2728" t="s">
        <v>6803</v>
      </c>
    </row>
    <row r="2729" spans="1:12" x14ac:dyDescent="0.35">
      <c r="A2729" t="s">
        <v>2219</v>
      </c>
      <c r="B2729" s="1">
        <v>45741</v>
      </c>
      <c r="C2729" t="s">
        <v>6845</v>
      </c>
      <c r="F2729" t="s">
        <v>7905</v>
      </c>
      <c r="H2729" t="s">
        <v>2297</v>
      </c>
      <c r="J2729">
        <v>5000</v>
      </c>
      <c r="L2729" t="s">
        <v>5957</v>
      </c>
    </row>
    <row r="2730" spans="1:12" x14ac:dyDescent="0.35">
      <c r="A2730" t="s">
        <v>2219</v>
      </c>
      <c r="B2730" s="1">
        <v>45742</v>
      </c>
      <c r="C2730" t="s">
        <v>6846</v>
      </c>
      <c r="F2730" t="s">
        <v>8048</v>
      </c>
      <c r="H2730" t="s">
        <v>2227</v>
      </c>
      <c r="K2730">
        <v>22500</v>
      </c>
      <c r="L2730" t="s">
        <v>6803</v>
      </c>
    </row>
    <row r="2731" spans="1:12" x14ac:dyDescent="0.35">
      <c r="A2731" t="s">
        <v>2219</v>
      </c>
      <c r="B2731" s="1">
        <v>45742</v>
      </c>
      <c r="C2731" t="s">
        <v>6846</v>
      </c>
      <c r="F2731" t="s">
        <v>7858</v>
      </c>
      <c r="H2731" t="s">
        <v>2227</v>
      </c>
      <c r="J2731">
        <v>22500</v>
      </c>
      <c r="L2731" t="s">
        <v>5957</v>
      </c>
    </row>
    <row r="2732" spans="1:12" x14ac:dyDescent="0.35">
      <c r="A2732" t="s">
        <v>2219</v>
      </c>
      <c r="B2732" s="1">
        <v>45742</v>
      </c>
      <c r="C2732" t="s">
        <v>6847</v>
      </c>
      <c r="F2732" t="s">
        <v>8048</v>
      </c>
      <c r="H2732" t="s">
        <v>2305</v>
      </c>
      <c r="K2732">
        <v>5000</v>
      </c>
      <c r="L2732" t="s">
        <v>6803</v>
      </c>
    </row>
    <row r="2733" spans="1:12" x14ac:dyDescent="0.35">
      <c r="A2733" t="s">
        <v>2219</v>
      </c>
      <c r="B2733" s="1">
        <v>45742</v>
      </c>
      <c r="C2733" t="s">
        <v>6847</v>
      </c>
      <c r="F2733" t="s">
        <v>7905</v>
      </c>
      <c r="H2733" t="s">
        <v>2305</v>
      </c>
      <c r="J2733">
        <v>5000</v>
      </c>
      <c r="L2733" t="s">
        <v>5957</v>
      </c>
    </row>
    <row r="2734" spans="1:12" x14ac:dyDescent="0.35">
      <c r="A2734" t="s">
        <v>2219</v>
      </c>
      <c r="B2734" s="1">
        <v>45742</v>
      </c>
      <c r="C2734" t="s">
        <v>6848</v>
      </c>
      <c r="F2734" t="s">
        <v>8048</v>
      </c>
      <c r="H2734" t="s">
        <v>2306</v>
      </c>
      <c r="K2734">
        <v>15000</v>
      </c>
      <c r="L2734" t="s">
        <v>6803</v>
      </c>
    </row>
    <row r="2735" spans="1:12" x14ac:dyDescent="0.35">
      <c r="A2735" t="s">
        <v>2219</v>
      </c>
      <c r="B2735" s="1">
        <v>45742</v>
      </c>
      <c r="C2735" t="s">
        <v>6848</v>
      </c>
      <c r="F2735" t="s">
        <v>7905</v>
      </c>
      <c r="H2735" t="s">
        <v>2306</v>
      </c>
      <c r="J2735">
        <v>15000</v>
      </c>
      <c r="L2735" t="s">
        <v>5957</v>
      </c>
    </row>
    <row r="2736" spans="1:12" x14ac:dyDescent="0.35">
      <c r="A2736" t="s">
        <v>2219</v>
      </c>
      <c r="B2736" s="1">
        <v>45742</v>
      </c>
      <c r="C2736" t="s">
        <v>6849</v>
      </c>
      <c r="F2736" t="s">
        <v>8048</v>
      </c>
      <c r="H2736" t="s">
        <v>2307</v>
      </c>
      <c r="K2736">
        <v>10000</v>
      </c>
      <c r="L2736" t="s">
        <v>6803</v>
      </c>
    </row>
    <row r="2737" spans="1:12" x14ac:dyDescent="0.35">
      <c r="A2737" t="s">
        <v>2219</v>
      </c>
      <c r="B2737" s="1">
        <v>45742</v>
      </c>
      <c r="C2737" t="s">
        <v>6849</v>
      </c>
      <c r="F2737" t="s">
        <v>7905</v>
      </c>
      <c r="H2737" t="s">
        <v>2307</v>
      </c>
      <c r="J2737">
        <v>10000</v>
      </c>
      <c r="L2737" t="s">
        <v>5957</v>
      </c>
    </row>
    <row r="2738" spans="1:12" x14ac:dyDescent="0.35">
      <c r="A2738" t="s">
        <v>2219</v>
      </c>
      <c r="B2738" s="1">
        <v>45742</v>
      </c>
      <c r="C2738" t="s">
        <v>6850</v>
      </c>
      <c r="F2738" t="s">
        <v>8048</v>
      </c>
      <c r="H2738" t="s">
        <v>2308</v>
      </c>
      <c r="K2738">
        <v>10000</v>
      </c>
      <c r="L2738" t="s">
        <v>6803</v>
      </c>
    </row>
    <row r="2739" spans="1:12" x14ac:dyDescent="0.35">
      <c r="A2739" t="s">
        <v>2219</v>
      </c>
      <c r="B2739" s="1">
        <v>45742</v>
      </c>
      <c r="C2739" t="s">
        <v>6850</v>
      </c>
      <c r="F2739" t="s">
        <v>7905</v>
      </c>
      <c r="H2739" t="s">
        <v>2308</v>
      </c>
      <c r="J2739">
        <v>10000</v>
      </c>
      <c r="L2739" t="s">
        <v>5957</v>
      </c>
    </row>
    <row r="2740" spans="1:12" x14ac:dyDescent="0.35">
      <c r="A2740" t="s">
        <v>2219</v>
      </c>
      <c r="B2740" s="1">
        <v>45742</v>
      </c>
      <c r="C2740" t="s">
        <v>6851</v>
      </c>
      <c r="F2740" t="s">
        <v>8048</v>
      </c>
      <c r="H2740" t="s">
        <v>2309</v>
      </c>
      <c r="K2740">
        <v>5000</v>
      </c>
      <c r="L2740" t="s">
        <v>6803</v>
      </c>
    </row>
    <row r="2741" spans="1:12" x14ac:dyDescent="0.35">
      <c r="A2741" t="s">
        <v>2219</v>
      </c>
      <c r="B2741" s="1">
        <v>45742</v>
      </c>
      <c r="C2741" t="s">
        <v>6851</v>
      </c>
      <c r="F2741" t="s">
        <v>7905</v>
      </c>
      <c r="H2741" t="s">
        <v>2309</v>
      </c>
      <c r="J2741">
        <v>5000</v>
      </c>
      <c r="L2741" t="s">
        <v>5957</v>
      </c>
    </row>
    <row r="2742" spans="1:12" x14ac:dyDescent="0.35">
      <c r="A2742" t="s">
        <v>2219</v>
      </c>
      <c r="B2742" s="1">
        <v>45742</v>
      </c>
      <c r="C2742" t="s">
        <v>6852</v>
      </c>
      <c r="F2742" t="s">
        <v>8048</v>
      </c>
      <c r="H2742" t="s">
        <v>2310</v>
      </c>
      <c r="K2742">
        <v>5000</v>
      </c>
      <c r="L2742" t="s">
        <v>6803</v>
      </c>
    </row>
    <row r="2743" spans="1:12" x14ac:dyDescent="0.35">
      <c r="A2743" t="s">
        <v>2219</v>
      </c>
      <c r="B2743" s="1">
        <v>45742</v>
      </c>
      <c r="C2743" t="s">
        <v>6852</v>
      </c>
      <c r="F2743" t="s">
        <v>7905</v>
      </c>
      <c r="H2743" t="s">
        <v>2310</v>
      </c>
      <c r="J2743">
        <v>5000</v>
      </c>
      <c r="L2743" t="s">
        <v>5957</v>
      </c>
    </row>
    <row r="2744" spans="1:12" x14ac:dyDescent="0.35">
      <c r="A2744" t="s">
        <v>2219</v>
      </c>
      <c r="B2744" s="1">
        <v>45743</v>
      </c>
      <c r="C2744" t="s">
        <v>6853</v>
      </c>
      <c r="F2744" t="s">
        <v>8048</v>
      </c>
      <c r="H2744" t="s">
        <v>2311</v>
      </c>
      <c r="K2744">
        <v>15000</v>
      </c>
      <c r="L2744" t="s">
        <v>6803</v>
      </c>
    </row>
    <row r="2745" spans="1:12" x14ac:dyDescent="0.35">
      <c r="A2745" t="s">
        <v>2219</v>
      </c>
      <c r="B2745" s="1">
        <v>45743</v>
      </c>
      <c r="C2745" t="s">
        <v>6853</v>
      </c>
      <c r="F2745" t="s">
        <v>7905</v>
      </c>
      <c r="H2745" t="s">
        <v>2311</v>
      </c>
      <c r="J2745">
        <v>15000</v>
      </c>
      <c r="L2745" t="s">
        <v>5957</v>
      </c>
    </row>
    <row r="2746" spans="1:12" x14ac:dyDescent="0.35">
      <c r="A2746" t="s">
        <v>2219</v>
      </c>
      <c r="B2746" s="1">
        <v>45744</v>
      </c>
      <c r="C2746" t="s">
        <v>6854</v>
      </c>
      <c r="F2746" t="s">
        <v>8048</v>
      </c>
      <c r="H2746" t="s">
        <v>2227</v>
      </c>
      <c r="K2746">
        <v>10000</v>
      </c>
      <c r="L2746" t="s">
        <v>6803</v>
      </c>
    </row>
    <row r="2747" spans="1:12" x14ac:dyDescent="0.35">
      <c r="A2747" t="s">
        <v>2219</v>
      </c>
      <c r="B2747" s="1">
        <v>45744</v>
      </c>
      <c r="C2747" t="s">
        <v>6854</v>
      </c>
      <c r="F2747" t="s">
        <v>7858</v>
      </c>
      <c r="H2747" t="s">
        <v>2227</v>
      </c>
      <c r="J2747">
        <v>10000</v>
      </c>
      <c r="L2747" t="s">
        <v>5957</v>
      </c>
    </row>
    <row r="2748" spans="1:12" x14ac:dyDescent="0.35">
      <c r="A2748" t="s">
        <v>2219</v>
      </c>
      <c r="B2748" s="1">
        <v>45744</v>
      </c>
      <c r="C2748" t="s">
        <v>6855</v>
      </c>
      <c r="F2748" t="s">
        <v>8048</v>
      </c>
      <c r="H2748" t="s">
        <v>2312</v>
      </c>
      <c r="K2748">
        <v>10000</v>
      </c>
      <c r="L2748" t="s">
        <v>6803</v>
      </c>
    </row>
    <row r="2749" spans="1:12" x14ac:dyDescent="0.35">
      <c r="A2749" t="s">
        <v>2219</v>
      </c>
      <c r="B2749" s="1">
        <v>45744</v>
      </c>
      <c r="C2749" t="s">
        <v>6855</v>
      </c>
      <c r="F2749" t="s">
        <v>7905</v>
      </c>
      <c r="H2749" t="s">
        <v>2312</v>
      </c>
      <c r="J2749">
        <v>10000</v>
      </c>
      <c r="L2749" t="s">
        <v>5957</v>
      </c>
    </row>
    <row r="2750" spans="1:12" x14ac:dyDescent="0.35">
      <c r="A2750" t="s">
        <v>2219</v>
      </c>
      <c r="B2750" s="1">
        <v>45744</v>
      </c>
      <c r="C2750" t="s">
        <v>6856</v>
      </c>
      <c r="F2750" t="s">
        <v>8048</v>
      </c>
      <c r="H2750" t="s">
        <v>2313</v>
      </c>
      <c r="K2750">
        <v>10000</v>
      </c>
      <c r="L2750" t="s">
        <v>6803</v>
      </c>
    </row>
    <row r="2751" spans="1:12" x14ac:dyDescent="0.35">
      <c r="A2751" t="s">
        <v>2219</v>
      </c>
      <c r="B2751" s="1">
        <v>45744</v>
      </c>
      <c r="C2751" t="s">
        <v>6856</v>
      </c>
      <c r="F2751" t="s">
        <v>7905</v>
      </c>
      <c r="H2751" t="s">
        <v>2313</v>
      </c>
      <c r="J2751">
        <v>10000</v>
      </c>
      <c r="L2751" t="s">
        <v>5957</v>
      </c>
    </row>
    <row r="2752" spans="1:12" x14ac:dyDescent="0.35">
      <c r="A2752" t="s">
        <v>2219</v>
      </c>
      <c r="B2752" s="1">
        <v>45744</v>
      </c>
      <c r="C2752" t="s">
        <v>6857</v>
      </c>
      <c r="F2752" t="s">
        <v>8048</v>
      </c>
      <c r="H2752" t="s">
        <v>2314</v>
      </c>
      <c r="K2752">
        <v>15000</v>
      </c>
      <c r="L2752" t="s">
        <v>6803</v>
      </c>
    </row>
    <row r="2753" spans="1:12" x14ac:dyDescent="0.35">
      <c r="A2753" t="s">
        <v>2219</v>
      </c>
      <c r="B2753" s="1">
        <v>45744</v>
      </c>
      <c r="C2753" t="s">
        <v>6857</v>
      </c>
      <c r="F2753" t="s">
        <v>7905</v>
      </c>
      <c r="H2753" t="s">
        <v>2314</v>
      </c>
      <c r="J2753">
        <v>15000</v>
      </c>
      <c r="L2753" t="s">
        <v>5957</v>
      </c>
    </row>
    <row r="2754" spans="1:12" x14ac:dyDescent="0.35">
      <c r="A2754" t="s">
        <v>2219</v>
      </c>
      <c r="B2754" s="1">
        <v>45744</v>
      </c>
      <c r="C2754" t="s">
        <v>6858</v>
      </c>
      <c r="F2754" t="s">
        <v>8048</v>
      </c>
      <c r="H2754" t="s">
        <v>2315</v>
      </c>
      <c r="K2754">
        <v>5000</v>
      </c>
      <c r="L2754" t="s">
        <v>6803</v>
      </c>
    </row>
    <row r="2755" spans="1:12" x14ac:dyDescent="0.35">
      <c r="A2755" t="s">
        <v>2219</v>
      </c>
      <c r="B2755" s="1">
        <v>45744</v>
      </c>
      <c r="C2755" t="s">
        <v>6858</v>
      </c>
      <c r="F2755" t="s">
        <v>7905</v>
      </c>
      <c r="H2755" t="s">
        <v>2315</v>
      </c>
      <c r="J2755">
        <v>5000</v>
      </c>
      <c r="L2755" t="s">
        <v>5957</v>
      </c>
    </row>
    <row r="2756" spans="1:12" x14ac:dyDescent="0.35">
      <c r="A2756" t="s">
        <v>2219</v>
      </c>
      <c r="B2756" s="1">
        <v>45744</v>
      </c>
      <c r="C2756" t="s">
        <v>6859</v>
      </c>
      <c r="F2756" t="s">
        <v>8048</v>
      </c>
      <c r="H2756" t="s">
        <v>2316</v>
      </c>
      <c r="K2756">
        <v>10000</v>
      </c>
      <c r="L2756" t="s">
        <v>6803</v>
      </c>
    </row>
    <row r="2757" spans="1:12" x14ac:dyDescent="0.35">
      <c r="A2757" t="s">
        <v>2219</v>
      </c>
      <c r="B2757" s="1">
        <v>45744</v>
      </c>
      <c r="C2757" t="s">
        <v>6859</v>
      </c>
      <c r="F2757" t="s">
        <v>7905</v>
      </c>
      <c r="H2757" t="s">
        <v>2316</v>
      </c>
      <c r="J2757">
        <v>10000</v>
      </c>
      <c r="L2757" t="s">
        <v>5957</v>
      </c>
    </row>
    <row r="2758" spans="1:12" x14ac:dyDescent="0.35">
      <c r="A2758" t="s">
        <v>2219</v>
      </c>
      <c r="B2758" s="1">
        <v>45744</v>
      </c>
      <c r="C2758" t="s">
        <v>6860</v>
      </c>
      <c r="F2758" t="s">
        <v>8048</v>
      </c>
      <c r="H2758" t="s">
        <v>2317</v>
      </c>
      <c r="K2758">
        <v>5000</v>
      </c>
      <c r="L2758" t="s">
        <v>6803</v>
      </c>
    </row>
    <row r="2759" spans="1:12" x14ac:dyDescent="0.35">
      <c r="A2759" t="s">
        <v>2219</v>
      </c>
      <c r="B2759" s="1">
        <v>45744</v>
      </c>
      <c r="C2759" t="s">
        <v>6860</v>
      </c>
      <c r="F2759" t="s">
        <v>6820</v>
      </c>
      <c r="H2759" t="s">
        <v>2317</v>
      </c>
      <c r="J2759">
        <v>5000</v>
      </c>
      <c r="L2759" t="s">
        <v>5958</v>
      </c>
    </row>
    <row r="2760" spans="1:12" x14ac:dyDescent="0.35">
      <c r="A2760" t="s">
        <v>2318</v>
      </c>
      <c r="B2760" s="1">
        <v>45717</v>
      </c>
      <c r="C2760" t="s">
        <v>7635</v>
      </c>
      <c r="F2760" t="s">
        <v>8049</v>
      </c>
      <c r="H2760" t="s">
        <v>2319</v>
      </c>
      <c r="K2760">
        <v>1000</v>
      </c>
      <c r="L2760" t="s">
        <v>6803</v>
      </c>
    </row>
    <row r="2761" spans="1:12" x14ac:dyDescent="0.35">
      <c r="A2761" t="s">
        <v>2318</v>
      </c>
      <c r="B2761" s="1">
        <v>45717</v>
      </c>
      <c r="C2761" t="s">
        <v>7635</v>
      </c>
      <c r="F2761" t="s">
        <v>7983</v>
      </c>
      <c r="H2761" t="s">
        <v>2319</v>
      </c>
      <c r="J2761">
        <v>1000</v>
      </c>
      <c r="L2761" t="s">
        <v>5937</v>
      </c>
    </row>
    <row r="2762" spans="1:12" x14ac:dyDescent="0.35">
      <c r="A2762" t="s">
        <v>2318</v>
      </c>
      <c r="B2762" s="1">
        <v>45717</v>
      </c>
      <c r="C2762" t="s">
        <v>7636</v>
      </c>
      <c r="F2762" t="s">
        <v>8049</v>
      </c>
      <c r="H2762" t="s">
        <v>2320</v>
      </c>
      <c r="K2762">
        <v>1000</v>
      </c>
      <c r="L2762" t="s">
        <v>6803</v>
      </c>
    </row>
    <row r="2763" spans="1:12" x14ac:dyDescent="0.35">
      <c r="A2763" t="s">
        <v>2318</v>
      </c>
      <c r="B2763" s="1">
        <v>45717</v>
      </c>
      <c r="C2763" t="s">
        <v>7636</v>
      </c>
      <c r="F2763" t="s">
        <v>7983</v>
      </c>
      <c r="H2763" t="s">
        <v>2320</v>
      </c>
      <c r="J2763">
        <v>1000</v>
      </c>
      <c r="L2763" t="s">
        <v>5937</v>
      </c>
    </row>
    <row r="2764" spans="1:12" x14ac:dyDescent="0.35">
      <c r="A2764" t="s">
        <v>2318</v>
      </c>
      <c r="B2764" s="1">
        <v>45719</v>
      </c>
      <c r="C2764" t="s">
        <v>7637</v>
      </c>
      <c r="F2764" t="s">
        <v>8049</v>
      </c>
      <c r="H2764" t="s">
        <v>2321</v>
      </c>
      <c r="K2764">
        <v>2000</v>
      </c>
      <c r="L2764" t="s">
        <v>6803</v>
      </c>
    </row>
    <row r="2765" spans="1:12" x14ac:dyDescent="0.35">
      <c r="A2765" t="s">
        <v>2318</v>
      </c>
      <c r="B2765" s="1">
        <v>45719</v>
      </c>
      <c r="C2765" t="s">
        <v>7637</v>
      </c>
      <c r="F2765" t="s">
        <v>7447</v>
      </c>
      <c r="H2765" t="s">
        <v>2321</v>
      </c>
      <c r="J2765">
        <v>2000</v>
      </c>
      <c r="L2765" t="s">
        <v>5917</v>
      </c>
    </row>
    <row r="2766" spans="1:12" x14ac:dyDescent="0.35">
      <c r="A2766" t="s">
        <v>2318</v>
      </c>
      <c r="B2766" s="1">
        <v>45719</v>
      </c>
      <c r="C2766" t="s">
        <v>7638</v>
      </c>
      <c r="F2766" t="s">
        <v>8049</v>
      </c>
      <c r="H2766" t="s">
        <v>2322</v>
      </c>
      <c r="K2766">
        <v>8700</v>
      </c>
      <c r="L2766" t="s">
        <v>6803</v>
      </c>
    </row>
    <row r="2767" spans="1:12" x14ac:dyDescent="0.35">
      <c r="A2767" t="s">
        <v>2318</v>
      </c>
      <c r="B2767" s="1">
        <v>45719</v>
      </c>
      <c r="C2767" t="s">
        <v>7638</v>
      </c>
      <c r="F2767" t="s">
        <v>7447</v>
      </c>
      <c r="H2767" t="s">
        <v>2322</v>
      </c>
      <c r="J2767">
        <v>8700</v>
      </c>
      <c r="L2767" t="s">
        <v>5917</v>
      </c>
    </row>
    <row r="2768" spans="1:12" x14ac:dyDescent="0.35">
      <c r="A2768" t="s">
        <v>2318</v>
      </c>
      <c r="B2768" s="1">
        <v>45719</v>
      </c>
      <c r="C2768" t="s">
        <v>7640</v>
      </c>
      <c r="F2768" t="s">
        <v>8049</v>
      </c>
      <c r="H2768" t="s">
        <v>2323</v>
      </c>
      <c r="K2768">
        <v>6700</v>
      </c>
      <c r="L2768" t="s">
        <v>6803</v>
      </c>
    </row>
    <row r="2769" spans="1:12" x14ac:dyDescent="0.35">
      <c r="A2769" t="s">
        <v>2318</v>
      </c>
      <c r="B2769" s="1">
        <v>45719</v>
      </c>
      <c r="C2769" t="s">
        <v>7640</v>
      </c>
      <c r="F2769" t="s">
        <v>7447</v>
      </c>
      <c r="H2769" t="s">
        <v>2323</v>
      </c>
      <c r="J2769">
        <v>6700</v>
      </c>
      <c r="L2769" t="s">
        <v>5917</v>
      </c>
    </row>
    <row r="2770" spans="1:12" x14ac:dyDescent="0.35">
      <c r="A2770" t="s">
        <v>2318</v>
      </c>
      <c r="B2770" s="1">
        <v>45724</v>
      </c>
      <c r="C2770" t="s">
        <v>7642</v>
      </c>
      <c r="F2770" t="s">
        <v>8049</v>
      </c>
      <c r="H2770" t="s">
        <v>2324</v>
      </c>
      <c r="K2770">
        <v>35000</v>
      </c>
      <c r="L2770" t="s">
        <v>6803</v>
      </c>
    </row>
    <row r="2771" spans="1:12" x14ac:dyDescent="0.35">
      <c r="A2771" t="s">
        <v>2318</v>
      </c>
      <c r="B2771" s="1">
        <v>45724</v>
      </c>
      <c r="C2771" t="s">
        <v>7642</v>
      </c>
      <c r="F2771" t="s">
        <v>6820</v>
      </c>
      <c r="H2771" t="s">
        <v>2324</v>
      </c>
      <c r="J2771">
        <v>35000</v>
      </c>
      <c r="L2771" t="s">
        <v>5890</v>
      </c>
    </row>
    <row r="2772" spans="1:12" x14ac:dyDescent="0.35">
      <c r="A2772" t="s">
        <v>2318</v>
      </c>
      <c r="B2772" s="1">
        <v>45724</v>
      </c>
      <c r="C2772" t="s">
        <v>7645</v>
      </c>
      <c r="F2772" t="s">
        <v>8049</v>
      </c>
      <c r="H2772" t="s">
        <v>2325</v>
      </c>
      <c r="K2772">
        <v>4500</v>
      </c>
      <c r="L2772" t="s">
        <v>6803</v>
      </c>
    </row>
    <row r="2773" spans="1:12" x14ac:dyDescent="0.35">
      <c r="A2773" t="s">
        <v>2318</v>
      </c>
      <c r="B2773" s="1">
        <v>45724</v>
      </c>
      <c r="C2773" t="s">
        <v>7645</v>
      </c>
      <c r="F2773" t="s">
        <v>7983</v>
      </c>
      <c r="H2773" t="s">
        <v>2325</v>
      </c>
      <c r="J2773">
        <v>4500</v>
      </c>
      <c r="L2773" t="s">
        <v>5937</v>
      </c>
    </row>
    <row r="2774" spans="1:12" x14ac:dyDescent="0.35">
      <c r="A2774" t="s">
        <v>2318</v>
      </c>
      <c r="B2774" s="1">
        <v>45726</v>
      </c>
      <c r="C2774" t="s">
        <v>7647</v>
      </c>
      <c r="F2774" t="s">
        <v>8049</v>
      </c>
      <c r="H2774" t="s">
        <v>2326</v>
      </c>
      <c r="K2774">
        <v>1000</v>
      </c>
      <c r="L2774" t="s">
        <v>6803</v>
      </c>
    </row>
    <row r="2775" spans="1:12" x14ac:dyDescent="0.35">
      <c r="A2775" t="s">
        <v>2318</v>
      </c>
      <c r="B2775" s="1">
        <v>45726</v>
      </c>
      <c r="C2775" t="s">
        <v>7647</v>
      </c>
      <c r="F2775" t="s">
        <v>7447</v>
      </c>
      <c r="H2775" t="s">
        <v>2326</v>
      </c>
      <c r="J2775">
        <v>1000</v>
      </c>
      <c r="L2775" t="s">
        <v>5917</v>
      </c>
    </row>
    <row r="2776" spans="1:12" x14ac:dyDescent="0.35">
      <c r="A2776" t="s">
        <v>2318</v>
      </c>
      <c r="B2776" s="1">
        <v>45729</v>
      </c>
      <c r="C2776" t="s">
        <v>7495</v>
      </c>
      <c r="F2776" t="s">
        <v>7823</v>
      </c>
      <c r="G2776" t="s">
        <v>7835</v>
      </c>
      <c r="H2776" t="s">
        <v>2327</v>
      </c>
      <c r="K2776">
        <v>236000</v>
      </c>
      <c r="L2776" t="s">
        <v>6803</v>
      </c>
    </row>
    <row r="2777" spans="1:12" x14ac:dyDescent="0.35">
      <c r="A2777" t="s">
        <v>2318</v>
      </c>
      <c r="B2777" s="1">
        <v>45729</v>
      </c>
      <c r="C2777" t="s">
        <v>7495</v>
      </c>
      <c r="F2777" t="s">
        <v>8049</v>
      </c>
      <c r="H2777" t="s">
        <v>2327</v>
      </c>
      <c r="J2777">
        <v>236000</v>
      </c>
      <c r="L2777" t="s">
        <v>6803</v>
      </c>
    </row>
    <row r="2778" spans="1:12" x14ac:dyDescent="0.35">
      <c r="A2778" t="s">
        <v>2318</v>
      </c>
      <c r="B2778" s="1">
        <v>45731</v>
      </c>
      <c r="C2778" t="s">
        <v>7496</v>
      </c>
      <c r="F2778" t="s">
        <v>8049</v>
      </c>
      <c r="H2778" t="s">
        <v>2328</v>
      </c>
      <c r="K2778">
        <v>6000</v>
      </c>
      <c r="L2778" t="s">
        <v>6803</v>
      </c>
    </row>
    <row r="2779" spans="1:12" x14ac:dyDescent="0.35">
      <c r="A2779" t="s">
        <v>2318</v>
      </c>
      <c r="B2779" s="1">
        <v>45731</v>
      </c>
      <c r="C2779" t="s">
        <v>7496</v>
      </c>
      <c r="F2779" t="s">
        <v>7983</v>
      </c>
      <c r="H2779" t="s">
        <v>2328</v>
      </c>
      <c r="J2779">
        <v>6000</v>
      </c>
      <c r="L2779" t="s">
        <v>5937</v>
      </c>
    </row>
    <row r="2780" spans="1:12" x14ac:dyDescent="0.35">
      <c r="A2780" t="s">
        <v>2318</v>
      </c>
      <c r="B2780" s="1">
        <v>45732</v>
      </c>
      <c r="C2780" t="s">
        <v>7497</v>
      </c>
      <c r="F2780" t="s">
        <v>8049</v>
      </c>
      <c r="H2780" t="s">
        <v>2329</v>
      </c>
      <c r="K2780">
        <v>4000</v>
      </c>
      <c r="L2780" t="s">
        <v>6803</v>
      </c>
    </row>
    <row r="2781" spans="1:12" x14ac:dyDescent="0.35">
      <c r="A2781" t="s">
        <v>2318</v>
      </c>
      <c r="B2781" s="1">
        <v>45732</v>
      </c>
      <c r="C2781" t="s">
        <v>7497</v>
      </c>
      <c r="F2781" t="s">
        <v>7611</v>
      </c>
      <c r="H2781" t="s">
        <v>2329</v>
      </c>
      <c r="J2781">
        <v>4000</v>
      </c>
      <c r="L2781" t="s">
        <v>5937</v>
      </c>
    </row>
    <row r="2782" spans="1:12" x14ac:dyDescent="0.35">
      <c r="A2782" t="s">
        <v>2318</v>
      </c>
      <c r="B2782" s="1">
        <v>45735</v>
      </c>
      <c r="C2782" t="s">
        <v>7498</v>
      </c>
      <c r="F2782" t="s">
        <v>8049</v>
      </c>
      <c r="H2782" t="s">
        <v>2330</v>
      </c>
      <c r="K2782">
        <v>5000</v>
      </c>
      <c r="L2782" t="s">
        <v>6803</v>
      </c>
    </row>
    <row r="2783" spans="1:12" x14ac:dyDescent="0.35">
      <c r="A2783" t="s">
        <v>2318</v>
      </c>
      <c r="B2783" s="1">
        <v>45735</v>
      </c>
      <c r="C2783" t="s">
        <v>7498</v>
      </c>
      <c r="F2783" t="s">
        <v>7785</v>
      </c>
      <c r="H2783" t="s">
        <v>2330</v>
      </c>
      <c r="J2783">
        <v>5000</v>
      </c>
      <c r="L2783" t="s">
        <v>5937</v>
      </c>
    </row>
    <row r="2784" spans="1:12" x14ac:dyDescent="0.35">
      <c r="A2784" t="s">
        <v>2318</v>
      </c>
      <c r="B2784" s="1">
        <v>45738</v>
      </c>
      <c r="C2784" t="s">
        <v>7499</v>
      </c>
      <c r="F2784" t="s">
        <v>8049</v>
      </c>
      <c r="H2784" t="s">
        <v>2331</v>
      </c>
      <c r="K2784">
        <v>60060</v>
      </c>
      <c r="L2784" t="s">
        <v>6803</v>
      </c>
    </row>
    <row r="2785" spans="1:12" x14ac:dyDescent="0.35">
      <c r="A2785" t="s">
        <v>2318</v>
      </c>
      <c r="B2785" s="1">
        <v>45738</v>
      </c>
      <c r="C2785" t="s">
        <v>7499</v>
      </c>
      <c r="F2785" t="s">
        <v>7902</v>
      </c>
      <c r="H2785" t="s">
        <v>2331</v>
      </c>
      <c r="J2785">
        <v>60060</v>
      </c>
      <c r="L2785" t="s">
        <v>5959</v>
      </c>
    </row>
    <row r="2786" spans="1:12" x14ac:dyDescent="0.35">
      <c r="A2786" t="s">
        <v>2318</v>
      </c>
      <c r="B2786" s="1">
        <v>45742</v>
      </c>
      <c r="C2786" t="s">
        <v>7649</v>
      </c>
      <c r="F2786" t="s">
        <v>8049</v>
      </c>
      <c r="H2786" t="s">
        <v>2332</v>
      </c>
      <c r="K2786">
        <v>2000</v>
      </c>
      <c r="L2786" t="s">
        <v>6803</v>
      </c>
    </row>
    <row r="2787" spans="1:12" x14ac:dyDescent="0.35">
      <c r="A2787" t="s">
        <v>2318</v>
      </c>
      <c r="B2787" s="1">
        <v>45742</v>
      </c>
      <c r="C2787" t="s">
        <v>7649</v>
      </c>
      <c r="F2787" t="s">
        <v>7611</v>
      </c>
      <c r="H2787" t="s">
        <v>2332</v>
      </c>
      <c r="J2787">
        <v>2000</v>
      </c>
      <c r="L2787" t="s">
        <v>5937</v>
      </c>
    </row>
    <row r="2788" spans="1:12" x14ac:dyDescent="0.35">
      <c r="A2788" t="s">
        <v>2318</v>
      </c>
      <c r="B2788" s="1">
        <v>45744</v>
      </c>
      <c r="C2788" t="s">
        <v>7651</v>
      </c>
      <c r="F2788" t="s">
        <v>8049</v>
      </c>
      <c r="H2788" t="s">
        <v>2333</v>
      </c>
      <c r="J2788">
        <v>6503907</v>
      </c>
      <c r="L2788" t="s">
        <v>6803</v>
      </c>
    </row>
    <row r="2789" spans="1:12" x14ac:dyDescent="0.35">
      <c r="A2789" t="s">
        <v>2318</v>
      </c>
      <c r="B2789" s="1">
        <v>45744</v>
      </c>
      <c r="C2789" t="s">
        <v>7651</v>
      </c>
      <c r="F2789" t="s">
        <v>7829</v>
      </c>
      <c r="H2789" t="s">
        <v>2333</v>
      </c>
      <c r="K2789">
        <v>6503907</v>
      </c>
      <c r="L2789" t="s">
        <v>6803</v>
      </c>
    </row>
    <row r="2790" spans="1:12" x14ac:dyDescent="0.35">
      <c r="A2790" t="s">
        <v>2318</v>
      </c>
      <c r="B2790" s="1">
        <v>45744</v>
      </c>
      <c r="C2790" t="s">
        <v>7653</v>
      </c>
      <c r="F2790" t="s">
        <v>7847</v>
      </c>
      <c r="H2790" t="s">
        <v>2334</v>
      </c>
      <c r="J2790">
        <v>6503907</v>
      </c>
      <c r="L2790" t="s">
        <v>6803</v>
      </c>
    </row>
    <row r="2791" spans="1:12" x14ac:dyDescent="0.35">
      <c r="A2791" t="s">
        <v>2318</v>
      </c>
      <c r="B2791" s="1">
        <v>45744</v>
      </c>
      <c r="C2791" t="s">
        <v>7653</v>
      </c>
      <c r="F2791" t="s">
        <v>8049</v>
      </c>
      <c r="H2791" t="s">
        <v>2334</v>
      </c>
      <c r="K2791">
        <v>6503907</v>
      </c>
      <c r="L2791" t="s">
        <v>6803</v>
      </c>
    </row>
    <row r="2792" spans="1:12" x14ac:dyDescent="0.35">
      <c r="A2792" t="s">
        <v>2318</v>
      </c>
      <c r="B2792" s="1">
        <v>45744</v>
      </c>
      <c r="C2792" t="s">
        <v>7657</v>
      </c>
      <c r="F2792" t="s">
        <v>8049</v>
      </c>
      <c r="H2792" t="s">
        <v>2335</v>
      </c>
      <c r="K2792">
        <v>65039</v>
      </c>
      <c r="L2792" t="s">
        <v>6803</v>
      </c>
    </row>
    <row r="2793" spans="1:12" x14ac:dyDescent="0.35">
      <c r="A2793" t="s">
        <v>2318</v>
      </c>
      <c r="B2793" s="1">
        <v>45744</v>
      </c>
      <c r="C2793" t="s">
        <v>7657</v>
      </c>
      <c r="F2793" t="s">
        <v>8050</v>
      </c>
      <c r="H2793" t="s">
        <v>2335</v>
      </c>
      <c r="J2793">
        <v>65039</v>
      </c>
      <c r="L2793" t="s">
        <v>347</v>
      </c>
    </row>
    <row r="2794" spans="1:12" x14ac:dyDescent="0.35">
      <c r="A2794" t="s">
        <v>2318</v>
      </c>
      <c r="B2794" s="1">
        <v>45745</v>
      </c>
      <c r="C2794" t="s">
        <v>7655</v>
      </c>
      <c r="F2794" t="s">
        <v>8049</v>
      </c>
      <c r="H2794" t="s">
        <v>2336</v>
      </c>
      <c r="K2794">
        <v>262750</v>
      </c>
      <c r="L2794" t="s">
        <v>6803</v>
      </c>
    </row>
    <row r="2795" spans="1:12" x14ac:dyDescent="0.35">
      <c r="A2795" t="s">
        <v>2318</v>
      </c>
      <c r="B2795" s="1">
        <v>45745</v>
      </c>
      <c r="C2795" t="s">
        <v>7655</v>
      </c>
      <c r="F2795" t="s">
        <v>7447</v>
      </c>
      <c r="H2795" t="s">
        <v>2336</v>
      </c>
      <c r="J2795">
        <v>262750</v>
      </c>
      <c r="L2795" t="s">
        <v>5917</v>
      </c>
    </row>
    <row r="2796" spans="1:12" x14ac:dyDescent="0.35">
      <c r="A2796" t="s">
        <v>2337</v>
      </c>
      <c r="B2796" s="1">
        <v>45719</v>
      </c>
      <c r="C2796" t="s">
        <v>7081</v>
      </c>
      <c r="E2796" t="s">
        <v>8051</v>
      </c>
      <c r="F2796" t="s">
        <v>8052</v>
      </c>
      <c r="H2796" t="s">
        <v>2338</v>
      </c>
      <c r="K2796">
        <v>17000</v>
      </c>
      <c r="L2796" t="s">
        <v>6803</v>
      </c>
    </row>
    <row r="2797" spans="1:12" x14ac:dyDescent="0.35">
      <c r="A2797" t="s">
        <v>2337</v>
      </c>
      <c r="B2797" s="1">
        <v>45719</v>
      </c>
      <c r="C2797" t="s">
        <v>7081</v>
      </c>
      <c r="E2797" t="s">
        <v>8051</v>
      </c>
      <c r="F2797" t="s">
        <v>7928</v>
      </c>
      <c r="H2797" t="s">
        <v>2338</v>
      </c>
      <c r="J2797">
        <v>17000</v>
      </c>
      <c r="L2797" t="s">
        <v>5873</v>
      </c>
    </row>
    <row r="2798" spans="1:12" x14ac:dyDescent="0.35">
      <c r="A2798" t="s">
        <v>2337</v>
      </c>
      <c r="B2798" s="1">
        <v>45719</v>
      </c>
      <c r="C2798" t="s">
        <v>7083</v>
      </c>
      <c r="E2798" t="s">
        <v>8053</v>
      </c>
      <c r="F2798" t="s">
        <v>8052</v>
      </c>
      <c r="H2798" t="s">
        <v>2339</v>
      </c>
      <c r="K2798">
        <v>30000</v>
      </c>
      <c r="L2798" t="s">
        <v>6803</v>
      </c>
    </row>
    <row r="2799" spans="1:12" x14ac:dyDescent="0.35">
      <c r="A2799" t="s">
        <v>2337</v>
      </c>
      <c r="B2799" s="1">
        <v>45719</v>
      </c>
      <c r="C2799" t="s">
        <v>7083</v>
      </c>
      <c r="E2799" t="s">
        <v>8053</v>
      </c>
      <c r="F2799" t="s">
        <v>7928</v>
      </c>
      <c r="H2799" t="s">
        <v>2339</v>
      </c>
      <c r="J2799">
        <v>30000</v>
      </c>
      <c r="L2799" t="s">
        <v>5877</v>
      </c>
    </row>
    <row r="2800" spans="1:12" x14ac:dyDescent="0.35">
      <c r="A2800" t="s">
        <v>2337</v>
      </c>
      <c r="B2800" s="1">
        <v>45719</v>
      </c>
      <c r="C2800" t="s">
        <v>7085</v>
      </c>
      <c r="E2800" t="s">
        <v>8054</v>
      </c>
      <c r="F2800" t="s">
        <v>8052</v>
      </c>
      <c r="H2800" t="s">
        <v>2340</v>
      </c>
      <c r="K2800">
        <v>5000</v>
      </c>
      <c r="L2800" t="s">
        <v>6803</v>
      </c>
    </row>
    <row r="2801" spans="1:12" x14ac:dyDescent="0.35">
      <c r="A2801" t="s">
        <v>2337</v>
      </c>
      <c r="B2801" s="1">
        <v>45719</v>
      </c>
      <c r="C2801" t="s">
        <v>7085</v>
      </c>
      <c r="E2801" t="s">
        <v>8054</v>
      </c>
      <c r="F2801" t="s">
        <v>7928</v>
      </c>
      <c r="H2801" t="s">
        <v>2340</v>
      </c>
      <c r="J2801">
        <v>5000</v>
      </c>
      <c r="L2801" t="s">
        <v>5877</v>
      </c>
    </row>
    <row r="2802" spans="1:12" x14ac:dyDescent="0.35">
      <c r="A2802" t="s">
        <v>2337</v>
      </c>
      <c r="B2802" s="1">
        <v>45719</v>
      </c>
      <c r="C2802" t="s">
        <v>7087</v>
      </c>
      <c r="E2802" t="s">
        <v>8055</v>
      </c>
      <c r="F2802" t="s">
        <v>8052</v>
      </c>
      <c r="H2802" t="s">
        <v>2341</v>
      </c>
      <c r="K2802">
        <v>40000</v>
      </c>
      <c r="L2802" t="s">
        <v>6803</v>
      </c>
    </row>
    <row r="2803" spans="1:12" x14ac:dyDescent="0.35">
      <c r="A2803" t="s">
        <v>2337</v>
      </c>
      <c r="B2803" s="1">
        <v>45719</v>
      </c>
      <c r="C2803" t="s">
        <v>7087</v>
      </c>
      <c r="E2803" t="s">
        <v>8055</v>
      </c>
      <c r="F2803" t="s">
        <v>7928</v>
      </c>
      <c r="H2803" t="s">
        <v>2341</v>
      </c>
      <c r="J2803">
        <v>40000</v>
      </c>
      <c r="L2803" t="s">
        <v>5948</v>
      </c>
    </row>
    <row r="2804" spans="1:12" x14ac:dyDescent="0.35">
      <c r="A2804" t="s">
        <v>2337</v>
      </c>
      <c r="B2804" s="1">
        <v>45719</v>
      </c>
      <c r="C2804" t="s">
        <v>7089</v>
      </c>
      <c r="E2804" t="s">
        <v>8056</v>
      </c>
      <c r="F2804" t="s">
        <v>8052</v>
      </c>
      <c r="H2804" t="s">
        <v>2342</v>
      </c>
      <c r="K2804">
        <v>69000</v>
      </c>
      <c r="L2804" t="s">
        <v>6803</v>
      </c>
    </row>
    <row r="2805" spans="1:12" x14ac:dyDescent="0.35">
      <c r="A2805" t="s">
        <v>2337</v>
      </c>
      <c r="B2805" s="1">
        <v>45719</v>
      </c>
      <c r="C2805" t="s">
        <v>7089</v>
      </c>
      <c r="E2805" t="s">
        <v>8056</v>
      </c>
      <c r="F2805" t="s">
        <v>7928</v>
      </c>
      <c r="H2805" t="s">
        <v>2342</v>
      </c>
      <c r="J2805">
        <v>69000</v>
      </c>
      <c r="L2805" t="s">
        <v>5882</v>
      </c>
    </row>
    <row r="2806" spans="1:12" x14ac:dyDescent="0.35">
      <c r="A2806" t="s">
        <v>2337</v>
      </c>
      <c r="B2806" s="1">
        <v>45719</v>
      </c>
      <c r="C2806" t="s">
        <v>7091</v>
      </c>
      <c r="E2806" t="s">
        <v>8057</v>
      </c>
      <c r="F2806" t="s">
        <v>8052</v>
      </c>
      <c r="H2806" t="s">
        <v>2343</v>
      </c>
      <c r="K2806">
        <v>11000</v>
      </c>
      <c r="L2806" t="s">
        <v>6803</v>
      </c>
    </row>
    <row r="2807" spans="1:12" x14ac:dyDescent="0.35">
      <c r="A2807" t="s">
        <v>2337</v>
      </c>
      <c r="B2807" s="1">
        <v>45719</v>
      </c>
      <c r="C2807" t="s">
        <v>7091</v>
      </c>
      <c r="E2807" t="s">
        <v>8057</v>
      </c>
      <c r="F2807" t="s">
        <v>7928</v>
      </c>
      <c r="H2807" t="s">
        <v>2343</v>
      </c>
      <c r="J2807">
        <v>11000</v>
      </c>
      <c r="L2807" t="s">
        <v>5873</v>
      </c>
    </row>
    <row r="2808" spans="1:12" x14ac:dyDescent="0.35">
      <c r="A2808" t="s">
        <v>2337</v>
      </c>
      <c r="B2808" s="1">
        <v>45719</v>
      </c>
      <c r="C2808" t="s">
        <v>7093</v>
      </c>
      <c r="E2808" t="s">
        <v>8058</v>
      </c>
      <c r="F2808" t="s">
        <v>8052</v>
      </c>
      <c r="H2808" t="s">
        <v>2344</v>
      </c>
      <c r="K2808">
        <v>10000</v>
      </c>
      <c r="L2808" t="s">
        <v>6803</v>
      </c>
    </row>
    <row r="2809" spans="1:12" x14ac:dyDescent="0.35">
      <c r="A2809" t="s">
        <v>2337</v>
      </c>
      <c r="B2809" s="1">
        <v>45719</v>
      </c>
      <c r="C2809" t="s">
        <v>7093</v>
      </c>
      <c r="E2809" t="s">
        <v>8058</v>
      </c>
      <c r="F2809" t="s">
        <v>7615</v>
      </c>
      <c r="H2809" t="s">
        <v>2344</v>
      </c>
      <c r="J2809">
        <v>10000</v>
      </c>
      <c r="L2809" t="s">
        <v>5905</v>
      </c>
    </row>
    <row r="2810" spans="1:12" x14ac:dyDescent="0.35">
      <c r="A2810" t="s">
        <v>2337</v>
      </c>
      <c r="B2810" s="1">
        <v>45719</v>
      </c>
      <c r="C2810" t="s">
        <v>6979</v>
      </c>
      <c r="E2810" t="s">
        <v>8059</v>
      </c>
      <c r="F2810" t="s">
        <v>8052</v>
      </c>
      <c r="H2810" t="s">
        <v>2345</v>
      </c>
      <c r="K2810">
        <v>10000</v>
      </c>
      <c r="L2810" t="s">
        <v>6803</v>
      </c>
    </row>
    <row r="2811" spans="1:12" x14ac:dyDescent="0.35">
      <c r="A2811" t="s">
        <v>2337</v>
      </c>
      <c r="B2811" s="1">
        <v>45719</v>
      </c>
      <c r="C2811" t="s">
        <v>6979</v>
      </c>
      <c r="E2811" t="s">
        <v>8059</v>
      </c>
      <c r="F2811" t="s">
        <v>7928</v>
      </c>
      <c r="H2811" t="s">
        <v>2345</v>
      </c>
      <c r="J2811">
        <v>10000</v>
      </c>
      <c r="L2811" t="s">
        <v>5938</v>
      </c>
    </row>
    <row r="2812" spans="1:12" x14ac:dyDescent="0.35">
      <c r="A2812" t="s">
        <v>2337</v>
      </c>
      <c r="B2812" s="1">
        <v>45719</v>
      </c>
      <c r="C2812" t="s">
        <v>7100</v>
      </c>
      <c r="E2812" t="s">
        <v>8060</v>
      </c>
      <c r="F2812" t="s">
        <v>8052</v>
      </c>
      <c r="H2812" t="s">
        <v>2346</v>
      </c>
      <c r="K2812">
        <v>130000</v>
      </c>
      <c r="L2812" t="s">
        <v>6803</v>
      </c>
    </row>
    <row r="2813" spans="1:12" x14ac:dyDescent="0.35">
      <c r="A2813" t="s">
        <v>2337</v>
      </c>
      <c r="B2813" s="1">
        <v>45719</v>
      </c>
      <c r="C2813" t="s">
        <v>7100</v>
      </c>
      <c r="E2813" t="s">
        <v>8060</v>
      </c>
      <c r="F2813" t="s">
        <v>7928</v>
      </c>
      <c r="H2813" t="s">
        <v>2347</v>
      </c>
      <c r="J2813">
        <v>130000</v>
      </c>
      <c r="L2813" t="s">
        <v>5873</v>
      </c>
    </row>
    <row r="2814" spans="1:12" x14ac:dyDescent="0.35">
      <c r="A2814" t="s">
        <v>2337</v>
      </c>
      <c r="B2814" s="1">
        <v>45719</v>
      </c>
      <c r="C2814" t="s">
        <v>7102</v>
      </c>
      <c r="E2814" t="s">
        <v>8061</v>
      </c>
      <c r="F2814" t="s">
        <v>8052</v>
      </c>
      <c r="H2814" t="s">
        <v>2348</v>
      </c>
      <c r="K2814">
        <v>120000</v>
      </c>
      <c r="L2814" t="s">
        <v>6803</v>
      </c>
    </row>
    <row r="2815" spans="1:12" x14ac:dyDescent="0.35">
      <c r="A2815" t="s">
        <v>2337</v>
      </c>
      <c r="B2815" s="1">
        <v>45719</v>
      </c>
      <c r="C2815" t="s">
        <v>7102</v>
      </c>
      <c r="E2815" t="s">
        <v>8061</v>
      </c>
      <c r="F2815" t="s">
        <v>7928</v>
      </c>
      <c r="H2815" t="s">
        <v>2348</v>
      </c>
      <c r="J2815">
        <v>120000</v>
      </c>
      <c r="L2815" t="s">
        <v>5941</v>
      </c>
    </row>
    <row r="2816" spans="1:12" x14ac:dyDescent="0.35">
      <c r="A2816" t="s">
        <v>2337</v>
      </c>
      <c r="B2816" s="1">
        <v>45719</v>
      </c>
      <c r="C2816" t="s">
        <v>7095</v>
      </c>
      <c r="E2816" t="s">
        <v>8062</v>
      </c>
      <c r="F2816" t="s">
        <v>8052</v>
      </c>
      <c r="H2816" t="s">
        <v>2349</v>
      </c>
      <c r="K2816">
        <v>66000</v>
      </c>
      <c r="L2816" t="s">
        <v>6803</v>
      </c>
    </row>
    <row r="2817" spans="1:12" x14ac:dyDescent="0.35">
      <c r="A2817" t="s">
        <v>2337</v>
      </c>
      <c r="B2817" s="1">
        <v>45719</v>
      </c>
      <c r="C2817" t="s">
        <v>7095</v>
      </c>
      <c r="E2817" t="s">
        <v>8062</v>
      </c>
      <c r="F2817" t="s">
        <v>8063</v>
      </c>
      <c r="H2817" t="s">
        <v>2349</v>
      </c>
      <c r="J2817">
        <v>66000</v>
      </c>
      <c r="L2817" t="s">
        <v>5960</v>
      </c>
    </row>
    <row r="2818" spans="1:12" x14ac:dyDescent="0.35">
      <c r="A2818" t="s">
        <v>2337</v>
      </c>
      <c r="B2818" s="1">
        <v>45719</v>
      </c>
      <c r="C2818" t="s">
        <v>6982</v>
      </c>
      <c r="E2818" t="s">
        <v>8064</v>
      </c>
      <c r="F2818" t="s">
        <v>8052</v>
      </c>
      <c r="H2818" t="s">
        <v>2350</v>
      </c>
      <c r="K2818">
        <v>7500</v>
      </c>
      <c r="L2818" t="s">
        <v>6803</v>
      </c>
    </row>
    <row r="2819" spans="1:12" x14ac:dyDescent="0.35">
      <c r="A2819" t="s">
        <v>2337</v>
      </c>
      <c r="B2819" s="1">
        <v>45719</v>
      </c>
      <c r="C2819" t="s">
        <v>6982</v>
      </c>
      <c r="E2819" t="s">
        <v>8064</v>
      </c>
      <c r="F2819" t="s">
        <v>7447</v>
      </c>
      <c r="H2819" t="s">
        <v>2350</v>
      </c>
      <c r="J2819">
        <v>7500</v>
      </c>
      <c r="L2819" t="s">
        <v>5903</v>
      </c>
    </row>
    <row r="2820" spans="1:12" x14ac:dyDescent="0.35">
      <c r="A2820" t="s">
        <v>2337</v>
      </c>
      <c r="B2820" s="1">
        <v>45719</v>
      </c>
      <c r="C2820" t="s">
        <v>6984</v>
      </c>
      <c r="E2820" t="s">
        <v>8065</v>
      </c>
      <c r="F2820" t="s">
        <v>8052</v>
      </c>
      <c r="H2820" t="s">
        <v>2351</v>
      </c>
      <c r="K2820">
        <v>10000</v>
      </c>
      <c r="L2820" t="s">
        <v>6803</v>
      </c>
    </row>
    <row r="2821" spans="1:12" x14ac:dyDescent="0.35">
      <c r="A2821" t="s">
        <v>2337</v>
      </c>
      <c r="B2821" s="1">
        <v>45719</v>
      </c>
      <c r="C2821" t="s">
        <v>6984</v>
      </c>
      <c r="E2821" t="s">
        <v>8065</v>
      </c>
      <c r="F2821" t="s">
        <v>7928</v>
      </c>
      <c r="H2821" t="s">
        <v>2351</v>
      </c>
      <c r="J2821">
        <v>10000</v>
      </c>
      <c r="L2821" t="s">
        <v>5878</v>
      </c>
    </row>
    <row r="2822" spans="1:12" x14ac:dyDescent="0.35">
      <c r="A2822" t="s">
        <v>2337</v>
      </c>
      <c r="B2822" s="1">
        <v>45720</v>
      </c>
      <c r="C2822" t="s">
        <v>7107</v>
      </c>
      <c r="E2822" t="s">
        <v>8066</v>
      </c>
      <c r="F2822" t="s">
        <v>6804</v>
      </c>
      <c r="G2822" t="s">
        <v>6877</v>
      </c>
      <c r="H2822" t="s">
        <v>2352</v>
      </c>
      <c r="J2822">
        <v>96000</v>
      </c>
      <c r="L2822" t="s">
        <v>6803</v>
      </c>
    </row>
    <row r="2823" spans="1:12" x14ac:dyDescent="0.35">
      <c r="A2823" t="s">
        <v>2337</v>
      </c>
      <c r="B2823" s="1">
        <v>45720</v>
      </c>
      <c r="C2823" t="s">
        <v>7107</v>
      </c>
      <c r="E2823" t="s">
        <v>8066</v>
      </c>
      <c r="F2823" t="s">
        <v>7865</v>
      </c>
      <c r="H2823" t="s">
        <v>2353</v>
      </c>
      <c r="K2823">
        <v>1920</v>
      </c>
      <c r="L2823" t="s">
        <v>6803</v>
      </c>
    </row>
    <row r="2824" spans="1:12" x14ac:dyDescent="0.35">
      <c r="A2824" t="s">
        <v>2337</v>
      </c>
      <c r="B2824" s="1">
        <v>45720</v>
      </c>
      <c r="C2824" t="s">
        <v>7107</v>
      </c>
      <c r="E2824" t="s">
        <v>8066</v>
      </c>
      <c r="F2824" t="s">
        <v>8052</v>
      </c>
      <c r="H2824" t="s">
        <v>2352</v>
      </c>
      <c r="K2824">
        <v>94080</v>
      </c>
      <c r="L2824" t="s">
        <v>6803</v>
      </c>
    </row>
    <row r="2825" spans="1:12" x14ac:dyDescent="0.35">
      <c r="A2825" t="s">
        <v>2337</v>
      </c>
      <c r="B2825" s="1">
        <v>45720</v>
      </c>
      <c r="C2825" t="s">
        <v>6985</v>
      </c>
      <c r="E2825" t="s">
        <v>8067</v>
      </c>
      <c r="F2825" t="s">
        <v>8052</v>
      </c>
      <c r="H2825" t="s">
        <v>2354</v>
      </c>
      <c r="K2825">
        <v>90000</v>
      </c>
      <c r="L2825" t="s">
        <v>6803</v>
      </c>
    </row>
    <row r="2826" spans="1:12" x14ac:dyDescent="0.35">
      <c r="A2826" t="s">
        <v>2337</v>
      </c>
      <c r="B2826" s="1">
        <v>45720</v>
      </c>
      <c r="C2826" t="s">
        <v>6985</v>
      </c>
      <c r="E2826" t="s">
        <v>8067</v>
      </c>
      <c r="F2826" t="s">
        <v>7902</v>
      </c>
      <c r="H2826" t="s">
        <v>2355</v>
      </c>
      <c r="J2826">
        <v>10000</v>
      </c>
      <c r="L2826" t="s">
        <v>5873</v>
      </c>
    </row>
    <row r="2827" spans="1:12" x14ac:dyDescent="0.35">
      <c r="A2827" t="s">
        <v>2337</v>
      </c>
      <c r="B2827" s="1">
        <v>45720</v>
      </c>
      <c r="C2827" t="s">
        <v>6985</v>
      </c>
      <c r="E2827" t="s">
        <v>8067</v>
      </c>
      <c r="F2827" t="s">
        <v>7914</v>
      </c>
      <c r="H2827" t="s">
        <v>2356</v>
      </c>
      <c r="J2827">
        <v>40000</v>
      </c>
      <c r="L2827" t="s">
        <v>5950</v>
      </c>
    </row>
    <row r="2828" spans="1:12" x14ac:dyDescent="0.35">
      <c r="A2828" t="s">
        <v>2337</v>
      </c>
      <c r="B2828" s="1">
        <v>45720</v>
      </c>
      <c r="C2828" t="s">
        <v>6985</v>
      </c>
      <c r="E2828" t="s">
        <v>8067</v>
      </c>
      <c r="F2828" t="s">
        <v>7928</v>
      </c>
      <c r="H2828" t="s">
        <v>2354</v>
      </c>
      <c r="J2828">
        <v>40000</v>
      </c>
      <c r="L2828" t="s">
        <v>5873</v>
      </c>
    </row>
    <row r="2829" spans="1:12" x14ac:dyDescent="0.35">
      <c r="A2829" t="s">
        <v>2337</v>
      </c>
      <c r="B2829" s="1">
        <v>45720</v>
      </c>
      <c r="C2829" t="s">
        <v>7046</v>
      </c>
      <c r="E2829" t="s">
        <v>8068</v>
      </c>
      <c r="F2829" t="s">
        <v>8052</v>
      </c>
      <c r="H2829" t="s">
        <v>2357</v>
      </c>
      <c r="K2829">
        <v>16100</v>
      </c>
      <c r="L2829" t="s">
        <v>6803</v>
      </c>
    </row>
    <row r="2830" spans="1:12" x14ac:dyDescent="0.35">
      <c r="A2830" t="s">
        <v>2337</v>
      </c>
      <c r="B2830" s="1">
        <v>45720</v>
      </c>
      <c r="C2830" t="s">
        <v>7046</v>
      </c>
      <c r="E2830" t="s">
        <v>8068</v>
      </c>
      <c r="F2830" t="s">
        <v>8063</v>
      </c>
      <c r="H2830" t="s">
        <v>2357</v>
      </c>
      <c r="J2830">
        <v>16100</v>
      </c>
      <c r="L2830" t="s">
        <v>348</v>
      </c>
    </row>
    <row r="2831" spans="1:12" x14ac:dyDescent="0.35">
      <c r="A2831" t="s">
        <v>2337</v>
      </c>
      <c r="B2831" s="1">
        <v>45720</v>
      </c>
      <c r="C2831" t="s">
        <v>7047</v>
      </c>
      <c r="E2831" t="s">
        <v>8069</v>
      </c>
      <c r="F2831" t="s">
        <v>8052</v>
      </c>
      <c r="H2831" t="s">
        <v>2358</v>
      </c>
      <c r="K2831">
        <v>140000</v>
      </c>
      <c r="L2831" t="s">
        <v>6803</v>
      </c>
    </row>
    <row r="2832" spans="1:12" x14ac:dyDescent="0.35">
      <c r="A2832" t="s">
        <v>2337</v>
      </c>
      <c r="B2832" s="1">
        <v>45720</v>
      </c>
      <c r="C2832" t="s">
        <v>7047</v>
      </c>
      <c r="E2832" t="s">
        <v>8069</v>
      </c>
      <c r="F2832" t="s">
        <v>7928</v>
      </c>
      <c r="H2832" t="s">
        <v>2358</v>
      </c>
      <c r="J2832">
        <v>120000</v>
      </c>
      <c r="L2832" t="s">
        <v>5938</v>
      </c>
    </row>
    <row r="2833" spans="1:12" x14ac:dyDescent="0.35">
      <c r="A2833" t="s">
        <v>2337</v>
      </c>
      <c r="B2833" s="1">
        <v>45720</v>
      </c>
      <c r="C2833" t="s">
        <v>7047</v>
      </c>
      <c r="E2833" t="s">
        <v>8069</v>
      </c>
      <c r="F2833" t="s">
        <v>8070</v>
      </c>
      <c r="H2833" t="s">
        <v>2359</v>
      </c>
      <c r="J2833">
        <v>20000</v>
      </c>
      <c r="L2833" t="s">
        <v>5909</v>
      </c>
    </row>
    <row r="2834" spans="1:12" x14ac:dyDescent="0.35">
      <c r="A2834" t="s">
        <v>2337</v>
      </c>
      <c r="B2834" s="1">
        <v>45720</v>
      </c>
      <c r="C2834" t="s">
        <v>7048</v>
      </c>
      <c r="E2834" t="s">
        <v>8071</v>
      </c>
      <c r="F2834" t="s">
        <v>8052</v>
      </c>
      <c r="H2834" t="s">
        <v>2360</v>
      </c>
      <c r="K2834">
        <v>67000</v>
      </c>
      <c r="L2834" t="s">
        <v>6803</v>
      </c>
    </row>
    <row r="2835" spans="1:12" x14ac:dyDescent="0.35">
      <c r="A2835" t="s">
        <v>2337</v>
      </c>
      <c r="B2835" s="1">
        <v>45720</v>
      </c>
      <c r="C2835" t="s">
        <v>7048</v>
      </c>
      <c r="E2835" t="s">
        <v>8071</v>
      </c>
      <c r="F2835" t="s">
        <v>7905</v>
      </c>
      <c r="H2835" t="s">
        <v>2361</v>
      </c>
      <c r="J2835">
        <v>50000</v>
      </c>
      <c r="L2835" t="s">
        <v>5953</v>
      </c>
    </row>
    <row r="2836" spans="1:12" x14ac:dyDescent="0.35">
      <c r="A2836" t="s">
        <v>2337</v>
      </c>
      <c r="B2836" s="1">
        <v>45720</v>
      </c>
      <c r="C2836" t="s">
        <v>7048</v>
      </c>
      <c r="E2836" t="s">
        <v>8071</v>
      </c>
      <c r="F2836" t="s">
        <v>7928</v>
      </c>
      <c r="H2836" t="s">
        <v>2360</v>
      </c>
      <c r="J2836">
        <v>17000</v>
      </c>
      <c r="L2836" t="s">
        <v>5884</v>
      </c>
    </row>
    <row r="2837" spans="1:12" x14ac:dyDescent="0.35">
      <c r="A2837" t="s">
        <v>2337</v>
      </c>
      <c r="B2837" s="1">
        <v>45720</v>
      </c>
      <c r="C2837" t="s">
        <v>7050</v>
      </c>
      <c r="E2837" t="s">
        <v>8072</v>
      </c>
      <c r="F2837" t="s">
        <v>8052</v>
      </c>
      <c r="H2837" t="s">
        <v>2362</v>
      </c>
      <c r="K2837">
        <v>5000</v>
      </c>
      <c r="L2837" t="s">
        <v>6803</v>
      </c>
    </row>
    <row r="2838" spans="1:12" x14ac:dyDescent="0.35">
      <c r="A2838" t="s">
        <v>2337</v>
      </c>
      <c r="B2838" s="1">
        <v>45720</v>
      </c>
      <c r="C2838" t="s">
        <v>7050</v>
      </c>
      <c r="E2838" t="s">
        <v>8072</v>
      </c>
      <c r="F2838" t="s">
        <v>7928</v>
      </c>
      <c r="H2838" t="s">
        <v>2362</v>
      </c>
      <c r="J2838">
        <v>5000</v>
      </c>
      <c r="L2838" t="s">
        <v>5938</v>
      </c>
    </row>
    <row r="2839" spans="1:12" x14ac:dyDescent="0.35">
      <c r="A2839" t="s">
        <v>2337</v>
      </c>
      <c r="B2839" s="1">
        <v>45720</v>
      </c>
      <c r="C2839" t="s">
        <v>7051</v>
      </c>
      <c r="E2839" t="s">
        <v>8073</v>
      </c>
      <c r="F2839" t="s">
        <v>8052</v>
      </c>
      <c r="H2839" t="s">
        <v>2363</v>
      </c>
      <c r="K2839">
        <v>72500</v>
      </c>
      <c r="L2839" t="s">
        <v>6803</v>
      </c>
    </row>
    <row r="2840" spans="1:12" x14ac:dyDescent="0.35">
      <c r="A2840" t="s">
        <v>2337</v>
      </c>
      <c r="B2840" s="1">
        <v>45720</v>
      </c>
      <c r="C2840" t="s">
        <v>7051</v>
      </c>
      <c r="E2840" t="s">
        <v>8073</v>
      </c>
      <c r="F2840" t="s">
        <v>7905</v>
      </c>
      <c r="H2840" t="s">
        <v>2364</v>
      </c>
      <c r="J2840">
        <v>39000</v>
      </c>
      <c r="L2840" t="s">
        <v>5952</v>
      </c>
    </row>
    <row r="2841" spans="1:12" x14ac:dyDescent="0.35">
      <c r="A2841" t="s">
        <v>2337</v>
      </c>
      <c r="B2841" s="1">
        <v>45720</v>
      </c>
      <c r="C2841" t="s">
        <v>7051</v>
      </c>
      <c r="E2841" t="s">
        <v>8073</v>
      </c>
      <c r="F2841" t="s">
        <v>7908</v>
      </c>
      <c r="H2841" t="s">
        <v>2363</v>
      </c>
      <c r="J2841">
        <v>33500</v>
      </c>
      <c r="L2841" t="s">
        <v>5952</v>
      </c>
    </row>
    <row r="2842" spans="1:12" x14ac:dyDescent="0.35">
      <c r="A2842" t="s">
        <v>2337</v>
      </c>
      <c r="B2842" s="1">
        <v>45720</v>
      </c>
      <c r="C2842" t="s">
        <v>7104</v>
      </c>
      <c r="E2842" t="s">
        <v>8074</v>
      </c>
      <c r="F2842" t="s">
        <v>8052</v>
      </c>
      <c r="H2842" t="s">
        <v>2365</v>
      </c>
      <c r="K2842">
        <v>249000</v>
      </c>
      <c r="L2842" t="s">
        <v>6803</v>
      </c>
    </row>
    <row r="2843" spans="1:12" x14ac:dyDescent="0.35">
      <c r="A2843" t="s">
        <v>2337</v>
      </c>
      <c r="B2843" s="1">
        <v>45720</v>
      </c>
      <c r="C2843" t="s">
        <v>7104</v>
      </c>
      <c r="E2843" t="s">
        <v>8074</v>
      </c>
      <c r="F2843" t="s">
        <v>7905</v>
      </c>
      <c r="H2843" t="s">
        <v>2366</v>
      </c>
      <c r="J2843">
        <v>121000</v>
      </c>
      <c r="L2843" t="s">
        <v>5952</v>
      </c>
    </row>
    <row r="2844" spans="1:12" x14ac:dyDescent="0.35">
      <c r="A2844" t="s">
        <v>2337</v>
      </c>
      <c r="B2844" s="1">
        <v>45720</v>
      </c>
      <c r="C2844" t="s">
        <v>7104</v>
      </c>
      <c r="E2844" t="s">
        <v>8074</v>
      </c>
      <c r="F2844" t="s">
        <v>7908</v>
      </c>
      <c r="H2844" t="s">
        <v>2365</v>
      </c>
      <c r="J2844">
        <v>128000</v>
      </c>
      <c r="L2844" t="s">
        <v>5952</v>
      </c>
    </row>
    <row r="2845" spans="1:12" x14ac:dyDescent="0.35">
      <c r="A2845" t="s">
        <v>2337</v>
      </c>
      <c r="B2845" s="1">
        <v>45720</v>
      </c>
      <c r="C2845" t="s">
        <v>7105</v>
      </c>
      <c r="E2845" t="s">
        <v>8075</v>
      </c>
      <c r="F2845" t="s">
        <v>8052</v>
      </c>
      <c r="H2845" t="s">
        <v>2367</v>
      </c>
      <c r="K2845">
        <v>54000</v>
      </c>
      <c r="L2845" t="s">
        <v>6803</v>
      </c>
    </row>
    <row r="2846" spans="1:12" x14ac:dyDescent="0.35">
      <c r="A2846" t="s">
        <v>2337</v>
      </c>
      <c r="B2846" s="1">
        <v>45720</v>
      </c>
      <c r="C2846" t="s">
        <v>7105</v>
      </c>
      <c r="E2846" t="s">
        <v>8075</v>
      </c>
      <c r="F2846" t="s">
        <v>7928</v>
      </c>
      <c r="H2846" t="s">
        <v>2368</v>
      </c>
      <c r="J2846">
        <v>54000</v>
      </c>
      <c r="L2846" t="s">
        <v>5882</v>
      </c>
    </row>
    <row r="2847" spans="1:12" x14ac:dyDescent="0.35">
      <c r="A2847" t="s">
        <v>2337</v>
      </c>
      <c r="B2847" s="1">
        <v>45720</v>
      </c>
      <c r="C2847" t="s">
        <v>7106</v>
      </c>
      <c r="E2847" t="s">
        <v>8076</v>
      </c>
      <c r="F2847" t="s">
        <v>8052</v>
      </c>
      <c r="H2847" t="s">
        <v>2369</v>
      </c>
      <c r="K2847">
        <v>11000</v>
      </c>
      <c r="L2847" t="s">
        <v>6803</v>
      </c>
    </row>
    <row r="2848" spans="1:12" x14ac:dyDescent="0.35">
      <c r="A2848" t="s">
        <v>2337</v>
      </c>
      <c r="B2848" s="1">
        <v>45720</v>
      </c>
      <c r="C2848" t="s">
        <v>7106</v>
      </c>
      <c r="E2848" t="s">
        <v>8076</v>
      </c>
      <c r="F2848" t="s">
        <v>7828</v>
      </c>
      <c r="H2848" t="s">
        <v>2369</v>
      </c>
      <c r="J2848">
        <v>11000</v>
      </c>
      <c r="L2848" t="s">
        <v>347</v>
      </c>
    </row>
    <row r="2849" spans="1:12" x14ac:dyDescent="0.35">
      <c r="A2849" t="s">
        <v>2337</v>
      </c>
      <c r="B2849" s="1">
        <v>45721</v>
      </c>
      <c r="C2849" t="s">
        <v>7267</v>
      </c>
      <c r="E2849" t="s">
        <v>8077</v>
      </c>
      <c r="F2849" t="s">
        <v>8052</v>
      </c>
      <c r="H2849" t="s">
        <v>2370</v>
      </c>
      <c r="K2849">
        <v>62350</v>
      </c>
      <c r="L2849" t="s">
        <v>6803</v>
      </c>
    </row>
    <row r="2850" spans="1:12" x14ac:dyDescent="0.35">
      <c r="A2850" t="s">
        <v>2337</v>
      </c>
      <c r="B2850" s="1">
        <v>45721</v>
      </c>
      <c r="C2850" t="s">
        <v>7267</v>
      </c>
      <c r="E2850" t="s">
        <v>8077</v>
      </c>
      <c r="F2850" t="s">
        <v>7983</v>
      </c>
      <c r="H2850" t="s">
        <v>2370</v>
      </c>
      <c r="J2850">
        <v>62350</v>
      </c>
      <c r="L2850" t="s">
        <v>5905</v>
      </c>
    </row>
    <row r="2851" spans="1:12" x14ac:dyDescent="0.35">
      <c r="A2851" t="s">
        <v>2337</v>
      </c>
      <c r="B2851" s="1">
        <v>45721</v>
      </c>
      <c r="C2851" t="s">
        <v>7142</v>
      </c>
      <c r="E2851" t="s">
        <v>8078</v>
      </c>
      <c r="F2851" t="s">
        <v>6804</v>
      </c>
      <c r="G2851" t="s">
        <v>8079</v>
      </c>
      <c r="H2851" t="s">
        <v>2371</v>
      </c>
      <c r="J2851">
        <v>25204</v>
      </c>
      <c r="L2851" t="s">
        <v>6803</v>
      </c>
    </row>
    <row r="2852" spans="1:12" x14ac:dyDescent="0.35">
      <c r="A2852" t="s">
        <v>2337</v>
      </c>
      <c r="B2852" s="1">
        <v>45721</v>
      </c>
      <c r="C2852" t="s">
        <v>7142</v>
      </c>
      <c r="E2852" t="s">
        <v>8078</v>
      </c>
      <c r="F2852" t="s">
        <v>8052</v>
      </c>
      <c r="H2852" t="s">
        <v>2371</v>
      </c>
      <c r="K2852">
        <v>25204</v>
      </c>
      <c r="L2852" t="s">
        <v>6803</v>
      </c>
    </row>
    <row r="2853" spans="1:12" x14ac:dyDescent="0.35">
      <c r="A2853" t="s">
        <v>2337</v>
      </c>
      <c r="B2853" s="1">
        <v>45721</v>
      </c>
      <c r="C2853" t="s">
        <v>7268</v>
      </c>
      <c r="E2853" t="s">
        <v>8080</v>
      </c>
      <c r="F2853" t="s">
        <v>6804</v>
      </c>
      <c r="G2853" t="s">
        <v>6902</v>
      </c>
      <c r="H2853" t="s">
        <v>2372</v>
      </c>
      <c r="J2853">
        <v>23600</v>
      </c>
      <c r="L2853" t="s">
        <v>6803</v>
      </c>
    </row>
    <row r="2854" spans="1:12" x14ac:dyDescent="0.35">
      <c r="A2854" t="s">
        <v>2337</v>
      </c>
      <c r="B2854" s="1">
        <v>45721</v>
      </c>
      <c r="C2854" t="s">
        <v>7268</v>
      </c>
      <c r="E2854" t="s">
        <v>8080</v>
      </c>
      <c r="F2854" t="s">
        <v>8052</v>
      </c>
      <c r="H2854" t="s">
        <v>2372</v>
      </c>
      <c r="K2854">
        <v>23600</v>
      </c>
      <c r="L2854" t="s">
        <v>6803</v>
      </c>
    </row>
    <row r="2855" spans="1:12" x14ac:dyDescent="0.35">
      <c r="A2855" t="s">
        <v>2337</v>
      </c>
      <c r="B2855" s="1">
        <v>45721</v>
      </c>
      <c r="C2855" t="s">
        <v>7172</v>
      </c>
      <c r="E2855" t="s">
        <v>8081</v>
      </c>
      <c r="F2855" t="s">
        <v>8052</v>
      </c>
      <c r="H2855" t="s">
        <v>2373</v>
      </c>
      <c r="K2855">
        <v>150000</v>
      </c>
      <c r="L2855" t="s">
        <v>6803</v>
      </c>
    </row>
    <row r="2856" spans="1:12" x14ac:dyDescent="0.35">
      <c r="A2856" t="s">
        <v>2337</v>
      </c>
      <c r="B2856" s="1">
        <v>45721</v>
      </c>
      <c r="C2856" t="s">
        <v>7172</v>
      </c>
      <c r="E2856" t="s">
        <v>8081</v>
      </c>
      <c r="F2856" t="s">
        <v>7928</v>
      </c>
      <c r="H2856" t="s">
        <v>2373</v>
      </c>
      <c r="J2856">
        <v>150000</v>
      </c>
      <c r="L2856" t="s">
        <v>5878</v>
      </c>
    </row>
    <row r="2857" spans="1:12" x14ac:dyDescent="0.35">
      <c r="A2857" t="s">
        <v>2337</v>
      </c>
      <c r="B2857" s="1">
        <v>45721</v>
      </c>
      <c r="C2857" t="s">
        <v>7270</v>
      </c>
      <c r="E2857" t="s">
        <v>8082</v>
      </c>
      <c r="F2857" t="s">
        <v>7865</v>
      </c>
      <c r="H2857" t="s">
        <v>2374</v>
      </c>
      <c r="K2857">
        <v>15600</v>
      </c>
      <c r="L2857" t="s">
        <v>6803</v>
      </c>
    </row>
    <row r="2858" spans="1:12" x14ac:dyDescent="0.35">
      <c r="A2858" t="s">
        <v>2337</v>
      </c>
      <c r="B2858" s="1">
        <v>45721</v>
      </c>
      <c r="C2858" t="s">
        <v>7270</v>
      </c>
      <c r="E2858" t="s">
        <v>8082</v>
      </c>
      <c r="F2858" t="s">
        <v>7876</v>
      </c>
      <c r="H2858" t="s">
        <v>2374</v>
      </c>
      <c r="K2858">
        <v>2600</v>
      </c>
      <c r="L2858" t="s">
        <v>6803</v>
      </c>
    </row>
    <row r="2859" spans="1:12" x14ac:dyDescent="0.35">
      <c r="A2859" t="s">
        <v>2337</v>
      </c>
      <c r="B2859" s="1">
        <v>45721</v>
      </c>
      <c r="C2859" t="s">
        <v>7270</v>
      </c>
      <c r="E2859" t="s">
        <v>8082</v>
      </c>
      <c r="F2859" t="s">
        <v>8052</v>
      </c>
      <c r="H2859" t="s">
        <v>2374</v>
      </c>
      <c r="J2859">
        <v>18200</v>
      </c>
      <c r="L2859" t="s">
        <v>6803</v>
      </c>
    </row>
    <row r="2860" spans="1:12" x14ac:dyDescent="0.35">
      <c r="A2860" t="s">
        <v>2337</v>
      </c>
      <c r="B2860" s="1">
        <v>45721</v>
      </c>
      <c r="C2860" t="s">
        <v>7135</v>
      </c>
      <c r="E2860" t="s">
        <v>8083</v>
      </c>
      <c r="F2860" t="s">
        <v>8052</v>
      </c>
      <c r="H2860" t="s">
        <v>2375</v>
      </c>
      <c r="K2860">
        <v>20000</v>
      </c>
      <c r="L2860" t="s">
        <v>6803</v>
      </c>
    </row>
    <row r="2861" spans="1:12" x14ac:dyDescent="0.35">
      <c r="A2861" t="s">
        <v>2337</v>
      </c>
      <c r="B2861" s="1">
        <v>45721</v>
      </c>
      <c r="C2861" t="s">
        <v>7135</v>
      </c>
      <c r="E2861" t="s">
        <v>8083</v>
      </c>
      <c r="F2861" t="s">
        <v>7447</v>
      </c>
      <c r="H2861" t="s">
        <v>2375</v>
      </c>
      <c r="J2861">
        <v>20000</v>
      </c>
      <c r="L2861" t="s">
        <v>5961</v>
      </c>
    </row>
    <row r="2862" spans="1:12" x14ac:dyDescent="0.35">
      <c r="A2862" t="s">
        <v>2337</v>
      </c>
      <c r="B2862" s="1">
        <v>45721</v>
      </c>
      <c r="C2862" t="s">
        <v>7175</v>
      </c>
      <c r="E2862" t="s">
        <v>8084</v>
      </c>
      <c r="F2862" t="s">
        <v>8052</v>
      </c>
      <c r="H2862" t="s">
        <v>2376</v>
      </c>
      <c r="K2862">
        <v>35000</v>
      </c>
      <c r="L2862" t="s">
        <v>6803</v>
      </c>
    </row>
    <row r="2863" spans="1:12" x14ac:dyDescent="0.35">
      <c r="A2863" t="s">
        <v>2337</v>
      </c>
      <c r="B2863" s="1">
        <v>45721</v>
      </c>
      <c r="C2863" t="s">
        <v>7175</v>
      </c>
      <c r="E2863" t="s">
        <v>8084</v>
      </c>
      <c r="F2863" t="s">
        <v>7905</v>
      </c>
      <c r="H2863" t="s">
        <v>2376</v>
      </c>
      <c r="J2863">
        <v>5000</v>
      </c>
      <c r="L2863" t="s">
        <v>5944</v>
      </c>
    </row>
    <row r="2864" spans="1:12" x14ac:dyDescent="0.35">
      <c r="A2864" t="s">
        <v>2337</v>
      </c>
      <c r="B2864" s="1">
        <v>45721</v>
      </c>
      <c r="C2864" t="s">
        <v>7175</v>
      </c>
      <c r="E2864" t="s">
        <v>8084</v>
      </c>
      <c r="F2864" t="s">
        <v>7928</v>
      </c>
      <c r="H2864" t="s">
        <v>2377</v>
      </c>
      <c r="J2864">
        <v>30000</v>
      </c>
      <c r="L2864" t="s">
        <v>5932</v>
      </c>
    </row>
    <row r="2865" spans="1:12" x14ac:dyDescent="0.35">
      <c r="A2865" t="s">
        <v>2337</v>
      </c>
      <c r="B2865" s="1">
        <v>45721</v>
      </c>
      <c r="C2865" t="s">
        <v>7178</v>
      </c>
      <c r="E2865" t="s">
        <v>8085</v>
      </c>
      <c r="F2865" t="s">
        <v>8052</v>
      </c>
      <c r="H2865" t="s">
        <v>2378</v>
      </c>
      <c r="K2865">
        <v>10000</v>
      </c>
      <c r="L2865" t="s">
        <v>6803</v>
      </c>
    </row>
    <row r="2866" spans="1:12" x14ac:dyDescent="0.35">
      <c r="A2866" t="s">
        <v>2337</v>
      </c>
      <c r="B2866" s="1">
        <v>45721</v>
      </c>
      <c r="C2866" t="s">
        <v>7178</v>
      </c>
      <c r="E2866" t="s">
        <v>8085</v>
      </c>
      <c r="F2866" t="s">
        <v>7928</v>
      </c>
      <c r="H2866" t="s">
        <v>2378</v>
      </c>
      <c r="J2866">
        <v>10000</v>
      </c>
      <c r="L2866" t="s">
        <v>5878</v>
      </c>
    </row>
    <row r="2867" spans="1:12" x14ac:dyDescent="0.35">
      <c r="A2867" t="s">
        <v>2337</v>
      </c>
      <c r="B2867" s="1">
        <v>45721</v>
      </c>
      <c r="C2867" t="s">
        <v>7143</v>
      </c>
      <c r="E2867" t="s">
        <v>8086</v>
      </c>
      <c r="F2867" t="s">
        <v>8052</v>
      </c>
      <c r="H2867" t="s">
        <v>2379</v>
      </c>
      <c r="K2867">
        <v>15000</v>
      </c>
      <c r="L2867" t="s">
        <v>6803</v>
      </c>
    </row>
    <row r="2868" spans="1:12" x14ac:dyDescent="0.35">
      <c r="A2868" t="s">
        <v>2337</v>
      </c>
      <c r="B2868" s="1">
        <v>45721</v>
      </c>
      <c r="C2868" t="s">
        <v>7143</v>
      </c>
      <c r="E2868" t="s">
        <v>8086</v>
      </c>
      <c r="F2868" t="s">
        <v>7928</v>
      </c>
      <c r="H2868" t="s">
        <v>2379</v>
      </c>
      <c r="J2868">
        <v>15000</v>
      </c>
      <c r="L2868" t="s">
        <v>5884</v>
      </c>
    </row>
    <row r="2869" spans="1:12" x14ac:dyDescent="0.35">
      <c r="A2869" t="s">
        <v>2337</v>
      </c>
      <c r="B2869" s="1">
        <v>45721</v>
      </c>
      <c r="C2869" t="s">
        <v>7145</v>
      </c>
      <c r="E2869" t="s">
        <v>8087</v>
      </c>
      <c r="F2869" t="s">
        <v>8052</v>
      </c>
      <c r="H2869" t="s">
        <v>2380</v>
      </c>
      <c r="K2869">
        <v>286000</v>
      </c>
      <c r="L2869" t="s">
        <v>6803</v>
      </c>
    </row>
    <row r="2870" spans="1:12" x14ac:dyDescent="0.35">
      <c r="A2870" t="s">
        <v>2337</v>
      </c>
      <c r="B2870" s="1">
        <v>45721</v>
      </c>
      <c r="C2870" t="s">
        <v>7145</v>
      </c>
      <c r="E2870" t="s">
        <v>8087</v>
      </c>
      <c r="F2870" t="s">
        <v>7928</v>
      </c>
      <c r="H2870" t="s">
        <v>2381</v>
      </c>
      <c r="J2870">
        <v>10000</v>
      </c>
      <c r="L2870" t="s">
        <v>5945</v>
      </c>
    </row>
    <row r="2871" spans="1:12" x14ac:dyDescent="0.35">
      <c r="A2871" t="s">
        <v>2337</v>
      </c>
      <c r="B2871" s="1">
        <v>45721</v>
      </c>
      <c r="C2871" t="s">
        <v>7145</v>
      </c>
      <c r="E2871" t="s">
        <v>8087</v>
      </c>
      <c r="F2871" t="s">
        <v>7928</v>
      </c>
      <c r="H2871" t="s">
        <v>2382</v>
      </c>
      <c r="J2871">
        <v>213000</v>
      </c>
      <c r="L2871" t="s">
        <v>5945</v>
      </c>
    </row>
    <row r="2872" spans="1:12" x14ac:dyDescent="0.35">
      <c r="A2872" t="s">
        <v>2337</v>
      </c>
      <c r="B2872" s="1">
        <v>45721</v>
      </c>
      <c r="C2872" t="s">
        <v>7145</v>
      </c>
      <c r="E2872" t="s">
        <v>8087</v>
      </c>
      <c r="F2872" t="s">
        <v>6820</v>
      </c>
      <c r="H2872" t="s">
        <v>2380</v>
      </c>
      <c r="J2872">
        <v>3000</v>
      </c>
      <c r="L2872" t="s">
        <v>5928</v>
      </c>
    </row>
    <row r="2873" spans="1:12" x14ac:dyDescent="0.35">
      <c r="A2873" t="s">
        <v>2337</v>
      </c>
      <c r="B2873" s="1">
        <v>45721</v>
      </c>
      <c r="C2873" t="s">
        <v>7145</v>
      </c>
      <c r="E2873" t="s">
        <v>8087</v>
      </c>
      <c r="F2873" t="s">
        <v>7908</v>
      </c>
      <c r="H2873" t="s">
        <v>2383</v>
      </c>
      <c r="J2873">
        <v>55000</v>
      </c>
      <c r="L2873" t="s">
        <v>5945</v>
      </c>
    </row>
    <row r="2874" spans="1:12" x14ac:dyDescent="0.35">
      <c r="A2874" t="s">
        <v>2337</v>
      </c>
      <c r="B2874" s="1">
        <v>45721</v>
      </c>
      <c r="C2874" t="s">
        <v>7145</v>
      </c>
      <c r="E2874" t="s">
        <v>8087</v>
      </c>
      <c r="F2874" t="s">
        <v>7934</v>
      </c>
      <c r="H2874" t="s">
        <v>2384</v>
      </c>
      <c r="J2874">
        <v>3000</v>
      </c>
      <c r="L2874" t="s">
        <v>5928</v>
      </c>
    </row>
    <row r="2875" spans="1:12" x14ac:dyDescent="0.35">
      <c r="A2875" t="s">
        <v>2337</v>
      </c>
      <c r="B2875" s="1">
        <v>45721</v>
      </c>
      <c r="C2875" t="s">
        <v>7145</v>
      </c>
      <c r="E2875" t="s">
        <v>8087</v>
      </c>
      <c r="F2875" t="s">
        <v>7934</v>
      </c>
      <c r="H2875" t="s">
        <v>2385</v>
      </c>
      <c r="J2875">
        <v>2000</v>
      </c>
      <c r="L2875" t="s">
        <v>5928</v>
      </c>
    </row>
    <row r="2876" spans="1:12" x14ac:dyDescent="0.35">
      <c r="A2876" t="s">
        <v>2337</v>
      </c>
      <c r="B2876" s="1">
        <v>45721</v>
      </c>
      <c r="C2876" t="s">
        <v>7042</v>
      </c>
      <c r="E2876" t="s">
        <v>8088</v>
      </c>
      <c r="F2876" t="s">
        <v>8052</v>
      </c>
      <c r="H2876" t="s">
        <v>2386</v>
      </c>
      <c r="K2876">
        <v>2000</v>
      </c>
      <c r="L2876" t="s">
        <v>6803</v>
      </c>
    </row>
    <row r="2877" spans="1:12" x14ac:dyDescent="0.35">
      <c r="A2877" t="s">
        <v>2337</v>
      </c>
      <c r="B2877" s="1">
        <v>45721</v>
      </c>
      <c r="C2877" t="s">
        <v>7042</v>
      </c>
      <c r="E2877" t="s">
        <v>8088</v>
      </c>
      <c r="F2877" t="s">
        <v>7934</v>
      </c>
      <c r="H2877" t="s">
        <v>2386</v>
      </c>
      <c r="J2877">
        <v>2000</v>
      </c>
      <c r="L2877" t="s">
        <v>5928</v>
      </c>
    </row>
    <row r="2878" spans="1:12" x14ac:dyDescent="0.35">
      <c r="A2878" t="s">
        <v>2337</v>
      </c>
      <c r="B2878" s="1">
        <v>45721</v>
      </c>
      <c r="C2878" t="s">
        <v>7260</v>
      </c>
      <c r="E2878" t="s">
        <v>8089</v>
      </c>
      <c r="F2878" t="s">
        <v>8052</v>
      </c>
      <c r="H2878" t="s">
        <v>2387</v>
      </c>
      <c r="K2878">
        <v>19900</v>
      </c>
      <c r="L2878" t="s">
        <v>6803</v>
      </c>
    </row>
    <row r="2879" spans="1:12" x14ac:dyDescent="0.35">
      <c r="A2879" t="s">
        <v>2337</v>
      </c>
      <c r="B2879" s="1">
        <v>45721</v>
      </c>
      <c r="C2879" t="s">
        <v>7260</v>
      </c>
      <c r="E2879" t="s">
        <v>8089</v>
      </c>
      <c r="F2879" t="s">
        <v>7358</v>
      </c>
      <c r="H2879" t="s">
        <v>2387</v>
      </c>
      <c r="J2879">
        <v>19900</v>
      </c>
      <c r="L2879" t="s">
        <v>5904</v>
      </c>
    </row>
    <row r="2880" spans="1:12" x14ac:dyDescent="0.35">
      <c r="A2880" t="s">
        <v>2337</v>
      </c>
      <c r="B2880" s="1">
        <v>45721</v>
      </c>
      <c r="C2880" t="s">
        <v>7147</v>
      </c>
      <c r="E2880" t="s">
        <v>8090</v>
      </c>
      <c r="F2880" t="s">
        <v>8052</v>
      </c>
      <c r="H2880" t="s">
        <v>2388</v>
      </c>
      <c r="K2880">
        <v>140000</v>
      </c>
      <c r="L2880" t="s">
        <v>6803</v>
      </c>
    </row>
    <row r="2881" spans="1:12" x14ac:dyDescent="0.35">
      <c r="A2881" t="s">
        <v>2337</v>
      </c>
      <c r="B2881" s="1">
        <v>45721</v>
      </c>
      <c r="C2881" t="s">
        <v>7147</v>
      </c>
      <c r="E2881" t="s">
        <v>8090</v>
      </c>
      <c r="F2881" t="s">
        <v>8091</v>
      </c>
      <c r="H2881" t="s">
        <v>2388</v>
      </c>
      <c r="J2881">
        <v>140000</v>
      </c>
      <c r="L2881" t="s">
        <v>5942</v>
      </c>
    </row>
    <row r="2882" spans="1:12" x14ac:dyDescent="0.35">
      <c r="A2882" t="s">
        <v>2337</v>
      </c>
      <c r="B2882" s="1">
        <v>45721</v>
      </c>
      <c r="C2882" t="s">
        <v>7148</v>
      </c>
      <c r="E2882" t="s">
        <v>8092</v>
      </c>
      <c r="F2882" t="s">
        <v>8052</v>
      </c>
      <c r="H2882" t="s">
        <v>2389</v>
      </c>
      <c r="K2882">
        <v>40000</v>
      </c>
      <c r="L2882" t="s">
        <v>6803</v>
      </c>
    </row>
    <row r="2883" spans="1:12" x14ac:dyDescent="0.35">
      <c r="A2883" t="s">
        <v>2337</v>
      </c>
      <c r="B2883" s="1">
        <v>45721</v>
      </c>
      <c r="C2883" t="s">
        <v>7148</v>
      </c>
      <c r="E2883" t="s">
        <v>8092</v>
      </c>
      <c r="F2883" t="s">
        <v>7928</v>
      </c>
      <c r="H2883" t="s">
        <v>2389</v>
      </c>
      <c r="J2883">
        <v>40000</v>
      </c>
      <c r="L2883" t="s">
        <v>5932</v>
      </c>
    </row>
    <row r="2884" spans="1:12" x14ac:dyDescent="0.35">
      <c r="A2884" t="s">
        <v>2337</v>
      </c>
      <c r="B2884" s="1">
        <v>45721</v>
      </c>
      <c r="C2884" t="s">
        <v>7149</v>
      </c>
      <c r="E2884" t="s">
        <v>8093</v>
      </c>
      <c r="F2884" t="s">
        <v>8052</v>
      </c>
      <c r="H2884" t="s">
        <v>2390</v>
      </c>
      <c r="K2884">
        <v>412900</v>
      </c>
      <c r="L2884" t="s">
        <v>6803</v>
      </c>
    </row>
    <row r="2885" spans="1:12" x14ac:dyDescent="0.35">
      <c r="A2885" t="s">
        <v>2337</v>
      </c>
      <c r="B2885" s="1">
        <v>45721</v>
      </c>
      <c r="C2885" t="s">
        <v>7149</v>
      </c>
      <c r="E2885" t="s">
        <v>8093</v>
      </c>
      <c r="F2885" t="s">
        <v>7905</v>
      </c>
      <c r="H2885" t="s">
        <v>2391</v>
      </c>
      <c r="J2885">
        <v>90000</v>
      </c>
      <c r="L2885" t="s">
        <v>5944</v>
      </c>
    </row>
    <row r="2886" spans="1:12" x14ac:dyDescent="0.35">
      <c r="A2886" t="s">
        <v>2337</v>
      </c>
      <c r="B2886" s="1">
        <v>45721</v>
      </c>
      <c r="C2886" t="s">
        <v>7149</v>
      </c>
      <c r="E2886" t="s">
        <v>8093</v>
      </c>
      <c r="F2886" t="s">
        <v>7789</v>
      </c>
      <c r="H2886" t="s">
        <v>2392</v>
      </c>
      <c r="J2886">
        <v>5000</v>
      </c>
      <c r="L2886" t="s">
        <v>5944</v>
      </c>
    </row>
    <row r="2887" spans="1:12" x14ac:dyDescent="0.35">
      <c r="A2887" t="s">
        <v>2337</v>
      </c>
      <c r="B2887" s="1">
        <v>45721</v>
      </c>
      <c r="C2887" t="s">
        <v>7149</v>
      </c>
      <c r="E2887" t="s">
        <v>8093</v>
      </c>
      <c r="F2887" t="s">
        <v>7908</v>
      </c>
      <c r="H2887" t="s">
        <v>2390</v>
      </c>
      <c r="J2887">
        <v>317900</v>
      </c>
      <c r="L2887" t="s">
        <v>5944</v>
      </c>
    </row>
    <row r="2888" spans="1:12" x14ac:dyDescent="0.35">
      <c r="A2888" t="s">
        <v>2337</v>
      </c>
      <c r="B2888" s="1">
        <v>45721</v>
      </c>
      <c r="C2888" t="s">
        <v>7150</v>
      </c>
      <c r="E2888" t="s">
        <v>8094</v>
      </c>
      <c r="F2888" t="s">
        <v>8052</v>
      </c>
      <c r="H2888" t="s">
        <v>2393</v>
      </c>
      <c r="K2888">
        <v>110000</v>
      </c>
      <c r="L2888" t="s">
        <v>6803</v>
      </c>
    </row>
    <row r="2889" spans="1:12" x14ac:dyDescent="0.35">
      <c r="A2889" t="s">
        <v>2337</v>
      </c>
      <c r="B2889" s="1">
        <v>45721</v>
      </c>
      <c r="C2889" t="s">
        <v>7150</v>
      </c>
      <c r="E2889" t="s">
        <v>8094</v>
      </c>
      <c r="F2889" t="s">
        <v>7928</v>
      </c>
      <c r="H2889" t="s">
        <v>2394</v>
      </c>
      <c r="J2889">
        <v>100000</v>
      </c>
      <c r="L2889" t="s">
        <v>5938</v>
      </c>
    </row>
    <row r="2890" spans="1:12" x14ac:dyDescent="0.35">
      <c r="A2890" t="s">
        <v>2337</v>
      </c>
      <c r="B2890" s="1">
        <v>45721</v>
      </c>
      <c r="C2890" t="s">
        <v>7150</v>
      </c>
      <c r="E2890" t="s">
        <v>8094</v>
      </c>
      <c r="F2890" t="s">
        <v>8070</v>
      </c>
      <c r="H2890" t="s">
        <v>2395</v>
      </c>
      <c r="J2890">
        <v>10000</v>
      </c>
      <c r="L2890" t="s">
        <v>5909</v>
      </c>
    </row>
    <row r="2891" spans="1:12" x14ac:dyDescent="0.35">
      <c r="A2891" t="s">
        <v>2337</v>
      </c>
      <c r="B2891" s="1">
        <v>45721</v>
      </c>
      <c r="C2891" t="s">
        <v>7180</v>
      </c>
      <c r="E2891" t="s">
        <v>8095</v>
      </c>
      <c r="F2891" t="s">
        <v>8052</v>
      </c>
      <c r="H2891" t="s">
        <v>2396</v>
      </c>
      <c r="K2891">
        <v>45000</v>
      </c>
      <c r="L2891" t="s">
        <v>6803</v>
      </c>
    </row>
    <row r="2892" spans="1:12" x14ac:dyDescent="0.35">
      <c r="A2892" t="s">
        <v>2337</v>
      </c>
      <c r="B2892" s="1">
        <v>45721</v>
      </c>
      <c r="C2892" t="s">
        <v>7180</v>
      </c>
      <c r="E2892" t="s">
        <v>8095</v>
      </c>
      <c r="F2892" t="s">
        <v>7358</v>
      </c>
      <c r="H2892" t="s">
        <v>2396</v>
      </c>
      <c r="J2892">
        <v>45000</v>
      </c>
      <c r="L2892" t="s">
        <v>5942</v>
      </c>
    </row>
    <row r="2893" spans="1:12" x14ac:dyDescent="0.35">
      <c r="A2893" t="s">
        <v>2337</v>
      </c>
      <c r="B2893" s="1">
        <v>45721</v>
      </c>
      <c r="C2893" t="s">
        <v>7182</v>
      </c>
      <c r="E2893" t="s">
        <v>8096</v>
      </c>
      <c r="F2893" t="s">
        <v>8052</v>
      </c>
      <c r="H2893" t="s">
        <v>2397</v>
      </c>
      <c r="K2893">
        <v>140200</v>
      </c>
      <c r="L2893" t="s">
        <v>6803</v>
      </c>
    </row>
    <row r="2894" spans="1:12" x14ac:dyDescent="0.35">
      <c r="A2894" t="s">
        <v>2337</v>
      </c>
      <c r="B2894" s="1">
        <v>45721</v>
      </c>
      <c r="C2894" t="s">
        <v>7182</v>
      </c>
      <c r="E2894" t="s">
        <v>8096</v>
      </c>
      <c r="F2894" t="s">
        <v>7339</v>
      </c>
      <c r="H2894" t="s">
        <v>2398</v>
      </c>
      <c r="J2894">
        <v>84200</v>
      </c>
      <c r="L2894" t="s">
        <v>5894</v>
      </c>
    </row>
    <row r="2895" spans="1:12" x14ac:dyDescent="0.35">
      <c r="A2895" t="s">
        <v>2337</v>
      </c>
      <c r="B2895" s="1">
        <v>45721</v>
      </c>
      <c r="C2895" t="s">
        <v>7182</v>
      </c>
      <c r="E2895" t="s">
        <v>8096</v>
      </c>
      <c r="F2895" t="s">
        <v>7934</v>
      </c>
      <c r="H2895" t="s">
        <v>2397</v>
      </c>
      <c r="J2895">
        <v>56000</v>
      </c>
      <c r="L2895" t="s">
        <v>5932</v>
      </c>
    </row>
    <row r="2896" spans="1:12" x14ac:dyDescent="0.35">
      <c r="A2896" t="s">
        <v>2337</v>
      </c>
      <c r="B2896" s="1">
        <v>45722</v>
      </c>
      <c r="C2896" t="s">
        <v>7196</v>
      </c>
      <c r="E2896" t="s">
        <v>8097</v>
      </c>
      <c r="F2896" t="s">
        <v>8098</v>
      </c>
      <c r="H2896" t="s">
        <v>2399</v>
      </c>
      <c r="K2896">
        <v>527280</v>
      </c>
      <c r="L2896" t="s">
        <v>6803</v>
      </c>
    </row>
    <row r="2897" spans="1:12" x14ac:dyDescent="0.35">
      <c r="A2897" t="s">
        <v>2337</v>
      </c>
      <c r="B2897" s="1">
        <v>45722</v>
      </c>
      <c r="C2897" t="s">
        <v>7196</v>
      </c>
      <c r="E2897" t="s">
        <v>8097</v>
      </c>
      <c r="F2897" t="s">
        <v>8052</v>
      </c>
      <c r="H2897" t="s">
        <v>2399</v>
      </c>
      <c r="J2897">
        <v>527280</v>
      </c>
      <c r="L2897" t="s">
        <v>6803</v>
      </c>
    </row>
    <row r="2898" spans="1:12" x14ac:dyDescent="0.35">
      <c r="A2898" t="s">
        <v>2337</v>
      </c>
      <c r="B2898" s="1">
        <v>45722</v>
      </c>
      <c r="C2898" t="s">
        <v>7184</v>
      </c>
      <c r="E2898" t="s">
        <v>8099</v>
      </c>
      <c r="F2898" t="s">
        <v>8052</v>
      </c>
      <c r="H2898" t="s">
        <v>2400</v>
      </c>
      <c r="K2898">
        <v>10000</v>
      </c>
      <c r="L2898" t="s">
        <v>6803</v>
      </c>
    </row>
    <row r="2899" spans="1:12" x14ac:dyDescent="0.35">
      <c r="A2899" t="s">
        <v>2337</v>
      </c>
      <c r="B2899" s="1">
        <v>45722</v>
      </c>
      <c r="C2899" t="s">
        <v>7184</v>
      </c>
      <c r="E2899" t="s">
        <v>8099</v>
      </c>
      <c r="F2899" t="s">
        <v>7928</v>
      </c>
      <c r="H2899" t="s">
        <v>2400</v>
      </c>
      <c r="J2899">
        <v>10000</v>
      </c>
      <c r="L2899" t="s">
        <v>5878</v>
      </c>
    </row>
    <row r="2900" spans="1:12" x14ac:dyDescent="0.35">
      <c r="A2900" t="s">
        <v>2337</v>
      </c>
      <c r="B2900" s="1">
        <v>45722</v>
      </c>
      <c r="C2900" t="s">
        <v>7185</v>
      </c>
      <c r="E2900" t="s">
        <v>8100</v>
      </c>
      <c r="F2900" t="s">
        <v>8052</v>
      </c>
      <c r="H2900" t="s">
        <v>2401</v>
      </c>
      <c r="K2900">
        <v>45000</v>
      </c>
      <c r="L2900" t="s">
        <v>6803</v>
      </c>
    </row>
    <row r="2901" spans="1:12" x14ac:dyDescent="0.35">
      <c r="A2901" t="s">
        <v>2337</v>
      </c>
      <c r="B2901" s="1">
        <v>45722</v>
      </c>
      <c r="C2901" t="s">
        <v>7185</v>
      </c>
      <c r="E2901" t="s">
        <v>8100</v>
      </c>
      <c r="F2901" t="s">
        <v>7358</v>
      </c>
      <c r="H2901" t="s">
        <v>2401</v>
      </c>
      <c r="J2901">
        <v>45000</v>
      </c>
      <c r="L2901" t="s">
        <v>5883</v>
      </c>
    </row>
    <row r="2902" spans="1:12" x14ac:dyDescent="0.35">
      <c r="A2902" t="s">
        <v>2337</v>
      </c>
      <c r="B2902" s="1">
        <v>45722</v>
      </c>
      <c r="C2902" t="s">
        <v>7186</v>
      </c>
      <c r="E2902" t="s">
        <v>8101</v>
      </c>
      <c r="F2902" t="s">
        <v>8052</v>
      </c>
      <c r="H2902" t="s">
        <v>2402</v>
      </c>
      <c r="K2902">
        <v>200000</v>
      </c>
      <c r="L2902" t="s">
        <v>6803</v>
      </c>
    </row>
    <row r="2903" spans="1:12" x14ac:dyDescent="0.35">
      <c r="A2903" t="s">
        <v>2337</v>
      </c>
      <c r="B2903" s="1">
        <v>45722</v>
      </c>
      <c r="C2903" t="s">
        <v>7186</v>
      </c>
      <c r="E2903" t="s">
        <v>8101</v>
      </c>
      <c r="F2903" t="s">
        <v>7928</v>
      </c>
      <c r="H2903" t="s">
        <v>2402</v>
      </c>
      <c r="J2903">
        <v>200000</v>
      </c>
      <c r="L2903" t="s">
        <v>5942</v>
      </c>
    </row>
    <row r="2904" spans="1:12" x14ac:dyDescent="0.35">
      <c r="A2904" t="s">
        <v>2337</v>
      </c>
      <c r="B2904" s="1">
        <v>45722</v>
      </c>
      <c r="C2904" t="s">
        <v>7187</v>
      </c>
      <c r="E2904" t="s">
        <v>8102</v>
      </c>
      <c r="F2904" t="s">
        <v>7597</v>
      </c>
      <c r="H2904" t="s">
        <v>2403</v>
      </c>
      <c r="J2904">
        <v>300000</v>
      </c>
      <c r="L2904" t="s">
        <v>6803</v>
      </c>
    </row>
    <row r="2905" spans="1:12" x14ac:dyDescent="0.35">
      <c r="A2905" t="s">
        <v>2337</v>
      </c>
      <c r="B2905" s="1">
        <v>45722</v>
      </c>
      <c r="C2905" t="s">
        <v>7187</v>
      </c>
      <c r="E2905" t="s">
        <v>8102</v>
      </c>
      <c r="F2905" t="s">
        <v>8052</v>
      </c>
      <c r="H2905" t="s">
        <v>2403</v>
      </c>
      <c r="K2905">
        <v>300000</v>
      </c>
      <c r="L2905" t="s">
        <v>6803</v>
      </c>
    </row>
    <row r="2906" spans="1:12" x14ac:dyDescent="0.35">
      <c r="A2906" t="s">
        <v>2337</v>
      </c>
      <c r="B2906" s="1">
        <v>45723</v>
      </c>
      <c r="C2906" t="s">
        <v>7188</v>
      </c>
      <c r="E2906" t="s">
        <v>8103</v>
      </c>
      <c r="F2906" t="s">
        <v>8052</v>
      </c>
      <c r="H2906" t="s">
        <v>2404</v>
      </c>
      <c r="K2906">
        <v>233600</v>
      </c>
      <c r="L2906" t="s">
        <v>6803</v>
      </c>
    </row>
    <row r="2907" spans="1:12" x14ac:dyDescent="0.35">
      <c r="A2907" t="s">
        <v>2337</v>
      </c>
      <c r="B2907" s="1">
        <v>45723</v>
      </c>
      <c r="C2907" t="s">
        <v>7188</v>
      </c>
      <c r="E2907" t="s">
        <v>8103</v>
      </c>
      <c r="F2907" t="s">
        <v>7905</v>
      </c>
      <c r="H2907" t="s">
        <v>2404</v>
      </c>
      <c r="J2907">
        <v>116000</v>
      </c>
      <c r="L2907" t="s">
        <v>5944</v>
      </c>
    </row>
    <row r="2908" spans="1:12" x14ac:dyDescent="0.35">
      <c r="A2908" t="s">
        <v>2337</v>
      </c>
      <c r="B2908" s="1">
        <v>45723</v>
      </c>
      <c r="C2908" t="s">
        <v>7188</v>
      </c>
      <c r="E2908" t="s">
        <v>8103</v>
      </c>
      <c r="F2908" t="s">
        <v>7908</v>
      </c>
      <c r="H2908" t="s">
        <v>2405</v>
      </c>
      <c r="J2908">
        <v>117600</v>
      </c>
      <c r="L2908" t="s">
        <v>5944</v>
      </c>
    </row>
    <row r="2909" spans="1:12" x14ac:dyDescent="0.35">
      <c r="A2909" t="s">
        <v>2337</v>
      </c>
      <c r="B2909" s="1">
        <v>45723</v>
      </c>
      <c r="C2909" t="s">
        <v>7189</v>
      </c>
      <c r="E2909" t="s">
        <v>8104</v>
      </c>
      <c r="F2909" t="s">
        <v>8052</v>
      </c>
      <c r="H2909" t="s">
        <v>2406</v>
      </c>
      <c r="K2909">
        <v>87000</v>
      </c>
      <c r="L2909" t="s">
        <v>6803</v>
      </c>
    </row>
    <row r="2910" spans="1:12" x14ac:dyDescent="0.35">
      <c r="A2910" t="s">
        <v>2337</v>
      </c>
      <c r="B2910" s="1">
        <v>45723</v>
      </c>
      <c r="C2910" t="s">
        <v>7189</v>
      </c>
      <c r="E2910" t="s">
        <v>8104</v>
      </c>
      <c r="F2910" t="s">
        <v>8105</v>
      </c>
      <c r="H2910" t="s">
        <v>2406</v>
      </c>
      <c r="J2910">
        <v>65000</v>
      </c>
      <c r="L2910" t="s">
        <v>5873</v>
      </c>
    </row>
    <row r="2911" spans="1:12" x14ac:dyDescent="0.35">
      <c r="A2911" t="s">
        <v>2337</v>
      </c>
      <c r="B2911" s="1">
        <v>45723</v>
      </c>
      <c r="C2911" t="s">
        <v>7189</v>
      </c>
      <c r="E2911" t="s">
        <v>8104</v>
      </c>
      <c r="F2911" t="s">
        <v>6820</v>
      </c>
      <c r="H2911" t="s">
        <v>2407</v>
      </c>
      <c r="J2911">
        <v>22000</v>
      </c>
      <c r="L2911" t="s">
        <v>5875</v>
      </c>
    </row>
    <row r="2912" spans="1:12" x14ac:dyDescent="0.35">
      <c r="A2912" t="s">
        <v>2337</v>
      </c>
      <c r="B2912" s="1">
        <v>45723</v>
      </c>
      <c r="C2912" t="s">
        <v>7108</v>
      </c>
      <c r="E2912" t="s">
        <v>8106</v>
      </c>
      <c r="F2912" t="s">
        <v>8052</v>
      </c>
      <c r="H2912" t="s">
        <v>2408</v>
      </c>
      <c r="K2912">
        <v>140000</v>
      </c>
      <c r="L2912" t="s">
        <v>6803</v>
      </c>
    </row>
    <row r="2913" spans="1:12" x14ac:dyDescent="0.35">
      <c r="A2913" t="s">
        <v>2337</v>
      </c>
      <c r="B2913" s="1">
        <v>45723</v>
      </c>
      <c r="C2913" t="s">
        <v>7108</v>
      </c>
      <c r="E2913" t="s">
        <v>8106</v>
      </c>
      <c r="F2913" t="s">
        <v>7615</v>
      </c>
      <c r="H2913" t="s">
        <v>2408</v>
      </c>
      <c r="J2913">
        <v>140000</v>
      </c>
      <c r="L2913" t="s">
        <v>5905</v>
      </c>
    </row>
    <row r="2914" spans="1:12" x14ac:dyDescent="0.35">
      <c r="A2914" t="s">
        <v>2337</v>
      </c>
      <c r="B2914" s="1">
        <v>45723</v>
      </c>
      <c r="C2914" t="s">
        <v>7109</v>
      </c>
      <c r="E2914" t="s">
        <v>8107</v>
      </c>
      <c r="F2914" t="s">
        <v>8052</v>
      </c>
      <c r="H2914" t="s">
        <v>2409</v>
      </c>
      <c r="K2914">
        <v>-45000</v>
      </c>
      <c r="L2914" t="s">
        <v>6803</v>
      </c>
    </row>
    <row r="2915" spans="1:12" x14ac:dyDescent="0.35">
      <c r="A2915" t="s">
        <v>2337</v>
      </c>
      <c r="B2915" s="1">
        <v>45723</v>
      </c>
      <c r="C2915" t="s">
        <v>7109</v>
      </c>
      <c r="E2915" t="s">
        <v>8107</v>
      </c>
      <c r="F2915" t="s">
        <v>8105</v>
      </c>
      <c r="H2915" t="s">
        <v>2409</v>
      </c>
      <c r="J2915">
        <v>-45000</v>
      </c>
      <c r="L2915" t="s">
        <v>5873</v>
      </c>
    </row>
    <row r="2916" spans="1:12" x14ac:dyDescent="0.35">
      <c r="A2916" t="s">
        <v>2337</v>
      </c>
      <c r="B2916" s="1">
        <v>45723</v>
      </c>
      <c r="C2916" t="s">
        <v>7110</v>
      </c>
      <c r="E2916" t="s">
        <v>8108</v>
      </c>
      <c r="F2916" t="s">
        <v>8052</v>
      </c>
      <c r="H2916" t="s">
        <v>2410</v>
      </c>
      <c r="K2916">
        <v>60000</v>
      </c>
      <c r="L2916" t="s">
        <v>6803</v>
      </c>
    </row>
    <row r="2917" spans="1:12" x14ac:dyDescent="0.35">
      <c r="A2917" t="s">
        <v>2337</v>
      </c>
      <c r="B2917" s="1">
        <v>45723</v>
      </c>
      <c r="C2917" t="s">
        <v>7110</v>
      </c>
      <c r="E2917" t="s">
        <v>8108</v>
      </c>
      <c r="F2917" t="s">
        <v>6820</v>
      </c>
      <c r="H2917" t="s">
        <v>2410</v>
      </c>
      <c r="J2917">
        <v>60000</v>
      </c>
      <c r="L2917" t="s">
        <v>5873</v>
      </c>
    </row>
    <row r="2918" spans="1:12" x14ac:dyDescent="0.35">
      <c r="A2918" t="s">
        <v>2337</v>
      </c>
      <c r="B2918" s="1">
        <v>45723</v>
      </c>
      <c r="C2918" t="s">
        <v>7111</v>
      </c>
      <c r="E2918" t="s">
        <v>8109</v>
      </c>
      <c r="F2918" t="s">
        <v>6804</v>
      </c>
      <c r="G2918" t="s">
        <v>1584</v>
      </c>
      <c r="H2918" t="s">
        <v>2411</v>
      </c>
      <c r="J2918">
        <v>1000000</v>
      </c>
      <c r="L2918" t="s">
        <v>6803</v>
      </c>
    </row>
    <row r="2919" spans="1:12" x14ac:dyDescent="0.35">
      <c r="A2919" t="s">
        <v>2337</v>
      </c>
      <c r="B2919" s="1">
        <v>45723</v>
      </c>
      <c r="C2919" t="s">
        <v>7111</v>
      </c>
      <c r="E2919" t="s">
        <v>8109</v>
      </c>
      <c r="F2919" t="s">
        <v>8052</v>
      </c>
      <c r="H2919" t="s">
        <v>2411</v>
      </c>
      <c r="K2919">
        <v>1000000</v>
      </c>
      <c r="L2919" t="s">
        <v>6803</v>
      </c>
    </row>
    <row r="2920" spans="1:12" x14ac:dyDescent="0.35">
      <c r="A2920" t="s">
        <v>2337</v>
      </c>
      <c r="B2920" s="1">
        <v>45723</v>
      </c>
      <c r="C2920" t="s">
        <v>7112</v>
      </c>
      <c r="E2920" t="s">
        <v>8110</v>
      </c>
      <c r="F2920" t="s">
        <v>8052</v>
      </c>
      <c r="H2920" t="s">
        <v>2412</v>
      </c>
      <c r="K2920">
        <v>15000</v>
      </c>
      <c r="L2920" t="s">
        <v>6803</v>
      </c>
    </row>
    <row r="2921" spans="1:12" x14ac:dyDescent="0.35">
      <c r="A2921" t="s">
        <v>2337</v>
      </c>
      <c r="B2921" s="1">
        <v>45723</v>
      </c>
      <c r="C2921" t="s">
        <v>7112</v>
      </c>
      <c r="E2921" t="s">
        <v>8110</v>
      </c>
      <c r="F2921" t="s">
        <v>7615</v>
      </c>
      <c r="H2921" t="s">
        <v>2412</v>
      </c>
      <c r="J2921">
        <v>15000</v>
      </c>
      <c r="L2921" t="s">
        <v>5905</v>
      </c>
    </row>
    <row r="2922" spans="1:12" x14ac:dyDescent="0.35">
      <c r="A2922" t="s">
        <v>2337</v>
      </c>
      <c r="B2922" s="1">
        <v>45723</v>
      </c>
      <c r="C2922" t="s">
        <v>7113</v>
      </c>
      <c r="E2922" t="s">
        <v>8111</v>
      </c>
      <c r="F2922" t="s">
        <v>7847</v>
      </c>
      <c r="H2922" t="s">
        <v>2413</v>
      </c>
      <c r="J2922">
        <v>58564</v>
      </c>
      <c r="L2922" t="s">
        <v>6803</v>
      </c>
    </row>
    <row r="2923" spans="1:12" x14ac:dyDescent="0.35">
      <c r="A2923" t="s">
        <v>2337</v>
      </c>
      <c r="B2923" s="1">
        <v>45723</v>
      </c>
      <c r="C2923" t="s">
        <v>7113</v>
      </c>
      <c r="E2923" t="s">
        <v>8111</v>
      </c>
      <c r="F2923" t="s">
        <v>8052</v>
      </c>
      <c r="H2923" t="s">
        <v>2413</v>
      </c>
      <c r="K2923">
        <v>58564</v>
      </c>
      <c r="L2923" t="s">
        <v>6803</v>
      </c>
    </row>
    <row r="2924" spans="1:12" x14ac:dyDescent="0.35">
      <c r="A2924" t="s">
        <v>2337</v>
      </c>
      <c r="B2924" s="1">
        <v>45726</v>
      </c>
      <c r="C2924" t="s">
        <v>7261</v>
      </c>
      <c r="E2924" t="s">
        <v>8112</v>
      </c>
      <c r="F2924" t="s">
        <v>6804</v>
      </c>
      <c r="G2924" t="s">
        <v>8113</v>
      </c>
      <c r="H2924" t="s">
        <v>2414</v>
      </c>
      <c r="J2924">
        <v>74104</v>
      </c>
      <c r="L2924" t="s">
        <v>6803</v>
      </c>
    </row>
    <row r="2925" spans="1:12" x14ac:dyDescent="0.35">
      <c r="A2925" t="s">
        <v>2337</v>
      </c>
      <c r="B2925" s="1">
        <v>45726</v>
      </c>
      <c r="C2925" t="s">
        <v>7261</v>
      </c>
      <c r="E2925" t="s">
        <v>8112</v>
      </c>
      <c r="F2925" t="s">
        <v>8052</v>
      </c>
      <c r="H2925" t="s">
        <v>2414</v>
      </c>
      <c r="K2925">
        <v>74104</v>
      </c>
      <c r="L2925" t="s">
        <v>6803</v>
      </c>
    </row>
    <row r="2926" spans="1:12" x14ac:dyDescent="0.35">
      <c r="A2926" t="s">
        <v>2337</v>
      </c>
      <c r="B2926" s="1">
        <v>45726</v>
      </c>
      <c r="C2926" t="s">
        <v>7262</v>
      </c>
      <c r="E2926" t="s">
        <v>8114</v>
      </c>
      <c r="F2926" t="s">
        <v>8052</v>
      </c>
      <c r="H2926" t="s">
        <v>2415</v>
      </c>
      <c r="K2926">
        <v>15000</v>
      </c>
      <c r="L2926" t="s">
        <v>6803</v>
      </c>
    </row>
    <row r="2927" spans="1:12" x14ac:dyDescent="0.35">
      <c r="A2927" t="s">
        <v>2337</v>
      </c>
      <c r="B2927" s="1">
        <v>45726</v>
      </c>
      <c r="C2927" t="s">
        <v>7262</v>
      </c>
      <c r="E2927" t="s">
        <v>8114</v>
      </c>
      <c r="F2927" t="s">
        <v>7928</v>
      </c>
      <c r="H2927" t="s">
        <v>2415</v>
      </c>
      <c r="J2927">
        <v>15000</v>
      </c>
      <c r="L2927" t="s">
        <v>5878</v>
      </c>
    </row>
    <row r="2928" spans="1:12" x14ac:dyDescent="0.35">
      <c r="A2928" t="s">
        <v>2337</v>
      </c>
      <c r="B2928" s="1">
        <v>45726</v>
      </c>
      <c r="C2928" t="s">
        <v>7114</v>
      </c>
      <c r="E2928" t="s">
        <v>8115</v>
      </c>
      <c r="F2928" t="s">
        <v>6804</v>
      </c>
      <c r="G2928" t="s">
        <v>7045</v>
      </c>
      <c r="H2928" t="s">
        <v>2416</v>
      </c>
      <c r="J2928">
        <v>220000</v>
      </c>
      <c r="L2928" t="s">
        <v>6803</v>
      </c>
    </row>
    <row r="2929" spans="1:12" x14ac:dyDescent="0.35">
      <c r="A2929" t="s">
        <v>2337</v>
      </c>
      <c r="B2929" s="1">
        <v>45726</v>
      </c>
      <c r="C2929" t="s">
        <v>7114</v>
      </c>
      <c r="E2929" t="s">
        <v>8115</v>
      </c>
      <c r="F2929" t="s">
        <v>8052</v>
      </c>
      <c r="H2929" t="s">
        <v>2416</v>
      </c>
      <c r="K2929">
        <v>220000</v>
      </c>
      <c r="L2929" t="s">
        <v>6803</v>
      </c>
    </row>
    <row r="2930" spans="1:12" x14ac:dyDescent="0.35">
      <c r="A2930" t="s">
        <v>2337</v>
      </c>
      <c r="B2930" s="1">
        <v>45726</v>
      </c>
      <c r="C2930" t="s">
        <v>7115</v>
      </c>
      <c r="E2930" t="s">
        <v>8116</v>
      </c>
      <c r="F2930" t="s">
        <v>8052</v>
      </c>
      <c r="H2930" t="s">
        <v>2417</v>
      </c>
      <c r="K2930">
        <v>40000</v>
      </c>
      <c r="L2930" t="s">
        <v>6803</v>
      </c>
    </row>
    <row r="2931" spans="1:12" x14ac:dyDescent="0.35">
      <c r="A2931" t="s">
        <v>2337</v>
      </c>
      <c r="B2931" s="1">
        <v>45726</v>
      </c>
      <c r="C2931" t="s">
        <v>7115</v>
      </c>
      <c r="E2931" t="s">
        <v>8116</v>
      </c>
      <c r="F2931" t="s">
        <v>7928</v>
      </c>
      <c r="H2931" t="s">
        <v>2417</v>
      </c>
      <c r="J2931">
        <v>40000</v>
      </c>
      <c r="L2931" t="s">
        <v>5948</v>
      </c>
    </row>
    <row r="2932" spans="1:12" x14ac:dyDescent="0.35">
      <c r="A2932" t="s">
        <v>2337</v>
      </c>
      <c r="B2932" s="1">
        <v>45726</v>
      </c>
      <c r="C2932" t="s">
        <v>7116</v>
      </c>
      <c r="E2932" t="s">
        <v>8117</v>
      </c>
      <c r="F2932" t="s">
        <v>8052</v>
      </c>
      <c r="H2932" t="s">
        <v>2418</v>
      </c>
      <c r="K2932">
        <v>47500</v>
      </c>
      <c r="L2932" t="s">
        <v>6803</v>
      </c>
    </row>
    <row r="2933" spans="1:12" x14ac:dyDescent="0.35">
      <c r="A2933" t="s">
        <v>2337</v>
      </c>
      <c r="B2933" s="1">
        <v>45726</v>
      </c>
      <c r="C2933" t="s">
        <v>7116</v>
      </c>
      <c r="E2933" t="s">
        <v>8117</v>
      </c>
      <c r="F2933" t="s">
        <v>7928</v>
      </c>
      <c r="H2933" t="s">
        <v>2419</v>
      </c>
      <c r="J2933">
        <v>47500</v>
      </c>
      <c r="L2933" t="s">
        <v>5878</v>
      </c>
    </row>
    <row r="2934" spans="1:12" x14ac:dyDescent="0.35">
      <c r="A2934" t="s">
        <v>2337</v>
      </c>
      <c r="B2934" s="1">
        <v>45726</v>
      </c>
      <c r="C2934" t="s">
        <v>7117</v>
      </c>
      <c r="E2934" t="s">
        <v>8118</v>
      </c>
      <c r="F2934" t="s">
        <v>8052</v>
      </c>
      <c r="H2934" t="s">
        <v>2420</v>
      </c>
      <c r="K2934">
        <v>82000</v>
      </c>
      <c r="L2934" t="s">
        <v>6803</v>
      </c>
    </row>
    <row r="2935" spans="1:12" x14ac:dyDescent="0.35">
      <c r="A2935" t="s">
        <v>2337</v>
      </c>
      <c r="B2935" s="1">
        <v>45726</v>
      </c>
      <c r="C2935" t="s">
        <v>7117</v>
      </c>
      <c r="E2935" t="s">
        <v>8118</v>
      </c>
      <c r="F2935" t="s">
        <v>6820</v>
      </c>
      <c r="H2935" t="s">
        <v>2420</v>
      </c>
      <c r="J2935">
        <v>82000</v>
      </c>
      <c r="L2935" t="s">
        <v>5948</v>
      </c>
    </row>
    <row r="2936" spans="1:12" x14ac:dyDescent="0.35">
      <c r="A2936" t="s">
        <v>2337</v>
      </c>
      <c r="B2936" s="1">
        <v>45726</v>
      </c>
      <c r="C2936" t="s">
        <v>7263</v>
      </c>
      <c r="E2936" t="s">
        <v>8119</v>
      </c>
      <c r="F2936" t="s">
        <v>8052</v>
      </c>
      <c r="H2936" t="s">
        <v>2421</v>
      </c>
      <c r="K2936">
        <v>8000</v>
      </c>
      <c r="L2936" t="s">
        <v>6803</v>
      </c>
    </row>
    <row r="2937" spans="1:12" x14ac:dyDescent="0.35">
      <c r="A2937" t="s">
        <v>2337</v>
      </c>
      <c r="B2937" s="1">
        <v>45726</v>
      </c>
      <c r="C2937" t="s">
        <v>7263</v>
      </c>
      <c r="E2937" t="s">
        <v>8119</v>
      </c>
      <c r="F2937" t="s">
        <v>7928</v>
      </c>
      <c r="H2937" t="s">
        <v>2421</v>
      </c>
      <c r="J2937">
        <v>8000</v>
      </c>
      <c r="L2937" t="s">
        <v>5884</v>
      </c>
    </row>
    <row r="2938" spans="1:12" x14ac:dyDescent="0.35">
      <c r="A2938" t="s">
        <v>2337</v>
      </c>
      <c r="B2938" s="1">
        <v>45726</v>
      </c>
      <c r="C2938" t="s">
        <v>7264</v>
      </c>
      <c r="E2938" t="s">
        <v>8120</v>
      </c>
      <c r="F2938" t="s">
        <v>8121</v>
      </c>
      <c r="G2938" t="s">
        <v>8122</v>
      </c>
      <c r="H2938" t="s">
        <v>2422</v>
      </c>
      <c r="J2938">
        <v>-260000</v>
      </c>
      <c r="L2938" t="s">
        <v>6803</v>
      </c>
    </row>
    <row r="2939" spans="1:12" x14ac:dyDescent="0.35">
      <c r="A2939" t="s">
        <v>2337</v>
      </c>
      <c r="B2939" s="1">
        <v>45726</v>
      </c>
      <c r="C2939" t="s">
        <v>7264</v>
      </c>
      <c r="E2939" t="s">
        <v>8120</v>
      </c>
      <c r="F2939" t="s">
        <v>8052</v>
      </c>
      <c r="H2939" t="s">
        <v>2423</v>
      </c>
      <c r="K2939">
        <v>-260000</v>
      </c>
      <c r="L2939" t="s">
        <v>6803</v>
      </c>
    </row>
    <row r="2940" spans="1:12" x14ac:dyDescent="0.35">
      <c r="A2940" t="s">
        <v>2337</v>
      </c>
      <c r="B2940" s="1">
        <v>45726</v>
      </c>
      <c r="C2940" t="s">
        <v>7265</v>
      </c>
      <c r="E2940" t="s">
        <v>8123</v>
      </c>
      <c r="F2940" t="s">
        <v>8052</v>
      </c>
      <c r="H2940" t="s">
        <v>2424</v>
      </c>
      <c r="K2940">
        <v>24000</v>
      </c>
      <c r="L2940" t="s">
        <v>6803</v>
      </c>
    </row>
    <row r="2941" spans="1:12" x14ac:dyDescent="0.35">
      <c r="A2941" t="s">
        <v>2337</v>
      </c>
      <c r="B2941" s="1">
        <v>45726</v>
      </c>
      <c r="C2941" t="s">
        <v>7265</v>
      </c>
      <c r="E2941" t="s">
        <v>8123</v>
      </c>
      <c r="F2941" t="s">
        <v>7928</v>
      </c>
      <c r="H2941" t="s">
        <v>2425</v>
      </c>
      <c r="J2941">
        <v>24000</v>
      </c>
      <c r="L2941" t="s">
        <v>5873</v>
      </c>
    </row>
    <row r="2942" spans="1:12" x14ac:dyDescent="0.35">
      <c r="A2942" t="s">
        <v>2337</v>
      </c>
      <c r="B2942" s="1">
        <v>45726</v>
      </c>
      <c r="C2942" t="s">
        <v>7266</v>
      </c>
      <c r="E2942" t="s">
        <v>8124</v>
      </c>
      <c r="F2942" t="s">
        <v>8052</v>
      </c>
      <c r="H2942" t="s">
        <v>2426</v>
      </c>
      <c r="K2942">
        <v>30000</v>
      </c>
      <c r="L2942" t="s">
        <v>6803</v>
      </c>
    </row>
    <row r="2943" spans="1:12" x14ac:dyDescent="0.35">
      <c r="A2943" t="s">
        <v>2337</v>
      </c>
      <c r="B2943" s="1">
        <v>45726</v>
      </c>
      <c r="C2943" t="s">
        <v>7266</v>
      </c>
      <c r="E2943" t="s">
        <v>8124</v>
      </c>
      <c r="F2943" t="s">
        <v>7928</v>
      </c>
      <c r="H2943" t="s">
        <v>2426</v>
      </c>
      <c r="J2943">
        <v>30000</v>
      </c>
      <c r="L2943" t="s">
        <v>5942</v>
      </c>
    </row>
    <row r="2944" spans="1:12" x14ac:dyDescent="0.35">
      <c r="A2944" t="s">
        <v>2337</v>
      </c>
      <c r="B2944" s="1">
        <v>45726</v>
      </c>
      <c r="C2944" t="s">
        <v>6875</v>
      </c>
      <c r="E2944" t="s">
        <v>8125</v>
      </c>
      <c r="F2944" t="s">
        <v>8052</v>
      </c>
      <c r="H2944" t="s">
        <v>2427</v>
      </c>
      <c r="K2944">
        <v>5000</v>
      </c>
      <c r="L2944" t="s">
        <v>6803</v>
      </c>
    </row>
    <row r="2945" spans="1:12" x14ac:dyDescent="0.35">
      <c r="A2945" t="s">
        <v>2337</v>
      </c>
      <c r="B2945" s="1">
        <v>45726</v>
      </c>
      <c r="C2945" t="s">
        <v>6875</v>
      </c>
      <c r="E2945" t="s">
        <v>8125</v>
      </c>
      <c r="F2945" t="s">
        <v>7928</v>
      </c>
      <c r="H2945" t="s">
        <v>2427</v>
      </c>
      <c r="J2945">
        <v>5000</v>
      </c>
      <c r="L2945" t="s">
        <v>5932</v>
      </c>
    </row>
    <row r="2946" spans="1:12" x14ac:dyDescent="0.35">
      <c r="A2946" t="s">
        <v>2337</v>
      </c>
      <c r="B2946" s="1">
        <v>45726</v>
      </c>
      <c r="C2946" t="s">
        <v>7198</v>
      </c>
      <c r="E2946" t="s">
        <v>8126</v>
      </c>
      <c r="F2946" t="s">
        <v>8052</v>
      </c>
      <c r="H2946" t="s">
        <v>2428</v>
      </c>
      <c r="K2946">
        <v>10000</v>
      </c>
      <c r="L2946" t="s">
        <v>6803</v>
      </c>
    </row>
    <row r="2947" spans="1:12" x14ac:dyDescent="0.35">
      <c r="A2947" t="s">
        <v>2337</v>
      </c>
      <c r="B2947" s="1">
        <v>45726</v>
      </c>
      <c r="C2947" t="s">
        <v>7198</v>
      </c>
      <c r="E2947" t="s">
        <v>8126</v>
      </c>
      <c r="F2947" t="s">
        <v>7928</v>
      </c>
      <c r="H2947" t="s">
        <v>2428</v>
      </c>
      <c r="J2947">
        <v>10000</v>
      </c>
      <c r="L2947" t="s">
        <v>5932</v>
      </c>
    </row>
    <row r="2948" spans="1:12" x14ac:dyDescent="0.35">
      <c r="A2948" t="s">
        <v>2337</v>
      </c>
      <c r="B2948" s="1">
        <v>45726</v>
      </c>
      <c r="C2948" t="s">
        <v>7199</v>
      </c>
      <c r="E2948" t="s">
        <v>8127</v>
      </c>
      <c r="F2948" t="s">
        <v>8052</v>
      </c>
      <c r="H2948" t="s">
        <v>2429</v>
      </c>
      <c r="K2948">
        <v>20000</v>
      </c>
      <c r="L2948" t="s">
        <v>6803</v>
      </c>
    </row>
    <row r="2949" spans="1:12" x14ac:dyDescent="0.35">
      <c r="A2949" t="s">
        <v>2337</v>
      </c>
      <c r="B2949" s="1">
        <v>45726</v>
      </c>
      <c r="C2949" t="s">
        <v>7199</v>
      </c>
      <c r="E2949" t="s">
        <v>8127</v>
      </c>
      <c r="F2949" t="s">
        <v>7928</v>
      </c>
      <c r="H2949" t="s">
        <v>2429</v>
      </c>
      <c r="J2949">
        <v>20000</v>
      </c>
      <c r="L2949" t="s">
        <v>5932</v>
      </c>
    </row>
    <row r="2950" spans="1:12" x14ac:dyDescent="0.35">
      <c r="A2950" t="s">
        <v>2337</v>
      </c>
      <c r="B2950" s="1">
        <v>45726</v>
      </c>
      <c r="C2950" t="s">
        <v>7200</v>
      </c>
      <c r="E2950" t="s">
        <v>8128</v>
      </c>
      <c r="F2950" t="s">
        <v>8052</v>
      </c>
      <c r="H2950" t="s">
        <v>2430</v>
      </c>
      <c r="K2950">
        <v>125300</v>
      </c>
      <c r="L2950" t="s">
        <v>6803</v>
      </c>
    </row>
    <row r="2951" spans="1:12" x14ac:dyDescent="0.35">
      <c r="A2951" t="s">
        <v>2337</v>
      </c>
      <c r="B2951" s="1">
        <v>45726</v>
      </c>
      <c r="C2951" t="s">
        <v>7200</v>
      </c>
      <c r="E2951" t="s">
        <v>8128</v>
      </c>
      <c r="F2951" t="s">
        <v>7905</v>
      </c>
      <c r="H2951" t="s">
        <v>2431</v>
      </c>
      <c r="J2951">
        <v>98000</v>
      </c>
      <c r="L2951" t="s">
        <v>5944</v>
      </c>
    </row>
    <row r="2952" spans="1:12" x14ac:dyDescent="0.35">
      <c r="A2952" t="s">
        <v>2337</v>
      </c>
      <c r="B2952" s="1">
        <v>45726</v>
      </c>
      <c r="C2952" t="s">
        <v>7200</v>
      </c>
      <c r="E2952" t="s">
        <v>8128</v>
      </c>
      <c r="F2952" t="s">
        <v>7908</v>
      </c>
      <c r="H2952" t="s">
        <v>2430</v>
      </c>
      <c r="J2952">
        <v>27300</v>
      </c>
      <c r="L2952" t="s">
        <v>5944</v>
      </c>
    </row>
    <row r="2953" spans="1:12" x14ac:dyDescent="0.35">
      <c r="A2953" t="s">
        <v>2337</v>
      </c>
      <c r="B2953" s="1">
        <v>45726</v>
      </c>
      <c r="C2953" t="s">
        <v>7201</v>
      </c>
      <c r="E2953" t="s">
        <v>8129</v>
      </c>
      <c r="F2953" t="s">
        <v>8052</v>
      </c>
      <c r="H2953" t="s">
        <v>2432</v>
      </c>
      <c r="K2953">
        <v>-2500</v>
      </c>
      <c r="L2953" t="s">
        <v>6803</v>
      </c>
    </row>
    <row r="2954" spans="1:12" x14ac:dyDescent="0.35">
      <c r="A2954" t="s">
        <v>2337</v>
      </c>
      <c r="B2954" s="1">
        <v>45726</v>
      </c>
      <c r="C2954" t="s">
        <v>7201</v>
      </c>
      <c r="E2954" t="s">
        <v>8129</v>
      </c>
      <c r="F2954" t="s">
        <v>7983</v>
      </c>
      <c r="H2954" t="s">
        <v>2432</v>
      </c>
      <c r="J2954">
        <v>-2500</v>
      </c>
      <c r="L2954" t="s">
        <v>5905</v>
      </c>
    </row>
    <row r="2955" spans="1:12" x14ac:dyDescent="0.35">
      <c r="A2955" t="s">
        <v>2337</v>
      </c>
      <c r="B2955" s="1">
        <v>45726</v>
      </c>
      <c r="C2955" t="s">
        <v>7202</v>
      </c>
      <c r="E2955" t="s">
        <v>8130</v>
      </c>
      <c r="F2955" t="s">
        <v>8052</v>
      </c>
      <c r="H2955" t="s">
        <v>2433</v>
      </c>
      <c r="K2955">
        <v>55000</v>
      </c>
      <c r="L2955" t="s">
        <v>6803</v>
      </c>
    </row>
    <row r="2956" spans="1:12" x14ac:dyDescent="0.35">
      <c r="A2956" t="s">
        <v>2337</v>
      </c>
      <c r="B2956" s="1">
        <v>45726</v>
      </c>
      <c r="C2956" t="s">
        <v>7202</v>
      </c>
      <c r="E2956" t="s">
        <v>8130</v>
      </c>
      <c r="F2956" t="s">
        <v>8091</v>
      </c>
      <c r="H2956" t="s">
        <v>2434</v>
      </c>
      <c r="J2956">
        <v>30000</v>
      </c>
      <c r="L2956" t="s">
        <v>348</v>
      </c>
    </row>
    <row r="2957" spans="1:12" x14ac:dyDescent="0.35">
      <c r="A2957" t="s">
        <v>2337</v>
      </c>
      <c r="B2957" s="1">
        <v>45726</v>
      </c>
      <c r="C2957" t="s">
        <v>7202</v>
      </c>
      <c r="E2957" t="s">
        <v>8130</v>
      </c>
      <c r="F2957" t="s">
        <v>7928</v>
      </c>
      <c r="H2957" t="s">
        <v>2435</v>
      </c>
      <c r="J2957">
        <v>10000</v>
      </c>
      <c r="L2957" t="s">
        <v>5873</v>
      </c>
    </row>
    <row r="2958" spans="1:12" x14ac:dyDescent="0.35">
      <c r="A2958" t="s">
        <v>2337</v>
      </c>
      <c r="B2958" s="1">
        <v>45726</v>
      </c>
      <c r="C2958" t="s">
        <v>7202</v>
      </c>
      <c r="E2958" t="s">
        <v>8130</v>
      </c>
      <c r="F2958" t="s">
        <v>7760</v>
      </c>
      <c r="H2958" t="s">
        <v>2436</v>
      </c>
      <c r="J2958">
        <v>15000</v>
      </c>
      <c r="L2958" t="s">
        <v>5905</v>
      </c>
    </row>
    <row r="2959" spans="1:12" x14ac:dyDescent="0.35">
      <c r="A2959" t="s">
        <v>2337</v>
      </c>
      <c r="B2959" s="1">
        <v>45726</v>
      </c>
      <c r="C2959" t="s">
        <v>7203</v>
      </c>
      <c r="E2959" t="s">
        <v>8131</v>
      </c>
      <c r="F2959" t="s">
        <v>8052</v>
      </c>
      <c r="H2959" t="s">
        <v>2437</v>
      </c>
      <c r="K2959">
        <v>40000</v>
      </c>
      <c r="L2959" t="s">
        <v>6803</v>
      </c>
    </row>
    <row r="2960" spans="1:12" x14ac:dyDescent="0.35">
      <c r="A2960" t="s">
        <v>2337</v>
      </c>
      <c r="B2960" s="1">
        <v>45726</v>
      </c>
      <c r="C2960" t="s">
        <v>7203</v>
      </c>
      <c r="E2960" t="s">
        <v>8131</v>
      </c>
      <c r="F2960" t="s">
        <v>7928</v>
      </c>
      <c r="H2960" t="s">
        <v>2437</v>
      </c>
      <c r="J2960">
        <v>40000</v>
      </c>
      <c r="L2960" t="s">
        <v>5873</v>
      </c>
    </row>
    <row r="2961" spans="1:12" x14ac:dyDescent="0.35">
      <c r="A2961" t="s">
        <v>2337</v>
      </c>
      <c r="B2961" s="1">
        <v>45726</v>
      </c>
      <c r="C2961" t="s">
        <v>7204</v>
      </c>
      <c r="E2961" t="s">
        <v>8132</v>
      </c>
      <c r="F2961" t="s">
        <v>8052</v>
      </c>
      <c r="H2961" t="s">
        <v>2438</v>
      </c>
      <c r="K2961">
        <v>246500</v>
      </c>
      <c r="L2961" t="s">
        <v>6803</v>
      </c>
    </row>
    <row r="2962" spans="1:12" x14ac:dyDescent="0.35">
      <c r="A2962" t="s">
        <v>2337</v>
      </c>
      <c r="B2962" s="1">
        <v>45726</v>
      </c>
      <c r="C2962" t="s">
        <v>7204</v>
      </c>
      <c r="E2962" t="s">
        <v>8132</v>
      </c>
      <c r="F2962" t="s">
        <v>7905</v>
      </c>
      <c r="H2962" t="s">
        <v>2439</v>
      </c>
      <c r="J2962">
        <v>160000</v>
      </c>
      <c r="L2962" t="s">
        <v>5953</v>
      </c>
    </row>
    <row r="2963" spans="1:12" x14ac:dyDescent="0.35">
      <c r="A2963" t="s">
        <v>2337</v>
      </c>
      <c r="B2963" s="1">
        <v>45726</v>
      </c>
      <c r="C2963" t="s">
        <v>7204</v>
      </c>
      <c r="E2963" t="s">
        <v>8132</v>
      </c>
      <c r="F2963" t="s">
        <v>7908</v>
      </c>
      <c r="H2963" t="s">
        <v>2440</v>
      </c>
      <c r="J2963">
        <v>66500</v>
      </c>
      <c r="L2963" t="s">
        <v>5953</v>
      </c>
    </row>
    <row r="2964" spans="1:12" x14ac:dyDescent="0.35">
      <c r="A2964" t="s">
        <v>2337</v>
      </c>
      <c r="B2964" s="1">
        <v>45726</v>
      </c>
      <c r="C2964" t="s">
        <v>7204</v>
      </c>
      <c r="E2964" t="s">
        <v>8132</v>
      </c>
      <c r="F2964" t="s">
        <v>7934</v>
      </c>
      <c r="H2964" t="s">
        <v>2438</v>
      </c>
      <c r="J2964">
        <v>20000</v>
      </c>
      <c r="L2964" t="s">
        <v>5884</v>
      </c>
    </row>
    <row r="2965" spans="1:12" x14ac:dyDescent="0.35">
      <c r="A2965" t="s">
        <v>2337</v>
      </c>
      <c r="B2965" s="1">
        <v>45727</v>
      </c>
      <c r="C2965" t="s">
        <v>7205</v>
      </c>
      <c r="E2965" t="s">
        <v>8133</v>
      </c>
      <c r="F2965" t="s">
        <v>8052</v>
      </c>
      <c r="H2965" t="s">
        <v>2441</v>
      </c>
      <c r="K2965">
        <v>15000</v>
      </c>
      <c r="L2965" t="s">
        <v>6803</v>
      </c>
    </row>
    <row r="2966" spans="1:12" x14ac:dyDescent="0.35">
      <c r="A2966" t="s">
        <v>2337</v>
      </c>
      <c r="B2966" s="1">
        <v>45727</v>
      </c>
      <c r="C2966" t="s">
        <v>7205</v>
      </c>
      <c r="E2966" t="s">
        <v>8133</v>
      </c>
      <c r="F2966" t="s">
        <v>8134</v>
      </c>
      <c r="H2966" t="s">
        <v>2441</v>
      </c>
      <c r="J2966">
        <v>15000</v>
      </c>
      <c r="L2966" t="s">
        <v>5920</v>
      </c>
    </row>
    <row r="2967" spans="1:12" x14ac:dyDescent="0.35">
      <c r="A2967" t="s">
        <v>2337</v>
      </c>
      <c r="B2967" s="1">
        <v>45727</v>
      </c>
      <c r="C2967" t="s">
        <v>7272</v>
      </c>
      <c r="E2967" t="s">
        <v>8135</v>
      </c>
      <c r="F2967" t="s">
        <v>8052</v>
      </c>
      <c r="H2967" t="s">
        <v>2442</v>
      </c>
      <c r="K2967">
        <v>50000</v>
      </c>
      <c r="L2967" t="s">
        <v>6803</v>
      </c>
    </row>
    <row r="2968" spans="1:12" x14ac:dyDescent="0.35">
      <c r="A2968" t="s">
        <v>2337</v>
      </c>
      <c r="B2968" s="1">
        <v>45727</v>
      </c>
      <c r="C2968" t="s">
        <v>7272</v>
      </c>
      <c r="E2968" t="s">
        <v>8135</v>
      </c>
      <c r="F2968" t="s">
        <v>8134</v>
      </c>
      <c r="H2968" t="s">
        <v>2442</v>
      </c>
      <c r="J2968">
        <v>50000</v>
      </c>
      <c r="L2968" t="s">
        <v>5921</v>
      </c>
    </row>
    <row r="2969" spans="1:12" x14ac:dyDescent="0.35">
      <c r="A2969" t="s">
        <v>2337</v>
      </c>
      <c r="B2969" s="1">
        <v>45727</v>
      </c>
      <c r="C2969" t="s">
        <v>7273</v>
      </c>
      <c r="E2969" t="s">
        <v>8136</v>
      </c>
      <c r="F2969" t="s">
        <v>8052</v>
      </c>
      <c r="H2969" t="s">
        <v>2443</v>
      </c>
      <c r="K2969">
        <v>15000</v>
      </c>
      <c r="L2969" t="s">
        <v>6803</v>
      </c>
    </row>
    <row r="2970" spans="1:12" x14ac:dyDescent="0.35">
      <c r="A2970" t="s">
        <v>2337</v>
      </c>
      <c r="B2970" s="1">
        <v>45727</v>
      </c>
      <c r="C2970" t="s">
        <v>7273</v>
      </c>
      <c r="E2970" t="s">
        <v>8136</v>
      </c>
      <c r="F2970" t="s">
        <v>8134</v>
      </c>
      <c r="H2970" t="s">
        <v>2443</v>
      </c>
      <c r="J2970">
        <v>15000</v>
      </c>
      <c r="L2970" t="s">
        <v>5903</v>
      </c>
    </row>
    <row r="2971" spans="1:12" x14ac:dyDescent="0.35">
      <c r="A2971" t="s">
        <v>2337</v>
      </c>
      <c r="B2971" s="1">
        <v>45727</v>
      </c>
      <c r="C2971" t="s">
        <v>7274</v>
      </c>
      <c r="E2971" t="s">
        <v>8137</v>
      </c>
      <c r="F2971" t="s">
        <v>8052</v>
      </c>
      <c r="H2971" t="s">
        <v>2444</v>
      </c>
      <c r="K2971">
        <v>100000</v>
      </c>
      <c r="L2971" t="s">
        <v>6803</v>
      </c>
    </row>
    <row r="2972" spans="1:12" x14ac:dyDescent="0.35">
      <c r="A2972" t="s">
        <v>2337</v>
      </c>
      <c r="B2972" s="1">
        <v>45727</v>
      </c>
      <c r="C2972" t="s">
        <v>7274</v>
      </c>
      <c r="E2972" t="s">
        <v>8137</v>
      </c>
      <c r="F2972" t="s">
        <v>7905</v>
      </c>
      <c r="H2972" t="s">
        <v>2444</v>
      </c>
      <c r="J2972">
        <v>100000</v>
      </c>
      <c r="L2972" t="s">
        <v>5957</v>
      </c>
    </row>
    <row r="2973" spans="1:12" x14ac:dyDescent="0.35">
      <c r="A2973" t="s">
        <v>2337</v>
      </c>
      <c r="B2973" s="1">
        <v>45727</v>
      </c>
      <c r="C2973" t="s">
        <v>7275</v>
      </c>
      <c r="E2973" t="s">
        <v>8138</v>
      </c>
      <c r="F2973" t="s">
        <v>8052</v>
      </c>
      <c r="H2973" t="s">
        <v>2445</v>
      </c>
      <c r="K2973">
        <v>10000</v>
      </c>
      <c r="L2973" t="s">
        <v>6803</v>
      </c>
    </row>
    <row r="2974" spans="1:12" x14ac:dyDescent="0.35">
      <c r="A2974" t="s">
        <v>2337</v>
      </c>
      <c r="B2974" s="1">
        <v>45727</v>
      </c>
      <c r="C2974" t="s">
        <v>7275</v>
      </c>
      <c r="E2974" t="s">
        <v>8138</v>
      </c>
      <c r="F2974" t="s">
        <v>7928</v>
      </c>
      <c r="H2974" t="s">
        <v>2445</v>
      </c>
      <c r="J2974">
        <v>10000</v>
      </c>
      <c r="L2974" t="s">
        <v>5882</v>
      </c>
    </row>
    <row r="2975" spans="1:12" x14ac:dyDescent="0.35">
      <c r="A2975" t="s">
        <v>2337</v>
      </c>
      <c r="B2975" s="1">
        <v>45727</v>
      </c>
      <c r="C2975" t="s">
        <v>7276</v>
      </c>
      <c r="E2975" t="s">
        <v>8139</v>
      </c>
      <c r="F2975" t="s">
        <v>8052</v>
      </c>
      <c r="H2975" t="s">
        <v>2446</v>
      </c>
      <c r="K2975">
        <v>105000</v>
      </c>
      <c r="L2975" t="s">
        <v>6803</v>
      </c>
    </row>
    <row r="2976" spans="1:12" x14ac:dyDescent="0.35">
      <c r="A2976" t="s">
        <v>2337</v>
      </c>
      <c r="B2976" s="1">
        <v>45727</v>
      </c>
      <c r="C2976" t="s">
        <v>7276</v>
      </c>
      <c r="E2976" t="s">
        <v>8139</v>
      </c>
      <c r="F2976" t="s">
        <v>7928</v>
      </c>
      <c r="H2976" t="s">
        <v>2446</v>
      </c>
      <c r="J2976">
        <v>105000</v>
      </c>
      <c r="L2976" t="s">
        <v>5873</v>
      </c>
    </row>
    <row r="2977" spans="1:12" x14ac:dyDescent="0.35">
      <c r="A2977" t="s">
        <v>2337</v>
      </c>
      <c r="B2977" s="1">
        <v>45727</v>
      </c>
      <c r="C2977" t="s">
        <v>7206</v>
      </c>
      <c r="E2977" t="s">
        <v>8140</v>
      </c>
      <c r="F2977" t="s">
        <v>8052</v>
      </c>
      <c r="H2977" t="s">
        <v>2447</v>
      </c>
      <c r="K2977">
        <v>-2000000</v>
      </c>
      <c r="L2977" t="s">
        <v>6803</v>
      </c>
    </row>
    <row r="2978" spans="1:12" x14ac:dyDescent="0.35">
      <c r="A2978" t="s">
        <v>2337</v>
      </c>
      <c r="B2978" s="1">
        <v>45727</v>
      </c>
      <c r="C2978" t="s">
        <v>7206</v>
      </c>
      <c r="E2978" t="s">
        <v>8140</v>
      </c>
      <c r="F2978" t="s">
        <v>8141</v>
      </c>
      <c r="H2978" t="s">
        <v>2447</v>
      </c>
      <c r="J2978">
        <v>-2000000</v>
      </c>
      <c r="L2978" t="s">
        <v>5962</v>
      </c>
    </row>
    <row r="2979" spans="1:12" x14ac:dyDescent="0.35">
      <c r="A2979" t="s">
        <v>2337</v>
      </c>
      <c r="B2979" s="1">
        <v>45727</v>
      </c>
      <c r="C2979" t="s">
        <v>7207</v>
      </c>
      <c r="E2979" t="s">
        <v>8142</v>
      </c>
      <c r="F2979" t="s">
        <v>8052</v>
      </c>
      <c r="H2979" t="s">
        <v>2448</v>
      </c>
      <c r="K2979">
        <v>17000</v>
      </c>
      <c r="L2979" t="s">
        <v>6803</v>
      </c>
    </row>
    <row r="2980" spans="1:12" x14ac:dyDescent="0.35">
      <c r="A2980" t="s">
        <v>2337</v>
      </c>
      <c r="B2980" s="1">
        <v>45727</v>
      </c>
      <c r="C2980" t="s">
        <v>7207</v>
      </c>
      <c r="E2980" t="s">
        <v>8142</v>
      </c>
      <c r="F2980" t="s">
        <v>7928</v>
      </c>
      <c r="H2980" t="s">
        <v>2448</v>
      </c>
      <c r="J2980">
        <v>17000</v>
      </c>
      <c r="L2980" t="s">
        <v>5873</v>
      </c>
    </row>
    <row r="2981" spans="1:12" x14ac:dyDescent="0.35">
      <c r="A2981" t="s">
        <v>2337</v>
      </c>
      <c r="B2981" s="1">
        <v>45727</v>
      </c>
      <c r="C2981" t="s">
        <v>7208</v>
      </c>
      <c r="E2981" t="s">
        <v>8143</v>
      </c>
      <c r="F2981" t="s">
        <v>8052</v>
      </c>
      <c r="H2981" t="s">
        <v>2449</v>
      </c>
      <c r="K2981">
        <v>10000</v>
      </c>
      <c r="L2981" t="s">
        <v>6803</v>
      </c>
    </row>
    <row r="2982" spans="1:12" x14ac:dyDescent="0.35">
      <c r="A2982" t="s">
        <v>2337</v>
      </c>
      <c r="B2982" s="1">
        <v>45727</v>
      </c>
      <c r="C2982" t="s">
        <v>7208</v>
      </c>
      <c r="E2982" t="s">
        <v>8143</v>
      </c>
      <c r="F2982" t="s">
        <v>7928</v>
      </c>
      <c r="H2982" t="s">
        <v>2449</v>
      </c>
      <c r="J2982">
        <v>10000</v>
      </c>
      <c r="L2982" t="s">
        <v>5938</v>
      </c>
    </row>
    <row r="2983" spans="1:12" x14ac:dyDescent="0.35">
      <c r="A2983" t="s">
        <v>2337</v>
      </c>
      <c r="B2983" s="1">
        <v>45727</v>
      </c>
      <c r="C2983" t="s">
        <v>7209</v>
      </c>
      <c r="E2983" t="s">
        <v>8144</v>
      </c>
      <c r="F2983" t="s">
        <v>8052</v>
      </c>
      <c r="H2983" t="s">
        <v>2450</v>
      </c>
      <c r="K2983">
        <v>35000</v>
      </c>
      <c r="L2983" t="s">
        <v>6803</v>
      </c>
    </row>
    <row r="2984" spans="1:12" x14ac:dyDescent="0.35">
      <c r="A2984" t="s">
        <v>2337</v>
      </c>
      <c r="B2984" s="1">
        <v>45727</v>
      </c>
      <c r="C2984" t="s">
        <v>7209</v>
      </c>
      <c r="E2984" t="s">
        <v>8144</v>
      </c>
      <c r="F2984" t="s">
        <v>7928</v>
      </c>
      <c r="H2984" t="s">
        <v>2450</v>
      </c>
      <c r="J2984">
        <v>35000</v>
      </c>
      <c r="L2984" t="s">
        <v>5947</v>
      </c>
    </row>
    <row r="2985" spans="1:12" x14ac:dyDescent="0.35">
      <c r="A2985" t="s">
        <v>2337</v>
      </c>
      <c r="B2985" s="1">
        <v>45727</v>
      </c>
      <c r="C2985" t="s">
        <v>7118</v>
      </c>
      <c r="E2985" t="s">
        <v>8145</v>
      </c>
      <c r="F2985" t="s">
        <v>8052</v>
      </c>
      <c r="H2985" t="s">
        <v>2451</v>
      </c>
      <c r="K2985">
        <v>25000</v>
      </c>
      <c r="L2985" t="s">
        <v>6803</v>
      </c>
    </row>
    <row r="2986" spans="1:12" x14ac:dyDescent="0.35">
      <c r="A2986" t="s">
        <v>2337</v>
      </c>
      <c r="B2986" s="1">
        <v>45727</v>
      </c>
      <c r="C2986" t="s">
        <v>7118</v>
      </c>
      <c r="E2986" t="s">
        <v>8145</v>
      </c>
      <c r="F2986" t="s">
        <v>7785</v>
      </c>
      <c r="H2986" t="s">
        <v>2451</v>
      </c>
      <c r="J2986">
        <v>25000</v>
      </c>
      <c r="L2986" t="s">
        <v>5950</v>
      </c>
    </row>
    <row r="2987" spans="1:12" x14ac:dyDescent="0.35">
      <c r="A2987" t="s">
        <v>2337</v>
      </c>
      <c r="B2987" s="1">
        <v>45727</v>
      </c>
      <c r="C2987" t="s">
        <v>7120</v>
      </c>
      <c r="E2987" t="s">
        <v>8146</v>
      </c>
      <c r="F2987" t="s">
        <v>8052</v>
      </c>
      <c r="H2987" t="s">
        <v>2452</v>
      </c>
      <c r="K2987">
        <v>45000</v>
      </c>
      <c r="L2987" t="s">
        <v>6803</v>
      </c>
    </row>
    <row r="2988" spans="1:12" x14ac:dyDescent="0.35">
      <c r="A2988" t="s">
        <v>2337</v>
      </c>
      <c r="B2988" s="1">
        <v>45727</v>
      </c>
      <c r="C2988" t="s">
        <v>7120</v>
      </c>
      <c r="E2988" t="s">
        <v>8146</v>
      </c>
      <c r="F2988" t="s">
        <v>7358</v>
      </c>
      <c r="H2988" t="s">
        <v>2452</v>
      </c>
      <c r="J2988">
        <v>45000</v>
      </c>
      <c r="L2988" t="s">
        <v>5963</v>
      </c>
    </row>
    <row r="2989" spans="1:12" x14ac:dyDescent="0.35">
      <c r="A2989" t="s">
        <v>2337</v>
      </c>
      <c r="B2989" s="1">
        <v>45727</v>
      </c>
      <c r="C2989" t="s">
        <v>7121</v>
      </c>
      <c r="E2989" t="s">
        <v>8147</v>
      </c>
      <c r="F2989" t="s">
        <v>6804</v>
      </c>
      <c r="G2989" t="s">
        <v>7680</v>
      </c>
      <c r="H2989" t="s">
        <v>2453</v>
      </c>
      <c r="J2989">
        <v>34000</v>
      </c>
      <c r="L2989" t="s">
        <v>6803</v>
      </c>
    </row>
    <row r="2990" spans="1:12" x14ac:dyDescent="0.35">
      <c r="A2990" t="s">
        <v>2337</v>
      </c>
      <c r="B2990" s="1">
        <v>45727</v>
      </c>
      <c r="C2990" t="s">
        <v>7121</v>
      </c>
      <c r="E2990" t="s">
        <v>8147</v>
      </c>
      <c r="F2990" t="s">
        <v>8052</v>
      </c>
      <c r="H2990" t="s">
        <v>2453</v>
      </c>
      <c r="K2990">
        <v>34000</v>
      </c>
      <c r="L2990" t="s">
        <v>6803</v>
      </c>
    </row>
    <row r="2991" spans="1:12" x14ac:dyDescent="0.35">
      <c r="A2991" t="s">
        <v>2337</v>
      </c>
      <c r="B2991" s="1">
        <v>45727</v>
      </c>
      <c r="C2991" t="s">
        <v>7122</v>
      </c>
      <c r="E2991" t="s">
        <v>8148</v>
      </c>
      <c r="F2991" t="s">
        <v>7876</v>
      </c>
      <c r="H2991" t="s">
        <v>2454</v>
      </c>
      <c r="J2991">
        <v>1500000</v>
      </c>
      <c r="L2991" t="s">
        <v>6803</v>
      </c>
    </row>
    <row r="2992" spans="1:12" x14ac:dyDescent="0.35">
      <c r="A2992" t="s">
        <v>2337</v>
      </c>
      <c r="B2992" s="1">
        <v>45727</v>
      </c>
      <c r="C2992" t="s">
        <v>7122</v>
      </c>
      <c r="E2992" t="s">
        <v>8148</v>
      </c>
      <c r="F2992" t="s">
        <v>8052</v>
      </c>
      <c r="H2992" t="s">
        <v>2454</v>
      </c>
      <c r="K2992">
        <v>1500000</v>
      </c>
      <c r="L2992" t="s">
        <v>6803</v>
      </c>
    </row>
    <row r="2993" spans="1:12" x14ac:dyDescent="0.35">
      <c r="A2993" t="s">
        <v>2337</v>
      </c>
      <c r="B2993" s="1">
        <v>45727</v>
      </c>
      <c r="C2993" t="s">
        <v>7123</v>
      </c>
      <c r="E2993" t="s">
        <v>8149</v>
      </c>
      <c r="F2993" t="s">
        <v>8052</v>
      </c>
      <c r="H2993" t="s">
        <v>2455</v>
      </c>
      <c r="K2993">
        <v>15000</v>
      </c>
      <c r="L2993" t="s">
        <v>6803</v>
      </c>
    </row>
    <row r="2994" spans="1:12" x14ac:dyDescent="0.35">
      <c r="A2994" t="s">
        <v>2337</v>
      </c>
      <c r="B2994" s="1">
        <v>45727</v>
      </c>
      <c r="C2994" t="s">
        <v>7123</v>
      </c>
      <c r="E2994" t="s">
        <v>8149</v>
      </c>
      <c r="F2994" t="s">
        <v>7928</v>
      </c>
      <c r="H2994" t="s">
        <v>2455</v>
      </c>
      <c r="J2994">
        <v>15000</v>
      </c>
      <c r="L2994" t="s">
        <v>5941</v>
      </c>
    </row>
    <row r="2995" spans="1:12" x14ac:dyDescent="0.35">
      <c r="A2995" t="s">
        <v>2337</v>
      </c>
      <c r="B2995" s="1">
        <v>45727</v>
      </c>
      <c r="C2995" t="s">
        <v>7124</v>
      </c>
      <c r="E2995" t="s">
        <v>8150</v>
      </c>
      <c r="F2995" t="s">
        <v>8052</v>
      </c>
      <c r="H2995" t="s">
        <v>2456</v>
      </c>
      <c r="K2995">
        <v>50000</v>
      </c>
      <c r="L2995" t="s">
        <v>6803</v>
      </c>
    </row>
    <row r="2996" spans="1:12" x14ac:dyDescent="0.35">
      <c r="A2996" t="s">
        <v>2337</v>
      </c>
      <c r="B2996" s="1">
        <v>45727</v>
      </c>
      <c r="C2996" t="s">
        <v>7124</v>
      </c>
      <c r="E2996" t="s">
        <v>8150</v>
      </c>
      <c r="F2996" t="s">
        <v>8105</v>
      </c>
      <c r="H2996" t="s">
        <v>2456</v>
      </c>
      <c r="J2996">
        <v>50000</v>
      </c>
      <c r="L2996" t="s">
        <v>5906</v>
      </c>
    </row>
    <row r="2997" spans="1:12" x14ac:dyDescent="0.35">
      <c r="A2997" t="s">
        <v>2337</v>
      </c>
      <c r="B2997" s="1">
        <v>45728</v>
      </c>
      <c r="C2997" t="s">
        <v>7125</v>
      </c>
      <c r="E2997" t="s">
        <v>8151</v>
      </c>
      <c r="F2997" t="s">
        <v>8052</v>
      </c>
      <c r="H2997" t="s">
        <v>2457</v>
      </c>
      <c r="K2997">
        <v>70000</v>
      </c>
      <c r="L2997" t="s">
        <v>6803</v>
      </c>
    </row>
    <row r="2998" spans="1:12" x14ac:dyDescent="0.35">
      <c r="A2998" t="s">
        <v>2337</v>
      </c>
      <c r="B2998" s="1">
        <v>45728</v>
      </c>
      <c r="C2998" t="s">
        <v>7125</v>
      </c>
      <c r="E2998" t="s">
        <v>8151</v>
      </c>
      <c r="F2998" t="s">
        <v>7611</v>
      </c>
      <c r="H2998" t="s">
        <v>2458</v>
      </c>
      <c r="J2998">
        <v>60000</v>
      </c>
      <c r="L2998" t="s">
        <v>5905</v>
      </c>
    </row>
    <row r="2999" spans="1:12" x14ac:dyDescent="0.35">
      <c r="A2999" t="s">
        <v>2337</v>
      </c>
      <c r="B2999" s="1">
        <v>45728</v>
      </c>
      <c r="C2999" t="s">
        <v>7125</v>
      </c>
      <c r="E2999" t="s">
        <v>8151</v>
      </c>
      <c r="F2999" t="s">
        <v>7928</v>
      </c>
      <c r="H2999" t="s">
        <v>2457</v>
      </c>
      <c r="J2999">
        <v>10000</v>
      </c>
      <c r="L2999" t="s">
        <v>5928</v>
      </c>
    </row>
    <row r="3000" spans="1:12" x14ac:dyDescent="0.35">
      <c r="A3000" t="s">
        <v>2337</v>
      </c>
      <c r="B3000" s="1">
        <v>45728</v>
      </c>
      <c r="C3000" t="s">
        <v>7126</v>
      </c>
      <c r="E3000" t="s">
        <v>8152</v>
      </c>
      <c r="F3000" t="s">
        <v>8052</v>
      </c>
      <c r="H3000" t="s">
        <v>2459</v>
      </c>
      <c r="K3000">
        <v>350000</v>
      </c>
      <c r="L3000" t="s">
        <v>6803</v>
      </c>
    </row>
    <row r="3001" spans="1:12" x14ac:dyDescent="0.35">
      <c r="A3001" t="s">
        <v>2337</v>
      </c>
      <c r="B3001" s="1">
        <v>45728</v>
      </c>
      <c r="C3001" t="s">
        <v>7126</v>
      </c>
      <c r="E3001" t="s">
        <v>8152</v>
      </c>
      <c r="F3001" t="s">
        <v>7928</v>
      </c>
      <c r="H3001" t="s">
        <v>2459</v>
      </c>
      <c r="J3001">
        <v>314000</v>
      </c>
      <c r="L3001" t="s">
        <v>5928</v>
      </c>
    </row>
    <row r="3002" spans="1:12" x14ac:dyDescent="0.35">
      <c r="A3002" t="s">
        <v>2337</v>
      </c>
      <c r="B3002" s="1">
        <v>45728</v>
      </c>
      <c r="C3002" t="s">
        <v>7126</v>
      </c>
      <c r="E3002" t="s">
        <v>8152</v>
      </c>
      <c r="F3002" t="s">
        <v>8153</v>
      </c>
      <c r="H3002" t="s">
        <v>2460</v>
      </c>
      <c r="J3002">
        <v>3000</v>
      </c>
      <c r="L3002" t="s">
        <v>5928</v>
      </c>
    </row>
    <row r="3003" spans="1:12" x14ac:dyDescent="0.35">
      <c r="A3003" t="s">
        <v>2337</v>
      </c>
      <c r="B3003" s="1">
        <v>45728</v>
      </c>
      <c r="C3003" t="s">
        <v>7126</v>
      </c>
      <c r="E3003" t="s">
        <v>8152</v>
      </c>
      <c r="F3003" t="s">
        <v>8154</v>
      </c>
      <c r="H3003" t="s">
        <v>2461</v>
      </c>
      <c r="J3003">
        <v>20000</v>
      </c>
      <c r="L3003" t="s">
        <v>5928</v>
      </c>
    </row>
    <row r="3004" spans="1:12" x14ac:dyDescent="0.35">
      <c r="A3004" t="s">
        <v>2337</v>
      </c>
      <c r="B3004" s="1">
        <v>45728</v>
      </c>
      <c r="C3004" t="s">
        <v>7126</v>
      </c>
      <c r="E3004" t="s">
        <v>8152</v>
      </c>
      <c r="F3004" t="s">
        <v>7339</v>
      </c>
      <c r="H3004" t="s">
        <v>2462</v>
      </c>
      <c r="J3004">
        <v>13000</v>
      </c>
      <c r="L3004" t="s">
        <v>5945</v>
      </c>
    </row>
    <row r="3005" spans="1:12" x14ac:dyDescent="0.35">
      <c r="A3005" t="s">
        <v>2337</v>
      </c>
      <c r="B3005" s="1">
        <v>45728</v>
      </c>
      <c r="C3005" t="s">
        <v>7127</v>
      </c>
      <c r="E3005" t="s">
        <v>8155</v>
      </c>
      <c r="F3005" t="s">
        <v>8052</v>
      </c>
      <c r="H3005" t="s">
        <v>2463</v>
      </c>
      <c r="K3005">
        <v>83000</v>
      </c>
      <c r="L3005" t="s">
        <v>6803</v>
      </c>
    </row>
    <row r="3006" spans="1:12" x14ac:dyDescent="0.35">
      <c r="A3006" t="s">
        <v>2337</v>
      </c>
      <c r="B3006" s="1">
        <v>45728</v>
      </c>
      <c r="C3006" t="s">
        <v>7127</v>
      </c>
      <c r="E3006" t="s">
        <v>8155</v>
      </c>
      <c r="F3006" t="s">
        <v>6820</v>
      </c>
      <c r="H3006" t="s">
        <v>2463</v>
      </c>
      <c r="J3006">
        <v>83000</v>
      </c>
      <c r="L3006" t="s">
        <v>5875</v>
      </c>
    </row>
    <row r="3007" spans="1:12" x14ac:dyDescent="0.35">
      <c r="A3007" t="s">
        <v>2337</v>
      </c>
      <c r="B3007" s="1">
        <v>45728</v>
      </c>
      <c r="C3007" t="s">
        <v>7128</v>
      </c>
      <c r="E3007" t="s">
        <v>8156</v>
      </c>
      <c r="F3007" t="s">
        <v>6804</v>
      </c>
      <c r="G3007" t="s">
        <v>6983</v>
      </c>
      <c r="H3007" t="s">
        <v>2464</v>
      </c>
      <c r="K3007">
        <v>1660</v>
      </c>
      <c r="L3007" t="s">
        <v>6803</v>
      </c>
    </row>
    <row r="3008" spans="1:12" x14ac:dyDescent="0.35">
      <c r="A3008" t="s">
        <v>2337</v>
      </c>
      <c r="B3008" s="1">
        <v>45728</v>
      </c>
      <c r="C3008" t="s">
        <v>7128</v>
      </c>
      <c r="E3008" t="s">
        <v>8156</v>
      </c>
      <c r="F3008" t="s">
        <v>8052</v>
      </c>
      <c r="H3008" t="s">
        <v>2464</v>
      </c>
      <c r="J3008">
        <v>1660</v>
      </c>
      <c r="L3008" t="s">
        <v>6803</v>
      </c>
    </row>
    <row r="3009" spans="1:12" x14ac:dyDescent="0.35">
      <c r="A3009" t="s">
        <v>2337</v>
      </c>
      <c r="B3009" s="1">
        <v>45728</v>
      </c>
      <c r="C3009" t="s">
        <v>7129</v>
      </c>
      <c r="E3009" t="s">
        <v>8157</v>
      </c>
      <c r="F3009" t="s">
        <v>8052</v>
      </c>
      <c r="H3009" t="s">
        <v>2465</v>
      </c>
      <c r="K3009">
        <v>20000</v>
      </c>
      <c r="L3009" t="s">
        <v>6803</v>
      </c>
    </row>
    <row r="3010" spans="1:12" x14ac:dyDescent="0.35">
      <c r="A3010" t="s">
        <v>2337</v>
      </c>
      <c r="B3010" s="1">
        <v>45728</v>
      </c>
      <c r="C3010" t="s">
        <v>7129</v>
      </c>
      <c r="E3010" t="s">
        <v>8157</v>
      </c>
      <c r="F3010" t="s">
        <v>7358</v>
      </c>
      <c r="H3010" t="s">
        <v>2465</v>
      </c>
      <c r="J3010">
        <v>20000</v>
      </c>
      <c r="L3010" t="s">
        <v>5964</v>
      </c>
    </row>
    <row r="3011" spans="1:12" x14ac:dyDescent="0.35">
      <c r="A3011" t="s">
        <v>2337</v>
      </c>
      <c r="B3011" s="1">
        <v>45728</v>
      </c>
      <c r="C3011" t="s">
        <v>7130</v>
      </c>
      <c r="E3011" t="s">
        <v>8158</v>
      </c>
      <c r="F3011" t="s">
        <v>8052</v>
      </c>
      <c r="H3011" t="s">
        <v>2466</v>
      </c>
      <c r="K3011">
        <v>35000</v>
      </c>
      <c r="L3011" t="s">
        <v>6803</v>
      </c>
    </row>
    <row r="3012" spans="1:12" x14ac:dyDescent="0.35">
      <c r="A3012" t="s">
        <v>2337</v>
      </c>
      <c r="B3012" s="1">
        <v>45728</v>
      </c>
      <c r="C3012" t="s">
        <v>7130</v>
      </c>
      <c r="E3012" t="s">
        <v>8158</v>
      </c>
      <c r="F3012" t="s">
        <v>7902</v>
      </c>
      <c r="H3012" t="s">
        <v>2466</v>
      </c>
      <c r="J3012">
        <v>35000</v>
      </c>
      <c r="L3012" t="s">
        <v>5873</v>
      </c>
    </row>
    <row r="3013" spans="1:12" x14ac:dyDescent="0.35">
      <c r="A3013" t="s">
        <v>2337</v>
      </c>
      <c r="B3013" s="1">
        <v>45728</v>
      </c>
      <c r="C3013" t="s">
        <v>7131</v>
      </c>
      <c r="E3013" t="s">
        <v>8159</v>
      </c>
      <c r="F3013" t="s">
        <v>8052</v>
      </c>
      <c r="H3013" t="s">
        <v>2467</v>
      </c>
      <c r="K3013">
        <v>253000</v>
      </c>
      <c r="L3013" t="s">
        <v>6803</v>
      </c>
    </row>
    <row r="3014" spans="1:12" x14ac:dyDescent="0.35">
      <c r="A3014" t="s">
        <v>2337</v>
      </c>
      <c r="B3014" s="1">
        <v>45728</v>
      </c>
      <c r="C3014" t="s">
        <v>7131</v>
      </c>
      <c r="E3014" t="s">
        <v>8159</v>
      </c>
      <c r="F3014" t="s">
        <v>7905</v>
      </c>
      <c r="H3014" t="s">
        <v>2467</v>
      </c>
      <c r="J3014">
        <v>170000</v>
      </c>
      <c r="L3014" t="s">
        <v>5944</v>
      </c>
    </row>
    <row r="3015" spans="1:12" x14ac:dyDescent="0.35">
      <c r="A3015" t="s">
        <v>2337</v>
      </c>
      <c r="B3015" s="1">
        <v>45728</v>
      </c>
      <c r="C3015" t="s">
        <v>7131</v>
      </c>
      <c r="E3015" t="s">
        <v>8159</v>
      </c>
      <c r="F3015" t="s">
        <v>8063</v>
      </c>
      <c r="H3015" t="s">
        <v>2468</v>
      </c>
      <c r="J3015">
        <v>40000</v>
      </c>
      <c r="L3015" t="s">
        <v>5932</v>
      </c>
    </row>
    <row r="3016" spans="1:12" x14ac:dyDescent="0.35">
      <c r="A3016" t="s">
        <v>2337</v>
      </c>
      <c r="B3016" s="1">
        <v>45728</v>
      </c>
      <c r="C3016" t="s">
        <v>7131</v>
      </c>
      <c r="E3016" t="s">
        <v>8159</v>
      </c>
      <c r="F3016" t="s">
        <v>7908</v>
      </c>
      <c r="H3016" t="s">
        <v>2469</v>
      </c>
      <c r="J3016">
        <v>34500</v>
      </c>
      <c r="L3016" t="s">
        <v>5944</v>
      </c>
    </row>
    <row r="3017" spans="1:12" x14ac:dyDescent="0.35">
      <c r="A3017" t="s">
        <v>2337</v>
      </c>
      <c r="B3017" s="1">
        <v>45728</v>
      </c>
      <c r="C3017" t="s">
        <v>7131</v>
      </c>
      <c r="E3017" t="s">
        <v>8159</v>
      </c>
      <c r="F3017" t="s">
        <v>7339</v>
      </c>
      <c r="H3017" t="s">
        <v>2470</v>
      </c>
      <c r="J3017">
        <v>8500</v>
      </c>
      <c r="L3017" t="s">
        <v>5944</v>
      </c>
    </row>
    <row r="3018" spans="1:12" x14ac:dyDescent="0.35">
      <c r="A3018" t="s">
        <v>2337</v>
      </c>
      <c r="B3018" s="1">
        <v>45728</v>
      </c>
      <c r="C3018" t="s">
        <v>7132</v>
      </c>
      <c r="E3018" t="s">
        <v>8160</v>
      </c>
      <c r="F3018" t="s">
        <v>8052</v>
      </c>
      <c r="H3018" t="s">
        <v>2471</v>
      </c>
      <c r="K3018">
        <v>9500</v>
      </c>
      <c r="L3018" t="s">
        <v>6803</v>
      </c>
    </row>
    <row r="3019" spans="1:12" x14ac:dyDescent="0.35">
      <c r="A3019" t="s">
        <v>2337</v>
      </c>
      <c r="B3019" s="1">
        <v>45728</v>
      </c>
      <c r="C3019" t="s">
        <v>7132</v>
      </c>
      <c r="E3019" t="s">
        <v>8160</v>
      </c>
      <c r="F3019" t="s">
        <v>7908</v>
      </c>
      <c r="H3019" t="s">
        <v>2472</v>
      </c>
      <c r="J3019">
        <v>2000</v>
      </c>
      <c r="L3019" t="s">
        <v>5944</v>
      </c>
    </row>
    <row r="3020" spans="1:12" x14ac:dyDescent="0.35">
      <c r="A3020" t="s">
        <v>2337</v>
      </c>
      <c r="B3020" s="1">
        <v>45728</v>
      </c>
      <c r="C3020" t="s">
        <v>7132</v>
      </c>
      <c r="E3020" t="s">
        <v>8160</v>
      </c>
      <c r="F3020" t="s">
        <v>7339</v>
      </c>
      <c r="H3020" t="s">
        <v>2462</v>
      </c>
      <c r="J3020">
        <v>7500</v>
      </c>
      <c r="L3020" t="s">
        <v>5944</v>
      </c>
    </row>
    <row r="3021" spans="1:12" x14ac:dyDescent="0.35">
      <c r="A3021" t="s">
        <v>2337</v>
      </c>
      <c r="B3021" s="1">
        <v>45728</v>
      </c>
      <c r="C3021" t="s">
        <v>7157</v>
      </c>
      <c r="E3021" t="s">
        <v>8161</v>
      </c>
      <c r="F3021" t="s">
        <v>8052</v>
      </c>
      <c r="H3021" t="s">
        <v>2473</v>
      </c>
      <c r="K3021">
        <v>75000</v>
      </c>
      <c r="L3021" t="s">
        <v>6803</v>
      </c>
    </row>
    <row r="3022" spans="1:12" x14ac:dyDescent="0.35">
      <c r="A3022" t="s">
        <v>2337</v>
      </c>
      <c r="B3022" s="1">
        <v>45728</v>
      </c>
      <c r="C3022" t="s">
        <v>7157</v>
      </c>
      <c r="E3022" t="s">
        <v>8161</v>
      </c>
      <c r="F3022" t="s">
        <v>7905</v>
      </c>
      <c r="H3022" t="s">
        <v>2474</v>
      </c>
      <c r="J3022">
        <v>25000</v>
      </c>
      <c r="L3022" t="s">
        <v>5944</v>
      </c>
    </row>
    <row r="3023" spans="1:12" x14ac:dyDescent="0.35">
      <c r="A3023" t="s">
        <v>2337</v>
      </c>
      <c r="B3023" s="1">
        <v>45728</v>
      </c>
      <c r="C3023" t="s">
        <v>7157</v>
      </c>
      <c r="E3023" t="s">
        <v>8161</v>
      </c>
      <c r="F3023" t="s">
        <v>7908</v>
      </c>
      <c r="H3023" t="s">
        <v>2475</v>
      </c>
      <c r="J3023">
        <v>50000</v>
      </c>
      <c r="L3023" t="s">
        <v>5944</v>
      </c>
    </row>
    <row r="3024" spans="1:12" x14ac:dyDescent="0.35">
      <c r="A3024" t="s">
        <v>2337</v>
      </c>
      <c r="B3024" s="1">
        <v>45728</v>
      </c>
      <c r="C3024" t="s">
        <v>7133</v>
      </c>
      <c r="E3024" t="s">
        <v>8162</v>
      </c>
      <c r="F3024" t="s">
        <v>8052</v>
      </c>
      <c r="H3024" t="s">
        <v>2476</v>
      </c>
      <c r="K3024">
        <v>70000</v>
      </c>
      <c r="L3024" t="s">
        <v>6803</v>
      </c>
    </row>
    <row r="3025" spans="1:12" x14ac:dyDescent="0.35">
      <c r="A3025" t="s">
        <v>2337</v>
      </c>
      <c r="B3025" s="1">
        <v>45728</v>
      </c>
      <c r="C3025" t="s">
        <v>7133</v>
      </c>
      <c r="E3025" t="s">
        <v>8162</v>
      </c>
      <c r="F3025" t="s">
        <v>7905</v>
      </c>
      <c r="H3025" t="s">
        <v>2476</v>
      </c>
      <c r="J3025">
        <v>70000</v>
      </c>
      <c r="L3025" t="s">
        <v>5944</v>
      </c>
    </row>
    <row r="3026" spans="1:12" x14ac:dyDescent="0.35">
      <c r="A3026" t="s">
        <v>2337</v>
      </c>
      <c r="B3026" s="1">
        <v>45728</v>
      </c>
      <c r="C3026" t="s">
        <v>7134</v>
      </c>
      <c r="E3026" t="s">
        <v>8163</v>
      </c>
      <c r="F3026" t="s">
        <v>8052</v>
      </c>
      <c r="H3026" t="s">
        <v>2477</v>
      </c>
      <c r="K3026">
        <v>45000</v>
      </c>
      <c r="L3026" t="s">
        <v>6803</v>
      </c>
    </row>
    <row r="3027" spans="1:12" x14ac:dyDescent="0.35">
      <c r="A3027" t="s">
        <v>2337</v>
      </c>
      <c r="B3027" s="1">
        <v>45728</v>
      </c>
      <c r="C3027" t="s">
        <v>7134</v>
      </c>
      <c r="E3027" t="s">
        <v>8163</v>
      </c>
      <c r="F3027" t="s">
        <v>7928</v>
      </c>
      <c r="H3027" t="s">
        <v>2477</v>
      </c>
      <c r="J3027">
        <v>45000</v>
      </c>
      <c r="L3027" t="s">
        <v>5932</v>
      </c>
    </row>
    <row r="3028" spans="1:12" x14ac:dyDescent="0.35">
      <c r="A3028" t="s">
        <v>2337</v>
      </c>
      <c r="B3028" s="1">
        <v>45729</v>
      </c>
      <c r="C3028" t="s">
        <v>7158</v>
      </c>
      <c r="E3028" t="s">
        <v>8164</v>
      </c>
      <c r="F3028" t="s">
        <v>8052</v>
      </c>
      <c r="H3028" t="s">
        <v>2478</v>
      </c>
      <c r="K3028">
        <v>50000</v>
      </c>
      <c r="L3028" t="s">
        <v>6803</v>
      </c>
    </row>
    <row r="3029" spans="1:12" x14ac:dyDescent="0.35">
      <c r="A3029" t="s">
        <v>2337</v>
      </c>
      <c r="B3029" s="1">
        <v>45729</v>
      </c>
      <c r="C3029" t="s">
        <v>7158</v>
      </c>
      <c r="E3029" t="s">
        <v>8164</v>
      </c>
      <c r="F3029" t="s">
        <v>7914</v>
      </c>
      <c r="H3029" t="s">
        <v>2478</v>
      </c>
      <c r="J3029">
        <v>50000</v>
      </c>
      <c r="L3029" t="s">
        <v>348</v>
      </c>
    </row>
    <row r="3030" spans="1:12" x14ac:dyDescent="0.35">
      <c r="A3030" t="s">
        <v>2337</v>
      </c>
      <c r="B3030" s="1">
        <v>45729</v>
      </c>
      <c r="C3030" t="s">
        <v>7159</v>
      </c>
      <c r="E3030" t="s">
        <v>8165</v>
      </c>
      <c r="F3030" t="s">
        <v>7876</v>
      </c>
      <c r="H3030" t="s">
        <v>2479</v>
      </c>
      <c r="K3030">
        <v>43200</v>
      </c>
      <c r="L3030" t="s">
        <v>6803</v>
      </c>
    </row>
    <row r="3031" spans="1:12" x14ac:dyDescent="0.35">
      <c r="A3031" t="s">
        <v>2337</v>
      </c>
      <c r="B3031" s="1">
        <v>45729</v>
      </c>
      <c r="C3031" t="s">
        <v>7159</v>
      </c>
      <c r="E3031" t="s">
        <v>8165</v>
      </c>
      <c r="F3031" t="s">
        <v>8052</v>
      </c>
      <c r="H3031" t="s">
        <v>2479</v>
      </c>
      <c r="J3031">
        <v>43200</v>
      </c>
      <c r="L3031" t="s">
        <v>6803</v>
      </c>
    </row>
    <row r="3032" spans="1:12" x14ac:dyDescent="0.35">
      <c r="A3032" t="s">
        <v>2337</v>
      </c>
      <c r="B3032" s="1">
        <v>45729</v>
      </c>
      <c r="C3032" t="s">
        <v>7160</v>
      </c>
      <c r="E3032" t="s">
        <v>8166</v>
      </c>
      <c r="F3032" t="s">
        <v>8052</v>
      </c>
      <c r="H3032" t="s">
        <v>2480</v>
      </c>
      <c r="K3032">
        <v>15000</v>
      </c>
      <c r="L3032" t="s">
        <v>6803</v>
      </c>
    </row>
    <row r="3033" spans="1:12" x14ac:dyDescent="0.35">
      <c r="A3033" t="s">
        <v>2337</v>
      </c>
      <c r="B3033" s="1">
        <v>45729</v>
      </c>
      <c r="C3033" t="s">
        <v>7160</v>
      </c>
      <c r="E3033" t="s">
        <v>8166</v>
      </c>
      <c r="F3033" t="s">
        <v>7681</v>
      </c>
      <c r="H3033" t="s">
        <v>2480</v>
      </c>
      <c r="J3033">
        <v>15000</v>
      </c>
      <c r="L3033" t="s">
        <v>5905</v>
      </c>
    </row>
    <row r="3034" spans="1:12" x14ac:dyDescent="0.35">
      <c r="A3034" t="s">
        <v>2337</v>
      </c>
      <c r="B3034" s="1">
        <v>45729</v>
      </c>
      <c r="C3034" t="s">
        <v>7161</v>
      </c>
      <c r="E3034" t="s">
        <v>8167</v>
      </c>
      <c r="F3034" t="s">
        <v>8052</v>
      </c>
      <c r="H3034" t="s">
        <v>2481</v>
      </c>
      <c r="K3034">
        <v>54500</v>
      </c>
      <c r="L3034" t="s">
        <v>6803</v>
      </c>
    </row>
    <row r="3035" spans="1:12" x14ac:dyDescent="0.35">
      <c r="A3035" t="s">
        <v>2337</v>
      </c>
      <c r="B3035" s="1">
        <v>45729</v>
      </c>
      <c r="C3035" t="s">
        <v>7161</v>
      </c>
      <c r="E3035" t="s">
        <v>8167</v>
      </c>
      <c r="F3035" t="s">
        <v>7905</v>
      </c>
      <c r="H3035" t="s">
        <v>2482</v>
      </c>
      <c r="J3035">
        <v>43000</v>
      </c>
      <c r="L3035" t="s">
        <v>5952</v>
      </c>
    </row>
    <row r="3036" spans="1:12" x14ac:dyDescent="0.35">
      <c r="A3036" t="s">
        <v>2337</v>
      </c>
      <c r="B3036" s="1">
        <v>45729</v>
      </c>
      <c r="C3036" t="s">
        <v>7161</v>
      </c>
      <c r="E3036" t="s">
        <v>8167</v>
      </c>
      <c r="F3036" t="s">
        <v>7908</v>
      </c>
      <c r="H3036" t="s">
        <v>2481</v>
      </c>
      <c r="J3036">
        <v>11500</v>
      </c>
      <c r="L3036" t="s">
        <v>5952</v>
      </c>
    </row>
    <row r="3037" spans="1:12" x14ac:dyDescent="0.35">
      <c r="A3037" t="s">
        <v>2337</v>
      </c>
      <c r="B3037" s="1">
        <v>45729</v>
      </c>
      <c r="C3037" t="s">
        <v>7162</v>
      </c>
      <c r="E3037" t="s">
        <v>8168</v>
      </c>
      <c r="F3037" t="s">
        <v>8052</v>
      </c>
      <c r="H3037" t="s">
        <v>2483</v>
      </c>
      <c r="K3037">
        <v>100000</v>
      </c>
      <c r="L3037" t="s">
        <v>6803</v>
      </c>
    </row>
    <row r="3038" spans="1:12" x14ac:dyDescent="0.35">
      <c r="A3038" t="s">
        <v>2337</v>
      </c>
      <c r="B3038" s="1">
        <v>45729</v>
      </c>
      <c r="C3038" t="s">
        <v>7162</v>
      </c>
      <c r="E3038" t="s">
        <v>8168</v>
      </c>
      <c r="F3038" t="s">
        <v>7905</v>
      </c>
      <c r="H3038" t="s">
        <v>2484</v>
      </c>
      <c r="J3038">
        <v>79000</v>
      </c>
      <c r="L3038" t="s">
        <v>5952</v>
      </c>
    </row>
    <row r="3039" spans="1:12" x14ac:dyDescent="0.35">
      <c r="A3039" t="s">
        <v>2337</v>
      </c>
      <c r="B3039" s="1">
        <v>45729</v>
      </c>
      <c r="C3039" t="s">
        <v>7162</v>
      </c>
      <c r="E3039" t="s">
        <v>8168</v>
      </c>
      <c r="F3039" t="s">
        <v>7908</v>
      </c>
      <c r="H3039" t="s">
        <v>2483</v>
      </c>
      <c r="J3039">
        <v>11000</v>
      </c>
      <c r="L3039" t="s">
        <v>5952</v>
      </c>
    </row>
    <row r="3040" spans="1:12" x14ac:dyDescent="0.35">
      <c r="A3040" t="s">
        <v>2337</v>
      </c>
      <c r="B3040" s="1">
        <v>45729</v>
      </c>
      <c r="C3040" t="s">
        <v>7162</v>
      </c>
      <c r="E3040" t="s">
        <v>8168</v>
      </c>
      <c r="F3040" t="s">
        <v>7339</v>
      </c>
      <c r="H3040" t="s">
        <v>2485</v>
      </c>
      <c r="J3040">
        <v>10000</v>
      </c>
      <c r="L3040" t="s">
        <v>5952</v>
      </c>
    </row>
    <row r="3041" spans="1:12" x14ac:dyDescent="0.35">
      <c r="A3041" t="s">
        <v>2337</v>
      </c>
      <c r="B3041" s="1">
        <v>45729</v>
      </c>
      <c r="C3041" t="s">
        <v>7163</v>
      </c>
      <c r="E3041" t="s">
        <v>8169</v>
      </c>
      <c r="F3041" t="s">
        <v>8052</v>
      </c>
      <c r="H3041" t="s">
        <v>2486</v>
      </c>
      <c r="K3041">
        <v>35000</v>
      </c>
      <c r="L3041" t="s">
        <v>6803</v>
      </c>
    </row>
    <row r="3042" spans="1:12" x14ac:dyDescent="0.35">
      <c r="A3042" t="s">
        <v>2337</v>
      </c>
      <c r="B3042" s="1">
        <v>45729</v>
      </c>
      <c r="C3042" t="s">
        <v>7163</v>
      </c>
      <c r="E3042" t="s">
        <v>8169</v>
      </c>
      <c r="F3042" t="s">
        <v>7928</v>
      </c>
      <c r="H3042" t="s">
        <v>2486</v>
      </c>
      <c r="J3042">
        <v>35000</v>
      </c>
      <c r="L3042" t="s">
        <v>5882</v>
      </c>
    </row>
    <row r="3043" spans="1:12" x14ac:dyDescent="0.35">
      <c r="A3043" t="s">
        <v>2337</v>
      </c>
      <c r="B3043" s="1">
        <v>45729</v>
      </c>
      <c r="C3043" t="s">
        <v>7164</v>
      </c>
      <c r="E3043" t="s">
        <v>8170</v>
      </c>
      <c r="F3043" t="s">
        <v>6804</v>
      </c>
      <c r="G3043" t="s">
        <v>7097</v>
      </c>
      <c r="H3043" t="s">
        <v>2487</v>
      </c>
      <c r="J3043">
        <v>170000</v>
      </c>
      <c r="L3043" t="s">
        <v>6803</v>
      </c>
    </row>
    <row r="3044" spans="1:12" x14ac:dyDescent="0.35">
      <c r="A3044" t="s">
        <v>2337</v>
      </c>
      <c r="B3044" s="1">
        <v>45729</v>
      </c>
      <c r="C3044" t="s">
        <v>7164</v>
      </c>
      <c r="E3044" t="s">
        <v>8170</v>
      </c>
      <c r="F3044" t="s">
        <v>8052</v>
      </c>
      <c r="H3044" t="s">
        <v>2487</v>
      </c>
      <c r="K3044">
        <v>170000</v>
      </c>
      <c r="L3044" t="s">
        <v>6803</v>
      </c>
    </row>
    <row r="3045" spans="1:12" x14ac:dyDescent="0.35">
      <c r="A3045" t="s">
        <v>2337</v>
      </c>
      <c r="B3045" s="1">
        <v>45729</v>
      </c>
      <c r="C3045" t="s">
        <v>7165</v>
      </c>
      <c r="E3045" t="s">
        <v>8171</v>
      </c>
      <c r="F3045" t="s">
        <v>8052</v>
      </c>
      <c r="H3045" t="s">
        <v>2488</v>
      </c>
      <c r="K3045">
        <v>25000</v>
      </c>
      <c r="L3045" t="s">
        <v>6803</v>
      </c>
    </row>
    <row r="3046" spans="1:12" x14ac:dyDescent="0.35">
      <c r="A3046" t="s">
        <v>2337</v>
      </c>
      <c r="B3046" s="1">
        <v>45729</v>
      </c>
      <c r="C3046" t="s">
        <v>7165</v>
      </c>
      <c r="E3046" t="s">
        <v>8171</v>
      </c>
      <c r="F3046" t="s">
        <v>8063</v>
      </c>
      <c r="H3046" t="s">
        <v>2488</v>
      </c>
      <c r="J3046">
        <v>25000</v>
      </c>
      <c r="L3046" t="s">
        <v>5931</v>
      </c>
    </row>
    <row r="3047" spans="1:12" x14ac:dyDescent="0.35">
      <c r="A3047" t="s">
        <v>2337</v>
      </c>
      <c r="B3047" s="1">
        <v>45729</v>
      </c>
      <c r="C3047" t="s">
        <v>7166</v>
      </c>
      <c r="E3047" t="s">
        <v>8172</v>
      </c>
      <c r="F3047" t="s">
        <v>7597</v>
      </c>
      <c r="H3047" t="s">
        <v>2489</v>
      </c>
      <c r="J3047">
        <v>-300000</v>
      </c>
      <c r="L3047" t="s">
        <v>6803</v>
      </c>
    </row>
    <row r="3048" spans="1:12" x14ac:dyDescent="0.35">
      <c r="A3048" t="s">
        <v>2337</v>
      </c>
      <c r="B3048" s="1">
        <v>45729</v>
      </c>
      <c r="C3048" t="s">
        <v>7166</v>
      </c>
      <c r="E3048" t="s">
        <v>8172</v>
      </c>
      <c r="F3048" t="s">
        <v>8052</v>
      </c>
      <c r="H3048" t="s">
        <v>2489</v>
      </c>
      <c r="K3048">
        <v>-300000</v>
      </c>
      <c r="L3048" t="s">
        <v>6803</v>
      </c>
    </row>
    <row r="3049" spans="1:12" x14ac:dyDescent="0.35">
      <c r="A3049" t="s">
        <v>2337</v>
      </c>
      <c r="B3049" s="1">
        <v>45729</v>
      </c>
      <c r="C3049" t="s">
        <v>7043</v>
      </c>
      <c r="E3049" t="s">
        <v>8173</v>
      </c>
      <c r="F3049" t="s">
        <v>7875</v>
      </c>
      <c r="G3049" t="s">
        <v>8174</v>
      </c>
      <c r="H3049" t="s">
        <v>2490</v>
      </c>
      <c r="J3049">
        <v>150000</v>
      </c>
      <c r="L3049" t="s">
        <v>6803</v>
      </c>
    </row>
    <row r="3050" spans="1:12" x14ac:dyDescent="0.35">
      <c r="A3050" t="s">
        <v>2337</v>
      </c>
      <c r="B3050" s="1">
        <v>45729</v>
      </c>
      <c r="C3050" t="s">
        <v>7043</v>
      </c>
      <c r="E3050" t="s">
        <v>8173</v>
      </c>
      <c r="F3050" t="s">
        <v>8052</v>
      </c>
      <c r="H3050" t="s">
        <v>2490</v>
      </c>
      <c r="K3050">
        <v>150000</v>
      </c>
      <c r="L3050" t="s">
        <v>6803</v>
      </c>
    </row>
    <row r="3051" spans="1:12" x14ac:dyDescent="0.35">
      <c r="A3051" t="s">
        <v>2337</v>
      </c>
      <c r="B3051" s="1">
        <v>45729</v>
      </c>
      <c r="C3051" t="s">
        <v>7167</v>
      </c>
      <c r="E3051" t="s">
        <v>8175</v>
      </c>
      <c r="F3051" t="s">
        <v>7597</v>
      </c>
      <c r="H3051" t="s">
        <v>2491</v>
      </c>
      <c r="J3051">
        <v>262000</v>
      </c>
      <c r="L3051" t="s">
        <v>6803</v>
      </c>
    </row>
    <row r="3052" spans="1:12" x14ac:dyDescent="0.35">
      <c r="A3052" t="s">
        <v>2337</v>
      </c>
      <c r="B3052" s="1">
        <v>45729</v>
      </c>
      <c r="C3052" t="s">
        <v>7167</v>
      </c>
      <c r="E3052" t="s">
        <v>8175</v>
      </c>
      <c r="F3052" t="s">
        <v>8052</v>
      </c>
      <c r="H3052" t="s">
        <v>2491</v>
      </c>
      <c r="K3052">
        <v>262000</v>
      </c>
      <c r="L3052" t="s">
        <v>6803</v>
      </c>
    </row>
    <row r="3053" spans="1:12" x14ac:dyDescent="0.35">
      <c r="A3053" t="s">
        <v>2337</v>
      </c>
      <c r="B3053" s="1">
        <v>45729</v>
      </c>
      <c r="C3053" t="s">
        <v>7277</v>
      </c>
      <c r="E3053" t="s">
        <v>8176</v>
      </c>
      <c r="F3053" t="s">
        <v>8052</v>
      </c>
      <c r="H3053" t="s">
        <v>2492</v>
      </c>
      <c r="K3053">
        <v>1900</v>
      </c>
      <c r="L3053" t="s">
        <v>6803</v>
      </c>
    </row>
    <row r="3054" spans="1:12" x14ac:dyDescent="0.35">
      <c r="A3054" t="s">
        <v>2337</v>
      </c>
      <c r="B3054" s="1">
        <v>45729</v>
      </c>
      <c r="C3054" t="s">
        <v>7277</v>
      </c>
      <c r="E3054" t="s">
        <v>8176</v>
      </c>
      <c r="F3054" t="s">
        <v>8177</v>
      </c>
      <c r="H3054" t="s">
        <v>2492</v>
      </c>
      <c r="J3054">
        <v>1900</v>
      </c>
      <c r="L3054" t="s">
        <v>348</v>
      </c>
    </row>
    <row r="3055" spans="1:12" x14ac:dyDescent="0.35">
      <c r="A3055" t="s">
        <v>2337</v>
      </c>
      <c r="B3055" s="1">
        <v>45729</v>
      </c>
      <c r="C3055" t="s">
        <v>7138</v>
      </c>
      <c r="E3055" t="s">
        <v>8178</v>
      </c>
      <c r="F3055" t="s">
        <v>8052</v>
      </c>
      <c r="H3055" t="s">
        <v>2493</v>
      </c>
      <c r="K3055">
        <v>55000</v>
      </c>
      <c r="L3055" t="s">
        <v>6803</v>
      </c>
    </row>
    <row r="3056" spans="1:12" x14ac:dyDescent="0.35">
      <c r="A3056" t="s">
        <v>2337</v>
      </c>
      <c r="B3056" s="1">
        <v>45729</v>
      </c>
      <c r="C3056" t="s">
        <v>7138</v>
      </c>
      <c r="E3056" t="s">
        <v>8178</v>
      </c>
      <c r="F3056" t="s">
        <v>7928</v>
      </c>
      <c r="H3056" t="s">
        <v>2494</v>
      </c>
      <c r="J3056">
        <v>45000</v>
      </c>
      <c r="L3056" t="s">
        <v>5932</v>
      </c>
    </row>
    <row r="3057" spans="1:12" x14ac:dyDescent="0.35">
      <c r="A3057" t="s">
        <v>2337</v>
      </c>
      <c r="B3057" s="1">
        <v>45729</v>
      </c>
      <c r="C3057" t="s">
        <v>7138</v>
      </c>
      <c r="E3057" t="s">
        <v>8178</v>
      </c>
      <c r="F3057" t="s">
        <v>7556</v>
      </c>
      <c r="H3057" t="s">
        <v>2495</v>
      </c>
      <c r="J3057">
        <v>10000</v>
      </c>
      <c r="L3057" t="s">
        <v>5928</v>
      </c>
    </row>
    <row r="3058" spans="1:12" x14ac:dyDescent="0.35">
      <c r="A3058" t="s">
        <v>2337</v>
      </c>
      <c r="B3058" s="1">
        <v>45729</v>
      </c>
      <c r="C3058" t="s">
        <v>7139</v>
      </c>
      <c r="E3058" t="s">
        <v>8179</v>
      </c>
      <c r="F3058" t="s">
        <v>8052</v>
      </c>
      <c r="H3058" t="s">
        <v>2496</v>
      </c>
      <c r="K3058">
        <v>2000</v>
      </c>
      <c r="L3058" t="s">
        <v>6803</v>
      </c>
    </row>
    <row r="3059" spans="1:12" x14ac:dyDescent="0.35">
      <c r="A3059" t="s">
        <v>2337</v>
      </c>
      <c r="B3059" s="1">
        <v>45729</v>
      </c>
      <c r="C3059" t="s">
        <v>7139</v>
      </c>
      <c r="E3059" t="s">
        <v>8179</v>
      </c>
      <c r="F3059" t="s">
        <v>7760</v>
      </c>
      <c r="H3059" t="s">
        <v>2496</v>
      </c>
      <c r="J3059">
        <v>2000</v>
      </c>
      <c r="L3059" t="s">
        <v>5905</v>
      </c>
    </row>
    <row r="3060" spans="1:12" x14ac:dyDescent="0.35">
      <c r="A3060" t="s">
        <v>2337</v>
      </c>
      <c r="B3060" s="1">
        <v>45730</v>
      </c>
      <c r="C3060" t="s">
        <v>7170</v>
      </c>
      <c r="E3060" t="s">
        <v>8180</v>
      </c>
      <c r="F3060" t="s">
        <v>8052</v>
      </c>
      <c r="H3060" t="s">
        <v>2497</v>
      </c>
      <c r="K3060">
        <v>15000</v>
      </c>
      <c r="L3060" t="s">
        <v>6803</v>
      </c>
    </row>
    <row r="3061" spans="1:12" x14ac:dyDescent="0.35">
      <c r="A3061" t="s">
        <v>2337</v>
      </c>
      <c r="B3061" s="1">
        <v>45730</v>
      </c>
      <c r="C3061" t="s">
        <v>7170</v>
      </c>
      <c r="E3061" t="s">
        <v>8180</v>
      </c>
      <c r="F3061" t="s">
        <v>7928</v>
      </c>
      <c r="H3061" t="s">
        <v>2497</v>
      </c>
      <c r="J3061">
        <v>15000</v>
      </c>
      <c r="L3061" t="s">
        <v>5938</v>
      </c>
    </row>
    <row r="3062" spans="1:12" x14ac:dyDescent="0.35">
      <c r="A3062" t="s">
        <v>2337</v>
      </c>
      <c r="B3062" s="1">
        <v>45730</v>
      </c>
      <c r="C3062" t="s">
        <v>7140</v>
      </c>
      <c r="E3062" t="s">
        <v>8181</v>
      </c>
      <c r="F3062" t="s">
        <v>8052</v>
      </c>
      <c r="H3062" t="s">
        <v>2498</v>
      </c>
      <c r="K3062">
        <v>10000</v>
      </c>
      <c r="L3062" t="s">
        <v>6803</v>
      </c>
    </row>
    <row r="3063" spans="1:12" x14ac:dyDescent="0.35">
      <c r="A3063" t="s">
        <v>2337</v>
      </c>
      <c r="B3063" s="1">
        <v>45730</v>
      </c>
      <c r="C3063" t="s">
        <v>7140</v>
      </c>
      <c r="E3063" t="s">
        <v>8181</v>
      </c>
      <c r="F3063" t="s">
        <v>7928</v>
      </c>
      <c r="H3063" t="s">
        <v>2498</v>
      </c>
      <c r="J3063">
        <v>10000</v>
      </c>
      <c r="L3063" t="s">
        <v>5938</v>
      </c>
    </row>
    <row r="3064" spans="1:12" x14ac:dyDescent="0.35">
      <c r="A3064" t="s">
        <v>2337</v>
      </c>
      <c r="B3064" s="1">
        <v>45730</v>
      </c>
      <c r="C3064" t="s">
        <v>7152</v>
      </c>
      <c r="E3064" t="s">
        <v>8182</v>
      </c>
      <c r="F3064" t="s">
        <v>8052</v>
      </c>
      <c r="H3064" t="s">
        <v>2499</v>
      </c>
      <c r="K3064">
        <v>20000</v>
      </c>
      <c r="L3064" t="s">
        <v>6803</v>
      </c>
    </row>
    <row r="3065" spans="1:12" x14ac:dyDescent="0.35">
      <c r="A3065" t="s">
        <v>2337</v>
      </c>
      <c r="B3065" s="1">
        <v>45730</v>
      </c>
      <c r="C3065" t="s">
        <v>7152</v>
      </c>
      <c r="E3065" t="s">
        <v>8182</v>
      </c>
      <c r="F3065" t="s">
        <v>8063</v>
      </c>
      <c r="H3065" t="s">
        <v>2499</v>
      </c>
      <c r="J3065">
        <v>20000</v>
      </c>
      <c r="L3065" t="s">
        <v>348</v>
      </c>
    </row>
    <row r="3066" spans="1:12" x14ac:dyDescent="0.35">
      <c r="A3066" t="s">
        <v>2337</v>
      </c>
      <c r="B3066" s="1">
        <v>45730</v>
      </c>
      <c r="C3066" t="s">
        <v>7155</v>
      </c>
      <c r="E3066" t="s">
        <v>8183</v>
      </c>
      <c r="F3066" t="s">
        <v>8052</v>
      </c>
      <c r="H3066" t="s">
        <v>2500</v>
      </c>
      <c r="K3066">
        <v>10000</v>
      </c>
      <c r="L3066" t="s">
        <v>6803</v>
      </c>
    </row>
    <row r="3067" spans="1:12" x14ac:dyDescent="0.35">
      <c r="A3067" t="s">
        <v>2337</v>
      </c>
      <c r="B3067" s="1">
        <v>45730</v>
      </c>
      <c r="C3067" t="s">
        <v>7155</v>
      </c>
      <c r="E3067" t="s">
        <v>8183</v>
      </c>
      <c r="F3067" t="s">
        <v>7928</v>
      </c>
      <c r="H3067" t="s">
        <v>2500</v>
      </c>
      <c r="J3067">
        <v>10000</v>
      </c>
      <c r="L3067" t="s">
        <v>5938</v>
      </c>
    </row>
    <row r="3068" spans="1:12" x14ac:dyDescent="0.35">
      <c r="A3068" t="s">
        <v>2337</v>
      </c>
      <c r="B3068" s="1">
        <v>45730</v>
      </c>
      <c r="C3068" t="s">
        <v>7190</v>
      </c>
      <c r="E3068" t="s">
        <v>8184</v>
      </c>
      <c r="F3068" t="s">
        <v>8052</v>
      </c>
      <c r="H3068" t="s">
        <v>2501</v>
      </c>
      <c r="K3068">
        <v>140000</v>
      </c>
      <c r="L3068" t="s">
        <v>6803</v>
      </c>
    </row>
    <row r="3069" spans="1:12" x14ac:dyDescent="0.35">
      <c r="A3069" t="s">
        <v>2337</v>
      </c>
      <c r="B3069" s="1">
        <v>45730</v>
      </c>
      <c r="C3069" t="s">
        <v>7190</v>
      </c>
      <c r="E3069" t="s">
        <v>8184</v>
      </c>
      <c r="F3069" t="s">
        <v>7615</v>
      </c>
      <c r="H3069" t="s">
        <v>2501</v>
      </c>
      <c r="J3069">
        <v>140000</v>
      </c>
      <c r="L3069" t="s">
        <v>5905</v>
      </c>
    </row>
    <row r="3070" spans="1:12" x14ac:dyDescent="0.35">
      <c r="A3070" t="s">
        <v>2337</v>
      </c>
      <c r="B3070" s="1">
        <v>45730</v>
      </c>
      <c r="C3070" t="s">
        <v>7279</v>
      </c>
      <c r="E3070" t="s">
        <v>8185</v>
      </c>
      <c r="F3070" t="s">
        <v>8052</v>
      </c>
      <c r="H3070" t="s">
        <v>2502</v>
      </c>
      <c r="K3070">
        <v>15000</v>
      </c>
      <c r="L3070" t="s">
        <v>6803</v>
      </c>
    </row>
    <row r="3071" spans="1:12" x14ac:dyDescent="0.35">
      <c r="A3071" t="s">
        <v>2337</v>
      </c>
      <c r="B3071" s="1">
        <v>45730</v>
      </c>
      <c r="C3071" t="s">
        <v>7279</v>
      </c>
      <c r="E3071" t="s">
        <v>8185</v>
      </c>
      <c r="F3071" t="s">
        <v>7928</v>
      </c>
      <c r="H3071" t="s">
        <v>2502</v>
      </c>
      <c r="J3071">
        <v>15000</v>
      </c>
      <c r="L3071" t="s">
        <v>5948</v>
      </c>
    </row>
    <row r="3072" spans="1:12" x14ac:dyDescent="0.35">
      <c r="A3072" t="s">
        <v>2337</v>
      </c>
      <c r="B3072" s="1">
        <v>45730</v>
      </c>
      <c r="C3072" t="s">
        <v>7281</v>
      </c>
      <c r="E3072" t="s">
        <v>8186</v>
      </c>
      <c r="F3072" t="s">
        <v>8052</v>
      </c>
      <c r="H3072" t="s">
        <v>2503</v>
      </c>
      <c r="K3072">
        <v>290300</v>
      </c>
      <c r="L3072" t="s">
        <v>6803</v>
      </c>
    </row>
    <row r="3073" spans="1:12" x14ac:dyDescent="0.35">
      <c r="A3073" t="s">
        <v>2337</v>
      </c>
      <c r="B3073" s="1">
        <v>45730</v>
      </c>
      <c r="C3073" t="s">
        <v>7281</v>
      </c>
      <c r="E3073" t="s">
        <v>8186</v>
      </c>
      <c r="F3073" t="s">
        <v>7339</v>
      </c>
      <c r="H3073" t="s">
        <v>2503</v>
      </c>
      <c r="J3073">
        <v>143300</v>
      </c>
      <c r="L3073" t="s">
        <v>5894</v>
      </c>
    </row>
    <row r="3074" spans="1:12" x14ac:dyDescent="0.35">
      <c r="A3074" t="s">
        <v>2337</v>
      </c>
      <c r="B3074" s="1">
        <v>45730</v>
      </c>
      <c r="C3074" t="s">
        <v>7281</v>
      </c>
      <c r="E3074" t="s">
        <v>8186</v>
      </c>
      <c r="F3074" t="s">
        <v>7339</v>
      </c>
      <c r="H3074" t="s">
        <v>2504</v>
      </c>
      <c r="J3074">
        <v>2000</v>
      </c>
      <c r="L3074" t="s">
        <v>5894</v>
      </c>
    </row>
    <row r="3075" spans="1:12" x14ac:dyDescent="0.35">
      <c r="A3075" t="s">
        <v>2337</v>
      </c>
      <c r="B3075" s="1">
        <v>45730</v>
      </c>
      <c r="C3075" t="s">
        <v>7281</v>
      </c>
      <c r="E3075" t="s">
        <v>8186</v>
      </c>
      <c r="F3075" t="s">
        <v>7339</v>
      </c>
      <c r="H3075" t="s">
        <v>2505</v>
      </c>
      <c r="J3075">
        <v>15000</v>
      </c>
      <c r="L3075" t="s">
        <v>5894</v>
      </c>
    </row>
    <row r="3076" spans="1:12" x14ac:dyDescent="0.35">
      <c r="A3076" t="s">
        <v>2337</v>
      </c>
      <c r="B3076" s="1">
        <v>45730</v>
      </c>
      <c r="C3076" t="s">
        <v>7281</v>
      </c>
      <c r="E3076" t="s">
        <v>8186</v>
      </c>
      <c r="F3076" t="s">
        <v>7934</v>
      </c>
      <c r="H3076" t="s">
        <v>2506</v>
      </c>
      <c r="J3076">
        <v>130000</v>
      </c>
      <c r="L3076" t="s">
        <v>5882</v>
      </c>
    </row>
    <row r="3077" spans="1:12" x14ac:dyDescent="0.35">
      <c r="A3077" t="s">
        <v>2337</v>
      </c>
      <c r="B3077" s="1">
        <v>45730</v>
      </c>
      <c r="C3077" t="s">
        <v>7210</v>
      </c>
      <c r="E3077" t="s">
        <v>8187</v>
      </c>
      <c r="F3077" t="s">
        <v>8052</v>
      </c>
      <c r="H3077" t="s">
        <v>2507</v>
      </c>
      <c r="K3077">
        <v>8000</v>
      </c>
      <c r="L3077" t="s">
        <v>6803</v>
      </c>
    </row>
    <row r="3078" spans="1:12" x14ac:dyDescent="0.35">
      <c r="A3078" t="s">
        <v>2337</v>
      </c>
      <c r="B3078" s="1">
        <v>45730</v>
      </c>
      <c r="C3078" t="s">
        <v>7210</v>
      </c>
      <c r="E3078" t="s">
        <v>8187</v>
      </c>
      <c r="F3078" t="s">
        <v>7615</v>
      </c>
      <c r="H3078" t="s">
        <v>2507</v>
      </c>
      <c r="J3078">
        <v>8000</v>
      </c>
      <c r="L3078" t="s">
        <v>5928</v>
      </c>
    </row>
    <row r="3079" spans="1:12" x14ac:dyDescent="0.35">
      <c r="A3079" t="s">
        <v>2337</v>
      </c>
      <c r="B3079" s="1">
        <v>45730</v>
      </c>
      <c r="C3079" t="s">
        <v>7212</v>
      </c>
      <c r="E3079" t="s">
        <v>8188</v>
      </c>
      <c r="F3079" t="s">
        <v>6804</v>
      </c>
      <c r="G3079" t="s">
        <v>7680</v>
      </c>
      <c r="H3079" t="s">
        <v>2508</v>
      </c>
      <c r="J3079">
        <v>-34000</v>
      </c>
      <c r="L3079" t="s">
        <v>6803</v>
      </c>
    </row>
    <row r="3080" spans="1:12" x14ac:dyDescent="0.35">
      <c r="A3080" t="s">
        <v>2337</v>
      </c>
      <c r="B3080" s="1">
        <v>45730</v>
      </c>
      <c r="C3080" t="s">
        <v>7212</v>
      </c>
      <c r="E3080" t="s">
        <v>8188</v>
      </c>
      <c r="F3080" t="s">
        <v>8052</v>
      </c>
      <c r="H3080" t="s">
        <v>2508</v>
      </c>
      <c r="K3080">
        <v>-34000</v>
      </c>
      <c r="L3080" t="s">
        <v>6803</v>
      </c>
    </row>
    <row r="3081" spans="1:12" x14ac:dyDescent="0.35">
      <c r="A3081" t="s">
        <v>2337</v>
      </c>
      <c r="B3081" s="1">
        <v>45730</v>
      </c>
      <c r="C3081" t="s">
        <v>7214</v>
      </c>
      <c r="E3081" t="s">
        <v>8189</v>
      </c>
      <c r="F3081" t="s">
        <v>6804</v>
      </c>
      <c r="G3081" t="s">
        <v>6981</v>
      </c>
      <c r="H3081" t="s">
        <v>2509</v>
      </c>
      <c r="J3081">
        <v>17000</v>
      </c>
      <c r="L3081" t="s">
        <v>6803</v>
      </c>
    </row>
    <row r="3082" spans="1:12" x14ac:dyDescent="0.35">
      <c r="A3082" t="s">
        <v>2337</v>
      </c>
      <c r="B3082" s="1">
        <v>45730</v>
      </c>
      <c r="C3082" t="s">
        <v>7214</v>
      </c>
      <c r="E3082" t="s">
        <v>8189</v>
      </c>
      <c r="F3082" t="s">
        <v>8052</v>
      </c>
      <c r="H3082" t="s">
        <v>2509</v>
      </c>
      <c r="K3082">
        <v>17000</v>
      </c>
      <c r="L3082" t="s">
        <v>6803</v>
      </c>
    </row>
    <row r="3083" spans="1:12" x14ac:dyDescent="0.35">
      <c r="A3083" t="s">
        <v>2337</v>
      </c>
      <c r="B3083" s="1">
        <v>45730</v>
      </c>
      <c r="C3083" t="s">
        <v>7216</v>
      </c>
      <c r="E3083" t="s">
        <v>8190</v>
      </c>
      <c r="F3083" t="s">
        <v>8052</v>
      </c>
      <c r="H3083" t="s">
        <v>2510</v>
      </c>
      <c r="K3083">
        <v>387000</v>
      </c>
      <c r="L3083" t="s">
        <v>6803</v>
      </c>
    </row>
    <row r="3084" spans="1:12" x14ac:dyDescent="0.35">
      <c r="A3084" t="s">
        <v>2337</v>
      </c>
      <c r="B3084" s="1">
        <v>45730</v>
      </c>
      <c r="C3084" t="s">
        <v>7216</v>
      </c>
      <c r="E3084" t="s">
        <v>8190</v>
      </c>
      <c r="F3084" t="s">
        <v>7905</v>
      </c>
      <c r="H3084" t="s">
        <v>2511</v>
      </c>
      <c r="J3084">
        <v>220000</v>
      </c>
      <c r="L3084" t="s">
        <v>5965</v>
      </c>
    </row>
    <row r="3085" spans="1:12" x14ac:dyDescent="0.35">
      <c r="A3085" t="s">
        <v>2337</v>
      </c>
      <c r="B3085" s="1">
        <v>45730</v>
      </c>
      <c r="C3085" t="s">
        <v>7216</v>
      </c>
      <c r="E3085" t="s">
        <v>8190</v>
      </c>
      <c r="F3085" t="s">
        <v>7908</v>
      </c>
      <c r="H3085" t="s">
        <v>2512</v>
      </c>
      <c r="J3085">
        <v>167000</v>
      </c>
      <c r="L3085" t="s">
        <v>5965</v>
      </c>
    </row>
    <row r="3086" spans="1:12" x14ac:dyDescent="0.35">
      <c r="A3086" t="s">
        <v>2337</v>
      </c>
      <c r="B3086" s="1">
        <v>45733</v>
      </c>
      <c r="C3086" t="s">
        <v>7218</v>
      </c>
      <c r="E3086" t="s">
        <v>8191</v>
      </c>
      <c r="F3086" t="s">
        <v>8052</v>
      </c>
      <c r="H3086" t="s">
        <v>2513</v>
      </c>
      <c r="K3086">
        <v>150000</v>
      </c>
      <c r="L3086" t="s">
        <v>6803</v>
      </c>
    </row>
    <row r="3087" spans="1:12" x14ac:dyDescent="0.35">
      <c r="A3087" t="s">
        <v>2337</v>
      </c>
      <c r="B3087" s="1">
        <v>45733</v>
      </c>
      <c r="C3087" t="s">
        <v>7218</v>
      </c>
      <c r="E3087" t="s">
        <v>8191</v>
      </c>
      <c r="F3087" t="s">
        <v>7928</v>
      </c>
      <c r="H3087" t="s">
        <v>2513</v>
      </c>
      <c r="J3087">
        <v>150000</v>
      </c>
      <c r="L3087" t="s">
        <v>5942</v>
      </c>
    </row>
    <row r="3088" spans="1:12" x14ac:dyDescent="0.35">
      <c r="A3088" t="s">
        <v>2337</v>
      </c>
      <c r="B3088" s="1">
        <v>45733</v>
      </c>
      <c r="C3088" t="s">
        <v>7220</v>
      </c>
      <c r="E3088" t="s">
        <v>8192</v>
      </c>
      <c r="F3088" t="s">
        <v>8052</v>
      </c>
      <c r="H3088" t="s">
        <v>2514</v>
      </c>
      <c r="K3088">
        <v>89000</v>
      </c>
      <c r="L3088" t="s">
        <v>6803</v>
      </c>
    </row>
    <row r="3089" spans="1:12" x14ac:dyDescent="0.35">
      <c r="A3089" t="s">
        <v>2337</v>
      </c>
      <c r="B3089" s="1">
        <v>45733</v>
      </c>
      <c r="C3089" t="s">
        <v>7220</v>
      </c>
      <c r="E3089" t="s">
        <v>8192</v>
      </c>
      <c r="F3089" t="s">
        <v>7928</v>
      </c>
      <c r="H3089" t="s">
        <v>2514</v>
      </c>
      <c r="J3089">
        <v>89000</v>
      </c>
      <c r="L3089" t="s">
        <v>5928</v>
      </c>
    </row>
    <row r="3090" spans="1:12" x14ac:dyDescent="0.35">
      <c r="A3090" t="s">
        <v>2337</v>
      </c>
      <c r="B3090" s="1">
        <v>45733</v>
      </c>
      <c r="C3090" t="s">
        <v>7222</v>
      </c>
      <c r="E3090" t="s">
        <v>8193</v>
      </c>
      <c r="F3090" t="s">
        <v>8052</v>
      </c>
      <c r="H3090" t="s">
        <v>2515</v>
      </c>
      <c r="K3090">
        <v>56000</v>
      </c>
      <c r="L3090" t="s">
        <v>6803</v>
      </c>
    </row>
    <row r="3091" spans="1:12" x14ac:dyDescent="0.35">
      <c r="A3091" t="s">
        <v>2337</v>
      </c>
      <c r="B3091" s="1">
        <v>45733</v>
      </c>
      <c r="C3091" t="s">
        <v>7222</v>
      </c>
      <c r="E3091" t="s">
        <v>8193</v>
      </c>
      <c r="F3091" t="s">
        <v>7928</v>
      </c>
      <c r="H3091" t="s">
        <v>2515</v>
      </c>
      <c r="J3091">
        <v>56000</v>
      </c>
      <c r="L3091" t="s">
        <v>5940</v>
      </c>
    </row>
    <row r="3092" spans="1:12" x14ac:dyDescent="0.35">
      <c r="A3092" t="s">
        <v>2337</v>
      </c>
      <c r="B3092" s="1">
        <v>45733</v>
      </c>
      <c r="C3092" t="s">
        <v>7224</v>
      </c>
      <c r="E3092" t="s">
        <v>8194</v>
      </c>
      <c r="F3092" t="s">
        <v>8052</v>
      </c>
      <c r="H3092" t="s">
        <v>2516</v>
      </c>
      <c r="K3092">
        <v>50000</v>
      </c>
      <c r="L3092" t="s">
        <v>6803</v>
      </c>
    </row>
    <row r="3093" spans="1:12" x14ac:dyDescent="0.35">
      <c r="A3093" t="s">
        <v>2337</v>
      </c>
      <c r="B3093" s="1">
        <v>45733</v>
      </c>
      <c r="C3093" t="s">
        <v>7224</v>
      </c>
      <c r="E3093" t="s">
        <v>8194</v>
      </c>
      <c r="F3093" t="s">
        <v>6820</v>
      </c>
      <c r="H3093" t="s">
        <v>2516</v>
      </c>
      <c r="J3093">
        <v>50000</v>
      </c>
      <c r="L3093" t="s">
        <v>5881</v>
      </c>
    </row>
    <row r="3094" spans="1:12" x14ac:dyDescent="0.35">
      <c r="A3094" t="s">
        <v>2337</v>
      </c>
      <c r="B3094" s="1">
        <v>45733</v>
      </c>
      <c r="C3094" t="s">
        <v>7226</v>
      </c>
      <c r="E3094" t="s">
        <v>8195</v>
      </c>
      <c r="F3094" t="s">
        <v>8052</v>
      </c>
      <c r="H3094" t="s">
        <v>2517</v>
      </c>
      <c r="K3094">
        <v>162000</v>
      </c>
      <c r="L3094" t="s">
        <v>6803</v>
      </c>
    </row>
    <row r="3095" spans="1:12" x14ac:dyDescent="0.35">
      <c r="A3095" t="s">
        <v>2337</v>
      </c>
      <c r="B3095" s="1">
        <v>45733</v>
      </c>
      <c r="C3095" t="s">
        <v>7226</v>
      </c>
      <c r="E3095" t="s">
        <v>8195</v>
      </c>
      <c r="F3095" t="s">
        <v>7928</v>
      </c>
      <c r="H3095" t="s">
        <v>2517</v>
      </c>
      <c r="J3095">
        <v>162000</v>
      </c>
      <c r="L3095" t="s">
        <v>5873</v>
      </c>
    </row>
    <row r="3096" spans="1:12" x14ac:dyDescent="0.35">
      <c r="A3096" t="s">
        <v>2337</v>
      </c>
      <c r="B3096" s="1">
        <v>45733</v>
      </c>
      <c r="C3096" t="s">
        <v>7228</v>
      </c>
      <c r="E3096" t="s">
        <v>8196</v>
      </c>
      <c r="F3096" t="s">
        <v>8052</v>
      </c>
      <c r="H3096" t="s">
        <v>2518</v>
      </c>
      <c r="K3096">
        <v>40000</v>
      </c>
      <c r="L3096" t="s">
        <v>6803</v>
      </c>
    </row>
    <row r="3097" spans="1:12" x14ac:dyDescent="0.35">
      <c r="A3097" t="s">
        <v>2337</v>
      </c>
      <c r="B3097" s="1">
        <v>45733</v>
      </c>
      <c r="C3097" t="s">
        <v>7228</v>
      </c>
      <c r="E3097" t="s">
        <v>8196</v>
      </c>
      <c r="F3097" t="s">
        <v>7928</v>
      </c>
      <c r="H3097" t="s">
        <v>2518</v>
      </c>
      <c r="J3097">
        <v>40000</v>
      </c>
      <c r="L3097" t="s">
        <v>5948</v>
      </c>
    </row>
    <row r="3098" spans="1:12" x14ac:dyDescent="0.35">
      <c r="A3098" t="s">
        <v>2337</v>
      </c>
      <c r="B3098" s="1">
        <v>45733</v>
      </c>
      <c r="C3098" t="s">
        <v>7230</v>
      </c>
      <c r="E3098" t="s">
        <v>8197</v>
      </c>
      <c r="F3098" t="s">
        <v>8052</v>
      </c>
      <c r="H3098" t="s">
        <v>2519</v>
      </c>
      <c r="K3098">
        <v>218700</v>
      </c>
      <c r="L3098" t="s">
        <v>6803</v>
      </c>
    </row>
    <row r="3099" spans="1:12" x14ac:dyDescent="0.35">
      <c r="A3099" t="s">
        <v>2337</v>
      </c>
      <c r="B3099" s="1">
        <v>45733</v>
      </c>
      <c r="C3099" t="s">
        <v>7230</v>
      </c>
      <c r="E3099" t="s">
        <v>8197</v>
      </c>
      <c r="F3099" t="s">
        <v>7905</v>
      </c>
      <c r="H3099" t="s">
        <v>2520</v>
      </c>
      <c r="J3099">
        <v>162000</v>
      </c>
      <c r="L3099" t="s">
        <v>5944</v>
      </c>
    </row>
    <row r="3100" spans="1:12" x14ac:dyDescent="0.35">
      <c r="A3100" t="s">
        <v>2337</v>
      </c>
      <c r="B3100" s="1">
        <v>45733</v>
      </c>
      <c r="C3100" t="s">
        <v>7230</v>
      </c>
      <c r="E3100" t="s">
        <v>8197</v>
      </c>
      <c r="F3100" t="s">
        <v>7908</v>
      </c>
      <c r="H3100" t="s">
        <v>2521</v>
      </c>
      <c r="J3100">
        <v>56700</v>
      </c>
      <c r="L3100" t="s">
        <v>5944</v>
      </c>
    </row>
    <row r="3101" spans="1:12" x14ac:dyDescent="0.35">
      <c r="A3101" t="s">
        <v>2337</v>
      </c>
      <c r="B3101" s="1">
        <v>45733</v>
      </c>
      <c r="C3101" t="s">
        <v>7232</v>
      </c>
      <c r="E3101" t="s">
        <v>8198</v>
      </c>
      <c r="F3101" t="s">
        <v>8052</v>
      </c>
      <c r="H3101" t="s">
        <v>2522</v>
      </c>
      <c r="K3101">
        <v>10000</v>
      </c>
      <c r="L3101" t="s">
        <v>6803</v>
      </c>
    </row>
    <row r="3102" spans="1:12" x14ac:dyDescent="0.35">
      <c r="A3102" t="s">
        <v>2337</v>
      </c>
      <c r="B3102" s="1">
        <v>45733</v>
      </c>
      <c r="C3102" t="s">
        <v>7232</v>
      </c>
      <c r="E3102" t="s">
        <v>8198</v>
      </c>
      <c r="F3102" t="s">
        <v>7928</v>
      </c>
      <c r="H3102" t="s">
        <v>2522</v>
      </c>
      <c r="J3102">
        <v>10000</v>
      </c>
      <c r="L3102" t="s">
        <v>5878</v>
      </c>
    </row>
    <row r="3103" spans="1:12" x14ac:dyDescent="0.35">
      <c r="A3103" t="s">
        <v>2337</v>
      </c>
      <c r="B3103" s="1">
        <v>45734</v>
      </c>
      <c r="C3103" t="s">
        <v>7234</v>
      </c>
      <c r="E3103" t="s">
        <v>8199</v>
      </c>
      <c r="F3103" t="s">
        <v>8098</v>
      </c>
      <c r="H3103" t="s">
        <v>65</v>
      </c>
      <c r="K3103">
        <v>1825100</v>
      </c>
      <c r="L3103" t="s">
        <v>6803</v>
      </c>
    </row>
    <row r="3104" spans="1:12" x14ac:dyDescent="0.35">
      <c r="A3104" t="s">
        <v>2337</v>
      </c>
      <c r="B3104" s="1">
        <v>45734</v>
      </c>
      <c r="C3104" t="s">
        <v>7234</v>
      </c>
      <c r="E3104" t="s">
        <v>8199</v>
      </c>
      <c r="F3104" t="s">
        <v>8052</v>
      </c>
      <c r="H3104" t="s">
        <v>65</v>
      </c>
      <c r="J3104">
        <v>1825100</v>
      </c>
      <c r="L3104" t="s">
        <v>6803</v>
      </c>
    </row>
    <row r="3105" spans="1:12" x14ac:dyDescent="0.35">
      <c r="A3105" t="s">
        <v>2337</v>
      </c>
      <c r="B3105" s="1">
        <v>45734</v>
      </c>
      <c r="C3105" t="s">
        <v>7236</v>
      </c>
      <c r="E3105" t="s">
        <v>8200</v>
      </c>
      <c r="F3105" t="s">
        <v>8098</v>
      </c>
      <c r="H3105" t="s">
        <v>66</v>
      </c>
      <c r="K3105">
        <v>354500</v>
      </c>
      <c r="L3105" t="s">
        <v>6803</v>
      </c>
    </row>
    <row r="3106" spans="1:12" x14ac:dyDescent="0.35">
      <c r="A3106" t="s">
        <v>2337</v>
      </c>
      <c r="B3106" s="1">
        <v>45734</v>
      </c>
      <c r="C3106" t="s">
        <v>7236</v>
      </c>
      <c r="E3106" t="s">
        <v>8200</v>
      </c>
      <c r="F3106" t="s">
        <v>8052</v>
      </c>
      <c r="H3106" t="s">
        <v>66</v>
      </c>
      <c r="J3106">
        <v>354500</v>
      </c>
      <c r="L3106" t="s">
        <v>6803</v>
      </c>
    </row>
    <row r="3107" spans="1:12" x14ac:dyDescent="0.35">
      <c r="A3107" t="s">
        <v>2337</v>
      </c>
      <c r="B3107" s="1">
        <v>45734</v>
      </c>
      <c r="C3107" t="s">
        <v>7238</v>
      </c>
      <c r="E3107" t="s">
        <v>8201</v>
      </c>
      <c r="F3107" t="s">
        <v>8098</v>
      </c>
      <c r="H3107" t="s">
        <v>66</v>
      </c>
      <c r="K3107">
        <v>2954360</v>
      </c>
      <c r="L3107" t="s">
        <v>6803</v>
      </c>
    </row>
    <row r="3108" spans="1:12" x14ac:dyDescent="0.35">
      <c r="A3108" t="s">
        <v>2337</v>
      </c>
      <c r="B3108" s="1">
        <v>45734</v>
      </c>
      <c r="C3108" t="s">
        <v>7238</v>
      </c>
      <c r="E3108" t="s">
        <v>8201</v>
      </c>
      <c r="F3108" t="s">
        <v>8052</v>
      </c>
      <c r="H3108" t="s">
        <v>66</v>
      </c>
      <c r="J3108">
        <v>2954360</v>
      </c>
      <c r="L3108" t="s">
        <v>6803</v>
      </c>
    </row>
    <row r="3109" spans="1:12" x14ac:dyDescent="0.35">
      <c r="A3109" t="s">
        <v>2337</v>
      </c>
      <c r="B3109" s="1">
        <v>45734</v>
      </c>
      <c r="C3109" t="s">
        <v>7240</v>
      </c>
      <c r="E3109" t="s">
        <v>8202</v>
      </c>
      <c r="F3109" t="s">
        <v>8098</v>
      </c>
      <c r="H3109" t="s">
        <v>2523</v>
      </c>
      <c r="K3109">
        <v>215260</v>
      </c>
      <c r="L3109" t="s">
        <v>6803</v>
      </c>
    </row>
    <row r="3110" spans="1:12" x14ac:dyDescent="0.35">
      <c r="A3110" t="s">
        <v>2337</v>
      </c>
      <c r="B3110" s="1">
        <v>45734</v>
      </c>
      <c r="C3110" t="s">
        <v>7240</v>
      </c>
      <c r="E3110" t="s">
        <v>8202</v>
      </c>
      <c r="F3110" t="s">
        <v>8052</v>
      </c>
      <c r="H3110" t="s">
        <v>2523</v>
      </c>
      <c r="J3110">
        <v>215260</v>
      </c>
      <c r="L3110" t="s">
        <v>6803</v>
      </c>
    </row>
    <row r="3111" spans="1:12" x14ac:dyDescent="0.35">
      <c r="A3111" t="s">
        <v>2337</v>
      </c>
      <c r="B3111" s="1">
        <v>45734</v>
      </c>
      <c r="C3111" t="s">
        <v>7242</v>
      </c>
      <c r="E3111" t="s">
        <v>8203</v>
      </c>
      <c r="F3111" t="s">
        <v>8098</v>
      </c>
      <c r="H3111" t="s">
        <v>68</v>
      </c>
      <c r="K3111">
        <v>1075800</v>
      </c>
      <c r="L3111" t="s">
        <v>6803</v>
      </c>
    </row>
    <row r="3112" spans="1:12" x14ac:dyDescent="0.35">
      <c r="A3112" t="s">
        <v>2337</v>
      </c>
      <c r="B3112" s="1">
        <v>45734</v>
      </c>
      <c r="C3112" t="s">
        <v>7242</v>
      </c>
      <c r="E3112" t="s">
        <v>8203</v>
      </c>
      <c r="F3112" t="s">
        <v>8052</v>
      </c>
      <c r="H3112" t="s">
        <v>68</v>
      </c>
      <c r="J3112">
        <v>1075800</v>
      </c>
      <c r="L3112" t="s">
        <v>6803</v>
      </c>
    </row>
    <row r="3113" spans="1:12" x14ac:dyDescent="0.35">
      <c r="A3113" t="s">
        <v>2337</v>
      </c>
      <c r="B3113" s="1">
        <v>45734</v>
      </c>
      <c r="C3113" t="s">
        <v>7244</v>
      </c>
      <c r="E3113" t="s">
        <v>8204</v>
      </c>
      <c r="F3113" t="s">
        <v>8098</v>
      </c>
      <c r="H3113" t="s">
        <v>69</v>
      </c>
      <c r="K3113">
        <v>215260</v>
      </c>
      <c r="L3113" t="s">
        <v>6803</v>
      </c>
    </row>
    <row r="3114" spans="1:12" x14ac:dyDescent="0.35">
      <c r="A3114" t="s">
        <v>2337</v>
      </c>
      <c r="B3114" s="1">
        <v>45734</v>
      </c>
      <c r="C3114" t="s">
        <v>7244</v>
      </c>
      <c r="E3114" t="s">
        <v>8204</v>
      </c>
      <c r="F3114" t="s">
        <v>8052</v>
      </c>
      <c r="H3114" t="s">
        <v>69</v>
      </c>
      <c r="J3114">
        <v>215260</v>
      </c>
      <c r="L3114" t="s">
        <v>6803</v>
      </c>
    </row>
    <row r="3115" spans="1:12" x14ac:dyDescent="0.35">
      <c r="A3115" t="s">
        <v>2337</v>
      </c>
      <c r="B3115" s="1">
        <v>45734</v>
      </c>
      <c r="C3115" t="s">
        <v>7246</v>
      </c>
      <c r="E3115" t="s">
        <v>8205</v>
      </c>
      <c r="F3115" t="s">
        <v>8098</v>
      </c>
      <c r="H3115" t="s">
        <v>69</v>
      </c>
      <c r="K3115">
        <v>215260</v>
      </c>
      <c r="L3115" t="s">
        <v>6803</v>
      </c>
    </row>
    <row r="3116" spans="1:12" x14ac:dyDescent="0.35">
      <c r="A3116" t="s">
        <v>2337</v>
      </c>
      <c r="B3116" s="1">
        <v>45734</v>
      </c>
      <c r="C3116" t="s">
        <v>7246</v>
      </c>
      <c r="E3116" t="s">
        <v>8205</v>
      </c>
      <c r="F3116" t="s">
        <v>8052</v>
      </c>
      <c r="H3116" t="s">
        <v>69</v>
      </c>
      <c r="J3116">
        <v>215260</v>
      </c>
      <c r="L3116" t="s">
        <v>6803</v>
      </c>
    </row>
    <row r="3117" spans="1:12" x14ac:dyDescent="0.35">
      <c r="A3117" t="s">
        <v>2337</v>
      </c>
      <c r="B3117" s="1">
        <v>45734</v>
      </c>
      <c r="C3117" t="s">
        <v>7248</v>
      </c>
      <c r="E3117" t="s">
        <v>8206</v>
      </c>
      <c r="F3117" t="s">
        <v>8098</v>
      </c>
      <c r="H3117" t="s">
        <v>69</v>
      </c>
      <c r="K3117">
        <v>215260</v>
      </c>
      <c r="L3117" t="s">
        <v>6803</v>
      </c>
    </row>
    <row r="3118" spans="1:12" x14ac:dyDescent="0.35">
      <c r="A3118" t="s">
        <v>2337</v>
      </c>
      <c r="B3118" s="1">
        <v>45734</v>
      </c>
      <c r="C3118" t="s">
        <v>7248</v>
      </c>
      <c r="E3118" t="s">
        <v>8206</v>
      </c>
      <c r="F3118" t="s">
        <v>8052</v>
      </c>
      <c r="H3118" t="s">
        <v>69</v>
      </c>
      <c r="J3118">
        <v>215260</v>
      </c>
      <c r="L3118" t="s">
        <v>6803</v>
      </c>
    </row>
    <row r="3119" spans="1:12" x14ac:dyDescent="0.35">
      <c r="A3119" t="s">
        <v>2337</v>
      </c>
      <c r="B3119" s="1">
        <v>45734</v>
      </c>
      <c r="C3119" t="s">
        <v>7250</v>
      </c>
      <c r="E3119" t="s">
        <v>8207</v>
      </c>
      <c r="F3119" t="s">
        <v>8098</v>
      </c>
      <c r="H3119" t="s">
        <v>69</v>
      </c>
      <c r="K3119">
        <v>215260</v>
      </c>
      <c r="L3119" t="s">
        <v>6803</v>
      </c>
    </row>
    <row r="3120" spans="1:12" x14ac:dyDescent="0.35">
      <c r="A3120" t="s">
        <v>2337</v>
      </c>
      <c r="B3120" s="1">
        <v>45734</v>
      </c>
      <c r="C3120" t="s">
        <v>7250</v>
      </c>
      <c r="E3120" t="s">
        <v>8207</v>
      </c>
      <c r="F3120" t="s">
        <v>8052</v>
      </c>
      <c r="H3120" t="s">
        <v>69</v>
      </c>
      <c r="J3120">
        <v>215260</v>
      </c>
      <c r="L3120" t="s">
        <v>6803</v>
      </c>
    </row>
    <row r="3121" spans="1:12" x14ac:dyDescent="0.35">
      <c r="A3121" t="s">
        <v>2337</v>
      </c>
      <c r="B3121" s="1">
        <v>45734</v>
      </c>
      <c r="C3121" t="s">
        <v>7252</v>
      </c>
      <c r="E3121" t="s">
        <v>8208</v>
      </c>
      <c r="F3121" t="s">
        <v>8098</v>
      </c>
      <c r="H3121" t="s">
        <v>70</v>
      </c>
      <c r="K3121">
        <v>215260</v>
      </c>
      <c r="L3121" t="s">
        <v>6803</v>
      </c>
    </row>
    <row r="3122" spans="1:12" x14ac:dyDescent="0.35">
      <c r="A3122" t="s">
        <v>2337</v>
      </c>
      <c r="B3122" s="1">
        <v>45734</v>
      </c>
      <c r="C3122" t="s">
        <v>7252</v>
      </c>
      <c r="E3122" t="s">
        <v>8208</v>
      </c>
      <c r="F3122" t="s">
        <v>8052</v>
      </c>
      <c r="H3122" t="s">
        <v>70</v>
      </c>
      <c r="J3122">
        <v>215260</v>
      </c>
      <c r="L3122" t="s">
        <v>6803</v>
      </c>
    </row>
    <row r="3123" spans="1:12" x14ac:dyDescent="0.35">
      <c r="A3123" t="s">
        <v>2337</v>
      </c>
      <c r="B3123" s="1">
        <v>45734</v>
      </c>
      <c r="C3123" t="s">
        <v>7254</v>
      </c>
      <c r="E3123" t="s">
        <v>8209</v>
      </c>
      <c r="F3123" t="s">
        <v>8098</v>
      </c>
      <c r="H3123" t="s">
        <v>70</v>
      </c>
      <c r="K3123">
        <v>215260</v>
      </c>
      <c r="L3123" t="s">
        <v>6803</v>
      </c>
    </row>
    <row r="3124" spans="1:12" x14ac:dyDescent="0.35">
      <c r="A3124" t="s">
        <v>2337</v>
      </c>
      <c r="B3124" s="1">
        <v>45734</v>
      </c>
      <c r="C3124" t="s">
        <v>7254</v>
      </c>
      <c r="E3124" t="s">
        <v>8209</v>
      </c>
      <c r="F3124" t="s">
        <v>8052</v>
      </c>
      <c r="H3124" t="s">
        <v>70</v>
      </c>
      <c r="J3124">
        <v>215260</v>
      </c>
      <c r="L3124" t="s">
        <v>6803</v>
      </c>
    </row>
    <row r="3125" spans="1:12" x14ac:dyDescent="0.35">
      <c r="A3125" t="s">
        <v>2337</v>
      </c>
      <c r="B3125" s="1">
        <v>45734</v>
      </c>
      <c r="C3125" t="s">
        <v>7256</v>
      </c>
      <c r="E3125" t="s">
        <v>8210</v>
      </c>
      <c r="F3125" t="s">
        <v>8098</v>
      </c>
      <c r="H3125" t="s">
        <v>70</v>
      </c>
      <c r="K3125">
        <v>322640</v>
      </c>
      <c r="L3125" t="s">
        <v>6803</v>
      </c>
    </row>
    <row r="3126" spans="1:12" x14ac:dyDescent="0.35">
      <c r="A3126" t="s">
        <v>2337</v>
      </c>
      <c r="B3126" s="1">
        <v>45734</v>
      </c>
      <c r="C3126" t="s">
        <v>7256</v>
      </c>
      <c r="E3126" t="s">
        <v>8210</v>
      </c>
      <c r="F3126" t="s">
        <v>8052</v>
      </c>
      <c r="H3126" t="s">
        <v>70</v>
      </c>
      <c r="J3126">
        <v>322640</v>
      </c>
      <c r="L3126" t="s">
        <v>6803</v>
      </c>
    </row>
    <row r="3127" spans="1:12" x14ac:dyDescent="0.35">
      <c r="A3127" t="s">
        <v>2337</v>
      </c>
      <c r="B3127" s="1">
        <v>45734</v>
      </c>
      <c r="C3127" t="s">
        <v>7258</v>
      </c>
      <c r="E3127" t="s">
        <v>8211</v>
      </c>
      <c r="F3127" t="s">
        <v>8052</v>
      </c>
      <c r="H3127" t="s">
        <v>2524</v>
      </c>
      <c r="K3127">
        <v>45000</v>
      </c>
      <c r="L3127" t="s">
        <v>6803</v>
      </c>
    </row>
    <row r="3128" spans="1:12" x14ac:dyDescent="0.35">
      <c r="A3128" t="s">
        <v>2337</v>
      </c>
      <c r="B3128" s="1">
        <v>45734</v>
      </c>
      <c r="C3128" t="s">
        <v>7258</v>
      </c>
      <c r="E3128" t="s">
        <v>8211</v>
      </c>
      <c r="F3128" t="s">
        <v>7358</v>
      </c>
      <c r="H3128" t="s">
        <v>2524</v>
      </c>
      <c r="J3128">
        <v>45000</v>
      </c>
      <c r="L3128" t="s">
        <v>5940</v>
      </c>
    </row>
    <row r="3129" spans="1:12" x14ac:dyDescent="0.35">
      <c r="A3129" t="s">
        <v>2337</v>
      </c>
      <c r="B3129" s="1">
        <v>45734</v>
      </c>
      <c r="C3129" t="s">
        <v>7283</v>
      </c>
      <c r="E3129" t="s">
        <v>8212</v>
      </c>
      <c r="F3129" t="s">
        <v>7514</v>
      </c>
      <c r="G3129" t="s">
        <v>7664</v>
      </c>
      <c r="H3129" t="s">
        <v>2525</v>
      </c>
      <c r="J3129">
        <v>45000</v>
      </c>
      <c r="L3129" t="s">
        <v>6803</v>
      </c>
    </row>
    <row r="3130" spans="1:12" x14ac:dyDescent="0.35">
      <c r="A3130" t="s">
        <v>2337</v>
      </c>
      <c r="B3130" s="1">
        <v>45734</v>
      </c>
      <c r="C3130" t="s">
        <v>7283</v>
      </c>
      <c r="E3130" t="s">
        <v>8212</v>
      </c>
      <c r="F3130" t="s">
        <v>8052</v>
      </c>
      <c r="H3130" t="s">
        <v>2525</v>
      </c>
      <c r="K3130">
        <v>45000</v>
      </c>
      <c r="L3130" t="s">
        <v>6803</v>
      </c>
    </row>
    <row r="3131" spans="1:12" x14ac:dyDescent="0.35">
      <c r="A3131" t="s">
        <v>2337</v>
      </c>
      <c r="B3131" s="1">
        <v>45734</v>
      </c>
      <c r="C3131" t="s">
        <v>7285</v>
      </c>
      <c r="E3131" t="s">
        <v>8213</v>
      </c>
      <c r="F3131" t="s">
        <v>7597</v>
      </c>
      <c r="H3131" t="s">
        <v>2526</v>
      </c>
      <c r="J3131">
        <v>85000</v>
      </c>
      <c r="L3131" t="s">
        <v>6803</v>
      </c>
    </row>
    <row r="3132" spans="1:12" x14ac:dyDescent="0.35">
      <c r="A3132" t="s">
        <v>2337</v>
      </c>
      <c r="B3132" s="1">
        <v>45734</v>
      </c>
      <c r="C3132" t="s">
        <v>7285</v>
      </c>
      <c r="E3132" t="s">
        <v>8213</v>
      </c>
      <c r="F3132" t="s">
        <v>8052</v>
      </c>
      <c r="H3132" t="s">
        <v>2527</v>
      </c>
      <c r="K3132">
        <v>180000</v>
      </c>
      <c r="L3132" t="s">
        <v>6803</v>
      </c>
    </row>
    <row r="3133" spans="1:12" x14ac:dyDescent="0.35">
      <c r="A3133" t="s">
        <v>2337</v>
      </c>
      <c r="B3133" s="1">
        <v>45734</v>
      </c>
      <c r="C3133" t="s">
        <v>7285</v>
      </c>
      <c r="E3133" t="s">
        <v>8213</v>
      </c>
      <c r="F3133" t="s">
        <v>7914</v>
      </c>
      <c r="H3133" t="s">
        <v>2527</v>
      </c>
      <c r="J3133">
        <v>95000</v>
      </c>
      <c r="L3133" t="s">
        <v>348</v>
      </c>
    </row>
    <row r="3134" spans="1:12" x14ac:dyDescent="0.35">
      <c r="A3134" t="s">
        <v>2337</v>
      </c>
      <c r="B3134" s="1">
        <v>45734</v>
      </c>
      <c r="C3134" t="s">
        <v>7287</v>
      </c>
      <c r="E3134" t="s">
        <v>8214</v>
      </c>
      <c r="F3134" t="s">
        <v>8052</v>
      </c>
      <c r="H3134" t="s">
        <v>2528</v>
      </c>
      <c r="K3134">
        <v>10000</v>
      </c>
      <c r="L3134" t="s">
        <v>6803</v>
      </c>
    </row>
    <row r="3135" spans="1:12" x14ac:dyDescent="0.35">
      <c r="A3135" t="s">
        <v>2337</v>
      </c>
      <c r="B3135" s="1">
        <v>45734</v>
      </c>
      <c r="C3135" t="s">
        <v>7287</v>
      </c>
      <c r="E3135" t="s">
        <v>8214</v>
      </c>
      <c r="F3135" t="s">
        <v>7928</v>
      </c>
      <c r="H3135" t="s">
        <v>2528</v>
      </c>
      <c r="J3135">
        <v>10000</v>
      </c>
      <c r="L3135" t="s">
        <v>5938</v>
      </c>
    </row>
    <row r="3136" spans="1:12" x14ac:dyDescent="0.35">
      <c r="A3136" t="s">
        <v>2337</v>
      </c>
      <c r="B3136" s="1">
        <v>45734</v>
      </c>
      <c r="C3136" t="s">
        <v>7289</v>
      </c>
      <c r="E3136" t="s">
        <v>8215</v>
      </c>
      <c r="F3136" t="s">
        <v>8052</v>
      </c>
      <c r="H3136" t="s">
        <v>2529</v>
      </c>
      <c r="K3136">
        <v>10000</v>
      </c>
      <c r="L3136" t="s">
        <v>6803</v>
      </c>
    </row>
    <row r="3137" spans="1:12" x14ac:dyDescent="0.35">
      <c r="A3137" t="s">
        <v>2337</v>
      </c>
      <c r="B3137" s="1">
        <v>45734</v>
      </c>
      <c r="C3137" t="s">
        <v>7289</v>
      </c>
      <c r="E3137" t="s">
        <v>8215</v>
      </c>
      <c r="F3137" t="s">
        <v>7928</v>
      </c>
      <c r="H3137" t="s">
        <v>2529</v>
      </c>
      <c r="J3137">
        <v>10000</v>
      </c>
      <c r="L3137" t="s">
        <v>5938</v>
      </c>
    </row>
    <row r="3138" spans="1:12" x14ac:dyDescent="0.35">
      <c r="A3138" t="s">
        <v>2337</v>
      </c>
      <c r="B3138" s="1">
        <v>45734</v>
      </c>
      <c r="C3138" t="s">
        <v>7291</v>
      </c>
      <c r="E3138" t="s">
        <v>8216</v>
      </c>
      <c r="F3138" t="s">
        <v>8052</v>
      </c>
      <c r="H3138" t="s">
        <v>2530</v>
      </c>
      <c r="K3138">
        <v>20700</v>
      </c>
      <c r="L3138" t="s">
        <v>6803</v>
      </c>
    </row>
    <row r="3139" spans="1:12" x14ac:dyDescent="0.35">
      <c r="A3139" t="s">
        <v>2337</v>
      </c>
      <c r="B3139" s="1">
        <v>45734</v>
      </c>
      <c r="C3139" t="s">
        <v>7291</v>
      </c>
      <c r="E3139" t="s">
        <v>8216</v>
      </c>
      <c r="F3139" t="s">
        <v>7928</v>
      </c>
      <c r="H3139" t="s">
        <v>2530</v>
      </c>
      <c r="J3139">
        <v>20700</v>
      </c>
      <c r="L3139" t="s">
        <v>5941</v>
      </c>
    </row>
    <row r="3140" spans="1:12" x14ac:dyDescent="0.35">
      <c r="A3140" t="s">
        <v>2337</v>
      </c>
      <c r="B3140" s="1">
        <v>45734</v>
      </c>
      <c r="C3140" t="s">
        <v>7293</v>
      </c>
      <c r="E3140" t="s">
        <v>8217</v>
      </c>
      <c r="F3140" t="s">
        <v>8052</v>
      </c>
      <c r="H3140" t="s">
        <v>2338</v>
      </c>
      <c r="K3140">
        <v>17000</v>
      </c>
      <c r="L3140" t="s">
        <v>6803</v>
      </c>
    </row>
    <row r="3141" spans="1:12" x14ac:dyDescent="0.35">
      <c r="A3141" t="s">
        <v>2337</v>
      </c>
      <c r="B3141" s="1">
        <v>45734</v>
      </c>
      <c r="C3141" t="s">
        <v>7293</v>
      </c>
      <c r="E3141" t="s">
        <v>8217</v>
      </c>
      <c r="F3141" t="s">
        <v>7928</v>
      </c>
      <c r="H3141" t="s">
        <v>2338</v>
      </c>
      <c r="J3141">
        <v>17000</v>
      </c>
      <c r="L3141" t="s">
        <v>5873</v>
      </c>
    </row>
    <row r="3142" spans="1:12" x14ac:dyDescent="0.35">
      <c r="A3142" t="s">
        <v>2337</v>
      </c>
      <c r="B3142" s="1">
        <v>45734</v>
      </c>
      <c r="C3142" t="s">
        <v>7295</v>
      </c>
      <c r="E3142" t="s">
        <v>8218</v>
      </c>
      <c r="F3142" t="s">
        <v>8052</v>
      </c>
      <c r="H3142" t="s">
        <v>2531</v>
      </c>
      <c r="K3142">
        <v>28000</v>
      </c>
      <c r="L3142" t="s">
        <v>6803</v>
      </c>
    </row>
    <row r="3143" spans="1:12" x14ac:dyDescent="0.35">
      <c r="A3143" t="s">
        <v>2337</v>
      </c>
      <c r="B3143" s="1">
        <v>45734</v>
      </c>
      <c r="C3143" t="s">
        <v>7295</v>
      </c>
      <c r="E3143" t="s">
        <v>8218</v>
      </c>
      <c r="F3143" t="s">
        <v>7928</v>
      </c>
      <c r="H3143" t="s">
        <v>2531</v>
      </c>
      <c r="J3143">
        <v>28000</v>
      </c>
      <c r="L3143" t="s">
        <v>5884</v>
      </c>
    </row>
    <row r="3144" spans="1:12" x14ac:dyDescent="0.35">
      <c r="A3144" t="s">
        <v>2337</v>
      </c>
      <c r="B3144" s="1">
        <v>45734</v>
      </c>
      <c r="C3144" t="s">
        <v>7297</v>
      </c>
      <c r="E3144" t="s">
        <v>8219</v>
      </c>
      <c r="F3144" t="s">
        <v>8052</v>
      </c>
      <c r="H3144" t="s">
        <v>2532</v>
      </c>
      <c r="K3144">
        <v>29600</v>
      </c>
      <c r="L3144" t="s">
        <v>6803</v>
      </c>
    </row>
    <row r="3145" spans="1:12" x14ac:dyDescent="0.35">
      <c r="A3145" t="s">
        <v>2337</v>
      </c>
      <c r="B3145" s="1">
        <v>45734</v>
      </c>
      <c r="C3145" t="s">
        <v>7297</v>
      </c>
      <c r="E3145" t="s">
        <v>8219</v>
      </c>
      <c r="F3145" t="s">
        <v>7914</v>
      </c>
      <c r="H3145" t="s">
        <v>2532</v>
      </c>
      <c r="J3145">
        <v>29600</v>
      </c>
      <c r="L3145" t="s">
        <v>5964</v>
      </c>
    </row>
    <row r="3146" spans="1:12" x14ac:dyDescent="0.35">
      <c r="A3146" t="s">
        <v>2337</v>
      </c>
      <c r="B3146" s="1">
        <v>45734</v>
      </c>
      <c r="C3146" t="s">
        <v>7098</v>
      </c>
      <c r="E3146" t="s">
        <v>8220</v>
      </c>
      <c r="F3146" t="s">
        <v>8052</v>
      </c>
      <c r="H3146" t="s">
        <v>2533</v>
      </c>
      <c r="K3146">
        <v>7800</v>
      </c>
      <c r="L3146" t="s">
        <v>6803</v>
      </c>
    </row>
    <row r="3147" spans="1:12" x14ac:dyDescent="0.35">
      <c r="A3147" t="s">
        <v>2337</v>
      </c>
      <c r="B3147" s="1">
        <v>45734</v>
      </c>
      <c r="C3147" t="s">
        <v>7098</v>
      </c>
      <c r="E3147" t="s">
        <v>8220</v>
      </c>
      <c r="F3147" t="s">
        <v>8221</v>
      </c>
      <c r="H3147" t="s">
        <v>2533</v>
      </c>
      <c r="J3147">
        <v>7800</v>
      </c>
      <c r="L3147" t="s">
        <v>5964</v>
      </c>
    </row>
    <row r="3148" spans="1:12" x14ac:dyDescent="0.35">
      <c r="A3148" t="s">
        <v>2337</v>
      </c>
      <c r="B3148" s="1">
        <v>45735</v>
      </c>
      <c r="C3148" t="s">
        <v>7192</v>
      </c>
      <c r="E3148" t="s">
        <v>8222</v>
      </c>
      <c r="F3148" t="s">
        <v>8098</v>
      </c>
      <c r="H3148" t="s">
        <v>71</v>
      </c>
      <c r="K3148">
        <v>2149600</v>
      </c>
      <c r="L3148" t="s">
        <v>6803</v>
      </c>
    </row>
    <row r="3149" spans="1:12" x14ac:dyDescent="0.35">
      <c r="A3149" t="s">
        <v>2337</v>
      </c>
      <c r="B3149" s="1">
        <v>45735</v>
      </c>
      <c r="C3149" t="s">
        <v>7192</v>
      </c>
      <c r="E3149" t="s">
        <v>8222</v>
      </c>
      <c r="F3149" t="s">
        <v>8052</v>
      </c>
      <c r="H3149" t="s">
        <v>71</v>
      </c>
      <c r="J3149">
        <v>2149600</v>
      </c>
      <c r="L3149" t="s">
        <v>6803</v>
      </c>
    </row>
    <row r="3150" spans="1:12" x14ac:dyDescent="0.35">
      <c r="A3150" t="s">
        <v>2337</v>
      </c>
      <c r="B3150" s="1">
        <v>45735</v>
      </c>
      <c r="C3150" t="s">
        <v>7194</v>
      </c>
      <c r="E3150" t="s">
        <v>8223</v>
      </c>
      <c r="F3150" t="s">
        <v>8052</v>
      </c>
      <c r="H3150" t="s">
        <v>2534</v>
      </c>
      <c r="K3150">
        <v>30000</v>
      </c>
      <c r="L3150" t="s">
        <v>6803</v>
      </c>
    </row>
    <row r="3151" spans="1:12" x14ac:dyDescent="0.35">
      <c r="A3151" t="s">
        <v>2337</v>
      </c>
      <c r="B3151" s="1">
        <v>45735</v>
      </c>
      <c r="C3151" t="s">
        <v>7194</v>
      </c>
      <c r="E3151" t="s">
        <v>8223</v>
      </c>
      <c r="F3151" t="s">
        <v>7928</v>
      </c>
      <c r="H3151" t="s">
        <v>2534</v>
      </c>
      <c r="J3151">
        <v>30000</v>
      </c>
      <c r="L3151" t="s">
        <v>5948</v>
      </c>
    </row>
    <row r="3152" spans="1:12" x14ac:dyDescent="0.35">
      <c r="A3152" t="s">
        <v>2337</v>
      </c>
      <c r="B3152" s="1">
        <v>45735</v>
      </c>
      <c r="C3152" t="s">
        <v>7299</v>
      </c>
      <c r="E3152" t="s">
        <v>8224</v>
      </c>
      <c r="F3152" t="s">
        <v>8052</v>
      </c>
      <c r="H3152" t="s">
        <v>2535</v>
      </c>
      <c r="K3152">
        <v>10000</v>
      </c>
      <c r="L3152" t="s">
        <v>6803</v>
      </c>
    </row>
    <row r="3153" spans="1:12" x14ac:dyDescent="0.35">
      <c r="A3153" t="s">
        <v>2337</v>
      </c>
      <c r="B3153" s="1">
        <v>45735</v>
      </c>
      <c r="C3153" t="s">
        <v>7299</v>
      </c>
      <c r="E3153" t="s">
        <v>8224</v>
      </c>
      <c r="F3153" t="s">
        <v>7914</v>
      </c>
      <c r="H3153" t="s">
        <v>2535</v>
      </c>
      <c r="J3153">
        <v>10000</v>
      </c>
      <c r="L3153" t="s">
        <v>348</v>
      </c>
    </row>
    <row r="3154" spans="1:12" x14ac:dyDescent="0.35">
      <c r="A3154" t="s">
        <v>2337</v>
      </c>
      <c r="B3154" s="1">
        <v>45735</v>
      </c>
      <c r="C3154" t="s">
        <v>7301</v>
      </c>
      <c r="E3154" t="s">
        <v>8225</v>
      </c>
      <c r="F3154" t="s">
        <v>7882</v>
      </c>
      <c r="H3154" t="s">
        <v>2536</v>
      </c>
      <c r="J3154">
        <v>10342029</v>
      </c>
      <c r="L3154" t="s">
        <v>6803</v>
      </c>
    </row>
    <row r="3155" spans="1:12" x14ac:dyDescent="0.35">
      <c r="A3155" t="s">
        <v>2337</v>
      </c>
      <c r="B3155" s="1">
        <v>45735</v>
      </c>
      <c r="C3155" t="s">
        <v>7301</v>
      </c>
      <c r="E3155" t="s">
        <v>8225</v>
      </c>
      <c r="F3155" t="s">
        <v>8052</v>
      </c>
      <c r="H3155" t="s">
        <v>2536</v>
      </c>
      <c r="K3155">
        <v>10348750</v>
      </c>
      <c r="L3155" t="s">
        <v>6803</v>
      </c>
    </row>
    <row r="3156" spans="1:12" x14ac:dyDescent="0.35">
      <c r="A3156" t="s">
        <v>2337</v>
      </c>
      <c r="B3156" s="1">
        <v>45735</v>
      </c>
      <c r="C3156" t="s">
        <v>7301</v>
      </c>
      <c r="E3156" t="s">
        <v>8225</v>
      </c>
      <c r="F3156" t="s">
        <v>7828</v>
      </c>
      <c r="H3156" t="s">
        <v>2537</v>
      </c>
      <c r="J3156">
        <v>6721</v>
      </c>
      <c r="L3156" t="s">
        <v>347</v>
      </c>
    </row>
    <row r="3157" spans="1:12" x14ac:dyDescent="0.35">
      <c r="A3157" t="s">
        <v>2337</v>
      </c>
      <c r="B3157" s="1">
        <v>45735</v>
      </c>
      <c r="C3157" t="s">
        <v>7303</v>
      </c>
      <c r="E3157" t="s">
        <v>8226</v>
      </c>
      <c r="F3157" t="s">
        <v>8052</v>
      </c>
      <c r="H3157" t="s">
        <v>2538</v>
      </c>
      <c r="K3157">
        <v>196000</v>
      </c>
      <c r="L3157" t="s">
        <v>6803</v>
      </c>
    </row>
    <row r="3158" spans="1:12" x14ac:dyDescent="0.35">
      <c r="A3158" t="s">
        <v>2337</v>
      </c>
      <c r="B3158" s="1">
        <v>45735</v>
      </c>
      <c r="C3158" t="s">
        <v>7303</v>
      </c>
      <c r="E3158" t="s">
        <v>8226</v>
      </c>
      <c r="F3158" t="s">
        <v>7905</v>
      </c>
      <c r="H3158" t="s">
        <v>2539</v>
      </c>
      <c r="J3158">
        <v>151000</v>
      </c>
      <c r="L3158" t="s">
        <v>5944</v>
      </c>
    </row>
    <row r="3159" spans="1:12" x14ac:dyDescent="0.35">
      <c r="A3159" t="s">
        <v>2337</v>
      </c>
      <c r="B3159" s="1">
        <v>45735</v>
      </c>
      <c r="C3159" t="s">
        <v>7303</v>
      </c>
      <c r="E3159" t="s">
        <v>8226</v>
      </c>
      <c r="F3159" t="s">
        <v>7908</v>
      </c>
      <c r="H3159" t="s">
        <v>2540</v>
      </c>
      <c r="J3159">
        <v>35000</v>
      </c>
      <c r="L3159" t="s">
        <v>5944</v>
      </c>
    </row>
    <row r="3160" spans="1:12" x14ac:dyDescent="0.35">
      <c r="A3160" t="s">
        <v>2337</v>
      </c>
      <c r="B3160" s="1">
        <v>45735</v>
      </c>
      <c r="C3160" t="s">
        <v>7303</v>
      </c>
      <c r="E3160" t="s">
        <v>8226</v>
      </c>
      <c r="F3160" t="s">
        <v>7934</v>
      </c>
      <c r="H3160" t="s">
        <v>2541</v>
      </c>
      <c r="J3160">
        <v>10000</v>
      </c>
      <c r="L3160" t="s">
        <v>5884</v>
      </c>
    </row>
    <row r="3161" spans="1:12" x14ac:dyDescent="0.35">
      <c r="A3161" t="s">
        <v>2337</v>
      </c>
      <c r="B3161" s="1">
        <v>45735</v>
      </c>
      <c r="C3161" t="s">
        <v>7305</v>
      </c>
      <c r="E3161" t="s">
        <v>8227</v>
      </c>
      <c r="F3161" t="s">
        <v>8052</v>
      </c>
      <c r="H3161" t="s">
        <v>2542</v>
      </c>
      <c r="K3161">
        <v>256900</v>
      </c>
      <c r="L3161" t="s">
        <v>6803</v>
      </c>
    </row>
    <row r="3162" spans="1:12" x14ac:dyDescent="0.35">
      <c r="A3162" t="s">
        <v>2337</v>
      </c>
      <c r="B3162" s="1">
        <v>45735</v>
      </c>
      <c r="C3162" t="s">
        <v>7305</v>
      </c>
      <c r="E3162" t="s">
        <v>8227</v>
      </c>
      <c r="F3162" t="s">
        <v>7905</v>
      </c>
      <c r="H3162" t="s">
        <v>2543</v>
      </c>
      <c r="J3162">
        <v>196000</v>
      </c>
      <c r="L3162" t="s">
        <v>5944</v>
      </c>
    </row>
    <row r="3163" spans="1:12" x14ac:dyDescent="0.35">
      <c r="A3163" t="s">
        <v>2337</v>
      </c>
      <c r="B3163" s="1">
        <v>45735</v>
      </c>
      <c r="C3163" t="s">
        <v>7305</v>
      </c>
      <c r="E3163" t="s">
        <v>8227</v>
      </c>
      <c r="F3163" t="s">
        <v>7908</v>
      </c>
      <c r="H3163" t="s">
        <v>2544</v>
      </c>
      <c r="J3163">
        <v>60900</v>
      </c>
      <c r="L3163" t="s">
        <v>5944</v>
      </c>
    </row>
    <row r="3164" spans="1:12" x14ac:dyDescent="0.35">
      <c r="A3164" t="s">
        <v>2337</v>
      </c>
      <c r="B3164" s="1">
        <v>45735</v>
      </c>
      <c r="C3164" t="s">
        <v>7307</v>
      </c>
      <c r="E3164" t="s">
        <v>8228</v>
      </c>
      <c r="F3164" t="s">
        <v>8052</v>
      </c>
      <c r="H3164" t="s">
        <v>2545</v>
      </c>
      <c r="K3164">
        <v>6400</v>
      </c>
      <c r="L3164" t="s">
        <v>6803</v>
      </c>
    </row>
    <row r="3165" spans="1:12" x14ac:dyDescent="0.35">
      <c r="A3165" t="s">
        <v>2337</v>
      </c>
      <c r="B3165" s="1">
        <v>45735</v>
      </c>
      <c r="C3165" t="s">
        <v>7307</v>
      </c>
      <c r="E3165" t="s">
        <v>8228</v>
      </c>
      <c r="F3165" t="s">
        <v>7983</v>
      </c>
      <c r="H3165" t="s">
        <v>2545</v>
      </c>
      <c r="J3165">
        <v>6400</v>
      </c>
      <c r="L3165" t="s">
        <v>5905</v>
      </c>
    </row>
    <row r="3166" spans="1:12" x14ac:dyDescent="0.35">
      <c r="A3166" t="s">
        <v>2337</v>
      </c>
      <c r="B3166" s="1">
        <v>45735</v>
      </c>
      <c r="C3166" t="s">
        <v>7309</v>
      </c>
      <c r="E3166" t="s">
        <v>8229</v>
      </c>
      <c r="F3166" t="s">
        <v>6804</v>
      </c>
      <c r="G3166" t="s">
        <v>6877</v>
      </c>
      <c r="H3166" t="s">
        <v>2546</v>
      </c>
      <c r="J3166">
        <v>96000</v>
      </c>
      <c r="L3166" t="s">
        <v>6803</v>
      </c>
    </row>
    <row r="3167" spans="1:12" x14ac:dyDescent="0.35">
      <c r="A3167" t="s">
        <v>2337</v>
      </c>
      <c r="B3167" s="1">
        <v>45735</v>
      </c>
      <c r="C3167" t="s">
        <v>7309</v>
      </c>
      <c r="E3167" t="s">
        <v>8229</v>
      </c>
      <c r="F3167" t="s">
        <v>7865</v>
      </c>
      <c r="H3167" t="s">
        <v>2546</v>
      </c>
      <c r="K3167">
        <v>1920</v>
      </c>
      <c r="L3167" t="s">
        <v>6803</v>
      </c>
    </row>
    <row r="3168" spans="1:12" x14ac:dyDescent="0.35">
      <c r="A3168" t="s">
        <v>2337</v>
      </c>
      <c r="B3168" s="1">
        <v>45735</v>
      </c>
      <c r="C3168" t="s">
        <v>7309</v>
      </c>
      <c r="E3168" t="s">
        <v>8229</v>
      </c>
      <c r="F3168" t="s">
        <v>8052</v>
      </c>
      <c r="H3168" t="s">
        <v>2546</v>
      </c>
      <c r="K3168">
        <v>94080</v>
      </c>
      <c r="L3168" t="s">
        <v>6803</v>
      </c>
    </row>
    <row r="3169" spans="1:12" x14ac:dyDescent="0.35">
      <c r="A3169" t="s">
        <v>2337</v>
      </c>
      <c r="B3169" s="1">
        <v>45735</v>
      </c>
      <c r="C3169" t="s">
        <v>7311</v>
      </c>
      <c r="E3169" t="s">
        <v>8230</v>
      </c>
      <c r="F3169" t="s">
        <v>6804</v>
      </c>
      <c r="G3169" t="s">
        <v>6877</v>
      </c>
      <c r="H3169" t="s">
        <v>2547</v>
      </c>
      <c r="J3169">
        <v>48000</v>
      </c>
      <c r="L3169" t="s">
        <v>6803</v>
      </c>
    </row>
    <row r="3170" spans="1:12" x14ac:dyDescent="0.35">
      <c r="A3170" t="s">
        <v>2337</v>
      </c>
      <c r="B3170" s="1">
        <v>45735</v>
      </c>
      <c r="C3170" t="s">
        <v>7311</v>
      </c>
      <c r="E3170" t="s">
        <v>8230</v>
      </c>
      <c r="F3170" t="s">
        <v>7865</v>
      </c>
      <c r="H3170" t="s">
        <v>2547</v>
      </c>
      <c r="K3170">
        <v>960</v>
      </c>
      <c r="L3170" t="s">
        <v>6803</v>
      </c>
    </row>
    <row r="3171" spans="1:12" x14ac:dyDescent="0.35">
      <c r="A3171" t="s">
        <v>2337</v>
      </c>
      <c r="B3171" s="1">
        <v>45735</v>
      </c>
      <c r="C3171" t="s">
        <v>7311</v>
      </c>
      <c r="E3171" t="s">
        <v>8230</v>
      </c>
      <c r="F3171" t="s">
        <v>8052</v>
      </c>
      <c r="H3171" t="s">
        <v>2547</v>
      </c>
      <c r="K3171">
        <v>47040</v>
      </c>
      <c r="L3171" t="s">
        <v>6803</v>
      </c>
    </row>
    <row r="3172" spans="1:12" x14ac:dyDescent="0.35">
      <c r="A3172" t="s">
        <v>2337</v>
      </c>
      <c r="B3172" s="1">
        <v>45736</v>
      </c>
      <c r="C3172" t="s">
        <v>7313</v>
      </c>
      <c r="E3172" t="s">
        <v>8231</v>
      </c>
      <c r="F3172" t="s">
        <v>8052</v>
      </c>
      <c r="H3172" t="s">
        <v>2548</v>
      </c>
      <c r="K3172">
        <v>115000</v>
      </c>
      <c r="L3172" t="s">
        <v>6803</v>
      </c>
    </row>
    <row r="3173" spans="1:12" x14ac:dyDescent="0.35">
      <c r="A3173" t="s">
        <v>2337</v>
      </c>
      <c r="B3173" s="1">
        <v>45736</v>
      </c>
      <c r="C3173" t="s">
        <v>7313</v>
      </c>
      <c r="E3173" t="s">
        <v>8231</v>
      </c>
      <c r="F3173" t="s">
        <v>7928</v>
      </c>
      <c r="H3173" t="s">
        <v>2549</v>
      </c>
      <c r="J3173">
        <v>100000</v>
      </c>
      <c r="L3173" t="s">
        <v>5878</v>
      </c>
    </row>
    <row r="3174" spans="1:12" x14ac:dyDescent="0.35">
      <c r="A3174" t="s">
        <v>2337</v>
      </c>
      <c r="B3174" s="1">
        <v>45736</v>
      </c>
      <c r="C3174" t="s">
        <v>7313</v>
      </c>
      <c r="E3174" t="s">
        <v>8231</v>
      </c>
      <c r="F3174" t="s">
        <v>7568</v>
      </c>
      <c r="H3174" t="s">
        <v>2550</v>
      </c>
      <c r="J3174">
        <v>15000</v>
      </c>
      <c r="L3174" t="s">
        <v>5951</v>
      </c>
    </row>
    <row r="3175" spans="1:12" x14ac:dyDescent="0.35">
      <c r="A3175" t="s">
        <v>2337</v>
      </c>
      <c r="B3175" s="1">
        <v>45736</v>
      </c>
      <c r="C3175" t="s">
        <v>7052</v>
      </c>
      <c r="E3175" t="s">
        <v>8232</v>
      </c>
      <c r="F3175" t="s">
        <v>8052</v>
      </c>
      <c r="H3175" t="s">
        <v>2551</v>
      </c>
      <c r="K3175">
        <v>10000</v>
      </c>
      <c r="L3175" t="s">
        <v>6803</v>
      </c>
    </row>
    <row r="3176" spans="1:12" x14ac:dyDescent="0.35">
      <c r="A3176" t="s">
        <v>2337</v>
      </c>
      <c r="B3176" s="1">
        <v>45736</v>
      </c>
      <c r="C3176" t="s">
        <v>7052</v>
      </c>
      <c r="E3176" t="s">
        <v>8232</v>
      </c>
      <c r="F3176" t="s">
        <v>7928</v>
      </c>
      <c r="H3176" t="s">
        <v>2551</v>
      </c>
      <c r="J3176">
        <v>10000</v>
      </c>
      <c r="L3176" t="s">
        <v>5928</v>
      </c>
    </row>
    <row r="3177" spans="1:12" x14ac:dyDescent="0.35">
      <c r="A3177" t="s">
        <v>2337</v>
      </c>
      <c r="B3177" s="1">
        <v>45736</v>
      </c>
      <c r="C3177" t="s">
        <v>7315</v>
      </c>
      <c r="E3177" t="s">
        <v>8233</v>
      </c>
      <c r="F3177" t="s">
        <v>8052</v>
      </c>
      <c r="H3177" t="s">
        <v>2552</v>
      </c>
      <c r="K3177">
        <v>15000</v>
      </c>
      <c r="L3177" t="s">
        <v>6803</v>
      </c>
    </row>
    <row r="3178" spans="1:12" x14ac:dyDescent="0.35">
      <c r="A3178" t="s">
        <v>2337</v>
      </c>
      <c r="B3178" s="1">
        <v>45736</v>
      </c>
      <c r="C3178" t="s">
        <v>7315</v>
      </c>
      <c r="E3178" t="s">
        <v>8233</v>
      </c>
      <c r="F3178" t="s">
        <v>7983</v>
      </c>
      <c r="H3178" t="s">
        <v>2552</v>
      </c>
      <c r="J3178">
        <v>15000</v>
      </c>
      <c r="L3178" t="s">
        <v>5905</v>
      </c>
    </row>
    <row r="3179" spans="1:12" x14ac:dyDescent="0.35">
      <c r="A3179" t="s">
        <v>2337</v>
      </c>
      <c r="B3179" s="1">
        <v>45736</v>
      </c>
      <c r="C3179" t="s">
        <v>8234</v>
      </c>
      <c r="E3179" t="s">
        <v>8235</v>
      </c>
      <c r="F3179" t="s">
        <v>8052</v>
      </c>
      <c r="H3179" t="s">
        <v>2553</v>
      </c>
      <c r="K3179">
        <v>9000</v>
      </c>
      <c r="L3179" t="s">
        <v>6803</v>
      </c>
    </row>
    <row r="3180" spans="1:12" x14ac:dyDescent="0.35">
      <c r="A3180" t="s">
        <v>2337</v>
      </c>
      <c r="B3180" s="1">
        <v>45736</v>
      </c>
      <c r="C3180" t="s">
        <v>8234</v>
      </c>
      <c r="E3180" t="s">
        <v>8235</v>
      </c>
      <c r="F3180" t="s">
        <v>7983</v>
      </c>
      <c r="H3180" t="s">
        <v>2553</v>
      </c>
      <c r="J3180">
        <v>9000</v>
      </c>
      <c r="L3180" t="s">
        <v>5905</v>
      </c>
    </row>
    <row r="3181" spans="1:12" x14ac:dyDescent="0.35">
      <c r="A3181" t="s">
        <v>2337</v>
      </c>
      <c r="B3181" s="1">
        <v>45736</v>
      </c>
      <c r="C3181" t="s">
        <v>8236</v>
      </c>
      <c r="E3181" t="s">
        <v>8237</v>
      </c>
      <c r="F3181" t="s">
        <v>8052</v>
      </c>
      <c r="H3181" t="s">
        <v>2554</v>
      </c>
      <c r="K3181">
        <v>150000</v>
      </c>
      <c r="L3181" t="s">
        <v>6803</v>
      </c>
    </row>
    <row r="3182" spans="1:12" x14ac:dyDescent="0.35">
      <c r="A3182" t="s">
        <v>2337</v>
      </c>
      <c r="B3182" s="1">
        <v>45736</v>
      </c>
      <c r="C3182" t="s">
        <v>8236</v>
      </c>
      <c r="E3182" t="s">
        <v>8237</v>
      </c>
      <c r="F3182" t="s">
        <v>8063</v>
      </c>
      <c r="H3182" t="s">
        <v>2554</v>
      </c>
      <c r="J3182">
        <v>150000</v>
      </c>
      <c r="L3182" t="s">
        <v>348</v>
      </c>
    </row>
    <row r="3183" spans="1:12" x14ac:dyDescent="0.35">
      <c r="A3183" t="s">
        <v>2337</v>
      </c>
      <c r="B3183" s="1">
        <v>45736</v>
      </c>
      <c r="C3183" t="s">
        <v>8238</v>
      </c>
      <c r="E3183" t="s">
        <v>8239</v>
      </c>
      <c r="F3183" t="s">
        <v>8052</v>
      </c>
      <c r="H3183" t="s">
        <v>2555</v>
      </c>
      <c r="K3183">
        <v>10000</v>
      </c>
      <c r="L3183" t="s">
        <v>6803</v>
      </c>
    </row>
    <row r="3184" spans="1:12" x14ac:dyDescent="0.35">
      <c r="A3184" t="s">
        <v>2337</v>
      </c>
      <c r="B3184" s="1">
        <v>45736</v>
      </c>
      <c r="C3184" t="s">
        <v>8238</v>
      </c>
      <c r="E3184" t="s">
        <v>8239</v>
      </c>
      <c r="F3184" t="s">
        <v>7928</v>
      </c>
      <c r="H3184" t="s">
        <v>2555</v>
      </c>
      <c r="J3184">
        <v>10000</v>
      </c>
      <c r="L3184" t="s">
        <v>5941</v>
      </c>
    </row>
    <row r="3185" spans="1:12" x14ac:dyDescent="0.35">
      <c r="A3185" t="s">
        <v>2337</v>
      </c>
      <c r="B3185" s="1">
        <v>45736</v>
      </c>
      <c r="C3185" t="s">
        <v>8240</v>
      </c>
      <c r="E3185" t="s">
        <v>8241</v>
      </c>
      <c r="F3185" t="s">
        <v>8052</v>
      </c>
      <c r="H3185" t="s">
        <v>2556</v>
      </c>
      <c r="K3185">
        <v>15000</v>
      </c>
      <c r="L3185" t="s">
        <v>6803</v>
      </c>
    </row>
    <row r="3186" spans="1:12" x14ac:dyDescent="0.35">
      <c r="A3186" t="s">
        <v>2337</v>
      </c>
      <c r="B3186" s="1">
        <v>45736</v>
      </c>
      <c r="C3186" t="s">
        <v>8240</v>
      </c>
      <c r="E3186" t="s">
        <v>8241</v>
      </c>
      <c r="F3186" t="s">
        <v>7928</v>
      </c>
      <c r="H3186" t="s">
        <v>2556</v>
      </c>
      <c r="J3186">
        <v>15000</v>
      </c>
      <c r="L3186" t="s">
        <v>5941</v>
      </c>
    </row>
    <row r="3187" spans="1:12" x14ac:dyDescent="0.35">
      <c r="A3187" t="s">
        <v>2337</v>
      </c>
      <c r="B3187" s="1">
        <v>45736</v>
      </c>
      <c r="C3187" t="s">
        <v>8242</v>
      </c>
      <c r="E3187" t="s">
        <v>8243</v>
      </c>
      <c r="F3187" t="s">
        <v>8052</v>
      </c>
      <c r="H3187" t="s">
        <v>2488</v>
      </c>
      <c r="K3187">
        <v>53500</v>
      </c>
      <c r="L3187" t="s">
        <v>6803</v>
      </c>
    </row>
    <row r="3188" spans="1:12" x14ac:dyDescent="0.35">
      <c r="A3188" t="s">
        <v>2337</v>
      </c>
      <c r="B3188" s="1">
        <v>45736</v>
      </c>
      <c r="C3188" t="s">
        <v>8242</v>
      </c>
      <c r="E3188" t="s">
        <v>8243</v>
      </c>
      <c r="F3188" t="s">
        <v>8063</v>
      </c>
      <c r="H3188" t="s">
        <v>2488</v>
      </c>
      <c r="J3188">
        <v>53500</v>
      </c>
      <c r="L3188" t="s">
        <v>5931</v>
      </c>
    </row>
    <row r="3189" spans="1:12" x14ac:dyDescent="0.35">
      <c r="A3189" t="s">
        <v>2337</v>
      </c>
      <c r="B3189" s="1">
        <v>45736</v>
      </c>
      <c r="C3189" t="s">
        <v>8244</v>
      </c>
      <c r="E3189" t="s">
        <v>8245</v>
      </c>
      <c r="F3189" t="s">
        <v>6804</v>
      </c>
      <c r="G3189" t="s">
        <v>7169</v>
      </c>
      <c r="H3189" t="s">
        <v>2557</v>
      </c>
      <c r="J3189">
        <v>150000</v>
      </c>
      <c r="L3189" t="s">
        <v>6803</v>
      </c>
    </row>
    <row r="3190" spans="1:12" x14ac:dyDescent="0.35">
      <c r="A3190" t="s">
        <v>2337</v>
      </c>
      <c r="B3190" s="1">
        <v>45736</v>
      </c>
      <c r="C3190" t="s">
        <v>8244</v>
      </c>
      <c r="E3190" t="s">
        <v>8245</v>
      </c>
      <c r="F3190" t="s">
        <v>8052</v>
      </c>
      <c r="H3190" t="s">
        <v>2557</v>
      </c>
      <c r="K3190">
        <v>150000</v>
      </c>
      <c r="L3190" t="s">
        <v>6803</v>
      </c>
    </row>
    <row r="3191" spans="1:12" x14ac:dyDescent="0.35">
      <c r="A3191" t="s">
        <v>2337</v>
      </c>
      <c r="B3191" s="1">
        <v>45736</v>
      </c>
      <c r="C3191" t="s">
        <v>8246</v>
      </c>
      <c r="E3191" t="s">
        <v>8247</v>
      </c>
      <c r="F3191" t="s">
        <v>8052</v>
      </c>
      <c r="H3191" t="s">
        <v>2558</v>
      </c>
      <c r="K3191">
        <v>55000</v>
      </c>
      <c r="L3191" t="s">
        <v>6803</v>
      </c>
    </row>
    <row r="3192" spans="1:12" x14ac:dyDescent="0.35">
      <c r="A3192" t="s">
        <v>2337</v>
      </c>
      <c r="B3192" s="1">
        <v>45736</v>
      </c>
      <c r="C3192" t="s">
        <v>8246</v>
      </c>
      <c r="E3192" t="s">
        <v>8247</v>
      </c>
      <c r="F3192" t="s">
        <v>7556</v>
      </c>
      <c r="H3192" t="s">
        <v>2558</v>
      </c>
      <c r="J3192">
        <v>55000</v>
      </c>
      <c r="L3192" t="s">
        <v>5951</v>
      </c>
    </row>
    <row r="3193" spans="1:12" x14ac:dyDescent="0.35">
      <c r="A3193" t="s">
        <v>2337</v>
      </c>
      <c r="B3193" s="1">
        <v>45737</v>
      </c>
      <c r="C3193" t="s">
        <v>8248</v>
      </c>
      <c r="E3193" t="s">
        <v>8249</v>
      </c>
      <c r="F3193" t="s">
        <v>8052</v>
      </c>
      <c r="H3193" t="s">
        <v>2559</v>
      </c>
      <c r="K3193">
        <v>95250</v>
      </c>
      <c r="L3193" t="s">
        <v>6803</v>
      </c>
    </row>
    <row r="3194" spans="1:12" x14ac:dyDescent="0.35">
      <c r="A3194" t="s">
        <v>2337</v>
      </c>
      <c r="B3194" s="1">
        <v>45737</v>
      </c>
      <c r="C3194" t="s">
        <v>8248</v>
      </c>
      <c r="E3194" t="s">
        <v>8249</v>
      </c>
      <c r="F3194" t="s">
        <v>7902</v>
      </c>
      <c r="H3194" t="s">
        <v>2560</v>
      </c>
      <c r="J3194">
        <v>43750</v>
      </c>
      <c r="L3194" t="s">
        <v>5879</v>
      </c>
    </row>
    <row r="3195" spans="1:12" x14ac:dyDescent="0.35">
      <c r="A3195" t="s">
        <v>2337</v>
      </c>
      <c r="B3195" s="1">
        <v>45737</v>
      </c>
      <c r="C3195" t="s">
        <v>8248</v>
      </c>
      <c r="E3195" t="s">
        <v>8249</v>
      </c>
      <c r="F3195" t="s">
        <v>7905</v>
      </c>
      <c r="H3195" t="s">
        <v>2561</v>
      </c>
      <c r="J3195">
        <v>6000</v>
      </c>
      <c r="L3195" t="s">
        <v>5944</v>
      </c>
    </row>
    <row r="3196" spans="1:12" x14ac:dyDescent="0.35">
      <c r="A3196" t="s">
        <v>2337</v>
      </c>
      <c r="B3196" s="1">
        <v>45737</v>
      </c>
      <c r="C3196" t="s">
        <v>8248</v>
      </c>
      <c r="E3196" t="s">
        <v>8249</v>
      </c>
      <c r="F3196" t="s">
        <v>7928</v>
      </c>
      <c r="H3196" t="s">
        <v>2562</v>
      </c>
      <c r="J3196">
        <v>35000</v>
      </c>
      <c r="L3196" t="s">
        <v>5932</v>
      </c>
    </row>
    <row r="3197" spans="1:12" x14ac:dyDescent="0.35">
      <c r="A3197" t="s">
        <v>2337</v>
      </c>
      <c r="B3197" s="1">
        <v>45737</v>
      </c>
      <c r="C3197" t="s">
        <v>8248</v>
      </c>
      <c r="E3197" t="s">
        <v>8249</v>
      </c>
      <c r="F3197" t="s">
        <v>7908</v>
      </c>
      <c r="H3197" t="s">
        <v>2563</v>
      </c>
      <c r="J3197">
        <v>10500</v>
      </c>
      <c r="L3197" t="s">
        <v>5944</v>
      </c>
    </row>
    <row r="3198" spans="1:12" x14ac:dyDescent="0.35">
      <c r="A3198" t="s">
        <v>2337</v>
      </c>
      <c r="B3198" s="1">
        <v>45737</v>
      </c>
      <c r="C3198" t="s">
        <v>8250</v>
      </c>
      <c r="E3198" t="s">
        <v>8251</v>
      </c>
      <c r="F3198" t="s">
        <v>8052</v>
      </c>
      <c r="H3198" t="s">
        <v>2564</v>
      </c>
      <c r="K3198">
        <v>10000</v>
      </c>
      <c r="L3198" t="s">
        <v>6803</v>
      </c>
    </row>
    <row r="3199" spans="1:12" x14ac:dyDescent="0.35">
      <c r="A3199" t="s">
        <v>2337</v>
      </c>
      <c r="B3199" s="1">
        <v>45737</v>
      </c>
      <c r="C3199" t="s">
        <v>8250</v>
      </c>
      <c r="E3199" t="s">
        <v>8251</v>
      </c>
      <c r="F3199" t="s">
        <v>7928</v>
      </c>
      <c r="H3199" t="s">
        <v>2564</v>
      </c>
      <c r="J3199">
        <v>10000</v>
      </c>
      <c r="L3199" t="s">
        <v>5938</v>
      </c>
    </row>
    <row r="3200" spans="1:12" x14ac:dyDescent="0.35">
      <c r="A3200" t="s">
        <v>2337</v>
      </c>
      <c r="B3200" s="1">
        <v>45737</v>
      </c>
      <c r="C3200" t="s">
        <v>8252</v>
      </c>
      <c r="E3200" t="s">
        <v>8253</v>
      </c>
      <c r="F3200" t="s">
        <v>8052</v>
      </c>
      <c r="H3200" t="s">
        <v>2565</v>
      </c>
      <c r="K3200">
        <v>49000</v>
      </c>
      <c r="L3200" t="s">
        <v>6803</v>
      </c>
    </row>
    <row r="3201" spans="1:12" x14ac:dyDescent="0.35">
      <c r="A3201" t="s">
        <v>2337</v>
      </c>
      <c r="B3201" s="1">
        <v>45737</v>
      </c>
      <c r="C3201" t="s">
        <v>8252</v>
      </c>
      <c r="E3201" t="s">
        <v>8253</v>
      </c>
      <c r="F3201" t="s">
        <v>7928</v>
      </c>
      <c r="H3201" t="s">
        <v>2566</v>
      </c>
      <c r="J3201">
        <v>5000</v>
      </c>
      <c r="L3201" t="s">
        <v>5928</v>
      </c>
    </row>
    <row r="3202" spans="1:12" x14ac:dyDescent="0.35">
      <c r="A3202" t="s">
        <v>2337</v>
      </c>
      <c r="B3202" s="1">
        <v>45737</v>
      </c>
      <c r="C3202" t="s">
        <v>8252</v>
      </c>
      <c r="E3202" t="s">
        <v>8253</v>
      </c>
      <c r="F3202" t="s">
        <v>7908</v>
      </c>
      <c r="H3202" t="s">
        <v>2383</v>
      </c>
      <c r="J3202">
        <v>44000</v>
      </c>
      <c r="L3202" t="s">
        <v>5945</v>
      </c>
    </row>
    <row r="3203" spans="1:12" x14ac:dyDescent="0.35">
      <c r="A3203" t="s">
        <v>2337</v>
      </c>
      <c r="B3203" s="1">
        <v>45737</v>
      </c>
      <c r="C3203" t="s">
        <v>8254</v>
      </c>
      <c r="E3203" t="s">
        <v>8255</v>
      </c>
      <c r="F3203" t="s">
        <v>6804</v>
      </c>
      <c r="G3203" t="s">
        <v>1584</v>
      </c>
      <c r="H3203" t="s">
        <v>2567</v>
      </c>
      <c r="J3203">
        <v>100000</v>
      </c>
      <c r="L3203" t="s">
        <v>6803</v>
      </c>
    </row>
    <row r="3204" spans="1:12" x14ac:dyDescent="0.35">
      <c r="A3204" t="s">
        <v>2337</v>
      </c>
      <c r="B3204" s="1">
        <v>45737</v>
      </c>
      <c r="C3204" t="s">
        <v>8254</v>
      </c>
      <c r="E3204" t="s">
        <v>8255</v>
      </c>
      <c r="F3204" t="s">
        <v>8052</v>
      </c>
      <c r="H3204" t="s">
        <v>2567</v>
      </c>
      <c r="K3204">
        <v>100000</v>
      </c>
      <c r="L3204" t="s">
        <v>6803</v>
      </c>
    </row>
    <row r="3205" spans="1:12" x14ac:dyDescent="0.35">
      <c r="A3205" t="s">
        <v>2337</v>
      </c>
      <c r="B3205" s="1">
        <v>45737</v>
      </c>
      <c r="C3205" t="s">
        <v>8256</v>
      </c>
      <c r="E3205" t="s">
        <v>8257</v>
      </c>
      <c r="F3205" t="s">
        <v>8052</v>
      </c>
      <c r="H3205" t="s">
        <v>2568</v>
      </c>
      <c r="K3205">
        <v>432500</v>
      </c>
      <c r="L3205" t="s">
        <v>6803</v>
      </c>
    </row>
    <row r="3206" spans="1:12" x14ac:dyDescent="0.35">
      <c r="A3206" t="s">
        <v>2337</v>
      </c>
      <c r="B3206" s="1">
        <v>45737</v>
      </c>
      <c r="C3206" t="s">
        <v>8256</v>
      </c>
      <c r="E3206" t="s">
        <v>8257</v>
      </c>
      <c r="F3206" t="s">
        <v>7928</v>
      </c>
      <c r="H3206" t="s">
        <v>2569</v>
      </c>
      <c r="J3206">
        <v>339000</v>
      </c>
      <c r="L3206" t="s">
        <v>5928</v>
      </c>
    </row>
    <row r="3207" spans="1:12" x14ac:dyDescent="0.35">
      <c r="A3207" t="s">
        <v>2337</v>
      </c>
      <c r="B3207" s="1">
        <v>45737</v>
      </c>
      <c r="C3207" t="s">
        <v>8256</v>
      </c>
      <c r="E3207" t="s">
        <v>8257</v>
      </c>
      <c r="F3207" t="s">
        <v>7928</v>
      </c>
      <c r="H3207" t="s">
        <v>2570</v>
      </c>
      <c r="J3207">
        <v>10000</v>
      </c>
      <c r="L3207" t="s">
        <v>5928</v>
      </c>
    </row>
    <row r="3208" spans="1:12" x14ac:dyDescent="0.35">
      <c r="A3208" t="s">
        <v>2337</v>
      </c>
      <c r="B3208" s="1">
        <v>45737</v>
      </c>
      <c r="C3208" t="s">
        <v>8256</v>
      </c>
      <c r="E3208" t="s">
        <v>8257</v>
      </c>
      <c r="F3208" t="s">
        <v>8154</v>
      </c>
      <c r="H3208" t="s">
        <v>2571</v>
      </c>
      <c r="J3208">
        <v>10000</v>
      </c>
      <c r="L3208" t="s">
        <v>5928</v>
      </c>
    </row>
    <row r="3209" spans="1:12" x14ac:dyDescent="0.35">
      <c r="A3209" t="s">
        <v>2337</v>
      </c>
      <c r="B3209" s="1">
        <v>45737</v>
      </c>
      <c r="C3209" t="s">
        <v>8256</v>
      </c>
      <c r="E3209" t="s">
        <v>8257</v>
      </c>
      <c r="F3209" t="s">
        <v>7908</v>
      </c>
      <c r="H3209" t="s">
        <v>2572</v>
      </c>
      <c r="J3209">
        <v>66500</v>
      </c>
      <c r="L3209" t="s">
        <v>5945</v>
      </c>
    </row>
    <row r="3210" spans="1:12" x14ac:dyDescent="0.35">
      <c r="A3210" t="s">
        <v>2337</v>
      </c>
      <c r="B3210" s="1">
        <v>45737</v>
      </c>
      <c r="C3210" t="s">
        <v>8256</v>
      </c>
      <c r="E3210" t="s">
        <v>8257</v>
      </c>
      <c r="F3210" t="s">
        <v>7934</v>
      </c>
      <c r="H3210" t="s">
        <v>2573</v>
      </c>
      <c r="J3210">
        <v>7000</v>
      </c>
      <c r="L3210" t="s">
        <v>5928</v>
      </c>
    </row>
    <row r="3211" spans="1:12" x14ac:dyDescent="0.35">
      <c r="A3211" t="s">
        <v>2337</v>
      </c>
      <c r="B3211" s="1">
        <v>45737</v>
      </c>
      <c r="C3211" t="s">
        <v>8258</v>
      </c>
      <c r="E3211" t="s">
        <v>8259</v>
      </c>
      <c r="F3211" t="s">
        <v>8052</v>
      </c>
      <c r="H3211" t="s">
        <v>2574</v>
      </c>
      <c r="K3211">
        <v>55000</v>
      </c>
      <c r="L3211" t="s">
        <v>6803</v>
      </c>
    </row>
    <row r="3212" spans="1:12" x14ac:dyDescent="0.35">
      <c r="A3212" t="s">
        <v>2337</v>
      </c>
      <c r="B3212" s="1">
        <v>45737</v>
      </c>
      <c r="C3212" t="s">
        <v>8258</v>
      </c>
      <c r="E3212" t="s">
        <v>8259</v>
      </c>
      <c r="F3212" t="s">
        <v>7615</v>
      </c>
      <c r="H3212" t="s">
        <v>2574</v>
      </c>
      <c r="J3212">
        <v>55000</v>
      </c>
      <c r="L3212" t="s">
        <v>5928</v>
      </c>
    </row>
    <row r="3213" spans="1:12" x14ac:dyDescent="0.35">
      <c r="A3213" t="s">
        <v>2337</v>
      </c>
      <c r="B3213" s="1">
        <v>45737</v>
      </c>
      <c r="C3213" t="s">
        <v>8260</v>
      </c>
      <c r="E3213" t="s">
        <v>8261</v>
      </c>
      <c r="F3213" t="s">
        <v>8052</v>
      </c>
      <c r="H3213" t="s">
        <v>2575</v>
      </c>
      <c r="K3213">
        <v>282000</v>
      </c>
      <c r="L3213" t="s">
        <v>6803</v>
      </c>
    </row>
    <row r="3214" spans="1:12" x14ac:dyDescent="0.35">
      <c r="A3214" t="s">
        <v>2337</v>
      </c>
      <c r="B3214" s="1">
        <v>45737</v>
      </c>
      <c r="C3214" t="s">
        <v>8260</v>
      </c>
      <c r="E3214" t="s">
        <v>8261</v>
      </c>
      <c r="F3214" t="s">
        <v>7339</v>
      </c>
      <c r="H3214" t="s">
        <v>2575</v>
      </c>
      <c r="J3214">
        <v>252000</v>
      </c>
      <c r="L3214" t="s">
        <v>5896</v>
      </c>
    </row>
    <row r="3215" spans="1:12" x14ac:dyDescent="0.35">
      <c r="A3215" t="s">
        <v>2337</v>
      </c>
      <c r="B3215" s="1">
        <v>45737</v>
      </c>
      <c r="C3215" t="s">
        <v>8260</v>
      </c>
      <c r="E3215" t="s">
        <v>8261</v>
      </c>
      <c r="F3215" t="s">
        <v>7934</v>
      </c>
      <c r="H3215" t="s">
        <v>2576</v>
      </c>
      <c r="J3215">
        <v>30000</v>
      </c>
      <c r="L3215" t="s">
        <v>5932</v>
      </c>
    </row>
    <row r="3216" spans="1:12" x14ac:dyDescent="0.35">
      <c r="A3216" t="s">
        <v>2337</v>
      </c>
      <c r="B3216" s="1">
        <v>45737</v>
      </c>
      <c r="C3216" t="s">
        <v>8262</v>
      </c>
      <c r="E3216" t="s">
        <v>8263</v>
      </c>
      <c r="F3216" t="s">
        <v>8052</v>
      </c>
      <c r="H3216" t="s">
        <v>2577</v>
      </c>
      <c r="K3216">
        <v>180390</v>
      </c>
      <c r="L3216" t="s">
        <v>6803</v>
      </c>
    </row>
    <row r="3217" spans="1:12" x14ac:dyDescent="0.35">
      <c r="A3217" t="s">
        <v>2337</v>
      </c>
      <c r="B3217" s="1">
        <v>45737</v>
      </c>
      <c r="C3217" t="s">
        <v>8262</v>
      </c>
      <c r="E3217" t="s">
        <v>8263</v>
      </c>
      <c r="F3217" t="s">
        <v>7902</v>
      </c>
      <c r="H3217" t="s">
        <v>2578</v>
      </c>
      <c r="J3217">
        <v>32890</v>
      </c>
      <c r="L3217" t="s">
        <v>5952</v>
      </c>
    </row>
    <row r="3218" spans="1:12" x14ac:dyDescent="0.35">
      <c r="A3218" t="s">
        <v>2337</v>
      </c>
      <c r="B3218" s="1">
        <v>45737</v>
      </c>
      <c r="C3218" t="s">
        <v>8262</v>
      </c>
      <c r="E3218" t="s">
        <v>8263</v>
      </c>
      <c r="F3218" t="s">
        <v>7905</v>
      </c>
      <c r="H3218" t="s">
        <v>2577</v>
      </c>
      <c r="J3218">
        <v>122000</v>
      </c>
      <c r="L3218" t="s">
        <v>5952</v>
      </c>
    </row>
    <row r="3219" spans="1:12" x14ac:dyDescent="0.35">
      <c r="A3219" t="s">
        <v>2337</v>
      </c>
      <c r="B3219" s="1">
        <v>45737</v>
      </c>
      <c r="C3219" t="s">
        <v>8262</v>
      </c>
      <c r="E3219" t="s">
        <v>8263</v>
      </c>
      <c r="F3219" t="s">
        <v>7908</v>
      </c>
      <c r="H3219" t="s">
        <v>2579</v>
      </c>
      <c r="J3219">
        <v>25500</v>
      </c>
      <c r="L3219" t="s">
        <v>5952</v>
      </c>
    </row>
    <row r="3220" spans="1:12" x14ac:dyDescent="0.35">
      <c r="A3220" t="s">
        <v>2337</v>
      </c>
      <c r="B3220" s="1">
        <v>45737</v>
      </c>
      <c r="C3220" t="s">
        <v>8264</v>
      </c>
      <c r="E3220" t="s">
        <v>8265</v>
      </c>
      <c r="F3220" t="s">
        <v>8052</v>
      </c>
      <c r="H3220" t="s">
        <v>2580</v>
      </c>
      <c r="K3220">
        <v>132000</v>
      </c>
      <c r="L3220" t="s">
        <v>6803</v>
      </c>
    </row>
    <row r="3221" spans="1:12" x14ac:dyDescent="0.35">
      <c r="A3221" t="s">
        <v>2337</v>
      </c>
      <c r="B3221" s="1">
        <v>45737</v>
      </c>
      <c r="C3221" t="s">
        <v>8264</v>
      </c>
      <c r="E3221" t="s">
        <v>8265</v>
      </c>
      <c r="F3221" t="s">
        <v>7928</v>
      </c>
      <c r="H3221" t="s">
        <v>2580</v>
      </c>
      <c r="J3221">
        <v>132000</v>
      </c>
      <c r="L3221" t="s">
        <v>5883</v>
      </c>
    </row>
    <row r="3222" spans="1:12" x14ac:dyDescent="0.35">
      <c r="A3222" t="s">
        <v>2337</v>
      </c>
      <c r="B3222" s="1">
        <v>45737</v>
      </c>
      <c r="C3222" t="s">
        <v>8266</v>
      </c>
      <c r="E3222" t="s">
        <v>8267</v>
      </c>
      <c r="F3222" t="s">
        <v>8052</v>
      </c>
      <c r="H3222" t="s">
        <v>2435</v>
      </c>
      <c r="K3222">
        <v>10000</v>
      </c>
      <c r="L3222" t="s">
        <v>6803</v>
      </c>
    </row>
    <row r="3223" spans="1:12" x14ac:dyDescent="0.35">
      <c r="A3223" t="s">
        <v>2337</v>
      </c>
      <c r="B3223" s="1">
        <v>45737</v>
      </c>
      <c r="C3223" t="s">
        <v>8266</v>
      </c>
      <c r="E3223" t="s">
        <v>8267</v>
      </c>
      <c r="F3223" t="s">
        <v>7928</v>
      </c>
      <c r="H3223" t="s">
        <v>2435</v>
      </c>
      <c r="J3223">
        <v>10000</v>
      </c>
      <c r="L3223" t="s">
        <v>5873</v>
      </c>
    </row>
    <row r="3224" spans="1:12" x14ac:dyDescent="0.35">
      <c r="A3224" t="s">
        <v>2337</v>
      </c>
      <c r="B3224" s="1">
        <v>45737</v>
      </c>
      <c r="C3224" t="s">
        <v>8268</v>
      </c>
      <c r="E3224" t="s">
        <v>8269</v>
      </c>
      <c r="F3224" t="s">
        <v>8052</v>
      </c>
      <c r="H3224" t="s">
        <v>2581</v>
      </c>
      <c r="K3224">
        <v>15000</v>
      </c>
      <c r="L3224" t="s">
        <v>6803</v>
      </c>
    </row>
    <row r="3225" spans="1:12" x14ac:dyDescent="0.35">
      <c r="A3225" t="s">
        <v>2337</v>
      </c>
      <c r="B3225" s="1">
        <v>45737</v>
      </c>
      <c r="C3225" t="s">
        <v>8268</v>
      </c>
      <c r="E3225" t="s">
        <v>8269</v>
      </c>
      <c r="F3225" t="s">
        <v>7928</v>
      </c>
      <c r="H3225" t="s">
        <v>2581</v>
      </c>
      <c r="J3225">
        <v>15000</v>
      </c>
      <c r="L3225" t="s">
        <v>5948</v>
      </c>
    </row>
    <row r="3226" spans="1:12" x14ac:dyDescent="0.35">
      <c r="A3226" t="s">
        <v>2337</v>
      </c>
      <c r="B3226" s="1">
        <v>45737</v>
      </c>
      <c r="C3226" t="s">
        <v>8270</v>
      </c>
      <c r="E3226" t="s">
        <v>8271</v>
      </c>
      <c r="F3226" t="s">
        <v>8052</v>
      </c>
      <c r="H3226" t="s">
        <v>2582</v>
      </c>
      <c r="K3226">
        <v>140000</v>
      </c>
      <c r="L3226" t="s">
        <v>6803</v>
      </c>
    </row>
    <row r="3227" spans="1:12" x14ac:dyDescent="0.35">
      <c r="A3227" t="s">
        <v>2337</v>
      </c>
      <c r="B3227" s="1">
        <v>45737</v>
      </c>
      <c r="C3227" t="s">
        <v>8270</v>
      </c>
      <c r="E3227" t="s">
        <v>8271</v>
      </c>
      <c r="F3227" t="s">
        <v>7615</v>
      </c>
      <c r="H3227" t="s">
        <v>2582</v>
      </c>
      <c r="J3227">
        <v>140000</v>
      </c>
      <c r="L3227" t="s">
        <v>5905</v>
      </c>
    </row>
    <row r="3228" spans="1:12" x14ac:dyDescent="0.35">
      <c r="A3228" t="s">
        <v>2337</v>
      </c>
      <c r="B3228" s="1">
        <v>45737</v>
      </c>
      <c r="C3228" t="s">
        <v>8272</v>
      </c>
      <c r="E3228" t="s">
        <v>8273</v>
      </c>
      <c r="F3228" t="s">
        <v>8052</v>
      </c>
      <c r="H3228" t="s">
        <v>2583</v>
      </c>
      <c r="K3228">
        <v>20000</v>
      </c>
      <c r="L3228" t="s">
        <v>6803</v>
      </c>
    </row>
    <row r="3229" spans="1:12" x14ac:dyDescent="0.35">
      <c r="A3229" t="s">
        <v>2337</v>
      </c>
      <c r="B3229" s="1">
        <v>45737</v>
      </c>
      <c r="C3229" t="s">
        <v>8272</v>
      </c>
      <c r="E3229" t="s">
        <v>8273</v>
      </c>
      <c r="F3229" t="s">
        <v>7928</v>
      </c>
      <c r="H3229" t="s">
        <v>2583</v>
      </c>
      <c r="J3229">
        <v>20000</v>
      </c>
      <c r="L3229" t="s">
        <v>5928</v>
      </c>
    </row>
    <row r="3230" spans="1:12" x14ac:dyDescent="0.35">
      <c r="A3230" t="s">
        <v>2337</v>
      </c>
      <c r="B3230" s="1">
        <v>45737</v>
      </c>
      <c r="C3230" t="s">
        <v>8274</v>
      </c>
      <c r="E3230" t="s">
        <v>8275</v>
      </c>
      <c r="F3230" t="s">
        <v>8052</v>
      </c>
      <c r="H3230" t="s">
        <v>2584</v>
      </c>
      <c r="K3230">
        <v>79000</v>
      </c>
      <c r="L3230" t="s">
        <v>6803</v>
      </c>
    </row>
    <row r="3231" spans="1:12" x14ac:dyDescent="0.35">
      <c r="A3231" t="s">
        <v>2337</v>
      </c>
      <c r="B3231" s="1">
        <v>45737</v>
      </c>
      <c r="C3231" t="s">
        <v>8274</v>
      </c>
      <c r="E3231" t="s">
        <v>8275</v>
      </c>
      <c r="F3231" t="s">
        <v>6820</v>
      </c>
      <c r="H3231" t="s">
        <v>2584</v>
      </c>
      <c r="J3231">
        <v>79000</v>
      </c>
      <c r="L3231" t="s">
        <v>5966</v>
      </c>
    </row>
    <row r="3232" spans="1:12" x14ac:dyDescent="0.35">
      <c r="A3232" t="s">
        <v>2337</v>
      </c>
      <c r="B3232" s="1">
        <v>45737</v>
      </c>
      <c r="C3232" t="s">
        <v>8276</v>
      </c>
      <c r="E3232" t="s">
        <v>8277</v>
      </c>
      <c r="F3232" t="s">
        <v>8052</v>
      </c>
      <c r="H3232" t="s">
        <v>2585</v>
      </c>
      <c r="K3232">
        <v>155000</v>
      </c>
      <c r="L3232" t="s">
        <v>6803</v>
      </c>
    </row>
    <row r="3233" spans="1:12" x14ac:dyDescent="0.35">
      <c r="A3233" t="s">
        <v>2337</v>
      </c>
      <c r="B3233" s="1">
        <v>45737</v>
      </c>
      <c r="C3233" t="s">
        <v>8276</v>
      </c>
      <c r="E3233" t="s">
        <v>8277</v>
      </c>
      <c r="F3233" t="s">
        <v>7928</v>
      </c>
      <c r="H3233" t="s">
        <v>2585</v>
      </c>
      <c r="J3233">
        <v>155000</v>
      </c>
      <c r="L3233" t="s">
        <v>5942</v>
      </c>
    </row>
    <row r="3234" spans="1:12" x14ac:dyDescent="0.35">
      <c r="A3234" t="s">
        <v>2337</v>
      </c>
      <c r="B3234" s="1">
        <v>45737</v>
      </c>
      <c r="C3234" t="s">
        <v>8278</v>
      </c>
      <c r="E3234" t="s">
        <v>8279</v>
      </c>
      <c r="F3234" t="s">
        <v>8052</v>
      </c>
      <c r="H3234" t="s">
        <v>2586</v>
      </c>
      <c r="K3234">
        <v>90000</v>
      </c>
      <c r="L3234" t="s">
        <v>6803</v>
      </c>
    </row>
    <row r="3235" spans="1:12" x14ac:dyDescent="0.35">
      <c r="A3235" t="s">
        <v>2337</v>
      </c>
      <c r="B3235" s="1">
        <v>45737</v>
      </c>
      <c r="C3235" t="s">
        <v>8278</v>
      </c>
      <c r="E3235" t="s">
        <v>8279</v>
      </c>
      <c r="F3235" t="s">
        <v>7905</v>
      </c>
      <c r="H3235" t="s">
        <v>2586</v>
      </c>
      <c r="J3235">
        <v>90000</v>
      </c>
      <c r="L3235" t="s">
        <v>5944</v>
      </c>
    </row>
    <row r="3236" spans="1:12" x14ac:dyDescent="0.35">
      <c r="A3236" t="s">
        <v>2337</v>
      </c>
      <c r="B3236" s="1">
        <v>45737</v>
      </c>
      <c r="C3236" t="s">
        <v>8280</v>
      </c>
      <c r="E3236" t="s">
        <v>8281</v>
      </c>
      <c r="F3236" t="s">
        <v>7875</v>
      </c>
      <c r="G3236" t="s">
        <v>8282</v>
      </c>
      <c r="H3236" t="s">
        <v>2587</v>
      </c>
      <c r="J3236">
        <v>50000</v>
      </c>
      <c r="L3236" t="s">
        <v>6803</v>
      </c>
    </row>
    <row r="3237" spans="1:12" x14ac:dyDescent="0.35">
      <c r="A3237" t="s">
        <v>2337</v>
      </c>
      <c r="B3237" s="1">
        <v>45737</v>
      </c>
      <c r="C3237" t="s">
        <v>8280</v>
      </c>
      <c r="E3237" t="s">
        <v>8281</v>
      </c>
      <c r="F3237" t="s">
        <v>8052</v>
      </c>
      <c r="H3237" t="s">
        <v>2587</v>
      </c>
      <c r="K3237">
        <v>50000</v>
      </c>
      <c r="L3237" t="s">
        <v>6803</v>
      </c>
    </row>
    <row r="3238" spans="1:12" x14ac:dyDescent="0.35">
      <c r="A3238" t="s">
        <v>2337</v>
      </c>
      <c r="B3238" s="1">
        <v>45740</v>
      </c>
      <c r="C3238" t="s">
        <v>8283</v>
      </c>
      <c r="E3238" t="s">
        <v>8284</v>
      </c>
      <c r="F3238" t="s">
        <v>8052</v>
      </c>
      <c r="H3238" t="s">
        <v>2588</v>
      </c>
      <c r="K3238">
        <v>70000</v>
      </c>
      <c r="L3238" t="s">
        <v>6803</v>
      </c>
    </row>
    <row r="3239" spans="1:12" x14ac:dyDescent="0.35">
      <c r="A3239" t="s">
        <v>2337</v>
      </c>
      <c r="B3239" s="1">
        <v>45740</v>
      </c>
      <c r="C3239" t="s">
        <v>8283</v>
      </c>
      <c r="E3239" t="s">
        <v>8284</v>
      </c>
      <c r="F3239" t="s">
        <v>7556</v>
      </c>
      <c r="H3239" t="s">
        <v>2588</v>
      </c>
      <c r="J3239">
        <v>70000</v>
      </c>
      <c r="L3239" t="s">
        <v>5951</v>
      </c>
    </row>
    <row r="3240" spans="1:12" x14ac:dyDescent="0.35">
      <c r="A3240" t="s">
        <v>2337</v>
      </c>
      <c r="B3240" s="1">
        <v>45740</v>
      </c>
      <c r="C3240" t="s">
        <v>8285</v>
      </c>
      <c r="E3240" t="s">
        <v>8286</v>
      </c>
      <c r="F3240" t="s">
        <v>8052</v>
      </c>
      <c r="H3240" t="s">
        <v>2589</v>
      </c>
      <c r="K3240">
        <v>35000</v>
      </c>
      <c r="L3240" t="s">
        <v>6803</v>
      </c>
    </row>
    <row r="3241" spans="1:12" x14ac:dyDescent="0.35">
      <c r="A3241" t="s">
        <v>2337</v>
      </c>
      <c r="B3241" s="1">
        <v>45740</v>
      </c>
      <c r="C3241" t="s">
        <v>8285</v>
      </c>
      <c r="E3241" t="s">
        <v>8286</v>
      </c>
      <c r="F3241" t="s">
        <v>7928</v>
      </c>
      <c r="H3241" t="s">
        <v>2589</v>
      </c>
      <c r="J3241">
        <v>35000</v>
      </c>
      <c r="L3241" t="s">
        <v>5947</v>
      </c>
    </row>
    <row r="3242" spans="1:12" x14ac:dyDescent="0.35">
      <c r="A3242" t="s">
        <v>2337</v>
      </c>
      <c r="B3242" s="1">
        <v>45740</v>
      </c>
      <c r="C3242" t="s">
        <v>8287</v>
      </c>
      <c r="E3242" t="s">
        <v>8288</v>
      </c>
      <c r="F3242" t="s">
        <v>8052</v>
      </c>
      <c r="H3242" t="s">
        <v>2590</v>
      </c>
      <c r="K3242">
        <v>40000</v>
      </c>
      <c r="L3242" t="s">
        <v>6803</v>
      </c>
    </row>
    <row r="3243" spans="1:12" x14ac:dyDescent="0.35">
      <c r="A3243" t="s">
        <v>2337</v>
      </c>
      <c r="B3243" s="1">
        <v>45740</v>
      </c>
      <c r="C3243" t="s">
        <v>8287</v>
      </c>
      <c r="E3243" t="s">
        <v>8288</v>
      </c>
      <c r="F3243" t="s">
        <v>7928</v>
      </c>
      <c r="H3243" t="s">
        <v>2590</v>
      </c>
      <c r="J3243">
        <v>40000</v>
      </c>
      <c r="L3243" t="s">
        <v>5948</v>
      </c>
    </row>
    <row r="3244" spans="1:12" x14ac:dyDescent="0.35">
      <c r="A3244" t="s">
        <v>2337</v>
      </c>
      <c r="B3244" s="1">
        <v>45740</v>
      </c>
      <c r="C3244" t="s">
        <v>8289</v>
      </c>
      <c r="E3244" t="s">
        <v>8290</v>
      </c>
      <c r="F3244" t="s">
        <v>8052</v>
      </c>
      <c r="H3244" t="s">
        <v>2591</v>
      </c>
      <c r="K3244">
        <v>-3500</v>
      </c>
      <c r="L3244" t="s">
        <v>6803</v>
      </c>
    </row>
    <row r="3245" spans="1:12" x14ac:dyDescent="0.35">
      <c r="A3245" t="s">
        <v>2337</v>
      </c>
      <c r="B3245" s="1">
        <v>45740</v>
      </c>
      <c r="C3245" t="s">
        <v>8289</v>
      </c>
      <c r="E3245" t="s">
        <v>8290</v>
      </c>
      <c r="F3245" t="s">
        <v>7914</v>
      </c>
      <c r="H3245" t="s">
        <v>2591</v>
      </c>
      <c r="J3245">
        <v>-3500</v>
      </c>
      <c r="L3245" t="s">
        <v>348</v>
      </c>
    </row>
    <row r="3246" spans="1:12" x14ac:dyDescent="0.35">
      <c r="A3246" t="s">
        <v>2337</v>
      </c>
      <c r="B3246" s="1">
        <v>45740</v>
      </c>
      <c r="C3246" t="s">
        <v>8291</v>
      </c>
      <c r="E3246" t="s">
        <v>8292</v>
      </c>
      <c r="F3246" t="s">
        <v>7514</v>
      </c>
      <c r="G3246" t="s">
        <v>7664</v>
      </c>
      <c r="H3246" t="s">
        <v>2592</v>
      </c>
      <c r="J3246">
        <v>49000</v>
      </c>
      <c r="L3246" t="s">
        <v>6803</v>
      </c>
    </row>
    <row r="3247" spans="1:12" x14ac:dyDescent="0.35">
      <c r="A3247" t="s">
        <v>2337</v>
      </c>
      <c r="B3247" s="1">
        <v>45740</v>
      </c>
      <c r="C3247" t="s">
        <v>8291</v>
      </c>
      <c r="E3247" t="s">
        <v>8292</v>
      </c>
      <c r="F3247" t="s">
        <v>8052</v>
      </c>
      <c r="H3247" t="s">
        <v>2592</v>
      </c>
      <c r="K3247">
        <v>49000</v>
      </c>
      <c r="L3247" t="s">
        <v>6803</v>
      </c>
    </row>
    <row r="3248" spans="1:12" x14ac:dyDescent="0.35">
      <c r="A3248" t="s">
        <v>2337</v>
      </c>
      <c r="B3248" s="1">
        <v>45740</v>
      </c>
      <c r="C3248" t="s">
        <v>8293</v>
      </c>
      <c r="E3248" t="s">
        <v>8294</v>
      </c>
      <c r="F3248" t="s">
        <v>8052</v>
      </c>
      <c r="H3248" t="s">
        <v>2593</v>
      </c>
      <c r="K3248">
        <v>45000</v>
      </c>
      <c r="L3248" t="s">
        <v>6803</v>
      </c>
    </row>
    <row r="3249" spans="1:12" x14ac:dyDescent="0.35">
      <c r="A3249" t="s">
        <v>2337</v>
      </c>
      <c r="B3249" s="1">
        <v>45740</v>
      </c>
      <c r="C3249" t="s">
        <v>8293</v>
      </c>
      <c r="E3249" t="s">
        <v>8294</v>
      </c>
      <c r="F3249" t="s">
        <v>7358</v>
      </c>
      <c r="H3249" t="s">
        <v>2593</v>
      </c>
      <c r="J3249">
        <v>45000</v>
      </c>
      <c r="L3249" t="s">
        <v>5942</v>
      </c>
    </row>
    <row r="3250" spans="1:12" x14ac:dyDescent="0.35">
      <c r="A3250" t="s">
        <v>2337</v>
      </c>
      <c r="B3250" s="1">
        <v>45740</v>
      </c>
      <c r="C3250" t="s">
        <v>8295</v>
      </c>
      <c r="E3250" t="s">
        <v>8296</v>
      </c>
      <c r="F3250" t="s">
        <v>7865</v>
      </c>
      <c r="H3250" t="s">
        <v>2594</v>
      </c>
      <c r="K3250">
        <v>1080</v>
      </c>
      <c r="L3250" t="s">
        <v>6803</v>
      </c>
    </row>
    <row r="3251" spans="1:12" x14ac:dyDescent="0.35">
      <c r="A3251" t="s">
        <v>2337</v>
      </c>
      <c r="B3251" s="1">
        <v>45740</v>
      </c>
      <c r="C3251" t="s">
        <v>8295</v>
      </c>
      <c r="E3251" t="s">
        <v>8296</v>
      </c>
      <c r="F3251" t="s">
        <v>8052</v>
      </c>
      <c r="H3251" t="s">
        <v>2594</v>
      </c>
      <c r="K3251">
        <v>52920</v>
      </c>
      <c r="L3251" t="s">
        <v>6803</v>
      </c>
    </row>
    <row r="3252" spans="1:12" x14ac:dyDescent="0.35">
      <c r="A3252" t="s">
        <v>2337</v>
      </c>
      <c r="B3252" s="1">
        <v>45740</v>
      </c>
      <c r="C3252" t="s">
        <v>8295</v>
      </c>
      <c r="E3252" t="s">
        <v>8296</v>
      </c>
      <c r="F3252" t="s">
        <v>7983</v>
      </c>
      <c r="H3252" t="s">
        <v>2594</v>
      </c>
      <c r="J3252">
        <v>54000</v>
      </c>
      <c r="L3252" t="s">
        <v>5905</v>
      </c>
    </row>
    <row r="3253" spans="1:12" x14ac:dyDescent="0.35">
      <c r="A3253" t="s">
        <v>2337</v>
      </c>
      <c r="B3253" s="1">
        <v>45740</v>
      </c>
      <c r="C3253" t="s">
        <v>8297</v>
      </c>
      <c r="E3253" t="s">
        <v>8298</v>
      </c>
      <c r="F3253" t="s">
        <v>8052</v>
      </c>
      <c r="H3253" t="s">
        <v>2595</v>
      </c>
      <c r="K3253">
        <v>51000</v>
      </c>
      <c r="L3253" t="s">
        <v>6803</v>
      </c>
    </row>
    <row r="3254" spans="1:12" x14ac:dyDescent="0.35">
      <c r="A3254" t="s">
        <v>2337</v>
      </c>
      <c r="B3254" s="1">
        <v>45740</v>
      </c>
      <c r="C3254" t="s">
        <v>8297</v>
      </c>
      <c r="E3254" t="s">
        <v>8298</v>
      </c>
      <c r="F3254" t="s">
        <v>7928</v>
      </c>
      <c r="H3254" t="s">
        <v>2595</v>
      </c>
      <c r="J3254">
        <v>51000</v>
      </c>
      <c r="L3254" t="s">
        <v>5873</v>
      </c>
    </row>
    <row r="3255" spans="1:12" x14ac:dyDescent="0.35">
      <c r="A3255" t="s">
        <v>2337</v>
      </c>
      <c r="B3255" s="1">
        <v>45740</v>
      </c>
      <c r="C3255" t="s">
        <v>8299</v>
      </c>
      <c r="E3255" t="s">
        <v>8300</v>
      </c>
      <c r="F3255" t="s">
        <v>8052</v>
      </c>
      <c r="H3255" t="s">
        <v>2596</v>
      </c>
      <c r="K3255">
        <v>11000</v>
      </c>
      <c r="L3255" t="s">
        <v>6803</v>
      </c>
    </row>
    <row r="3256" spans="1:12" x14ac:dyDescent="0.35">
      <c r="A3256" t="s">
        <v>2337</v>
      </c>
      <c r="B3256" s="1">
        <v>45740</v>
      </c>
      <c r="C3256" t="s">
        <v>8299</v>
      </c>
      <c r="E3256" t="s">
        <v>8300</v>
      </c>
      <c r="F3256" t="s">
        <v>7928</v>
      </c>
      <c r="H3256" t="s">
        <v>2596</v>
      </c>
      <c r="J3256">
        <v>11000</v>
      </c>
      <c r="L3256" t="s">
        <v>5928</v>
      </c>
    </row>
    <row r="3257" spans="1:12" x14ac:dyDescent="0.35">
      <c r="A3257" t="s">
        <v>2337</v>
      </c>
      <c r="B3257" s="1">
        <v>45740</v>
      </c>
      <c r="C3257" t="s">
        <v>8301</v>
      </c>
      <c r="E3257" t="s">
        <v>8302</v>
      </c>
      <c r="F3257" t="s">
        <v>8052</v>
      </c>
      <c r="H3257" t="s">
        <v>2597</v>
      </c>
      <c r="K3257">
        <v>45000</v>
      </c>
      <c r="L3257" t="s">
        <v>6803</v>
      </c>
    </row>
    <row r="3258" spans="1:12" x14ac:dyDescent="0.35">
      <c r="A3258" t="s">
        <v>2337</v>
      </c>
      <c r="B3258" s="1">
        <v>45740</v>
      </c>
      <c r="C3258" t="s">
        <v>8301</v>
      </c>
      <c r="E3258" t="s">
        <v>8302</v>
      </c>
      <c r="F3258" t="s">
        <v>7928</v>
      </c>
      <c r="H3258" t="s">
        <v>2597</v>
      </c>
      <c r="J3258">
        <v>45000</v>
      </c>
      <c r="L3258" t="s">
        <v>5873</v>
      </c>
    </row>
    <row r="3259" spans="1:12" x14ac:dyDescent="0.35">
      <c r="A3259" t="s">
        <v>2337</v>
      </c>
      <c r="B3259" s="1">
        <v>45740</v>
      </c>
      <c r="C3259" t="s">
        <v>8303</v>
      </c>
      <c r="E3259" t="s">
        <v>8304</v>
      </c>
      <c r="F3259" t="s">
        <v>8052</v>
      </c>
      <c r="H3259" t="s">
        <v>2598</v>
      </c>
      <c r="K3259">
        <v>14000</v>
      </c>
      <c r="L3259" t="s">
        <v>6803</v>
      </c>
    </row>
    <row r="3260" spans="1:12" x14ac:dyDescent="0.35">
      <c r="A3260" t="s">
        <v>2337</v>
      </c>
      <c r="B3260" s="1">
        <v>45740</v>
      </c>
      <c r="C3260" t="s">
        <v>8303</v>
      </c>
      <c r="E3260" t="s">
        <v>8304</v>
      </c>
      <c r="F3260" t="s">
        <v>7928</v>
      </c>
      <c r="H3260" t="s">
        <v>2598</v>
      </c>
      <c r="J3260">
        <v>14000</v>
      </c>
      <c r="L3260" t="s">
        <v>5939</v>
      </c>
    </row>
    <row r="3261" spans="1:12" x14ac:dyDescent="0.35">
      <c r="A3261" t="s">
        <v>2337</v>
      </c>
      <c r="B3261" s="1">
        <v>45740</v>
      </c>
      <c r="C3261" t="s">
        <v>8305</v>
      </c>
      <c r="E3261" t="s">
        <v>8306</v>
      </c>
      <c r="F3261" t="s">
        <v>8052</v>
      </c>
      <c r="H3261" t="s">
        <v>2599</v>
      </c>
      <c r="K3261">
        <v>20000</v>
      </c>
      <c r="L3261" t="s">
        <v>6803</v>
      </c>
    </row>
    <row r="3262" spans="1:12" x14ac:dyDescent="0.35">
      <c r="A3262" t="s">
        <v>2337</v>
      </c>
      <c r="B3262" s="1">
        <v>45740</v>
      </c>
      <c r="C3262" t="s">
        <v>8305</v>
      </c>
      <c r="E3262" t="s">
        <v>8306</v>
      </c>
      <c r="F3262" t="s">
        <v>7615</v>
      </c>
      <c r="H3262" t="s">
        <v>2599</v>
      </c>
      <c r="J3262">
        <v>20000</v>
      </c>
      <c r="L3262" t="s">
        <v>5905</v>
      </c>
    </row>
    <row r="3263" spans="1:12" x14ac:dyDescent="0.35">
      <c r="A3263" t="s">
        <v>2337</v>
      </c>
      <c r="B3263" s="1">
        <v>45740</v>
      </c>
      <c r="C3263" t="s">
        <v>8307</v>
      </c>
      <c r="E3263" t="s">
        <v>8308</v>
      </c>
      <c r="F3263" t="s">
        <v>8052</v>
      </c>
      <c r="H3263" t="s">
        <v>2600</v>
      </c>
      <c r="K3263">
        <v>30000</v>
      </c>
      <c r="L3263" t="s">
        <v>6803</v>
      </c>
    </row>
    <row r="3264" spans="1:12" x14ac:dyDescent="0.35">
      <c r="A3264" t="s">
        <v>2337</v>
      </c>
      <c r="B3264" s="1">
        <v>45740</v>
      </c>
      <c r="C3264" t="s">
        <v>8307</v>
      </c>
      <c r="E3264" t="s">
        <v>8308</v>
      </c>
      <c r="F3264" t="s">
        <v>6820</v>
      </c>
      <c r="H3264" t="s">
        <v>2600</v>
      </c>
      <c r="J3264">
        <v>30000</v>
      </c>
      <c r="L3264" t="s">
        <v>5880</v>
      </c>
    </row>
    <row r="3265" spans="1:12" x14ac:dyDescent="0.35">
      <c r="A3265" t="s">
        <v>2337</v>
      </c>
      <c r="B3265" s="1">
        <v>45740</v>
      </c>
      <c r="C3265" t="s">
        <v>8309</v>
      </c>
      <c r="E3265" t="s">
        <v>8310</v>
      </c>
      <c r="F3265" t="s">
        <v>8052</v>
      </c>
      <c r="H3265" t="s">
        <v>2601</v>
      </c>
      <c r="K3265">
        <v>138000</v>
      </c>
      <c r="L3265" t="s">
        <v>6803</v>
      </c>
    </row>
    <row r="3266" spans="1:12" x14ac:dyDescent="0.35">
      <c r="A3266" t="s">
        <v>2337</v>
      </c>
      <c r="B3266" s="1">
        <v>45740</v>
      </c>
      <c r="C3266" t="s">
        <v>8309</v>
      </c>
      <c r="E3266" t="s">
        <v>8310</v>
      </c>
      <c r="F3266" t="s">
        <v>7928</v>
      </c>
      <c r="H3266" t="s">
        <v>2601</v>
      </c>
      <c r="J3266">
        <v>138000</v>
      </c>
      <c r="L3266" t="s">
        <v>5873</v>
      </c>
    </row>
    <row r="3267" spans="1:12" x14ac:dyDescent="0.35">
      <c r="A3267" t="s">
        <v>2337</v>
      </c>
      <c r="B3267" s="1">
        <v>45740</v>
      </c>
      <c r="C3267" t="s">
        <v>8311</v>
      </c>
      <c r="E3267" t="s">
        <v>8312</v>
      </c>
      <c r="F3267" t="s">
        <v>8052</v>
      </c>
      <c r="H3267" t="s">
        <v>2602</v>
      </c>
      <c r="K3267">
        <v>60000</v>
      </c>
      <c r="L3267" t="s">
        <v>6803</v>
      </c>
    </row>
    <row r="3268" spans="1:12" x14ac:dyDescent="0.35">
      <c r="A3268" t="s">
        <v>2337</v>
      </c>
      <c r="B3268" s="1">
        <v>45740</v>
      </c>
      <c r="C3268" t="s">
        <v>8311</v>
      </c>
      <c r="E3268" t="s">
        <v>8312</v>
      </c>
      <c r="F3268" t="s">
        <v>7928</v>
      </c>
      <c r="H3268" t="s">
        <v>2602</v>
      </c>
      <c r="J3268">
        <v>60000</v>
      </c>
      <c r="L3268" t="s">
        <v>5933</v>
      </c>
    </row>
    <row r="3269" spans="1:12" x14ac:dyDescent="0.35">
      <c r="A3269" t="s">
        <v>2337</v>
      </c>
      <c r="B3269" s="1">
        <v>45740</v>
      </c>
      <c r="C3269" t="s">
        <v>8313</v>
      </c>
      <c r="E3269" t="s">
        <v>8314</v>
      </c>
      <c r="F3269" t="s">
        <v>8052</v>
      </c>
      <c r="H3269" t="s">
        <v>2603</v>
      </c>
      <c r="K3269">
        <v>40000</v>
      </c>
      <c r="L3269" t="s">
        <v>6803</v>
      </c>
    </row>
    <row r="3270" spans="1:12" x14ac:dyDescent="0.35">
      <c r="A3270" t="s">
        <v>2337</v>
      </c>
      <c r="B3270" s="1">
        <v>45740</v>
      </c>
      <c r="C3270" t="s">
        <v>8313</v>
      </c>
      <c r="E3270" t="s">
        <v>8314</v>
      </c>
      <c r="F3270" t="s">
        <v>6820</v>
      </c>
      <c r="H3270" t="s">
        <v>2604</v>
      </c>
      <c r="J3270">
        <v>30000</v>
      </c>
      <c r="L3270" t="s">
        <v>5880</v>
      </c>
    </row>
    <row r="3271" spans="1:12" x14ac:dyDescent="0.35">
      <c r="A3271" t="s">
        <v>2337</v>
      </c>
      <c r="B3271" s="1">
        <v>45740</v>
      </c>
      <c r="C3271" t="s">
        <v>8313</v>
      </c>
      <c r="E3271" t="s">
        <v>8314</v>
      </c>
      <c r="F3271" t="s">
        <v>7934</v>
      </c>
      <c r="H3271" t="s">
        <v>2605</v>
      </c>
      <c r="J3271">
        <v>10000</v>
      </c>
      <c r="L3271" t="s">
        <v>5884</v>
      </c>
    </row>
    <row r="3272" spans="1:12" x14ac:dyDescent="0.35">
      <c r="A3272" t="s">
        <v>2337</v>
      </c>
      <c r="B3272" s="1">
        <v>45741</v>
      </c>
      <c r="C3272" t="s">
        <v>8315</v>
      </c>
      <c r="E3272" t="s">
        <v>8316</v>
      </c>
      <c r="F3272" t="s">
        <v>8098</v>
      </c>
      <c r="H3272" t="s">
        <v>2399</v>
      </c>
      <c r="K3272">
        <v>1064000</v>
      </c>
      <c r="L3272" t="s">
        <v>6803</v>
      </c>
    </row>
    <row r="3273" spans="1:12" x14ac:dyDescent="0.35">
      <c r="A3273" t="s">
        <v>2337</v>
      </c>
      <c r="B3273" s="1">
        <v>45741</v>
      </c>
      <c r="C3273" t="s">
        <v>8315</v>
      </c>
      <c r="E3273" t="s">
        <v>8316</v>
      </c>
      <c r="F3273" t="s">
        <v>8052</v>
      </c>
      <c r="H3273" t="s">
        <v>2399</v>
      </c>
      <c r="J3273">
        <v>1064000</v>
      </c>
      <c r="L3273" t="s">
        <v>6803</v>
      </c>
    </row>
    <row r="3274" spans="1:12" x14ac:dyDescent="0.35">
      <c r="A3274" t="s">
        <v>2337</v>
      </c>
      <c r="B3274" s="1">
        <v>45741</v>
      </c>
      <c r="C3274" t="s">
        <v>8317</v>
      </c>
      <c r="E3274" t="s">
        <v>8318</v>
      </c>
      <c r="F3274" t="s">
        <v>8052</v>
      </c>
      <c r="H3274" t="s">
        <v>2606</v>
      </c>
      <c r="K3274">
        <v>15000</v>
      </c>
      <c r="L3274" t="s">
        <v>6803</v>
      </c>
    </row>
    <row r="3275" spans="1:12" x14ac:dyDescent="0.35">
      <c r="A3275" t="s">
        <v>2337</v>
      </c>
      <c r="B3275" s="1">
        <v>45741</v>
      </c>
      <c r="C3275" t="s">
        <v>8317</v>
      </c>
      <c r="E3275" t="s">
        <v>8318</v>
      </c>
      <c r="F3275" t="s">
        <v>7928</v>
      </c>
      <c r="H3275" t="s">
        <v>2606</v>
      </c>
      <c r="J3275">
        <v>15000</v>
      </c>
      <c r="L3275" t="s">
        <v>5938</v>
      </c>
    </row>
    <row r="3276" spans="1:12" x14ac:dyDescent="0.35">
      <c r="A3276" t="s">
        <v>2337</v>
      </c>
      <c r="B3276" s="1">
        <v>45741</v>
      </c>
      <c r="C3276" t="s">
        <v>8319</v>
      </c>
      <c r="E3276" t="s">
        <v>8320</v>
      </c>
      <c r="F3276" t="s">
        <v>8052</v>
      </c>
      <c r="H3276" t="s">
        <v>2607</v>
      </c>
      <c r="K3276">
        <v>50000</v>
      </c>
      <c r="L3276" t="s">
        <v>6803</v>
      </c>
    </row>
    <row r="3277" spans="1:12" x14ac:dyDescent="0.35">
      <c r="A3277" t="s">
        <v>2337</v>
      </c>
      <c r="B3277" s="1">
        <v>45741</v>
      </c>
      <c r="C3277" t="s">
        <v>8319</v>
      </c>
      <c r="E3277" t="s">
        <v>8320</v>
      </c>
      <c r="F3277" t="s">
        <v>8063</v>
      </c>
      <c r="H3277" t="s">
        <v>2607</v>
      </c>
      <c r="J3277">
        <v>50000</v>
      </c>
      <c r="L3277" t="s">
        <v>5935</v>
      </c>
    </row>
    <row r="3278" spans="1:12" x14ac:dyDescent="0.35">
      <c r="A3278" t="s">
        <v>2337</v>
      </c>
      <c r="B3278" s="1">
        <v>45741</v>
      </c>
      <c r="C3278" t="s">
        <v>8321</v>
      </c>
      <c r="E3278" t="s">
        <v>8322</v>
      </c>
      <c r="F3278" t="s">
        <v>8052</v>
      </c>
      <c r="H3278" t="s">
        <v>2608</v>
      </c>
      <c r="K3278">
        <v>55460</v>
      </c>
      <c r="L3278" t="s">
        <v>6803</v>
      </c>
    </row>
    <row r="3279" spans="1:12" x14ac:dyDescent="0.35">
      <c r="A3279" t="s">
        <v>2337</v>
      </c>
      <c r="B3279" s="1">
        <v>45741</v>
      </c>
      <c r="C3279" t="s">
        <v>8321</v>
      </c>
      <c r="E3279" t="s">
        <v>8322</v>
      </c>
      <c r="F3279" t="s">
        <v>8091</v>
      </c>
      <c r="H3279" t="s">
        <v>2608</v>
      </c>
      <c r="J3279">
        <v>55460</v>
      </c>
      <c r="L3279" t="s">
        <v>5967</v>
      </c>
    </row>
    <row r="3280" spans="1:12" x14ac:dyDescent="0.35">
      <c r="A3280" t="s">
        <v>2337</v>
      </c>
      <c r="B3280" s="1">
        <v>45741</v>
      </c>
      <c r="C3280" t="s">
        <v>8323</v>
      </c>
      <c r="E3280" t="s">
        <v>8324</v>
      </c>
      <c r="F3280" t="s">
        <v>8052</v>
      </c>
      <c r="H3280" t="s">
        <v>2609</v>
      </c>
      <c r="K3280">
        <v>15000</v>
      </c>
      <c r="L3280" t="s">
        <v>6803</v>
      </c>
    </row>
    <row r="3281" spans="1:12" x14ac:dyDescent="0.35">
      <c r="A3281" t="s">
        <v>2337</v>
      </c>
      <c r="B3281" s="1">
        <v>45741</v>
      </c>
      <c r="C3281" t="s">
        <v>8323</v>
      </c>
      <c r="E3281" t="s">
        <v>8324</v>
      </c>
      <c r="F3281" t="s">
        <v>7928</v>
      </c>
      <c r="H3281" t="s">
        <v>2609</v>
      </c>
      <c r="J3281">
        <v>15000</v>
      </c>
      <c r="L3281" t="s">
        <v>5938</v>
      </c>
    </row>
    <row r="3282" spans="1:12" x14ac:dyDescent="0.35">
      <c r="A3282" t="s">
        <v>2337</v>
      </c>
      <c r="B3282" s="1">
        <v>45741</v>
      </c>
      <c r="C3282" t="s">
        <v>8325</v>
      </c>
      <c r="E3282" t="s">
        <v>8326</v>
      </c>
      <c r="F3282" t="s">
        <v>8052</v>
      </c>
      <c r="H3282" t="s">
        <v>2610</v>
      </c>
      <c r="K3282">
        <v>60000</v>
      </c>
      <c r="L3282" t="s">
        <v>6803</v>
      </c>
    </row>
    <row r="3283" spans="1:12" x14ac:dyDescent="0.35">
      <c r="A3283" t="s">
        <v>2337</v>
      </c>
      <c r="B3283" s="1">
        <v>45741</v>
      </c>
      <c r="C3283" t="s">
        <v>8325</v>
      </c>
      <c r="E3283" t="s">
        <v>8326</v>
      </c>
      <c r="F3283" t="s">
        <v>7928</v>
      </c>
      <c r="H3283" t="s">
        <v>2610</v>
      </c>
      <c r="J3283">
        <v>60000</v>
      </c>
      <c r="L3283" t="s">
        <v>5938</v>
      </c>
    </row>
    <row r="3284" spans="1:12" x14ac:dyDescent="0.35">
      <c r="A3284" t="s">
        <v>2337</v>
      </c>
      <c r="B3284" s="1">
        <v>45741</v>
      </c>
      <c r="C3284" t="s">
        <v>8327</v>
      </c>
      <c r="E3284" t="s">
        <v>8328</v>
      </c>
      <c r="F3284" t="s">
        <v>8052</v>
      </c>
      <c r="H3284" t="s">
        <v>2611</v>
      </c>
      <c r="K3284">
        <v>85000</v>
      </c>
      <c r="L3284" t="s">
        <v>6803</v>
      </c>
    </row>
    <row r="3285" spans="1:12" x14ac:dyDescent="0.35">
      <c r="A3285" t="s">
        <v>2337</v>
      </c>
      <c r="B3285" s="1">
        <v>45741</v>
      </c>
      <c r="C3285" t="s">
        <v>8327</v>
      </c>
      <c r="E3285" t="s">
        <v>8328</v>
      </c>
      <c r="F3285" t="s">
        <v>7556</v>
      </c>
      <c r="H3285" t="s">
        <v>2611</v>
      </c>
      <c r="J3285">
        <v>85000</v>
      </c>
      <c r="L3285" t="s">
        <v>5887</v>
      </c>
    </row>
    <row r="3286" spans="1:12" x14ac:dyDescent="0.35">
      <c r="A3286" t="s">
        <v>2337</v>
      </c>
      <c r="B3286" s="1">
        <v>45741</v>
      </c>
      <c r="C3286" t="s">
        <v>8329</v>
      </c>
      <c r="E3286" t="s">
        <v>8330</v>
      </c>
      <c r="F3286" t="s">
        <v>8052</v>
      </c>
      <c r="H3286" t="s">
        <v>2612</v>
      </c>
      <c r="K3286">
        <v>19515</v>
      </c>
      <c r="L3286" t="s">
        <v>6803</v>
      </c>
    </row>
    <row r="3287" spans="1:12" x14ac:dyDescent="0.35">
      <c r="A3287" t="s">
        <v>2337</v>
      </c>
      <c r="B3287" s="1">
        <v>45741</v>
      </c>
      <c r="C3287" t="s">
        <v>8329</v>
      </c>
      <c r="E3287" t="s">
        <v>8330</v>
      </c>
      <c r="F3287" t="s">
        <v>8153</v>
      </c>
      <c r="H3287" t="s">
        <v>2612</v>
      </c>
      <c r="J3287">
        <v>19515</v>
      </c>
      <c r="L3287" t="s">
        <v>5928</v>
      </c>
    </row>
    <row r="3288" spans="1:12" x14ac:dyDescent="0.35">
      <c r="A3288" t="s">
        <v>2337</v>
      </c>
      <c r="B3288" s="1">
        <v>45741</v>
      </c>
      <c r="C3288" t="s">
        <v>8331</v>
      </c>
      <c r="E3288" t="s">
        <v>8332</v>
      </c>
      <c r="F3288" t="s">
        <v>8052</v>
      </c>
      <c r="H3288" t="s">
        <v>2613</v>
      </c>
      <c r="K3288">
        <v>7800</v>
      </c>
      <c r="L3288" t="s">
        <v>6803</v>
      </c>
    </row>
    <row r="3289" spans="1:12" x14ac:dyDescent="0.35">
      <c r="A3289" t="s">
        <v>2337</v>
      </c>
      <c r="B3289" s="1">
        <v>45741</v>
      </c>
      <c r="C3289" t="s">
        <v>8331</v>
      </c>
      <c r="E3289" t="s">
        <v>8332</v>
      </c>
      <c r="F3289" t="s">
        <v>8221</v>
      </c>
      <c r="H3289" t="s">
        <v>2613</v>
      </c>
      <c r="J3289">
        <v>7800</v>
      </c>
      <c r="L3289" t="s">
        <v>5964</v>
      </c>
    </row>
    <row r="3290" spans="1:12" x14ac:dyDescent="0.35">
      <c r="A3290" t="s">
        <v>2337</v>
      </c>
      <c r="B3290" s="1">
        <v>45742</v>
      </c>
      <c r="C3290" t="s">
        <v>8333</v>
      </c>
      <c r="F3290" t="s">
        <v>8098</v>
      </c>
      <c r="H3290" t="s">
        <v>2614</v>
      </c>
      <c r="K3290">
        <v>10000000</v>
      </c>
      <c r="L3290" t="s">
        <v>6803</v>
      </c>
    </row>
    <row r="3291" spans="1:12" x14ac:dyDescent="0.35">
      <c r="A3291" t="s">
        <v>2337</v>
      </c>
      <c r="B3291" s="1">
        <v>45742</v>
      </c>
      <c r="C3291" t="s">
        <v>8333</v>
      </c>
      <c r="F3291" t="s">
        <v>8052</v>
      </c>
      <c r="H3291" t="s">
        <v>2614</v>
      </c>
      <c r="J3291">
        <v>10000000</v>
      </c>
      <c r="L3291" t="s">
        <v>6803</v>
      </c>
    </row>
    <row r="3292" spans="1:12" x14ac:dyDescent="0.35">
      <c r="A3292" t="s">
        <v>2337</v>
      </c>
      <c r="B3292" s="1">
        <v>45742</v>
      </c>
      <c r="C3292" t="s">
        <v>8334</v>
      </c>
      <c r="E3292" t="s">
        <v>8335</v>
      </c>
      <c r="F3292" t="s">
        <v>7876</v>
      </c>
      <c r="H3292" t="s">
        <v>2615</v>
      </c>
      <c r="J3292">
        <v>18900</v>
      </c>
      <c r="L3292" t="s">
        <v>6803</v>
      </c>
    </row>
    <row r="3293" spans="1:12" x14ac:dyDescent="0.35">
      <c r="A3293" t="s">
        <v>2337</v>
      </c>
      <c r="B3293" s="1">
        <v>45742</v>
      </c>
      <c r="C3293" t="s">
        <v>8334</v>
      </c>
      <c r="E3293" t="s">
        <v>8335</v>
      </c>
      <c r="F3293" t="s">
        <v>8052</v>
      </c>
      <c r="H3293" t="s">
        <v>2615</v>
      </c>
      <c r="K3293">
        <v>18900</v>
      </c>
      <c r="L3293" t="s">
        <v>6803</v>
      </c>
    </row>
    <row r="3294" spans="1:12" x14ac:dyDescent="0.35">
      <c r="A3294" t="s">
        <v>2337</v>
      </c>
      <c r="B3294" s="1">
        <v>45742</v>
      </c>
      <c r="C3294" t="s">
        <v>8336</v>
      </c>
      <c r="E3294" t="s">
        <v>8337</v>
      </c>
      <c r="F3294" t="s">
        <v>8052</v>
      </c>
      <c r="H3294" t="s">
        <v>2616</v>
      </c>
      <c r="K3294">
        <v>13900</v>
      </c>
      <c r="L3294" t="s">
        <v>6803</v>
      </c>
    </row>
    <row r="3295" spans="1:12" x14ac:dyDescent="0.35">
      <c r="A3295" t="s">
        <v>2337</v>
      </c>
      <c r="B3295" s="1">
        <v>45742</v>
      </c>
      <c r="C3295" t="s">
        <v>8336</v>
      </c>
      <c r="E3295" t="s">
        <v>8337</v>
      </c>
      <c r="F3295" t="s">
        <v>7983</v>
      </c>
      <c r="H3295" t="s">
        <v>2616</v>
      </c>
      <c r="J3295">
        <v>13900</v>
      </c>
      <c r="L3295" t="s">
        <v>5928</v>
      </c>
    </row>
    <row r="3296" spans="1:12" x14ac:dyDescent="0.35">
      <c r="A3296" t="s">
        <v>2337</v>
      </c>
      <c r="B3296" s="1">
        <v>45742</v>
      </c>
      <c r="C3296" t="s">
        <v>8338</v>
      </c>
      <c r="E3296" t="s">
        <v>8339</v>
      </c>
      <c r="F3296" t="s">
        <v>8052</v>
      </c>
      <c r="H3296" t="s">
        <v>2617</v>
      </c>
      <c r="K3296">
        <v>9500</v>
      </c>
      <c r="L3296" t="s">
        <v>6803</v>
      </c>
    </row>
    <row r="3297" spans="1:12" x14ac:dyDescent="0.35">
      <c r="A3297" t="s">
        <v>2337</v>
      </c>
      <c r="B3297" s="1">
        <v>45742</v>
      </c>
      <c r="C3297" t="s">
        <v>8338</v>
      </c>
      <c r="E3297" t="s">
        <v>8339</v>
      </c>
      <c r="F3297" t="s">
        <v>7983</v>
      </c>
      <c r="H3297" t="s">
        <v>2617</v>
      </c>
      <c r="J3297">
        <v>9500</v>
      </c>
      <c r="L3297" t="s">
        <v>5905</v>
      </c>
    </row>
    <row r="3298" spans="1:12" x14ac:dyDescent="0.35">
      <c r="A3298" t="s">
        <v>2337</v>
      </c>
      <c r="B3298" s="1">
        <v>45742</v>
      </c>
      <c r="C3298" t="s">
        <v>8340</v>
      </c>
      <c r="E3298" t="s">
        <v>8341</v>
      </c>
      <c r="F3298" t="s">
        <v>7514</v>
      </c>
      <c r="G3298" t="s">
        <v>7664</v>
      </c>
      <c r="H3298" t="s">
        <v>2618</v>
      </c>
      <c r="J3298">
        <v>15000</v>
      </c>
      <c r="L3298" t="s">
        <v>6803</v>
      </c>
    </row>
    <row r="3299" spans="1:12" x14ac:dyDescent="0.35">
      <c r="A3299" t="s">
        <v>2337</v>
      </c>
      <c r="B3299" s="1">
        <v>45742</v>
      </c>
      <c r="C3299" t="s">
        <v>8340</v>
      </c>
      <c r="E3299" t="s">
        <v>8341</v>
      </c>
      <c r="F3299" t="s">
        <v>8052</v>
      </c>
      <c r="H3299" t="s">
        <v>2618</v>
      </c>
      <c r="K3299">
        <v>15000</v>
      </c>
      <c r="L3299" t="s">
        <v>6803</v>
      </c>
    </row>
    <row r="3300" spans="1:12" x14ac:dyDescent="0.35">
      <c r="A3300" t="s">
        <v>2337</v>
      </c>
      <c r="B3300" s="1">
        <v>45742</v>
      </c>
      <c r="C3300" t="s">
        <v>8342</v>
      </c>
      <c r="E3300" t="s">
        <v>8343</v>
      </c>
      <c r="F3300" t="s">
        <v>8052</v>
      </c>
      <c r="H3300" t="s">
        <v>2619</v>
      </c>
      <c r="K3300">
        <v>97500</v>
      </c>
      <c r="L3300" t="s">
        <v>6803</v>
      </c>
    </row>
    <row r="3301" spans="1:12" x14ac:dyDescent="0.35">
      <c r="A3301" t="s">
        <v>2337</v>
      </c>
      <c r="B3301" s="1">
        <v>45742</v>
      </c>
      <c r="C3301" t="s">
        <v>8342</v>
      </c>
      <c r="E3301" t="s">
        <v>8343</v>
      </c>
      <c r="F3301" t="s">
        <v>8063</v>
      </c>
      <c r="H3301" t="s">
        <v>2619</v>
      </c>
      <c r="J3301">
        <v>97500</v>
      </c>
      <c r="L3301" t="s">
        <v>5931</v>
      </c>
    </row>
    <row r="3302" spans="1:12" x14ac:dyDescent="0.35">
      <c r="A3302" t="s">
        <v>2337</v>
      </c>
      <c r="B3302" s="1">
        <v>45742</v>
      </c>
      <c r="C3302" t="s">
        <v>8344</v>
      </c>
      <c r="E3302" t="s">
        <v>8345</v>
      </c>
      <c r="F3302" t="s">
        <v>8052</v>
      </c>
      <c r="H3302" t="s">
        <v>2620</v>
      </c>
      <c r="K3302">
        <v>34000</v>
      </c>
      <c r="L3302" t="s">
        <v>6803</v>
      </c>
    </row>
    <row r="3303" spans="1:12" x14ac:dyDescent="0.35">
      <c r="A3303" t="s">
        <v>2337</v>
      </c>
      <c r="B3303" s="1">
        <v>45742</v>
      </c>
      <c r="C3303" t="s">
        <v>8344</v>
      </c>
      <c r="E3303" t="s">
        <v>8345</v>
      </c>
      <c r="F3303" t="s">
        <v>7928</v>
      </c>
      <c r="H3303" t="s">
        <v>2620</v>
      </c>
      <c r="J3303">
        <v>34000</v>
      </c>
      <c r="L3303" t="s">
        <v>5884</v>
      </c>
    </row>
    <row r="3304" spans="1:12" x14ac:dyDescent="0.35">
      <c r="A3304" t="s">
        <v>2337</v>
      </c>
      <c r="B3304" s="1">
        <v>45742</v>
      </c>
      <c r="C3304" t="s">
        <v>8346</v>
      </c>
      <c r="E3304" t="s">
        <v>8347</v>
      </c>
      <c r="F3304" t="s">
        <v>8052</v>
      </c>
      <c r="H3304" t="s">
        <v>2621</v>
      </c>
      <c r="K3304">
        <v>15000</v>
      </c>
      <c r="L3304" t="s">
        <v>6803</v>
      </c>
    </row>
    <row r="3305" spans="1:12" x14ac:dyDescent="0.35">
      <c r="A3305" t="s">
        <v>2337</v>
      </c>
      <c r="B3305" s="1">
        <v>45742</v>
      </c>
      <c r="C3305" t="s">
        <v>8346</v>
      </c>
      <c r="E3305" t="s">
        <v>8347</v>
      </c>
      <c r="F3305" t="s">
        <v>7928</v>
      </c>
      <c r="H3305" t="s">
        <v>2621</v>
      </c>
      <c r="J3305">
        <v>15000</v>
      </c>
      <c r="L3305" t="s">
        <v>5938</v>
      </c>
    </row>
    <row r="3306" spans="1:12" x14ac:dyDescent="0.35">
      <c r="A3306" t="s">
        <v>2337</v>
      </c>
      <c r="B3306" s="1">
        <v>45742</v>
      </c>
      <c r="C3306" t="s">
        <v>8348</v>
      </c>
      <c r="E3306" t="s">
        <v>8349</v>
      </c>
      <c r="F3306" t="s">
        <v>8052</v>
      </c>
      <c r="H3306" t="s">
        <v>2622</v>
      </c>
      <c r="K3306">
        <v>108000</v>
      </c>
      <c r="L3306" t="s">
        <v>6803</v>
      </c>
    </row>
    <row r="3307" spans="1:12" x14ac:dyDescent="0.35">
      <c r="A3307" t="s">
        <v>2337</v>
      </c>
      <c r="B3307" s="1">
        <v>45742</v>
      </c>
      <c r="C3307" t="s">
        <v>8348</v>
      </c>
      <c r="E3307" t="s">
        <v>8349</v>
      </c>
      <c r="F3307" t="s">
        <v>7928</v>
      </c>
      <c r="H3307" t="s">
        <v>2622</v>
      </c>
      <c r="J3307">
        <v>108000</v>
      </c>
      <c r="L3307" t="s">
        <v>5932</v>
      </c>
    </row>
    <row r="3308" spans="1:12" x14ac:dyDescent="0.35">
      <c r="A3308" t="s">
        <v>2337</v>
      </c>
      <c r="B3308" s="1">
        <v>45742</v>
      </c>
      <c r="C3308" t="s">
        <v>8350</v>
      </c>
      <c r="E3308" t="s">
        <v>8351</v>
      </c>
      <c r="F3308" t="s">
        <v>8052</v>
      </c>
      <c r="H3308" t="s">
        <v>2623</v>
      </c>
      <c r="K3308">
        <v>186300</v>
      </c>
      <c r="L3308" t="s">
        <v>6803</v>
      </c>
    </row>
    <row r="3309" spans="1:12" x14ac:dyDescent="0.35">
      <c r="A3309" t="s">
        <v>2337</v>
      </c>
      <c r="B3309" s="1">
        <v>45742</v>
      </c>
      <c r="C3309" t="s">
        <v>8350</v>
      </c>
      <c r="E3309" t="s">
        <v>8351</v>
      </c>
      <c r="F3309" t="s">
        <v>7905</v>
      </c>
      <c r="H3309" t="s">
        <v>2624</v>
      </c>
      <c r="J3309">
        <v>138000</v>
      </c>
      <c r="L3309" t="s">
        <v>5944</v>
      </c>
    </row>
    <row r="3310" spans="1:12" x14ac:dyDescent="0.35">
      <c r="A3310" t="s">
        <v>2337</v>
      </c>
      <c r="B3310" s="1">
        <v>45742</v>
      </c>
      <c r="C3310" t="s">
        <v>8350</v>
      </c>
      <c r="E3310" t="s">
        <v>8351</v>
      </c>
      <c r="F3310" t="s">
        <v>7908</v>
      </c>
      <c r="H3310" t="s">
        <v>2625</v>
      </c>
      <c r="J3310">
        <v>48300</v>
      </c>
      <c r="L3310" t="s">
        <v>5944</v>
      </c>
    </row>
    <row r="3311" spans="1:12" x14ac:dyDescent="0.35">
      <c r="A3311" t="s">
        <v>2337</v>
      </c>
      <c r="B3311" s="1">
        <v>45744</v>
      </c>
      <c r="C3311" t="s">
        <v>8352</v>
      </c>
      <c r="E3311" t="s">
        <v>8353</v>
      </c>
      <c r="F3311" t="s">
        <v>8098</v>
      </c>
      <c r="H3311" t="s">
        <v>2626</v>
      </c>
      <c r="K3311">
        <v>2149600</v>
      </c>
      <c r="L3311" t="s">
        <v>6803</v>
      </c>
    </row>
    <row r="3312" spans="1:12" x14ac:dyDescent="0.35">
      <c r="A3312" t="s">
        <v>2337</v>
      </c>
      <c r="B3312" s="1">
        <v>45744</v>
      </c>
      <c r="C3312" t="s">
        <v>8352</v>
      </c>
      <c r="E3312" t="s">
        <v>8353</v>
      </c>
      <c r="F3312" t="s">
        <v>8052</v>
      </c>
      <c r="H3312" t="s">
        <v>2626</v>
      </c>
      <c r="J3312">
        <v>2149600</v>
      </c>
      <c r="L3312" t="s">
        <v>6803</v>
      </c>
    </row>
    <row r="3313" spans="1:12" x14ac:dyDescent="0.35">
      <c r="A3313" t="s">
        <v>2337</v>
      </c>
      <c r="B3313" s="1">
        <v>45744</v>
      </c>
      <c r="C3313" t="s">
        <v>8354</v>
      </c>
      <c r="E3313" t="s">
        <v>8355</v>
      </c>
      <c r="F3313" t="s">
        <v>6804</v>
      </c>
      <c r="G3313" t="s">
        <v>8079</v>
      </c>
      <c r="H3313" t="s">
        <v>2627</v>
      </c>
      <c r="J3313">
        <v>-25200</v>
      </c>
      <c r="L3313" t="s">
        <v>6803</v>
      </c>
    </row>
    <row r="3314" spans="1:12" x14ac:dyDescent="0.35">
      <c r="A3314" t="s">
        <v>2337</v>
      </c>
      <c r="B3314" s="1">
        <v>45744</v>
      </c>
      <c r="C3314" t="s">
        <v>8354</v>
      </c>
      <c r="E3314" t="s">
        <v>8355</v>
      </c>
      <c r="F3314" t="s">
        <v>8052</v>
      </c>
      <c r="H3314" t="s">
        <v>2627</v>
      </c>
      <c r="K3314">
        <v>-25200</v>
      </c>
      <c r="L3314" t="s">
        <v>6803</v>
      </c>
    </row>
    <row r="3315" spans="1:12" x14ac:dyDescent="0.35">
      <c r="A3315" t="s">
        <v>2337</v>
      </c>
      <c r="B3315" s="1">
        <v>45744</v>
      </c>
      <c r="C3315" t="s">
        <v>8356</v>
      </c>
      <c r="E3315" t="s">
        <v>8357</v>
      </c>
      <c r="F3315" t="s">
        <v>6804</v>
      </c>
      <c r="G3315" t="s">
        <v>8358</v>
      </c>
      <c r="H3315" t="s">
        <v>2628</v>
      </c>
      <c r="J3315">
        <v>15366</v>
      </c>
      <c r="L3315" t="s">
        <v>6803</v>
      </c>
    </row>
    <row r="3316" spans="1:12" x14ac:dyDescent="0.35">
      <c r="A3316" t="s">
        <v>2337</v>
      </c>
      <c r="B3316" s="1">
        <v>45744</v>
      </c>
      <c r="C3316" t="s">
        <v>8356</v>
      </c>
      <c r="E3316" t="s">
        <v>8357</v>
      </c>
      <c r="F3316" t="s">
        <v>8052</v>
      </c>
      <c r="H3316" t="s">
        <v>2628</v>
      </c>
      <c r="K3316">
        <v>15366</v>
      </c>
      <c r="L3316" t="s">
        <v>6803</v>
      </c>
    </row>
    <row r="3317" spans="1:12" x14ac:dyDescent="0.35">
      <c r="A3317" t="s">
        <v>2337</v>
      </c>
      <c r="B3317" s="1">
        <v>45744</v>
      </c>
      <c r="C3317" t="s">
        <v>8359</v>
      </c>
      <c r="E3317" t="s">
        <v>8360</v>
      </c>
      <c r="F3317" t="s">
        <v>8052</v>
      </c>
      <c r="H3317" t="s">
        <v>2629</v>
      </c>
      <c r="K3317">
        <v>30000</v>
      </c>
      <c r="L3317" t="s">
        <v>6803</v>
      </c>
    </row>
    <row r="3318" spans="1:12" x14ac:dyDescent="0.35">
      <c r="A3318" t="s">
        <v>2337</v>
      </c>
      <c r="B3318" s="1">
        <v>45744</v>
      </c>
      <c r="C3318" t="s">
        <v>8359</v>
      </c>
      <c r="E3318" t="s">
        <v>8360</v>
      </c>
      <c r="F3318" t="s">
        <v>7928</v>
      </c>
      <c r="H3318" t="s">
        <v>2630</v>
      </c>
      <c r="J3318">
        <v>20000</v>
      </c>
      <c r="L3318" t="s">
        <v>5928</v>
      </c>
    </row>
    <row r="3319" spans="1:12" x14ac:dyDescent="0.35">
      <c r="A3319" t="s">
        <v>2337</v>
      </c>
      <c r="B3319" s="1">
        <v>45744</v>
      </c>
      <c r="C3319" t="s">
        <v>8359</v>
      </c>
      <c r="E3319" t="s">
        <v>8360</v>
      </c>
      <c r="F3319" t="s">
        <v>8154</v>
      </c>
      <c r="H3319" t="s">
        <v>2631</v>
      </c>
      <c r="J3319">
        <v>10000</v>
      </c>
      <c r="L3319" t="s">
        <v>5928</v>
      </c>
    </row>
    <row r="3320" spans="1:12" x14ac:dyDescent="0.35">
      <c r="A3320" t="s">
        <v>2337</v>
      </c>
      <c r="B3320" s="1">
        <v>45744</v>
      </c>
      <c r="C3320" t="s">
        <v>8361</v>
      </c>
      <c r="E3320" t="s">
        <v>8362</v>
      </c>
      <c r="F3320" t="s">
        <v>8052</v>
      </c>
      <c r="H3320" t="s">
        <v>2632</v>
      </c>
      <c r="K3320">
        <v>15000</v>
      </c>
      <c r="L3320" t="s">
        <v>6803</v>
      </c>
    </row>
    <row r="3321" spans="1:12" x14ac:dyDescent="0.35">
      <c r="A3321" t="s">
        <v>2337</v>
      </c>
      <c r="B3321" s="1">
        <v>45744</v>
      </c>
      <c r="C3321" t="s">
        <v>8361</v>
      </c>
      <c r="E3321" t="s">
        <v>8362</v>
      </c>
      <c r="F3321" t="s">
        <v>7928</v>
      </c>
      <c r="H3321" t="s">
        <v>2632</v>
      </c>
      <c r="J3321">
        <v>15000</v>
      </c>
      <c r="L3321" t="s">
        <v>5948</v>
      </c>
    </row>
    <row r="3322" spans="1:12" x14ac:dyDescent="0.35">
      <c r="A3322" t="s">
        <v>2337</v>
      </c>
      <c r="B3322" s="1">
        <v>45744</v>
      </c>
      <c r="C3322" t="s">
        <v>8363</v>
      </c>
      <c r="E3322" t="s">
        <v>8364</v>
      </c>
      <c r="F3322" t="s">
        <v>8052</v>
      </c>
      <c r="H3322" t="s">
        <v>2633</v>
      </c>
      <c r="K3322">
        <v>140000</v>
      </c>
      <c r="L3322" t="s">
        <v>6803</v>
      </c>
    </row>
    <row r="3323" spans="1:12" x14ac:dyDescent="0.35">
      <c r="A3323" t="s">
        <v>2337</v>
      </c>
      <c r="B3323" s="1">
        <v>45744</v>
      </c>
      <c r="C3323" t="s">
        <v>8363</v>
      </c>
      <c r="E3323" t="s">
        <v>8364</v>
      </c>
      <c r="F3323" t="s">
        <v>7615</v>
      </c>
      <c r="H3323" t="s">
        <v>2633</v>
      </c>
      <c r="J3323">
        <v>140000</v>
      </c>
      <c r="L3323" t="s">
        <v>5905</v>
      </c>
    </row>
    <row r="3324" spans="1:12" x14ac:dyDescent="0.35">
      <c r="A3324" t="s">
        <v>2337</v>
      </c>
      <c r="B3324" s="1">
        <v>45744</v>
      </c>
      <c r="C3324" t="s">
        <v>8365</v>
      </c>
      <c r="E3324" t="s">
        <v>8366</v>
      </c>
      <c r="F3324" t="s">
        <v>8052</v>
      </c>
      <c r="H3324" t="s">
        <v>2634</v>
      </c>
      <c r="K3324">
        <v>58000</v>
      </c>
      <c r="L3324" t="s">
        <v>6803</v>
      </c>
    </row>
    <row r="3325" spans="1:12" x14ac:dyDescent="0.35">
      <c r="A3325" t="s">
        <v>2337</v>
      </c>
      <c r="B3325" s="1">
        <v>45744</v>
      </c>
      <c r="C3325" t="s">
        <v>8365</v>
      </c>
      <c r="E3325" t="s">
        <v>8366</v>
      </c>
      <c r="F3325" t="s">
        <v>7928</v>
      </c>
      <c r="H3325" t="s">
        <v>2634</v>
      </c>
      <c r="J3325">
        <v>58000</v>
      </c>
      <c r="L3325" t="s">
        <v>5873</v>
      </c>
    </row>
    <row r="3326" spans="1:12" x14ac:dyDescent="0.35">
      <c r="A3326" t="s">
        <v>2337</v>
      </c>
      <c r="B3326" s="1">
        <v>45744</v>
      </c>
      <c r="C3326" t="s">
        <v>8367</v>
      </c>
      <c r="E3326" t="s">
        <v>8368</v>
      </c>
      <c r="F3326" t="s">
        <v>8052</v>
      </c>
      <c r="H3326" t="s">
        <v>2635</v>
      </c>
      <c r="K3326">
        <v>10000</v>
      </c>
      <c r="L3326" t="s">
        <v>6803</v>
      </c>
    </row>
    <row r="3327" spans="1:12" x14ac:dyDescent="0.35">
      <c r="A3327" t="s">
        <v>2337</v>
      </c>
      <c r="B3327" s="1">
        <v>45744</v>
      </c>
      <c r="C3327" t="s">
        <v>8367</v>
      </c>
      <c r="E3327" t="s">
        <v>8368</v>
      </c>
      <c r="F3327" t="s">
        <v>7928</v>
      </c>
      <c r="H3327" t="s">
        <v>2635</v>
      </c>
      <c r="J3327">
        <v>10000</v>
      </c>
      <c r="L3327" t="s">
        <v>5938</v>
      </c>
    </row>
    <row r="3328" spans="1:12" x14ac:dyDescent="0.35">
      <c r="A3328" t="s">
        <v>2337</v>
      </c>
      <c r="B3328" s="1">
        <v>45744</v>
      </c>
      <c r="C3328" t="s">
        <v>8369</v>
      </c>
      <c r="E3328" t="s">
        <v>8370</v>
      </c>
      <c r="F3328" t="s">
        <v>8052</v>
      </c>
      <c r="H3328" t="s">
        <v>2636</v>
      </c>
      <c r="K3328">
        <v>59000</v>
      </c>
      <c r="L3328" t="s">
        <v>6803</v>
      </c>
    </row>
    <row r="3329" spans="1:12" x14ac:dyDescent="0.35">
      <c r="A3329" t="s">
        <v>2337</v>
      </c>
      <c r="B3329" s="1">
        <v>45744</v>
      </c>
      <c r="C3329" t="s">
        <v>8369</v>
      </c>
      <c r="E3329" t="s">
        <v>8370</v>
      </c>
      <c r="F3329" t="s">
        <v>7928</v>
      </c>
      <c r="H3329" t="s">
        <v>2636</v>
      </c>
      <c r="J3329">
        <v>59000</v>
      </c>
      <c r="L3329" t="s">
        <v>5882</v>
      </c>
    </row>
    <row r="3330" spans="1:12" x14ac:dyDescent="0.35">
      <c r="A3330" t="s">
        <v>2337</v>
      </c>
      <c r="B3330" s="1">
        <v>45744</v>
      </c>
      <c r="C3330" t="s">
        <v>8371</v>
      </c>
      <c r="E3330" t="s">
        <v>8372</v>
      </c>
      <c r="F3330" t="s">
        <v>8052</v>
      </c>
      <c r="H3330" t="s">
        <v>2637</v>
      </c>
      <c r="K3330">
        <v>181000</v>
      </c>
      <c r="L3330" t="s">
        <v>6803</v>
      </c>
    </row>
    <row r="3331" spans="1:12" x14ac:dyDescent="0.35">
      <c r="A3331" t="s">
        <v>2337</v>
      </c>
      <c r="B3331" s="1">
        <v>45744</v>
      </c>
      <c r="C3331" t="s">
        <v>8371</v>
      </c>
      <c r="E3331" t="s">
        <v>8372</v>
      </c>
      <c r="F3331" t="s">
        <v>7905</v>
      </c>
      <c r="H3331" t="s">
        <v>2638</v>
      </c>
      <c r="J3331">
        <v>142000</v>
      </c>
      <c r="L3331" t="s">
        <v>5952</v>
      </c>
    </row>
    <row r="3332" spans="1:12" x14ac:dyDescent="0.35">
      <c r="A3332" t="s">
        <v>2337</v>
      </c>
      <c r="B3332" s="1">
        <v>45744</v>
      </c>
      <c r="C3332" t="s">
        <v>8371</v>
      </c>
      <c r="E3332" t="s">
        <v>8372</v>
      </c>
      <c r="F3332" t="s">
        <v>7908</v>
      </c>
      <c r="H3332" t="s">
        <v>2639</v>
      </c>
      <c r="J3332">
        <v>34000</v>
      </c>
      <c r="L3332" t="s">
        <v>5952</v>
      </c>
    </row>
    <row r="3333" spans="1:12" x14ac:dyDescent="0.35">
      <c r="A3333" t="s">
        <v>2337</v>
      </c>
      <c r="B3333" s="1">
        <v>45744</v>
      </c>
      <c r="C3333" t="s">
        <v>8371</v>
      </c>
      <c r="E3333" t="s">
        <v>8372</v>
      </c>
      <c r="F3333" t="s">
        <v>7339</v>
      </c>
      <c r="H3333" t="s">
        <v>2640</v>
      </c>
      <c r="J3333">
        <v>5000</v>
      </c>
      <c r="L3333" t="s">
        <v>5952</v>
      </c>
    </row>
    <row r="3334" spans="1:12" x14ac:dyDescent="0.35">
      <c r="A3334" t="s">
        <v>2337</v>
      </c>
      <c r="B3334" s="1">
        <v>45744</v>
      </c>
      <c r="C3334" t="s">
        <v>8373</v>
      </c>
      <c r="E3334" t="s">
        <v>8374</v>
      </c>
      <c r="F3334" t="s">
        <v>8052</v>
      </c>
      <c r="H3334" t="s">
        <v>2641</v>
      </c>
      <c r="K3334">
        <v>105000</v>
      </c>
      <c r="L3334" t="s">
        <v>6803</v>
      </c>
    </row>
    <row r="3335" spans="1:12" x14ac:dyDescent="0.35">
      <c r="A3335" t="s">
        <v>2337</v>
      </c>
      <c r="B3335" s="1">
        <v>45744</v>
      </c>
      <c r="C3335" t="s">
        <v>8373</v>
      </c>
      <c r="E3335" t="s">
        <v>8374</v>
      </c>
      <c r="F3335" t="s">
        <v>7928</v>
      </c>
      <c r="H3335" t="s">
        <v>2641</v>
      </c>
      <c r="J3335">
        <v>105000</v>
      </c>
      <c r="L3335" t="s">
        <v>5933</v>
      </c>
    </row>
    <row r="3336" spans="1:12" x14ac:dyDescent="0.35">
      <c r="A3336" t="s">
        <v>2337</v>
      </c>
      <c r="B3336" s="1">
        <v>45744</v>
      </c>
      <c r="C3336" t="s">
        <v>8375</v>
      </c>
      <c r="E3336" t="s">
        <v>8376</v>
      </c>
      <c r="F3336" t="s">
        <v>8052</v>
      </c>
      <c r="H3336" t="s">
        <v>2642</v>
      </c>
      <c r="K3336">
        <v>292500</v>
      </c>
      <c r="L3336" t="s">
        <v>6803</v>
      </c>
    </row>
    <row r="3337" spans="1:12" x14ac:dyDescent="0.35">
      <c r="A3337" t="s">
        <v>2337</v>
      </c>
      <c r="B3337" s="1">
        <v>45744</v>
      </c>
      <c r="C3337" t="s">
        <v>8375</v>
      </c>
      <c r="E3337" t="s">
        <v>8376</v>
      </c>
      <c r="F3337" t="s">
        <v>7905</v>
      </c>
      <c r="H3337" t="s">
        <v>2643</v>
      </c>
      <c r="J3337">
        <v>205000</v>
      </c>
      <c r="L3337" t="s">
        <v>5944</v>
      </c>
    </row>
    <row r="3338" spans="1:12" x14ac:dyDescent="0.35">
      <c r="A3338" t="s">
        <v>2337</v>
      </c>
      <c r="B3338" s="1">
        <v>45744</v>
      </c>
      <c r="C3338" t="s">
        <v>8375</v>
      </c>
      <c r="E3338" t="s">
        <v>8376</v>
      </c>
      <c r="F3338" t="s">
        <v>7789</v>
      </c>
      <c r="H3338" t="s">
        <v>2644</v>
      </c>
      <c r="J3338">
        <v>4000</v>
      </c>
      <c r="L3338" t="s">
        <v>5944</v>
      </c>
    </row>
    <row r="3339" spans="1:12" x14ac:dyDescent="0.35">
      <c r="A3339" t="s">
        <v>2337</v>
      </c>
      <c r="B3339" s="1">
        <v>45744</v>
      </c>
      <c r="C3339" t="s">
        <v>8375</v>
      </c>
      <c r="E3339" t="s">
        <v>8376</v>
      </c>
      <c r="F3339" t="s">
        <v>7908</v>
      </c>
      <c r="H3339" t="s">
        <v>2645</v>
      </c>
      <c r="J3339">
        <v>62000</v>
      </c>
      <c r="L3339" t="s">
        <v>5944</v>
      </c>
    </row>
    <row r="3340" spans="1:12" x14ac:dyDescent="0.35">
      <c r="A3340" t="s">
        <v>2337</v>
      </c>
      <c r="B3340" s="1">
        <v>45744</v>
      </c>
      <c r="C3340" t="s">
        <v>8375</v>
      </c>
      <c r="E3340" t="s">
        <v>8376</v>
      </c>
      <c r="F3340" t="s">
        <v>7339</v>
      </c>
      <c r="H3340" t="s">
        <v>2646</v>
      </c>
      <c r="J3340">
        <v>1500</v>
      </c>
      <c r="L3340" t="s">
        <v>5953</v>
      </c>
    </row>
    <row r="3341" spans="1:12" x14ac:dyDescent="0.35">
      <c r="A3341" t="s">
        <v>2337</v>
      </c>
      <c r="B3341" s="1">
        <v>45744</v>
      </c>
      <c r="C3341" t="s">
        <v>8375</v>
      </c>
      <c r="E3341" t="s">
        <v>8376</v>
      </c>
      <c r="F3341" t="s">
        <v>7934</v>
      </c>
      <c r="H3341" t="s">
        <v>2647</v>
      </c>
      <c r="J3341">
        <v>20000</v>
      </c>
      <c r="L3341" t="s">
        <v>5884</v>
      </c>
    </row>
    <row r="3342" spans="1:12" x14ac:dyDescent="0.35">
      <c r="A3342" t="s">
        <v>2337</v>
      </c>
      <c r="B3342" s="1">
        <v>45744</v>
      </c>
      <c r="C3342" t="s">
        <v>8377</v>
      </c>
      <c r="E3342" t="s">
        <v>8378</v>
      </c>
      <c r="F3342" t="s">
        <v>8052</v>
      </c>
      <c r="H3342" t="s">
        <v>2648</v>
      </c>
      <c r="K3342">
        <v>395000</v>
      </c>
      <c r="L3342" t="s">
        <v>6803</v>
      </c>
    </row>
    <row r="3343" spans="1:12" x14ac:dyDescent="0.35">
      <c r="A3343" t="s">
        <v>2337</v>
      </c>
      <c r="B3343" s="1">
        <v>45744</v>
      </c>
      <c r="C3343" t="s">
        <v>8377</v>
      </c>
      <c r="E3343" t="s">
        <v>8378</v>
      </c>
      <c r="F3343" t="s">
        <v>7928</v>
      </c>
      <c r="H3343" t="s">
        <v>2649</v>
      </c>
      <c r="J3343">
        <v>390000</v>
      </c>
      <c r="L3343" t="s">
        <v>5942</v>
      </c>
    </row>
    <row r="3344" spans="1:12" x14ac:dyDescent="0.35">
      <c r="A3344" t="s">
        <v>2337</v>
      </c>
      <c r="B3344" s="1">
        <v>45744</v>
      </c>
      <c r="C3344" t="s">
        <v>8377</v>
      </c>
      <c r="E3344" t="s">
        <v>8378</v>
      </c>
      <c r="F3344" t="s">
        <v>7934</v>
      </c>
      <c r="H3344" t="s">
        <v>2650</v>
      </c>
      <c r="J3344">
        <v>5000</v>
      </c>
      <c r="L3344" t="s">
        <v>5942</v>
      </c>
    </row>
    <row r="3345" spans="1:12" x14ac:dyDescent="0.35">
      <c r="A3345" t="s">
        <v>2337</v>
      </c>
      <c r="B3345" s="1">
        <v>45744</v>
      </c>
      <c r="C3345" t="s">
        <v>8379</v>
      </c>
      <c r="E3345" t="s">
        <v>8380</v>
      </c>
      <c r="F3345" t="s">
        <v>8052</v>
      </c>
      <c r="H3345" t="s">
        <v>2651</v>
      </c>
      <c r="K3345">
        <v>1000000</v>
      </c>
      <c r="L3345" t="s">
        <v>6803</v>
      </c>
    </row>
    <row r="3346" spans="1:12" x14ac:dyDescent="0.35">
      <c r="A3346" t="s">
        <v>2337</v>
      </c>
      <c r="B3346" s="1">
        <v>45744</v>
      </c>
      <c r="C3346" t="s">
        <v>8379</v>
      </c>
      <c r="E3346" t="s">
        <v>8380</v>
      </c>
      <c r="F3346" t="s">
        <v>8381</v>
      </c>
      <c r="H3346" t="s">
        <v>2651</v>
      </c>
      <c r="J3346">
        <v>1000000</v>
      </c>
      <c r="L3346" t="s">
        <v>5931</v>
      </c>
    </row>
    <row r="3347" spans="1:12" x14ac:dyDescent="0.35">
      <c r="A3347" t="s">
        <v>2337</v>
      </c>
      <c r="B3347" s="1">
        <v>45744</v>
      </c>
      <c r="C3347" t="s">
        <v>8382</v>
      </c>
      <c r="E3347" t="s">
        <v>8383</v>
      </c>
      <c r="F3347" t="s">
        <v>8052</v>
      </c>
      <c r="H3347" t="s">
        <v>2488</v>
      </c>
      <c r="K3347">
        <v>28500</v>
      </c>
      <c r="L3347" t="s">
        <v>6803</v>
      </c>
    </row>
    <row r="3348" spans="1:12" x14ac:dyDescent="0.35">
      <c r="A3348" t="s">
        <v>2337</v>
      </c>
      <c r="B3348" s="1">
        <v>45744</v>
      </c>
      <c r="C3348" t="s">
        <v>8382</v>
      </c>
      <c r="E3348" t="s">
        <v>8383</v>
      </c>
      <c r="F3348" t="s">
        <v>8063</v>
      </c>
      <c r="H3348" t="s">
        <v>2488</v>
      </c>
      <c r="J3348">
        <v>28500</v>
      </c>
      <c r="L3348" t="s">
        <v>5931</v>
      </c>
    </row>
    <row r="3349" spans="1:12" x14ac:dyDescent="0.35">
      <c r="A3349" t="s">
        <v>2337</v>
      </c>
      <c r="B3349" s="1">
        <v>45744</v>
      </c>
      <c r="C3349" t="s">
        <v>8384</v>
      </c>
      <c r="E3349" t="s">
        <v>8385</v>
      </c>
      <c r="F3349" t="s">
        <v>8052</v>
      </c>
      <c r="H3349" t="s">
        <v>2652</v>
      </c>
      <c r="K3349">
        <v>313500</v>
      </c>
      <c r="L3349" t="s">
        <v>6803</v>
      </c>
    </row>
    <row r="3350" spans="1:12" x14ac:dyDescent="0.35">
      <c r="A3350" t="s">
        <v>2337</v>
      </c>
      <c r="B3350" s="1">
        <v>45744</v>
      </c>
      <c r="C3350" t="s">
        <v>8384</v>
      </c>
      <c r="E3350" t="s">
        <v>8385</v>
      </c>
      <c r="F3350" t="s">
        <v>7905</v>
      </c>
      <c r="H3350" t="s">
        <v>2652</v>
      </c>
      <c r="J3350">
        <v>192000</v>
      </c>
      <c r="L3350" t="s">
        <v>5965</v>
      </c>
    </row>
    <row r="3351" spans="1:12" x14ac:dyDescent="0.35">
      <c r="A3351" t="s">
        <v>2337</v>
      </c>
      <c r="B3351" s="1">
        <v>45744</v>
      </c>
      <c r="C3351" t="s">
        <v>8384</v>
      </c>
      <c r="E3351" t="s">
        <v>8385</v>
      </c>
      <c r="F3351" t="s">
        <v>7908</v>
      </c>
      <c r="H3351" t="s">
        <v>2653</v>
      </c>
      <c r="J3351">
        <v>121500</v>
      </c>
      <c r="L3351" t="s">
        <v>5965</v>
      </c>
    </row>
    <row r="3352" spans="1:12" x14ac:dyDescent="0.35">
      <c r="A3352" t="s">
        <v>2337</v>
      </c>
      <c r="B3352" s="1">
        <v>45744</v>
      </c>
      <c r="C3352" t="s">
        <v>8386</v>
      </c>
      <c r="E3352" t="s">
        <v>8387</v>
      </c>
      <c r="F3352" t="s">
        <v>8052</v>
      </c>
      <c r="H3352" t="s">
        <v>2654</v>
      </c>
      <c r="K3352">
        <v>44000</v>
      </c>
      <c r="L3352" t="s">
        <v>6803</v>
      </c>
    </row>
    <row r="3353" spans="1:12" x14ac:dyDescent="0.35">
      <c r="A3353" t="s">
        <v>2337</v>
      </c>
      <c r="B3353" s="1">
        <v>45744</v>
      </c>
      <c r="C3353" t="s">
        <v>8386</v>
      </c>
      <c r="E3353" t="s">
        <v>8387</v>
      </c>
      <c r="F3353" t="s">
        <v>7928</v>
      </c>
      <c r="H3353" t="s">
        <v>2654</v>
      </c>
      <c r="J3353">
        <v>44000</v>
      </c>
      <c r="L3353" t="s">
        <v>5928</v>
      </c>
    </row>
    <row r="3354" spans="1:12" x14ac:dyDescent="0.35">
      <c r="A3354" t="s">
        <v>2337</v>
      </c>
      <c r="B3354" s="1">
        <v>45744</v>
      </c>
      <c r="C3354" t="s">
        <v>8388</v>
      </c>
      <c r="E3354" t="s">
        <v>8389</v>
      </c>
      <c r="F3354" t="s">
        <v>8121</v>
      </c>
      <c r="G3354" t="s">
        <v>8390</v>
      </c>
      <c r="H3354" t="s">
        <v>2655</v>
      </c>
      <c r="J3354">
        <v>300000</v>
      </c>
      <c r="L3354" t="s">
        <v>6803</v>
      </c>
    </row>
    <row r="3355" spans="1:12" x14ac:dyDescent="0.35">
      <c r="A3355" t="s">
        <v>2337</v>
      </c>
      <c r="B3355" s="1">
        <v>45744</v>
      </c>
      <c r="C3355" t="s">
        <v>8388</v>
      </c>
      <c r="E3355" t="s">
        <v>8389</v>
      </c>
      <c r="F3355" t="s">
        <v>8052</v>
      </c>
      <c r="H3355" t="s">
        <v>2655</v>
      </c>
      <c r="K3355">
        <v>300000</v>
      </c>
      <c r="L3355" t="s">
        <v>6803</v>
      </c>
    </row>
    <row r="3356" spans="1:12" x14ac:dyDescent="0.35">
      <c r="A3356" t="s">
        <v>2656</v>
      </c>
      <c r="B3356" s="1">
        <v>45719</v>
      </c>
      <c r="C3356" t="s">
        <v>7631</v>
      </c>
      <c r="F3356" t="s">
        <v>7831</v>
      </c>
      <c r="G3356" t="s">
        <v>8391</v>
      </c>
      <c r="H3356" t="s">
        <v>2657</v>
      </c>
      <c r="I3356" s="1">
        <v>45719</v>
      </c>
      <c r="K3356">
        <v>18254416</v>
      </c>
      <c r="L3356" t="s">
        <v>6803</v>
      </c>
    </row>
    <row r="3357" spans="1:12" x14ac:dyDescent="0.35">
      <c r="A3357" t="s">
        <v>2656</v>
      </c>
      <c r="B3357" s="1">
        <v>45719</v>
      </c>
      <c r="C3357" t="s">
        <v>7631</v>
      </c>
      <c r="F3357" t="s">
        <v>7866</v>
      </c>
      <c r="H3357" t="s">
        <v>2657</v>
      </c>
      <c r="J3357">
        <v>18254416</v>
      </c>
      <c r="L3357" t="s">
        <v>6803</v>
      </c>
    </row>
    <row r="3358" spans="1:12" x14ac:dyDescent="0.35">
      <c r="A3358" t="s">
        <v>2656</v>
      </c>
      <c r="B3358" s="1">
        <v>45720</v>
      </c>
      <c r="C3358" t="s">
        <v>7633</v>
      </c>
      <c r="F3358" t="s">
        <v>7831</v>
      </c>
      <c r="G3358" t="s">
        <v>7869</v>
      </c>
      <c r="H3358" t="s">
        <v>2658</v>
      </c>
      <c r="I3358" s="1">
        <v>45721</v>
      </c>
      <c r="K3358">
        <v>40520124</v>
      </c>
      <c r="L3358" t="s">
        <v>6803</v>
      </c>
    </row>
    <row r="3359" spans="1:12" x14ac:dyDescent="0.35">
      <c r="A3359" t="s">
        <v>2656</v>
      </c>
      <c r="B3359" s="1">
        <v>45720</v>
      </c>
      <c r="C3359" t="s">
        <v>7633</v>
      </c>
      <c r="F3359" t="s">
        <v>7870</v>
      </c>
      <c r="H3359" t="s">
        <v>2659</v>
      </c>
      <c r="J3359">
        <v>40520124</v>
      </c>
      <c r="L3359" t="s">
        <v>6803</v>
      </c>
    </row>
    <row r="3360" spans="1:12" x14ac:dyDescent="0.35">
      <c r="A3360" t="s">
        <v>2656</v>
      </c>
      <c r="B3360" s="1">
        <v>45720</v>
      </c>
      <c r="C3360" t="s">
        <v>7635</v>
      </c>
      <c r="F3360" t="s">
        <v>7823</v>
      </c>
      <c r="G3360" t="s">
        <v>8392</v>
      </c>
      <c r="H3360" t="s">
        <v>2660</v>
      </c>
      <c r="I3360" s="1">
        <v>45720</v>
      </c>
      <c r="K3360">
        <v>22446000</v>
      </c>
      <c r="L3360" t="s">
        <v>6803</v>
      </c>
    </row>
    <row r="3361" spans="1:12" x14ac:dyDescent="0.35">
      <c r="A3361" t="s">
        <v>2656</v>
      </c>
      <c r="B3361" s="1">
        <v>45720</v>
      </c>
      <c r="C3361" t="s">
        <v>7635</v>
      </c>
      <c r="F3361" t="s">
        <v>7870</v>
      </c>
      <c r="H3361" t="s">
        <v>2660</v>
      </c>
      <c r="J3361">
        <v>22446000</v>
      </c>
      <c r="L3361" t="s">
        <v>6803</v>
      </c>
    </row>
    <row r="3362" spans="1:12" x14ac:dyDescent="0.35">
      <c r="A3362" t="s">
        <v>2656</v>
      </c>
      <c r="B3362" s="1">
        <v>45722</v>
      </c>
      <c r="C3362" t="s">
        <v>7636</v>
      </c>
      <c r="F3362" t="s">
        <v>7831</v>
      </c>
      <c r="G3362" t="s">
        <v>8393</v>
      </c>
      <c r="H3362" t="s">
        <v>2661</v>
      </c>
      <c r="I3362" s="1">
        <v>45722</v>
      </c>
      <c r="K3362">
        <v>25099780</v>
      </c>
      <c r="L3362" t="s">
        <v>6803</v>
      </c>
    </row>
    <row r="3363" spans="1:12" x14ac:dyDescent="0.35">
      <c r="A3363" t="s">
        <v>2656</v>
      </c>
      <c r="B3363" s="1">
        <v>45722</v>
      </c>
      <c r="C3363" t="s">
        <v>7636</v>
      </c>
      <c r="F3363" t="s">
        <v>7830</v>
      </c>
      <c r="H3363" t="s">
        <v>2661</v>
      </c>
      <c r="J3363">
        <v>25099780</v>
      </c>
      <c r="L3363" t="s">
        <v>6803</v>
      </c>
    </row>
    <row r="3364" spans="1:12" x14ac:dyDescent="0.35">
      <c r="A3364" t="s">
        <v>2656</v>
      </c>
      <c r="B3364" s="1">
        <v>45722</v>
      </c>
      <c r="C3364" t="s">
        <v>7637</v>
      </c>
      <c r="F3364" t="s">
        <v>7831</v>
      </c>
      <c r="G3364" t="s">
        <v>8393</v>
      </c>
      <c r="H3364" t="s">
        <v>2662</v>
      </c>
      <c r="I3364" s="1">
        <v>45722</v>
      </c>
      <c r="K3364">
        <v>2714000</v>
      </c>
      <c r="L3364" t="s">
        <v>6803</v>
      </c>
    </row>
    <row r="3365" spans="1:12" x14ac:dyDescent="0.35">
      <c r="A3365" t="s">
        <v>2656</v>
      </c>
      <c r="B3365" s="1">
        <v>45722</v>
      </c>
      <c r="C3365" t="s">
        <v>7637</v>
      </c>
      <c r="F3365" t="s">
        <v>7830</v>
      </c>
      <c r="H3365" t="s">
        <v>2662</v>
      </c>
      <c r="J3365">
        <v>2714000</v>
      </c>
      <c r="L3365" t="s">
        <v>6803</v>
      </c>
    </row>
    <row r="3366" spans="1:12" x14ac:dyDescent="0.35">
      <c r="A3366" t="s">
        <v>2656</v>
      </c>
      <c r="B3366" s="1">
        <v>45722</v>
      </c>
      <c r="C3366" t="s">
        <v>7655</v>
      </c>
      <c r="F3366" t="s">
        <v>7831</v>
      </c>
      <c r="G3366" t="s">
        <v>7869</v>
      </c>
      <c r="H3366" t="s">
        <v>2663</v>
      </c>
      <c r="I3366" s="1">
        <v>45721</v>
      </c>
      <c r="K3366">
        <v>-40520124</v>
      </c>
      <c r="L3366" t="s">
        <v>6803</v>
      </c>
    </row>
    <row r="3367" spans="1:12" x14ac:dyDescent="0.35">
      <c r="A3367" t="s">
        <v>2656</v>
      </c>
      <c r="B3367" s="1">
        <v>45722</v>
      </c>
      <c r="C3367" t="s">
        <v>7655</v>
      </c>
      <c r="F3367" t="s">
        <v>7870</v>
      </c>
      <c r="H3367" t="s">
        <v>2663</v>
      </c>
      <c r="J3367">
        <v>-40520124</v>
      </c>
      <c r="L3367" t="s">
        <v>6803</v>
      </c>
    </row>
    <row r="3368" spans="1:12" x14ac:dyDescent="0.35">
      <c r="A3368" t="s">
        <v>2656</v>
      </c>
      <c r="B3368" s="1">
        <v>45729</v>
      </c>
      <c r="C3368" t="s">
        <v>7638</v>
      </c>
      <c r="F3368" t="s">
        <v>7831</v>
      </c>
      <c r="G3368" t="s">
        <v>8394</v>
      </c>
      <c r="H3368" t="s">
        <v>2664</v>
      </c>
      <c r="I3368" s="1">
        <v>45729</v>
      </c>
      <c r="K3368">
        <v>147500</v>
      </c>
      <c r="L3368" t="s">
        <v>6803</v>
      </c>
    </row>
    <row r="3369" spans="1:12" x14ac:dyDescent="0.35">
      <c r="A3369" t="s">
        <v>2656</v>
      </c>
      <c r="B3369" s="1">
        <v>45729</v>
      </c>
      <c r="C3369" t="s">
        <v>7638</v>
      </c>
      <c r="F3369" t="s">
        <v>7870</v>
      </c>
      <c r="H3369" t="s">
        <v>2664</v>
      </c>
      <c r="J3369">
        <v>147500</v>
      </c>
      <c r="L3369" t="s">
        <v>6803</v>
      </c>
    </row>
    <row r="3370" spans="1:12" x14ac:dyDescent="0.35">
      <c r="A3370" t="s">
        <v>2656</v>
      </c>
      <c r="B3370" s="1">
        <v>45730</v>
      </c>
      <c r="C3370" t="s">
        <v>7640</v>
      </c>
      <c r="F3370" t="s">
        <v>7831</v>
      </c>
      <c r="G3370" t="s">
        <v>8395</v>
      </c>
      <c r="H3370" t="s">
        <v>2665</v>
      </c>
      <c r="I3370" s="1">
        <v>45730</v>
      </c>
      <c r="K3370">
        <v>3957000</v>
      </c>
      <c r="L3370" t="s">
        <v>6803</v>
      </c>
    </row>
    <row r="3371" spans="1:12" x14ac:dyDescent="0.35">
      <c r="A3371" t="s">
        <v>2656</v>
      </c>
      <c r="B3371" s="1">
        <v>45730</v>
      </c>
      <c r="C3371" t="s">
        <v>7640</v>
      </c>
      <c r="F3371" t="s">
        <v>7870</v>
      </c>
      <c r="H3371" t="s">
        <v>2665</v>
      </c>
      <c r="J3371">
        <v>3957000</v>
      </c>
      <c r="L3371" t="s">
        <v>6803</v>
      </c>
    </row>
    <row r="3372" spans="1:12" x14ac:dyDescent="0.35">
      <c r="A3372" t="s">
        <v>2656</v>
      </c>
      <c r="B3372" s="1">
        <v>45733</v>
      </c>
      <c r="C3372" t="s">
        <v>7642</v>
      </c>
      <c r="F3372" t="s">
        <v>7823</v>
      </c>
      <c r="G3372" t="s">
        <v>8396</v>
      </c>
      <c r="H3372" t="s">
        <v>2666</v>
      </c>
      <c r="I3372" s="1">
        <v>45733</v>
      </c>
      <c r="K3372">
        <v>12255556</v>
      </c>
      <c r="L3372" t="s">
        <v>6803</v>
      </c>
    </row>
    <row r="3373" spans="1:12" x14ac:dyDescent="0.35">
      <c r="A3373" t="s">
        <v>2656</v>
      </c>
      <c r="B3373" s="1">
        <v>45733</v>
      </c>
      <c r="C3373" t="s">
        <v>7642</v>
      </c>
      <c r="F3373" t="s">
        <v>7870</v>
      </c>
      <c r="H3373" t="s">
        <v>2666</v>
      </c>
      <c r="J3373">
        <v>12255556</v>
      </c>
      <c r="L3373" t="s">
        <v>6803</v>
      </c>
    </row>
    <row r="3374" spans="1:12" x14ac:dyDescent="0.35">
      <c r="A3374" t="s">
        <v>2656</v>
      </c>
      <c r="B3374" s="1">
        <v>45734</v>
      </c>
      <c r="C3374" t="s">
        <v>7645</v>
      </c>
      <c r="F3374" t="s">
        <v>7831</v>
      </c>
      <c r="G3374" t="s">
        <v>8395</v>
      </c>
      <c r="H3374" t="s">
        <v>2667</v>
      </c>
      <c r="I3374" s="1">
        <v>45734</v>
      </c>
      <c r="K3374">
        <v>4303000</v>
      </c>
      <c r="L3374" t="s">
        <v>6803</v>
      </c>
    </row>
    <row r="3375" spans="1:12" x14ac:dyDescent="0.35">
      <c r="A3375" t="s">
        <v>2656</v>
      </c>
      <c r="B3375" s="1">
        <v>45734</v>
      </c>
      <c r="C3375" t="s">
        <v>7645</v>
      </c>
      <c r="F3375" t="s">
        <v>7859</v>
      </c>
      <c r="H3375" t="s">
        <v>2667</v>
      </c>
      <c r="J3375">
        <v>4303000</v>
      </c>
      <c r="L3375" t="s">
        <v>6803</v>
      </c>
    </row>
    <row r="3376" spans="1:12" x14ac:dyDescent="0.35">
      <c r="A3376" t="s">
        <v>2656</v>
      </c>
      <c r="B3376" s="1">
        <v>45735</v>
      </c>
      <c r="C3376" t="s">
        <v>7647</v>
      </c>
      <c r="F3376" t="s">
        <v>7831</v>
      </c>
      <c r="G3376" t="s">
        <v>8397</v>
      </c>
      <c r="H3376" t="s">
        <v>2668</v>
      </c>
      <c r="I3376" s="1">
        <v>45735</v>
      </c>
      <c r="K3376">
        <v>2242000</v>
      </c>
      <c r="L3376" t="s">
        <v>6803</v>
      </c>
    </row>
    <row r="3377" spans="1:12" x14ac:dyDescent="0.35">
      <c r="A3377" t="s">
        <v>2656</v>
      </c>
      <c r="B3377" s="1">
        <v>45735</v>
      </c>
      <c r="C3377" t="s">
        <v>7647</v>
      </c>
      <c r="F3377" t="s">
        <v>7892</v>
      </c>
      <c r="H3377" t="s">
        <v>2668</v>
      </c>
      <c r="J3377">
        <v>2242000</v>
      </c>
      <c r="L3377" t="s">
        <v>6803</v>
      </c>
    </row>
    <row r="3378" spans="1:12" x14ac:dyDescent="0.35">
      <c r="A3378" t="s">
        <v>2656</v>
      </c>
      <c r="B3378" s="1">
        <v>45735</v>
      </c>
      <c r="C3378" t="s">
        <v>7495</v>
      </c>
      <c r="F3378" t="s">
        <v>7831</v>
      </c>
      <c r="G3378" t="s">
        <v>8397</v>
      </c>
      <c r="H3378" t="s">
        <v>2669</v>
      </c>
      <c r="I3378" s="1">
        <v>45735</v>
      </c>
      <c r="K3378">
        <v>1180000</v>
      </c>
      <c r="L3378" t="s">
        <v>6803</v>
      </c>
    </row>
    <row r="3379" spans="1:12" x14ac:dyDescent="0.35">
      <c r="A3379" t="s">
        <v>2656</v>
      </c>
      <c r="B3379" s="1">
        <v>45735</v>
      </c>
      <c r="C3379" t="s">
        <v>7495</v>
      </c>
      <c r="F3379" t="s">
        <v>7892</v>
      </c>
      <c r="H3379" t="s">
        <v>2669</v>
      </c>
      <c r="J3379">
        <v>1180000</v>
      </c>
      <c r="L3379" t="s">
        <v>6803</v>
      </c>
    </row>
    <row r="3380" spans="1:12" x14ac:dyDescent="0.35">
      <c r="A3380" t="s">
        <v>2656</v>
      </c>
      <c r="B3380" s="1">
        <v>45742</v>
      </c>
      <c r="C3380" t="s">
        <v>7496</v>
      </c>
      <c r="F3380" t="s">
        <v>7823</v>
      </c>
      <c r="G3380" t="s">
        <v>8398</v>
      </c>
      <c r="H3380" t="s">
        <v>2670</v>
      </c>
      <c r="I3380" s="1">
        <v>45742</v>
      </c>
      <c r="K3380">
        <v>1298000</v>
      </c>
      <c r="L3380" t="s">
        <v>6803</v>
      </c>
    </row>
    <row r="3381" spans="1:12" x14ac:dyDescent="0.35">
      <c r="A3381" t="s">
        <v>2656</v>
      </c>
      <c r="B3381" s="1">
        <v>45742</v>
      </c>
      <c r="C3381" t="s">
        <v>7496</v>
      </c>
      <c r="F3381" t="s">
        <v>7866</v>
      </c>
      <c r="H3381" t="s">
        <v>2670</v>
      </c>
      <c r="J3381">
        <v>1298000</v>
      </c>
      <c r="L3381" t="s">
        <v>6803</v>
      </c>
    </row>
    <row r="3382" spans="1:12" x14ac:dyDescent="0.35">
      <c r="A3382" t="s">
        <v>2656</v>
      </c>
      <c r="B3382" s="1">
        <v>45742</v>
      </c>
      <c r="C3382" t="s">
        <v>7497</v>
      </c>
      <c r="F3382" t="s">
        <v>7823</v>
      </c>
      <c r="G3382" t="s">
        <v>8398</v>
      </c>
      <c r="H3382" t="s">
        <v>2671</v>
      </c>
      <c r="I3382" s="1">
        <v>45742</v>
      </c>
      <c r="K3382">
        <v>5310000</v>
      </c>
      <c r="L3382" t="s">
        <v>6803</v>
      </c>
    </row>
    <row r="3383" spans="1:12" x14ac:dyDescent="0.35">
      <c r="A3383" t="s">
        <v>2656</v>
      </c>
      <c r="B3383" s="1">
        <v>45742</v>
      </c>
      <c r="C3383" t="s">
        <v>7497</v>
      </c>
      <c r="F3383" t="s">
        <v>7866</v>
      </c>
      <c r="H3383" t="s">
        <v>2671</v>
      </c>
      <c r="J3383">
        <v>5310000</v>
      </c>
      <c r="L3383" t="s">
        <v>6803</v>
      </c>
    </row>
    <row r="3384" spans="1:12" x14ac:dyDescent="0.35">
      <c r="A3384" t="s">
        <v>2656</v>
      </c>
      <c r="B3384" s="1">
        <v>45742</v>
      </c>
      <c r="C3384" t="s">
        <v>7498</v>
      </c>
      <c r="F3384" t="s">
        <v>7823</v>
      </c>
      <c r="G3384" t="s">
        <v>8399</v>
      </c>
      <c r="H3384" t="s">
        <v>1799</v>
      </c>
      <c r="I3384" s="1">
        <v>45742</v>
      </c>
      <c r="K3384">
        <v>3540000</v>
      </c>
      <c r="L3384" t="s">
        <v>6803</v>
      </c>
    </row>
    <row r="3385" spans="1:12" x14ac:dyDescent="0.35">
      <c r="A3385" t="s">
        <v>2656</v>
      </c>
      <c r="B3385" s="1">
        <v>45742</v>
      </c>
      <c r="C3385" t="s">
        <v>7498</v>
      </c>
      <c r="F3385" t="s">
        <v>7830</v>
      </c>
      <c r="H3385" t="s">
        <v>1799</v>
      </c>
      <c r="J3385">
        <v>3540000</v>
      </c>
      <c r="L3385" t="s">
        <v>6803</v>
      </c>
    </row>
    <row r="3386" spans="1:12" x14ac:dyDescent="0.35">
      <c r="A3386" t="s">
        <v>2672</v>
      </c>
      <c r="B3386" s="1">
        <v>45717</v>
      </c>
      <c r="C3386" t="s">
        <v>7491</v>
      </c>
      <c r="F3386" t="s">
        <v>7825</v>
      </c>
      <c r="G3386" t="s">
        <v>7824</v>
      </c>
      <c r="H3386" t="s">
        <v>2673</v>
      </c>
      <c r="K3386">
        <v>7847000</v>
      </c>
      <c r="L3386" t="s">
        <v>6803</v>
      </c>
    </row>
    <row r="3387" spans="1:12" x14ac:dyDescent="0.35">
      <c r="A3387" t="s">
        <v>2672</v>
      </c>
      <c r="B3387" s="1">
        <v>45717</v>
      </c>
      <c r="C3387" t="s">
        <v>7491</v>
      </c>
      <c r="F3387" t="s">
        <v>8400</v>
      </c>
      <c r="H3387" t="s">
        <v>2673</v>
      </c>
      <c r="J3387">
        <v>7847000</v>
      </c>
      <c r="L3387" t="s">
        <v>6803</v>
      </c>
    </row>
    <row r="3388" spans="1:12" x14ac:dyDescent="0.35">
      <c r="A3388" t="s">
        <v>2672</v>
      </c>
      <c r="B3388" s="1">
        <v>45717</v>
      </c>
      <c r="C3388" t="s">
        <v>7551</v>
      </c>
      <c r="F3388" t="s">
        <v>7825</v>
      </c>
      <c r="G3388" t="s">
        <v>7824</v>
      </c>
      <c r="H3388" t="s">
        <v>2673</v>
      </c>
      <c r="K3388">
        <v>293431878</v>
      </c>
      <c r="L3388" t="s">
        <v>6803</v>
      </c>
    </row>
    <row r="3389" spans="1:12" x14ac:dyDescent="0.35">
      <c r="A3389" t="s">
        <v>2672</v>
      </c>
      <c r="B3389" s="1">
        <v>45717</v>
      </c>
      <c r="C3389" t="s">
        <v>7551</v>
      </c>
      <c r="F3389" t="s">
        <v>8400</v>
      </c>
      <c r="H3389" t="s">
        <v>2673</v>
      </c>
      <c r="J3389">
        <v>293431878</v>
      </c>
      <c r="L3389" t="s">
        <v>6803</v>
      </c>
    </row>
    <row r="3390" spans="1:12" x14ac:dyDescent="0.35">
      <c r="A3390" t="s">
        <v>2672</v>
      </c>
      <c r="B3390" s="1">
        <v>45741</v>
      </c>
      <c r="C3390" t="s">
        <v>7493</v>
      </c>
      <c r="F3390" t="s">
        <v>7825</v>
      </c>
      <c r="G3390" t="s">
        <v>7824</v>
      </c>
      <c r="H3390" t="s">
        <v>2673</v>
      </c>
      <c r="K3390">
        <v>498340160</v>
      </c>
      <c r="L3390" t="s">
        <v>6803</v>
      </c>
    </row>
    <row r="3391" spans="1:12" x14ac:dyDescent="0.35">
      <c r="A3391" t="s">
        <v>2672</v>
      </c>
      <c r="B3391" s="1">
        <v>45741</v>
      </c>
      <c r="C3391" t="s">
        <v>7493</v>
      </c>
      <c r="F3391" t="s">
        <v>8400</v>
      </c>
      <c r="H3391" t="s">
        <v>2673</v>
      </c>
      <c r="J3391">
        <v>498340160</v>
      </c>
      <c r="L3391" t="s">
        <v>6803</v>
      </c>
    </row>
    <row r="3392" spans="1:12" x14ac:dyDescent="0.35">
      <c r="A3392" t="s">
        <v>72</v>
      </c>
      <c r="B3392" s="1">
        <v>45719</v>
      </c>
      <c r="C3392" t="s">
        <v>7598</v>
      </c>
      <c r="D3392" t="s">
        <v>2674</v>
      </c>
      <c r="E3392" t="s">
        <v>2675</v>
      </c>
      <c r="F3392" t="s">
        <v>8401</v>
      </c>
      <c r="H3392" t="s">
        <v>2676</v>
      </c>
      <c r="J3392">
        <v>700000</v>
      </c>
      <c r="L3392" t="s">
        <v>6803</v>
      </c>
    </row>
    <row r="3393" spans="1:12" x14ac:dyDescent="0.35">
      <c r="A3393" t="s">
        <v>72</v>
      </c>
      <c r="B3393" s="1">
        <v>45719</v>
      </c>
      <c r="C3393" t="s">
        <v>7598</v>
      </c>
      <c r="D3393" t="s">
        <v>2674</v>
      </c>
      <c r="E3393" t="s">
        <v>2675</v>
      </c>
      <c r="F3393" t="s">
        <v>7867</v>
      </c>
      <c r="G3393" t="s">
        <v>7097</v>
      </c>
      <c r="H3393" t="s">
        <v>2677</v>
      </c>
      <c r="I3393" s="1">
        <v>45719</v>
      </c>
      <c r="K3393">
        <v>1003000</v>
      </c>
      <c r="L3393" t="s">
        <v>6803</v>
      </c>
    </row>
    <row r="3394" spans="1:12" x14ac:dyDescent="0.35">
      <c r="A3394" t="s">
        <v>72</v>
      </c>
      <c r="B3394" s="1">
        <v>45719</v>
      </c>
      <c r="C3394" t="s">
        <v>7598</v>
      </c>
      <c r="D3394" t="s">
        <v>2674</v>
      </c>
      <c r="E3394" t="s">
        <v>2675</v>
      </c>
      <c r="F3394" t="s">
        <v>8402</v>
      </c>
      <c r="H3394" t="s">
        <v>2677</v>
      </c>
      <c r="J3394">
        <v>153000</v>
      </c>
      <c r="L3394" t="s">
        <v>6803</v>
      </c>
    </row>
    <row r="3395" spans="1:12" x14ac:dyDescent="0.35">
      <c r="A3395" t="s">
        <v>72</v>
      </c>
      <c r="B3395" s="1">
        <v>45719</v>
      </c>
      <c r="C3395" t="s">
        <v>7598</v>
      </c>
      <c r="D3395" t="s">
        <v>2674</v>
      </c>
      <c r="E3395" t="s">
        <v>2675</v>
      </c>
      <c r="F3395" t="s">
        <v>8403</v>
      </c>
      <c r="H3395" t="s">
        <v>2678</v>
      </c>
      <c r="J3395">
        <v>150000</v>
      </c>
      <c r="L3395" t="s">
        <v>5929</v>
      </c>
    </row>
    <row r="3396" spans="1:12" x14ac:dyDescent="0.35">
      <c r="A3396" t="s">
        <v>72</v>
      </c>
      <c r="B3396" s="1">
        <v>45722</v>
      </c>
      <c r="C3396" t="s">
        <v>7485</v>
      </c>
      <c r="D3396" t="s">
        <v>7608</v>
      </c>
      <c r="E3396" t="s">
        <v>2679</v>
      </c>
      <c r="F3396" t="s">
        <v>8404</v>
      </c>
      <c r="H3396" t="s">
        <v>2680</v>
      </c>
      <c r="J3396">
        <v>1042000</v>
      </c>
      <c r="L3396" t="s">
        <v>6803</v>
      </c>
    </row>
    <row r="3397" spans="1:12" x14ac:dyDescent="0.35">
      <c r="A3397" t="s">
        <v>72</v>
      </c>
      <c r="B3397" s="1">
        <v>45722</v>
      </c>
      <c r="C3397" t="s">
        <v>7485</v>
      </c>
      <c r="D3397" t="s">
        <v>7608</v>
      </c>
      <c r="E3397" t="s">
        <v>2679</v>
      </c>
      <c r="F3397" t="s">
        <v>7867</v>
      </c>
      <c r="G3397" t="s">
        <v>8405</v>
      </c>
      <c r="H3397" t="s">
        <v>2680</v>
      </c>
      <c r="I3397" s="1">
        <v>45722</v>
      </c>
      <c r="K3397">
        <v>1042000</v>
      </c>
      <c r="L3397" t="s">
        <v>6803</v>
      </c>
    </row>
    <row r="3398" spans="1:12" x14ac:dyDescent="0.35">
      <c r="A3398" t="s">
        <v>72</v>
      </c>
      <c r="B3398" s="1">
        <v>45727</v>
      </c>
      <c r="C3398" t="s">
        <v>7600</v>
      </c>
      <c r="D3398" t="s">
        <v>8406</v>
      </c>
      <c r="E3398" t="s">
        <v>2681</v>
      </c>
      <c r="F3398" t="s">
        <v>8401</v>
      </c>
      <c r="H3398" t="s">
        <v>2682</v>
      </c>
      <c r="J3398">
        <v>1358000</v>
      </c>
      <c r="L3398" t="s">
        <v>6803</v>
      </c>
    </row>
    <row r="3399" spans="1:12" x14ac:dyDescent="0.35">
      <c r="A3399" t="s">
        <v>72</v>
      </c>
      <c r="B3399" s="1">
        <v>45727</v>
      </c>
      <c r="C3399" t="s">
        <v>7600</v>
      </c>
      <c r="D3399" t="s">
        <v>8406</v>
      </c>
      <c r="E3399" t="s">
        <v>2681</v>
      </c>
      <c r="F3399" t="s">
        <v>7867</v>
      </c>
      <c r="G3399" t="s">
        <v>6904</v>
      </c>
      <c r="H3399" t="s">
        <v>2683</v>
      </c>
      <c r="I3399" s="1">
        <v>45727</v>
      </c>
      <c r="K3399">
        <v>1692120</v>
      </c>
      <c r="L3399" t="s">
        <v>6803</v>
      </c>
    </row>
    <row r="3400" spans="1:12" x14ac:dyDescent="0.35">
      <c r="A3400" t="s">
        <v>72</v>
      </c>
      <c r="B3400" s="1">
        <v>45727</v>
      </c>
      <c r="C3400" t="s">
        <v>7600</v>
      </c>
      <c r="D3400" t="s">
        <v>8406</v>
      </c>
      <c r="E3400" t="s">
        <v>2681</v>
      </c>
      <c r="F3400" t="s">
        <v>8402</v>
      </c>
      <c r="H3400" t="s">
        <v>2682</v>
      </c>
      <c r="J3400">
        <v>244440</v>
      </c>
      <c r="L3400" t="s">
        <v>6803</v>
      </c>
    </row>
    <row r="3401" spans="1:12" x14ac:dyDescent="0.35">
      <c r="A3401" t="s">
        <v>72</v>
      </c>
      <c r="B3401" s="1">
        <v>45727</v>
      </c>
      <c r="C3401" t="s">
        <v>7600</v>
      </c>
      <c r="D3401" t="s">
        <v>8406</v>
      </c>
      <c r="E3401" t="s">
        <v>2681</v>
      </c>
      <c r="F3401" t="s">
        <v>6819</v>
      </c>
      <c r="H3401" t="s">
        <v>2684</v>
      </c>
      <c r="J3401">
        <v>13680</v>
      </c>
      <c r="L3401" t="s">
        <v>6803</v>
      </c>
    </row>
    <row r="3402" spans="1:12" x14ac:dyDescent="0.35">
      <c r="A3402" t="s">
        <v>72</v>
      </c>
      <c r="B3402" s="1">
        <v>45727</v>
      </c>
      <c r="C3402" t="s">
        <v>7600</v>
      </c>
      <c r="D3402" t="s">
        <v>8406</v>
      </c>
      <c r="E3402" t="s">
        <v>2681</v>
      </c>
      <c r="F3402" t="s">
        <v>7391</v>
      </c>
      <c r="H3402" t="s">
        <v>2685</v>
      </c>
      <c r="J3402">
        <v>76000</v>
      </c>
      <c r="L3402" t="s">
        <v>5928</v>
      </c>
    </row>
    <row r="3403" spans="1:12" x14ac:dyDescent="0.35">
      <c r="A3403" t="s">
        <v>72</v>
      </c>
      <c r="B3403" s="1">
        <v>45728</v>
      </c>
      <c r="C3403" t="s">
        <v>7483</v>
      </c>
      <c r="D3403" t="s">
        <v>8407</v>
      </c>
      <c r="E3403" t="s">
        <v>2686</v>
      </c>
      <c r="F3403" t="s">
        <v>8408</v>
      </c>
      <c r="H3403" t="s">
        <v>2687</v>
      </c>
      <c r="J3403">
        <v>1279600</v>
      </c>
      <c r="L3403" t="s">
        <v>6803</v>
      </c>
    </row>
    <row r="3404" spans="1:12" x14ac:dyDescent="0.35">
      <c r="A3404" t="s">
        <v>72</v>
      </c>
      <c r="B3404" s="1">
        <v>45728</v>
      </c>
      <c r="C3404" t="s">
        <v>7483</v>
      </c>
      <c r="D3404" t="s">
        <v>8407</v>
      </c>
      <c r="E3404" t="s">
        <v>2686</v>
      </c>
      <c r="F3404" t="s">
        <v>7867</v>
      </c>
      <c r="G3404" t="s">
        <v>7097</v>
      </c>
      <c r="H3404" t="s">
        <v>2687</v>
      </c>
      <c r="I3404" s="1">
        <v>45721</v>
      </c>
      <c r="K3404">
        <v>1509928</v>
      </c>
      <c r="L3404" t="s">
        <v>6803</v>
      </c>
    </row>
    <row r="3405" spans="1:12" x14ac:dyDescent="0.35">
      <c r="A3405" t="s">
        <v>72</v>
      </c>
      <c r="B3405" s="1">
        <v>45728</v>
      </c>
      <c r="C3405" t="s">
        <v>7483</v>
      </c>
      <c r="D3405" t="s">
        <v>8407</v>
      </c>
      <c r="E3405" t="s">
        <v>2686</v>
      </c>
      <c r="F3405" t="s">
        <v>8402</v>
      </c>
      <c r="H3405" t="s">
        <v>2687</v>
      </c>
      <c r="J3405">
        <v>230328</v>
      </c>
      <c r="L3405" t="s">
        <v>6803</v>
      </c>
    </row>
    <row r="3406" spans="1:12" x14ac:dyDescent="0.35">
      <c r="A3406" t="s">
        <v>72</v>
      </c>
      <c r="B3406" s="1">
        <v>45733</v>
      </c>
      <c r="C3406" t="s">
        <v>7599</v>
      </c>
      <c r="D3406" t="s">
        <v>8409</v>
      </c>
      <c r="E3406" t="s">
        <v>2688</v>
      </c>
      <c r="F3406" t="s">
        <v>8401</v>
      </c>
      <c r="H3406" t="s">
        <v>2689</v>
      </c>
      <c r="J3406">
        <v>1881800</v>
      </c>
      <c r="L3406" t="s">
        <v>6803</v>
      </c>
    </row>
    <row r="3407" spans="1:12" x14ac:dyDescent="0.35">
      <c r="A3407" t="s">
        <v>72</v>
      </c>
      <c r="B3407" s="1">
        <v>45733</v>
      </c>
      <c r="C3407" t="s">
        <v>7599</v>
      </c>
      <c r="D3407" t="s">
        <v>8409</v>
      </c>
      <c r="E3407" t="s">
        <v>2688</v>
      </c>
      <c r="F3407" t="s">
        <v>7867</v>
      </c>
      <c r="G3407" t="s">
        <v>6904</v>
      </c>
      <c r="H3407" t="s">
        <v>2689</v>
      </c>
      <c r="I3407" s="1">
        <v>45733</v>
      </c>
      <c r="K3407">
        <v>2220524</v>
      </c>
      <c r="L3407" t="s">
        <v>6803</v>
      </c>
    </row>
    <row r="3408" spans="1:12" x14ac:dyDescent="0.35">
      <c r="A3408" t="s">
        <v>72</v>
      </c>
      <c r="B3408" s="1">
        <v>45733</v>
      </c>
      <c r="C3408" t="s">
        <v>7599</v>
      </c>
      <c r="D3408" t="s">
        <v>8409</v>
      </c>
      <c r="E3408" t="s">
        <v>2688</v>
      </c>
      <c r="F3408" t="s">
        <v>8402</v>
      </c>
      <c r="H3408" t="s">
        <v>2689</v>
      </c>
      <c r="J3408">
        <v>338724</v>
      </c>
      <c r="L3408" t="s">
        <v>6803</v>
      </c>
    </row>
    <row r="3409" spans="1:12" x14ac:dyDescent="0.35">
      <c r="A3409" t="s">
        <v>72</v>
      </c>
      <c r="B3409" s="1">
        <v>45733</v>
      </c>
      <c r="C3409" t="s">
        <v>7601</v>
      </c>
      <c r="E3409" t="s">
        <v>2690</v>
      </c>
      <c r="F3409" t="s">
        <v>8410</v>
      </c>
      <c r="H3409" t="s">
        <v>2691</v>
      </c>
      <c r="J3409">
        <v>1699750</v>
      </c>
      <c r="L3409" t="s">
        <v>6803</v>
      </c>
    </row>
    <row r="3410" spans="1:12" x14ac:dyDescent="0.35">
      <c r="A3410" t="s">
        <v>72</v>
      </c>
      <c r="B3410" s="1">
        <v>45733</v>
      </c>
      <c r="C3410" t="s">
        <v>7601</v>
      </c>
      <c r="E3410" t="s">
        <v>2690</v>
      </c>
      <c r="F3410" t="s">
        <v>7867</v>
      </c>
      <c r="G3410" t="s">
        <v>7097</v>
      </c>
      <c r="H3410" t="s">
        <v>2691</v>
      </c>
      <c r="I3410" s="1">
        <v>45733</v>
      </c>
      <c r="K3410">
        <v>1699750</v>
      </c>
      <c r="L3410" t="s">
        <v>6803</v>
      </c>
    </row>
    <row r="3411" spans="1:12" x14ac:dyDescent="0.35">
      <c r="A3411" t="s">
        <v>72</v>
      </c>
      <c r="B3411" s="1">
        <v>45733</v>
      </c>
      <c r="C3411" t="s">
        <v>7603</v>
      </c>
      <c r="D3411" t="s">
        <v>8409</v>
      </c>
      <c r="E3411" t="s">
        <v>2688</v>
      </c>
      <c r="F3411" t="s">
        <v>8401</v>
      </c>
      <c r="H3411" t="s">
        <v>2692</v>
      </c>
      <c r="J3411">
        <v>-1881800</v>
      </c>
      <c r="L3411" t="s">
        <v>6803</v>
      </c>
    </row>
    <row r="3412" spans="1:12" x14ac:dyDescent="0.35">
      <c r="A3412" t="s">
        <v>72</v>
      </c>
      <c r="B3412" s="1">
        <v>45733</v>
      </c>
      <c r="C3412" t="s">
        <v>7603</v>
      </c>
      <c r="D3412" t="s">
        <v>8409</v>
      </c>
      <c r="E3412" t="s">
        <v>2688</v>
      </c>
      <c r="F3412" t="s">
        <v>7867</v>
      </c>
      <c r="G3412" t="s">
        <v>6904</v>
      </c>
      <c r="H3412" t="s">
        <v>2692</v>
      </c>
      <c r="I3412" s="1">
        <v>45733</v>
      </c>
      <c r="K3412">
        <v>-2220524</v>
      </c>
      <c r="L3412" t="s">
        <v>6803</v>
      </c>
    </row>
    <row r="3413" spans="1:12" x14ac:dyDescent="0.35">
      <c r="A3413" t="s">
        <v>72</v>
      </c>
      <c r="B3413" s="1">
        <v>45733</v>
      </c>
      <c r="C3413" t="s">
        <v>7603</v>
      </c>
      <c r="D3413" t="s">
        <v>8409</v>
      </c>
      <c r="E3413" t="s">
        <v>2688</v>
      </c>
      <c r="F3413" t="s">
        <v>8402</v>
      </c>
      <c r="H3413" t="s">
        <v>2692</v>
      </c>
      <c r="J3413">
        <v>-338724</v>
      </c>
      <c r="L3413" t="s">
        <v>6803</v>
      </c>
    </row>
    <row r="3414" spans="1:12" x14ac:dyDescent="0.35">
      <c r="A3414" t="s">
        <v>72</v>
      </c>
      <c r="B3414" s="1">
        <v>45735</v>
      </c>
      <c r="C3414" t="s">
        <v>7596</v>
      </c>
      <c r="D3414" t="s">
        <v>8411</v>
      </c>
      <c r="E3414" t="s">
        <v>2693</v>
      </c>
      <c r="F3414" t="s">
        <v>8408</v>
      </c>
      <c r="H3414" t="s">
        <v>2694</v>
      </c>
      <c r="J3414">
        <v>2074700</v>
      </c>
      <c r="L3414" t="s">
        <v>6803</v>
      </c>
    </row>
    <row r="3415" spans="1:12" x14ac:dyDescent="0.35">
      <c r="A3415" t="s">
        <v>72</v>
      </c>
      <c r="B3415" s="1">
        <v>45735</v>
      </c>
      <c r="C3415" t="s">
        <v>7596</v>
      </c>
      <c r="D3415" t="s">
        <v>8411</v>
      </c>
      <c r="E3415" t="s">
        <v>2693</v>
      </c>
      <c r="F3415" t="s">
        <v>7867</v>
      </c>
      <c r="G3415" t="s">
        <v>7097</v>
      </c>
      <c r="H3415" t="s">
        <v>2694</v>
      </c>
      <c r="I3415" s="1">
        <v>45735</v>
      </c>
      <c r="K3415">
        <v>2074700</v>
      </c>
      <c r="L3415" t="s">
        <v>6803</v>
      </c>
    </row>
    <row r="3416" spans="1:12" x14ac:dyDescent="0.35">
      <c r="A3416" t="s">
        <v>72</v>
      </c>
      <c r="B3416" s="1">
        <v>45740</v>
      </c>
      <c r="C3416" t="s">
        <v>7593</v>
      </c>
      <c r="D3416" t="s">
        <v>8412</v>
      </c>
      <c r="E3416" t="s">
        <v>2695</v>
      </c>
      <c r="F3416" t="s">
        <v>8413</v>
      </c>
      <c r="H3416" t="s">
        <v>2696</v>
      </c>
      <c r="J3416">
        <v>197033</v>
      </c>
      <c r="L3416" t="s">
        <v>6803</v>
      </c>
    </row>
    <row r="3417" spans="1:12" x14ac:dyDescent="0.35">
      <c r="A3417" t="s">
        <v>72</v>
      </c>
      <c r="B3417" s="1">
        <v>45740</v>
      </c>
      <c r="C3417" t="s">
        <v>7593</v>
      </c>
      <c r="D3417" t="s">
        <v>8412</v>
      </c>
      <c r="E3417" t="s">
        <v>2695</v>
      </c>
      <c r="F3417" t="s">
        <v>7867</v>
      </c>
      <c r="G3417" t="s">
        <v>7097</v>
      </c>
      <c r="H3417" t="s">
        <v>2696</v>
      </c>
      <c r="I3417" s="1">
        <v>45728</v>
      </c>
      <c r="K3417">
        <v>232500</v>
      </c>
      <c r="L3417" t="s">
        <v>6803</v>
      </c>
    </row>
    <row r="3418" spans="1:12" x14ac:dyDescent="0.35">
      <c r="A3418" t="s">
        <v>72</v>
      </c>
      <c r="B3418" s="1">
        <v>45740</v>
      </c>
      <c r="C3418" t="s">
        <v>7593</v>
      </c>
      <c r="D3418" t="s">
        <v>8412</v>
      </c>
      <c r="E3418" t="s">
        <v>2695</v>
      </c>
      <c r="F3418" t="s">
        <v>8402</v>
      </c>
      <c r="H3418" t="s">
        <v>2696</v>
      </c>
      <c r="J3418">
        <v>35467</v>
      </c>
      <c r="L3418" t="s">
        <v>6803</v>
      </c>
    </row>
    <row r="3419" spans="1:12" x14ac:dyDescent="0.35">
      <c r="A3419" t="s">
        <v>75</v>
      </c>
      <c r="B3419" s="1">
        <v>45721</v>
      </c>
      <c r="C3419" t="s">
        <v>7483</v>
      </c>
      <c r="D3419" t="s">
        <v>2697</v>
      </c>
      <c r="E3419" t="s">
        <v>2698</v>
      </c>
      <c r="F3419" t="s">
        <v>6804</v>
      </c>
      <c r="G3419" t="s">
        <v>8414</v>
      </c>
      <c r="H3419" t="s">
        <v>2699</v>
      </c>
      <c r="I3419" s="1">
        <v>45721</v>
      </c>
      <c r="J3419">
        <v>9001813</v>
      </c>
      <c r="L3419" t="s">
        <v>6803</v>
      </c>
    </row>
    <row r="3420" spans="1:12" x14ac:dyDescent="0.35">
      <c r="A3420" t="s">
        <v>75</v>
      </c>
      <c r="B3420" s="1">
        <v>45721</v>
      </c>
      <c r="C3420" t="s">
        <v>7483</v>
      </c>
      <c r="D3420" t="s">
        <v>2697</v>
      </c>
      <c r="E3420" t="s">
        <v>2698</v>
      </c>
      <c r="F3420" t="s">
        <v>8098</v>
      </c>
      <c r="H3420" t="s">
        <v>2699</v>
      </c>
      <c r="K3420">
        <v>9001813</v>
      </c>
      <c r="L3420" t="s">
        <v>6803</v>
      </c>
    </row>
    <row r="3421" spans="1:12" x14ac:dyDescent="0.35">
      <c r="A3421" t="s">
        <v>75</v>
      </c>
      <c r="B3421" s="1">
        <v>45736</v>
      </c>
      <c r="C3421" t="s">
        <v>7485</v>
      </c>
      <c r="D3421" t="s">
        <v>2700</v>
      </c>
      <c r="E3421" t="s">
        <v>2701</v>
      </c>
      <c r="F3421" t="s">
        <v>7867</v>
      </c>
      <c r="G3421" t="s">
        <v>2702</v>
      </c>
      <c r="H3421" t="s">
        <v>2703</v>
      </c>
      <c r="I3421" s="1">
        <v>45736</v>
      </c>
      <c r="J3421">
        <v>6195000</v>
      </c>
      <c r="L3421" t="s">
        <v>6803</v>
      </c>
    </row>
    <row r="3422" spans="1:12" x14ac:dyDescent="0.35">
      <c r="A3422" t="s">
        <v>75</v>
      </c>
      <c r="B3422" s="1">
        <v>45736</v>
      </c>
      <c r="C3422" t="s">
        <v>7485</v>
      </c>
      <c r="D3422" t="s">
        <v>2700</v>
      </c>
      <c r="E3422" t="s">
        <v>2701</v>
      </c>
      <c r="F3422" t="s">
        <v>8098</v>
      </c>
      <c r="H3422" t="s">
        <v>2703</v>
      </c>
      <c r="K3422">
        <v>6195000</v>
      </c>
      <c r="L3422" t="s">
        <v>6803</v>
      </c>
    </row>
    <row r="3423" spans="1:12" x14ac:dyDescent="0.35">
      <c r="A3423" t="s">
        <v>75</v>
      </c>
      <c r="B3423" s="1">
        <v>45736</v>
      </c>
      <c r="C3423" t="s">
        <v>7593</v>
      </c>
      <c r="D3423" t="s">
        <v>2700</v>
      </c>
      <c r="E3423" t="s">
        <v>2701</v>
      </c>
      <c r="F3423" t="s">
        <v>6804</v>
      </c>
      <c r="G3423" t="s">
        <v>7376</v>
      </c>
      <c r="H3423" t="s">
        <v>2704</v>
      </c>
      <c r="I3423" s="1">
        <v>45736</v>
      </c>
      <c r="J3423">
        <v>1089000</v>
      </c>
      <c r="L3423" t="s">
        <v>6803</v>
      </c>
    </row>
    <row r="3424" spans="1:12" x14ac:dyDescent="0.35">
      <c r="A3424" t="s">
        <v>75</v>
      </c>
      <c r="B3424" s="1">
        <v>45736</v>
      </c>
      <c r="C3424" t="s">
        <v>7593</v>
      </c>
      <c r="D3424" t="s">
        <v>2700</v>
      </c>
      <c r="E3424" t="s">
        <v>2701</v>
      </c>
      <c r="F3424" t="s">
        <v>8098</v>
      </c>
      <c r="H3424" t="s">
        <v>2704</v>
      </c>
      <c r="K3424">
        <v>1089000</v>
      </c>
      <c r="L3424" t="s">
        <v>6803</v>
      </c>
    </row>
    <row r="3425" spans="1:12" x14ac:dyDescent="0.35">
      <c r="A3425" t="s">
        <v>75</v>
      </c>
      <c r="B3425" s="1">
        <v>45736</v>
      </c>
      <c r="C3425" t="s">
        <v>7596</v>
      </c>
      <c r="D3425" t="s">
        <v>2700</v>
      </c>
      <c r="E3425" t="s">
        <v>2701</v>
      </c>
      <c r="F3425" t="s">
        <v>6804</v>
      </c>
      <c r="G3425" t="s">
        <v>7097</v>
      </c>
      <c r="H3425" t="s">
        <v>2705</v>
      </c>
      <c r="I3425" s="1">
        <v>45736</v>
      </c>
      <c r="J3425">
        <v>5200000</v>
      </c>
      <c r="L3425" t="s">
        <v>6803</v>
      </c>
    </row>
    <row r="3426" spans="1:12" x14ac:dyDescent="0.35">
      <c r="A3426" t="s">
        <v>75</v>
      </c>
      <c r="B3426" s="1">
        <v>45736</v>
      </c>
      <c r="C3426" t="s">
        <v>7596</v>
      </c>
      <c r="D3426" t="s">
        <v>2700</v>
      </c>
      <c r="E3426" t="s">
        <v>2701</v>
      </c>
      <c r="F3426" t="s">
        <v>7865</v>
      </c>
      <c r="H3426" t="s">
        <v>2705</v>
      </c>
      <c r="K3426">
        <v>104000</v>
      </c>
      <c r="L3426" t="s">
        <v>6803</v>
      </c>
    </row>
    <row r="3427" spans="1:12" x14ac:dyDescent="0.35">
      <c r="A3427" t="s">
        <v>75</v>
      </c>
      <c r="B3427" s="1">
        <v>45736</v>
      </c>
      <c r="C3427" t="s">
        <v>7596</v>
      </c>
      <c r="D3427" t="s">
        <v>2700</v>
      </c>
      <c r="E3427" t="s">
        <v>2701</v>
      </c>
      <c r="F3427" t="s">
        <v>8098</v>
      </c>
      <c r="H3427" t="s">
        <v>2705</v>
      </c>
      <c r="K3427">
        <v>5096000</v>
      </c>
      <c r="L3427" t="s">
        <v>6803</v>
      </c>
    </row>
    <row r="3428" spans="1:12" x14ac:dyDescent="0.35">
      <c r="A3428" t="s">
        <v>75</v>
      </c>
      <c r="B3428" s="1">
        <v>45736</v>
      </c>
      <c r="C3428" t="s">
        <v>7598</v>
      </c>
      <c r="D3428" t="s">
        <v>2700</v>
      </c>
      <c r="E3428" t="s">
        <v>2701</v>
      </c>
      <c r="F3428" t="s">
        <v>6804</v>
      </c>
      <c r="G3428" t="s">
        <v>7097</v>
      </c>
      <c r="H3428" t="s">
        <v>2706</v>
      </c>
      <c r="I3428" s="1">
        <v>45736</v>
      </c>
      <c r="J3428">
        <v>700000</v>
      </c>
      <c r="L3428" t="s">
        <v>6803</v>
      </c>
    </row>
    <row r="3429" spans="1:12" x14ac:dyDescent="0.35">
      <c r="A3429" t="s">
        <v>75</v>
      </c>
      <c r="B3429" s="1">
        <v>45736</v>
      </c>
      <c r="C3429" t="s">
        <v>7598</v>
      </c>
      <c r="D3429" t="s">
        <v>2700</v>
      </c>
      <c r="E3429" t="s">
        <v>2701</v>
      </c>
      <c r="F3429" t="s">
        <v>8098</v>
      </c>
      <c r="H3429" t="s">
        <v>2706</v>
      </c>
      <c r="K3429">
        <v>700000</v>
      </c>
      <c r="L3429" t="s">
        <v>6803</v>
      </c>
    </row>
    <row r="3430" spans="1:12" x14ac:dyDescent="0.35">
      <c r="A3430" t="s">
        <v>75</v>
      </c>
      <c r="B3430" s="1">
        <v>45736</v>
      </c>
      <c r="C3430" t="s">
        <v>7599</v>
      </c>
      <c r="D3430" t="s">
        <v>2700</v>
      </c>
      <c r="E3430" t="s">
        <v>2701</v>
      </c>
      <c r="F3430" t="s">
        <v>6804</v>
      </c>
      <c r="G3430" t="s">
        <v>7594</v>
      </c>
      <c r="H3430" t="s">
        <v>2707</v>
      </c>
      <c r="I3430" s="1">
        <v>45736</v>
      </c>
      <c r="J3430">
        <v>1661980</v>
      </c>
      <c r="L3430" t="s">
        <v>6803</v>
      </c>
    </row>
    <row r="3431" spans="1:12" x14ac:dyDescent="0.35">
      <c r="A3431" t="s">
        <v>75</v>
      </c>
      <c r="B3431" s="1">
        <v>45736</v>
      </c>
      <c r="C3431" t="s">
        <v>7599</v>
      </c>
      <c r="D3431" t="s">
        <v>2700</v>
      </c>
      <c r="E3431" t="s">
        <v>2701</v>
      </c>
      <c r="F3431" t="s">
        <v>8098</v>
      </c>
      <c r="H3431" t="s">
        <v>2707</v>
      </c>
      <c r="K3431">
        <v>1661980</v>
      </c>
      <c r="L3431" t="s">
        <v>6803</v>
      </c>
    </row>
    <row r="3432" spans="1:12" x14ac:dyDescent="0.35">
      <c r="A3432" t="s">
        <v>75</v>
      </c>
      <c r="B3432" s="1">
        <v>45736</v>
      </c>
      <c r="C3432" t="s">
        <v>7600</v>
      </c>
      <c r="D3432" t="s">
        <v>2700</v>
      </c>
      <c r="E3432" t="s">
        <v>2701</v>
      </c>
      <c r="F3432" t="s">
        <v>6804</v>
      </c>
      <c r="G3432" t="s">
        <v>7594</v>
      </c>
      <c r="H3432" t="s">
        <v>2708</v>
      </c>
      <c r="I3432" s="1">
        <v>45736</v>
      </c>
      <c r="J3432">
        <v>1926815</v>
      </c>
      <c r="L3432" t="s">
        <v>6803</v>
      </c>
    </row>
    <row r="3433" spans="1:12" x14ac:dyDescent="0.35">
      <c r="A3433" t="s">
        <v>75</v>
      </c>
      <c r="B3433" s="1">
        <v>45736</v>
      </c>
      <c r="C3433" t="s">
        <v>7600</v>
      </c>
      <c r="D3433" t="s">
        <v>2700</v>
      </c>
      <c r="E3433" t="s">
        <v>2701</v>
      </c>
      <c r="F3433" t="s">
        <v>8098</v>
      </c>
      <c r="H3433" t="s">
        <v>2708</v>
      </c>
      <c r="K3433">
        <v>1926815</v>
      </c>
      <c r="L3433" t="s">
        <v>6803</v>
      </c>
    </row>
    <row r="3434" spans="1:12" x14ac:dyDescent="0.35">
      <c r="A3434" t="s">
        <v>75</v>
      </c>
      <c r="B3434" s="1">
        <v>45736</v>
      </c>
      <c r="C3434" t="s">
        <v>7601</v>
      </c>
      <c r="D3434" t="s">
        <v>2700</v>
      </c>
      <c r="E3434" t="s">
        <v>2701</v>
      </c>
      <c r="F3434" t="s">
        <v>6804</v>
      </c>
      <c r="G3434" t="s">
        <v>7360</v>
      </c>
      <c r="H3434" t="s">
        <v>2709</v>
      </c>
      <c r="I3434" s="1">
        <v>45736</v>
      </c>
      <c r="J3434">
        <v>12226851</v>
      </c>
      <c r="L3434" t="s">
        <v>6803</v>
      </c>
    </row>
    <row r="3435" spans="1:12" x14ac:dyDescent="0.35">
      <c r="A3435" t="s">
        <v>75</v>
      </c>
      <c r="B3435" s="1">
        <v>45736</v>
      </c>
      <c r="C3435" t="s">
        <v>7601</v>
      </c>
      <c r="D3435" t="s">
        <v>2700</v>
      </c>
      <c r="E3435" t="s">
        <v>2701</v>
      </c>
      <c r="F3435" t="s">
        <v>8098</v>
      </c>
      <c r="H3435" t="s">
        <v>2709</v>
      </c>
      <c r="K3435">
        <v>12226851</v>
      </c>
      <c r="L3435" t="s">
        <v>6803</v>
      </c>
    </row>
    <row r="3436" spans="1:12" x14ac:dyDescent="0.35">
      <c r="A3436" t="s">
        <v>75</v>
      </c>
      <c r="B3436" s="1">
        <v>45736</v>
      </c>
      <c r="C3436" t="s">
        <v>7603</v>
      </c>
      <c r="D3436" t="s">
        <v>2700</v>
      </c>
      <c r="E3436" t="s">
        <v>2701</v>
      </c>
      <c r="F3436" t="s">
        <v>6804</v>
      </c>
      <c r="G3436" t="s">
        <v>7357</v>
      </c>
      <c r="H3436" t="s">
        <v>2710</v>
      </c>
      <c r="I3436" s="1">
        <v>45736</v>
      </c>
      <c r="J3436">
        <v>63994</v>
      </c>
      <c r="L3436" t="s">
        <v>6803</v>
      </c>
    </row>
    <row r="3437" spans="1:12" x14ac:dyDescent="0.35">
      <c r="A3437" t="s">
        <v>75</v>
      </c>
      <c r="B3437" s="1">
        <v>45736</v>
      </c>
      <c r="C3437" t="s">
        <v>7603</v>
      </c>
      <c r="D3437" t="s">
        <v>2700</v>
      </c>
      <c r="E3437" t="s">
        <v>2701</v>
      </c>
      <c r="F3437" t="s">
        <v>8098</v>
      </c>
      <c r="H3437" t="s">
        <v>2710</v>
      </c>
      <c r="K3437">
        <v>63994</v>
      </c>
      <c r="L3437" t="s">
        <v>6803</v>
      </c>
    </row>
    <row r="3438" spans="1:12" x14ac:dyDescent="0.35">
      <c r="A3438" t="s">
        <v>75</v>
      </c>
      <c r="B3438" s="1">
        <v>45736</v>
      </c>
      <c r="C3438" t="s">
        <v>7549</v>
      </c>
      <c r="D3438" t="s">
        <v>2711</v>
      </c>
      <c r="E3438" t="s">
        <v>2711</v>
      </c>
      <c r="F3438" t="s">
        <v>7514</v>
      </c>
      <c r="G3438" t="s">
        <v>7664</v>
      </c>
      <c r="H3438" t="s">
        <v>2712</v>
      </c>
      <c r="J3438">
        <v>69639883</v>
      </c>
      <c r="L3438" t="s">
        <v>6803</v>
      </c>
    </row>
    <row r="3439" spans="1:12" x14ac:dyDescent="0.35">
      <c r="A3439" t="s">
        <v>75</v>
      </c>
      <c r="B3439" s="1">
        <v>45736</v>
      </c>
      <c r="C3439" t="s">
        <v>7549</v>
      </c>
      <c r="D3439" t="s">
        <v>2711</v>
      </c>
      <c r="E3439" t="s">
        <v>2711</v>
      </c>
      <c r="F3439" t="s">
        <v>7514</v>
      </c>
      <c r="G3439" t="s">
        <v>2713</v>
      </c>
      <c r="H3439" t="s">
        <v>2712</v>
      </c>
      <c r="K3439">
        <v>69639883</v>
      </c>
      <c r="L3439" t="s">
        <v>6803</v>
      </c>
    </row>
    <row r="3440" spans="1:12" x14ac:dyDescent="0.35">
      <c r="A3440" t="s">
        <v>75</v>
      </c>
      <c r="B3440" s="1">
        <v>45736</v>
      </c>
      <c r="C3440" t="s">
        <v>7486</v>
      </c>
      <c r="D3440" t="s">
        <v>2714</v>
      </c>
      <c r="E3440" t="s">
        <v>2715</v>
      </c>
      <c r="F3440" t="s">
        <v>6804</v>
      </c>
      <c r="G3440" t="s">
        <v>8405</v>
      </c>
      <c r="H3440" t="s">
        <v>2716</v>
      </c>
      <c r="I3440" s="1">
        <v>45736</v>
      </c>
      <c r="J3440">
        <v>436000</v>
      </c>
      <c r="L3440" t="s">
        <v>6803</v>
      </c>
    </row>
    <row r="3441" spans="1:12" x14ac:dyDescent="0.35">
      <c r="A3441" t="s">
        <v>75</v>
      </c>
      <c r="B3441" s="1">
        <v>45736</v>
      </c>
      <c r="C3441" t="s">
        <v>7486</v>
      </c>
      <c r="D3441" t="s">
        <v>2714</v>
      </c>
      <c r="E3441" t="s">
        <v>2715</v>
      </c>
      <c r="F3441" t="s">
        <v>7867</v>
      </c>
      <c r="G3441" t="s">
        <v>8405</v>
      </c>
      <c r="H3441" t="s">
        <v>2716</v>
      </c>
      <c r="I3441" s="1">
        <v>45736</v>
      </c>
      <c r="J3441">
        <v>1042000</v>
      </c>
      <c r="L3441" t="s">
        <v>6803</v>
      </c>
    </row>
    <row r="3442" spans="1:12" x14ac:dyDescent="0.35">
      <c r="A3442" t="s">
        <v>75</v>
      </c>
      <c r="B3442" s="1">
        <v>45736</v>
      </c>
      <c r="C3442" t="s">
        <v>7486</v>
      </c>
      <c r="D3442" t="s">
        <v>2714</v>
      </c>
      <c r="E3442" t="s">
        <v>2715</v>
      </c>
      <c r="F3442" t="s">
        <v>7865</v>
      </c>
      <c r="H3442" t="s">
        <v>2716</v>
      </c>
      <c r="K3442">
        <v>29560</v>
      </c>
      <c r="L3442" t="s">
        <v>6803</v>
      </c>
    </row>
    <row r="3443" spans="1:12" x14ac:dyDescent="0.35">
      <c r="A3443" t="s">
        <v>75</v>
      </c>
      <c r="B3443" s="1">
        <v>45736</v>
      </c>
      <c r="C3443" t="s">
        <v>7486</v>
      </c>
      <c r="D3443" t="s">
        <v>2714</v>
      </c>
      <c r="E3443" t="s">
        <v>2715</v>
      </c>
      <c r="F3443" t="s">
        <v>8098</v>
      </c>
      <c r="H3443" t="s">
        <v>2716</v>
      </c>
      <c r="K3443">
        <v>1448440</v>
      </c>
      <c r="L3443" t="s">
        <v>6803</v>
      </c>
    </row>
    <row r="3444" spans="1:12" x14ac:dyDescent="0.35">
      <c r="A3444" t="s">
        <v>75</v>
      </c>
      <c r="B3444" s="1">
        <v>45737</v>
      </c>
      <c r="C3444" t="s">
        <v>7489</v>
      </c>
      <c r="D3444" t="s">
        <v>2717</v>
      </c>
      <c r="E3444" t="s">
        <v>2718</v>
      </c>
      <c r="F3444" t="s">
        <v>8098</v>
      </c>
      <c r="H3444" t="s">
        <v>2719</v>
      </c>
      <c r="K3444">
        <v>10000000</v>
      </c>
      <c r="L3444" t="s">
        <v>6803</v>
      </c>
    </row>
    <row r="3445" spans="1:12" x14ac:dyDescent="0.35">
      <c r="A3445" t="s">
        <v>75</v>
      </c>
      <c r="B3445" s="1">
        <v>45737</v>
      </c>
      <c r="C3445" t="s">
        <v>7489</v>
      </c>
      <c r="D3445" t="s">
        <v>2717</v>
      </c>
      <c r="E3445" t="s">
        <v>2718</v>
      </c>
      <c r="F3445" t="s">
        <v>8141</v>
      </c>
      <c r="H3445" t="s">
        <v>2719</v>
      </c>
      <c r="J3445">
        <v>10000000</v>
      </c>
      <c r="L3445" t="s">
        <v>5954</v>
      </c>
    </row>
    <row r="3446" spans="1:12" x14ac:dyDescent="0.35">
      <c r="A3446" t="s">
        <v>75</v>
      </c>
      <c r="B3446" s="1">
        <v>45742</v>
      </c>
      <c r="C3446" t="s">
        <v>7491</v>
      </c>
      <c r="D3446" t="s">
        <v>2720</v>
      </c>
      <c r="E3446" t="s">
        <v>2711</v>
      </c>
      <c r="F3446" t="s">
        <v>7847</v>
      </c>
      <c r="H3446" t="s">
        <v>2721</v>
      </c>
      <c r="I3446" s="1">
        <v>45742</v>
      </c>
      <c r="J3446">
        <v>158180181</v>
      </c>
      <c r="L3446" t="s">
        <v>6803</v>
      </c>
    </row>
    <row r="3447" spans="1:12" x14ac:dyDescent="0.35">
      <c r="A3447" t="s">
        <v>75</v>
      </c>
      <c r="B3447" s="1">
        <v>45742</v>
      </c>
      <c r="C3447" t="s">
        <v>7491</v>
      </c>
      <c r="D3447" t="s">
        <v>2720</v>
      </c>
      <c r="E3447" t="s">
        <v>2711</v>
      </c>
      <c r="F3447" t="s">
        <v>7514</v>
      </c>
      <c r="G3447" t="s">
        <v>7664</v>
      </c>
      <c r="H3447" t="s">
        <v>2721</v>
      </c>
      <c r="K3447">
        <v>158180181</v>
      </c>
      <c r="L3447" t="s">
        <v>6803</v>
      </c>
    </row>
    <row r="3448" spans="1:12" x14ac:dyDescent="0.35">
      <c r="A3448" t="s">
        <v>101</v>
      </c>
      <c r="B3448" s="1">
        <v>45717</v>
      </c>
      <c r="C3448" t="s">
        <v>7485</v>
      </c>
      <c r="F3448" t="s">
        <v>6808</v>
      </c>
      <c r="H3448" t="s">
        <v>2722</v>
      </c>
      <c r="J3448">
        <v>-12500000</v>
      </c>
      <c r="L3448" t="s">
        <v>6803</v>
      </c>
    </row>
    <row r="3449" spans="1:12" x14ac:dyDescent="0.35">
      <c r="A3449" t="s">
        <v>101</v>
      </c>
      <c r="B3449" s="1">
        <v>45717</v>
      </c>
      <c r="C3449" t="s">
        <v>7485</v>
      </c>
      <c r="F3449" t="s">
        <v>6811</v>
      </c>
      <c r="H3449" t="s">
        <v>2723</v>
      </c>
      <c r="J3449">
        <v>-462592</v>
      </c>
      <c r="L3449" t="s">
        <v>6803</v>
      </c>
    </row>
    <row r="3450" spans="1:12" x14ac:dyDescent="0.35">
      <c r="A3450" t="s">
        <v>101</v>
      </c>
      <c r="B3450" s="1">
        <v>45717</v>
      </c>
      <c r="C3450" t="s">
        <v>7485</v>
      </c>
      <c r="F3450" t="s">
        <v>6802</v>
      </c>
      <c r="H3450" t="s">
        <v>2724</v>
      </c>
      <c r="J3450">
        <v>-39739371</v>
      </c>
      <c r="L3450" t="s">
        <v>6803</v>
      </c>
    </row>
    <row r="3451" spans="1:12" x14ac:dyDescent="0.35">
      <c r="A3451" t="s">
        <v>101</v>
      </c>
      <c r="B3451" s="1">
        <v>45717</v>
      </c>
      <c r="C3451" t="s">
        <v>7485</v>
      </c>
      <c r="F3451" t="s">
        <v>8415</v>
      </c>
      <c r="G3451" t="s">
        <v>6906</v>
      </c>
      <c r="H3451" t="s">
        <v>2725</v>
      </c>
      <c r="I3451" s="1">
        <v>45716</v>
      </c>
      <c r="K3451">
        <v>-4864338</v>
      </c>
      <c r="L3451" t="s">
        <v>6803</v>
      </c>
    </row>
    <row r="3452" spans="1:12" x14ac:dyDescent="0.35">
      <c r="A3452" t="s">
        <v>101</v>
      </c>
      <c r="B3452" s="1">
        <v>45717</v>
      </c>
      <c r="C3452" t="s">
        <v>7485</v>
      </c>
      <c r="F3452" t="s">
        <v>8415</v>
      </c>
      <c r="G3452" t="s">
        <v>6822</v>
      </c>
      <c r="H3452" t="s">
        <v>2726</v>
      </c>
      <c r="I3452" s="1">
        <v>45716</v>
      </c>
      <c r="K3452">
        <v>-303850</v>
      </c>
      <c r="L3452" t="s">
        <v>6803</v>
      </c>
    </row>
    <row r="3453" spans="1:12" x14ac:dyDescent="0.35">
      <c r="A3453" t="s">
        <v>101</v>
      </c>
      <c r="B3453" s="1">
        <v>45717</v>
      </c>
      <c r="C3453" t="s">
        <v>7485</v>
      </c>
      <c r="F3453" t="s">
        <v>8415</v>
      </c>
      <c r="G3453" t="s">
        <v>6809</v>
      </c>
      <c r="H3453" t="s">
        <v>2727</v>
      </c>
      <c r="I3453" s="1">
        <v>45716</v>
      </c>
      <c r="K3453">
        <v>-992259</v>
      </c>
      <c r="L3453" t="s">
        <v>6803</v>
      </c>
    </row>
    <row r="3454" spans="1:12" x14ac:dyDescent="0.35">
      <c r="A3454" t="s">
        <v>101</v>
      </c>
      <c r="B3454" s="1">
        <v>45717</v>
      </c>
      <c r="C3454" t="s">
        <v>7485</v>
      </c>
      <c r="F3454" t="s">
        <v>8415</v>
      </c>
      <c r="G3454" t="s">
        <v>6805</v>
      </c>
      <c r="H3454" t="s">
        <v>2728</v>
      </c>
      <c r="I3454" s="1">
        <v>45716</v>
      </c>
      <c r="K3454">
        <v>-779620</v>
      </c>
      <c r="L3454" t="s">
        <v>6803</v>
      </c>
    </row>
    <row r="3455" spans="1:12" x14ac:dyDescent="0.35">
      <c r="A3455" t="s">
        <v>101</v>
      </c>
      <c r="B3455" s="1">
        <v>45717</v>
      </c>
      <c r="C3455" t="s">
        <v>7485</v>
      </c>
      <c r="F3455" t="s">
        <v>8415</v>
      </c>
      <c r="G3455" t="s">
        <v>6826</v>
      </c>
      <c r="H3455" t="s">
        <v>2729</v>
      </c>
      <c r="I3455" s="1">
        <v>45716</v>
      </c>
      <c r="K3455">
        <v>-870742</v>
      </c>
      <c r="L3455" t="s">
        <v>6803</v>
      </c>
    </row>
    <row r="3456" spans="1:12" x14ac:dyDescent="0.35">
      <c r="A3456" t="s">
        <v>101</v>
      </c>
      <c r="B3456" s="1">
        <v>45717</v>
      </c>
      <c r="C3456" t="s">
        <v>7485</v>
      </c>
      <c r="F3456" t="s">
        <v>8415</v>
      </c>
      <c r="G3456" t="s">
        <v>6832</v>
      </c>
      <c r="H3456" t="s">
        <v>2730</v>
      </c>
      <c r="I3456" s="1">
        <v>45716</v>
      </c>
      <c r="K3456">
        <v>-557809</v>
      </c>
      <c r="L3456" t="s">
        <v>6803</v>
      </c>
    </row>
    <row r="3457" spans="1:12" x14ac:dyDescent="0.35">
      <c r="A3457" t="s">
        <v>101</v>
      </c>
      <c r="B3457" s="1">
        <v>45717</v>
      </c>
      <c r="C3457" t="s">
        <v>7485</v>
      </c>
      <c r="F3457" t="s">
        <v>8415</v>
      </c>
      <c r="G3457" t="s">
        <v>6919</v>
      </c>
      <c r="H3457" t="s">
        <v>2731</v>
      </c>
      <c r="I3457" s="1">
        <v>45716</v>
      </c>
      <c r="K3457">
        <v>-38714</v>
      </c>
      <c r="L3457" t="s">
        <v>6803</v>
      </c>
    </row>
    <row r="3458" spans="1:12" x14ac:dyDescent="0.35">
      <c r="A3458" t="s">
        <v>101</v>
      </c>
      <c r="B3458" s="1">
        <v>45717</v>
      </c>
      <c r="C3458" t="s">
        <v>7485</v>
      </c>
      <c r="F3458" t="s">
        <v>8415</v>
      </c>
      <c r="G3458" t="s">
        <v>8416</v>
      </c>
      <c r="H3458" t="s">
        <v>2732</v>
      </c>
      <c r="I3458" s="1">
        <v>45716</v>
      </c>
      <c r="K3458">
        <v>-158742</v>
      </c>
      <c r="L3458" t="s">
        <v>6803</v>
      </c>
    </row>
    <row r="3459" spans="1:12" x14ac:dyDescent="0.35">
      <c r="A3459" t="s">
        <v>101</v>
      </c>
      <c r="B3459" s="1">
        <v>45717</v>
      </c>
      <c r="C3459" t="s">
        <v>7485</v>
      </c>
      <c r="F3459" t="s">
        <v>8415</v>
      </c>
      <c r="G3459" t="s">
        <v>7154</v>
      </c>
      <c r="H3459" t="s">
        <v>2733</v>
      </c>
      <c r="I3459" s="1">
        <v>45716</v>
      </c>
      <c r="K3459">
        <v>-121745</v>
      </c>
      <c r="L3459" t="s">
        <v>6803</v>
      </c>
    </row>
    <row r="3460" spans="1:12" x14ac:dyDescent="0.35">
      <c r="A3460" t="s">
        <v>101</v>
      </c>
      <c r="B3460" s="1">
        <v>45717</v>
      </c>
      <c r="C3460" t="s">
        <v>7485</v>
      </c>
      <c r="F3460" t="s">
        <v>8415</v>
      </c>
      <c r="G3460" t="s">
        <v>6843</v>
      </c>
      <c r="H3460" t="s">
        <v>2734</v>
      </c>
      <c r="I3460" s="1">
        <v>45716</v>
      </c>
      <c r="K3460">
        <v>-12500000</v>
      </c>
      <c r="L3460" t="s">
        <v>6803</v>
      </c>
    </row>
    <row r="3461" spans="1:12" x14ac:dyDescent="0.35">
      <c r="A3461" t="s">
        <v>101</v>
      </c>
      <c r="B3461" s="1">
        <v>45717</v>
      </c>
      <c r="C3461" t="s">
        <v>7485</v>
      </c>
      <c r="F3461" t="s">
        <v>8415</v>
      </c>
      <c r="G3461" t="s">
        <v>7119</v>
      </c>
      <c r="H3461" t="s">
        <v>2735</v>
      </c>
      <c r="I3461" s="1">
        <v>45716</v>
      </c>
      <c r="K3461">
        <v>-628628</v>
      </c>
      <c r="L3461" t="s">
        <v>6803</v>
      </c>
    </row>
    <row r="3462" spans="1:12" x14ac:dyDescent="0.35">
      <c r="A3462" t="s">
        <v>101</v>
      </c>
      <c r="B3462" s="1">
        <v>45717</v>
      </c>
      <c r="C3462" t="s">
        <v>7485</v>
      </c>
      <c r="F3462" t="s">
        <v>8415</v>
      </c>
      <c r="G3462" t="s">
        <v>6934</v>
      </c>
      <c r="H3462" t="s">
        <v>2736</v>
      </c>
      <c r="I3462" s="1">
        <v>45716</v>
      </c>
      <c r="K3462">
        <v>-30179600</v>
      </c>
      <c r="L3462" t="s">
        <v>6803</v>
      </c>
    </row>
    <row r="3463" spans="1:12" x14ac:dyDescent="0.35">
      <c r="A3463" t="s">
        <v>101</v>
      </c>
      <c r="B3463" s="1">
        <v>45717</v>
      </c>
      <c r="C3463" t="s">
        <v>7485</v>
      </c>
      <c r="F3463" t="s">
        <v>8415</v>
      </c>
      <c r="G3463" t="s">
        <v>6877</v>
      </c>
      <c r="H3463" t="s">
        <v>2737</v>
      </c>
      <c r="I3463" s="1">
        <v>45716</v>
      </c>
      <c r="K3463">
        <v>-96000</v>
      </c>
      <c r="L3463" t="s">
        <v>6803</v>
      </c>
    </row>
    <row r="3464" spans="1:12" x14ac:dyDescent="0.35">
      <c r="A3464" t="s">
        <v>101</v>
      </c>
      <c r="B3464" s="1">
        <v>45717</v>
      </c>
      <c r="C3464" t="s">
        <v>7485</v>
      </c>
      <c r="F3464" t="s">
        <v>8415</v>
      </c>
      <c r="G3464" t="s">
        <v>6885</v>
      </c>
      <c r="H3464" t="s">
        <v>2738</v>
      </c>
      <c r="I3464" s="1">
        <v>45716</v>
      </c>
      <c r="K3464">
        <v>-494000</v>
      </c>
      <c r="L3464" t="s">
        <v>6803</v>
      </c>
    </row>
    <row r="3465" spans="1:12" x14ac:dyDescent="0.35">
      <c r="A3465" t="s">
        <v>101</v>
      </c>
      <c r="B3465" s="1">
        <v>45717</v>
      </c>
      <c r="C3465" t="s">
        <v>7485</v>
      </c>
      <c r="F3465" t="s">
        <v>8415</v>
      </c>
      <c r="G3465" t="s">
        <v>6814</v>
      </c>
      <c r="H3465" t="s">
        <v>2739</v>
      </c>
      <c r="I3465" s="1">
        <v>45716</v>
      </c>
      <c r="K3465">
        <v>-131320</v>
      </c>
      <c r="L3465" t="s">
        <v>6803</v>
      </c>
    </row>
    <row r="3466" spans="1:12" x14ac:dyDescent="0.35">
      <c r="A3466" t="s">
        <v>101</v>
      </c>
      <c r="B3466" s="1">
        <v>45717</v>
      </c>
      <c r="C3466" t="s">
        <v>7485</v>
      </c>
      <c r="F3466" t="s">
        <v>8415</v>
      </c>
      <c r="G3466" t="s">
        <v>6987</v>
      </c>
      <c r="H3466" t="s">
        <v>2740</v>
      </c>
      <c r="I3466" s="1">
        <v>45716</v>
      </c>
      <c r="K3466">
        <v>-16896</v>
      </c>
      <c r="L3466" t="s">
        <v>6803</v>
      </c>
    </row>
    <row r="3467" spans="1:12" x14ac:dyDescent="0.35">
      <c r="A3467" t="s">
        <v>101</v>
      </c>
      <c r="B3467" s="1">
        <v>45717</v>
      </c>
      <c r="C3467" t="s">
        <v>7485</v>
      </c>
      <c r="F3467" t="s">
        <v>8415</v>
      </c>
      <c r="G3467" t="s">
        <v>7049</v>
      </c>
      <c r="H3467" t="s">
        <v>2741</v>
      </c>
      <c r="I3467" s="1">
        <v>45716</v>
      </c>
      <c r="K3467">
        <v>-185445</v>
      </c>
      <c r="L3467" t="s">
        <v>6803</v>
      </c>
    </row>
    <row r="3468" spans="1:12" x14ac:dyDescent="0.35">
      <c r="A3468" t="s">
        <v>101</v>
      </c>
      <c r="B3468" s="1">
        <v>45717</v>
      </c>
      <c r="C3468" t="s">
        <v>7485</v>
      </c>
      <c r="F3468" t="s">
        <v>8415</v>
      </c>
      <c r="G3468" t="s">
        <v>6880</v>
      </c>
      <c r="H3468" t="s">
        <v>2742</v>
      </c>
      <c r="I3468" s="1">
        <v>45716</v>
      </c>
      <c r="K3468">
        <v>-450000</v>
      </c>
      <c r="L3468" t="s">
        <v>6803</v>
      </c>
    </row>
    <row r="3469" spans="1:12" x14ac:dyDescent="0.35">
      <c r="A3469" t="s">
        <v>101</v>
      </c>
      <c r="B3469" s="1">
        <v>45717</v>
      </c>
      <c r="C3469" t="s">
        <v>7485</v>
      </c>
      <c r="F3469" t="s">
        <v>6820</v>
      </c>
      <c r="H3469" t="s">
        <v>2743</v>
      </c>
      <c r="J3469">
        <v>-667745</v>
      </c>
      <c r="L3469" t="s">
        <v>5929</v>
      </c>
    </row>
    <row r="3470" spans="1:12" x14ac:dyDescent="0.35">
      <c r="A3470" t="s">
        <v>101</v>
      </c>
      <c r="B3470" s="1">
        <v>45717</v>
      </c>
      <c r="C3470" t="s">
        <v>7593</v>
      </c>
      <c r="F3470" t="s">
        <v>8415</v>
      </c>
      <c r="G3470" t="s">
        <v>1447</v>
      </c>
      <c r="H3470" t="s">
        <v>2744</v>
      </c>
      <c r="I3470" s="1">
        <v>45716</v>
      </c>
      <c r="K3470">
        <v>-5696880</v>
      </c>
      <c r="L3470" t="s">
        <v>6803</v>
      </c>
    </row>
    <row r="3471" spans="1:12" x14ac:dyDescent="0.35">
      <c r="A3471" t="s">
        <v>101</v>
      </c>
      <c r="B3471" s="1">
        <v>45717</v>
      </c>
      <c r="C3471" t="s">
        <v>7593</v>
      </c>
      <c r="F3471" t="s">
        <v>7553</v>
      </c>
      <c r="H3471" t="s">
        <v>2744</v>
      </c>
      <c r="I3471" s="1">
        <v>45716</v>
      </c>
      <c r="J3471">
        <v>-1165000</v>
      </c>
      <c r="L3471" t="s">
        <v>6803</v>
      </c>
    </row>
    <row r="3472" spans="1:12" x14ac:dyDescent="0.35">
      <c r="A3472" t="s">
        <v>101</v>
      </c>
      <c r="B3472" s="1">
        <v>45717</v>
      </c>
      <c r="C3472" t="s">
        <v>7593</v>
      </c>
      <c r="F3472" t="s">
        <v>7554</v>
      </c>
      <c r="H3472" t="s">
        <v>2744</v>
      </c>
      <c r="J3472">
        <v>-4531880</v>
      </c>
      <c r="L3472" t="s">
        <v>5903</v>
      </c>
    </row>
    <row r="3473" spans="1:12" x14ac:dyDescent="0.35">
      <c r="A3473" t="s">
        <v>101</v>
      </c>
      <c r="B3473" s="1">
        <v>45717</v>
      </c>
      <c r="C3473" t="s">
        <v>7596</v>
      </c>
      <c r="F3473" t="s">
        <v>8417</v>
      </c>
      <c r="H3473" t="s">
        <v>2745</v>
      </c>
      <c r="K3473">
        <v>4265926</v>
      </c>
      <c r="L3473" t="s">
        <v>6803</v>
      </c>
    </row>
    <row r="3474" spans="1:12" x14ac:dyDescent="0.35">
      <c r="A3474" t="s">
        <v>101</v>
      </c>
      <c r="B3474" s="1">
        <v>45717</v>
      </c>
      <c r="C3474" t="s">
        <v>7596</v>
      </c>
      <c r="F3474" t="s">
        <v>8418</v>
      </c>
      <c r="H3474" t="s">
        <v>2745</v>
      </c>
      <c r="J3474">
        <v>4265926</v>
      </c>
      <c r="L3474" t="s">
        <v>5909</v>
      </c>
    </row>
    <row r="3475" spans="1:12" x14ac:dyDescent="0.35">
      <c r="A3475" t="s">
        <v>101</v>
      </c>
      <c r="B3475" s="1">
        <v>45717</v>
      </c>
      <c r="C3475" t="s">
        <v>7599</v>
      </c>
      <c r="F3475" t="s">
        <v>8415</v>
      </c>
      <c r="G3475" t="s">
        <v>7097</v>
      </c>
      <c r="H3475" t="s">
        <v>2746</v>
      </c>
      <c r="I3475" s="1">
        <v>45716</v>
      </c>
      <c r="K3475">
        <v>-6710000</v>
      </c>
      <c r="L3475" t="s">
        <v>6803</v>
      </c>
    </row>
    <row r="3476" spans="1:12" x14ac:dyDescent="0.35">
      <c r="A3476" t="s">
        <v>101</v>
      </c>
      <c r="B3476" s="1">
        <v>45717</v>
      </c>
      <c r="C3476" t="s">
        <v>7599</v>
      </c>
      <c r="F3476" t="s">
        <v>7502</v>
      </c>
      <c r="H3476" t="s">
        <v>2746</v>
      </c>
      <c r="J3476">
        <v>-6710000</v>
      </c>
      <c r="L3476" t="s">
        <v>5928</v>
      </c>
    </row>
    <row r="3477" spans="1:12" x14ac:dyDescent="0.35">
      <c r="A3477" t="s">
        <v>101</v>
      </c>
      <c r="B3477" s="1">
        <v>45717</v>
      </c>
      <c r="C3477" t="s">
        <v>7600</v>
      </c>
      <c r="F3477" t="s">
        <v>6808</v>
      </c>
      <c r="H3477" t="s">
        <v>2747</v>
      </c>
      <c r="J3477">
        <v>-14000000</v>
      </c>
      <c r="L3477" t="s">
        <v>6803</v>
      </c>
    </row>
    <row r="3478" spans="1:12" x14ac:dyDescent="0.35">
      <c r="A3478" t="s">
        <v>101</v>
      </c>
      <c r="B3478" s="1">
        <v>45717</v>
      </c>
      <c r="C3478" t="s">
        <v>7600</v>
      </c>
      <c r="F3478" t="s">
        <v>6802</v>
      </c>
      <c r="H3478" t="s">
        <v>2747</v>
      </c>
      <c r="K3478">
        <v>-14000000</v>
      </c>
      <c r="L3478" t="s">
        <v>6803</v>
      </c>
    </row>
    <row r="3479" spans="1:12" x14ac:dyDescent="0.35">
      <c r="A3479" t="s">
        <v>101</v>
      </c>
      <c r="B3479" s="1">
        <v>45717</v>
      </c>
      <c r="C3479" t="s">
        <v>7601</v>
      </c>
      <c r="F3479" t="s">
        <v>7550</v>
      </c>
      <c r="H3479" t="s">
        <v>2748</v>
      </c>
      <c r="J3479">
        <v>-29648340</v>
      </c>
      <c r="L3479" t="s">
        <v>6803</v>
      </c>
    </row>
    <row r="3480" spans="1:12" x14ac:dyDescent="0.35">
      <c r="A3480" t="s">
        <v>101</v>
      </c>
      <c r="B3480" s="1">
        <v>45717</v>
      </c>
      <c r="C3480" t="s">
        <v>7601</v>
      </c>
      <c r="F3480" t="s">
        <v>8415</v>
      </c>
      <c r="G3480" t="s">
        <v>7524</v>
      </c>
      <c r="H3480" t="s">
        <v>2748</v>
      </c>
      <c r="I3480" s="1">
        <v>45716</v>
      </c>
      <c r="K3480">
        <v>-29648340</v>
      </c>
      <c r="L3480" t="s">
        <v>6803</v>
      </c>
    </row>
    <row r="3481" spans="1:12" x14ac:dyDescent="0.35">
      <c r="A3481" t="s">
        <v>101</v>
      </c>
      <c r="B3481" s="1">
        <v>45717</v>
      </c>
      <c r="C3481" t="s">
        <v>7603</v>
      </c>
      <c r="F3481" t="s">
        <v>7550</v>
      </c>
      <c r="H3481" t="s">
        <v>2748</v>
      </c>
      <c r="J3481">
        <v>-6000000</v>
      </c>
      <c r="L3481" t="s">
        <v>6803</v>
      </c>
    </row>
    <row r="3482" spans="1:12" x14ac:dyDescent="0.35">
      <c r="A3482" t="s">
        <v>101</v>
      </c>
      <c r="B3482" s="1">
        <v>45717</v>
      </c>
      <c r="C3482" t="s">
        <v>7603</v>
      </c>
      <c r="F3482" t="s">
        <v>6802</v>
      </c>
      <c r="H3482" t="s">
        <v>2748</v>
      </c>
      <c r="K3482">
        <v>-6000000</v>
      </c>
      <c r="L3482" t="s">
        <v>6803</v>
      </c>
    </row>
    <row r="3483" spans="1:12" x14ac:dyDescent="0.35">
      <c r="A3483" t="s">
        <v>101</v>
      </c>
      <c r="B3483" s="1">
        <v>45717</v>
      </c>
      <c r="C3483" t="s">
        <v>7564</v>
      </c>
      <c r="F3483" t="s">
        <v>8419</v>
      </c>
      <c r="H3483" t="s">
        <v>2749</v>
      </c>
      <c r="J3483">
        <v>-254220696</v>
      </c>
      <c r="L3483" t="s">
        <v>6803</v>
      </c>
    </row>
    <row r="3484" spans="1:12" x14ac:dyDescent="0.35">
      <c r="A3484" t="s">
        <v>101</v>
      </c>
      <c r="B3484" s="1">
        <v>45717</v>
      </c>
      <c r="C3484" t="s">
        <v>7564</v>
      </c>
      <c r="F3484" t="s">
        <v>7836</v>
      </c>
      <c r="H3484" t="s">
        <v>2749</v>
      </c>
      <c r="K3484">
        <v>-25124937</v>
      </c>
      <c r="L3484" t="s">
        <v>6803</v>
      </c>
    </row>
    <row r="3485" spans="1:12" x14ac:dyDescent="0.35">
      <c r="A3485" t="s">
        <v>101</v>
      </c>
      <c r="B3485" s="1">
        <v>45717</v>
      </c>
      <c r="C3485" t="s">
        <v>7564</v>
      </c>
      <c r="F3485" t="s">
        <v>8420</v>
      </c>
      <c r="H3485" t="s">
        <v>2749</v>
      </c>
      <c r="K3485">
        <v>-43103742</v>
      </c>
      <c r="L3485" t="s">
        <v>6803</v>
      </c>
    </row>
    <row r="3486" spans="1:12" x14ac:dyDescent="0.35">
      <c r="A3486" t="s">
        <v>101</v>
      </c>
      <c r="B3486" s="1">
        <v>45717</v>
      </c>
      <c r="C3486" t="s">
        <v>7564</v>
      </c>
      <c r="F3486" t="s">
        <v>8421</v>
      </c>
      <c r="H3486" t="s">
        <v>2749</v>
      </c>
      <c r="J3486">
        <v>-43103742</v>
      </c>
      <c r="L3486" t="s">
        <v>6803</v>
      </c>
    </row>
    <row r="3487" spans="1:12" x14ac:dyDescent="0.35">
      <c r="A3487" t="s">
        <v>101</v>
      </c>
      <c r="B3487" s="1">
        <v>45717</v>
      </c>
      <c r="C3487" t="s">
        <v>7564</v>
      </c>
      <c r="F3487" t="s">
        <v>6806</v>
      </c>
      <c r="H3487" t="s">
        <v>2749</v>
      </c>
      <c r="K3487">
        <v>-10314614</v>
      </c>
      <c r="L3487" t="s">
        <v>6803</v>
      </c>
    </row>
    <row r="3488" spans="1:12" x14ac:dyDescent="0.35">
      <c r="A3488" t="s">
        <v>101</v>
      </c>
      <c r="B3488" s="1">
        <v>45717</v>
      </c>
      <c r="C3488" t="s">
        <v>7564</v>
      </c>
      <c r="F3488" t="s">
        <v>6819</v>
      </c>
      <c r="H3488" t="s">
        <v>2749</v>
      </c>
      <c r="K3488">
        <v>-10776625</v>
      </c>
      <c r="L3488" t="s">
        <v>6803</v>
      </c>
    </row>
    <row r="3489" spans="1:12" x14ac:dyDescent="0.35">
      <c r="A3489" t="s">
        <v>101</v>
      </c>
      <c r="B3489" s="1">
        <v>45717</v>
      </c>
      <c r="C3489" t="s">
        <v>7564</v>
      </c>
      <c r="F3489" t="s">
        <v>7874</v>
      </c>
      <c r="H3489" t="s">
        <v>2749</v>
      </c>
      <c r="K3489">
        <v>-208004520</v>
      </c>
      <c r="L3489" t="s">
        <v>6803</v>
      </c>
    </row>
    <row r="3490" spans="1:12" x14ac:dyDescent="0.35">
      <c r="A3490" t="s">
        <v>101</v>
      </c>
      <c r="B3490" s="1">
        <v>45717</v>
      </c>
      <c r="C3490" t="s">
        <v>7569</v>
      </c>
      <c r="F3490" t="s">
        <v>8419</v>
      </c>
      <c r="H3490" t="s">
        <v>2750</v>
      </c>
      <c r="J3490">
        <v>254220696</v>
      </c>
      <c r="L3490" t="s">
        <v>6803</v>
      </c>
    </row>
    <row r="3491" spans="1:12" x14ac:dyDescent="0.35">
      <c r="A3491" t="s">
        <v>101</v>
      </c>
      <c r="B3491" s="1">
        <v>45717</v>
      </c>
      <c r="C3491" t="s">
        <v>7569</v>
      </c>
      <c r="F3491" t="s">
        <v>7836</v>
      </c>
      <c r="H3491" t="s">
        <v>2750</v>
      </c>
      <c r="K3491">
        <v>25002686</v>
      </c>
      <c r="L3491" t="s">
        <v>6803</v>
      </c>
    </row>
    <row r="3492" spans="1:12" x14ac:dyDescent="0.35">
      <c r="A3492" t="s">
        <v>101</v>
      </c>
      <c r="B3492" s="1">
        <v>45717</v>
      </c>
      <c r="C3492" t="s">
        <v>7569</v>
      </c>
      <c r="F3492" t="s">
        <v>8402</v>
      </c>
      <c r="H3492" t="s">
        <v>2750</v>
      </c>
      <c r="K3492">
        <v>122251</v>
      </c>
      <c r="L3492" t="s">
        <v>6803</v>
      </c>
    </row>
    <row r="3493" spans="1:12" x14ac:dyDescent="0.35">
      <c r="A3493" t="s">
        <v>101</v>
      </c>
      <c r="B3493" s="1">
        <v>45717</v>
      </c>
      <c r="C3493" t="s">
        <v>7569</v>
      </c>
      <c r="F3493" t="s">
        <v>8420</v>
      </c>
      <c r="H3493" t="s">
        <v>2750</v>
      </c>
      <c r="K3493">
        <v>43103742</v>
      </c>
      <c r="L3493" t="s">
        <v>6803</v>
      </c>
    </row>
    <row r="3494" spans="1:12" x14ac:dyDescent="0.35">
      <c r="A3494" t="s">
        <v>101</v>
      </c>
      <c r="B3494" s="1">
        <v>45717</v>
      </c>
      <c r="C3494" t="s">
        <v>7569</v>
      </c>
      <c r="F3494" t="s">
        <v>8421</v>
      </c>
      <c r="H3494" t="s">
        <v>2750</v>
      </c>
      <c r="J3494">
        <v>43103742</v>
      </c>
      <c r="L3494" t="s">
        <v>6803</v>
      </c>
    </row>
    <row r="3495" spans="1:12" x14ac:dyDescent="0.35">
      <c r="A3495" t="s">
        <v>101</v>
      </c>
      <c r="B3495" s="1">
        <v>45717</v>
      </c>
      <c r="C3495" t="s">
        <v>7569</v>
      </c>
      <c r="F3495" t="s">
        <v>6806</v>
      </c>
      <c r="H3495" t="s">
        <v>2750</v>
      </c>
      <c r="K3495">
        <v>10314614</v>
      </c>
      <c r="L3495" t="s">
        <v>6803</v>
      </c>
    </row>
    <row r="3496" spans="1:12" x14ac:dyDescent="0.35">
      <c r="A3496" t="s">
        <v>101</v>
      </c>
      <c r="B3496" s="1">
        <v>45717</v>
      </c>
      <c r="C3496" t="s">
        <v>7569</v>
      </c>
      <c r="F3496" t="s">
        <v>6819</v>
      </c>
      <c r="H3496" t="s">
        <v>2750</v>
      </c>
      <c r="K3496">
        <v>10776625</v>
      </c>
      <c r="L3496" t="s">
        <v>6803</v>
      </c>
    </row>
    <row r="3497" spans="1:12" x14ac:dyDescent="0.35">
      <c r="A3497" t="s">
        <v>101</v>
      </c>
      <c r="B3497" s="1">
        <v>45717</v>
      </c>
      <c r="C3497" t="s">
        <v>7569</v>
      </c>
      <c r="F3497" t="s">
        <v>7874</v>
      </c>
      <c r="H3497" t="s">
        <v>2750</v>
      </c>
      <c r="K3497">
        <v>208004520</v>
      </c>
      <c r="L3497" t="s">
        <v>6803</v>
      </c>
    </row>
    <row r="3498" spans="1:12" x14ac:dyDescent="0.35">
      <c r="A3498" t="s">
        <v>101</v>
      </c>
      <c r="B3498" s="1">
        <v>45717</v>
      </c>
      <c r="C3498" t="s">
        <v>7659</v>
      </c>
      <c r="F3498" t="s">
        <v>7318</v>
      </c>
      <c r="G3498" t="s">
        <v>7403</v>
      </c>
      <c r="H3498" t="s">
        <v>2751</v>
      </c>
      <c r="J3498">
        <v>5400000</v>
      </c>
      <c r="L3498" t="s">
        <v>6803</v>
      </c>
    </row>
    <row r="3499" spans="1:12" x14ac:dyDescent="0.35">
      <c r="A3499" t="s">
        <v>101</v>
      </c>
      <c r="B3499" s="1">
        <v>45717</v>
      </c>
      <c r="C3499" t="s">
        <v>7659</v>
      </c>
      <c r="F3499" t="s">
        <v>7338</v>
      </c>
      <c r="H3499" t="s">
        <v>2751</v>
      </c>
      <c r="K3499">
        <v>5400000</v>
      </c>
      <c r="L3499" t="s">
        <v>6803</v>
      </c>
    </row>
    <row r="3500" spans="1:12" x14ac:dyDescent="0.35">
      <c r="A3500" t="s">
        <v>101</v>
      </c>
      <c r="B3500" s="1">
        <v>45717</v>
      </c>
      <c r="C3500" t="s">
        <v>7676</v>
      </c>
      <c r="F3500" t="s">
        <v>7572</v>
      </c>
      <c r="G3500" t="s">
        <v>1469</v>
      </c>
      <c r="H3500" t="s">
        <v>2752</v>
      </c>
      <c r="K3500">
        <v>24705900</v>
      </c>
      <c r="L3500" t="s">
        <v>6803</v>
      </c>
    </row>
    <row r="3501" spans="1:12" x14ac:dyDescent="0.35">
      <c r="A3501" t="s">
        <v>101</v>
      </c>
      <c r="B3501" s="1">
        <v>45717</v>
      </c>
      <c r="C3501" t="s">
        <v>7676</v>
      </c>
      <c r="F3501" t="s">
        <v>7338</v>
      </c>
      <c r="H3501" t="s">
        <v>2752</v>
      </c>
      <c r="J3501">
        <v>24705900</v>
      </c>
      <c r="L3501" t="s">
        <v>6803</v>
      </c>
    </row>
    <row r="3502" spans="1:12" x14ac:dyDescent="0.35">
      <c r="A3502" t="s">
        <v>101</v>
      </c>
      <c r="B3502" s="1">
        <v>45717</v>
      </c>
      <c r="C3502" t="s">
        <v>7682</v>
      </c>
      <c r="F3502" t="s">
        <v>8422</v>
      </c>
      <c r="G3502" t="s">
        <v>2753</v>
      </c>
      <c r="H3502" t="s">
        <v>106</v>
      </c>
      <c r="I3502" s="1">
        <v>45716</v>
      </c>
      <c r="J3502">
        <v>99048180</v>
      </c>
      <c r="L3502" t="s">
        <v>6803</v>
      </c>
    </row>
    <row r="3503" spans="1:12" x14ac:dyDescent="0.35">
      <c r="A3503" t="s">
        <v>101</v>
      </c>
      <c r="B3503" s="1">
        <v>45717</v>
      </c>
      <c r="C3503" t="s">
        <v>7682</v>
      </c>
      <c r="F3503" t="s">
        <v>8423</v>
      </c>
      <c r="H3503" t="s">
        <v>2754</v>
      </c>
      <c r="K3503">
        <v>-78520790</v>
      </c>
      <c r="L3503" t="s">
        <v>5969</v>
      </c>
    </row>
    <row r="3504" spans="1:12" x14ac:dyDescent="0.35">
      <c r="A3504" t="s">
        <v>101</v>
      </c>
      <c r="B3504" s="1">
        <v>45717</v>
      </c>
      <c r="C3504" t="s">
        <v>7682</v>
      </c>
      <c r="F3504" t="s">
        <v>8423</v>
      </c>
      <c r="H3504" t="s">
        <v>2755</v>
      </c>
      <c r="K3504">
        <v>345263019</v>
      </c>
      <c r="L3504" t="s">
        <v>5969</v>
      </c>
    </row>
    <row r="3505" spans="1:12" x14ac:dyDescent="0.35">
      <c r="A3505" t="s">
        <v>101</v>
      </c>
      <c r="B3505" s="1">
        <v>45717</v>
      </c>
      <c r="C3505" t="s">
        <v>7682</v>
      </c>
      <c r="F3505" t="s">
        <v>8423</v>
      </c>
      <c r="H3505" t="s">
        <v>2756</v>
      </c>
      <c r="K3505">
        <v>-800001</v>
      </c>
      <c r="L3505" t="s">
        <v>5969</v>
      </c>
    </row>
    <row r="3506" spans="1:12" x14ac:dyDescent="0.35">
      <c r="A3506" t="s">
        <v>101</v>
      </c>
      <c r="B3506" s="1">
        <v>45717</v>
      </c>
      <c r="C3506" t="s">
        <v>7682</v>
      </c>
      <c r="F3506" t="s">
        <v>8423</v>
      </c>
      <c r="H3506" t="s">
        <v>2757</v>
      </c>
      <c r="K3506">
        <v>-31817100</v>
      </c>
      <c r="L3506" t="s">
        <v>5969</v>
      </c>
    </row>
    <row r="3507" spans="1:12" x14ac:dyDescent="0.35">
      <c r="A3507" t="s">
        <v>101</v>
      </c>
      <c r="B3507" s="1">
        <v>45717</v>
      </c>
      <c r="C3507" t="s">
        <v>7682</v>
      </c>
      <c r="F3507" t="s">
        <v>8423</v>
      </c>
      <c r="H3507" t="s">
        <v>2756</v>
      </c>
      <c r="K3507">
        <v>-228971671</v>
      </c>
      <c r="L3507" t="s">
        <v>5969</v>
      </c>
    </row>
    <row r="3508" spans="1:12" x14ac:dyDescent="0.35">
      <c r="A3508" t="s">
        <v>101</v>
      </c>
      <c r="B3508" s="1">
        <v>45717</v>
      </c>
      <c r="C3508" t="s">
        <v>7682</v>
      </c>
      <c r="F3508" t="s">
        <v>8423</v>
      </c>
      <c r="H3508" t="s">
        <v>2758</v>
      </c>
      <c r="K3508">
        <v>-20888000</v>
      </c>
      <c r="L3508" t="s">
        <v>5969</v>
      </c>
    </row>
    <row r="3509" spans="1:12" x14ac:dyDescent="0.35">
      <c r="A3509" t="s">
        <v>101</v>
      </c>
      <c r="B3509" s="1">
        <v>45717</v>
      </c>
      <c r="C3509" t="s">
        <v>7682</v>
      </c>
      <c r="F3509" t="s">
        <v>8423</v>
      </c>
      <c r="H3509" t="s">
        <v>2759</v>
      </c>
      <c r="K3509">
        <v>-97260655</v>
      </c>
      <c r="L3509" t="s">
        <v>5969</v>
      </c>
    </row>
    <row r="3510" spans="1:12" x14ac:dyDescent="0.35">
      <c r="A3510" t="s">
        <v>101</v>
      </c>
      <c r="B3510" s="1">
        <v>45717</v>
      </c>
      <c r="C3510" t="s">
        <v>7682</v>
      </c>
      <c r="F3510" t="s">
        <v>8423</v>
      </c>
      <c r="H3510" t="s">
        <v>2760</v>
      </c>
      <c r="K3510">
        <v>300000</v>
      </c>
      <c r="L3510" t="s">
        <v>5969</v>
      </c>
    </row>
    <row r="3511" spans="1:12" x14ac:dyDescent="0.35">
      <c r="A3511" t="s">
        <v>101</v>
      </c>
      <c r="B3511" s="1">
        <v>45717</v>
      </c>
      <c r="C3511" t="s">
        <v>7682</v>
      </c>
      <c r="F3511" t="s">
        <v>8424</v>
      </c>
      <c r="H3511" t="s">
        <v>2761</v>
      </c>
      <c r="K3511">
        <v>152502548</v>
      </c>
      <c r="L3511" t="s">
        <v>5977</v>
      </c>
    </row>
    <row r="3512" spans="1:12" x14ac:dyDescent="0.35">
      <c r="A3512" t="s">
        <v>101</v>
      </c>
      <c r="B3512" s="1">
        <v>45717</v>
      </c>
      <c r="C3512" t="s">
        <v>7682</v>
      </c>
      <c r="F3512" t="s">
        <v>8425</v>
      </c>
      <c r="H3512" t="s">
        <v>2762</v>
      </c>
      <c r="K3512">
        <v>66280000</v>
      </c>
      <c r="L3512" t="s">
        <v>5978</v>
      </c>
    </row>
    <row r="3513" spans="1:12" x14ac:dyDescent="0.35">
      <c r="A3513" t="s">
        <v>101</v>
      </c>
      <c r="B3513" s="1">
        <v>45717</v>
      </c>
      <c r="C3513" t="s">
        <v>7682</v>
      </c>
      <c r="F3513" t="s">
        <v>8426</v>
      </c>
      <c r="H3513" t="s">
        <v>2760</v>
      </c>
      <c r="K3513">
        <v>-5400000</v>
      </c>
      <c r="L3513" t="s">
        <v>5976</v>
      </c>
    </row>
    <row r="3514" spans="1:12" x14ac:dyDescent="0.35">
      <c r="A3514" t="s">
        <v>101</v>
      </c>
      <c r="B3514" s="1">
        <v>45717</v>
      </c>
      <c r="C3514" t="s">
        <v>7682</v>
      </c>
      <c r="F3514" t="s">
        <v>8427</v>
      </c>
      <c r="H3514" t="s">
        <v>2763</v>
      </c>
      <c r="K3514">
        <v>-4500000</v>
      </c>
      <c r="L3514" t="s">
        <v>5975</v>
      </c>
    </row>
    <row r="3515" spans="1:12" x14ac:dyDescent="0.35">
      <c r="A3515" t="s">
        <v>101</v>
      </c>
      <c r="B3515" s="1">
        <v>45717</v>
      </c>
      <c r="C3515" t="s">
        <v>7682</v>
      </c>
      <c r="F3515" t="s">
        <v>8427</v>
      </c>
      <c r="H3515" t="s">
        <v>2764</v>
      </c>
      <c r="K3515">
        <v>-19000000</v>
      </c>
      <c r="L3515" t="s">
        <v>5975</v>
      </c>
    </row>
    <row r="3516" spans="1:12" x14ac:dyDescent="0.35">
      <c r="A3516" t="s">
        <v>101</v>
      </c>
      <c r="B3516" s="1">
        <v>45717</v>
      </c>
      <c r="C3516" t="s">
        <v>7682</v>
      </c>
      <c r="F3516" t="s">
        <v>8427</v>
      </c>
      <c r="H3516" t="s">
        <v>2765</v>
      </c>
      <c r="K3516">
        <v>23466780</v>
      </c>
      <c r="L3516" t="s">
        <v>5975</v>
      </c>
    </row>
    <row r="3517" spans="1:12" x14ac:dyDescent="0.35">
      <c r="A3517" t="s">
        <v>101</v>
      </c>
      <c r="B3517" s="1">
        <v>45717</v>
      </c>
      <c r="C3517" t="s">
        <v>7682</v>
      </c>
      <c r="F3517" t="s">
        <v>8427</v>
      </c>
      <c r="H3517" t="s">
        <v>2765</v>
      </c>
      <c r="K3517">
        <v>6500500</v>
      </c>
      <c r="L3517" t="s">
        <v>5975</v>
      </c>
    </row>
    <row r="3518" spans="1:12" x14ac:dyDescent="0.35">
      <c r="A3518" t="s">
        <v>101</v>
      </c>
      <c r="B3518" s="1">
        <v>45717</v>
      </c>
      <c r="C3518" t="s">
        <v>7682</v>
      </c>
      <c r="F3518" t="s">
        <v>8428</v>
      </c>
      <c r="H3518" t="s">
        <v>2766</v>
      </c>
      <c r="K3518">
        <v>2079000</v>
      </c>
      <c r="L3518" t="s">
        <v>5972</v>
      </c>
    </row>
    <row r="3519" spans="1:12" x14ac:dyDescent="0.35">
      <c r="A3519" t="s">
        <v>101</v>
      </c>
      <c r="B3519" s="1">
        <v>45717</v>
      </c>
      <c r="C3519" t="s">
        <v>7682</v>
      </c>
      <c r="F3519" t="s">
        <v>8429</v>
      </c>
      <c r="H3519" t="s">
        <v>112</v>
      </c>
      <c r="K3519">
        <v>-10185450</v>
      </c>
      <c r="L3519" t="s">
        <v>5972</v>
      </c>
    </row>
    <row r="3520" spans="1:12" x14ac:dyDescent="0.35">
      <c r="A3520" t="s">
        <v>101</v>
      </c>
      <c r="B3520" s="1">
        <v>45717</v>
      </c>
      <c r="C3520" t="s">
        <v>7714</v>
      </c>
      <c r="F3520" t="s">
        <v>8430</v>
      </c>
      <c r="H3520" t="s">
        <v>2767</v>
      </c>
      <c r="K3520">
        <v>-763200</v>
      </c>
      <c r="L3520" t="s">
        <v>6803</v>
      </c>
    </row>
    <row r="3521" spans="1:12" x14ac:dyDescent="0.35">
      <c r="A3521" t="s">
        <v>101</v>
      </c>
      <c r="B3521" s="1">
        <v>45717</v>
      </c>
      <c r="C3521" t="s">
        <v>7714</v>
      </c>
      <c r="F3521" t="s">
        <v>7514</v>
      </c>
      <c r="G3521" t="s">
        <v>7664</v>
      </c>
      <c r="H3521" t="s">
        <v>2767</v>
      </c>
      <c r="J3521">
        <v>-5003200</v>
      </c>
      <c r="L3521" t="s">
        <v>6803</v>
      </c>
    </row>
    <row r="3522" spans="1:12" x14ac:dyDescent="0.35">
      <c r="A3522" t="s">
        <v>101</v>
      </c>
      <c r="B3522" s="1">
        <v>45717</v>
      </c>
      <c r="C3522" t="s">
        <v>7714</v>
      </c>
      <c r="F3522" t="s">
        <v>7789</v>
      </c>
      <c r="H3522" t="s">
        <v>2767</v>
      </c>
      <c r="J3522">
        <v>4240000</v>
      </c>
      <c r="L3522" t="s">
        <v>10115</v>
      </c>
    </row>
    <row r="3523" spans="1:12" x14ac:dyDescent="0.35">
      <c r="A3523" t="s">
        <v>101</v>
      </c>
      <c r="B3523" s="1">
        <v>45730</v>
      </c>
      <c r="C3523" t="s">
        <v>7489</v>
      </c>
      <c r="F3523" t="s">
        <v>7514</v>
      </c>
      <c r="G3523" t="s">
        <v>7869</v>
      </c>
      <c r="H3523" t="s">
        <v>2768</v>
      </c>
      <c r="K3523">
        <v>54112058</v>
      </c>
      <c r="L3523" t="s">
        <v>6803</v>
      </c>
    </row>
    <row r="3524" spans="1:12" x14ac:dyDescent="0.35">
      <c r="A3524" t="s">
        <v>101</v>
      </c>
      <c r="B3524" s="1">
        <v>45730</v>
      </c>
      <c r="C3524" t="s">
        <v>7489</v>
      </c>
      <c r="F3524" t="s">
        <v>8431</v>
      </c>
      <c r="H3524" t="s">
        <v>2768</v>
      </c>
      <c r="J3524">
        <v>48700853</v>
      </c>
      <c r="L3524" t="s">
        <v>6803</v>
      </c>
    </row>
    <row r="3525" spans="1:12" x14ac:dyDescent="0.35">
      <c r="A3525" t="s">
        <v>101</v>
      </c>
      <c r="B3525" s="1">
        <v>45730</v>
      </c>
      <c r="C3525" t="s">
        <v>7489</v>
      </c>
      <c r="F3525" t="s">
        <v>7516</v>
      </c>
      <c r="H3525" t="s">
        <v>2768</v>
      </c>
      <c r="J3525">
        <v>5411205</v>
      </c>
      <c r="L3525" t="s">
        <v>5980</v>
      </c>
    </row>
    <row r="3526" spans="1:12" x14ac:dyDescent="0.35">
      <c r="A3526" t="s">
        <v>101</v>
      </c>
      <c r="B3526" s="1">
        <v>45730</v>
      </c>
      <c r="C3526" t="s">
        <v>7665</v>
      </c>
      <c r="F3526" t="s">
        <v>7514</v>
      </c>
      <c r="G3526" t="s">
        <v>7869</v>
      </c>
      <c r="H3526" t="s">
        <v>2769</v>
      </c>
      <c r="K3526">
        <v>-54112058</v>
      </c>
      <c r="L3526" t="s">
        <v>6803</v>
      </c>
    </row>
    <row r="3527" spans="1:12" x14ac:dyDescent="0.35">
      <c r="A3527" t="s">
        <v>101</v>
      </c>
      <c r="B3527" s="1">
        <v>45730</v>
      </c>
      <c r="C3527" t="s">
        <v>7665</v>
      </c>
      <c r="F3527" t="s">
        <v>8431</v>
      </c>
      <c r="H3527" t="s">
        <v>2769</v>
      </c>
      <c r="J3527">
        <v>-48700853</v>
      </c>
      <c r="L3527" t="s">
        <v>6803</v>
      </c>
    </row>
    <row r="3528" spans="1:12" x14ac:dyDescent="0.35">
      <c r="A3528" t="s">
        <v>101</v>
      </c>
      <c r="B3528" s="1">
        <v>45730</v>
      </c>
      <c r="C3528" t="s">
        <v>7665</v>
      </c>
      <c r="F3528" t="s">
        <v>7516</v>
      </c>
      <c r="H3528" t="s">
        <v>2769</v>
      </c>
      <c r="J3528">
        <v>-5411205</v>
      </c>
      <c r="L3528" t="s">
        <v>5980</v>
      </c>
    </row>
    <row r="3529" spans="1:12" x14ac:dyDescent="0.35">
      <c r="A3529" t="s">
        <v>101</v>
      </c>
      <c r="B3529" s="1">
        <v>45731</v>
      </c>
      <c r="C3529" t="s">
        <v>7621</v>
      </c>
      <c r="E3529" t="s">
        <v>2770</v>
      </c>
      <c r="F3529" t="s">
        <v>8432</v>
      </c>
      <c r="H3529" t="s">
        <v>2771</v>
      </c>
      <c r="J3529">
        <v>877511</v>
      </c>
      <c r="L3529" t="s">
        <v>6803</v>
      </c>
    </row>
    <row r="3530" spans="1:12" x14ac:dyDescent="0.35">
      <c r="A3530" t="s">
        <v>101</v>
      </c>
      <c r="B3530" s="1">
        <v>45731</v>
      </c>
      <c r="C3530" t="s">
        <v>7621</v>
      </c>
      <c r="E3530" t="s">
        <v>2770</v>
      </c>
      <c r="F3530" t="s">
        <v>7453</v>
      </c>
      <c r="H3530" t="s">
        <v>2771</v>
      </c>
      <c r="K3530">
        <v>1066987</v>
      </c>
      <c r="L3530" t="s">
        <v>5879</v>
      </c>
    </row>
    <row r="3531" spans="1:12" x14ac:dyDescent="0.35">
      <c r="A3531" t="s">
        <v>101</v>
      </c>
      <c r="B3531" s="1">
        <v>45731</v>
      </c>
      <c r="C3531" t="s">
        <v>7621</v>
      </c>
      <c r="E3531" t="s">
        <v>2770</v>
      </c>
      <c r="F3531" t="s">
        <v>8433</v>
      </c>
      <c r="H3531" t="s">
        <v>2771</v>
      </c>
      <c r="J3531">
        <v>189476</v>
      </c>
      <c r="L3531" t="s">
        <v>5879</v>
      </c>
    </row>
    <row r="3532" spans="1:12" x14ac:dyDescent="0.35">
      <c r="A3532" t="s">
        <v>101</v>
      </c>
      <c r="B3532" s="1">
        <v>45731</v>
      </c>
      <c r="C3532" t="s">
        <v>7622</v>
      </c>
      <c r="E3532" t="s">
        <v>2772</v>
      </c>
      <c r="F3532" t="s">
        <v>8434</v>
      </c>
      <c r="H3532" t="s">
        <v>2773</v>
      </c>
      <c r="J3532">
        <v>298924</v>
      </c>
      <c r="L3532" t="s">
        <v>6803</v>
      </c>
    </row>
    <row r="3533" spans="1:12" x14ac:dyDescent="0.35">
      <c r="A3533" t="s">
        <v>101</v>
      </c>
      <c r="B3533" s="1">
        <v>45731</v>
      </c>
      <c r="C3533" t="s">
        <v>7622</v>
      </c>
      <c r="E3533" t="s">
        <v>2772</v>
      </c>
      <c r="F3533" t="s">
        <v>7453</v>
      </c>
      <c r="H3533" t="s">
        <v>2773</v>
      </c>
      <c r="K3533">
        <v>363469</v>
      </c>
      <c r="L3533" t="s">
        <v>5882</v>
      </c>
    </row>
    <row r="3534" spans="1:12" x14ac:dyDescent="0.35">
      <c r="A3534" t="s">
        <v>101</v>
      </c>
      <c r="B3534" s="1">
        <v>45731</v>
      </c>
      <c r="C3534" t="s">
        <v>7622</v>
      </c>
      <c r="E3534" t="s">
        <v>2772</v>
      </c>
      <c r="F3534" t="s">
        <v>8433</v>
      </c>
      <c r="H3534" t="s">
        <v>2773</v>
      </c>
      <c r="J3534">
        <v>64545</v>
      </c>
      <c r="L3534" t="s">
        <v>5882</v>
      </c>
    </row>
    <row r="3535" spans="1:12" x14ac:dyDescent="0.35">
      <c r="A3535" t="s">
        <v>101</v>
      </c>
      <c r="B3535" s="1">
        <v>45731</v>
      </c>
      <c r="C3535" t="s">
        <v>7625</v>
      </c>
      <c r="E3535" t="s">
        <v>2774</v>
      </c>
      <c r="F3535" t="s">
        <v>8435</v>
      </c>
      <c r="H3535" t="s">
        <v>2775</v>
      </c>
      <c r="J3535">
        <v>1319833</v>
      </c>
      <c r="L3535" t="s">
        <v>6803</v>
      </c>
    </row>
    <row r="3536" spans="1:12" x14ac:dyDescent="0.35">
      <c r="A3536" t="s">
        <v>101</v>
      </c>
      <c r="B3536" s="1">
        <v>45731</v>
      </c>
      <c r="C3536" t="s">
        <v>7625</v>
      </c>
      <c r="E3536" t="s">
        <v>2774</v>
      </c>
      <c r="F3536" t="s">
        <v>7453</v>
      </c>
      <c r="H3536" t="s">
        <v>2775</v>
      </c>
      <c r="K3536">
        <v>1604817</v>
      </c>
      <c r="L3536" t="s">
        <v>5937</v>
      </c>
    </row>
    <row r="3537" spans="1:12" x14ac:dyDescent="0.35">
      <c r="A3537" t="s">
        <v>101</v>
      </c>
      <c r="B3537" s="1">
        <v>45731</v>
      </c>
      <c r="C3537" t="s">
        <v>7625</v>
      </c>
      <c r="E3537" t="s">
        <v>2774</v>
      </c>
      <c r="F3537" t="s">
        <v>8433</v>
      </c>
      <c r="H3537" t="s">
        <v>2775</v>
      </c>
      <c r="J3537">
        <v>284984</v>
      </c>
      <c r="L3537" t="s">
        <v>5937</v>
      </c>
    </row>
    <row r="3538" spans="1:12" x14ac:dyDescent="0.35">
      <c r="A3538" t="s">
        <v>101</v>
      </c>
      <c r="B3538" s="1">
        <v>45731</v>
      </c>
      <c r="C3538" t="s">
        <v>7555</v>
      </c>
      <c r="E3538" t="s">
        <v>2776</v>
      </c>
      <c r="F3538" t="s">
        <v>8436</v>
      </c>
      <c r="H3538" t="s">
        <v>2777</v>
      </c>
      <c r="J3538">
        <v>126106</v>
      </c>
      <c r="L3538" t="s">
        <v>6803</v>
      </c>
    </row>
    <row r="3539" spans="1:12" x14ac:dyDescent="0.35">
      <c r="A3539" t="s">
        <v>101</v>
      </c>
      <c r="B3539" s="1">
        <v>45731</v>
      </c>
      <c r="C3539" t="s">
        <v>7555</v>
      </c>
      <c r="E3539" t="s">
        <v>2776</v>
      </c>
      <c r="F3539" t="s">
        <v>7453</v>
      </c>
      <c r="H3539" t="s">
        <v>2777</v>
      </c>
      <c r="K3539">
        <v>154409</v>
      </c>
      <c r="L3539" t="s">
        <v>5877</v>
      </c>
    </row>
    <row r="3540" spans="1:12" x14ac:dyDescent="0.35">
      <c r="A3540" t="s">
        <v>101</v>
      </c>
      <c r="B3540" s="1">
        <v>45731</v>
      </c>
      <c r="C3540" t="s">
        <v>7555</v>
      </c>
      <c r="E3540" t="s">
        <v>2776</v>
      </c>
      <c r="F3540" t="s">
        <v>8433</v>
      </c>
      <c r="H3540" t="s">
        <v>2777</v>
      </c>
      <c r="J3540">
        <v>28303</v>
      </c>
      <c r="L3540" t="s">
        <v>5877</v>
      </c>
    </row>
    <row r="3541" spans="1:12" x14ac:dyDescent="0.35">
      <c r="A3541" t="s">
        <v>101</v>
      </c>
      <c r="B3541" s="1">
        <v>45731</v>
      </c>
      <c r="C3541" t="s">
        <v>7627</v>
      </c>
      <c r="E3541" t="s">
        <v>1345</v>
      </c>
      <c r="F3541" t="s">
        <v>8437</v>
      </c>
      <c r="H3541" t="s">
        <v>2778</v>
      </c>
      <c r="J3541">
        <v>938917</v>
      </c>
      <c r="L3541" t="s">
        <v>6803</v>
      </c>
    </row>
    <row r="3542" spans="1:12" x14ac:dyDescent="0.35">
      <c r="A3542" t="s">
        <v>101</v>
      </c>
      <c r="B3542" s="1">
        <v>45731</v>
      </c>
      <c r="C3542" t="s">
        <v>7627</v>
      </c>
      <c r="E3542" t="s">
        <v>1345</v>
      </c>
      <c r="F3542" t="s">
        <v>7453</v>
      </c>
      <c r="H3542" t="s">
        <v>2778</v>
      </c>
      <c r="K3542">
        <v>1132091</v>
      </c>
      <c r="L3542" t="s">
        <v>5877</v>
      </c>
    </row>
    <row r="3543" spans="1:12" x14ac:dyDescent="0.35">
      <c r="A3543" t="s">
        <v>101</v>
      </c>
      <c r="B3543" s="1">
        <v>45731</v>
      </c>
      <c r="C3543" t="s">
        <v>7627</v>
      </c>
      <c r="E3543" t="s">
        <v>1345</v>
      </c>
      <c r="F3543" t="s">
        <v>8433</v>
      </c>
      <c r="H3543" t="s">
        <v>2778</v>
      </c>
      <c r="J3543">
        <v>193174</v>
      </c>
      <c r="L3543" t="s">
        <v>5877</v>
      </c>
    </row>
    <row r="3544" spans="1:12" x14ac:dyDescent="0.35">
      <c r="A3544" t="s">
        <v>101</v>
      </c>
      <c r="B3544" s="1">
        <v>45731</v>
      </c>
      <c r="C3544" t="s">
        <v>7629</v>
      </c>
      <c r="E3544" t="s">
        <v>2779</v>
      </c>
      <c r="F3544" t="s">
        <v>8438</v>
      </c>
      <c r="H3544" t="s">
        <v>2780</v>
      </c>
      <c r="J3544">
        <v>502991</v>
      </c>
      <c r="L3544" t="s">
        <v>6803</v>
      </c>
    </row>
    <row r="3545" spans="1:12" x14ac:dyDescent="0.35">
      <c r="A3545" t="s">
        <v>101</v>
      </c>
      <c r="B3545" s="1">
        <v>45731</v>
      </c>
      <c r="C3545" t="s">
        <v>7629</v>
      </c>
      <c r="E3545" t="s">
        <v>2779</v>
      </c>
      <c r="F3545" t="s">
        <v>7453</v>
      </c>
      <c r="H3545" t="s">
        <v>2780</v>
      </c>
      <c r="K3545">
        <v>606478</v>
      </c>
      <c r="L3545" t="s">
        <v>5873</v>
      </c>
    </row>
    <row r="3546" spans="1:12" x14ac:dyDescent="0.35">
      <c r="A3546" t="s">
        <v>101</v>
      </c>
      <c r="B3546" s="1">
        <v>45731</v>
      </c>
      <c r="C3546" t="s">
        <v>7629</v>
      </c>
      <c r="E3546" t="s">
        <v>2779</v>
      </c>
      <c r="F3546" t="s">
        <v>8433</v>
      </c>
      <c r="H3546" t="s">
        <v>2780</v>
      </c>
      <c r="J3546">
        <v>103487</v>
      </c>
      <c r="L3546" t="s">
        <v>5873</v>
      </c>
    </row>
    <row r="3547" spans="1:12" x14ac:dyDescent="0.35">
      <c r="A3547" t="s">
        <v>101</v>
      </c>
      <c r="B3547" s="1">
        <v>45731</v>
      </c>
      <c r="C3547" t="s">
        <v>7631</v>
      </c>
      <c r="E3547" t="s">
        <v>1341</v>
      </c>
      <c r="F3547" t="s">
        <v>8439</v>
      </c>
      <c r="H3547" t="s">
        <v>2781</v>
      </c>
      <c r="J3547">
        <v>525346</v>
      </c>
      <c r="L3547" t="s">
        <v>6803</v>
      </c>
    </row>
    <row r="3548" spans="1:12" x14ac:dyDescent="0.35">
      <c r="A3548" t="s">
        <v>101</v>
      </c>
      <c r="B3548" s="1">
        <v>45731</v>
      </c>
      <c r="C3548" t="s">
        <v>7631</v>
      </c>
      <c r="E3548" t="s">
        <v>1341</v>
      </c>
      <c r="F3548" t="s">
        <v>7453</v>
      </c>
      <c r="H3548" t="s">
        <v>2781</v>
      </c>
      <c r="K3548">
        <v>633432</v>
      </c>
      <c r="L3548" t="s">
        <v>5932</v>
      </c>
    </row>
    <row r="3549" spans="1:12" x14ac:dyDescent="0.35">
      <c r="A3549" t="s">
        <v>101</v>
      </c>
      <c r="B3549" s="1">
        <v>45731</v>
      </c>
      <c r="C3549" t="s">
        <v>7631</v>
      </c>
      <c r="E3549" t="s">
        <v>1341</v>
      </c>
      <c r="F3549" t="s">
        <v>8433</v>
      </c>
      <c r="H3549" t="s">
        <v>2781</v>
      </c>
      <c r="J3549">
        <v>108086</v>
      </c>
      <c r="L3549" t="s">
        <v>5932</v>
      </c>
    </row>
    <row r="3550" spans="1:12" x14ac:dyDescent="0.35">
      <c r="A3550" t="s">
        <v>101</v>
      </c>
      <c r="B3550" s="1">
        <v>45731</v>
      </c>
      <c r="C3550" t="s">
        <v>7633</v>
      </c>
      <c r="E3550" t="s">
        <v>1339</v>
      </c>
      <c r="F3550" t="s">
        <v>8440</v>
      </c>
      <c r="H3550" t="s">
        <v>2782</v>
      </c>
      <c r="J3550">
        <v>614767</v>
      </c>
      <c r="L3550" t="s">
        <v>6803</v>
      </c>
    </row>
    <row r="3551" spans="1:12" x14ac:dyDescent="0.35">
      <c r="A3551" t="s">
        <v>101</v>
      </c>
      <c r="B3551" s="1">
        <v>45731</v>
      </c>
      <c r="C3551" t="s">
        <v>7633</v>
      </c>
      <c r="E3551" t="s">
        <v>1339</v>
      </c>
      <c r="F3551" t="s">
        <v>7453</v>
      </c>
      <c r="H3551" t="s">
        <v>2782</v>
      </c>
      <c r="K3551">
        <v>741250</v>
      </c>
      <c r="L3551" t="s">
        <v>5873</v>
      </c>
    </row>
    <row r="3552" spans="1:12" x14ac:dyDescent="0.35">
      <c r="A3552" t="s">
        <v>101</v>
      </c>
      <c r="B3552" s="1">
        <v>45731</v>
      </c>
      <c r="C3552" t="s">
        <v>7633</v>
      </c>
      <c r="E3552" t="s">
        <v>1339</v>
      </c>
      <c r="F3552" t="s">
        <v>8433</v>
      </c>
      <c r="H3552" t="s">
        <v>2782</v>
      </c>
      <c r="J3552">
        <v>126483</v>
      </c>
      <c r="L3552" t="s">
        <v>5873</v>
      </c>
    </row>
    <row r="3553" spans="1:12" x14ac:dyDescent="0.35">
      <c r="A3553" t="s">
        <v>101</v>
      </c>
      <c r="B3553" s="1">
        <v>45731</v>
      </c>
      <c r="C3553" t="s">
        <v>7635</v>
      </c>
      <c r="E3553" t="s">
        <v>1337</v>
      </c>
      <c r="F3553" t="s">
        <v>8441</v>
      </c>
      <c r="H3553" t="s">
        <v>2783</v>
      </c>
      <c r="J3553">
        <v>1055163</v>
      </c>
      <c r="L3553" t="s">
        <v>6803</v>
      </c>
    </row>
    <row r="3554" spans="1:12" x14ac:dyDescent="0.35">
      <c r="A3554" t="s">
        <v>101</v>
      </c>
      <c r="B3554" s="1">
        <v>45731</v>
      </c>
      <c r="C3554" t="s">
        <v>7635</v>
      </c>
      <c r="E3554" t="s">
        <v>1337</v>
      </c>
      <c r="F3554" t="s">
        <v>7453</v>
      </c>
      <c r="H3554" t="s">
        <v>2783</v>
      </c>
      <c r="K3554">
        <v>1272255</v>
      </c>
      <c r="L3554" t="s">
        <v>5941</v>
      </c>
    </row>
    <row r="3555" spans="1:12" x14ac:dyDescent="0.35">
      <c r="A3555" t="s">
        <v>101</v>
      </c>
      <c r="B3555" s="1">
        <v>45731</v>
      </c>
      <c r="C3555" t="s">
        <v>7635</v>
      </c>
      <c r="E3555" t="s">
        <v>1337</v>
      </c>
      <c r="F3555" t="s">
        <v>8433</v>
      </c>
      <c r="H3555" t="s">
        <v>2783</v>
      </c>
      <c r="J3555">
        <v>217092</v>
      </c>
      <c r="L3555" t="s">
        <v>5941</v>
      </c>
    </row>
    <row r="3556" spans="1:12" x14ac:dyDescent="0.35">
      <c r="A3556" t="s">
        <v>101</v>
      </c>
      <c r="B3556" s="1">
        <v>45731</v>
      </c>
      <c r="C3556" t="s">
        <v>7636</v>
      </c>
      <c r="E3556" t="s">
        <v>1329</v>
      </c>
      <c r="F3556" t="s">
        <v>8442</v>
      </c>
      <c r="H3556" t="s">
        <v>2784</v>
      </c>
      <c r="J3556">
        <v>1718333</v>
      </c>
      <c r="L3556" t="s">
        <v>6803</v>
      </c>
    </row>
    <row r="3557" spans="1:12" x14ac:dyDescent="0.35">
      <c r="A3557" t="s">
        <v>101</v>
      </c>
      <c r="B3557" s="1">
        <v>45731</v>
      </c>
      <c r="C3557" t="s">
        <v>7636</v>
      </c>
      <c r="E3557" t="s">
        <v>1329</v>
      </c>
      <c r="F3557" t="s">
        <v>7469</v>
      </c>
      <c r="H3557" t="s">
        <v>2784</v>
      </c>
      <c r="K3557">
        <v>2071868</v>
      </c>
      <c r="L3557" t="s">
        <v>5942</v>
      </c>
    </row>
    <row r="3558" spans="1:12" x14ac:dyDescent="0.35">
      <c r="A3558" t="s">
        <v>101</v>
      </c>
      <c r="B3558" s="1">
        <v>45731</v>
      </c>
      <c r="C3558" t="s">
        <v>7636</v>
      </c>
      <c r="E3558" t="s">
        <v>1329</v>
      </c>
      <c r="F3558" t="s">
        <v>8433</v>
      </c>
      <c r="H3558" t="s">
        <v>2784</v>
      </c>
      <c r="J3558">
        <v>353535</v>
      </c>
      <c r="L3558" t="s">
        <v>5942</v>
      </c>
    </row>
    <row r="3559" spans="1:12" x14ac:dyDescent="0.35">
      <c r="A3559" t="s">
        <v>101</v>
      </c>
      <c r="B3559" s="1">
        <v>45731</v>
      </c>
      <c r="C3559" t="s">
        <v>7637</v>
      </c>
      <c r="E3559" t="s">
        <v>1331</v>
      </c>
      <c r="F3559" t="s">
        <v>8443</v>
      </c>
      <c r="H3559" t="s">
        <v>2785</v>
      </c>
      <c r="J3559">
        <v>3436666</v>
      </c>
      <c r="L3559" t="s">
        <v>6803</v>
      </c>
    </row>
    <row r="3560" spans="1:12" x14ac:dyDescent="0.35">
      <c r="A3560" t="s">
        <v>101</v>
      </c>
      <c r="B3560" s="1">
        <v>45731</v>
      </c>
      <c r="C3560" t="s">
        <v>7637</v>
      </c>
      <c r="E3560" t="s">
        <v>1331</v>
      </c>
      <c r="F3560" t="s">
        <v>7469</v>
      </c>
      <c r="H3560" t="s">
        <v>2785</v>
      </c>
      <c r="K3560">
        <v>4143735</v>
      </c>
      <c r="L3560" t="s">
        <v>5942</v>
      </c>
    </row>
    <row r="3561" spans="1:12" x14ac:dyDescent="0.35">
      <c r="A3561" t="s">
        <v>101</v>
      </c>
      <c r="B3561" s="1">
        <v>45731</v>
      </c>
      <c r="C3561" t="s">
        <v>7637</v>
      </c>
      <c r="E3561" t="s">
        <v>1331</v>
      </c>
      <c r="F3561" t="s">
        <v>8433</v>
      </c>
      <c r="H3561" t="s">
        <v>2785</v>
      </c>
      <c r="J3561">
        <v>707069</v>
      </c>
      <c r="L3561" t="s">
        <v>5942</v>
      </c>
    </row>
    <row r="3562" spans="1:12" x14ac:dyDescent="0.35">
      <c r="A3562" t="s">
        <v>101</v>
      </c>
      <c r="B3562" s="1">
        <v>45731</v>
      </c>
      <c r="C3562" t="s">
        <v>7638</v>
      </c>
      <c r="E3562" t="s">
        <v>1333</v>
      </c>
      <c r="F3562" t="s">
        <v>8444</v>
      </c>
      <c r="H3562" t="s">
        <v>2786</v>
      </c>
      <c r="J3562">
        <v>3436666</v>
      </c>
      <c r="L3562" t="s">
        <v>6803</v>
      </c>
    </row>
    <row r="3563" spans="1:12" x14ac:dyDescent="0.35">
      <c r="A3563" t="s">
        <v>101</v>
      </c>
      <c r="B3563" s="1">
        <v>45731</v>
      </c>
      <c r="C3563" t="s">
        <v>7638</v>
      </c>
      <c r="E3563" t="s">
        <v>1333</v>
      </c>
      <c r="F3563" t="s">
        <v>7469</v>
      </c>
      <c r="H3563" t="s">
        <v>2786</v>
      </c>
      <c r="K3563">
        <v>4143735</v>
      </c>
      <c r="L3563" t="s">
        <v>5942</v>
      </c>
    </row>
    <row r="3564" spans="1:12" x14ac:dyDescent="0.35">
      <c r="A3564" t="s">
        <v>101</v>
      </c>
      <c r="B3564" s="1">
        <v>45731</v>
      </c>
      <c r="C3564" t="s">
        <v>7638</v>
      </c>
      <c r="E3564" t="s">
        <v>1333</v>
      </c>
      <c r="F3564" t="s">
        <v>8433</v>
      </c>
      <c r="H3564" t="s">
        <v>2786</v>
      </c>
      <c r="J3564">
        <v>707069</v>
      </c>
      <c r="L3564" t="s">
        <v>5942</v>
      </c>
    </row>
    <row r="3565" spans="1:12" x14ac:dyDescent="0.35">
      <c r="A3565" t="s">
        <v>101</v>
      </c>
      <c r="B3565" s="1">
        <v>45731</v>
      </c>
      <c r="C3565" t="s">
        <v>7640</v>
      </c>
      <c r="E3565" t="s">
        <v>1335</v>
      </c>
      <c r="F3565" t="s">
        <v>8445</v>
      </c>
      <c r="H3565" t="s">
        <v>2787</v>
      </c>
      <c r="J3565">
        <v>1718333</v>
      </c>
      <c r="L3565" t="s">
        <v>6803</v>
      </c>
    </row>
    <row r="3566" spans="1:12" x14ac:dyDescent="0.35">
      <c r="A3566" t="s">
        <v>101</v>
      </c>
      <c r="B3566" s="1">
        <v>45731</v>
      </c>
      <c r="C3566" t="s">
        <v>7640</v>
      </c>
      <c r="E3566" t="s">
        <v>1335</v>
      </c>
      <c r="F3566" t="s">
        <v>7469</v>
      </c>
      <c r="H3566" t="s">
        <v>2787</v>
      </c>
      <c r="K3566">
        <v>2071868</v>
      </c>
      <c r="L3566" t="s">
        <v>5942</v>
      </c>
    </row>
    <row r="3567" spans="1:12" x14ac:dyDescent="0.35">
      <c r="A3567" t="s">
        <v>101</v>
      </c>
      <c r="B3567" s="1">
        <v>45731</v>
      </c>
      <c r="C3567" t="s">
        <v>7640</v>
      </c>
      <c r="E3567" t="s">
        <v>1335</v>
      </c>
      <c r="F3567" t="s">
        <v>8433</v>
      </c>
      <c r="H3567" t="s">
        <v>2787</v>
      </c>
      <c r="J3567">
        <v>353535</v>
      </c>
      <c r="L3567" t="s">
        <v>5942</v>
      </c>
    </row>
    <row r="3568" spans="1:12" x14ac:dyDescent="0.35">
      <c r="A3568" t="s">
        <v>101</v>
      </c>
      <c r="B3568" s="1">
        <v>45731</v>
      </c>
      <c r="C3568" t="s">
        <v>7642</v>
      </c>
      <c r="E3568" t="s">
        <v>2788</v>
      </c>
      <c r="F3568" t="s">
        <v>8446</v>
      </c>
      <c r="H3568" t="s">
        <v>2789</v>
      </c>
      <c r="J3568">
        <v>841746</v>
      </c>
      <c r="L3568" t="s">
        <v>6803</v>
      </c>
    </row>
    <row r="3569" spans="1:12" x14ac:dyDescent="0.35">
      <c r="A3569" t="s">
        <v>101</v>
      </c>
      <c r="B3569" s="1">
        <v>45731</v>
      </c>
      <c r="C3569" t="s">
        <v>7642</v>
      </c>
      <c r="E3569" t="s">
        <v>2788</v>
      </c>
      <c r="F3569" t="s">
        <v>7453</v>
      </c>
      <c r="H3569" t="s">
        <v>2789</v>
      </c>
      <c r="K3569">
        <v>970364</v>
      </c>
      <c r="L3569" t="s">
        <v>5939</v>
      </c>
    </row>
    <row r="3570" spans="1:12" x14ac:dyDescent="0.35">
      <c r="A3570" t="s">
        <v>101</v>
      </c>
      <c r="B3570" s="1">
        <v>45731</v>
      </c>
      <c r="C3570" t="s">
        <v>7642</v>
      </c>
      <c r="E3570" t="s">
        <v>2788</v>
      </c>
      <c r="F3570" t="s">
        <v>8433</v>
      </c>
      <c r="H3570" t="s">
        <v>2789</v>
      </c>
      <c r="J3570">
        <v>128618</v>
      </c>
      <c r="L3570" t="s">
        <v>5939</v>
      </c>
    </row>
    <row r="3571" spans="1:12" x14ac:dyDescent="0.35">
      <c r="A3571" t="s">
        <v>101</v>
      </c>
      <c r="B3571" s="1">
        <v>45731</v>
      </c>
      <c r="C3571" t="s">
        <v>7645</v>
      </c>
      <c r="E3571" t="s">
        <v>1321</v>
      </c>
      <c r="F3571" t="s">
        <v>8447</v>
      </c>
      <c r="H3571" t="s">
        <v>2790</v>
      </c>
      <c r="J3571">
        <v>1133412</v>
      </c>
      <c r="L3571" t="s">
        <v>6803</v>
      </c>
    </row>
    <row r="3572" spans="1:12" x14ac:dyDescent="0.35">
      <c r="A3572" t="s">
        <v>101</v>
      </c>
      <c r="B3572" s="1">
        <v>45731</v>
      </c>
      <c r="C3572" t="s">
        <v>7645</v>
      </c>
      <c r="E3572" t="s">
        <v>1321</v>
      </c>
      <c r="F3572" t="s">
        <v>7453</v>
      </c>
      <c r="H3572" t="s">
        <v>2790</v>
      </c>
      <c r="K3572">
        <v>1239910</v>
      </c>
      <c r="L3572" t="s">
        <v>5938</v>
      </c>
    </row>
    <row r="3573" spans="1:12" x14ac:dyDescent="0.35">
      <c r="A3573" t="s">
        <v>101</v>
      </c>
      <c r="B3573" s="1">
        <v>45731</v>
      </c>
      <c r="C3573" t="s">
        <v>7645</v>
      </c>
      <c r="E3573" t="s">
        <v>1321</v>
      </c>
      <c r="F3573" t="s">
        <v>8433</v>
      </c>
      <c r="H3573" t="s">
        <v>2790</v>
      </c>
      <c r="J3573">
        <v>106498</v>
      </c>
      <c r="L3573" t="s">
        <v>5938</v>
      </c>
    </row>
    <row r="3574" spans="1:12" x14ac:dyDescent="0.35">
      <c r="A3574" t="s">
        <v>101</v>
      </c>
      <c r="B3574" s="1">
        <v>45731</v>
      </c>
      <c r="C3574" t="s">
        <v>7647</v>
      </c>
      <c r="E3574" t="s">
        <v>1323</v>
      </c>
      <c r="F3574" t="s">
        <v>8448</v>
      </c>
      <c r="H3574" t="s">
        <v>2791</v>
      </c>
      <c r="J3574">
        <v>837739</v>
      </c>
      <c r="L3574" t="s">
        <v>6803</v>
      </c>
    </row>
    <row r="3575" spans="1:12" x14ac:dyDescent="0.35">
      <c r="A3575" t="s">
        <v>101</v>
      </c>
      <c r="B3575" s="1">
        <v>45731</v>
      </c>
      <c r="C3575" t="s">
        <v>7647</v>
      </c>
      <c r="E3575" t="s">
        <v>1323</v>
      </c>
      <c r="F3575" t="s">
        <v>7453</v>
      </c>
      <c r="H3575" t="s">
        <v>2791</v>
      </c>
      <c r="K3575">
        <v>916455</v>
      </c>
      <c r="L3575" t="s">
        <v>5873</v>
      </c>
    </row>
    <row r="3576" spans="1:12" x14ac:dyDescent="0.35">
      <c r="A3576" t="s">
        <v>101</v>
      </c>
      <c r="B3576" s="1">
        <v>45731</v>
      </c>
      <c r="C3576" t="s">
        <v>7647</v>
      </c>
      <c r="E3576" t="s">
        <v>1323</v>
      </c>
      <c r="F3576" t="s">
        <v>8433</v>
      </c>
      <c r="H3576" t="s">
        <v>2791</v>
      </c>
      <c r="J3576">
        <v>78716</v>
      </c>
      <c r="L3576" t="s">
        <v>5873</v>
      </c>
    </row>
    <row r="3577" spans="1:12" x14ac:dyDescent="0.35">
      <c r="A3577" t="s">
        <v>101</v>
      </c>
      <c r="B3577" s="1">
        <v>45731</v>
      </c>
      <c r="C3577" t="s">
        <v>7496</v>
      </c>
      <c r="E3577" t="s">
        <v>2792</v>
      </c>
      <c r="F3577" t="s">
        <v>8449</v>
      </c>
      <c r="H3577" t="s">
        <v>2793</v>
      </c>
      <c r="J3577">
        <v>229198</v>
      </c>
      <c r="L3577" t="s">
        <v>6803</v>
      </c>
    </row>
    <row r="3578" spans="1:12" x14ac:dyDescent="0.35">
      <c r="A3578" t="s">
        <v>101</v>
      </c>
      <c r="B3578" s="1">
        <v>45731</v>
      </c>
      <c r="C3578" t="s">
        <v>7496</v>
      </c>
      <c r="E3578" t="s">
        <v>2792</v>
      </c>
      <c r="F3578" t="s">
        <v>7453</v>
      </c>
      <c r="H3578" t="s">
        <v>2793</v>
      </c>
      <c r="K3578">
        <v>288589</v>
      </c>
      <c r="L3578" t="s">
        <v>5873</v>
      </c>
    </row>
    <row r="3579" spans="1:12" x14ac:dyDescent="0.35">
      <c r="A3579" t="s">
        <v>101</v>
      </c>
      <c r="B3579" s="1">
        <v>45731</v>
      </c>
      <c r="C3579" t="s">
        <v>7496</v>
      </c>
      <c r="E3579" t="s">
        <v>2792</v>
      </c>
      <c r="F3579" t="s">
        <v>8433</v>
      </c>
      <c r="H3579" t="s">
        <v>2793</v>
      </c>
      <c r="J3579">
        <v>59391</v>
      </c>
      <c r="L3579" t="s">
        <v>5873</v>
      </c>
    </row>
    <row r="3580" spans="1:12" x14ac:dyDescent="0.35">
      <c r="A3580" t="s">
        <v>101</v>
      </c>
      <c r="B3580" s="1">
        <v>45731</v>
      </c>
      <c r="C3580" t="s">
        <v>7497</v>
      </c>
      <c r="E3580" t="s">
        <v>2794</v>
      </c>
      <c r="F3580" t="s">
        <v>8450</v>
      </c>
      <c r="H3580" t="s">
        <v>2795</v>
      </c>
      <c r="J3580">
        <v>229198</v>
      </c>
      <c r="L3580" t="s">
        <v>6803</v>
      </c>
    </row>
    <row r="3581" spans="1:12" x14ac:dyDescent="0.35">
      <c r="A3581" t="s">
        <v>101</v>
      </c>
      <c r="B3581" s="1">
        <v>45731</v>
      </c>
      <c r="C3581" t="s">
        <v>7497</v>
      </c>
      <c r="E3581" t="s">
        <v>2794</v>
      </c>
      <c r="F3581" t="s">
        <v>7453</v>
      </c>
      <c r="H3581" t="s">
        <v>2795</v>
      </c>
      <c r="K3581">
        <v>288589</v>
      </c>
      <c r="L3581" t="s">
        <v>5878</v>
      </c>
    </row>
    <row r="3582" spans="1:12" x14ac:dyDescent="0.35">
      <c r="A3582" t="s">
        <v>101</v>
      </c>
      <c r="B3582" s="1">
        <v>45731</v>
      </c>
      <c r="C3582" t="s">
        <v>7497</v>
      </c>
      <c r="E3582" t="s">
        <v>2794</v>
      </c>
      <c r="F3582" t="s">
        <v>8433</v>
      </c>
      <c r="H3582" t="s">
        <v>2795</v>
      </c>
      <c r="J3582">
        <v>59391</v>
      </c>
      <c r="L3582" t="s">
        <v>5878</v>
      </c>
    </row>
    <row r="3583" spans="1:12" x14ac:dyDescent="0.35">
      <c r="A3583" t="s">
        <v>101</v>
      </c>
      <c r="B3583" s="1">
        <v>45731</v>
      </c>
      <c r="C3583" t="s">
        <v>7498</v>
      </c>
      <c r="E3583" t="s">
        <v>2796</v>
      </c>
      <c r="F3583" t="s">
        <v>8451</v>
      </c>
      <c r="H3583" t="s">
        <v>2797</v>
      </c>
      <c r="J3583">
        <v>229198</v>
      </c>
      <c r="L3583" t="s">
        <v>6803</v>
      </c>
    </row>
    <row r="3584" spans="1:12" x14ac:dyDescent="0.35">
      <c r="A3584" t="s">
        <v>101</v>
      </c>
      <c r="B3584" s="1">
        <v>45731</v>
      </c>
      <c r="C3584" t="s">
        <v>7498</v>
      </c>
      <c r="E3584" t="s">
        <v>2796</v>
      </c>
      <c r="F3584" t="s">
        <v>7453</v>
      </c>
      <c r="H3584" t="s">
        <v>2797</v>
      </c>
      <c r="K3584">
        <v>288589</v>
      </c>
      <c r="L3584" t="s">
        <v>5873</v>
      </c>
    </row>
    <row r="3585" spans="1:12" x14ac:dyDescent="0.35">
      <c r="A3585" t="s">
        <v>101</v>
      </c>
      <c r="B3585" s="1">
        <v>45731</v>
      </c>
      <c r="C3585" t="s">
        <v>7498</v>
      </c>
      <c r="E3585" t="s">
        <v>2796</v>
      </c>
      <c r="F3585" t="s">
        <v>8433</v>
      </c>
      <c r="H3585" t="s">
        <v>2797</v>
      </c>
      <c r="J3585">
        <v>59391</v>
      </c>
      <c r="L3585" t="s">
        <v>5873</v>
      </c>
    </row>
    <row r="3586" spans="1:12" x14ac:dyDescent="0.35">
      <c r="A3586" t="s">
        <v>101</v>
      </c>
      <c r="B3586" s="1">
        <v>45731</v>
      </c>
      <c r="C3586" t="s">
        <v>7499</v>
      </c>
      <c r="E3586" t="s">
        <v>2798</v>
      </c>
      <c r="F3586" t="s">
        <v>8452</v>
      </c>
      <c r="H3586" t="s">
        <v>2799</v>
      </c>
      <c r="J3586">
        <v>126106</v>
      </c>
      <c r="L3586" t="s">
        <v>6803</v>
      </c>
    </row>
    <row r="3587" spans="1:12" x14ac:dyDescent="0.35">
      <c r="A3587" t="s">
        <v>101</v>
      </c>
      <c r="B3587" s="1">
        <v>45731</v>
      </c>
      <c r="C3587" t="s">
        <v>7499</v>
      </c>
      <c r="E3587" t="s">
        <v>2798</v>
      </c>
      <c r="F3587" t="s">
        <v>7453</v>
      </c>
      <c r="H3587" t="s">
        <v>2799</v>
      </c>
      <c r="K3587">
        <v>154409</v>
      </c>
      <c r="L3587" t="s">
        <v>5873</v>
      </c>
    </row>
    <row r="3588" spans="1:12" x14ac:dyDescent="0.35">
      <c r="A3588" t="s">
        <v>101</v>
      </c>
      <c r="B3588" s="1">
        <v>45731</v>
      </c>
      <c r="C3588" t="s">
        <v>7499</v>
      </c>
      <c r="E3588" t="s">
        <v>2798</v>
      </c>
      <c r="F3588" t="s">
        <v>8433</v>
      </c>
      <c r="H3588" t="s">
        <v>2799</v>
      </c>
      <c r="J3588">
        <v>28303</v>
      </c>
      <c r="L3588" t="s">
        <v>5873</v>
      </c>
    </row>
    <row r="3589" spans="1:12" x14ac:dyDescent="0.35">
      <c r="A3589" t="s">
        <v>101</v>
      </c>
      <c r="B3589" s="1">
        <v>45731</v>
      </c>
      <c r="C3589" t="s">
        <v>7649</v>
      </c>
      <c r="E3589" t="s">
        <v>2800</v>
      </c>
      <c r="F3589" t="s">
        <v>8453</v>
      </c>
      <c r="H3589" t="s">
        <v>2801</v>
      </c>
      <c r="J3589">
        <v>126106</v>
      </c>
      <c r="L3589" t="s">
        <v>6803</v>
      </c>
    </row>
    <row r="3590" spans="1:12" x14ac:dyDescent="0.35">
      <c r="A3590" t="s">
        <v>101</v>
      </c>
      <c r="B3590" s="1">
        <v>45731</v>
      </c>
      <c r="C3590" t="s">
        <v>7649</v>
      </c>
      <c r="E3590" t="s">
        <v>2800</v>
      </c>
      <c r="F3590" t="s">
        <v>7453</v>
      </c>
      <c r="H3590" t="s">
        <v>2801</v>
      </c>
      <c r="K3590">
        <v>154409</v>
      </c>
      <c r="L3590" t="s">
        <v>5878</v>
      </c>
    </row>
    <row r="3591" spans="1:12" x14ac:dyDescent="0.35">
      <c r="A3591" t="s">
        <v>101</v>
      </c>
      <c r="B3591" s="1">
        <v>45731</v>
      </c>
      <c r="C3591" t="s">
        <v>7649</v>
      </c>
      <c r="E3591" t="s">
        <v>2800</v>
      </c>
      <c r="F3591" t="s">
        <v>8433</v>
      </c>
      <c r="H3591" t="s">
        <v>2801</v>
      </c>
      <c r="J3591">
        <v>28303</v>
      </c>
      <c r="L3591" t="s">
        <v>5878</v>
      </c>
    </row>
    <row r="3592" spans="1:12" x14ac:dyDescent="0.35">
      <c r="A3592" t="s">
        <v>101</v>
      </c>
      <c r="B3592" s="1">
        <v>45731</v>
      </c>
      <c r="C3592" t="s">
        <v>7651</v>
      </c>
      <c r="E3592" t="s">
        <v>2802</v>
      </c>
      <c r="F3592" t="s">
        <v>8454</v>
      </c>
      <c r="H3592" t="s">
        <v>2803</v>
      </c>
      <c r="J3592">
        <v>2347213</v>
      </c>
      <c r="L3592" t="s">
        <v>6803</v>
      </c>
    </row>
    <row r="3593" spans="1:12" x14ac:dyDescent="0.35">
      <c r="A3593" t="s">
        <v>101</v>
      </c>
      <c r="B3593" s="1">
        <v>45731</v>
      </c>
      <c r="C3593" t="s">
        <v>7651</v>
      </c>
      <c r="E3593" t="s">
        <v>2802</v>
      </c>
      <c r="F3593" t="s">
        <v>7453</v>
      </c>
      <c r="H3593" t="s">
        <v>2803</v>
      </c>
      <c r="K3593">
        <v>2746670</v>
      </c>
      <c r="L3593" t="s">
        <v>5878</v>
      </c>
    </row>
    <row r="3594" spans="1:12" x14ac:dyDescent="0.35">
      <c r="A3594" t="s">
        <v>101</v>
      </c>
      <c r="B3594" s="1">
        <v>45731</v>
      </c>
      <c r="C3594" t="s">
        <v>7651</v>
      </c>
      <c r="E3594" t="s">
        <v>2802</v>
      </c>
      <c r="F3594" t="s">
        <v>8433</v>
      </c>
      <c r="H3594" t="s">
        <v>2803</v>
      </c>
      <c r="J3594">
        <v>399457</v>
      </c>
      <c r="L3594" t="s">
        <v>5878</v>
      </c>
    </row>
    <row r="3595" spans="1:12" x14ac:dyDescent="0.35">
      <c r="A3595" t="s">
        <v>101</v>
      </c>
      <c r="B3595" s="1">
        <v>45731</v>
      </c>
      <c r="C3595" t="s">
        <v>7653</v>
      </c>
      <c r="E3595" t="s">
        <v>1347</v>
      </c>
      <c r="F3595" t="s">
        <v>8455</v>
      </c>
      <c r="H3595" t="s">
        <v>2804</v>
      </c>
      <c r="J3595">
        <v>2023963</v>
      </c>
      <c r="L3595" t="s">
        <v>6803</v>
      </c>
    </row>
    <row r="3596" spans="1:12" x14ac:dyDescent="0.35">
      <c r="A3596" t="s">
        <v>101</v>
      </c>
      <c r="B3596" s="1">
        <v>45731</v>
      </c>
      <c r="C3596" t="s">
        <v>7653</v>
      </c>
      <c r="E3596" t="s">
        <v>1347</v>
      </c>
      <c r="F3596" t="s">
        <v>7469</v>
      </c>
      <c r="H3596" t="s">
        <v>2804</v>
      </c>
      <c r="K3596">
        <v>2946650</v>
      </c>
      <c r="L3596" t="s">
        <v>5942</v>
      </c>
    </row>
    <row r="3597" spans="1:12" x14ac:dyDescent="0.35">
      <c r="A3597" t="s">
        <v>101</v>
      </c>
      <c r="B3597" s="1">
        <v>45731</v>
      </c>
      <c r="C3597" t="s">
        <v>7653</v>
      </c>
      <c r="E3597" t="s">
        <v>1347</v>
      </c>
      <c r="F3597" t="s">
        <v>8433</v>
      </c>
      <c r="H3597" t="s">
        <v>2804</v>
      </c>
      <c r="J3597">
        <v>922687</v>
      </c>
      <c r="L3597" t="s">
        <v>5942</v>
      </c>
    </row>
    <row r="3598" spans="1:12" x14ac:dyDescent="0.35">
      <c r="A3598" t="s">
        <v>101</v>
      </c>
      <c r="B3598" s="1">
        <v>45731</v>
      </c>
      <c r="C3598" t="s">
        <v>7655</v>
      </c>
      <c r="E3598" t="s">
        <v>1349</v>
      </c>
      <c r="F3598" t="s">
        <v>8456</v>
      </c>
      <c r="H3598" t="s">
        <v>2805</v>
      </c>
      <c r="J3598">
        <v>2023963</v>
      </c>
      <c r="L3598" t="s">
        <v>6803</v>
      </c>
    </row>
    <row r="3599" spans="1:12" x14ac:dyDescent="0.35">
      <c r="A3599" t="s">
        <v>101</v>
      </c>
      <c r="B3599" s="1">
        <v>45731</v>
      </c>
      <c r="C3599" t="s">
        <v>7655</v>
      </c>
      <c r="E3599" t="s">
        <v>1349</v>
      </c>
      <c r="F3599" t="s">
        <v>7469</v>
      </c>
      <c r="H3599" t="s">
        <v>2805</v>
      </c>
      <c r="K3599">
        <v>2946650</v>
      </c>
      <c r="L3599" t="s">
        <v>5942</v>
      </c>
    </row>
    <row r="3600" spans="1:12" x14ac:dyDescent="0.35">
      <c r="A3600" t="s">
        <v>101</v>
      </c>
      <c r="B3600" s="1">
        <v>45731</v>
      </c>
      <c r="C3600" t="s">
        <v>7655</v>
      </c>
      <c r="E3600" t="s">
        <v>1349</v>
      </c>
      <c r="F3600" t="s">
        <v>8433</v>
      </c>
      <c r="H3600" t="s">
        <v>2805</v>
      </c>
      <c r="J3600">
        <v>922687</v>
      </c>
      <c r="L3600" t="s">
        <v>5942</v>
      </c>
    </row>
    <row r="3601" spans="1:12" x14ac:dyDescent="0.35">
      <c r="A3601" t="s">
        <v>101</v>
      </c>
      <c r="B3601" s="1">
        <v>45731</v>
      </c>
      <c r="C3601" t="s">
        <v>7657</v>
      </c>
      <c r="E3601" t="s">
        <v>1351</v>
      </c>
      <c r="F3601" t="s">
        <v>8457</v>
      </c>
      <c r="H3601" t="s">
        <v>2806</v>
      </c>
      <c r="J3601">
        <v>2698617</v>
      </c>
      <c r="L3601" t="s">
        <v>6803</v>
      </c>
    </row>
    <row r="3602" spans="1:12" x14ac:dyDescent="0.35">
      <c r="A3602" t="s">
        <v>101</v>
      </c>
      <c r="B3602" s="1">
        <v>45731</v>
      </c>
      <c r="C3602" t="s">
        <v>7657</v>
      </c>
      <c r="E3602" t="s">
        <v>1351</v>
      </c>
      <c r="F3602" t="s">
        <v>7469</v>
      </c>
      <c r="H3602" t="s">
        <v>2806</v>
      </c>
      <c r="K3602">
        <v>3928866</v>
      </c>
      <c r="L3602" t="s">
        <v>5942</v>
      </c>
    </row>
    <row r="3603" spans="1:12" x14ac:dyDescent="0.35">
      <c r="A3603" t="s">
        <v>101</v>
      </c>
      <c r="B3603" s="1">
        <v>45731</v>
      </c>
      <c r="C3603" t="s">
        <v>7657</v>
      </c>
      <c r="E3603" t="s">
        <v>1351</v>
      </c>
      <c r="F3603" t="s">
        <v>8433</v>
      </c>
      <c r="H3603" t="s">
        <v>2806</v>
      </c>
      <c r="J3603">
        <v>1230249</v>
      </c>
      <c r="L3603" t="s">
        <v>5942</v>
      </c>
    </row>
    <row r="3604" spans="1:12" x14ac:dyDescent="0.35">
      <c r="A3604" t="s">
        <v>101</v>
      </c>
      <c r="B3604" s="1">
        <v>45736</v>
      </c>
      <c r="C3604" t="s">
        <v>7570</v>
      </c>
      <c r="D3604" t="s">
        <v>2807</v>
      </c>
      <c r="F3604" t="s">
        <v>7831</v>
      </c>
      <c r="G3604" t="s">
        <v>8458</v>
      </c>
      <c r="H3604" t="s">
        <v>2808</v>
      </c>
      <c r="I3604" s="1">
        <v>45736</v>
      </c>
      <c r="J3604">
        <v>4720000</v>
      </c>
      <c r="L3604" t="s">
        <v>6803</v>
      </c>
    </row>
    <row r="3605" spans="1:12" x14ac:dyDescent="0.35">
      <c r="A3605" t="s">
        <v>101</v>
      </c>
      <c r="B3605" s="1">
        <v>45736</v>
      </c>
      <c r="C3605" t="s">
        <v>7570</v>
      </c>
      <c r="D3605" t="s">
        <v>2809</v>
      </c>
      <c r="F3605" t="s">
        <v>7831</v>
      </c>
      <c r="G3605" t="s">
        <v>8458</v>
      </c>
      <c r="H3605" t="s">
        <v>2810</v>
      </c>
      <c r="I3605" s="1">
        <v>45766</v>
      </c>
      <c r="J3605">
        <v>708000</v>
      </c>
      <c r="L3605" t="s">
        <v>6803</v>
      </c>
    </row>
    <row r="3606" spans="1:12" x14ac:dyDescent="0.35">
      <c r="A3606" t="s">
        <v>101</v>
      </c>
      <c r="B3606" s="1">
        <v>45736</v>
      </c>
      <c r="C3606" t="s">
        <v>7570</v>
      </c>
      <c r="F3606" t="s">
        <v>7831</v>
      </c>
      <c r="G3606" t="s">
        <v>8458</v>
      </c>
      <c r="H3606" t="s">
        <v>2811</v>
      </c>
      <c r="I3606" s="1">
        <v>45766</v>
      </c>
      <c r="J3606">
        <v>1296000</v>
      </c>
      <c r="L3606" t="s">
        <v>6803</v>
      </c>
    </row>
    <row r="3607" spans="1:12" x14ac:dyDescent="0.35">
      <c r="A3607" t="s">
        <v>101</v>
      </c>
      <c r="B3607" s="1">
        <v>45736</v>
      </c>
      <c r="C3607" t="s">
        <v>7570</v>
      </c>
      <c r="F3607" t="s">
        <v>7831</v>
      </c>
      <c r="G3607" t="s">
        <v>8458</v>
      </c>
      <c r="H3607" t="s">
        <v>2811</v>
      </c>
      <c r="I3607" s="1">
        <v>45766</v>
      </c>
      <c r="J3607">
        <v>1296000</v>
      </c>
      <c r="L3607" t="s">
        <v>6803</v>
      </c>
    </row>
    <row r="3608" spans="1:12" x14ac:dyDescent="0.35">
      <c r="A3608" t="s">
        <v>101</v>
      </c>
      <c r="B3608" s="1">
        <v>45736</v>
      </c>
      <c r="C3608" t="s">
        <v>7570</v>
      </c>
      <c r="F3608" t="s">
        <v>7831</v>
      </c>
      <c r="G3608" t="s">
        <v>8458</v>
      </c>
      <c r="H3608" t="s">
        <v>2811</v>
      </c>
      <c r="I3608" s="1">
        <v>45736</v>
      </c>
      <c r="J3608">
        <v>486000</v>
      </c>
      <c r="L3608" t="s">
        <v>6803</v>
      </c>
    </row>
    <row r="3609" spans="1:12" x14ac:dyDescent="0.35">
      <c r="A3609" t="s">
        <v>101</v>
      </c>
      <c r="B3609" s="1">
        <v>45736</v>
      </c>
      <c r="C3609" t="s">
        <v>7570</v>
      </c>
      <c r="F3609" t="s">
        <v>7831</v>
      </c>
      <c r="G3609" t="s">
        <v>8458</v>
      </c>
      <c r="H3609" t="s">
        <v>2811</v>
      </c>
      <c r="I3609" s="1">
        <v>45736</v>
      </c>
      <c r="J3609">
        <v>486000</v>
      </c>
      <c r="L3609" t="s">
        <v>6803</v>
      </c>
    </row>
    <row r="3610" spans="1:12" x14ac:dyDescent="0.35">
      <c r="A3610" t="s">
        <v>101</v>
      </c>
      <c r="B3610" s="1">
        <v>45736</v>
      </c>
      <c r="C3610" t="s">
        <v>7570</v>
      </c>
      <c r="F3610" t="s">
        <v>7831</v>
      </c>
      <c r="G3610" t="s">
        <v>8458</v>
      </c>
      <c r="H3610" t="s">
        <v>2812</v>
      </c>
      <c r="I3610" s="1">
        <v>45766</v>
      </c>
      <c r="J3610">
        <v>-2700000</v>
      </c>
      <c r="L3610" t="s">
        <v>6803</v>
      </c>
    </row>
    <row r="3611" spans="1:12" x14ac:dyDescent="0.35">
      <c r="A3611" t="s">
        <v>101</v>
      </c>
      <c r="B3611" s="1">
        <v>45736</v>
      </c>
      <c r="C3611" t="s">
        <v>7570</v>
      </c>
      <c r="F3611" t="s">
        <v>7831</v>
      </c>
      <c r="G3611" t="s">
        <v>8458</v>
      </c>
      <c r="H3611" t="s">
        <v>2813</v>
      </c>
      <c r="I3611" s="1">
        <v>45766</v>
      </c>
      <c r="J3611">
        <v>-600000</v>
      </c>
      <c r="L3611" t="s">
        <v>6803</v>
      </c>
    </row>
    <row r="3612" spans="1:12" x14ac:dyDescent="0.35">
      <c r="A3612" t="s">
        <v>101</v>
      </c>
      <c r="B3612" s="1">
        <v>45736</v>
      </c>
      <c r="C3612" t="s">
        <v>7570</v>
      </c>
      <c r="D3612" t="s">
        <v>2814</v>
      </c>
      <c r="F3612" t="s">
        <v>7831</v>
      </c>
      <c r="G3612" t="s">
        <v>8458</v>
      </c>
      <c r="H3612" t="s">
        <v>2808</v>
      </c>
      <c r="I3612" s="1">
        <v>45736</v>
      </c>
      <c r="J3612">
        <v>354000</v>
      </c>
      <c r="L3612" t="s">
        <v>6803</v>
      </c>
    </row>
    <row r="3613" spans="1:12" x14ac:dyDescent="0.35">
      <c r="A3613" t="s">
        <v>101</v>
      </c>
      <c r="B3613" s="1">
        <v>45736</v>
      </c>
      <c r="C3613" t="s">
        <v>7570</v>
      </c>
      <c r="F3613" t="s">
        <v>8459</v>
      </c>
      <c r="G3613" t="s">
        <v>8458</v>
      </c>
      <c r="H3613" t="s">
        <v>2815</v>
      </c>
      <c r="I3613" s="1">
        <v>45736</v>
      </c>
      <c r="K3613">
        <v>6046000</v>
      </c>
      <c r="L3613" t="s">
        <v>6803</v>
      </c>
    </row>
    <row r="3614" spans="1:12" x14ac:dyDescent="0.35">
      <c r="A3614" t="s">
        <v>101</v>
      </c>
      <c r="B3614" s="1">
        <v>45737</v>
      </c>
      <c r="C3614" t="s">
        <v>7575</v>
      </c>
      <c r="D3614" t="s">
        <v>2816</v>
      </c>
      <c r="E3614" t="s">
        <v>2816</v>
      </c>
      <c r="F3614" t="s">
        <v>7831</v>
      </c>
      <c r="G3614" t="s">
        <v>2817</v>
      </c>
      <c r="H3614" t="s">
        <v>2818</v>
      </c>
      <c r="I3614" s="1">
        <v>45737</v>
      </c>
      <c r="K3614">
        <v>36000</v>
      </c>
      <c r="L3614" t="s">
        <v>6803</v>
      </c>
    </row>
    <row r="3615" spans="1:12" x14ac:dyDescent="0.35">
      <c r="A3615" t="s">
        <v>101</v>
      </c>
      <c r="B3615" s="1">
        <v>45737</v>
      </c>
      <c r="C3615" t="s">
        <v>7575</v>
      </c>
      <c r="D3615" t="s">
        <v>2816</v>
      </c>
      <c r="E3615" t="s">
        <v>2816</v>
      </c>
      <c r="F3615" t="s">
        <v>8419</v>
      </c>
      <c r="H3615" t="s">
        <v>2818</v>
      </c>
      <c r="J3615">
        <v>36000</v>
      </c>
      <c r="L3615" t="s">
        <v>6803</v>
      </c>
    </row>
    <row r="3616" spans="1:12" x14ac:dyDescent="0.35">
      <c r="A3616" t="s">
        <v>101</v>
      </c>
      <c r="B3616" s="1">
        <v>45740</v>
      </c>
      <c r="C3616" t="s">
        <v>7576</v>
      </c>
      <c r="F3616" t="s">
        <v>7831</v>
      </c>
      <c r="G3616" t="s">
        <v>8460</v>
      </c>
      <c r="H3616" t="s">
        <v>2819</v>
      </c>
      <c r="I3616" s="1">
        <v>45740</v>
      </c>
      <c r="K3616">
        <v>514844</v>
      </c>
      <c r="L3616" t="s">
        <v>6803</v>
      </c>
    </row>
    <row r="3617" spans="1:12" x14ac:dyDescent="0.35">
      <c r="A3617" t="s">
        <v>101</v>
      </c>
      <c r="B3617" s="1">
        <v>45740</v>
      </c>
      <c r="C3617" t="s">
        <v>7576</v>
      </c>
      <c r="F3617" t="s">
        <v>8459</v>
      </c>
      <c r="G3617" t="s">
        <v>8460</v>
      </c>
      <c r="H3617" t="s">
        <v>2819</v>
      </c>
      <c r="I3617" s="1">
        <v>45740</v>
      </c>
      <c r="J3617">
        <v>514844</v>
      </c>
      <c r="L3617" t="s">
        <v>6803</v>
      </c>
    </row>
    <row r="3618" spans="1:12" x14ac:dyDescent="0.35">
      <c r="A3618" t="s">
        <v>101</v>
      </c>
      <c r="B3618" s="1">
        <v>45740</v>
      </c>
      <c r="C3618" t="s">
        <v>7576</v>
      </c>
      <c r="F3618" t="s">
        <v>8461</v>
      </c>
      <c r="H3618" t="s">
        <v>2820</v>
      </c>
      <c r="K3618">
        <v>514844</v>
      </c>
      <c r="L3618" t="s">
        <v>6803</v>
      </c>
    </row>
    <row r="3619" spans="1:12" x14ac:dyDescent="0.35">
      <c r="A3619" t="s">
        <v>101</v>
      </c>
      <c r="B3619" s="1">
        <v>45740</v>
      </c>
      <c r="C3619" t="s">
        <v>7576</v>
      </c>
      <c r="F3619" t="s">
        <v>8462</v>
      </c>
      <c r="H3619" t="s">
        <v>2820</v>
      </c>
      <c r="J3619">
        <v>514844</v>
      </c>
      <c r="L3619" t="s">
        <v>5981</v>
      </c>
    </row>
    <row r="3620" spans="1:12" x14ac:dyDescent="0.35">
      <c r="A3620" t="s">
        <v>101</v>
      </c>
      <c r="B3620" s="1">
        <v>45744</v>
      </c>
      <c r="C3620" t="s">
        <v>7613</v>
      </c>
      <c r="D3620" t="s">
        <v>2814</v>
      </c>
      <c r="E3620" t="s">
        <v>2814</v>
      </c>
      <c r="F3620" t="s">
        <v>7831</v>
      </c>
      <c r="G3620" t="s">
        <v>8458</v>
      </c>
      <c r="H3620" t="s">
        <v>2821</v>
      </c>
      <c r="I3620" s="1">
        <v>45774</v>
      </c>
      <c r="K3620">
        <v>54000</v>
      </c>
      <c r="L3620" t="s">
        <v>6803</v>
      </c>
    </row>
    <row r="3621" spans="1:12" x14ac:dyDescent="0.35">
      <c r="A3621" t="s">
        <v>101</v>
      </c>
      <c r="B3621" s="1">
        <v>45744</v>
      </c>
      <c r="C3621" t="s">
        <v>7613</v>
      </c>
      <c r="D3621" t="s">
        <v>2814</v>
      </c>
      <c r="E3621" t="s">
        <v>2814</v>
      </c>
      <c r="F3621" t="s">
        <v>8419</v>
      </c>
      <c r="H3621" t="s">
        <v>2821</v>
      </c>
      <c r="J3621">
        <v>54000</v>
      </c>
      <c r="L3621" t="s">
        <v>6803</v>
      </c>
    </row>
    <row r="3622" spans="1:12" x14ac:dyDescent="0.35">
      <c r="A3622" t="s">
        <v>101</v>
      </c>
      <c r="B3622" s="1">
        <v>45746</v>
      </c>
      <c r="C3622" t="s">
        <v>7493</v>
      </c>
      <c r="F3622" t="s">
        <v>8463</v>
      </c>
      <c r="H3622" t="s">
        <v>114</v>
      </c>
      <c r="K3622">
        <v>1411490</v>
      </c>
      <c r="L3622" t="s">
        <v>6803</v>
      </c>
    </row>
    <row r="3623" spans="1:12" x14ac:dyDescent="0.35">
      <c r="A3623" t="s">
        <v>101</v>
      </c>
      <c r="B3623" s="1">
        <v>45746</v>
      </c>
      <c r="C3623" t="s">
        <v>7493</v>
      </c>
      <c r="F3623" t="s">
        <v>8464</v>
      </c>
      <c r="H3623" t="s">
        <v>114</v>
      </c>
      <c r="J3623">
        <v>1411490</v>
      </c>
      <c r="L3623" t="s">
        <v>345</v>
      </c>
    </row>
    <row r="3624" spans="1:12" x14ac:dyDescent="0.35">
      <c r="A3624" t="s">
        <v>101</v>
      </c>
      <c r="B3624" s="1">
        <v>45746</v>
      </c>
      <c r="C3624" t="s">
        <v>7616</v>
      </c>
      <c r="E3624" t="s">
        <v>2822</v>
      </c>
      <c r="F3624" t="s">
        <v>8465</v>
      </c>
      <c r="H3624" t="s">
        <v>2823</v>
      </c>
      <c r="J3624">
        <v>3070592</v>
      </c>
      <c r="L3624" t="s">
        <v>6803</v>
      </c>
    </row>
    <row r="3625" spans="1:12" x14ac:dyDescent="0.35">
      <c r="A3625" t="s">
        <v>101</v>
      </c>
      <c r="B3625" s="1">
        <v>45746</v>
      </c>
      <c r="C3625" t="s">
        <v>7616</v>
      </c>
      <c r="E3625" t="s">
        <v>2822</v>
      </c>
      <c r="F3625" t="s">
        <v>7469</v>
      </c>
      <c r="H3625" t="s">
        <v>2823</v>
      </c>
      <c r="K3625">
        <v>3137491</v>
      </c>
      <c r="L3625" t="s">
        <v>5928</v>
      </c>
    </row>
    <row r="3626" spans="1:12" x14ac:dyDescent="0.35">
      <c r="A3626" t="s">
        <v>101</v>
      </c>
      <c r="B3626" s="1">
        <v>45746</v>
      </c>
      <c r="C3626" t="s">
        <v>7616</v>
      </c>
      <c r="E3626" t="s">
        <v>2822</v>
      </c>
      <c r="F3626" t="s">
        <v>8433</v>
      </c>
      <c r="H3626" t="s">
        <v>2823</v>
      </c>
      <c r="J3626">
        <v>66899</v>
      </c>
      <c r="L3626" t="s">
        <v>5928</v>
      </c>
    </row>
    <row r="3627" spans="1:12" x14ac:dyDescent="0.35">
      <c r="A3627" t="s">
        <v>101</v>
      </c>
      <c r="B3627" s="1">
        <v>45746</v>
      </c>
      <c r="C3627" t="s">
        <v>7619</v>
      </c>
      <c r="E3627" t="s">
        <v>2824</v>
      </c>
      <c r="F3627" t="s">
        <v>8466</v>
      </c>
      <c r="H3627" t="s">
        <v>2825</v>
      </c>
      <c r="J3627">
        <v>826098</v>
      </c>
      <c r="L3627" t="s">
        <v>6803</v>
      </c>
    </row>
    <row r="3628" spans="1:12" x14ac:dyDescent="0.35">
      <c r="A3628" t="s">
        <v>101</v>
      </c>
      <c r="B3628" s="1">
        <v>45746</v>
      </c>
      <c r="C3628" t="s">
        <v>7619</v>
      </c>
      <c r="E3628" t="s">
        <v>2824</v>
      </c>
      <c r="F3628" t="s">
        <v>7469</v>
      </c>
      <c r="H3628" t="s">
        <v>2825</v>
      </c>
      <c r="K3628">
        <v>844097</v>
      </c>
      <c r="L3628" t="s">
        <v>5928</v>
      </c>
    </row>
    <row r="3629" spans="1:12" x14ac:dyDescent="0.35">
      <c r="A3629" t="s">
        <v>101</v>
      </c>
      <c r="B3629" s="1">
        <v>45746</v>
      </c>
      <c r="C3629" t="s">
        <v>7619</v>
      </c>
      <c r="E3629" t="s">
        <v>2824</v>
      </c>
      <c r="F3629" t="s">
        <v>8433</v>
      </c>
      <c r="H3629" t="s">
        <v>2825</v>
      </c>
      <c r="J3629">
        <v>17999</v>
      </c>
      <c r="L3629" t="s">
        <v>5928</v>
      </c>
    </row>
    <row r="3630" spans="1:12" x14ac:dyDescent="0.35">
      <c r="A3630" t="s">
        <v>101</v>
      </c>
      <c r="B3630" s="1">
        <v>45747</v>
      </c>
      <c r="C3630" t="s">
        <v>7483</v>
      </c>
      <c r="F3630" t="s">
        <v>7338</v>
      </c>
      <c r="H3630" t="s">
        <v>2826</v>
      </c>
      <c r="K3630">
        <v>16671267</v>
      </c>
      <c r="L3630" t="s">
        <v>6803</v>
      </c>
    </row>
    <row r="3631" spans="1:12" x14ac:dyDescent="0.35">
      <c r="A3631" t="s">
        <v>101</v>
      </c>
      <c r="B3631" s="1">
        <v>45747</v>
      </c>
      <c r="C3631" t="s">
        <v>7483</v>
      </c>
      <c r="F3631" t="s">
        <v>8467</v>
      </c>
      <c r="H3631" t="s">
        <v>2827</v>
      </c>
      <c r="J3631">
        <v>16671267</v>
      </c>
      <c r="L3631" t="s">
        <v>5966</v>
      </c>
    </row>
    <row r="3632" spans="1:12" x14ac:dyDescent="0.35">
      <c r="A3632" t="s">
        <v>101</v>
      </c>
      <c r="B3632" s="1">
        <v>45747</v>
      </c>
      <c r="C3632" t="s">
        <v>7598</v>
      </c>
      <c r="F3632" t="s">
        <v>8468</v>
      </c>
      <c r="H3632" t="s">
        <v>2828</v>
      </c>
      <c r="K3632">
        <v>606469</v>
      </c>
      <c r="L3632" t="s">
        <v>6803</v>
      </c>
    </row>
    <row r="3633" spans="1:12" x14ac:dyDescent="0.35">
      <c r="A3633" t="s">
        <v>101</v>
      </c>
      <c r="B3633" s="1">
        <v>45747</v>
      </c>
      <c r="C3633" t="s">
        <v>7598</v>
      </c>
      <c r="F3633" t="s">
        <v>8469</v>
      </c>
      <c r="H3633" t="s">
        <v>2829</v>
      </c>
      <c r="K3633">
        <v>443498</v>
      </c>
      <c r="L3633" t="s">
        <v>6803</v>
      </c>
    </row>
    <row r="3634" spans="1:12" x14ac:dyDescent="0.35">
      <c r="A3634" t="s">
        <v>101</v>
      </c>
      <c r="B3634" s="1">
        <v>45747</v>
      </c>
      <c r="C3634" t="s">
        <v>7598</v>
      </c>
      <c r="F3634" t="s">
        <v>8470</v>
      </c>
      <c r="H3634" t="s">
        <v>2830</v>
      </c>
      <c r="K3634">
        <v>3908371</v>
      </c>
      <c r="L3634" t="s">
        <v>6803</v>
      </c>
    </row>
    <row r="3635" spans="1:12" x14ac:dyDescent="0.35">
      <c r="A3635" t="s">
        <v>101</v>
      </c>
      <c r="B3635" s="1">
        <v>45747</v>
      </c>
      <c r="C3635" t="s">
        <v>7598</v>
      </c>
      <c r="F3635" t="s">
        <v>8471</v>
      </c>
      <c r="H3635" t="s">
        <v>2831</v>
      </c>
      <c r="K3635">
        <v>4526615</v>
      </c>
      <c r="L3635" t="s">
        <v>6803</v>
      </c>
    </row>
    <row r="3636" spans="1:12" x14ac:dyDescent="0.35">
      <c r="A3636" t="s">
        <v>101</v>
      </c>
      <c r="B3636" s="1">
        <v>45747</v>
      </c>
      <c r="C3636" t="s">
        <v>7598</v>
      </c>
      <c r="F3636" t="s">
        <v>8472</v>
      </c>
      <c r="H3636" t="s">
        <v>2832</v>
      </c>
      <c r="K3636">
        <v>9243195</v>
      </c>
      <c r="L3636" t="s">
        <v>6803</v>
      </c>
    </row>
    <row r="3637" spans="1:12" x14ac:dyDescent="0.35">
      <c r="A3637" t="s">
        <v>101</v>
      </c>
      <c r="B3637" s="1">
        <v>45747</v>
      </c>
      <c r="C3637" t="s">
        <v>7598</v>
      </c>
      <c r="F3637" t="s">
        <v>8473</v>
      </c>
      <c r="H3637" t="s">
        <v>2833</v>
      </c>
      <c r="K3637">
        <v>1788690</v>
      </c>
      <c r="L3637" t="s">
        <v>6803</v>
      </c>
    </row>
    <row r="3638" spans="1:12" x14ac:dyDescent="0.35">
      <c r="A3638" t="s">
        <v>101</v>
      </c>
      <c r="B3638" s="1">
        <v>45747</v>
      </c>
      <c r="C3638" t="s">
        <v>7598</v>
      </c>
      <c r="F3638" t="s">
        <v>8474</v>
      </c>
      <c r="H3638" t="s">
        <v>2834</v>
      </c>
      <c r="K3638">
        <v>278274</v>
      </c>
      <c r="L3638" t="s">
        <v>6803</v>
      </c>
    </row>
    <row r="3639" spans="1:12" x14ac:dyDescent="0.35">
      <c r="A3639" t="s">
        <v>101</v>
      </c>
      <c r="B3639" s="1">
        <v>45747</v>
      </c>
      <c r="C3639" t="s">
        <v>7598</v>
      </c>
      <c r="F3639" t="s">
        <v>8475</v>
      </c>
      <c r="H3639" t="s">
        <v>2835</v>
      </c>
      <c r="K3639">
        <v>3595568</v>
      </c>
      <c r="L3639" t="s">
        <v>6803</v>
      </c>
    </row>
    <row r="3640" spans="1:12" x14ac:dyDescent="0.35">
      <c r="A3640" t="s">
        <v>101</v>
      </c>
      <c r="B3640" s="1">
        <v>45747</v>
      </c>
      <c r="C3640" t="s">
        <v>7598</v>
      </c>
      <c r="F3640" t="s">
        <v>8476</v>
      </c>
      <c r="H3640" t="s">
        <v>2836</v>
      </c>
      <c r="K3640">
        <v>3262695</v>
      </c>
      <c r="L3640" t="s">
        <v>6803</v>
      </c>
    </row>
    <row r="3641" spans="1:12" x14ac:dyDescent="0.35">
      <c r="A3641" t="s">
        <v>101</v>
      </c>
      <c r="B3641" s="1">
        <v>45747</v>
      </c>
      <c r="C3641" t="s">
        <v>7598</v>
      </c>
      <c r="F3641" t="s">
        <v>8477</v>
      </c>
      <c r="H3641" t="s">
        <v>2837</v>
      </c>
      <c r="K3641">
        <v>368979</v>
      </c>
      <c r="L3641" t="s">
        <v>6803</v>
      </c>
    </row>
    <row r="3642" spans="1:12" x14ac:dyDescent="0.35">
      <c r="A3642" t="s">
        <v>101</v>
      </c>
      <c r="B3642" s="1">
        <v>45747</v>
      </c>
      <c r="C3642" t="s">
        <v>7598</v>
      </c>
      <c r="F3642" t="s">
        <v>8478</v>
      </c>
      <c r="H3642" t="s">
        <v>2838</v>
      </c>
      <c r="K3642">
        <v>3090462</v>
      </c>
      <c r="L3642" t="s">
        <v>6803</v>
      </c>
    </row>
    <row r="3643" spans="1:12" x14ac:dyDescent="0.35">
      <c r="A3643" t="s">
        <v>101</v>
      </c>
      <c r="B3643" s="1">
        <v>45747</v>
      </c>
      <c r="C3643" t="s">
        <v>7598</v>
      </c>
      <c r="F3643" t="s">
        <v>8479</v>
      </c>
      <c r="H3643" t="s">
        <v>2839</v>
      </c>
      <c r="K3643">
        <v>231653</v>
      </c>
      <c r="L3643" t="s">
        <v>6803</v>
      </c>
    </row>
    <row r="3644" spans="1:12" x14ac:dyDescent="0.35">
      <c r="A3644" t="s">
        <v>101</v>
      </c>
      <c r="B3644" s="1">
        <v>45747</v>
      </c>
      <c r="C3644" t="s">
        <v>7598</v>
      </c>
      <c r="F3644" t="s">
        <v>8480</v>
      </c>
      <c r="H3644" t="s">
        <v>2839</v>
      </c>
      <c r="K3644">
        <v>29202</v>
      </c>
      <c r="L3644" t="s">
        <v>6803</v>
      </c>
    </row>
    <row r="3645" spans="1:12" x14ac:dyDescent="0.35">
      <c r="A3645" t="s">
        <v>101</v>
      </c>
      <c r="B3645" s="1">
        <v>45747</v>
      </c>
      <c r="C3645" t="s">
        <v>7598</v>
      </c>
      <c r="F3645" t="s">
        <v>8481</v>
      </c>
      <c r="H3645" t="s">
        <v>2840</v>
      </c>
      <c r="K3645">
        <v>94122646</v>
      </c>
      <c r="L3645" t="s">
        <v>6803</v>
      </c>
    </row>
    <row r="3646" spans="1:12" x14ac:dyDescent="0.35">
      <c r="A3646" t="s">
        <v>101</v>
      </c>
      <c r="B3646" s="1">
        <v>45747</v>
      </c>
      <c r="C3646" t="s">
        <v>7598</v>
      </c>
      <c r="F3646" t="s">
        <v>8482</v>
      </c>
      <c r="H3646" t="s">
        <v>2841</v>
      </c>
      <c r="K3646">
        <v>334866</v>
      </c>
      <c r="L3646" t="s">
        <v>6803</v>
      </c>
    </row>
    <row r="3647" spans="1:12" x14ac:dyDescent="0.35">
      <c r="A3647" t="s">
        <v>101</v>
      </c>
      <c r="B3647" s="1">
        <v>45747</v>
      </c>
      <c r="C3647" t="s">
        <v>7598</v>
      </c>
      <c r="F3647" t="s">
        <v>8483</v>
      </c>
      <c r="H3647" t="s">
        <v>2842</v>
      </c>
      <c r="K3647">
        <v>14340641</v>
      </c>
      <c r="L3647" t="s">
        <v>6803</v>
      </c>
    </row>
    <row r="3648" spans="1:12" x14ac:dyDescent="0.35">
      <c r="A3648" t="s">
        <v>101</v>
      </c>
      <c r="B3648" s="1">
        <v>45747</v>
      </c>
      <c r="C3648" t="s">
        <v>7598</v>
      </c>
      <c r="F3648" t="s">
        <v>8484</v>
      </c>
      <c r="H3648" t="s">
        <v>2843</v>
      </c>
      <c r="K3648">
        <v>1270169</v>
      </c>
      <c r="L3648" t="s">
        <v>6803</v>
      </c>
    </row>
    <row r="3649" spans="1:12" x14ac:dyDescent="0.35">
      <c r="A3649" t="s">
        <v>101</v>
      </c>
      <c r="B3649" s="1">
        <v>45747</v>
      </c>
      <c r="C3649" t="s">
        <v>7598</v>
      </c>
      <c r="F3649" t="s">
        <v>8485</v>
      </c>
      <c r="H3649" t="s">
        <v>2844</v>
      </c>
      <c r="J3649">
        <v>1049967</v>
      </c>
      <c r="L3649" t="s">
        <v>5982</v>
      </c>
    </row>
    <row r="3650" spans="1:12" x14ac:dyDescent="0.35">
      <c r="A3650" t="s">
        <v>101</v>
      </c>
      <c r="B3650" s="1">
        <v>45747</v>
      </c>
      <c r="C3650" t="s">
        <v>7598</v>
      </c>
      <c r="F3650" t="s">
        <v>8486</v>
      </c>
      <c r="H3650" t="s">
        <v>2845</v>
      </c>
      <c r="J3650">
        <v>140392026</v>
      </c>
      <c r="L3650" t="s">
        <v>5873</v>
      </c>
    </row>
    <row r="3651" spans="1:12" x14ac:dyDescent="0.35">
      <c r="A3651" t="s">
        <v>101</v>
      </c>
      <c r="B3651" s="1">
        <v>45747</v>
      </c>
      <c r="C3651" t="s">
        <v>7549</v>
      </c>
      <c r="F3651" t="s">
        <v>8487</v>
      </c>
      <c r="H3651" t="s">
        <v>2846</v>
      </c>
      <c r="K3651">
        <v>9478356</v>
      </c>
      <c r="L3651" t="s">
        <v>6803</v>
      </c>
    </row>
    <row r="3652" spans="1:12" x14ac:dyDescent="0.35">
      <c r="A3652" t="s">
        <v>101</v>
      </c>
      <c r="B3652" s="1">
        <v>45747</v>
      </c>
      <c r="C3652" t="s">
        <v>7549</v>
      </c>
      <c r="F3652" t="s">
        <v>8488</v>
      </c>
      <c r="H3652" t="s">
        <v>2846</v>
      </c>
      <c r="J3652">
        <v>9478356</v>
      </c>
      <c r="L3652" t="s">
        <v>342</v>
      </c>
    </row>
    <row r="3653" spans="1:12" x14ac:dyDescent="0.35">
      <c r="A3653" t="s">
        <v>101</v>
      </c>
      <c r="B3653" s="1">
        <v>45747</v>
      </c>
      <c r="C3653" t="s">
        <v>7486</v>
      </c>
      <c r="F3653" t="s">
        <v>8489</v>
      </c>
      <c r="H3653" t="s">
        <v>2847</v>
      </c>
      <c r="K3653">
        <v>3324096</v>
      </c>
      <c r="L3653" t="s">
        <v>6803</v>
      </c>
    </row>
    <row r="3654" spans="1:12" x14ac:dyDescent="0.35">
      <c r="A3654" t="s">
        <v>101</v>
      </c>
      <c r="B3654" s="1">
        <v>45747</v>
      </c>
      <c r="C3654" t="s">
        <v>7486</v>
      </c>
      <c r="F3654" t="s">
        <v>8490</v>
      </c>
      <c r="H3654" t="s">
        <v>2847</v>
      </c>
      <c r="J3654">
        <v>3324096</v>
      </c>
      <c r="L3654" t="s">
        <v>342</v>
      </c>
    </row>
    <row r="3655" spans="1:12" x14ac:dyDescent="0.35">
      <c r="A3655" t="s">
        <v>101</v>
      </c>
      <c r="B3655" s="1">
        <v>45747</v>
      </c>
      <c r="C3655" t="s">
        <v>7491</v>
      </c>
      <c r="F3655" t="s">
        <v>7823</v>
      </c>
      <c r="G3655" t="s">
        <v>8491</v>
      </c>
      <c r="H3655" t="s">
        <v>2848</v>
      </c>
      <c r="I3655" s="1">
        <v>45747</v>
      </c>
      <c r="K3655">
        <v>9990000</v>
      </c>
      <c r="L3655" t="s">
        <v>6803</v>
      </c>
    </row>
    <row r="3656" spans="1:12" x14ac:dyDescent="0.35">
      <c r="A3656" t="s">
        <v>101</v>
      </c>
      <c r="B3656" s="1">
        <v>45747</v>
      </c>
      <c r="C3656" t="s">
        <v>7491</v>
      </c>
      <c r="F3656" t="s">
        <v>7691</v>
      </c>
      <c r="H3656" t="s">
        <v>2848</v>
      </c>
      <c r="J3656">
        <v>9990000</v>
      </c>
      <c r="L3656" t="s">
        <v>6803</v>
      </c>
    </row>
    <row r="3657" spans="1:12" x14ac:dyDescent="0.35">
      <c r="A3657" t="s">
        <v>101</v>
      </c>
      <c r="B3657" s="1">
        <v>45747</v>
      </c>
      <c r="C3657" t="s">
        <v>7551</v>
      </c>
      <c r="F3657" t="s">
        <v>8492</v>
      </c>
      <c r="H3657" t="s">
        <v>2849</v>
      </c>
      <c r="K3657">
        <v>246500</v>
      </c>
      <c r="L3657" t="s">
        <v>6803</v>
      </c>
    </row>
    <row r="3658" spans="1:12" x14ac:dyDescent="0.35">
      <c r="A3658" t="s">
        <v>101</v>
      </c>
      <c r="B3658" s="1">
        <v>45747</v>
      </c>
      <c r="C3658" t="s">
        <v>7551</v>
      </c>
      <c r="F3658" t="s">
        <v>7345</v>
      </c>
      <c r="H3658" t="s">
        <v>2849</v>
      </c>
      <c r="J3658">
        <v>246500</v>
      </c>
      <c r="L3658" t="s">
        <v>5903</v>
      </c>
    </row>
    <row r="3659" spans="1:12" x14ac:dyDescent="0.35">
      <c r="A3659" t="s">
        <v>101</v>
      </c>
      <c r="B3659" s="1">
        <v>45747</v>
      </c>
      <c r="C3659" t="s">
        <v>7559</v>
      </c>
      <c r="F3659" t="s">
        <v>7597</v>
      </c>
      <c r="H3659" t="s">
        <v>2850</v>
      </c>
      <c r="J3659">
        <v>724865</v>
      </c>
      <c r="L3659" t="s">
        <v>6803</v>
      </c>
    </row>
    <row r="3660" spans="1:12" x14ac:dyDescent="0.35">
      <c r="A3660" t="s">
        <v>101</v>
      </c>
      <c r="B3660" s="1">
        <v>45747</v>
      </c>
      <c r="C3660" t="s">
        <v>7559</v>
      </c>
      <c r="F3660" t="s">
        <v>7597</v>
      </c>
      <c r="H3660" t="s">
        <v>2851</v>
      </c>
      <c r="J3660">
        <v>99999</v>
      </c>
      <c r="L3660" t="s">
        <v>6803</v>
      </c>
    </row>
    <row r="3661" spans="1:12" x14ac:dyDescent="0.35">
      <c r="A3661" t="s">
        <v>101</v>
      </c>
      <c r="B3661" s="1">
        <v>45747</v>
      </c>
      <c r="C3661" t="s">
        <v>7559</v>
      </c>
      <c r="F3661" t="s">
        <v>7644</v>
      </c>
      <c r="G3661" t="s">
        <v>7360</v>
      </c>
      <c r="H3661" t="s">
        <v>2852</v>
      </c>
      <c r="K3661">
        <v>4706612</v>
      </c>
      <c r="L3661" t="s">
        <v>6803</v>
      </c>
    </row>
    <row r="3662" spans="1:12" x14ac:dyDescent="0.35">
      <c r="A3662" t="s">
        <v>101</v>
      </c>
      <c r="B3662" s="1">
        <v>45747</v>
      </c>
      <c r="C3662" t="s">
        <v>7559</v>
      </c>
      <c r="F3662" t="s">
        <v>8070</v>
      </c>
      <c r="H3662" t="s">
        <v>2852</v>
      </c>
      <c r="J3662">
        <v>3881748</v>
      </c>
      <c r="L3662" t="s">
        <v>5909</v>
      </c>
    </row>
    <row r="3663" spans="1:12" x14ac:dyDescent="0.35">
      <c r="A3663" t="s">
        <v>101</v>
      </c>
      <c r="B3663" s="1">
        <v>45747</v>
      </c>
      <c r="C3663" t="s">
        <v>7561</v>
      </c>
      <c r="F3663" t="s">
        <v>7550</v>
      </c>
      <c r="H3663" t="s">
        <v>2853</v>
      </c>
      <c r="K3663">
        <v>80091383</v>
      </c>
      <c r="L3663" t="s">
        <v>6803</v>
      </c>
    </row>
    <row r="3664" spans="1:12" x14ac:dyDescent="0.35">
      <c r="A3664" t="s">
        <v>101</v>
      </c>
      <c r="B3664" s="1">
        <v>45747</v>
      </c>
      <c r="C3664" t="s">
        <v>7561</v>
      </c>
      <c r="F3664" t="s">
        <v>7874</v>
      </c>
      <c r="H3664" t="s">
        <v>2854</v>
      </c>
      <c r="K3664">
        <v>-1</v>
      </c>
      <c r="L3664" t="s">
        <v>6803</v>
      </c>
    </row>
    <row r="3665" spans="1:12" x14ac:dyDescent="0.35">
      <c r="A3665" t="s">
        <v>101</v>
      </c>
      <c r="B3665" s="1">
        <v>45747</v>
      </c>
      <c r="C3665" t="s">
        <v>7561</v>
      </c>
      <c r="F3665" t="s">
        <v>7874</v>
      </c>
      <c r="H3665" t="s">
        <v>2855</v>
      </c>
      <c r="K3665">
        <v>1</v>
      </c>
      <c r="L3665" t="s">
        <v>6803</v>
      </c>
    </row>
    <row r="3666" spans="1:12" x14ac:dyDescent="0.35">
      <c r="A3666" t="s">
        <v>101</v>
      </c>
      <c r="B3666" s="1">
        <v>45747</v>
      </c>
      <c r="C3666" t="s">
        <v>7561</v>
      </c>
      <c r="F3666" t="s">
        <v>7874</v>
      </c>
      <c r="H3666" t="s">
        <v>2855</v>
      </c>
      <c r="K3666">
        <v>1</v>
      </c>
      <c r="L3666" t="s">
        <v>6803</v>
      </c>
    </row>
    <row r="3667" spans="1:12" x14ac:dyDescent="0.35">
      <c r="A3667" t="s">
        <v>101</v>
      </c>
      <c r="B3667" s="1">
        <v>45747</v>
      </c>
      <c r="C3667" t="s">
        <v>7561</v>
      </c>
      <c r="F3667" t="s">
        <v>7874</v>
      </c>
      <c r="H3667" t="s">
        <v>2855</v>
      </c>
      <c r="K3667">
        <v>-1</v>
      </c>
      <c r="L3667" t="s">
        <v>6803</v>
      </c>
    </row>
    <row r="3668" spans="1:12" x14ac:dyDescent="0.35">
      <c r="A3668" t="s">
        <v>101</v>
      </c>
      <c r="B3668" s="1">
        <v>45747</v>
      </c>
      <c r="C3668" t="s">
        <v>7561</v>
      </c>
      <c r="F3668" t="s">
        <v>7514</v>
      </c>
      <c r="G3668" t="s">
        <v>7664</v>
      </c>
      <c r="H3668" t="s">
        <v>2856</v>
      </c>
      <c r="J3668">
        <v>1022673</v>
      </c>
      <c r="L3668" t="s">
        <v>6803</v>
      </c>
    </row>
    <row r="3669" spans="1:12" x14ac:dyDescent="0.35">
      <c r="A3669" t="s">
        <v>101</v>
      </c>
      <c r="B3669" s="1">
        <v>45747</v>
      </c>
      <c r="C3669" t="s">
        <v>7561</v>
      </c>
      <c r="F3669" t="s">
        <v>7597</v>
      </c>
      <c r="H3669" t="s">
        <v>2857</v>
      </c>
      <c r="J3669">
        <v>793750</v>
      </c>
      <c r="L3669" t="s">
        <v>6803</v>
      </c>
    </row>
    <row r="3670" spans="1:12" x14ac:dyDescent="0.35">
      <c r="A3670" t="s">
        <v>101</v>
      </c>
      <c r="B3670" s="1">
        <v>45747</v>
      </c>
      <c r="C3670" t="s">
        <v>7561</v>
      </c>
      <c r="F3670" t="s">
        <v>7644</v>
      </c>
      <c r="G3670" t="s">
        <v>7524</v>
      </c>
      <c r="H3670" t="s">
        <v>2858</v>
      </c>
      <c r="K3670">
        <v>24273900</v>
      </c>
      <c r="L3670" t="s">
        <v>6803</v>
      </c>
    </row>
    <row r="3671" spans="1:12" x14ac:dyDescent="0.35">
      <c r="A3671" t="s">
        <v>101</v>
      </c>
      <c r="B3671" s="1">
        <v>45747</v>
      </c>
      <c r="C3671" t="s">
        <v>7561</v>
      </c>
      <c r="F3671" t="s">
        <v>7644</v>
      </c>
      <c r="G3671" t="s">
        <v>7524</v>
      </c>
      <c r="H3671" t="s">
        <v>2859</v>
      </c>
      <c r="K3671">
        <v>26859259</v>
      </c>
      <c r="L3671" t="s">
        <v>6803</v>
      </c>
    </row>
    <row r="3672" spans="1:12" x14ac:dyDescent="0.35">
      <c r="A3672" t="s">
        <v>101</v>
      </c>
      <c r="B3672" s="1">
        <v>45747</v>
      </c>
      <c r="C3672" t="s">
        <v>7561</v>
      </c>
      <c r="F3672" t="s">
        <v>7644</v>
      </c>
      <c r="G3672" t="s">
        <v>7524</v>
      </c>
      <c r="H3672" t="s">
        <v>2860</v>
      </c>
      <c r="K3672">
        <v>18832236</v>
      </c>
      <c r="L3672" t="s">
        <v>6803</v>
      </c>
    </row>
    <row r="3673" spans="1:12" x14ac:dyDescent="0.35">
      <c r="A3673" t="s">
        <v>101</v>
      </c>
      <c r="B3673" s="1">
        <v>45747</v>
      </c>
      <c r="C3673" t="s">
        <v>7561</v>
      </c>
      <c r="F3673" t="s">
        <v>7644</v>
      </c>
      <c r="G3673" t="s">
        <v>7524</v>
      </c>
      <c r="H3673" t="s">
        <v>2861</v>
      </c>
      <c r="K3673">
        <v>7920760</v>
      </c>
      <c r="L3673" t="s">
        <v>6803</v>
      </c>
    </row>
    <row r="3674" spans="1:12" x14ac:dyDescent="0.35">
      <c r="A3674" t="s">
        <v>101</v>
      </c>
      <c r="B3674" s="1">
        <v>45747</v>
      </c>
      <c r="C3674" t="s">
        <v>7561</v>
      </c>
      <c r="F3674" t="s">
        <v>7644</v>
      </c>
      <c r="G3674" t="s">
        <v>2862</v>
      </c>
      <c r="H3674" t="s">
        <v>2863</v>
      </c>
      <c r="K3674">
        <v>36995561</v>
      </c>
      <c r="L3674" t="s">
        <v>6803</v>
      </c>
    </row>
    <row r="3675" spans="1:12" x14ac:dyDescent="0.35">
      <c r="A3675" t="s">
        <v>101</v>
      </c>
      <c r="B3675" s="1">
        <v>45747</v>
      </c>
      <c r="C3675" t="s">
        <v>7561</v>
      </c>
      <c r="F3675" t="s">
        <v>7644</v>
      </c>
      <c r="G3675" t="s">
        <v>2862</v>
      </c>
      <c r="H3675" t="s">
        <v>2855</v>
      </c>
      <c r="K3675">
        <v>3</v>
      </c>
      <c r="L3675" t="s">
        <v>6803</v>
      </c>
    </row>
    <row r="3676" spans="1:12" x14ac:dyDescent="0.35">
      <c r="A3676" t="s">
        <v>101</v>
      </c>
      <c r="B3676" s="1">
        <v>45747</v>
      </c>
      <c r="C3676" t="s">
        <v>7561</v>
      </c>
      <c r="F3676" t="s">
        <v>7902</v>
      </c>
      <c r="H3676" t="s">
        <v>2864</v>
      </c>
      <c r="J3676">
        <v>180701546</v>
      </c>
      <c r="L3676" t="s">
        <v>5905</v>
      </c>
    </row>
    <row r="3677" spans="1:12" x14ac:dyDescent="0.35">
      <c r="A3677" t="s">
        <v>101</v>
      </c>
      <c r="B3677" s="1">
        <v>45747</v>
      </c>
      <c r="C3677" t="s">
        <v>7561</v>
      </c>
      <c r="F3677" t="s">
        <v>7902</v>
      </c>
      <c r="H3677" t="s">
        <v>2865</v>
      </c>
      <c r="J3677">
        <v>1</v>
      </c>
      <c r="L3677" t="s">
        <v>5905</v>
      </c>
    </row>
    <row r="3678" spans="1:12" x14ac:dyDescent="0.35">
      <c r="A3678" t="s">
        <v>101</v>
      </c>
      <c r="B3678" s="1">
        <v>45747</v>
      </c>
      <c r="C3678" t="s">
        <v>7561</v>
      </c>
      <c r="F3678" t="s">
        <v>8493</v>
      </c>
      <c r="H3678" t="s">
        <v>2865</v>
      </c>
      <c r="J3678">
        <v>5328128</v>
      </c>
      <c r="L3678" t="s">
        <v>5905</v>
      </c>
    </row>
    <row r="3679" spans="1:12" x14ac:dyDescent="0.35">
      <c r="A3679" t="s">
        <v>101</v>
      </c>
      <c r="B3679" s="1">
        <v>45747</v>
      </c>
      <c r="C3679" t="s">
        <v>7561</v>
      </c>
      <c r="F3679" t="s">
        <v>8105</v>
      </c>
      <c r="H3679" t="s">
        <v>2861</v>
      </c>
      <c r="J3679">
        <v>7127004</v>
      </c>
      <c r="L3679" t="s">
        <v>5938</v>
      </c>
    </row>
    <row r="3680" spans="1:12" x14ac:dyDescent="0.35">
      <c r="A3680" t="s">
        <v>101</v>
      </c>
      <c r="B3680" s="1">
        <v>45747</v>
      </c>
      <c r="C3680" t="s">
        <v>7566</v>
      </c>
      <c r="F3680" t="s">
        <v>7338</v>
      </c>
      <c r="H3680" t="s">
        <v>113</v>
      </c>
      <c r="K3680">
        <v>99736000</v>
      </c>
      <c r="L3680" t="s">
        <v>6803</v>
      </c>
    </row>
    <row r="3681" spans="1:12" x14ac:dyDescent="0.35">
      <c r="A3681" t="s">
        <v>101</v>
      </c>
      <c r="B3681" s="1">
        <v>45747</v>
      </c>
      <c r="C3681" t="s">
        <v>7566</v>
      </c>
      <c r="F3681" t="s">
        <v>8494</v>
      </c>
      <c r="H3681" t="s">
        <v>113</v>
      </c>
      <c r="J3681">
        <v>99736000</v>
      </c>
      <c r="L3681" t="s">
        <v>342</v>
      </c>
    </row>
    <row r="3682" spans="1:12" x14ac:dyDescent="0.35">
      <c r="A3682" t="s">
        <v>101</v>
      </c>
      <c r="B3682" s="1">
        <v>45747</v>
      </c>
      <c r="C3682" t="s">
        <v>7573</v>
      </c>
      <c r="F3682" t="s">
        <v>8461</v>
      </c>
      <c r="H3682" t="s">
        <v>2815</v>
      </c>
      <c r="J3682">
        <v>6046000</v>
      </c>
      <c r="L3682" t="s">
        <v>6803</v>
      </c>
    </row>
    <row r="3683" spans="1:12" x14ac:dyDescent="0.35">
      <c r="A3683" t="s">
        <v>101</v>
      </c>
      <c r="B3683" s="1">
        <v>45747</v>
      </c>
      <c r="C3683" t="s">
        <v>7573</v>
      </c>
      <c r="F3683" t="s">
        <v>8495</v>
      </c>
      <c r="H3683" t="s">
        <v>2815</v>
      </c>
      <c r="K3683">
        <v>6046000</v>
      </c>
      <c r="L3683" t="s">
        <v>5981</v>
      </c>
    </row>
    <row r="3684" spans="1:12" x14ac:dyDescent="0.35">
      <c r="A3684" t="s">
        <v>101</v>
      </c>
      <c r="B3684" s="1">
        <v>45747</v>
      </c>
      <c r="C3684" t="s">
        <v>7576</v>
      </c>
      <c r="F3684" t="s">
        <v>7831</v>
      </c>
      <c r="G3684" t="s">
        <v>8458</v>
      </c>
      <c r="H3684" t="s">
        <v>2866</v>
      </c>
      <c r="I3684" s="1">
        <v>45777</v>
      </c>
      <c r="K3684">
        <v>5692000</v>
      </c>
      <c r="L3684" t="s">
        <v>6803</v>
      </c>
    </row>
    <row r="3685" spans="1:12" x14ac:dyDescent="0.35">
      <c r="A3685" t="s">
        <v>101</v>
      </c>
      <c r="B3685" s="1">
        <v>45747</v>
      </c>
      <c r="C3685" t="s">
        <v>7576</v>
      </c>
      <c r="F3685" t="s">
        <v>8459</v>
      </c>
      <c r="G3685" t="s">
        <v>8458</v>
      </c>
      <c r="H3685" t="s">
        <v>2866</v>
      </c>
      <c r="I3685" s="1">
        <v>45747</v>
      </c>
      <c r="J3685">
        <v>5692000</v>
      </c>
      <c r="L3685" t="s">
        <v>6803</v>
      </c>
    </row>
    <row r="3686" spans="1:12" x14ac:dyDescent="0.35">
      <c r="A3686" t="s">
        <v>101</v>
      </c>
      <c r="B3686" s="1">
        <v>45747</v>
      </c>
      <c r="C3686" t="s">
        <v>7577</v>
      </c>
      <c r="F3686" t="s">
        <v>8461</v>
      </c>
      <c r="H3686" t="s">
        <v>2867</v>
      </c>
      <c r="K3686">
        <v>5692000</v>
      </c>
      <c r="L3686" t="s">
        <v>6803</v>
      </c>
    </row>
    <row r="3687" spans="1:12" x14ac:dyDescent="0.35">
      <c r="A3687" t="s">
        <v>101</v>
      </c>
      <c r="B3687" s="1">
        <v>45747</v>
      </c>
      <c r="C3687" t="s">
        <v>7577</v>
      </c>
      <c r="F3687" t="s">
        <v>8462</v>
      </c>
      <c r="H3687" t="s">
        <v>2867</v>
      </c>
      <c r="J3687">
        <v>5692000</v>
      </c>
      <c r="L3687" t="s">
        <v>5877</v>
      </c>
    </row>
    <row r="3688" spans="1:12" x14ac:dyDescent="0.35">
      <c r="A3688" t="s">
        <v>101</v>
      </c>
      <c r="B3688" s="1">
        <v>45747</v>
      </c>
      <c r="C3688" t="s">
        <v>7607</v>
      </c>
      <c r="D3688" t="s">
        <v>2868</v>
      </c>
      <c r="E3688" t="s">
        <v>2868</v>
      </c>
      <c r="F3688" t="s">
        <v>7823</v>
      </c>
      <c r="G3688" t="s">
        <v>7824</v>
      </c>
      <c r="H3688" t="s">
        <v>2869</v>
      </c>
      <c r="I3688" s="1">
        <v>45777</v>
      </c>
      <c r="J3688">
        <v>5839758</v>
      </c>
      <c r="L3688" t="s">
        <v>6803</v>
      </c>
    </row>
    <row r="3689" spans="1:12" x14ac:dyDescent="0.35">
      <c r="A3689" t="s">
        <v>101</v>
      </c>
      <c r="B3689" s="1">
        <v>45747</v>
      </c>
      <c r="C3689" t="s">
        <v>7607</v>
      </c>
      <c r="D3689" t="s">
        <v>2868</v>
      </c>
      <c r="E3689" t="s">
        <v>2868</v>
      </c>
      <c r="F3689" t="s">
        <v>7825</v>
      </c>
      <c r="G3689" t="s">
        <v>7824</v>
      </c>
      <c r="H3689" t="s">
        <v>2869</v>
      </c>
      <c r="K3689">
        <v>5839758</v>
      </c>
      <c r="L3689" t="s">
        <v>6803</v>
      </c>
    </row>
    <row r="3690" spans="1:12" x14ac:dyDescent="0.35">
      <c r="A3690" t="s">
        <v>101</v>
      </c>
      <c r="B3690" s="1">
        <v>45747</v>
      </c>
      <c r="C3690" t="s">
        <v>7173</v>
      </c>
      <c r="D3690" t="s">
        <v>2870</v>
      </c>
      <c r="E3690" t="s">
        <v>2870</v>
      </c>
      <c r="F3690" t="s">
        <v>7825</v>
      </c>
      <c r="G3690" t="s">
        <v>7824</v>
      </c>
      <c r="H3690" t="s">
        <v>2871</v>
      </c>
      <c r="J3690">
        <v>8143263</v>
      </c>
      <c r="L3690" t="s">
        <v>6803</v>
      </c>
    </row>
    <row r="3691" spans="1:12" x14ac:dyDescent="0.35">
      <c r="A3691" t="s">
        <v>101</v>
      </c>
      <c r="B3691" s="1">
        <v>45747</v>
      </c>
      <c r="C3691" t="s">
        <v>7173</v>
      </c>
      <c r="D3691" t="s">
        <v>2870</v>
      </c>
      <c r="E3691" t="s">
        <v>2870</v>
      </c>
      <c r="F3691" t="s">
        <v>7825</v>
      </c>
      <c r="G3691" t="s">
        <v>7824</v>
      </c>
      <c r="H3691" t="s">
        <v>2871</v>
      </c>
      <c r="K3691">
        <v>8143263</v>
      </c>
      <c r="L3691" t="s">
        <v>6803</v>
      </c>
    </row>
    <row r="3692" spans="1:12" x14ac:dyDescent="0.35">
      <c r="A3692" t="s">
        <v>101</v>
      </c>
      <c r="B3692" s="1">
        <v>45747</v>
      </c>
      <c r="C3692" t="s">
        <v>7495</v>
      </c>
      <c r="E3692" t="s">
        <v>2872</v>
      </c>
      <c r="F3692" t="s">
        <v>8496</v>
      </c>
      <c r="H3692" t="s">
        <v>2873</v>
      </c>
      <c r="J3692">
        <v>298209</v>
      </c>
      <c r="L3692" t="s">
        <v>6803</v>
      </c>
    </row>
    <row r="3693" spans="1:12" x14ac:dyDescent="0.35">
      <c r="A3693" t="s">
        <v>101</v>
      </c>
      <c r="B3693" s="1">
        <v>45747</v>
      </c>
      <c r="C3693" t="s">
        <v>7495</v>
      </c>
      <c r="E3693" t="s">
        <v>2872</v>
      </c>
      <c r="F3693" t="s">
        <v>7453</v>
      </c>
      <c r="H3693" t="s">
        <v>2873</v>
      </c>
      <c r="K3693">
        <v>362602</v>
      </c>
      <c r="L3693" t="s">
        <v>5873</v>
      </c>
    </row>
    <row r="3694" spans="1:12" x14ac:dyDescent="0.35">
      <c r="A3694" t="s">
        <v>101</v>
      </c>
      <c r="B3694" s="1">
        <v>45747</v>
      </c>
      <c r="C3694" t="s">
        <v>7495</v>
      </c>
      <c r="E3694" t="s">
        <v>2872</v>
      </c>
      <c r="F3694" t="s">
        <v>8433</v>
      </c>
      <c r="H3694" t="s">
        <v>2873</v>
      </c>
      <c r="J3694">
        <v>64393</v>
      </c>
      <c r="L3694" t="s">
        <v>5873</v>
      </c>
    </row>
    <row r="3695" spans="1:12" x14ac:dyDescent="0.35">
      <c r="A3695" t="s">
        <v>101</v>
      </c>
      <c r="B3695" s="1">
        <v>45747</v>
      </c>
      <c r="C3695" t="s">
        <v>7500</v>
      </c>
      <c r="F3695" t="s">
        <v>6804</v>
      </c>
      <c r="G3695" t="s">
        <v>7680</v>
      </c>
      <c r="H3695" t="s">
        <v>2874</v>
      </c>
      <c r="I3695" s="1">
        <v>45747</v>
      </c>
      <c r="K3695">
        <v>57951</v>
      </c>
      <c r="L3695" t="s">
        <v>6803</v>
      </c>
    </row>
    <row r="3696" spans="1:12" x14ac:dyDescent="0.35">
      <c r="A3696" t="s">
        <v>101</v>
      </c>
      <c r="B3696" s="1">
        <v>45747</v>
      </c>
      <c r="C3696" t="s">
        <v>7500</v>
      </c>
      <c r="F3696" t="s">
        <v>6804</v>
      </c>
      <c r="G3696" t="s">
        <v>8497</v>
      </c>
      <c r="H3696" t="s">
        <v>2875</v>
      </c>
      <c r="I3696" s="1">
        <v>45747</v>
      </c>
      <c r="K3696">
        <v>87173</v>
      </c>
      <c r="L3696" t="s">
        <v>6803</v>
      </c>
    </row>
    <row r="3697" spans="1:12" x14ac:dyDescent="0.35">
      <c r="A3697" t="s">
        <v>101</v>
      </c>
      <c r="B3697" s="1">
        <v>45747</v>
      </c>
      <c r="C3697" t="s">
        <v>7500</v>
      </c>
      <c r="F3697" t="s">
        <v>6804</v>
      </c>
      <c r="G3697" t="s">
        <v>8497</v>
      </c>
      <c r="H3697" t="s">
        <v>2875</v>
      </c>
      <c r="I3697" s="1">
        <v>45747</v>
      </c>
      <c r="K3697">
        <v>230690</v>
      </c>
      <c r="L3697" t="s">
        <v>6803</v>
      </c>
    </row>
    <row r="3698" spans="1:12" x14ac:dyDescent="0.35">
      <c r="A3698" t="s">
        <v>101</v>
      </c>
      <c r="B3698" s="1">
        <v>45747</v>
      </c>
      <c r="C3698" t="s">
        <v>7500</v>
      </c>
      <c r="F3698" t="s">
        <v>6804</v>
      </c>
      <c r="G3698" t="s">
        <v>8358</v>
      </c>
      <c r="H3698" t="s">
        <v>2876</v>
      </c>
      <c r="I3698" s="1">
        <v>45747</v>
      </c>
      <c r="K3698">
        <v>270810</v>
      </c>
      <c r="L3698" t="s">
        <v>6803</v>
      </c>
    </row>
    <row r="3699" spans="1:12" x14ac:dyDescent="0.35">
      <c r="A3699" t="s">
        <v>101</v>
      </c>
      <c r="B3699" s="1">
        <v>45747</v>
      </c>
      <c r="C3699" t="s">
        <v>7500</v>
      </c>
      <c r="F3699" t="s">
        <v>6804</v>
      </c>
      <c r="G3699" t="s">
        <v>8113</v>
      </c>
      <c r="H3699" t="s">
        <v>2877</v>
      </c>
      <c r="I3699" s="1">
        <v>45747</v>
      </c>
      <c r="K3699">
        <v>107616</v>
      </c>
      <c r="L3699" t="s">
        <v>6803</v>
      </c>
    </row>
    <row r="3700" spans="1:12" x14ac:dyDescent="0.35">
      <c r="A3700" t="s">
        <v>101</v>
      </c>
      <c r="B3700" s="1">
        <v>45747</v>
      </c>
      <c r="C3700" t="s">
        <v>7500</v>
      </c>
      <c r="F3700" t="s">
        <v>8498</v>
      </c>
      <c r="G3700" t="s">
        <v>8499</v>
      </c>
      <c r="H3700" t="s">
        <v>2878</v>
      </c>
      <c r="I3700" s="1">
        <v>45747</v>
      </c>
      <c r="J3700">
        <v>754240</v>
      </c>
      <c r="L3700" t="s">
        <v>6803</v>
      </c>
    </row>
    <row r="3701" spans="1:12" x14ac:dyDescent="0.35">
      <c r="A3701" t="s">
        <v>101</v>
      </c>
      <c r="B3701" s="1">
        <v>45747</v>
      </c>
      <c r="C3701" t="s">
        <v>7503</v>
      </c>
      <c r="F3701" t="s">
        <v>6804</v>
      </c>
      <c r="G3701" t="s">
        <v>8500</v>
      </c>
      <c r="H3701" t="s">
        <v>2879</v>
      </c>
      <c r="I3701" s="1">
        <v>45747</v>
      </c>
      <c r="K3701">
        <v>168000</v>
      </c>
      <c r="L3701" t="s">
        <v>6803</v>
      </c>
    </row>
    <row r="3702" spans="1:12" x14ac:dyDescent="0.35">
      <c r="A3702" t="s">
        <v>101</v>
      </c>
      <c r="B3702" s="1">
        <v>45747</v>
      </c>
      <c r="C3702" t="s">
        <v>7503</v>
      </c>
      <c r="F3702" t="s">
        <v>7867</v>
      </c>
      <c r="G3702" t="s">
        <v>8500</v>
      </c>
      <c r="H3702" t="s">
        <v>2879</v>
      </c>
      <c r="I3702" s="1">
        <v>45747</v>
      </c>
      <c r="J3702">
        <v>168000</v>
      </c>
      <c r="L3702" t="s">
        <v>6803</v>
      </c>
    </row>
    <row r="3703" spans="1:12" x14ac:dyDescent="0.35">
      <c r="A3703" t="s">
        <v>101</v>
      </c>
      <c r="B3703" s="1">
        <v>45747</v>
      </c>
      <c r="C3703" t="s">
        <v>7505</v>
      </c>
      <c r="F3703" t="s">
        <v>8415</v>
      </c>
      <c r="G3703" t="s">
        <v>1447</v>
      </c>
      <c r="H3703" t="s">
        <v>2880</v>
      </c>
      <c r="I3703" s="1">
        <v>45747</v>
      </c>
      <c r="K3703">
        <v>5412036</v>
      </c>
      <c r="L3703" t="s">
        <v>6803</v>
      </c>
    </row>
    <row r="3704" spans="1:12" x14ac:dyDescent="0.35">
      <c r="A3704" t="s">
        <v>101</v>
      </c>
      <c r="B3704" s="1">
        <v>45747</v>
      </c>
      <c r="C3704" t="s">
        <v>7505</v>
      </c>
      <c r="F3704" t="s">
        <v>7553</v>
      </c>
      <c r="H3704" t="s">
        <v>2880</v>
      </c>
      <c r="I3704" s="1">
        <v>45747</v>
      </c>
      <c r="J3704">
        <v>990000</v>
      </c>
      <c r="L3704" t="s">
        <v>6803</v>
      </c>
    </row>
    <row r="3705" spans="1:12" x14ac:dyDescent="0.35">
      <c r="A3705" t="s">
        <v>101</v>
      </c>
      <c r="B3705" s="1">
        <v>45747</v>
      </c>
      <c r="C3705" t="s">
        <v>7505</v>
      </c>
      <c r="F3705" t="s">
        <v>7554</v>
      </c>
      <c r="H3705" t="s">
        <v>2880</v>
      </c>
      <c r="J3705">
        <v>4422036</v>
      </c>
      <c r="L3705" t="s">
        <v>5903</v>
      </c>
    </row>
    <row r="3706" spans="1:12" x14ac:dyDescent="0.35">
      <c r="A3706" t="s">
        <v>101</v>
      </c>
      <c r="B3706" s="1">
        <v>45747</v>
      </c>
      <c r="C3706" t="s">
        <v>7507</v>
      </c>
      <c r="F3706" t="s">
        <v>7550</v>
      </c>
      <c r="H3706" t="s">
        <v>2881</v>
      </c>
      <c r="J3706">
        <v>29648340</v>
      </c>
      <c r="L3706" t="s">
        <v>6803</v>
      </c>
    </row>
    <row r="3707" spans="1:12" x14ac:dyDescent="0.35">
      <c r="A3707" t="s">
        <v>101</v>
      </c>
      <c r="B3707" s="1">
        <v>45747</v>
      </c>
      <c r="C3707" t="s">
        <v>7507</v>
      </c>
      <c r="F3707" t="s">
        <v>8415</v>
      </c>
      <c r="G3707" t="s">
        <v>7524</v>
      </c>
      <c r="H3707" t="s">
        <v>2881</v>
      </c>
      <c r="I3707" s="1">
        <v>45747</v>
      </c>
      <c r="K3707">
        <v>29648340</v>
      </c>
      <c r="L3707" t="s">
        <v>6803</v>
      </c>
    </row>
    <row r="3708" spans="1:12" x14ac:dyDescent="0.35">
      <c r="A3708" t="s">
        <v>101</v>
      </c>
      <c r="B3708" s="1">
        <v>45747</v>
      </c>
      <c r="C3708" t="s">
        <v>7661</v>
      </c>
      <c r="F3708" t="s">
        <v>6804</v>
      </c>
      <c r="G3708" t="s">
        <v>6934</v>
      </c>
      <c r="H3708" t="s">
        <v>2882</v>
      </c>
      <c r="I3708" s="1">
        <v>45747</v>
      </c>
      <c r="J3708">
        <v>34750000</v>
      </c>
      <c r="L3708" t="s">
        <v>6803</v>
      </c>
    </row>
    <row r="3709" spans="1:12" x14ac:dyDescent="0.35">
      <c r="A3709" t="s">
        <v>101</v>
      </c>
      <c r="B3709" s="1">
        <v>45747</v>
      </c>
      <c r="C3709" t="s">
        <v>7661</v>
      </c>
      <c r="F3709" t="s">
        <v>8501</v>
      </c>
      <c r="G3709" t="s">
        <v>6934</v>
      </c>
      <c r="H3709" t="s">
        <v>2882</v>
      </c>
      <c r="K3709">
        <v>34750000</v>
      </c>
      <c r="L3709" t="s">
        <v>6803</v>
      </c>
    </row>
    <row r="3710" spans="1:12" x14ac:dyDescent="0.35">
      <c r="A3710" t="s">
        <v>101</v>
      </c>
      <c r="B3710" s="1">
        <v>45747</v>
      </c>
      <c r="C3710" t="s">
        <v>7679</v>
      </c>
      <c r="F3710" t="s">
        <v>8468</v>
      </c>
      <c r="H3710" t="s">
        <v>2883</v>
      </c>
      <c r="K3710">
        <v>606469</v>
      </c>
      <c r="L3710" t="s">
        <v>6803</v>
      </c>
    </row>
    <row r="3711" spans="1:12" x14ac:dyDescent="0.35">
      <c r="A3711" t="s">
        <v>101</v>
      </c>
      <c r="B3711" s="1">
        <v>45747</v>
      </c>
      <c r="C3711" t="s">
        <v>7679</v>
      </c>
      <c r="F3711" t="s">
        <v>8469</v>
      </c>
      <c r="H3711" t="s">
        <v>2884</v>
      </c>
      <c r="K3711">
        <v>443499</v>
      </c>
      <c r="L3711" t="s">
        <v>6803</v>
      </c>
    </row>
    <row r="3712" spans="1:12" x14ac:dyDescent="0.35">
      <c r="A3712" t="s">
        <v>101</v>
      </c>
      <c r="B3712" s="1">
        <v>45747</v>
      </c>
      <c r="C3712" t="s">
        <v>7679</v>
      </c>
      <c r="F3712" t="s">
        <v>8470</v>
      </c>
      <c r="H3712" t="s">
        <v>2885</v>
      </c>
      <c r="K3712">
        <v>3908370</v>
      </c>
      <c r="L3712" t="s">
        <v>6803</v>
      </c>
    </row>
    <row r="3713" spans="1:12" x14ac:dyDescent="0.35">
      <c r="A3713" t="s">
        <v>101</v>
      </c>
      <c r="B3713" s="1">
        <v>45747</v>
      </c>
      <c r="C3713" t="s">
        <v>7679</v>
      </c>
      <c r="F3713" t="s">
        <v>8471</v>
      </c>
      <c r="H3713" t="s">
        <v>2886</v>
      </c>
      <c r="K3713">
        <v>4526617</v>
      </c>
      <c r="L3713" t="s">
        <v>6803</v>
      </c>
    </row>
    <row r="3714" spans="1:12" x14ac:dyDescent="0.35">
      <c r="A3714" t="s">
        <v>101</v>
      </c>
      <c r="B3714" s="1">
        <v>45747</v>
      </c>
      <c r="C3714" t="s">
        <v>7679</v>
      </c>
      <c r="F3714" t="s">
        <v>8472</v>
      </c>
      <c r="H3714" t="s">
        <v>2887</v>
      </c>
      <c r="K3714">
        <v>9243191</v>
      </c>
      <c r="L3714" t="s">
        <v>6803</v>
      </c>
    </row>
    <row r="3715" spans="1:12" x14ac:dyDescent="0.35">
      <c r="A3715" t="s">
        <v>101</v>
      </c>
      <c r="B3715" s="1">
        <v>45747</v>
      </c>
      <c r="C3715" t="s">
        <v>7679</v>
      </c>
      <c r="F3715" t="s">
        <v>8473</v>
      </c>
      <c r="H3715" t="s">
        <v>2888</v>
      </c>
      <c r="K3715">
        <v>1788691</v>
      </c>
      <c r="L3715" t="s">
        <v>6803</v>
      </c>
    </row>
    <row r="3716" spans="1:12" x14ac:dyDescent="0.35">
      <c r="A3716" t="s">
        <v>101</v>
      </c>
      <c r="B3716" s="1">
        <v>45747</v>
      </c>
      <c r="C3716" t="s">
        <v>7679</v>
      </c>
      <c r="F3716" t="s">
        <v>8474</v>
      </c>
      <c r="H3716" t="s">
        <v>2889</v>
      </c>
      <c r="K3716">
        <v>286958</v>
      </c>
      <c r="L3716" t="s">
        <v>6803</v>
      </c>
    </row>
    <row r="3717" spans="1:12" x14ac:dyDescent="0.35">
      <c r="A3717" t="s">
        <v>101</v>
      </c>
      <c r="B3717" s="1">
        <v>45747</v>
      </c>
      <c r="C3717" t="s">
        <v>7679</v>
      </c>
      <c r="F3717" t="s">
        <v>8475</v>
      </c>
      <c r="H3717" t="s">
        <v>2890</v>
      </c>
      <c r="K3717">
        <v>3596462</v>
      </c>
      <c r="L3717" t="s">
        <v>6803</v>
      </c>
    </row>
    <row r="3718" spans="1:12" x14ac:dyDescent="0.35">
      <c r="A3718" t="s">
        <v>101</v>
      </c>
      <c r="B3718" s="1">
        <v>45747</v>
      </c>
      <c r="C3718" t="s">
        <v>7679</v>
      </c>
      <c r="F3718" t="s">
        <v>8476</v>
      </c>
      <c r="H3718" t="s">
        <v>2891</v>
      </c>
      <c r="K3718">
        <v>3262699</v>
      </c>
      <c r="L3718" t="s">
        <v>6803</v>
      </c>
    </row>
    <row r="3719" spans="1:12" x14ac:dyDescent="0.35">
      <c r="A3719" t="s">
        <v>101</v>
      </c>
      <c r="B3719" s="1">
        <v>45747</v>
      </c>
      <c r="C3719" t="s">
        <v>7679</v>
      </c>
      <c r="F3719" t="s">
        <v>8477</v>
      </c>
      <c r="H3719" t="s">
        <v>2892</v>
      </c>
      <c r="K3719">
        <v>371643</v>
      </c>
      <c r="L3719" t="s">
        <v>6803</v>
      </c>
    </row>
    <row r="3720" spans="1:12" x14ac:dyDescent="0.35">
      <c r="A3720" t="s">
        <v>101</v>
      </c>
      <c r="B3720" s="1">
        <v>45747</v>
      </c>
      <c r="C3720" t="s">
        <v>7679</v>
      </c>
      <c r="F3720" t="s">
        <v>8478</v>
      </c>
      <c r="H3720" t="s">
        <v>2893</v>
      </c>
      <c r="K3720">
        <v>3132925</v>
      </c>
      <c r="L3720" t="s">
        <v>6803</v>
      </c>
    </row>
    <row r="3721" spans="1:12" x14ac:dyDescent="0.35">
      <c r="A3721" t="s">
        <v>101</v>
      </c>
      <c r="B3721" s="1">
        <v>45747</v>
      </c>
      <c r="C3721" t="s">
        <v>7679</v>
      </c>
      <c r="F3721" t="s">
        <v>8479</v>
      </c>
      <c r="H3721" t="s">
        <v>2894</v>
      </c>
      <c r="K3721">
        <v>231645</v>
      </c>
      <c r="L3721" t="s">
        <v>6803</v>
      </c>
    </row>
    <row r="3722" spans="1:12" x14ac:dyDescent="0.35">
      <c r="A3722" t="s">
        <v>101</v>
      </c>
      <c r="B3722" s="1">
        <v>45747</v>
      </c>
      <c r="C3722" t="s">
        <v>7679</v>
      </c>
      <c r="F3722" t="s">
        <v>8480</v>
      </c>
      <c r="H3722" t="s">
        <v>2894</v>
      </c>
      <c r="K3722">
        <v>29200</v>
      </c>
      <c r="L3722" t="s">
        <v>6803</v>
      </c>
    </row>
    <row r="3723" spans="1:12" x14ac:dyDescent="0.35">
      <c r="A3723" t="s">
        <v>101</v>
      </c>
      <c r="B3723" s="1">
        <v>45747</v>
      </c>
      <c r="C3723" t="s">
        <v>7679</v>
      </c>
      <c r="F3723" t="s">
        <v>8481</v>
      </c>
      <c r="H3723" t="s">
        <v>2895</v>
      </c>
      <c r="K3723">
        <v>94122694</v>
      </c>
      <c r="L3723" t="s">
        <v>6803</v>
      </c>
    </row>
    <row r="3724" spans="1:12" x14ac:dyDescent="0.35">
      <c r="A3724" t="s">
        <v>101</v>
      </c>
      <c r="B3724" s="1">
        <v>45747</v>
      </c>
      <c r="C3724" t="s">
        <v>7679</v>
      </c>
      <c r="F3724" t="s">
        <v>8482</v>
      </c>
      <c r="H3724" t="s">
        <v>2896</v>
      </c>
      <c r="K3724">
        <v>334867</v>
      </c>
      <c r="L3724" t="s">
        <v>6803</v>
      </c>
    </row>
    <row r="3725" spans="1:12" x14ac:dyDescent="0.35">
      <c r="A3725" t="s">
        <v>101</v>
      </c>
      <c r="B3725" s="1">
        <v>45747</v>
      </c>
      <c r="C3725" t="s">
        <v>7679</v>
      </c>
      <c r="F3725" t="s">
        <v>8483</v>
      </c>
      <c r="H3725" t="s">
        <v>2897</v>
      </c>
      <c r="K3725">
        <v>14340638</v>
      </c>
      <c r="L3725" t="s">
        <v>6803</v>
      </c>
    </row>
    <row r="3726" spans="1:12" x14ac:dyDescent="0.35">
      <c r="A3726" t="s">
        <v>101</v>
      </c>
      <c r="B3726" s="1">
        <v>45747</v>
      </c>
      <c r="C3726" t="s">
        <v>7679</v>
      </c>
      <c r="F3726" t="s">
        <v>8484</v>
      </c>
      <c r="H3726" t="s">
        <v>2898</v>
      </c>
      <c r="K3726">
        <v>1270167</v>
      </c>
      <c r="L3726" t="s">
        <v>6803</v>
      </c>
    </row>
    <row r="3727" spans="1:12" x14ac:dyDescent="0.35">
      <c r="A3727" t="s">
        <v>101</v>
      </c>
      <c r="B3727" s="1">
        <v>45747</v>
      </c>
      <c r="C3727" t="s">
        <v>7679</v>
      </c>
      <c r="F3727" t="s">
        <v>8485</v>
      </c>
      <c r="H3727" t="s">
        <v>2899</v>
      </c>
      <c r="J3727">
        <v>1049968</v>
      </c>
      <c r="L3727" t="s">
        <v>5982</v>
      </c>
    </row>
    <row r="3728" spans="1:12" x14ac:dyDescent="0.35">
      <c r="A3728" t="s">
        <v>101</v>
      </c>
      <c r="B3728" s="1">
        <v>45747</v>
      </c>
      <c r="C3728" t="s">
        <v>7679</v>
      </c>
      <c r="F3728" t="s">
        <v>8486</v>
      </c>
      <c r="H3728" t="s">
        <v>2900</v>
      </c>
      <c r="J3728">
        <v>140446767</v>
      </c>
      <c r="L3728" t="s">
        <v>5982</v>
      </c>
    </row>
    <row r="3729" spans="1:12" x14ac:dyDescent="0.35">
      <c r="A3729" t="s">
        <v>101</v>
      </c>
      <c r="B3729" s="1">
        <v>45747</v>
      </c>
      <c r="C3729" t="s">
        <v>7684</v>
      </c>
      <c r="F3729" t="s">
        <v>8422</v>
      </c>
      <c r="G3729" t="s">
        <v>2753</v>
      </c>
      <c r="H3729" t="s">
        <v>2901</v>
      </c>
      <c r="I3729" s="1">
        <v>45747</v>
      </c>
      <c r="J3729">
        <v>15166546</v>
      </c>
      <c r="L3729" t="s">
        <v>6803</v>
      </c>
    </row>
    <row r="3730" spans="1:12" x14ac:dyDescent="0.35">
      <c r="A3730" t="s">
        <v>101</v>
      </c>
      <c r="B3730" s="1">
        <v>45747</v>
      </c>
      <c r="C3730" t="s">
        <v>7684</v>
      </c>
      <c r="F3730" t="s">
        <v>8423</v>
      </c>
      <c r="H3730" t="s">
        <v>2902</v>
      </c>
      <c r="K3730">
        <v>94286110</v>
      </c>
      <c r="L3730" t="s">
        <v>5969</v>
      </c>
    </row>
    <row r="3731" spans="1:12" x14ac:dyDescent="0.35">
      <c r="A3731" t="s">
        <v>101</v>
      </c>
      <c r="B3731" s="1">
        <v>45747</v>
      </c>
      <c r="C3731" t="s">
        <v>7684</v>
      </c>
      <c r="F3731" t="s">
        <v>8423</v>
      </c>
      <c r="H3731" t="s">
        <v>2903</v>
      </c>
      <c r="K3731">
        <v>-389778789</v>
      </c>
      <c r="L3731" t="s">
        <v>5969</v>
      </c>
    </row>
    <row r="3732" spans="1:12" x14ac:dyDescent="0.35">
      <c r="A3732" t="s">
        <v>101</v>
      </c>
      <c r="B3732" s="1">
        <v>45747</v>
      </c>
      <c r="C3732" t="s">
        <v>7684</v>
      </c>
      <c r="F3732" t="s">
        <v>8423</v>
      </c>
      <c r="H3732" t="s">
        <v>2904</v>
      </c>
      <c r="K3732">
        <v>1</v>
      </c>
      <c r="L3732" t="s">
        <v>5969</v>
      </c>
    </row>
    <row r="3733" spans="1:12" x14ac:dyDescent="0.35">
      <c r="A3733" t="s">
        <v>101</v>
      </c>
      <c r="B3733" s="1">
        <v>45747</v>
      </c>
      <c r="C3733" t="s">
        <v>7684</v>
      </c>
      <c r="F3733" t="s">
        <v>8423</v>
      </c>
      <c r="H3733" t="s">
        <v>2905</v>
      </c>
      <c r="K3733">
        <v>61614700</v>
      </c>
      <c r="L3733" t="s">
        <v>5969</v>
      </c>
    </row>
    <row r="3734" spans="1:12" x14ac:dyDescent="0.35">
      <c r="A3734" t="s">
        <v>101</v>
      </c>
      <c r="B3734" s="1">
        <v>45747</v>
      </c>
      <c r="C3734" t="s">
        <v>7684</v>
      </c>
      <c r="F3734" t="s">
        <v>8423</v>
      </c>
      <c r="H3734" t="s">
        <v>2906</v>
      </c>
      <c r="K3734">
        <v>350443031</v>
      </c>
      <c r="L3734" t="s">
        <v>5969</v>
      </c>
    </row>
    <row r="3735" spans="1:12" x14ac:dyDescent="0.35">
      <c r="A3735" t="s">
        <v>101</v>
      </c>
      <c r="B3735" s="1">
        <v>45747</v>
      </c>
      <c r="C3735" t="s">
        <v>7684</v>
      </c>
      <c r="F3735" t="s">
        <v>8423</v>
      </c>
      <c r="H3735" t="s">
        <v>2907</v>
      </c>
      <c r="K3735">
        <v>30686000</v>
      </c>
      <c r="L3735" t="s">
        <v>5969</v>
      </c>
    </row>
    <row r="3736" spans="1:12" x14ac:dyDescent="0.35">
      <c r="A3736" t="s">
        <v>101</v>
      </c>
      <c r="B3736" s="1">
        <v>45747</v>
      </c>
      <c r="C3736" t="s">
        <v>7684</v>
      </c>
      <c r="F3736" t="s">
        <v>8423</v>
      </c>
      <c r="H3736" t="s">
        <v>2908</v>
      </c>
      <c r="K3736">
        <v>135313571</v>
      </c>
      <c r="L3736" t="s">
        <v>5969</v>
      </c>
    </row>
    <row r="3737" spans="1:12" x14ac:dyDescent="0.35">
      <c r="A3737" t="s">
        <v>101</v>
      </c>
      <c r="B3737" s="1">
        <v>45747</v>
      </c>
      <c r="C3737" t="s">
        <v>7684</v>
      </c>
      <c r="F3737" t="s">
        <v>8423</v>
      </c>
      <c r="H3737" t="s">
        <v>2909</v>
      </c>
      <c r="K3737">
        <v>-300000</v>
      </c>
      <c r="L3737" t="s">
        <v>5969</v>
      </c>
    </row>
    <row r="3738" spans="1:12" x14ac:dyDescent="0.35">
      <c r="A3738" t="s">
        <v>101</v>
      </c>
      <c r="B3738" s="1">
        <v>45747</v>
      </c>
      <c r="C3738" t="s">
        <v>7684</v>
      </c>
      <c r="F3738" t="s">
        <v>8424</v>
      </c>
      <c r="H3738" t="s">
        <v>2910</v>
      </c>
      <c r="K3738">
        <v>-246916248</v>
      </c>
      <c r="L3738" t="s">
        <v>5977</v>
      </c>
    </row>
    <row r="3739" spans="1:12" x14ac:dyDescent="0.35">
      <c r="A3739" t="s">
        <v>101</v>
      </c>
      <c r="B3739" s="1">
        <v>45747</v>
      </c>
      <c r="C3739" t="s">
        <v>7684</v>
      </c>
      <c r="F3739" t="s">
        <v>8425</v>
      </c>
      <c r="H3739" t="s">
        <v>2911</v>
      </c>
      <c r="K3739">
        <v>-7122000</v>
      </c>
      <c r="L3739" t="s">
        <v>5978</v>
      </c>
    </row>
    <row r="3740" spans="1:12" x14ac:dyDescent="0.35">
      <c r="A3740" t="s">
        <v>101</v>
      </c>
      <c r="B3740" s="1">
        <v>45747</v>
      </c>
      <c r="C3740" t="s">
        <v>7684</v>
      </c>
      <c r="F3740" t="s">
        <v>8426</v>
      </c>
      <c r="H3740" t="s">
        <v>2909</v>
      </c>
      <c r="K3740">
        <v>3450000</v>
      </c>
      <c r="L3740" t="s">
        <v>5976</v>
      </c>
    </row>
    <row r="3741" spans="1:12" x14ac:dyDescent="0.35">
      <c r="A3741" t="s">
        <v>101</v>
      </c>
      <c r="B3741" s="1">
        <v>45747</v>
      </c>
      <c r="C3741" t="s">
        <v>7684</v>
      </c>
      <c r="F3741" t="s">
        <v>8427</v>
      </c>
      <c r="H3741" t="s">
        <v>2912</v>
      </c>
      <c r="K3741">
        <v>4500000</v>
      </c>
      <c r="L3741" t="s">
        <v>5975</v>
      </c>
    </row>
    <row r="3742" spans="1:12" x14ac:dyDescent="0.35">
      <c r="A3742" t="s">
        <v>101</v>
      </c>
      <c r="B3742" s="1">
        <v>45747</v>
      </c>
      <c r="C3742" t="s">
        <v>7684</v>
      </c>
      <c r="F3742" t="s">
        <v>8427</v>
      </c>
      <c r="H3742" t="s">
        <v>2913</v>
      </c>
      <c r="K3742">
        <v>17515000</v>
      </c>
      <c r="L3742" t="s">
        <v>5975</v>
      </c>
    </row>
    <row r="3743" spans="1:12" x14ac:dyDescent="0.35">
      <c r="A3743" t="s">
        <v>101</v>
      </c>
      <c r="B3743" s="1">
        <v>45747</v>
      </c>
      <c r="C3743" t="s">
        <v>7684</v>
      </c>
      <c r="F3743" t="s">
        <v>8427</v>
      </c>
      <c r="H3743" t="s">
        <v>2912</v>
      </c>
      <c r="K3743">
        <v>-39041780</v>
      </c>
      <c r="L3743" t="s">
        <v>5975</v>
      </c>
    </row>
    <row r="3744" spans="1:12" x14ac:dyDescent="0.35">
      <c r="A3744" t="s">
        <v>101</v>
      </c>
      <c r="B3744" s="1">
        <v>45747</v>
      </c>
      <c r="C3744" t="s">
        <v>7684</v>
      </c>
      <c r="F3744" t="s">
        <v>8427</v>
      </c>
      <c r="H3744" t="s">
        <v>2912</v>
      </c>
      <c r="K3744">
        <v>-6500500</v>
      </c>
      <c r="L3744" t="s">
        <v>5975</v>
      </c>
    </row>
    <row r="3745" spans="1:12" x14ac:dyDescent="0.35">
      <c r="A3745" t="s">
        <v>101</v>
      </c>
      <c r="B3745" s="1">
        <v>45747</v>
      </c>
      <c r="C3745" t="s">
        <v>7684</v>
      </c>
      <c r="F3745" t="s">
        <v>8428</v>
      </c>
      <c r="H3745" t="s">
        <v>2914</v>
      </c>
      <c r="K3745">
        <v>-3168000</v>
      </c>
      <c r="L3745" t="s">
        <v>5972</v>
      </c>
    </row>
    <row r="3746" spans="1:12" x14ac:dyDescent="0.35">
      <c r="A3746" t="s">
        <v>101</v>
      </c>
      <c r="B3746" s="1">
        <v>45747</v>
      </c>
      <c r="C3746" t="s">
        <v>7684</v>
      </c>
      <c r="F3746" t="s">
        <v>8429</v>
      </c>
      <c r="H3746" t="s">
        <v>2915</v>
      </c>
      <c r="K3746">
        <v>10185450</v>
      </c>
      <c r="L3746" t="s">
        <v>5972</v>
      </c>
    </row>
    <row r="3747" spans="1:12" x14ac:dyDescent="0.35">
      <c r="A3747" t="s">
        <v>101</v>
      </c>
      <c r="B3747" s="1">
        <v>45747</v>
      </c>
      <c r="C3747" t="s">
        <v>7578</v>
      </c>
      <c r="F3747" t="s">
        <v>8419</v>
      </c>
      <c r="H3747" t="s">
        <v>120</v>
      </c>
      <c r="J3747">
        <v>215986447</v>
      </c>
      <c r="L3747" t="s">
        <v>6803</v>
      </c>
    </row>
    <row r="3748" spans="1:12" x14ac:dyDescent="0.35">
      <c r="A3748" t="s">
        <v>101</v>
      </c>
      <c r="B3748" s="1">
        <v>45747</v>
      </c>
      <c r="C3748" t="s">
        <v>7578</v>
      </c>
      <c r="F3748" t="s">
        <v>7836</v>
      </c>
      <c r="H3748" t="s">
        <v>120</v>
      </c>
      <c r="K3748">
        <v>24989874</v>
      </c>
      <c r="L3748" t="s">
        <v>6803</v>
      </c>
    </row>
    <row r="3749" spans="1:12" x14ac:dyDescent="0.35">
      <c r="A3749" t="s">
        <v>101</v>
      </c>
      <c r="B3749" s="1">
        <v>45747</v>
      </c>
      <c r="C3749" t="s">
        <v>7578</v>
      </c>
      <c r="F3749" t="s">
        <v>8402</v>
      </c>
      <c r="H3749" t="s">
        <v>120</v>
      </c>
      <c r="K3749">
        <v>432907</v>
      </c>
      <c r="L3749" t="s">
        <v>6803</v>
      </c>
    </row>
    <row r="3750" spans="1:12" x14ac:dyDescent="0.35">
      <c r="A3750" t="s">
        <v>101</v>
      </c>
      <c r="B3750" s="1">
        <v>45747</v>
      </c>
      <c r="C3750" t="s">
        <v>7578</v>
      </c>
      <c r="F3750" t="s">
        <v>8420</v>
      </c>
      <c r="H3750" t="s">
        <v>120</v>
      </c>
      <c r="K3750">
        <v>43103742</v>
      </c>
      <c r="L3750" t="s">
        <v>6803</v>
      </c>
    </row>
    <row r="3751" spans="1:12" x14ac:dyDescent="0.35">
      <c r="A3751" t="s">
        <v>101</v>
      </c>
      <c r="B3751" s="1">
        <v>45747</v>
      </c>
      <c r="C3751" t="s">
        <v>7578</v>
      </c>
      <c r="F3751" t="s">
        <v>8421</v>
      </c>
      <c r="H3751" t="s">
        <v>120</v>
      </c>
      <c r="J3751">
        <v>43103742</v>
      </c>
      <c r="L3751" t="s">
        <v>6803</v>
      </c>
    </row>
    <row r="3752" spans="1:12" x14ac:dyDescent="0.35">
      <c r="A3752" t="s">
        <v>101</v>
      </c>
      <c r="B3752" s="1">
        <v>45747</v>
      </c>
      <c r="C3752" t="s">
        <v>7578</v>
      </c>
      <c r="F3752" t="s">
        <v>6806</v>
      </c>
      <c r="H3752" t="s">
        <v>120</v>
      </c>
      <c r="K3752">
        <v>19997212</v>
      </c>
      <c r="L3752" t="s">
        <v>6803</v>
      </c>
    </row>
    <row r="3753" spans="1:12" x14ac:dyDescent="0.35">
      <c r="A3753" t="s">
        <v>101</v>
      </c>
      <c r="B3753" s="1">
        <v>45747</v>
      </c>
      <c r="C3753" t="s">
        <v>7578</v>
      </c>
      <c r="F3753" t="s">
        <v>6819</v>
      </c>
      <c r="H3753" t="s">
        <v>120</v>
      </c>
      <c r="K3753">
        <v>13631782</v>
      </c>
      <c r="L3753" t="s">
        <v>6803</v>
      </c>
    </row>
    <row r="3754" spans="1:12" x14ac:dyDescent="0.35">
      <c r="A3754" t="s">
        <v>101</v>
      </c>
      <c r="B3754" s="1">
        <v>45747</v>
      </c>
      <c r="C3754" t="s">
        <v>7578</v>
      </c>
      <c r="F3754" t="s">
        <v>7874</v>
      </c>
      <c r="H3754" t="s">
        <v>120</v>
      </c>
      <c r="K3754">
        <v>156934672</v>
      </c>
      <c r="L3754" t="s">
        <v>6803</v>
      </c>
    </row>
    <row r="3755" spans="1:12" x14ac:dyDescent="0.35">
      <c r="A3755" t="s">
        <v>101</v>
      </c>
      <c r="B3755" s="1">
        <v>45747</v>
      </c>
      <c r="C3755" t="s">
        <v>7557</v>
      </c>
      <c r="F3755" t="s">
        <v>8430</v>
      </c>
      <c r="H3755" t="s">
        <v>2916</v>
      </c>
      <c r="K3755">
        <v>122270</v>
      </c>
      <c r="L3755" t="s">
        <v>6803</v>
      </c>
    </row>
    <row r="3756" spans="1:12" x14ac:dyDescent="0.35">
      <c r="A3756" t="s">
        <v>101</v>
      </c>
      <c r="B3756" s="1">
        <v>45747</v>
      </c>
      <c r="C3756" t="s">
        <v>7557</v>
      </c>
      <c r="F3756" t="s">
        <v>7514</v>
      </c>
      <c r="G3756" t="s">
        <v>7664</v>
      </c>
      <c r="H3756" t="s">
        <v>2916</v>
      </c>
      <c r="J3756">
        <v>817475</v>
      </c>
      <c r="L3756" t="s">
        <v>6803</v>
      </c>
    </row>
    <row r="3757" spans="1:12" x14ac:dyDescent="0.35">
      <c r="A3757" t="s">
        <v>101</v>
      </c>
      <c r="B3757" s="1">
        <v>45747</v>
      </c>
      <c r="C3757" t="s">
        <v>7557</v>
      </c>
      <c r="F3757" t="s">
        <v>7595</v>
      </c>
      <c r="H3757" t="s">
        <v>2916</v>
      </c>
      <c r="J3757">
        <v>-695205</v>
      </c>
      <c r="L3757" t="s">
        <v>10115</v>
      </c>
    </row>
    <row r="3758" spans="1:12" x14ac:dyDescent="0.35">
      <c r="A3758" t="s">
        <v>101</v>
      </c>
      <c r="B3758" s="1">
        <v>45747</v>
      </c>
      <c r="C3758" t="s">
        <v>7685</v>
      </c>
      <c r="F3758" t="s">
        <v>8430</v>
      </c>
      <c r="H3758" t="s">
        <v>2917</v>
      </c>
      <c r="K3758">
        <v>128610</v>
      </c>
      <c r="L3758" t="s">
        <v>6803</v>
      </c>
    </row>
    <row r="3759" spans="1:12" x14ac:dyDescent="0.35">
      <c r="A3759" t="s">
        <v>101</v>
      </c>
      <c r="B3759" s="1">
        <v>45747</v>
      </c>
      <c r="C3759" t="s">
        <v>7685</v>
      </c>
      <c r="F3759" t="s">
        <v>7514</v>
      </c>
      <c r="G3759" t="s">
        <v>7664</v>
      </c>
      <c r="H3759" t="s">
        <v>2917</v>
      </c>
      <c r="J3759">
        <v>875620</v>
      </c>
      <c r="L3759" t="s">
        <v>6803</v>
      </c>
    </row>
    <row r="3760" spans="1:12" x14ac:dyDescent="0.35">
      <c r="A3760" t="s">
        <v>101</v>
      </c>
      <c r="B3760" s="1">
        <v>45747</v>
      </c>
      <c r="C3760" t="s">
        <v>7685</v>
      </c>
      <c r="F3760" t="s">
        <v>7595</v>
      </c>
      <c r="H3760" t="s">
        <v>2917</v>
      </c>
      <c r="J3760">
        <v>-747010</v>
      </c>
      <c r="L3760" t="s">
        <v>10115</v>
      </c>
    </row>
    <row r="3761" spans="1:12" x14ac:dyDescent="0.35">
      <c r="A3761" t="s">
        <v>101</v>
      </c>
      <c r="B3761" s="1">
        <v>45747</v>
      </c>
      <c r="C3761" t="s">
        <v>7690</v>
      </c>
      <c r="F3761" t="s">
        <v>8430</v>
      </c>
      <c r="H3761" t="s">
        <v>2918</v>
      </c>
      <c r="K3761">
        <v>438</v>
      </c>
      <c r="L3761" t="s">
        <v>6803</v>
      </c>
    </row>
    <row r="3762" spans="1:12" x14ac:dyDescent="0.35">
      <c r="A3762" t="s">
        <v>101</v>
      </c>
      <c r="B3762" s="1">
        <v>45747</v>
      </c>
      <c r="C3762" t="s">
        <v>7690</v>
      </c>
      <c r="F3762" t="s">
        <v>7514</v>
      </c>
      <c r="G3762" t="s">
        <v>7664</v>
      </c>
      <c r="H3762" t="s">
        <v>2918</v>
      </c>
      <c r="J3762">
        <v>4784</v>
      </c>
      <c r="L3762" t="s">
        <v>6803</v>
      </c>
    </row>
    <row r="3763" spans="1:12" x14ac:dyDescent="0.35">
      <c r="A3763" t="s">
        <v>101</v>
      </c>
      <c r="B3763" s="1">
        <v>45747</v>
      </c>
      <c r="C3763" t="s">
        <v>7690</v>
      </c>
      <c r="F3763" t="s">
        <v>7606</v>
      </c>
      <c r="H3763" t="s">
        <v>2918</v>
      </c>
      <c r="J3763">
        <v>-4346</v>
      </c>
      <c r="L3763" t="s">
        <v>10115</v>
      </c>
    </row>
    <row r="3764" spans="1:12" x14ac:dyDescent="0.35">
      <c r="A3764" t="s">
        <v>101</v>
      </c>
      <c r="B3764" s="1">
        <v>45747</v>
      </c>
      <c r="C3764" t="s">
        <v>7692</v>
      </c>
      <c r="F3764" t="s">
        <v>8430</v>
      </c>
      <c r="H3764" t="s">
        <v>2919</v>
      </c>
      <c r="K3764">
        <v>190800</v>
      </c>
      <c r="L3764" t="s">
        <v>6803</v>
      </c>
    </row>
    <row r="3765" spans="1:12" x14ac:dyDescent="0.35">
      <c r="A3765" t="s">
        <v>101</v>
      </c>
      <c r="B3765" s="1">
        <v>45747</v>
      </c>
      <c r="C3765" t="s">
        <v>7692</v>
      </c>
      <c r="F3765" t="s">
        <v>7514</v>
      </c>
      <c r="G3765" t="s">
        <v>7664</v>
      </c>
      <c r="H3765" t="s">
        <v>2919</v>
      </c>
      <c r="J3765">
        <v>1250800</v>
      </c>
      <c r="L3765" t="s">
        <v>6803</v>
      </c>
    </row>
    <row r="3766" spans="1:12" x14ac:dyDescent="0.35">
      <c r="A3766" t="s">
        <v>101</v>
      </c>
      <c r="B3766" s="1">
        <v>45747</v>
      </c>
      <c r="C3766" t="s">
        <v>7692</v>
      </c>
      <c r="F3766" t="s">
        <v>7789</v>
      </c>
      <c r="H3766" t="s">
        <v>2919</v>
      </c>
      <c r="J3766">
        <v>-1060000</v>
      </c>
      <c r="L3766" t="s">
        <v>10115</v>
      </c>
    </row>
    <row r="3767" spans="1:12" x14ac:dyDescent="0.35">
      <c r="A3767" t="s">
        <v>101</v>
      </c>
      <c r="B3767" s="1">
        <v>45747</v>
      </c>
      <c r="C3767" t="s">
        <v>7695</v>
      </c>
      <c r="F3767" t="s">
        <v>8430</v>
      </c>
      <c r="H3767" t="s">
        <v>2920</v>
      </c>
      <c r="K3767">
        <v>190800</v>
      </c>
      <c r="L3767" t="s">
        <v>6803</v>
      </c>
    </row>
    <row r="3768" spans="1:12" x14ac:dyDescent="0.35">
      <c r="A3768" t="s">
        <v>101</v>
      </c>
      <c r="B3768" s="1">
        <v>45747</v>
      </c>
      <c r="C3768" t="s">
        <v>7695</v>
      </c>
      <c r="F3768" t="s">
        <v>7514</v>
      </c>
      <c r="G3768" t="s">
        <v>7664</v>
      </c>
      <c r="H3768" t="s">
        <v>2920</v>
      </c>
      <c r="J3768">
        <v>1250800</v>
      </c>
      <c r="L3768" t="s">
        <v>6803</v>
      </c>
    </row>
    <row r="3769" spans="1:12" x14ac:dyDescent="0.35">
      <c r="A3769" t="s">
        <v>101</v>
      </c>
      <c r="B3769" s="1">
        <v>45747</v>
      </c>
      <c r="C3769" t="s">
        <v>7695</v>
      </c>
      <c r="F3769" t="s">
        <v>7789</v>
      </c>
      <c r="H3769" t="s">
        <v>2920</v>
      </c>
      <c r="J3769">
        <v>-1060000</v>
      </c>
      <c r="L3769" t="s">
        <v>10115</v>
      </c>
    </row>
    <row r="3770" spans="1:12" x14ac:dyDescent="0.35">
      <c r="A3770" t="s">
        <v>101</v>
      </c>
      <c r="B3770" s="1">
        <v>45747</v>
      </c>
      <c r="C3770" t="s">
        <v>7693</v>
      </c>
      <c r="F3770" t="s">
        <v>8430</v>
      </c>
      <c r="H3770" t="s">
        <v>2921</v>
      </c>
      <c r="K3770">
        <v>27720</v>
      </c>
      <c r="L3770" t="s">
        <v>6803</v>
      </c>
    </row>
    <row r="3771" spans="1:12" x14ac:dyDescent="0.35">
      <c r="A3771" t="s">
        <v>101</v>
      </c>
      <c r="B3771" s="1">
        <v>45747</v>
      </c>
      <c r="C3771" t="s">
        <v>7693</v>
      </c>
      <c r="F3771" t="s">
        <v>7514</v>
      </c>
      <c r="G3771" t="s">
        <v>7664</v>
      </c>
      <c r="H3771" t="s">
        <v>2921</v>
      </c>
      <c r="J3771">
        <v>797720</v>
      </c>
      <c r="L3771" t="s">
        <v>6803</v>
      </c>
    </row>
    <row r="3772" spans="1:12" x14ac:dyDescent="0.35">
      <c r="A3772" t="s">
        <v>101</v>
      </c>
      <c r="B3772" s="1">
        <v>45747</v>
      </c>
      <c r="C3772" t="s">
        <v>7693</v>
      </c>
      <c r="F3772" t="s">
        <v>7615</v>
      </c>
      <c r="H3772" t="s">
        <v>2921</v>
      </c>
      <c r="J3772">
        <v>-770000</v>
      </c>
      <c r="L3772" t="s">
        <v>10115</v>
      </c>
    </row>
    <row r="3773" spans="1:12" x14ac:dyDescent="0.35">
      <c r="A3773" t="s">
        <v>101</v>
      </c>
      <c r="B3773" s="1">
        <v>45747</v>
      </c>
      <c r="C3773" t="s">
        <v>7714</v>
      </c>
      <c r="F3773" t="s">
        <v>8430</v>
      </c>
      <c r="H3773" t="s">
        <v>2922</v>
      </c>
      <c r="K3773">
        <v>9000</v>
      </c>
      <c r="L3773" t="s">
        <v>6803</v>
      </c>
    </row>
    <row r="3774" spans="1:12" x14ac:dyDescent="0.35">
      <c r="A3774" t="s">
        <v>101</v>
      </c>
      <c r="B3774" s="1">
        <v>45747</v>
      </c>
      <c r="C3774" t="s">
        <v>7714</v>
      </c>
      <c r="F3774" t="s">
        <v>7514</v>
      </c>
      <c r="G3774" t="s">
        <v>7664</v>
      </c>
      <c r="H3774" t="s">
        <v>2922</v>
      </c>
      <c r="J3774">
        <v>163400</v>
      </c>
      <c r="L3774" t="s">
        <v>6803</v>
      </c>
    </row>
    <row r="3775" spans="1:12" x14ac:dyDescent="0.35">
      <c r="A3775" t="s">
        <v>101</v>
      </c>
      <c r="B3775" s="1">
        <v>45747</v>
      </c>
      <c r="C3775" t="s">
        <v>7714</v>
      </c>
      <c r="F3775" t="s">
        <v>7615</v>
      </c>
      <c r="H3775" t="s">
        <v>2922</v>
      </c>
      <c r="J3775">
        <v>-154400</v>
      </c>
      <c r="L3775" t="s">
        <v>10115</v>
      </c>
    </row>
    <row r="3776" spans="1:12" x14ac:dyDescent="0.35">
      <c r="A3776" t="s">
        <v>101</v>
      </c>
      <c r="B3776" s="1">
        <v>45747</v>
      </c>
      <c r="C3776" t="s">
        <v>7716</v>
      </c>
      <c r="F3776" t="s">
        <v>8415</v>
      </c>
      <c r="G3776" t="s">
        <v>7594</v>
      </c>
      <c r="H3776" t="s">
        <v>2923</v>
      </c>
      <c r="I3776" s="1">
        <v>45747</v>
      </c>
      <c r="K3776">
        <v>6864390</v>
      </c>
      <c r="L3776" t="s">
        <v>6803</v>
      </c>
    </row>
    <row r="3777" spans="1:12" x14ac:dyDescent="0.35">
      <c r="A3777" t="s">
        <v>101</v>
      </c>
      <c r="B3777" s="1">
        <v>45747</v>
      </c>
      <c r="C3777" t="s">
        <v>7716</v>
      </c>
      <c r="F3777" t="s">
        <v>7595</v>
      </c>
      <c r="H3777" t="s">
        <v>2923</v>
      </c>
      <c r="J3777">
        <v>6864390</v>
      </c>
      <c r="L3777" t="s">
        <v>5905</v>
      </c>
    </row>
    <row r="3778" spans="1:12" x14ac:dyDescent="0.35">
      <c r="A3778" t="s">
        <v>101</v>
      </c>
      <c r="B3778" s="1">
        <v>45747</v>
      </c>
      <c r="C3778" t="s">
        <v>7718</v>
      </c>
      <c r="F3778" t="s">
        <v>6808</v>
      </c>
      <c r="H3778" t="s">
        <v>2924</v>
      </c>
      <c r="J3778">
        <v>13130000</v>
      </c>
      <c r="L3778" t="s">
        <v>6803</v>
      </c>
    </row>
    <row r="3779" spans="1:12" x14ac:dyDescent="0.35">
      <c r="A3779" t="s">
        <v>101</v>
      </c>
      <c r="B3779" s="1">
        <v>45747</v>
      </c>
      <c r="C3779" t="s">
        <v>7718</v>
      </c>
      <c r="F3779" t="s">
        <v>6811</v>
      </c>
      <c r="H3779" t="s">
        <v>2925</v>
      </c>
      <c r="J3779">
        <v>1375792</v>
      </c>
      <c r="L3779" t="s">
        <v>6803</v>
      </c>
    </row>
    <row r="3780" spans="1:12" x14ac:dyDescent="0.35">
      <c r="A3780" t="s">
        <v>101</v>
      </c>
      <c r="B3780" s="1">
        <v>45747</v>
      </c>
      <c r="C3780" t="s">
        <v>7718</v>
      </c>
      <c r="F3780" t="s">
        <v>6802</v>
      </c>
      <c r="H3780" t="s">
        <v>2926</v>
      </c>
      <c r="J3780">
        <v>8680454</v>
      </c>
      <c r="L3780" t="s">
        <v>6803</v>
      </c>
    </row>
    <row r="3781" spans="1:12" x14ac:dyDescent="0.35">
      <c r="A3781" t="s">
        <v>101</v>
      </c>
      <c r="B3781" s="1">
        <v>45747</v>
      </c>
      <c r="C3781" t="s">
        <v>7718</v>
      </c>
      <c r="F3781" t="s">
        <v>8415</v>
      </c>
      <c r="G3781" t="s">
        <v>6906</v>
      </c>
      <c r="H3781" t="s">
        <v>2927</v>
      </c>
      <c r="I3781" s="1">
        <v>45747</v>
      </c>
      <c r="K3781">
        <v>1973450</v>
      </c>
      <c r="L3781" t="s">
        <v>6803</v>
      </c>
    </row>
    <row r="3782" spans="1:12" x14ac:dyDescent="0.35">
      <c r="A3782" t="s">
        <v>101</v>
      </c>
      <c r="B3782" s="1">
        <v>45747</v>
      </c>
      <c r="C3782" t="s">
        <v>7718</v>
      </c>
      <c r="F3782" t="s">
        <v>8415</v>
      </c>
      <c r="G3782" t="s">
        <v>6822</v>
      </c>
      <c r="H3782" t="s">
        <v>2928</v>
      </c>
      <c r="I3782" s="1">
        <v>45747</v>
      </c>
      <c r="K3782">
        <v>1342650</v>
      </c>
      <c r="L3782" t="s">
        <v>6803</v>
      </c>
    </row>
    <row r="3783" spans="1:12" x14ac:dyDescent="0.35">
      <c r="A3783" t="s">
        <v>101</v>
      </c>
      <c r="B3783" s="1">
        <v>45747</v>
      </c>
      <c r="C3783" t="s">
        <v>7718</v>
      </c>
      <c r="F3783" t="s">
        <v>8415</v>
      </c>
      <c r="G3783" t="s">
        <v>6809</v>
      </c>
      <c r="H3783" t="s">
        <v>2929</v>
      </c>
      <c r="I3783" s="1">
        <v>45747</v>
      </c>
      <c r="K3783">
        <v>179873</v>
      </c>
      <c r="L3783" t="s">
        <v>6803</v>
      </c>
    </row>
    <row r="3784" spans="1:12" x14ac:dyDescent="0.35">
      <c r="A3784" t="s">
        <v>101</v>
      </c>
      <c r="B3784" s="1">
        <v>45747</v>
      </c>
      <c r="C3784" t="s">
        <v>7718</v>
      </c>
      <c r="F3784" t="s">
        <v>8415</v>
      </c>
      <c r="G3784" t="s">
        <v>6805</v>
      </c>
      <c r="H3784" t="s">
        <v>2930</v>
      </c>
      <c r="I3784" s="1">
        <v>45747</v>
      </c>
      <c r="K3784">
        <v>2429980</v>
      </c>
      <c r="L3784" t="s">
        <v>6803</v>
      </c>
    </row>
    <row r="3785" spans="1:12" x14ac:dyDescent="0.35">
      <c r="A3785" t="s">
        <v>101</v>
      </c>
      <c r="B3785" s="1">
        <v>45747</v>
      </c>
      <c r="C3785" t="s">
        <v>7718</v>
      </c>
      <c r="F3785" t="s">
        <v>8415</v>
      </c>
      <c r="G3785" t="s">
        <v>6826</v>
      </c>
      <c r="H3785" t="s">
        <v>2931</v>
      </c>
      <c r="I3785" s="1">
        <v>45747</v>
      </c>
      <c r="K3785">
        <v>738302</v>
      </c>
      <c r="L3785" t="s">
        <v>6803</v>
      </c>
    </row>
    <row r="3786" spans="1:12" x14ac:dyDescent="0.35">
      <c r="A3786" t="s">
        <v>101</v>
      </c>
      <c r="B3786" s="1">
        <v>45747</v>
      </c>
      <c r="C3786" t="s">
        <v>7718</v>
      </c>
      <c r="F3786" t="s">
        <v>8415</v>
      </c>
      <c r="G3786" t="s">
        <v>6832</v>
      </c>
      <c r="H3786" t="s">
        <v>2932</v>
      </c>
      <c r="I3786" s="1">
        <v>45747</v>
      </c>
      <c r="K3786">
        <v>331296</v>
      </c>
      <c r="L3786" t="s">
        <v>6803</v>
      </c>
    </row>
    <row r="3787" spans="1:12" x14ac:dyDescent="0.35">
      <c r="A3787" t="s">
        <v>101</v>
      </c>
      <c r="B3787" s="1">
        <v>45747</v>
      </c>
      <c r="C3787" t="s">
        <v>7718</v>
      </c>
      <c r="F3787" t="s">
        <v>8415</v>
      </c>
      <c r="G3787" t="s">
        <v>6919</v>
      </c>
      <c r="H3787" t="s">
        <v>2933</v>
      </c>
      <c r="I3787" s="1">
        <v>45747</v>
      </c>
      <c r="K3787">
        <v>33142</v>
      </c>
      <c r="L3787" t="s">
        <v>6803</v>
      </c>
    </row>
    <row r="3788" spans="1:12" x14ac:dyDescent="0.35">
      <c r="A3788" t="s">
        <v>101</v>
      </c>
      <c r="B3788" s="1">
        <v>45747</v>
      </c>
      <c r="C3788" t="s">
        <v>7718</v>
      </c>
      <c r="F3788" t="s">
        <v>8415</v>
      </c>
      <c r="G3788" t="s">
        <v>6843</v>
      </c>
      <c r="H3788" t="s">
        <v>2934</v>
      </c>
      <c r="I3788" s="1">
        <v>45747</v>
      </c>
      <c r="K3788">
        <v>13130000</v>
      </c>
      <c r="L3788" t="s">
        <v>6803</v>
      </c>
    </row>
    <row r="3789" spans="1:12" x14ac:dyDescent="0.35">
      <c r="A3789" t="s">
        <v>101</v>
      </c>
      <c r="B3789" s="1">
        <v>45747</v>
      </c>
      <c r="C3789" t="s">
        <v>7718</v>
      </c>
      <c r="F3789" t="s">
        <v>8415</v>
      </c>
      <c r="G3789" t="s">
        <v>7119</v>
      </c>
      <c r="H3789" t="s">
        <v>2935</v>
      </c>
      <c r="I3789" s="1">
        <v>45747</v>
      </c>
      <c r="K3789">
        <v>515565</v>
      </c>
      <c r="L3789" t="s">
        <v>6803</v>
      </c>
    </row>
    <row r="3790" spans="1:12" x14ac:dyDescent="0.35">
      <c r="A3790" t="s">
        <v>101</v>
      </c>
      <c r="B3790" s="1">
        <v>45747</v>
      </c>
      <c r="C3790" t="s">
        <v>7718</v>
      </c>
      <c r="F3790" t="s">
        <v>8415</v>
      </c>
      <c r="G3790" t="s">
        <v>6934</v>
      </c>
      <c r="H3790" t="s">
        <v>2936</v>
      </c>
      <c r="I3790" s="1">
        <v>45747</v>
      </c>
      <c r="K3790">
        <v>1610000</v>
      </c>
      <c r="L3790" t="s">
        <v>6803</v>
      </c>
    </row>
    <row r="3791" spans="1:12" x14ac:dyDescent="0.35">
      <c r="A3791" t="s">
        <v>101</v>
      </c>
      <c r="B3791" s="1">
        <v>45747</v>
      </c>
      <c r="C3791" t="s">
        <v>7718</v>
      </c>
      <c r="F3791" t="s">
        <v>8415</v>
      </c>
      <c r="G3791" t="s">
        <v>6885</v>
      </c>
      <c r="H3791" t="s">
        <v>2937</v>
      </c>
      <c r="I3791" s="1">
        <v>45747</v>
      </c>
      <c r="K3791">
        <v>90000</v>
      </c>
      <c r="L3791" t="s">
        <v>6803</v>
      </c>
    </row>
    <row r="3792" spans="1:12" x14ac:dyDescent="0.35">
      <c r="A3792" t="s">
        <v>101</v>
      </c>
      <c r="B3792" s="1">
        <v>45747</v>
      </c>
      <c r="C3792" t="s">
        <v>7718</v>
      </c>
      <c r="F3792" t="s">
        <v>8415</v>
      </c>
      <c r="G3792" t="s">
        <v>6992</v>
      </c>
      <c r="H3792" t="s">
        <v>2938</v>
      </c>
      <c r="I3792" s="1">
        <v>45747</v>
      </c>
      <c r="K3792">
        <v>445290</v>
      </c>
      <c r="L3792" t="s">
        <v>6803</v>
      </c>
    </row>
    <row r="3793" spans="1:12" x14ac:dyDescent="0.35">
      <c r="A3793" t="s">
        <v>101</v>
      </c>
      <c r="B3793" s="1">
        <v>45747</v>
      </c>
      <c r="C3793" t="s">
        <v>7718</v>
      </c>
      <c r="F3793" t="s">
        <v>8415</v>
      </c>
      <c r="G3793" t="s">
        <v>6814</v>
      </c>
      <c r="H3793" t="s">
        <v>2939</v>
      </c>
      <c r="I3793" s="1">
        <v>45747</v>
      </c>
      <c r="K3793">
        <v>40600</v>
      </c>
      <c r="L3793" t="s">
        <v>6803</v>
      </c>
    </row>
    <row r="3794" spans="1:12" x14ac:dyDescent="0.35">
      <c r="A3794" t="s">
        <v>101</v>
      </c>
      <c r="B3794" s="1">
        <v>45747</v>
      </c>
      <c r="C3794" t="s">
        <v>7718</v>
      </c>
      <c r="F3794" t="s">
        <v>8415</v>
      </c>
      <c r="G3794" t="s">
        <v>7049</v>
      </c>
      <c r="H3794" t="s">
        <v>2940</v>
      </c>
      <c r="I3794" s="1">
        <v>45747</v>
      </c>
      <c r="K3794">
        <v>246388</v>
      </c>
      <c r="L3794" t="s">
        <v>6803</v>
      </c>
    </row>
    <row r="3795" spans="1:12" x14ac:dyDescent="0.35">
      <c r="A3795" t="s">
        <v>101</v>
      </c>
      <c r="B3795" s="1">
        <v>45747</v>
      </c>
      <c r="C3795" t="s">
        <v>7718</v>
      </c>
      <c r="F3795" t="s">
        <v>8415</v>
      </c>
      <c r="G3795" t="s">
        <v>7174</v>
      </c>
      <c r="H3795" t="s">
        <v>2941</v>
      </c>
      <c r="I3795" s="1">
        <v>45747</v>
      </c>
      <c r="K3795">
        <v>525000</v>
      </c>
      <c r="L3795" t="s">
        <v>6803</v>
      </c>
    </row>
    <row r="3796" spans="1:12" x14ac:dyDescent="0.35">
      <c r="A3796" t="s">
        <v>101</v>
      </c>
      <c r="B3796" s="1">
        <v>45747</v>
      </c>
      <c r="C3796" t="s">
        <v>7718</v>
      </c>
      <c r="F3796" t="s">
        <v>6820</v>
      </c>
      <c r="H3796" t="s">
        <v>2942</v>
      </c>
      <c r="J3796">
        <v>445290</v>
      </c>
      <c r="L3796" t="s">
        <v>5929</v>
      </c>
    </row>
    <row r="3797" spans="1:12" x14ac:dyDescent="0.35">
      <c r="A3797" t="s">
        <v>101</v>
      </c>
      <c r="B3797" s="1">
        <v>45747</v>
      </c>
      <c r="C3797" t="s">
        <v>7720</v>
      </c>
      <c r="F3797" t="s">
        <v>6804</v>
      </c>
      <c r="G3797" t="s">
        <v>8079</v>
      </c>
      <c r="H3797" t="s">
        <v>2943</v>
      </c>
      <c r="I3797" s="1">
        <v>45747</v>
      </c>
      <c r="J3797">
        <v>-4</v>
      </c>
      <c r="L3797" t="s">
        <v>6803</v>
      </c>
    </row>
    <row r="3798" spans="1:12" x14ac:dyDescent="0.35">
      <c r="A3798" t="s">
        <v>101</v>
      </c>
      <c r="B3798" s="1">
        <v>45747</v>
      </c>
      <c r="C3798" t="s">
        <v>7720</v>
      </c>
      <c r="F3798" t="s">
        <v>8141</v>
      </c>
      <c r="H3798" t="s">
        <v>2943</v>
      </c>
      <c r="J3798">
        <v>4</v>
      </c>
      <c r="L3798" t="s">
        <v>5954</v>
      </c>
    </row>
    <row r="3799" spans="1:12" x14ac:dyDescent="0.35">
      <c r="A3799" t="s">
        <v>101</v>
      </c>
      <c r="B3799" s="1">
        <v>45747</v>
      </c>
      <c r="C3799" t="s">
        <v>7722</v>
      </c>
      <c r="F3799" t="s">
        <v>8468</v>
      </c>
      <c r="H3799" t="s">
        <v>2944</v>
      </c>
      <c r="K3799">
        <v>-606469</v>
      </c>
      <c r="L3799" t="s">
        <v>6803</v>
      </c>
    </row>
    <row r="3800" spans="1:12" x14ac:dyDescent="0.35">
      <c r="A3800" t="s">
        <v>101</v>
      </c>
      <c r="B3800" s="1">
        <v>45747</v>
      </c>
      <c r="C3800" t="s">
        <v>7722</v>
      </c>
      <c r="F3800" t="s">
        <v>8469</v>
      </c>
      <c r="H3800" t="s">
        <v>2945</v>
      </c>
      <c r="K3800">
        <v>-443498</v>
      </c>
      <c r="L3800" t="s">
        <v>6803</v>
      </c>
    </row>
    <row r="3801" spans="1:12" x14ac:dyDescent="0.35">
      <c r="A3801" t="s">
        <v>101</v>
      </c>
      <c r="B3801" s="1">
        <v>45747</v>
      </c>
      <c r="C3801" t="s">
        <v>7722</v>
      </c>
      <c r="F3801" t="s">
        <v>8470</v>
      </c>
      <c r="H3801" t="s">
        <v>2946</v>
      </c>
      <c r="K3801">
        <v>-3908371</v>
      </c>
      <c r="L3801" t="s">
        <v>6803</v>
      </c>
    </row>
    <row r="3802" spans="1:12" x14ac:dyDescent="0.35">
      <c r="A3802" t="s">
        <v>101</v>
      </c>
      <c r="B3802" s="1">
        <v>45747</v>
      </c>
      <c r="C3802" t="s">
        <v>7722</v>
      </c>
      <c r="F3802" t="s">
        <v>8471</v>
      </c>
      <c r="H3802" t="s">
        <v>2947</v>
      </c>
      <c r="K3802">
        <v>-4526615</v>
      </c>
      <c r="L3802" t="s">
        <v>6803</v>
      </c>
    </row>
    <row r="3803" spans="1:12" x14ac:dyDescent="0.35">
      <c r="A3803" t="s">
        <v>101</v>
      </c>
      <c r="B3803" s="1">
        <v>45747</v>
      </c>
      <c r="C3803" t="s">
        <v>7722</v>
      </c>
      <c r="F3803" t="s">
        <v>8472</v>
      </c>
      <c r="H3803" t="s">
        <v>2948</v>
      </c>
      <c r="K3803">
        <v>-9243195</v>
      </c>
      <c r="L3803" t="s">
        <v>6803</v>
      </c>
    </row>
    <row r="3804" spans="1:12" x14ac:dyDescent="0.35">
      <c r="A3804" t="s">
        <v>101</v>
      </c>
      <c r="B3804" s="1">
        <v>45747</v>
      </c>
      <c r="C3804" t="s">
        <v>7722</v>
      </c>
      <c r="F3804" t="s">
        <v>8473</v>
      </c>
      <c r="H3804" t="s">
        <v>2949</v>
      </c>
      <c r="K3804">
        <v>-1788690</v>
      </c>
      <c r="L3804" t="s">
        <v>6803</v>
      </c>
    </row>
    <row r="3805" spans="1:12" x14ac:dyDescent="0.35">
      <c r="A3805" t="s">
        <v>101</v>
      </c>
      <c r="B3805" s="1">
        <v>45747</v>
      </c>
      <c r="C3805" t="s">
        <v>7722</v>
      </c>
      <c r="F3805" t="s">
        <v>8474</v>
      </c>
      <c r="H3805" t="s">
        <v>2950</v>
      </c>
      <c r="K3805">
        <v>-278274</v>
      </c>
      <c r="L3805" t="s">
        <v>6803</v>
      </c>
    </row>
    <row r="3806" spans="1:12" x14ac:dyDescent="0.35">
      <c r="A3806" t="s">
        <v>101</v>
      </c>
      <c r="B3806" s="1">
        <v>45747</v>
      </c>
      <c r="C3806" t="s">
        <v>7722</v>
      </c>
      <c r="F3806" t="s">
        <v>8475</v>
      </c>
      <c r="H3806" t="s">
        <v>2951</v>
      </c>
      <c r="K3806">
        <v>-3595568</v>
      </c>
      <c r="L3806" t="s">
        <v>6803</v>
      </c>
    </row>
    <row r="3807" spans="1:12" x14ac:dyDescent="0.35">
      <c r="A3807" t="s">
        <v>101</v>
      </c>
      <c r="B3807" s="1">
        <v>45747</v>
      </c>
      <c r="C3807" t="s">
        <v>7722</v>
      </c>
      <c r="F3807" t="s">
        <v>8476</v>
      </c>
      <c r="H3807" t="s">
        <v>2952</v>
      </c>
      <c r="K3807">
        <v>-3262695</v>
      </c>
      <c r="L3807" t="s">
        <v>6803</v>
      </c>
    </row>
    <row r="3808" spans="1:12" x14ac:dyDescent="0.35">
      <c r="A3808" t="s">
        <v>101</v>
      </c>
      <c r="B3808" s="1">
        <v>45747</v>
      </c>
      <c r="C3808" t="s">
        <v>7722</v>
      </c>
      <c r="F3808" t="s">
        <v>8477</v>
      </c>
      <c r="H3808" t="s">
        <v>2953</v>
      </c>
      <c r="K3808">
        <v>-368979</v>
      </c>
      <c r="L3808" t="s">
        <v>6803</v>
      </c>
    </row>
    <row r="3809" spans="1:12" x14ac:dyDescent="0.35">
      <c r="A3809" t="s">
        <v>101</v>
      </c>
      <c r="B3809" s="1">
        <v>45747</v>
      </c>
      <c r="C3809" t="s">
        <v>7722</v>
      </c>
      <c r="F3809" t="s">
        <v>8478</v>
      </c>
      <c r="H3809" t="s">
        <v>2954</v>
      </c>
      <c r="K3809">
        <v>-3090462</v>
      </c>
      <c r="L3809" t="s">
        <v>6803</v>
      </c>
    </row>
    <row r="3810" spans="1:12" x14ac:dyDescent="0.35">
      <c r="A3810" t="s">
        <v>101</v>
      </c>
      <c r="B3810" s="1">
        <v>45747</v>
      </c>
      <c r="C3810" t="s">
        <v>7722</v>
      </c>
      <c r="F3810" t="s">
        <v>8479</v>
      </c>
      <c r="H3810" t="s">
        <v>2955</v>
      </c>
      <c r="K3810">
        <v>-231653</v>
      </c>
      <c r="L3810" t="s">
        <v>6803</v>
      </c>
    </row>
    <row r="3811" spans="1:12" x14ac:dyDescent="0.35">
      <c r="A3811" t="s">
        <v>101</v>
      </c>
      <c r="B3811" s="1">
        <v>45747</v>
      </c>
      <c r="C3811" t="s">
        <v>7722</v>
      </c>
      <c r="F3811" t="s">
        <v>8480</v>
      </c>
      <c r="H3811" t="s">
        <v>2955</v>
      </c>
      <c r="K3811">
        <v>-29202</v>
      </c>
      <c r="L3811" t="s">
        <v>6803</v>
      </c>
    </row>
    <row r="3812" spans="1:12" x14ac:dyDescent="0.35">
      <c r="A3812" t="s">
        <v>101</v>
      </c>
      <c r="B3812" s="1">
        <v>45747</v>
      </c>
      <c r="C3812" t="s">
        <v>7722</v>
      </c>
      <c r="F3812" t="s">
        <v>8481</v>
      </c>
      <c r="H3812" t="s">
        <v>2956</v>
      </c>
      <c r="K3812">
        <v>-94122646</v>
      </c>
      <c r="L3812" t="s">
        <v>6803</v>
      </c>
    </row>
    <row r="3813" spans="1:12" x14ac:dyDescent="0.35">
      <c r="A3813" t="s">
        <v>101</v>
      </c>
      <c r="B3813" s="1">
        <v>45747</v>
      </c>
      <c r="C3813" t="s">
        <v>7722</v>
      </c>
      <c r="F3813" t="s">
        <v>8482</v>
      </c>
      <c r="H3813" t="s">
        <v>2957</v>
      </c>
      <c r="K3813">
        <v>-334866</v>
      </c>
      <c r="L3813" t="s">
        <v>6803</v>
      </c>
    </row>
    <row r="3814" spans="1:12" x14ac:dyDescent="0.35">
      <c r="A3814" t="s">
        <v>101</v>
      </c>
      <c r="B3814" s="1">
        <v>45747</v>
      </c>
      <c r="C3814" t="s">
        <v>7722</v>
      </c>
      <c r="F3814" t="s">
        <v>8483</v>
      </c>
      <c r="H3814" t="s">
        <v>2958</v>
      </c>
      <c r="K3814">
        <v>-14340641</v>
      </c>
      <c r="L3814" t="s">
        <v>6803</v>
      </c>
    </row>
    <row r="3815" spans="1:12" x14ac:dyDescent="0.35">
      <c r="A3815" t="s">
        <v>101</v>
      </c>
      <c r="B3815" s="1">
        <v>45747</v>
      </c>
      <c r="C3815" t="s">
        <v>7722</v>
      </c>
      <c r="F3815" t="s">
        <v>8484</v>
      </c>
      <c r="H3815" t="s">
        <v>2959</v>
      </c>
      <c r="K3815">
        <v>-1270169</v>
      </c>
      <c r="L3815" t="s">
        <v>6803</v>
      </c>
    </row>
    <row r="3816" spans="1:12" x14ac:dyDescent="0.35">
      <c r="A3816" t="s">
        <v>101</v>
      </c>
      <c r="B3816" s="1">
        <v>45747</v>
      </c>
      <c r="C3816" t="s">
        <v>7722</v>
      </c>
      <c r="F3816" t="s">
        <v>8485</v>
      </c>
      <c r="H3816" t="s">
        <v>2960</v>
      </c>
      <c r="J3816">
        <v>-1049967</v>
      </c>
      <c r="L3816" t="s">
        <v>5982</v>
      </c>
    </row>
    <row r="3817" spans="1:12" x14ac:dyDescent="0.35">
      <c r="A3817" t="s">
        <v>101</v>
      </c>
      <c r="B3817" s="1">
        <v>45747</v>
      </c>
      <c r="C3817" t="s">
        <v>7722</v>
      </c>
      <c r="F3817" t="s">
        <v>8486</v>
      </c>
      <c r="H3817" t="s">
        <v>2961</v>
      </c>
      <c r="J3817">
        <v>-140392026</v>
      </c>
      <c r="L3817" t="s">
        <v>5873</v>
      </c>
    </row>
    <row r="3818" spans="1:12" x14ac:dyDescent="0.35">
      <c r="A3818" t="s">
        <v>101</v>
      </c>
      <c r="B3818" s="1">
        <v>45747</v>
      </c>
      <c r="C3818" t="s">
        <v>7723</v>
      </c>
      <c r="E3818" t="s">
        <v>2962</v>
      </c>
      <c r="F3818" t="s">
        <v>7675</v>
      </c>
      <c r="G3818" t="s">
        <v>1584</v>
      </c>
      <c r="H3818" t="s">
        <v>2963</v>
      </c>
      <c r="K3818">
        <v>7811000</v>
      </c>
      <c r="L3818" t="s">
        <v>6803</v>
      </c>
    </row>
    <row r="3819" spans="1:12" x14ac:dyDescent="0.35">
      <c r="A3819" t="s">
        <v>101</v>
      </c>
      <c r="B3819" s="1">
        <v>45747</v>
      </c>
      <c r="C3819" t="s">
        <v>7723</v>
      </c>
      <c r="E3819" t="s">
        <v>2962</v>
      </c>
      <c r="F3819" t="s">
        <v>7905</v>
      </c>
      <c r="H3819" t="s">
        <v>2963</v>
      </c>
      <c r="J3819">
        <v>7811000</v>
      </c>
      <c r="L3819" t="s">
        <v>5944</v>
      </c>
    </row>
    <row r="3820" spans="1:12" x14ac:dyDescent="0.35">
      <c r="A3820" t="s">
        <v>2964</v>
      </c>
      <c r="B3820" s="1">
        <v>45747</v>
      </c>
      <c r="C3820" t="s">
        <v>2965</v>
      </c>
      <c r="D3820" t="s">
        <v>2966</v>
      </c>
      <c r="F3820" t="s">
        <v>7875</v>
      </c>
      <c r="H3820" t="s">
        <v>2967</v>
      </c>
      <c r="K3820">
        <v>788084</v>
      </c>
      <c r="L3820" t="s">
        <v>6803</v>
      </c>
    </row>
    <row r="3821" spans="1:12" x14ac:dyDescent="0.35">
      <c r="A3821" t="s">
        <v>2964</v>
      </c>
      <c r="B3821" s="1">
        <v>45747</v>
      </c>
      <c r="C3821" t="s">
        <v>2965</v>
      </c>
      <c r="D3821" t="s">
        <v>2966</v>
      </c>
      <c r="F3821" t="s">
        <v>8502</v>
      </c>
      <c r="H3821" t="s">
        <v>2968</v>
      </c>
      <c r="K3821">
        <v>5104000</v>
      </c>
      <c r="L3821" t="s">
        <v>6803</v>
      </c>
    </row>
    <row r="3822" spans="1:12" x14ac:dyDescent="0.35">
      <c r="A3822" t="s">
        <v>2964</v>
      </c>
      <c r="B3822" s="1">
        <v>45747</v>
      </c>
      <c r="C3822" t="s">
        <v>2965</v>
      </c>
      <c r="D3822" t="s">
        <v>2966</v>
      </c>
      <c r="F3822" t="s">
        <v>7553</v>
      </c>
      <c r="H3822" t="s">
        <v>2969</v>
      </c>
      <c r="K3822">
        <v>990000</v>
      </c>
      <c r="L3822" t="s">
        <v>6803</v>
      </c>
    </row>
    <row r="3823" spans="1:12" x14ac:dyDescent="0.35">
      <c r="A3823" t="s">
        <v>2964</v>
      </c>
      <c r="B3823" s="1">
        <v>45747</v>
      </c>
      <c r="C3823" t="s">
        <v>2965</v>
      </c>
      <c r="D3823" t="s">
        <v>2966</v>
      </c>
      <c r="F3823" t="s">
        <v>8498</v>
      </c>
      <c r="H3823" t="s">
        <v>2970</v>
      </c>
      <c r="J3823">
        <v>349527</v>
      </c>
      <c r="L3823" t="s">
        <v>6803</v>
      </c>
    </row>
    <row r="3824" spans="1:12" x14ac:dyDescent="0.35">
      <c r="A3824" t="s">
        <v>2964</v>
      </c>
      <c r="B3824" s="1">
        <v>45747</v>
      </c>
      <c r="C3824" t="s">
        <v>2965</v>
      </c>
      <c r="D3824" t="s">
        <v>2966</v>
      </c>
      <c r="F3824" t="s">
        <v>7847</v>
      </c>
      <c r="H3824" t="s">
        <v>2971</v>
      </c>
      <c r="K3824">
        <v>180824310</v>
      </c>
      <c r="L3824" t="s">
        <v>6803</v>
      </c>
    </row>
    <row r="3825" spans="1:12" x14ac:dyDescent="0.35">
      <c r="A3825" t="s">
        <v>2964</v>
      </c>
      <c r="B3825" s="1">
        <v>45747</v>
      </c>
      <c r="C3825" t="s">
        <v>2965</v>
      </c>
      <c r="D3825" t="s">
        <v>2966</v>
      </c>
      <c r="F3825" t="s">
        <v>7847</v>
      </c>
      <c r="H3825" t="s">
        <v>2972</v>
      </c>
      <c r="K3825">
        <v>25781958</v>
      </c>
      <c r="L3825" t="s">
        <v>6803</v>
      </c>
    </row>
    <row r="3826" spans="1:12" x14ac:dyDescent="0.35">
      <c r="A3826" t="s">
        <v>2964</v>
      </c>
      <c r="B3826" s="1">
        <v>45747</v>
      </c>
      <c r="C3826" t="s">
        <v>2965</v>
      </c>
      <c r="D3826" t="s">
        <v>2966</v>
      </c>
      <c r="F3826" t="s">
        <v>7883</v>
      </c>
      <c r="H3826" t="s">
        <v>2973</v>
      </c>
      <c r="K3826">
        <v>10769380</v>
      </c>
      <c r="L3826" t="s">
        <v>6803</v>
      </c>
    </row>
    <row r="3827" spans="1:12" x14ac:dyDescent="0.35">
      <c r="A3827" t="s">
        <v>2964</v>
      </c>
      <c r="B3827" s="1">
        <v>45747</v>
      </c>
      <c r="C3827" t="s">
        <v>2965</v>
      </c>
      <c r="D3827" t="s">
        <v>2966</v>
      </c>
      <c r="F3827" t="s">
        <v>7883</v>
      </c>
      <c r="H3827" t="s">
        <v>2974</v>
      </c>
      <c r="K3827">
        <v>17812943</v>
      </c>
      <c r="L3827" t="s">
        <v>6803</v>
      </c>
    </row>
    <row r="3828" spans="1:12" x14ac:dyDescent="0.35">
      <c r="A3828" t="s">
        <v>2964</v>
      </c>
      <c r="B3828" s="1">
        <v>45747</v>
      </c>
      <c r="C3828" t="s">
        <v>2965</v>
      </c>
      <c r="D3828" t="s">
        <v>2966</v>
      </c>
      <c r="F3828" t="s">
        <v>7883</v>
      </c>
      <c r="H3828" t="s">
        <v>2975</v>
      </c>
      <c r="K3828">
        <v>1726394</v>
      </c>
      <c r="L3828" t="s">
        <v>6803</v>
      </c>
    </row>
    <row r="3829" spans="1:12" x14ac:dyDescent="0.35">
      <c r="A3829" t="s">
        <v>2964</v>
      </c>
      <c r="B3829" s="1">
        <v>45747</v>
      </c>
      <c r="C3829" t="s">
        <v>2965</v>
      </c>
      <c r="D3829" t="s">
        <v>2966</v>
      </c>
      <c r="F3829" t="s">
        <v>7883</v>
      </c>
      <c r="H3829" t="s">
        <v>2976</v>
      </c>
      <c r="K3829">
        <v>2803459</v>
      </c>
      <c r="L3829" t="s">
        <v>6803</v>
      </c>
    </row>
    <row r="3830" spans="1:12" x14ac:dyDescent="0.35">
      <c r="A3830" t="s">
        <v>2964</v>
      </c>
      <c r="B3830" s="1">
        <v>45747</v>
      </c>
      <c r="C3830" t="s">
        <v>2965</v>
      </c>
      <c r="D3830" t="s">
        <v>2966</v>
      </c>
      <c r="F3830" t="s">
        <v>8492</v>
      </c>
      <c r="H3830" t="s">
        <v>2977</v>
      </c>
      <c r="K3830">
        <v>912000</v>
      </c>
      <c r="L3830" t="s">
        <v>6803</v>
      </c>
    </row>
    <row r="3831" spans="1:12" x14ac:dyDescent="0.35">
      <c r="A3831" t="s">
        <v>2964</v>
      </c>
      <c r="B3831" s="1">
        <v>45747</v>
      </c>
      <c r="C3831" t="s">
        <v>2965</v>
      </c>
      <c r="D3831" t="s">
        <v>2966</v>
      </c>
      <c r="F3831" t="s">
        <v>8503</v>
      </c>
      <c r="H3831" t="s">
        <v>2978</v>
      </c>
      <c r="K3831">
        <v>21547220</v>
      </c>
      <c r="L3831" t="s">
        <v>6803</v>
      </c>
    </row>
    <row r="3832" spans="1:12" x14ac:dyDescent="0.35">
      <c r="A3832" t="s">
        <v>2964</v>
      </c>
      <c r="B3832" s="1">
        <v>45747</v>
      </c>
      <c r="C3832" t="s">
        <v>2965</v>
      </c>
      <c r="D3832" t="s">
        <v>2966</v>
      </c>
      <c r="F3832" t="s">
        <v>8503</v>
      </c>
      <c r="H3832" t="s">
        <v>2979</v>
      </c>
      <c r="K3832">
        <v>4031932</v>
      </c>
      <c r="L3832" t="s">
        <v>6803</v>
      </c>
    </row>
    <row r="3833" spans="1:12" x14ac:dyDescent="0.35">
      <c r="A3833" t="s">
        <v>2964</v>
      </c>
      <c r="B3833" s="1">
        <v>45747</v>
      </c>
      <c r="C3833" t="s">
        <v>2965</v>
      </c>
      <c r="D3833" t="s">
        <v>2966</v>
      </c>
      <c r="F3833" t="s">
        <v>8503</v>
      </c>
      <c r="H3833" t="s">
        <v>2980</v>
      </c>
      <c r="K3833">
        <v>2733112</v>
      </c>
      <c r="L3833" t="s">
        <v>6803</v>
      </c>
    </row>
    <row r="3834" spans="1:12" x14ac:dyDescent="0.35">
      <c r="A3834" t="s">
        <v>2964</v>
      </c>
      <c r="B3834" s="1">
        <v>45747</v>
      </c>
      <c r="C3834" t="s">
        <v>2965</v>
      </c>
      <c r="D3834" t="s">
        <v>2966</v>
      </c>
      <c r="F3834" t="s">
        <v>8503</v>
      </c>
      <c r="H3834" t="s">
        <v>2981</v>
      </c>
      <c r="K3834">
        <v>328831</v>
      </c>
      <c r="L3834" t="s">
        <v>6803</v>
      </c>
    </row>
    <row r="3835" spans="1:12" x14ac:dyDescent="0.35">
      <c r="A3835" t="s">
        <v>2964</v>
      </c>
      <c r="B3835" s="1">
        <v>45747</v>
      </c>
      <c r="C3835" t="s">
        <v>2965</v>
      </c>
      <c r="D3835" t="s">
        <v>2966</v>
      </c>
      <c r="F3835" t="s">
        <v>8504</v>
      </c>
      <c r="H3835" t="s">
        <v>2982</v>
      </c>
      <c r="K3835">
        <v>1819598</v>
      </c>
      <c r="L3835" t="s">
        <v>6803</v>
      </c>
    </row>
    <row r="3836" spans="1:12" x14ac:dyDescent="0.35">
      <c r="A3836" t="s">
        <v>2964</v>
      </c>
      <c r="B3836" s="1">
        <v>45747</v>
      </c>
      <c r="C3836" t="s">
        <v>2965</v>
      </c>
      <c r="D3836" t="s">
        <v>2966</v>
      </c>
      <c r="F3836" t="s">
        <v>8504</v>
      </c>
      <c r="H3836" t="s">
        <v>2983</v>
      </c>
      <c r="K3836">
        <v>274014</v>
      </c>
      <c r="L3836" t="s">
        <v>6803</v>
      </c>
    </row>
    <row r="3837" spans="1:12" x14ac:dyDescent="0.35">
      <c r="A3837" t="s">
        <v>2964</v>
      </c>
      <c r="B3837" s="1">
        <v>45747</v>
      </c>
      <c r="C3837" t="s">
        <v>2965</v>
      </c>
      <c r="D3837" t="s">
        <v>2966</v>
      </c>
      <c r="F3837" t="s">
        <v>8505</v>
      </c>
      <c r="H3837" t="s">
        <v>2984</v>
      </c>
      <c r="K3837">
        <v>1091767</v>
      </c>
      <c r="L3837" t="s">
        <v>6803</v>
      </c>
    </row>
    <row r="3838" spans="1:12" x14ac:dyDescent="0.35">
      <c r="A3838" t="s">
        <v>2964</v>
      </c>
      <c r="B3838" s="1">
        <v>45747</v>
      </c>
      <c r="C3838" t="s">
        <v>2965</v>
      </c>
      <c r="D3838" t="s">
        <v>2966</v>
      </c>
      <c r="F3838" t="s">
        <v>8505</v>
      </c>
      <c r="H3838" t="s">
        <v>2985</v>
      </c>
      <c r="K3838">
        <v>164409</v>
      </c>
      <c r="L3838" t="s">
        <v>6803</v>
      </c>
    </row>
    <row r="3839" spans="1:12" x14ac:dyDescent="0.35">
      <c r="A3839" t="s">
        <v>2964</v>
      </c>
      <c r="B3839" s="1">
        <v>45747</v>
      </c>
      <c r="C3839" t="s">
        <v>2965</v>
      </c>
      <c r="D3839" t="s">
        <v>2966</v>
      </c>
      <c r="F3839" t="s">
        <v>7370</v>
      </c>
      <c r="H3839" t="s">
        <v>2986</v>
      </c>
      <c r="J3839">
        <v>4031932</v>
      </c>
      <c r="L3839" t="s">
        <v>5909</v>
      </c>
    </row>
    <row r="3840" spans="1:12" x14ac:dyDescent="0.35">
      <c r="A3840" t="s">
        <v>2964</v>
      </c>
      <c r="B3840" s="1">
        <v>45747</v>
      </c>
      <c r="C3840" t="s">
        <v>2965</v>
      </c>
      <c r="D3840" t="s">
        <v>2966</v>
      </c>
      <c r="F3840" t="s">
        <v>7370</v>
      </c>
      <c r="H3840" t="s">
        <v>2987</v>
      </c>
      <c r="J3840">
        <v>328831</v>
      </c>
      <c r="L3840" t="s">
        <v>5909</v>
      </c>
    </row>
    <row r="3841" spans="1:12" x14ac:dyDescent="0.35">
      <c r="A3841" t="s">
        <v>2964</v>
      </c>
      <c r="B3841" s="1">
        <v>45747</v>
      </c>
      <c r="C3841" t="s">
        <v>2965</v>
      </c>
      <c r="D3841" t="s">
        <v>2966</v>
      </c>
      <c r="F3841" t="s">
        <v>8506</v>
      </c>
      <c r="H3841" t="s">
        <v>2988</v>
      </c>
      <c r="J3841">
        <v>727831</v>
      </c>
      <c r="L3841" t="s">
        <v>5909</v>
      </c>
    </row>
    <row r="3842" spans="1:12" x14ac:dyDescent="0.35">
      <c r="A3842" t="s">
        <v>2964</v>
      </c>
      <c r="B3842" s="1">
        <v>45747</v>
      </c>
      <c r="C3842" t="s">
        <v>2965</v>
      </c>
      <c r="D3842" t="s">
        <v>2966</v>
      </c>
      <c r="F3842" t="s">
        <v>8506</v>
      </c>
      <c r="H3842" t="s">
        <v>2989</v>
      </c>
      <c r="J3842">
        <v>109605</v>
      </c>
      <c r="L3842" t="s">
        <v>5909</v>
      </c>
    </row>
    <row r="3843" spans="1:12" x14ac:dyDescent="0.35">
      <c r="A3843" t="s">
        <v>2964</v>
      </c>
      <c r="B3843" s="1">
        <v>45747</v>
      </c>
      <c r="C3843" t="s">
        <v>2965</v>
      </c>
      <c r="D3843" t="s">
        <v>2966</v>
      </c>
      <c r="F3843" t="s">
        <v>8507</v>
      </c>
      <c r="H3843" t="s">
        <v>2990</v>
      </c>
      <c r="J3843">
        <v>2183534</v>
      </c>
      <c r="L3843" t="s">
        <v>5909</v>
      </c>
    </row>
    <row r="3844" spans="1:12" x14ac:dyDescent="0.35">
      <c r="A3844" t="s">
        <v>2964</v>
      </c>
      <c r="B3844" s="1">
        <v>45747</v>
      </c>
      <c r="C3844" t="s">
        <v>2965</v>
      </c>
      <c r="D3844" t="s">
        <v>2966</v>
      </c>
      <c r="F3844" t="s">
        <v>8507</v>
      </c>
      <c r="H3844" t="s">
        <v>2991</v>
      </c>
      <c r="J3844">
        <v>328818</v>
      </c>
      <c r="L3844" t="s">
        <v>5909</v>
      </c>
    </row>
    <row r="3845" spans="1:12" x14ac:dyDescent="0.35">
      <c r="A3845" t="s">
        <v>2964</v>
      </c>
      <c r="B3845" s="1">
        <v>45747</v>
      </c>
      <c r="C3845" t="s">
        <v>2965</v>
      </c>
      <c r="D3845" t="s">
        <v>2966</v>
      </c>
      <c r="F3845" t="s">
        <v>8508</v>
      </c>
      <c r="H3845" t="s">
        <v>2992</v>
      </c>
      <c r="J3845">
        <v>119955720</v>
      </c>
      <c r="L3845" t="s">
        <v>5909</v>
      </c>
    </row>
    <row r="3846" spans="1:12" x14ac:dyDescent="0.35">
      <c r="A3846" t="s">
        <v>2964</v>
      </c>
      <c r="B3846" s="1">
        <v>45747</v>
      </c>
      <c r="C3846" t="s">
        <v>2965</v>
      </c>
      <c r="D3846" t="s">
        <v>2966</v>
      </c>
      <c r="F3846" t="s">
        <v>8508</v>
      </c>
      <c r="H3846" t="s">
        <v>2993</v>
      </c>
      <c r="J3846">
        <v>15277963</v>
      </c>
      <c r="L3846" t="s">
        <v>5909</v>
      </c>
    </row>
    <row r="3847" spans="1:12" x14ac:dyDescent="0.35">
      <c r="A3847" t="s">
        <v>2964</v>
      </c>
      <c r="B3847" s="1">
        <v>45747</v>
      </c>
      <c r="C3847" t="s">
        <v>2965</v>
      </c>
      <c r="D3847" t="s">
        <v>2966</v>
      </c>
      <c r="F3847" t="s">
        <v>8509</v>
      </c>
      <c r="H3847" t="s">
        <v>2994</v>
      </c>
      <c r="J3847">
        <v>3291955</v>
      </c>
      <c r="L3847" t="s">
        <v>5902</v>
      </c>
    </row>
    <row r="3848" spans="1:12" x14ac:dyDescent="0.35">
      <c r="A3848" t="s">
        <v>2964</v>
      </c>
      <c r="B3848" s="1">
        <v>45747</v>
      </c>
      <c r="C3848" t="s">
        <v>2965</v>
      </c>
      <c r="D3848" t="s">
        <v>2966</v>
      </c>
      <c r="F3848" t="s">
        <v>8509</v>
      </c>
      <c r="H3848" t="s">
        <v>2995</v>
      </c>
      <c r="J3848">
        <v>1018060</v>
      </c>
      <c r="L3848" t="s">
        <v>5902</v>
      </c>
    </row>
    <row r="3849" spans="1:12" x14ac:dyDescent="0.35">
      <c r="A3849" t="s">
        <v>2964</v>
      </c>
      <c r="B3849" s="1">
        <v>45747</v>
      </c>
      <c r="C3849" t="s">
        <v>2965</v>
      </c>
      <c r="D3849" t="s">
        <v>2966</v>
      </c>
      <c r="F3849" t="s">
        <v>8510</v>
      </c>
      <c r="H3849" t="s">
        <v>2996</v>
      </c>
      <c r="J3849">
        <v>4992883</v>
      </c>
      <c r="L3849" t="s">
        <v>5909</v>
      </c>
    </row>
    <row r="3850" spans="1:12" x14ac:dyDescent="0.35">
      <c r="A3850" t="s">
        <v>2964</v>
      </c>
      <c r="B3850" s="1">
        <v>45747</v>
      </c>
      <c r="C3850" t="s">
        <v>2965</v>
      </c>
      <c r="D3850" t="s">
        <v>2966</v>
      </c>
      <c r="F3850" t="s">
        <v>8511</v>
      </c>
      <c r="H3850" t="s">
        <v>2997</v>
      </c>
      <c r="J3850">
        <v>11408350</v>
      </c>
      <c r="L3850" t="s">
        <v>5909</v>
      </c>
    </row>
    <row r="3851" spans="1:12" x14ac:dyDescent="0.35">
      <c r="A3851" t="s">
        <v>2964</v>
      </c>
      <c r="B3851" s="1">
        <v>45747</v>
      </c>
      <c r="C3851" t="s">
        <v>2965</v>
      </c>
      <c r="D3851" t="s">
        <v>2966</v>
      </c>
      <c r="F3851" t="s">
        <v>8511</v>
      </c>
      <c r="H3851" t="s">
        <v>2998</v>
      </c>
      <c r="J3851">
        <v>1449574</v>
      </c>
      <c r="L3851" t="s">
        <v>5909</v>
      </c>
    </row>
    <row r="3852" spans="1:12" x14ac:dyDescent="0.35">
      <c r="A3852" t="s">
        <v>2964</v>
      </c>
      <c r="B3852" s="1">
        <v>45747</v>
      </c>
      <c r="C3852" t="s">
        <v>2965</v>
      </c>
      <c r="D3852" t="s">
        <v>2966</v>
      </c>
      <c r="F3852" t="s">
        <v>8512</v>
      </c>
      <c r="H3852" t="s">
        <v>2999</v>
      </c>
      <c r="J3852">
        <v>28966143</v>
      </c>
      <c r="L3852" t="s">
        <v>5909</v>
      </c>
    </row>
    <row r="3853" spans="1:12" x14ac:dyDescent="0.35">
      <c r="A3853" t="s">
        <v>2964</v>
      </c>
      <c r="B3853" s="1">
        <v>45747</v>
      </c>
      <c r="C3853" t="s">
        <v>2965</v>
      </c>
      <c r="D3853" t="s">
        <v>2966</v>
      </c>
      <c r="F3853" t="s">
        <v>8513</v>
      </c>
      <c r="H3853" t="s">
        <v>3000</v>
      </c>
      <c r="J3853">
        <v>589211</v>
      </c>
      <c r="L3853" t="s">
        <v>5935</v>
      </c>
    </row>
    <row r="3854" spans="1:12" x14ac:dyDescent="0.35">
      <c r="A3854" t="s">
        <v>2964</v>
      </c>
      <c r="B3854" s="1">
        <v>45747</v>
      </c>
      <c r="C3854" t="s">
        <v>2965</v>
      </c>
      <c r="D3854" t="s">
        <v>2966</v>
      </c>
      <c r="F3854" t="s">
        <v>8513</v>
      </c>
      <c r="H3854" t="s">
        <v>3001</v>
      </c>
      <c r="J3854">
        <v>1139619</v>
      </c>
      <c r="L3854" t="s">
        <v>5935</v>
      </c>
    </row>
    <row r="3855" spans="1:12" x14ac:dyDescent="0.35">
      <c r="A3855" t="s">
        <v>2964</v>
      </c>
      <c r="B3855" s="1">
        <v>45747</v>
      </c>
      <c r="C3855" t="s">
        <v>2965</v>
      </c>
      <c r="D3855" t="s">
        <v>2966</v>
      </c>
      <c r="F3855" t="s">
        <v>8514</v>
      </c>
      <c r="H3855" t="s">
        <v>3002</v>
      </c>
      <c r="J3855">
        <v>10331648</v>
      </c>
      <c r="L3855" t="s">
        <v>5909</v>
      </c>
    </row>
    <row r="3856" spans="1:12" x14ac:dyDescent="0.35">
      <c r="A3856" t="s">
        <v>2964</v>
      </c>
      <c r="B3856" s="1">
        <v>45747</v>
      </c>
      <c r="C3856" t="s">
        <v>2965</v>
      </c>
      <c r="D3856" t="s">
        <v>2966</v>
      </c>
      <c r="F3856" t="s">
        <v>8514</v>
      </c>
      <c r="H3856" t="s">
        <v>3003</v>
      </c>
      <c r="J3856">
        <v>7323224</v>
      </c>
      <c r="L3856" t="s">
        <v>5909</v>
      </c>
    </row>
    <row r="3857" spans="1:12" x14ac:dyDescent="0.35">
      <c r="A3857" t="s">
        <v>2964</v>
      </c>
      <c r="B3857" s="1">
        <v>45747</v>
      </c>
      <c r="C3857" t="s">
        <v>2965</v>
      </c>
      <c r="D3857" t="s">
        <v>2966</v>
      </c>
      <c r="F3857" t="s">
        <v>8515</v>
      </c>
      <c r="H3857" t="s">
        <v>3004</v>
      </c>
      <c r="J3857">
        <v>741453</v>
      </c>
      <c r="L3857" t="s">
        <v>5936</v>
      </c>
    </row>
    <row r="3858" spans="1:12" x14ac:dyDescent="0.35">
      <c r="A3858" t="s">
        <v>2964</v>
      </c>
      <c r="B3858" s="1">
        <v>45747</v>
      </c>
      <c r="C3858" t="s">
        <v>2965</v>
      </c>
      <c r="D3858" t="s">
        <v>2966</v>
      </c>
      <c r="F3858" t="s">
        <v>8515</v>
      </c>
      <c r="H3858" t="s">
        <v>3005</v>
      </c>
      <c r="K3858">
        <v>46946</v>
      </c>
      <c r="L3858" t="s">
        <v>5936</v>
      </c>
    </row>
    <row r="3859" spans="1:12" x14ac:dyDescent="0.35">
      <c r="A3859" t="s">
        <v>2964</v>
      </c>
      <c r="B3859" s="1">
        <v>45747</v>
      </c>
      <c r="C3859" t="s">
        <v>2965</v>
      </c>
      <c r="D3859" t="s">
        <v>2966</v>
      </c>
      <c r="F3859" t="s">
        <v>8515</v>
      </c>
      <c r="H3859" t="s">
        <v>3006</v>
      </c>
      <c r="J3859">
        <v>2644381</v>
      </c>
      <c r="L3859" t="s">
        <v>5936</v>
      </c>
    </row>
    <row r="3860" spans="1:12" x14ac:dyDescent="0.35">
      <c r="A3860" t="s">
        <v>2964</v>
      </c>
      <c r="B3860" s="1">
        <v>45747</v>
      </c>
      <c r="C3860" t="s">
        <v>2965</v>
      </c>
      <c r="D3860" t="s">
        <v>2966</v>
      </c>
      <c r="F3860" t="s">
        <v>8516</v>
      </c>
      <c r="H3860" t="s">
        <v>3007</v>
      </c>
      <c r="J3860">
        <v>21464381</v>
      </c>
      <c r="L3860" t="s">
        <v>5909</v>
      </c>
    </row>
    <row r="3861" spans="1:12" x14ac:dyDescent="0.35">
      <c r="A3861" t="s">
        <v>2964</v>
      </c>
      <c r="B3861" s="1">
        <v>45747</v>
      </c>
      <c r="C3861" t="s">
        <v>2965</v>
      </c>
      <c r="D3861" t="s">
        <v>2966</v>
      </c>
      <c r="F3861" t="s">
        <v>8517</v>
      </c>
      <c r="H3861" t="s">
        <v>3008</v>
      </c>
      <c r="J3861">
        <v>18890669</v>
      </c>
      <c r="L3861" t="s">
        <v>5909</v>
      </c>
    </row>
    <row r="3862" spans="1:12" x14ac:dyDescent="0.35">
      <c r="A3862" t="s">
        <v>2964</v>
      </c>
      <c r="B3862" s="1">
        <v>45747</v>
      </c>
      <c r="C3862" t="s">
        <v>2965</v>
      </c>
      <c r="D3862" t="s">
        <v>2966</v>
      </c>
      <c r="F3862" t="s">
        <v>8517</v>
      </c>
      <c r="H3862" t="s">
        <v>3009</v>
      </c>
      <c r="J3862">
        <v>1388643</v>
      </c>
      <c r="L3862" t="s">
        <v>5909</v>
      </c>
    </row>
    <row r="3863" spans="1:12" x14ac:dyDescent="0.35">
      <c r="A3863" t="s">
        <v>2964</v>
      </c>
      <c r="B3863" s="1">
        <v>45747</v>
      </c>
      <c r="C3863" t="s">
        <v>2965</v>
      </c>
      <c r="D3863" t="s">
        <v>2966</v>
      </c>
      <c r="F3863" t="s">
        <v>8518</v>
      </c>
      <c r="H3863" t="s">
        <v>3010</v>
      </c>
      <c r="J3863">
        <v>2197069</v>
      </c>
      <c r="L3863" t="s">
        <v>5909</v>
      </c>
    </row>
    <row r="3864" spans="1:12" x14ac:dyDescent="0.35">
      <c r="A3864" t="s">
        <v>2964</v>
      </c>
      <c r="B3864" s="1">
        <v>45747</v>
      </c>
      <c r="C3864" t="s">
        <v>2965</v>
      </c>
      <c r="D3864" t="s">
        <v>2966</v>
      </c>
      <c r="F3864" t="s">
        <v>8518</v>
      </c>
      <c r="H3864" t="s">
        <v>3011</v>
      </c>
      <c r="J3864">
        <v>273219</v>
      </c>
      <c r="L3864" t="s">
        <v>5909</v>
      </c>
    </row>
    <row r="3865" spans="1:12" x14ac:dyDescent="0.35">
      <c r="A3865" t="s">
        <v>2964</v>
      </c>
      <c r="B3865" s="1">
        <v>45747</v>
      </c>
      <c r="C3865" t="s">
        <v>2965</v>
      </c>
      <c r="D3865" t="s">
        <v>2966</v>
      </c>
      <c r="F3865" t="s">
        <v>8518</v>
      </c>
      <c r="H3865" t="s">
        <v>3012</v>
      </c>
      <c r="J3865">
        <v>17252</v>
      </c>
      <c r="L3865" t="s">
        <v>5909</v>
      </c>
    </row>
    <row r="3866" spans="1:12" x14ac:dyDescent="0.35">
      <c r="A3866" t="s">
        <v>2964</v>
      </c>
      <c r="B3866" s="1">
        <v>45747</v>
      </c>
      <c r="C3866" t="s">
        <v>2965</v>
      </c>
      <c r="D3866" t="s">
        <v>2966</v>
      </c>
      <c r="F3866" t="s">
        <v>8518</v>
      </c>
      <c r="H3866" t="s">
        <v>3013</v>
      </c>
      <c r="J3866">
        <v>349353</v>
      </c>
      <c r="L3866" t="s">
        <v>5909</v>
      </c>
    </row>
    <row r="3867" spans="1:12" x14ac:dyDescent="0.35">
      <c r="A3867" t="s">
        <v>2964</v>
      </c>
      <c r="B3867" s="1">
        <v>45747</v>
      </c>
      <c r="C3867" t="s">
        <v>2965</v>
      </c>
      <c r="D3867" t="s">
        <v>2966</v>
      </c>
      <c r="F3867" t="s">
        <v>8518</v>
      </c>
      <c r="H3867" t="s">
        <v>3014</v>
      </c>
      <c r="J3867">
        <v>21565</v>
      </c>
      <c r="L3867" t="s">
        <v>5909</v>
      </c>
    </row>
    <row r="3868" spans="1:12" x14ac:dyDescent="0.35">
      <c r="A3868" t="s">
        <v>2964</v>
      </c>
      <c r="B3868" s="1">
        <v>45747</v>
      </c>
      <c r="C3868" t="s">
        <v>2965</v>
      </c>
      <c r="D3868" t="s">
        <v>2966</v>
      </c>
      <c r="F3868" t="s">
        <v>8519</v>
      </c>
      <c r="H3868" t="s">
        <v>3015</v>
      </c>
      <c r="J3868">
        <v>1910278</v>
      </c>
      <c r="L3868" t="s">
        <v>5909</v>
      </c>
    </row>
    <row r="3869" spans="1:12" x14ac:dyDescent="0.35">
      <c r="A3869" t="s">
        <v>2964</v>
      </c>
      <c r="B3869" s="1">
        <v>45747</v>
      </c>
      <c r="C3869" t="s">
        <v>2965</v>
      </c>
      <c r="D3869" t="s">
        <v>2966</v>
      </c>
      <c r="F3869" t="s">
        <v>8519</v>
      </c>
      <c r="H3869" t="s">
        <v>3016</v>
      </c>
      <c r="J3869">
        <v>237555</v>
      </c>
      <c r="L3869" t="s">
        <v>5909</v>
      </c>
    </row>
    <row r="3870" spans="1:12" x14ac:dyDescent="0.35">
      <c r="A3870" t="s">
        <v>2964</v>
      </c>
      <c r="B3870" s="1">
        <v>45747</v>
      </c>
      <c r="C3870" t="s">
        <v>2965</v>
      </c>
      <c r="D3870" t="s">
        <v>2966</v>
      </c>
      <c r="F3870" t="s">
        <v>8519</v>
      </c>
      <c r="H3870" t="s">
        <v>3017</v>
      </c>
      <c r="J3870">
        <v>15000</v>
      </c>
      <c r="L3870" t="s">
        <v>5909</v>
      </c>
    </row>
    <row r="3871" spans="1:12" x14ac:dyDescent="0.35">
      <c r="A3871" t="s">
        <v>2964</v>
      </c>
      <c r="B3871" s="1">
        <v>45747</v>
      </c>
      <c r="C3871" t="s">
        <v>2965</v>
      </c>
      <c r="D3871" t="s">
        <v>2966</v>
      </c>
      <c r="F3871" t="s">
        <v>8519</v>
      </c>
      <c r="H3871" t="s">
        <v>3018</v>
      </c>
      <c r="J3871">
        <v>303750</v>
      </c>
      <c r="L3871" t="s">
        <v>5909</v>
      </c>
    </row>
    <row r="3872" spans="1:12" x14ac:dyDescent="0.35">
      <c r="A3872" t="s">
        <v>2964</v>
      </c>
      <c r="B3872" s="1">
        <v>45747</v>
      </c>
      <c r="C3872" t="s">
        <v>2965</v>
      </c>
      <c r="D3872" t="s">
        <v>2966</v>
      </c>
      <c r="F3872" t="s">
        <v>8519</v>
      </c>
      <c r="H3872" t="s">
        <v>3019</v>
      </c>
      <c r="J3872">
        <v>18750</v>
      </c>
      <c r="L3872" t="s">
        <v>5909</v>
      </c>
    </row>
    <row r="3873" spans="1:12" x14ac:dyDescent="0.35">
      <c r="A3873" t="s">
        <v>2964</v>
      </c>
      <c r="B3873" s="1">
        <v>45747</v>
      </c>
      <c r="C3873" t="s">
        <v>2965</v>
      </c>
      <c r="D3873" t="s">
        <v>2966</v>
      </c>
      <c r="F3873" t="s">
        <v>8520</v>
      </c>
      <c r="H3873" t="s">
        <v>3020</v>
      </c>
      <c r="J3873">
        <v>11007669</v>
      </c>
      <c r="L3873" t="s">
        <v>5909</v>
      </c>
    </row>
    <row r="3874" spans="1:12" x14ac:dyDescent="0.35">
      <c r="A3874" t="s">
        <v>2964</v>
      </c>
      <c r="B3874" s="1">
        <v>45747</v>
      </c>
      <c r="C3874" t="s">
        <v>2965</v>
      </c>
      <c r="D3874" t="s">
        <v>2966</v>
      </c>
      <c r="F3874" t="s">
        <v>8520</v>
      </c>
      <c r="H3874" t="s">
        <v>3021</v>
      </c>
      <c r="J3874">
        <v>1115401</v>
      </c>
      <c r="L3874" t="s">
        <v>5909</v>
      </c>
    </row>
    <row r="3875" spans="1:12" x14ac:dyDescent="0.35">
      <c r="A3875" t="s">
        <v>2964</v>
      </c>
      <c r="B3875" s="1">
        <v>45747</v>
      </c>
      <c r="C3875" t="s">
        <v>2965</v>
      </c>
      <c r="D3875" t="s">
        <v>2966</v>
      </c>
      <c r="F3875" t="s">
        <v>8520</v>
      </c>
      <c r="H3875" t="s">
        <v>3022</v>
      </c>
      <c r="J3875">
        <v>1039500</v>
      </c>
      <c r="L3875" t="s">
        <v>5909</v>
      </c>
    </row>
    <row r="3876" spans="1:12" x14ac:dyDescent="0.35">
      <c r="A3876" t="s">
        <v>2964</v>
      </c>
      <c r="B3876" s="1">
        <v>45747</v>
      </c>
      <c r="C3876" t="s">
        <v>2965</v>
      </c>
      <c r="D3876" t="s">
        <v>2966</v>
      </c>
      <c r="F3876" t="s">
        <v>8520</v>
      </c>
      <c r="H3876" t="s">
        <v>3023</v>
      </c>
      <c r="J3876">
        <v>1987117</v>
      </c>
      <c r="L3876" t="s">
        <v>5909</v>
      </c>
    </row>
    <row r="3877" spans="1:12" x14ac:dyDescent="0.35">
      <c r="A3877" t="s">
        <v>2964</v>
      </c>
      <c r="B3877" s="1">
        <v>45747</v>
      </c>
      <c r="C3877" t="s">
        <v>2965</v>
      </c>
      <c r="D3877" t="s">
        <v>2966</v>
      </c>
      <c r="F3877" t="s">
        <v>8520</v>
      </c>
      <c r="H3877" t="s">
        <v>3024</v>
      </c>
      <c r="J3877">
        <v>122924</v>
      </c>
      <c r="L3877" t="s">
        <v>5909</v>
      </c>
    </row>
    <row r="3878" spans="1:12" x14ac:dyDescent="0.35">
      <c r="A3878" t="s">
        <v>3025</v>
      </c>
      <c r="B3878" s="1">
        <v>45717</v>
      </c>
      <c r="C3878" t="s">
        <v>7598</v>
      </c>
      <c r="E3878" t="s">
        <v>3026</v>
      </c>
      <c r="F3878" t="s">
        <v>8521</v>
      </c>
      <c r="H3878" t="s">
        <v>3027</v>
      </c>
      <c r="K3878">
        <v>-7132680</v>
      </c>
      <c r="L3878" t="s">
        <v>6803</v>
      </c>
    </row>
    <row r="3879" spans="1:12" x14ac:dyDescent="0.35">
      <c r="A3879" t="s">
        <v>3025</v>
      </c>
      <c r="B3879" s="1">
        <v>45717</v>
      </c>
      <c r="C3879" t="s">
        <v>7598</v>
      </c>
      <c r="E3879" t="s">
        <v>3026</v>
      </c>
      <c r="F3879" t="s">
        <v>8522</v>
      </c>
      <c r="H3879" t="s">
        <v>3027</v>
      </c>
      <c r="J3879">
        <v>-7132680</v>
      </c>
      <c r="L3879" t="s">
        <v>5911</v>
      </c>
    </row>
    <row r="3880" spans="1:12" x14ac:dyDescent="0.35">
      <c r="A3880" t="s">
        <v>3025</v>
      </c>
      <c r="B3880" s="1">
        <v>45747</v>
      </c>
      <c r="C3880" t="s">
        <v>7599</v>
      </c>
      <c r="E3880" t="s">
        <v>3026</v>
      </c>
      <c r="F3880" t="s">
        <v>8521</v>
      </c>
      <c r="H3880" t="s">
        <v>3028</v>
      </c>
      <c r="K3880">
        <v>10950100</v>
      </c>
      <c r="L3880" t="s">
        <v>6803</v>
      </c>
    </row>
    <row r="3881" spans="1:12" x14ac:dyDescent="0.35">
      <c r="A3881" t="s">
        <v>3025</v>
      </c>
      <c r="B3881" s="1">
        <v>45747</v>
      </c>
      <c r="C3881" t="s">
        <v>7599</v>
      </c>
      <c r="E3881" t="s">
        <v>3026</v>
      </c>
      <c r="F3881" t="s">
        <v>8522</v>
      </c>
      <c r="H3881" t="s">
        <v>3028</v>
      </c>
      <c r="J3881">
        <v>10950100</v>
      </c>
      <c r="L3881" t="s">
        <v>5968</v>
      </c>
    </row>
    <row r="3882" spans="1:12" x14ac:dyDescent="0.35">
      <c r="A3882" t="s">
        <v>3025</v>
      </c>
      <c r="B3882" s="1">
        <v>45747</v>
      </c>
      <c r="C3882" t="s">
        <v>7600</v>
      </c>
      <c r="E3882" t="s">
        <v>3029</v>
      </c>
      <c r="F3882" t="s">
        <v>8521</v>
      </c>
      <c r="H3882" t="s">
        <v>3030</v>
      </c>
      <c r="K3882">
        <v>28952888</v>
      </c>
      <c r="L3882" t="s">
        <v>6803</v>
      </c>
    </row>
    <row r="3883" spans="1:12" x14ac:dyDescent="0.35">
      <c r="A3883" t="s">
        <v>3025</v>
      </c>
      <c r="B3883" s="1">
        <v>45747</v>
      </c>
      <c r="C3883" t="s">
        <v>7600</v>
      </c>
      <c r="E3883" t="s">
        <v>3029</v>
      </c>
      <c r="F3883" t="s">
        <v>8522</v>
      </c>
      <c r="H3883" t="s">
        <v>3030</v>
      </c>
      <c r="J3883">
        <v>28952888</v>
      </c>
      <c r="L3883" t="s">
        <v>5968</v>
      </c>
    </row>
    <row r="3884" spans="1:12" x14ac:dyDescent="0.35">
      <c r="A3884" t="s">
        <v>3031</v>
      </c>
      <c r="B3884" s="1">
        <v>45719</v>
      </c>
      <c r="C3884" t="s">
        <v>7499</v>
      </c>
      <c r="F3884" t="s">
        <v>6804</v>
      </c>
      <c r="G3884" t="s">
        <v>3032</v>
      </c>
      <c r="H3884" t="s">
        <v>3033</v>
      </c>
      <c r="J3884">
        <v>502000</v>
      </c>
      <c r="L3884" t="s">
        <v>6803</v>
      </c>
    </row>
    <row r="3885" spans="1:12" x14ac:dyDescent="0.35">
      <c r="A3885" t="s">
        <v>3031</v>
      </c>
      <c r="B3885" s="1">
        <v>45719</v>
      </c>
      <c r="C3885" t="s">
        <v>7499</v>
      </c>
      <c r="F3885" t="s">
        <v>8523</v>
      </c>
      <c r="H3885" t="s">
        <v>3033</v>
      </c>
      <c r="K3885">
        <v>502000</v>
      </c>
      <c r="L3885" t="s">
        <v>6803</v>
      </c>
    </row>
    <row r="3886" spans="1:12" x14ac:dyDescent="0.35">
      <c r="A3886" t="s">
        <v>3031</v>
      </c>
      <c r="B3886" s="1">
        <v>45719</v>
      </c>
      <c r="C3886" t="s">
        <v>7649</v>
      </c>
      <c r="F3886" t="s">
        <v>8523</v>
      </c>
      <c r="H3886" t="s">
        <v>3034</v>
      </c>
      <c r="K3886">
        <v>11044</v>
      </c>
      <c r="L3886" t="s">
        <v>6803</v>
      </c>
    </row>
    <row r="3887" spans="1:12" x14ac:dyDescent="0.35">
      <c r="A3887" t="s">
        <v>3031</v>
      </c>
      <c r="B3887" s="1">
        <v>45719</v>
      </c>
      <c r="C3887" t="s">
        <v>7649</v>
      </c>
      <c r="F3887" t="s">
        <v>7828</v>
      </c>
      <c r="H3887" t="s">
        <v>3034</v>
      </c>
      <c r="J3887">
        <v>11044</v>
      </c>
      <c r="L3887" t="s">
        <v>347</v>
      </c>
    </row>
    <row r="3888" spans="1:12" x14ac:dyDescent="0.35">
      <c r="A3888" t="s">
        <v>3031</v>
      </c>
      <c r="B3888" s="1">
        <v>45719</v>
      </c>
      <c r="C3888" t="s">
        <v>7651</v>
      </c>
      <c r="F3888" t="s">
        <v>6804</v>
      </c>
      <c r="G3888" t="s">
        <v>3032</v>
      </c>
      <c r="H3888" t="s">
        <v>3035</v>
      </c>
      <c r="J3888">
        <v>375857</v>
      </c>
      <c r="L3888" t="s">
        <v>6803</v>
      </c>
    </row>
    <row r="3889" spans="1:12" x14ac:dyDescent="0.35">
      <c r="A3889" t="s">
        <v>3031</v>
      </c>
      <c r="B3889" s="1">
        <v>45719</v>
      </c>
      <c r="C3889" t="s">
        <v>7651</v>
      </c>
      <c r="F3889" t="s">
        <v>8523</v>
      </c>
      <c r="H3889" t="s">
        <v>3035</v>
      </c>
      <c r="K3889">
        <v>375857</v>
      </c>
      <c r="L3889" t="s">
        <v>6803</v>
      </c>
    </row>
    <row r="3890" spans="1:12" x14ac:dyDescent="0.35">
      <c r="A3890" t="s">
        <v>3031</v>
      </c>
      <c r="B3890" s="1">
        <v>45719</v>
      </c>
      <c r="C3890" t="s">
        <v>7653</v>
      </c>
      <c r="F3890" t="s">
        <v>8523</v>
      </c>
      <c r="H3890" t="s">
        <v>3036</v>
      </c>
      <c r="K3890">
        <v>8268</v>
      </c>
      <c r="L3890" t="s">
        <v>6803</v>
      </c>
    </row>
    <row r="3891" spans="1:12" x14ac:dyDescent="0.35">
      <c r="A3891" t="s">
        <v>3031</v>
      </c>
      <c r="B3891" s="1">
        <v>45719</v>
      </c>
      <c r="C3891" t="s">
        <v>7653</v>
      </c>
      <c r="F3891" t="s">
        <v>7828</v>
      </c>
      <c r="H3891" t="s">
        <v>3036</v>
      </c>
      <c r="J3891">
        <v>8268</v>
      </c>
      <c r="L3891" t="s">
        <v>347</v>
      </c>
    </row>
    <row r="3892" spans="1:12" x14ac:dyDescent="0.35">
      <c r="A3892" t="s">
        <v>3031</v>
      </c>
      <c r="B3892" s="1">
        <v>45719</v>
      </c>
      <c r="C3892" t="s">
        <v>7655</v>
      </c>
      <c r="F3892" t="s">
        <v>6804</v>
      </c>
      <c r="G3892" t="s">
        <v>3032</v>
      </c>
      <c r="H3892" t="s">
        <v>3037</v>
      </c>
      <c r="J3892">
        <v>139016</v>
      </c>
      <c r="L3892" t="s">
        <v>6803</v>
      </c>
    </row>
    <row r="3893" spans="1:12" x14ac:dyDescent="0.35">
      <c r="A3893" t="s">
        <v>3031</v>
      </c>
      <c r="B3893" s="1">
        <v>45719</v>
      </c>
      <c r="C3893" t="s">
        <v>7655</v>
      </c>
      <c r="F3893" t="s">
        <v>8523</v>
      </c>
      <c r="H3893" t="s">
        <v>3037</v>
      </c>
      <c r="K3893">
        <v>139016</v>
      </c>
      <c r="L3893" t="s">
        <v>6803</v>
      </c>
    </row>
    <row r="3894" spans="1:12" x14ac:dyDescent="0.35">
      <c r="A3894" t="s">
        <v>3031</v>
      </c>
      <c r="B3894" s="1">
        <v>45719</v>
      </c>
      <c r="C3894" t="s">
        <v>7657</v>
      </c>
      <c r="F3894" t="s">
        <v>8523</v>
      </c>
      <c r="H3894" t="s">
        <v>3038</v>
      </c>
      <c r="K3894">
        <v>3058</v>
      </c>
      <c r="L3894" t="s">
        <v>6803</v>
      </c>
    </row>
    <row r="3895" spans="1:12" x14ac:dyDescent="0.35">
      <c r="A3895" t="s">
        <v>3031</v>
      </c>
      <c r="B3895" s="1">
        <v>45719</v>
      </c>
      <c r="C3895" t="s">
        <v>7657</v>
      </c>
      <c r="F3895" t="s">
        <v>7828</v>
      </c>
      <c r="H3895" t="s">
        <v>3038</v>
      </c>
      <c r="J3895">
        <v>3058</v>
      </c>
      <c r="L3895" t="s">
        <v>347</v>
      </c>
    </row>
    <row r="3896" spans="1:12" x14ac:dyDescent="0.35">
      <c r="A3896" t="s">
        <v>3031</v>
      </c>
      <c r="B3896" s="1">
        <v>45719</v>
      </c>
      <c r="C3896" t="s">
        <v>7659</v>
      </c>
      <c r="F3896" t="s">
        <v>6804</v>
      </c>
      <c r="G3896" t="s">
        <v>3032</v>
      </c>
      <c r="H3896" t="s">
        <v>3039</v>
      </c>
      <c r="J3896">
        <v>38615</v>
      </c>
      <c r="L3896" t="s">
        <v>6803</v>
      </c>
    </row>
    <row r="3897" spans="1:12" x14ac:dyDescent="0.35">
      <c r="A3897" t="s">
        <v>3031</v>
      </c>
      <c r="B3897" s="1">
        <v>45719</v>
      </c>
      <c r="C3897" t="s">
        <v>7659</v>
      </c>
      <c r="F3897" t="s">
        <v>8523</v>
      </c>
      <c r="H3897" t="s">
        <v>3039</v>
      </c>
      <c r="K3897">
        <v>38615</v>
      </c>
      <c r="L3897" t="s">
        <v>6803</v>
      </c>
    </row>
    <row r="3898" spans="1:12" x14ac:dyDescent="0.35">
      <c r="A3898" t="s">
        <v>3031</v>
      </c>
      <c r="B3898" s="1">
        <v>45719</v>
      </c>
      <c r="C3898" t="s">
        <v>7500</v>
      </c>
      <c r="F3898" t="s">
        <v>8523</v>
      </c>
      <c r="H3898" t="s">
        <v>3040</v>
      </c>
      <c r="K3898">
        <v>849</v>
      </c>
      <c r="L3898" t="s">
        <v>6803</v>
      </c>
    </row>
    <row r="3899" spans="1:12" x14ac:dyDescent="0.35">
      <c r="A3899" t="s">
        <v>3031</v>
      </c>
      <c r="B3899" s="1">
        <v>45719</v>
      </c>
      <c r="C3899" t="s">
        <v>7500</v>
      </c>
      <c r="F3899" t="s">
        <v>7828</v>
      </c>
      <c r="H3899" t="s">
        <v>3040</v>
      </c>
      <c r="J3899">
        <v>849</v>
      </c>
      <c r="L3899" t="s">
        <v>347</v>
      </c>
    </row>
    <row r="3900" spans="1:12" x14ac:dyDescent="0.35">
      <c r="A3900" t="s">
        <v>3031</v>
      </c>
      <c r="B3900" s="1">
        <v>45719</v>
      </c>
      <c r="C3900" t="s">
        <v>7503</v>
      </c>
      <c r="F3900" t="s">
        <v>6804</v>
      </c>
      <c r="G3900" t="s">
        <v>3032</v>
      </c>
      <c r="H3900" t="s">
        <v>3041</v>
      </c>
      <c r="J3900">
        <v>36041</v>
      </c>
      <c r="L3900" t="s">
        <v>6803</v>
      </c>
    </row>
    <row r="3901" spans="1:12" x14ac:dyDescent="0.35">
      <c r="A3901" t="s">
        <v>3031</v>
      </c>
      <c r="B3901" s="1">
        <v>45719</v>
      </c>
      <c r="C3901" t="s">
        <v>7503</v>
      </c>
      <c r="F3901" t="s">
        <v>8523</v>
      </c>
      <c r="H3901" t="s">
        <v>3041</v>
      </c>
      <c r="K3901">
        <v>36041</v>
      </c>
      <c r="L3901" t="s">
        <v>6803</v>
      </c>
    </row>
    <row r="3902" spans="1:12" x14ac:dyDescent="0.35">
      <c r="A3902" t="s">
        <v>3031</v>
      </c>
      <c r="B3902" s="1">
        <v>45719</v>
      </c>
      <c r="C3902" t="s">
        <v>7505</v>
      </c>
      <c r="F3902" t="s">
        <v>8523</v>
      </c>
      <c r="H3902" t="s">
        <v>3042</v>
      </c>
      <c r="K3902">
        <v>792</v>
      </c>
      <c r="L3902" t="s">
        <v>6803</v>
      </c>
    </row>
    <row r="3903" spans="1:12" x14ac:dyDescent="0.35">
      <c r="A3903" t="s">
        <v>3031</v>
      </c>
      <c r="B3903" s="1">
        <v>45719</v>
      </c>
      <c r="C3903" t="s">
        <v>7505</v>
      </c>
      <c r="F3903" t="s">
        <v>7828</v>
      </c>
      <c r="H3903" t="s">
        <v>3042</v>
      </c>
      <c r="J3903">
        <v>792</v>
      </c>
      <c r="L3903" t="s">
        <v>347</v>
      </c>
    </row>
    <row r="3904" spans="1:12" x14ac:dyDescent="0.35">
      <c r="A3904" t="s">
        <v>3031</v>
      </c>
      <c r="B3904" s="1">
        <v>45719</v>
      </c>
      <c r="C3904" t="s">
        <v>7507</v>
      </c>
      <c r="F3904" t="s">
        <v>6804</v>
      </c>
      <c r="G3904" t="s">
        <v>3032</v>
      </c>
      <c r="H3904" t="s">
        <v>3043</v>
      </c>
      <c r="J3904">
        <v>25744</v>
      </c>
      <c r="L3904" t="s">
        <v>6803</v>
      </c>
    </row>
    <row r="3905" spans="1:12" x14ac:dyDescent="0.35">
      <c r="A3905" t="s">
        <v>3031</v>
      </c>
      <c r="B3905" s="1">
        <v>45719</v>
      </c>
      <c r="C3905" t="s">
        <v>7507</v>
      </c>
      <c r="F3905" t="s">
        <v>8523</v>
      </c>
      <c r="H3905" t="s">
        <v>3043</v>
      </c>
      <c r="K3905">
        <v>25744</v>
      </c>
      <c r="L3905" t="s">
        <v>6803</v>
      </c>
    </row>
    <row r="3906" spans="1:12" x14ac:dyDescent="0.35">
      <c r="A3906" t="s">
        <v>3031</v>
      </c>
      <c r="B3906" s="1">
        <v>45719</v>
      </c>
      <c r="C3906" t="s">
        <v>7661</v>
      </c>
      <c r="F3906" t="s">
        <v>8523</v>
      </c>
      <c r="H3906" t="s">
        <v>3044</v>
      </c>
      <c r="K3906">
        <v>565</v>
      </c>
      <c r="L3906" t="s">
        <v>6803</v>
      </c>
    </row>
    <row r="3907" spans="1:12" x14ac:dyDescent="0.35">
      <c r="A3907" t="s">
        <v>3031</v>
      </c>
      <c r="B3907" s="1">
        <v>45719</v>
      </c>
      <c r="C3907" t="s">
        <v>7661</v>
      </c>
      <c r="F3907" t="s">
        <v>7828</v>
      </c>
      <c r="H3907" t="s">
        <v>3044</v>
      </c>
      <c r="J3907">
        <v>565</v>
      </c>
      <c r="L3907" t="s">
        <v>347</v>
      </c>
    </row>
    <row r="3908" spans="1:12" x14ac:dyDescent="0.35">
      <c r="A3908" t="s">
        <v>3031</v>
      </c>
      <c r="B3908" s="1">
        <v>45719</v>
      </c>
      <c r="C3908" t="s">
        <v>7665</v>
      </c>
      <c r="F3908" t="s">
        <v>6804</v>
      </c>
      <c r="G3908" t="s">
        <v>3032</v>
      </c>
      <c r="H3908" t="s">
        <v>3045</v>
      </c>
      <c r="J3908">
        <v>16733</v>
      </c>
      <c r="L3908" t="s">
        <v>6803</v>
      </c>
    </row>
    <row r="3909" spans="1:12" x14ac:dyDescent="0.35">
      <c r="A3909" t="s">
        <v>3031</v>
      </c>
      <c r="B3909" s="1">
        <v>45719</v>
      </c>
      <c r="C3909" t="s">
        <v>7665</v>
      </c>
      <c r="F3909" t="s">
        <v>8523</v>
      </c>
      <c r="H3909" t="s">
        <v>3045</v>
      </c>
      <c r="K3909">
        <v>16733</v>
      </c>
      <c r="L3909" t="s">
        <v>6803</v>
      </c>
    </row>
    <row r="3910" spans="1:12" x14ac:dyDescent="0.35">
      <c r="A3910" t="s">
        <v>3031</v>
      </c>
      <c r="B3910" s="1">
        <v>45719</v>
      </c>
      <c r="C3910" t="s">
        <v>7676</v>
      </c>
      <c r="F3910" t="s">
        <v>8523</v>
      </c>
      <c r="H3910" t="s">
        <v>3046</v>
      </c>
      <c r="K3910">
        <v>367</v>
      </c>
      <c r="L3910" t="s">
        <v>6803</v>
      </c>
    </row>
    <row r="3911" spans="1:12" x14ac:dyDescent="0.35">
      <c r="A3911" t="s">
        <v>3031</v>
      </c>
      <c r="B3911" s="1">
        <v>45719</v>
      </c>
      <c r="C3911" t="s">
        <v>7676</v>
      </c>
      <c r="F3911" t="s">
        <v>7828</v>
      </c>
      <c r="H3911" t="s">
        <v>3046</v>
      </c>
      <c r="J3911">
        <v>367</v>
      </c>
      <c r="L3911" t="s">
        <v>347</v>
      </c>
    </row>
    <row r="3912" spans="1:12" x14ac:dyDescent="0.35">
      <c r="A3912" t="s">
        <v>3031</v>
      </c>
      <c r="B3912" s="1">
        <v>45719</v>
      </c>
      <c r="C3912" t="s">
        <v>7679</v>
      </c>
      <c r="F3912" t="s">
        <v>6804</v>
      </c>
      <c r="G3912" t="s">
        <v>3032</v>
      </c>
      <c r="H3912" t="s">
        <v>3047</v>
      </c>
      <c r="J3912">
        <v>14950</v>
      </c>
      <c r="L3912" t="s">
        <v>6803</v>
      </c>
    </row>
    <row r="3913" spans="1:12" x14ac:dyDescent="0.35">
      <c r="A3913" t="s">
        <v>3031</v>
      </c>
      <c r="B3913" s="1">
        <v>45719</v>
      </c>
      <c r="C3913" t="s">
        <v>7679</v>
      </c>
      <c r="F3913" t="s">
        <v>8523</v>
      </c>
      <c r="H3913" t="s">
        <v>3047</v>
      </c>
      <c r="K3913">
        <v>14950</v>
      </c>
      <c r="L3913" t="s">
        <v>6803</v>
      </c>
    </row>
    <row r="3914" spans="1:12" x14ac:dyDescent="0.35">
      <c r="A3914" t="s">
        <v>3031</v>
      </c>
      <c r="B3914" s="1">
        <v>45719</v>
      </c>
      <c r="C3914" t="s">
        <v>7682</v>
      </c>
      <c r="F3914" t="s">
        <v>8523</v>
      </c>
      <c r="H3914" t="s">
        <v>3048</v>
      </c>
      <c r="K3914">
        <v>328</v>
      </c>
      <c r="L3914" t="s">
        <v>6803</v>
      </c>
    </row>
    <row r="3915" spans="1:12" x14ac:dyDescent="0.35">
      <c r="A3915" t="s">
        <v>3031</v>
      </c>
      <c r="B3915" s="1">
        <v>45719</v>
      </c>
      <c r="C3915" t="s">
        <v>7682</v>
      </c>
      <c r="F3915" t="s">
        <v>7828</v>
      </c>
      <c r="H3915" t="s">
        <v>3048</v>
      </c>
      <c r="J3915">
        <v>328</v>
      </c>
      <c r="L3915" t="s">
        <v>347</v>
      </c>
    </row>
    <row r="3916" spans="1:12" x14ac:dyDescent="0.35">
      <c r="A3916" t="s">
        <v>3031</v>
      </c>
      <c r="B3916" s="1">
        <v>45719</v>
      </c>
      <c r="C3916" t="s">
        <v>7684</v>
      </c>
      <c r="F3916" t="s">
        <v>6804</v>
      </c>
      <c r="G3916" t="s">
        <v>3032</v>
      </c>
      <c r="H3916" t="s">
        <v>3049</v>
      </c>
      <c r="J3916">
        <v>12871</v>
      </c>
      <c r="L3916" t="s">
        <v>6803</v>
      </c>
    </row>
    <row r="3917" spans="1:12" x14ac:dyDescent="0.35">
      <c r="A3917" t="s">
        <v>3031</v>
      </c>
      <c r="B3917" s="1">
        <v>45719</v>
      </c>
      <c r="C3917" t="s">
        <v>7684</v>
      </c>
      <c r="F3917" t="s">
        <v>8523</v>
      </c>
      <c r="H3917" t="s">
        <v>3049</v>
      </c>
      <c r="K3917">
        <v>12871</v>
      </c>
      <c r="L3917" t="s">
        <v>6803</v>
      </c>
    </row>
    <row r="3918" spans="1:12" x14ac:dyDescent="0.35">
      <c r="A3918" t="s">
        <v>3031</v>
      </c>
      <c r="B3918" s="1">
        <v>45719</v>
      </c>
      <c r="C3918" t="s">
        <v>7578</v>
      </c>
      <c r="F3918" t="s">
        <v>8523</v>
      </c>
      <c r="H3918" t="s">
        <v>3050</v>
      </c>
      <c r="K3918">
        <v>282</v>
      </c>
      <c r="L3918" t="s">
        <v>6803</v>
      </c>
    </row>
    <row r="3919" spans="1:12" x14ac:dyDescent="0.35">
      <c r="A3919" t="s">
        <v>3031</v>
      </c>
      <c r="B3919" s="1">
        <v>45719</v>
      </c>
      <c r="C3919" t="s">
        <v>7578</v>
      </c>
      <c r="F3919" t="s">
        <v>7828</v>
      </c>
      <c r="H3919" t="s">
        <v>3050</v>
      </c>
      <c r="J3919">
        <v>282</v>
      </c>
      <c r="L3919" t="s">
        <v>347</v>
      </c>
    </row>
    <row r="3920" spans="1:12" x14ac:dyDescent="0.35">
      <c r="A3920" t="s">
        <v>3031</v>
      </c>
      <c r="B3920" s="1">
        <v>45727</v>
      </c>
      <c r="C3920" t="s">
        <v>7557</v>
      </c>
      <c r="F3920" t="s">
        <v>8523</v>
      </c>
      <c r="H3920" t="s">
        <v>3051</v>
      </c>
      <c r="K3920">
        <v>189265</v>
      </c>
      <c r="L3920" t="s">
        <v>6803</v>
      </c>
    </row>
    <row r="3921" spans="1:12" x14ac:dyDescent="0.35">
      <c r="A3921" t="s">
        <v>3031</v>
      </c>
      <c r="B3921" s="1">
        <v>45727</v>
      </c>
      <c r="C3921" t="s">
        <v>7557</v>
      </c>
      <c r="F3921" t="s">
        <v>8063</v>
      </c>
      <c r="H3921" t="s">
        <v>3051</v>
      </c>
      <c r="J3921">
        <v>189265</v>
      </c>
      <c r="L3921" t="s">
        <v>5931</v>
      </c>
    </row>
    <row r="3922" spans="1:12" x14ac:dyDescent="0.35">
      <c r="A3922" t="s">
        <v>3031</v>
      </c>
      <c r="B3922" s="1">
        <v>45727</v>
      </c>
      <c r="C3922" t="s">
        <v>7685</v>
      </c>
      <c r="F3922" t="s">
        <v>8523</v>
      </c>
      <c r="H3922" t="s">
        <v>3052</v>
      </c>
      <c r="K3922">
        <v>4163</v>
      </c>
      <c r="L3922" t="s">
        <v>6803</v>
      </c>
    </row>
    <row r="3923" spans="1:12" x14ac:dyDescent="0.35">
      <c r="A3923" t="s">
        <v>3031</v>
      </c>
      <c r="B3923" s="1">
        <v>45727</v>
      </c>
      <c r="C3923" t="s">
        <v>7685</v>
      </c>
      <c r="F3923" t="s">
        <v>7828</v>
      </c>
      <c r="H3923" t="s">
        <v>3052</v>
      </c>
      <c r="J3923">
        <v>4163</v>
      </c>
      <c r="L3923" t="s">
        <v>347</v>
      </c>
    </row>
    <row r="3924" spans="1:12" x14ac:dyDescent="0.35">
      <c r="A3924" t="s">
        <v>3031</v>
      </c>
      <c r="B3924" s="1">
        <v>45728</v>
      </c>
      <c r="C3924" t="s">
        <v>7690</v>
      </c>
      <c r="F3924" t="s">
        <v>8523</v>
      </c>
      <c r="H3924" t="s">
        <v>3053</v>
      </c>
      <c r="K3924">
        <v>891003</v>
      </c>
      <c r="L3924" t="s">
        <v>6803</v>
      </c>
    </row>
    <row r="3925" spans="1:12" x14ac:dyDescent="0.35">
      <c r="A3925" t="s">
        <v>3031</v>
      </c>
      <c r="B3925" s="1">
        <v>45728</v>
      </c>
      <c r="C3925" t="s">
        <v>7690</v>
      </c>
      <c r="F3925" t="s">
        <v>8105</v>
      </c>
      <c r="H3925" t="s">
        <v>3053</v>
      </c>
      <c r="J3925">
        <v>891003</v>
      </c>
      <c r="L3925" t="s">
        <v>5878</v>
      </c>
    </row>
    <row r="3926" spans="1:12" x14ac:dyDescent="0.35">
      <c r="A3926" t="s">
        <v>3031</v>
      </c>
      <c r="B3926" s="1">
        <v>45728</v>
      </c>
      <c r="C3926" t="s">
        <v>7692</v>
      </c>
      <c r="F3926" t="s">
        <v>8523</v>
      </c>
      <c r="H3926" t="s">
        <v>3054</v>
      </c>
      <c r="K3926">
        <v>19602</v>
      </c>
      <c r="L3926" t="s">
        <v>6803</v>
      </c>
    </row>
    <row r="3927" spans="1:12" x14ac:dyDescent="0.35">
      <c r="A3927" t="s">
        <v>3031</v>
      </c>
      <c r="B3927" s="1">
        <v>45728</v>
      </c>
      <c r="C3927" t="s">
        <v>7692</v>
      </c>
      <c r="F3927" t="s">
        <v>7828</v>
      </c>
      <c r="H3927" t="s">
        <v>3054</v>
      </c>
      <c r="J3927">
        <v>19602</v>
      </c>
      <c r="L3927" t="s">
        <v>347</v>
      </c>
    </row>
    <row r="3928" spans="1:12" x14ac:dyDescent="0.35">
      <c r="A3928" t="s">
        <v>3031</v>
      </c>
      <c r="B3928" s="1">
        <v>45740</v>
      </c>
      <c r="C3928" t="s">
        <v>7695</v>
      </c>
      <c r="F3928" t="s">
        <v>8523</v>
      </c>
      <c r="H3928" t="s">
        <v>3055</v>
      </c>
      <c r="K3928">
        <v>85000</v>
      </c>
      <c r="L3928" t="s">
        <v>6803</v>
      </c>
    </row>
    <row r="3929" spans="1:12" x14ac:dyDescent="0.35">
      <c r="A3929" t="s">
        <v>3031</v>
      </c>
      <c r="B3929" s="1">
        <v>45740</v>
      </c>
      <c r="C3929" t="s">
        <v>7695</v>
      </c>
      <c r="F3929" t="s">
        <v>8105</v>
      </c>
      <c r="H3929" t="s">
        <v>3055</v>
      </c>
      <c r="J3929">
        <v>85000</v>
      </c>
      <c r="L3929" t="s">
        <v>5878</v>
      </c>
    </row>
    <row r="3930" spans="1:12" x14ac:dyDescent="0.35">
      <c r="A3930" t="s">
        <v>3056</v>
      </c>
      <c r="B3930" s="1">
        <v>45717</v>
      </c>
      <c r="C3930" t="s">
        <v>7709</v>
      </c>
      <c r="F3930" t="s">
        <v>8524</v>
      </c>
      <c r="H3930" t="s">
        <v>3057</v>
      </c>
      <c r="K3930">
        <v>79167</v>
      </c>
      <c r="L3930" t="s">
        <v>6803</v>
      </c>
    </row>
    <row r="3931" spans="1:12" x14ac:dyDescent="0.35">
      <c r="A3931" t="s">
        <v>3056</v>
      </c>
      <c r="B3931" s="1">
        <v>45717</v>
      </c>
      <c r="C3931" t="s">
        <v>7709</v>
      </c>
      <c r="F3931" t="s">
        <v>8050</v>
      </c>
      <c r="H3931" t="s">
        <v>3057</v>
      </c>
      <c r="J3931">
        <v>667</v>
      </c>
      <c r="L3931" t="s">
        <v>347</v>
      </c>
    </row>
    <row r="3932" spans="1:12" x14ac:dyDescent="0.35">
      <c r="A3932" t="s">
        <v>3056</v>
      </c>
      <c r="B3932" s="1">
        <v>45717</v>
      </c>
      <c r="C3932" t="s">
        <v>7709</v>
      </c>
      <c r="F3932" t="s">
        <v>8063</v>
      </c>
      <c r="H3932" t="s">
        <v>3057</v>
      </c>
      <c r="J3932">
        <v>78500</v>
      </c>
      <c r="L3932" t="s">
        <v>348</v>
      </c>
    </row>
    <row r="3933" spans="1:12" x14ac:dyDescent="0.35">
      <c r="A3933" t="s">
        <v>3056</v>
      </c>
      <c r="B3933" s="1">
        <v>45719</v>
      </c>
      <c r="C3933" t="s">
        <v>7808</v>
      </c>
      <c r="F3933" t="s">
        <v>8521</v>
      </c>
      <c r="H3933" t="s">
        <v>3058</v>
      </c>
      <c r="J3933">
        <v>1867325</v>
      </c>
      <c r="L3933" t="s">
        <v>6803</v>
      </c>
    </row>
    <row r="3934" spans="1:12" x14ac:dyDescent="0.35">
      <c r="A3934" t="s">
        <v>3056</v>
      </c>
      <c r="B3934" s="1">
        <v>45719</v>
      </c>
      <c r="C3934" t="s">
        <v>7808</v>
      </c>
      <c r="F3934" t="s">
        <v>8524</v>
      </c>
      <c r="H3934" t="s">
        <v>3058</v>
      </c>
      <c r="K3934">
        <v>1883197</v>
      </c>
      <c r="L3934" t="s">
        <v>6803</v>
      </c>
    </row>
    <row r="3935" spans="1:12" x14ac:dyDescent="0.35">
      <c r="A3935" t="s">
        <v>3056</v>
      </c>
      <c r="B3935" s="1">
        <v>45719</v>
      </c>
      <c r="C3935" t="s">
        <v>7808</v>
      </c>
      <c r="F3935" t="s">
        <v>8050</v>
      </c>
      <c r="H3935" t="s">
        <v>3058</v>
      </c>
      <c r="J3935">
        <v>15872</v>
      </c>
      <c r="L3935" t="s">
        <v>347</v>
      </c>
    </row>
    <row r="3936" spans="1:12" x14ac:dyDescent="0.35">
      <c r="A3936" t="s">
        <v>3056</v>
      </c>
      <c r="B3936" s="1">
        <v>45719</v>
      </c>
      <c r="C3936" t="s">
        <v>7733</v>
      </c>
      <c r="F3936" t="s">
        <v>8524</v>
      </c>
      <c r="H3936" t="s">
        <v>3059</v>
      </c>
      <c r="K3936">
        <v>6553570</v>
      </c>
      <c r="L3936" t="s">
        <v>6803</v>
      </c>
    </row>
    <row r="3937" spans="1:12" x14ac:dyDescent="0.35">
      <c r="A3937" t="s">
        <v>3056</v>
      </c>
      <c r="B3937" s="1">
        <v>45719</v>
      </c>
      <c r="C3937" t="s">
        <v>7733</v>
      </c>
      <c r="F3937" t="s">
        <v>8050</v>
      </c>
      <c r="H3937" t="s">
        <v>3059</v>
      </c>
      <c r="J3937">
        <v>55235</v>
      </c>
      <c r="L3937" t="s">
        <v>347</v>
      </c>
    </row>
    <row r="3938" spans="1:12" x14ac:dyDescent="0.35">
      <c r="A3938" t="s">
        <v>3056</v>
      </c>
      <c r="B3938" s="1">
        <v>45719</v>
      </c>
      <c r="C3938" t="s">
        <v>7733</v>
      </c>
      <c r="F3938" t="s">
        <v>8525</v>
      </c>
      <c r="H3938" t="s">
        <v>3059</v>
      </c>
      <c r="J3938">
        <v>6498335</v>
      </c>
      <c r="L3938" t="s">
        <v>5912</v>
      </c>
    </row>
    <row r="3939" spans="1:12" x14ac:dyDescent="0.35">
      <c r="A3939" t="s">
        <v>3056</v>
      </c>
      <c r="B3939" s="1">
        <v>45720</v>
      </c>
      <c r="C3939" t="s">
        <v>7734</v>
      </c>
      <c r="F3939" t="s">
        <v>6804</v>
      </c>
      <c r="G3939" t="s">
        <v>1216</v>
      </c>
      <c r="H3939" t="s">
        <v>3060</v>
      </c>
      <c r="J3939">
        <v>211200</v>
      </c>
      <c r="L3939" t="s">
        <v>6803</v>
      </c>
    </row>
    <row r="3940" spans="1:12" x14ac:dyDescent="0.35">
      <c r="A3940" t="s">
        <v>3056</v>
      </c>
      <c r="B3940" s="1">
        <v>45720</v>
      </c>
      <c r="C3940" t="s">
        <v>7734</v>
      </c>
      <c r="F3940" t="s">
        <v>8524</v>
      </c>
      <c r="H3940" t="s">
        <v>3060</v>
      </c>
      <c r="K3940">
        <v>212995</v>
      </c>
      <c r="L3940" t="s">
        <v>6803</v>
      </c>
    </row>
    <row r="3941" spans="1:12" x14ac:dyDescent="0.35">
      <c r="A3941" t="s">
        <v>3056</v>
      </c>
      <c r="B3941" s="1">
        <v>45720</v>
      </c>
      <c r="C3941" t="s">
        <v>7734</v>
      </c>
      <c r="F3941" t="s">
        <v>8050</v>
      </c>
      <c r="H3941" t="s">
        <v>3060</v>
      </c>
      <c r="J3941">
        <v>1795</v>
      </c>
      <c r="L3941" t="s">
        <v>347</v>
      </c>
    </row>
    <row r="3942" spans="1:12" x14ac:dyDescent="0.35">
      <c r="A3942" t="s">
        <v>3056</v>
      </c>
      <c r="B3942" s="1">
        <v>45720</v>
      </c>
      <c r="C3942" t="s">
        <v>7522</v>
      </c>
      <c r="F3942" t="s">
        <v>6804</v>
      </c>
      <c r="G3942" t="s">
        <v>7097</v>
      </c>
      <c r="H3942" t="s">
        <v>3061</v>
      </c>
      <c r="J3942">
        <v>990000</v>
      </c>
      <c r="L3942" t="s">
        <v>6803</v>
      </c>
    </row>
    <row r="3943" spans="1:12" x14ac:dyDescent="0.35">
      <c r="A3943" t="s">
        <v>3056</v>
      </c>
      <c r="B3943" s="1">
        <v>45720</v>
      </c>
      <c r="C3943" t="s">
        <v>7522</v>
      </c>
      <c r="F3943" t="s">
        <v>8524</v>
      </c>
      <c r="H3943" t="s">
        <v>3061</v>
      </c>
      <c r="K3943">
        <v>998415</v>
      </c>
      <c r="L3943" t="s">
        <v>6803</v>
      </c>
    </row>
    <row r="3944" spans="1:12" x14ac:dyDescent="0.35">
      <c r="A3944" t="s">
        <v>3056</v>
      </c>
      <c r="B3944" s="1">
        <v>45720</v>
      </c>
      <c r="C3944" t="s">
        <v>7522</v>
      </c>
      <c r="F3944" t="s">
        <v>8050</v>
      </c>
      <c r="H3944" t="s">
        <v>3061</v>
      </c>
      <c r="J3944">
        <v>8415</v>
      </c>
      <c r="L3944" t="s">
        <v>347</v>
      </c>
    </row>
    <row r="3945" spans="1:12" x14ac:dyDescent="0.35">
      <c r="A3945" t="s">
        <v>3056</v>
      </c>
      <c r="B3945" s="1">
        <v>45720</v>
      </c>
      <c r="C3945" t="s">
        <v>7523</v>
      </c>
      <c r="F3945" t="s">
        <v>8524</v>
      </c>
      <c r="H3945" t="s">
        <v>3062</v>
      </c>
      <c r="K3945">
        <v>141190</v>
      </c>
      <c r="L3945" t="s">
        <v>6803</v>
      </c>
    </row>
    <row r="3946" spans="1:12" x14ac:dyDescent="0.35">
      <c r="A3946" t="s">
        <v>3056</v>
      </c>
      <c r="B3946" s="1">
        <v>45720</v>
      </c>
      <c r="C3946" t="s">
        <v>7523</v>
      </c>
      <c r="F3946" t="s">
        <v>7928</v>
      </c>
      <c r="H3946" t="s">
        <v>3063</v>
      </c>
      <c r="J3946">
        <v>120000</v>
      </c>
      <c r="L3946" t="s">
        <v>5938</v>
      </c>
    </row>
    <row r="3947" spans="1:12" x14ac:dyDescent="0.35">
      <c r="A3947" t="s">
        <v>3056</v>
      </c>
      <c r="B3947" s="1">
        <v>45720</v>
      </c>
      <c r="C3947" t="s">
        <v>7523</v>
      </c>
      <c r="F3947" t="s">
        <v>8070</v>
      </c>
      <c r="H3947" t="s">
        <v>3064</v>
      </c>
      <c r="J3947">
        <v>20000</v>
      </c>
      <c r="L3947" t="s">
        <v>5909</v>
      </c>
    </row>
    <row r="3948" spans="1:12" x14ac:dyDescent="0.35">
      <c r="A3948" t="s">
        <v>3056</v>
      </c>
      <c r="B3948" s="1">
        <v>45720</v>
      </c>
      <c r="C3948" t="s">
        <v>7523</v>
      </c>
      <c r="F3948" t="s">
        <v>8050</v>
      </c>
      <c r="H3948" t="s">
        <v>3062</v>
      </c>
      <c r="J3948">
        <v>1190</v>
      </c>
      <c r="L3948" t="s">
        <v>347</v>
      </c>
    </row>
    <row r="3949" spans="1:12" x14ac:dyDescent="0.35">
      <c r="A3949" t="s">
        <v>3056</v>
      </c>
      <c r="B3949" s="1">
        <v>45720</v>
      </c>
      <c r="C3949" t="s">
        <v>7525</v>
      </c>
      <c r="F3949" t="s">
        <v>8524</v>
      </c>
      <c r="H3949" t="s">
        <v>3065</v>
      </c>
      <c r="K3949">
        <v>201700</v>
      </c>
      <c r="L3949" t="s">
        <v>6803</v>
      </c>
    </row>
    <row r="3950" spans="1:12" x14ac:dyDescent="0.35">
      <c r="A3950" t="s">
        <v>3056</v>
      </c>
      <c r="B3950" s="1">
        <v>45720</v>
      </c>
      <c r="C3950" t="s">
        <v>7525</v>
      </c>
      <c r="F3950" t="s">
        <v>7905</v>
      </c>
      <c r="H3950" t="s">
        <v>3065</v>
      </c>
      <c r="J3950">
        <v>200000</v>
      </c>
      <c r="L3950" t="s">
        <v>5953</v>
      </c>
    </row>
    <row r="3951" spans="1:12" x14ac:dyDescent="0.35">
      <c r="A3951" t="s">
        <v>3056</v>
      </c>
      <c r="B3951" s="1">
        <v>45720</v>
      </c>
      <c r="C3951" t="s">
        <v>7525</v>
      </c>
      <c r="F3951" t="s">
        <v>8050</v>
      </c>
      <c r="H3951" t="s">
        <v>3065</v>
      </c>
      <c r="J3951">
        <v>1700</v>
      </c>
      <c r="L3951" t="s">
        <v>347</v>
      </c>
    </row>
    <row r="3952" spans="1:12" x14ac:dyDescent="0.35">
      <c r="A3952" t="s">
        <v>3056</v>
      </c>
      <c r="B3952" s="1">
        <v>45720</v>
      </c>
      <c r="C3952" t="s">
        <v>7710</v>
      </c>
      <c r="E3952" t="s">
        <v>8526</v>
      </c>
      <c r="F3952" t="s">
        <v>8098</v>
      </c>
      <c r="H3952" t="s">
        <v>127</v>
      </c>
      <c r="K3952">
        <v>214760</v>
      </c>
      <c r="L3952" t="s">
        <v>6803</v>
      </c>
    </row>
    <row r="3953" spans="1:12" x14ac:dyDescent="0.35">
      <c r="A3953" t="s">
        <v>3056</v>
      </c>
      <c r="B3953" s="1">
        <v>45720</v>
      </c>
      <c r="C3953" t="s">
        <v>7710</v>
      </c>
      <c r="E3953" t="s">
        <v>8526</v>
      </c>
      <c r="F3953" t="s">
        <v>8524</v>
      </c>
      <c r="H3953" t="s">
        <v>127</v>
      </c>
      <c r="J3953">
        <v>214760</v>
      </c>
      <c r="L3953" t="s">
        <v>6803</v>
      </c>
    </row>
    <row r="3954" spans="1:12" x14ac:dyDescent="0.35">
      <c r="A3954" t="s">
        <v>3056</v>
      </c>
      <c r="B3954" s="1">
        <v>45721</v>
      </c>
      <c r="C3954" t="s">
        <v>7526</v>
      </c>
      <c r="F3954" t="s">
        <v>7597</v>
      </c>
      <c r="H3954" t="s">
        <v>3066</v>
      </c>
      <c r="J3954">
        <v>240000</v>
      </c>
      <c r="L3954" t="s">
        <v>6803</v>
      </c>
    </row>
    <row r="3955" spans="1:12" x14ac:dyDescent="0.35">
      <c r="A3955" t="s">
        <v>3056</v>
      </c>
      <c r="B3955" s="1">
        <v>45721</v>
      </c>
      <c r="C3955" t="s">
        <v>7526</v>
      </c>
      <c r="F3955" t="s">
        <v>8524</v>
      </c>
      <c r="H3955" t="s">
        <v>3066</v>
      </c>
      <c r="K3955">
        <v>242040</v>
      </c>
      <c r="L3955" t="s">
        <v>6803</v>
      </c>
    </row>
    <row r="3956" spans="1:12" x14ac:dyDescent="0.35">
      <c r="A3956" t="s">
        <v>3056</v>
      </c>
      <c r="B3956" s="1">
        <v>45721</v>
      </c>
      <c r="C3956" t="s">
        <v>7526</v>
      </c>
      <c r="F3956" t="s">
        <v>8050</v>
      </c>
      <c r="H3956" t="s">
        <v>3066</v>
      </c>
      <c r="J3956">
        <v>2040</v>
      </c>
      <c r="L3956" t="s">
        <v>347</v>
      </c>
    </row>
    <row r="3957" spans="1:12" x14ac:dyDescent="0.35">
      <c r="A3957" t="s">
        <v>3056</v>
      </c>
      <c r="B3957" s="1">
        <v>45722</v>
      </c>
      <c r="C3957" t="s">
        <v>7527</v>
      </c>
      <c r="F3957" t="s">
        <v>8524</v>
      </c>
      <c r="H3957" t="s">
        <v>3067</v>
      </c>
      <c r="K3957">
        <v>282380</v>
      </c>
      <c r="L3957" t="s">
        <v>6803</v>
      </c>
    </row>
    <row r="3958" spans="1:12" x14ac:dyDescent="0.35">
      <c r="A3958" t="s">
        <v>3056</v>
      </c>
      <c r="B3958" s="1">
        <v>45722</v>
      </c>
      <c r="C3958" t="s">
        <v>7527</v>
      </c>
      <c r="F3958" t="s">
        <v>7905</v>
      </c>
      <c r="H3958" t="s">
        <v>3067</v>
      </c>
      <c r="J3958">
        <v>280000</v>
      </c>
      <c r="L3958" t="s">
        <v>5953</v>
      </c>
    </row>
    <row r="3959" spans="1:12" x14ac:dyDescent="0.35">
      <c r="A3959" t="s">
        <v>3056</v>
      </c>
      <c r="B3959" s="1">
        <v>45722</v>
      </c>
      <c r="C3959" t="s">
        <v>7527</v>
      </c>
      <c r="F3959" t="s">
        <v>8050</v>
      </c>
      <c r="H3959" t="s">
        <v>3067</v>
      </c>
      <c r="J3959">
        <v>2380</v>
      </c>
      <c r="L3959" t="s">
        <v>347</v>
      </c>
    </row>
    <row r="3960" spans="1:12" x14ac:dyDescent="0.35">
      <c r="A3960" t="s">
        <v>3056</v>
      </c>
      <c r="B3960" s="1">
        <v>45722</v>
      </c>
      <c r="C3960" t="s">
        <v>7529</v>
      </c>
      <c r="F3960" t="s">
        <v>8524</v>
      </c>
      <c r="H3960" t="s">
        <v>3068</v>
      </c>
      <c r="K3960">
        <v>156318</v>
      </c>
      <c r="L3960" t="s">
        <v>6803</v>
      </c>
    </row>
    <row r="3961" spans="1:12" x14ac:dyDescent="0.35">
      <c r="A3961" t="s">
        <v>3056</v>
      </c>
      <c r="B3961" s="1">
        <v>45722</v>
      </c>
      <c r="C3961" t="s">
        <v>7529</v>
      </c>
      <c r="F3961" t="s">
        <v>8105</v>
      </c>
      <c r="H3961" t="s">
        <v>3068</v>
      </c>
      <c r="J3961">
        <v>155000</v>
      </c>
      <c r="L3961" t="s">
        <v>5878</v>
      </c>
    </row>
    <row r="3962" spans="1:12" x14ac:dyDescent="0.35">
      <c r="A3962" t="s">
        <v>3056</v>
      </c>
      <c r="B3962" s="1">
        <v>45722</v>
      </c>
      <c r="C3962" t="s">
        <v>7529</v>
      </c>
      <c r="F3962" t="s">
        <v>8050</v>
      </c>
      <c r="H3962" t="s">
        <v>3068</v>
      </c>
      <c r="J3962">
        <v>1318</v>
      </c>
      <c r="L3962" t="s">
        <v>347</v>
      </c>
    </row>
    <row r="3963" spans="1:12" x14ac:dyDescent="0.35">
      <c r="A3963" t="s">
        <v>3056</v>
      </c>
      <c r="B3963" s="1">
        <v>45722</v>
      </c>
      <c r="C3963" t="s">
        <v>7711</v>
      </c>
      <c r="E3963" t="s">
        <v>8527</v>
      </c>
      <c r="F3963" t="s">
        <v>8098</v>
      </c>
      <c r="H3963" t="s">
        <v>128</v>
      </c>
      <c r="K3963">
        <v>859040</v>
      </c>
      <c r="L3963" t="s">
        <v>6803</v>
      </c>
    </row>
    <row r="3964" spans="1:12" x14ac:dyDescent="0.35">
      <c r="A3964" t="s">
        <v>3056</v>
      </c>
      <c r="B3964" s="1">
        <v>45722</v>
      </c>
      <c r="C3964" t="s">
        <v>7711</v>
      </c>
      <c r="E3964" t="s">
        <v>8527</v>
      </c>
      <c r="F3964" t="s">
        <v>8524</v>
      </c>
      <c r="H3964" t="s">
        <v>128</v>
      </c>
      <c r="J3964">
        <v>859040</v>
      </c>
      <c r="L3964" t="s">
        <v>6803</v>
      </c>
    </row>
    <row r="3965" spans="1:12" x14ac:dyDescent="0.35">
      <c r="A3965" t="s">
        <v>3056</v>
      </c>
      <c r="B3965" s="1">
        <v>45722</v>
      </c>
      <c r="C3965" t="s">
        <v>7712</v>
      </c>
      <c r="E3965" t="s">
        <v>8528</v>
      </c>
      <c r="F3965" t="s">
        <v>8098</v>
      </c>
      <c r="H3965" t="s">
        <v>127</v>
      </c>
      <c r="K3965">
        <v>214760</v>
      </c>
      <c r="L3965" t="s">
        <v>6803</v>
      </c>
    </row>
    <row r="3966" spans="1:12" x14ac:dyDescent="0.35">
      <c r="A3966" t="s">
        <v>3056</v>
      </c>
      <c r="B3966" s="1">
        <v>45722</v>
      </c>
      <c r="C3966" t="s">
        <v>7712</v>
      </c>
      <c r="E3966" t="s">
        <v>8528</v>
      </c>
      <c r="F3966" t="s">
        <v>8524</v>
      </c>
      <c r="H3966" t="s">
        <v>127</v>
      </c>
      <c r="J3966">
        <v>214760</v>
      </c>
      <c r="L3966" t="s">
        <v>6803</v>
      </c>
    </row>
    <row r="3967" spans="1:12" x14ac:dyDescent="0.35">
      <c r="A3967" t="s">
        <v>3056</v>
      </c>
      <c r="B3967" s="1">
        <v>45723</v>
      </c>
      <c r="C3967" t="s">
        <v>7530</v>
      </c>
      <c r="F3967" t="s">
        <v>7514</v>
      </c>
      <c r="G3967" t="s">
        <v>7664</v>
      </c>
      <c r="H3967" t="s">
        <v>3069</v>
      </c>
      <c r="J3967">
        <v>205682</v>
      </c>
      <c r="L3967" t="s">
        <v>6803</v>
      </c>
    </row>
    <row r="3968" spans="1:12" x14ac:dyDescent="0.35">
      <c r="A3968" t="s">
        <v>3056</v>
      </c>
      <c r="B3968" s="1">
        <v>45723</v>
      </c>
      <c r="C3968" t="s">
        <v>7530</v>
      </c>
      <c r="F3968" t="s">
        <v>8524</v>
      </c>
      <c r="H3968" t="s">
        <v>3069</v>
      </c>
      <c r="K3968">
        <v>205682</v>
      </c>
      <c r="L3968" t="s">
        <v>6803</v>
      </c>
    </row>
    <row r="3969" spans="1:12" x14ac:dyDescent="0.35">
      <c r="A3969" t="s">
        <v>3056</v>
      </c>
      <c r="B3969" s="1">
        <v>45726</v>
      </c>
      <c r="C3969" t="s">
        <v>7807</v>
      </c>
      <c r="F3969" t="s">
        <v>8524</v>
      </c>
      <c r="H3969" t="s">
        <v>3070</v>
      </c>
      <c r="J3969">
        <v>10000000</v>
      </c>
      <c r="L3969" t="s">
        <v>6803</v>
      </c>
    </row>
    <row r="3970" spans="1:12" x14ac:dyDescent="0.35">
      <c r="A3970" t="s">
        <v>3056</v>
      </c>
      <c r="B3970" s="1">
        <v>45726</v>
      </c>
      <c r="C3970" t="s">
        <v>7807</v>
      </c>
      <c r="F3970" t="s">
        <v>7829</v>
      </c>
      <c r="H3970" t="s">
        <v>3070</v>
      </c>
      <c r="K3970">
        <v>10000000</v>
      </c>
      <c r="L3970" t="s">
        <v>6803</v>
      </c>
    </row>
    <row r="3971" spans="1:12" x14ac:dyDescent="0.35">
      <c r="A3971" t="s">
        <v>3056</v>
      </c>
      <c r="B3971" s="1">
        <v>45726</v>
      </c>
      <c r="C3971" t="s">
        <v>7672</v>
      </c>
      <c r="F3971" t="s">
        <v>8524</v>
      </c>
      <c r="H3971" t="s">
        <v>3071</v>
      </c>
      <c r="K3971">
        <v>3025500</v>
      </c>
      <c r="L3971" t="s">
        <v>6803</v>
      </c>
    </row>
    <row r="3972" spans="1:12" x14ac:dyDescent="0.35">
      <c r="A3972" t="s">
        <v>3056</v>
      </c>
      <c r="B3972" s="1">
        <v>45726</v>
      </c>
      <c r="C3972" t="s">
        <v>7672</v>
      </c>
      <c r="F3972" t="s">
        <v>7829</v>
      </c>
      <c r="H3972" t="s">
        <v>3071</v>
      </c>
      <c r="J3972">
        <v>3000000</v>
      </c>
      <c r="L3972" t="s">
        <v>6803</v>
      </c>
    </row>
    <row r="3973" spans="1:12" x14ac:dyDescent="0.35">
      <c r="A3973" t="s">
        <v>3056</v>
      </c>
      <c r="B3973" s="1">
        <v>45726</v>
      </c>
      <c r="C3973" t="s">
        <v>7672</v>
      </c>
      <c r="F3973" t="s">
        <v>8050</v>
      </c>
      <c r="H3973" t="s">
        <v>3071</v>
      </c>
      <c r="J3973">
        <v>25500</v>
      </c>
      <c r="L3973" t="s">
        <v>347</v>
      </c>
    </row>
    <row r="3974" spans="1:12" x14ac:dyDescent="0.35">
      <c r="A3974" t="s">
        <v>3056</v>
      </c>
      <c r="B3974" s="1">
        <v>45726</v>
      </c>
      <c r="C3974" t="s">
        <v>7772</v>
      </c>
      <c r="F3974" t="s">
        <v>8524</v>
      </c>
      <c r="H3974" t="s">
        <v>3072</v>
      </c>
      <c r="K3974">
        <v>1512750</v>
      </c>
      <c r="L3974" t="s">
        <v>6803</v>
      </c>
    </row>
    <row r="3975" spans="1:12" x14ac:dyDescent="0.35">
      <c r="A3975" t="s">
        <v>3056</v>
      </c>
      <c r="B3975" s="1">
        <v>45726</v>
      </c>
      <c r="C3975" t="s">
        <v>7772</v>
      </c>
      <c r="F3975" t="s">
        <v>7829</v>
      </c>
      <c r="H3975" t="s">
        <v>3072</v>
      </c>
      <c r="J3975">
        <v>1500000</v>
      </c>
      <c r="L3975" t="s">
        <v>6803</v>
      </c>
    </row>
    <row r="3976" spans="1:12" x14ac:dyDescent="0.35">
      <c r="A3976" t="s">
        <v>3056</v>
      </c>
      <c r="B3976" s="1">
        <v>45726</v>
      </c>
      <c r="C3976" t="s">
        <v>7772</v>
      </c>
      <c r="F3976" t="s">
        <v>8050</v>
      </c>
      <c r="H3976" t="s">
        <v>3072</v>
      </c>
      <c r="J3976">
        <v>12750</v>
      </c>
      <c r="L3976" t="s">
        <v>347</v>
      </c>
    </row>
    <row r="3977" spans="1:12" x14ac:dyDescent="0.35">
      <c r="A3977" t="s">
        <v>3056</v>
      </c>
      <c r="B3977" s="1">
        <v>45726</v>
      </c>
      <c r="C3977" t="s">
        <v>7809</v>
      </c>
      <c r="F3977" t="s">
        <v>7597</v>
      </c>
      <c r="H3977" t="s">
        <v>3073</v>
      </c>
      <c r="J3977">
        <v>109000</v>
      </c>
      <c r="L3977" t="s">
        <v>6803</v>
      </c>
    </row>
    <row r="3978" spans="1:12" x14ac:dyDescent="0.35">
      <c r="A3978" t="s">
        <v>3056</v>
      </c>
      <c r="B3978" s="1">
        <v>45726</v>
      </c>
      <c r="C3978" t="s">
        <v>7809</v>
      </c>
      <c r="F3978" t="s">
        <v>8524</v>
      </c>
      <c r="H3978" t="s">
        <v>3073</v>
      </c>
      <c r="K3978">
        <v>109926</v>
      </c>
      <c r="L3978" t="s">
        <v>6803</v>
      </c>
    </row>
    <row r="3979" spans="1:12" x14ac:dyDescent="0.35">
      <c r="A3979" t="s">
        <v>3056</v>
      </c>
      <c r="B3979" s="1">
        <v>45726</v>
      </c>
      <c r="C3979" t="s">
        <v>7809</v>
      </c>
      <c r="F3979" t="s">
        <v>8050</v>
      </c>
      <c r="H3979" t="s">
        <v>3073</v>
      </c>
      <c r="J3979">
        <v>926</v>
      </c>
      <c r="L3979" t="s">
        <v>347</v>
      </c>
    </row>
    <row r="3980" spans="1:12" x14ac:dyDescent="0.35">
      <c r="A3980" t="s">
        <v>3056</v>
      </c>
      <c r="B3980" s="1">
        <v>45726</v>
      </c>
      <c r="C3980" t="s">
        <v>7811</v>
      </c>
      <c r="F3980" t="s">
        <v>8521</v>
      </c>
      <c r="H3980" t="s">
        <v>3074</v>
      </c>
      <c r="J3980">
        <v>3495007</v>
      </c>
      <c r="L3980" t="s">
        <v>6803</v>
      </c>
    </row>
    <row r="3981" spans="1:12" x14ac:dyDescent="0.35">
      <c r="A3981" t="s">
        <v>3056</v>
      </c>
      <c r="B3981" s="1">
        <v>45726</v>
      </c>
      <c r="C3981" t="s">
        <v>7811</v>
      </c>
      <c r="F3981" t="s">
        <v>8524</v>
      </c>
      <c r="H3981" t="s">
        <v>3074</v>
      </c>
      <c r="K3981">
        <v>3524718</v>
      </c>
      <c r="L3981" t="s">
        <v>6803</v>
      </c>
    </row>
    <row r="3982" spans="1:12" x14ac:dyDescent="0.35">
      <c r="A3982" t="s">
        <v>3056</v>
      </c>
      <c r="B3982" s="1">
        <v>45726</v>
      </c>
      <c r="C3982" t="s">
        <v>7811</v>
      </c>
      <c r="F3982" t="s">
        <v>8050</v>
      </c>
      <c r="H3982" t="s">
        <v>3074</v>
      </c>
      <c r="J3982">
        <v>29711</v>
      </c>
      <c r="L3982" t="s">
        <v>347</v>
      </c>
    </row>
    <row r="3983" spans="1:12" x14ac:dyDescent="0.35">
      <c r="A3983" t="s">
        <v>3056</v>
      </c>
      <c r="B3983" s="1">
        <v>45726</v>
      </c>
      <c r="C3983" t="s">
        <v>7713</v>
      </c>
      <c r="E3983" t="s">
        <v>8529</v>
      </c>
      <c r="F3983" t="s">
        <v>8098</v>
      </c>
      <c r="H3983" t="s">
        <v>127</v>
      </c>
      <c r="K3983">
        <v>859040</v>
      </c>
      <c r="L3983" t="s">
        <v>6803</v>
      </c>
    </row>
    <row r="3984" spans="1:12" x14ac:dyDescent="0.35">
      <c r="A3984" t="s">
        <v>3056</v>
      </c>
      <c r="B3984" s="1">
        <v>45726</v>
      </c>
      <c r="C3984" t="s">
        <v>7713</v>
      </c>
      <c r="E3984" t="s">
        <v>8529</v>
      </c>
      <c r="F3984" t="s">
        <v>8524</v>
      </c>
      <c r="H3984" t="s">
        <v>127</v>
      </c>
      <c r="J3984">
        <v>859040</v>
      </c>
      <c r="L3984" t="s">
        <v>6803</v>
      </c>
    </row>
    <row r="3985" spans="1:12" x14ac:dyDescent="0.35">
      <c r="A3985" t="s">
        <v>3056</v>
      </c>
      <c r="B3985" s="1">
        <v>45727</v>
      </c>
      <c r="C3985" t="s">
        <v>7813</v>
      </c>
      <c r="F3985" t="s">
        <v>8524</v>
      </c>
      <c r="H3985" t="s">
        <v>3075</v>
      </c>
      <c r="K3985">
        <v>225904</v>
      </c>
      <c r="L3985" t="s">
        <v>6803</v>
      </c>
    </row>
    <row r="3986" spans="1:12" x14ac:dyDescent="0.35">
      <c r="A3986" t="s">
        <v>3056</v>
      </c>
      <c r="B3986" s="1">
        <v>45727</v>
      </c>
      <c r="C3986" t="s">
        <v>7813</v>
      </c>
      <c r="F3986" t="s">
        <v>8105</v>
      </c>
      <c r="H3986" t="s">
        <v>3075</v>
      </c>
      <c r="J3986">
        <v>224000</v>
      </c>
      <c r="L3986" t="s">
        <v>5879</v>
      </c>
    </row>
    <row r="3987" spans="1:12" x14ac:dyDescent="0.35">
      <c r="A3987" t="s">
        <v>3056</v>
      </c>
      <c r="B3987" s="1">
        <v>45727</v>
      </c>
      <c r="C3987" t="s">
        <v>7813</v>
      </c>
      <c r="F3987" t="s">
        <v>8050</v>
      </c>
      <c r="H3987" t="s">
        <v>3075</v>
      </c>
      <c r="J3987">
        <v>1904</v>
      </c>
      <c r="L3987" t="s">
        <v>347</v>
      </c>
    </row>
    <row r="3988" spans="1:12" x14ac:dyDescent="0.35">
      <c r="A3988" t="s">
        <v>3056</v>
      </c>
      <c r="B3988" s="1">
        <v>45727</v>
      </c>
      <c r="C3988" t="s">
        <v>7815</v>
      </c>
      <c r="F3988" t="s">
        <v>8524</v>
      </c>
      <c r="H3988" t="s">
        <v>3076</v>
      </c>
      <c r="K3988">
        <v>322384</v>
      </c>
      <c r="L3988" t="s">
        <v>6803</v>
      </c>
    </row>
    <row r="3989" spans="1:12" x14ac:dyDescent="0.35">
      <c r="A3989" t="s">
        <v>3056</v>
      </c>
      <c r="B3989" s="1">
        <v>45727</v>
      </c>
      <c r="C3989" t="s">
        <v>7815</v>
      </c>
      <c r="F3989" t="s">
        <v>8050</v>
      </c>
      <c r="H3989" t="s">
        <v>3076</v>
      </c>
      <c r="J3989">
        <v>2717</v>
      </c>
      <c r="L3989" t="s">
        <v>347</v>
      </c>
    </row>
    <row r="3990" spans="1:12" x14ac:dyDescent="0.35">
      <c r="A3990" t="s">
        <v>3056</v>
      </c>
      <c r="B3990" s="1">
        <v>45727</v>
      </c>
      <c r="C3990" t="s">
        <v>7815</v>
      </c>
      <c r="F3990" t="s">
        <v>8525</v>
      </c>
      <c r="H3990" t="s">
        <v>3076</v>
      </c>
      <c r="J3990">
        <v>319667</v>
      </c>
      <c r="L3990" t="s">
        <v>5912</v>
      </c>
    </row>
    <row r="3991" spans="1:12" x14ac:dyDescent="0.35">
      <c r="A3991" t="s">
        <v>3056</v>
      </c>
      <c r="B3991" s="1">
        <v>45728</v>
      </c>
      <c r="C3991" t="s">
        <v>7817</v>
      </c>
      <c r="F3991" t="s">
        <v>8524</v>
      </c>
      <c r="H3991" t="s">
        <v>3077</v>
      </c>
      <c r="K3991">
        <v>226912</v>
      </c>
      <c r="L3991" t="s">
        <v>6803</v>
      </c>
    </row>
    <row r="3992" spans="1:12" x14ac:dyDescent="0.35">
      <c r="A3992" t="s">
        <v>3056</v>
      </c>
      <c r="B3992" s="1">
        <v>45728</v>
      </c>
      <c r="C3992" t="s">
        <v>7817</v>
      </c>
      <c r="F3992" t="s">
        <v>7905</v>
      </c>
      <c r="H3992" t="s">
        <v>3077</v>
      </c>
      <c r="J3992">
        <v>225000</v>
      </c>
      <c r="L3992" t="s">
        <v>5953</v>
      </c>
    </row>
    <row r="3993" spans="1:12" x14ac:dyDescent="0.35">
      <c r="A3993" t="s">
        <v>3056</v>
      </c>
      <c r="B3993" s="1">
        <v>45728</v>
      </c>
      <c r="C3993" t="s">
        <v>7817</v>
      </c>
      <c r="F3993" t="s">
        <v>8050</v>
      </c>
      <c r="H3993" t="s">
        <v>3077</v>
      </c>
      <c r="J3993">
        <v>1912</v>
      </c>
      <c r="L3993" t="s">
        <v>347</v>
      </c>
    </row>
    <row r="3994" spans="1:12" x14ac:dyDescent="0.35">
      <c r="A3994" t="s">
        <v>3056</v>
      </c>
      <c r="B3994" s="1">
        <v>45729</v>
      </c>
      <c r="C3994" t="s">
        <v>7818</v>
      </c>
      <c r="F3994" t="s">
        <v>8524</v>
      </c>
      <c r="H3994" t="s">
        <v>3078</v>
      </c>
      <c r="K3994">
        <v>72612</v>
      </c>
      <c r="L3994" t="s">
        <v>6803</v>
      </c>
    </row>
    <row r="3995" spans="1:12" x14ac:dyDescent="0.35">
      <c r="A3995" t="s">
        <v>3056</v>
      </c>
      <c r="B3995" s="1">
        <v>45729</v>
      </c>
      <c r="C3995" t="s">
        <v>7818</v>
      </c>
      <c r="F3995" t="s">
        <v>7928</v>
      </c>
      <c r="H3995" t="s">
        <v>3078</v>
      </c>
      <c r="J3995">
        <v>72000</v>
      </c>
      <c r="L3995" t="s">
        <v>5941</v>
      </c>
    </row>
    <row r="3996" spans="1:12" x14ac:dyDescent="0.35">
      <c r="A3996" t="s">
        <v>3056</v>
      </c>
      <c r="B3996" s="1">
        <v>45729</v>
      </c>
      <c r="C3996" t="s">
        <v>7818</v>
      </c>
      <c r="F3996" t="s">
        <v>8050</v>
      </c>
      <c r="H3996" t="s">
        <v>3078</v>
      </c>
      <c r="J3996">
        <v>612</v>
      </c>
      <c r="L3996" t="s">
        <v>347</v>
      </c>
    </row>
    <row r="3997" spans="1:12" x14ac:dyDescent="0.35">
      <c r="A3997" t="s">
        <v>3056</v>
      </c>
      <c r="B3997" s="1">
        <v>45729</v>
      </c>
      <c r="C3997" t="s">
        <v>7531</v>
      </c>
      <c r="F3997" t="s">
        <v>8524</v>
      </c>
      <c r="H3997" t="s">
        <v>3079</v>
      </c>
      <c r="K3997">
        <v>35298</v>
      </c>
      <c r="L3997" t="s">
        <v>6803</v>
      </c>
    </row>
    <row r="3998" spans="1:12" x14ac:dyDescent="0.35">
      <c r="A3998" t="s">
        <v>3056</v>
      </c>
      <c r="B3998" s="1">
        <v>45729</v>
      </c>
      <c r="C3998" t="s">
        <v>7531</v>
      </c>
      <c r="F3998" t="s">
        <v>8105</v>
      </c>
      <c r="H3998" t="s">
        <v>3079</v>
      </c>
      <c r="J3998">
        <v>35000</v>
      </c>
      <c r="L3998" t="s">
        <v>5878</v>
      </c>
    </row>
    <row r="3999" spans="1:12" x14ac:dyDescent="0.35">
      <c r="A3999" t="s">
        <v>3056</v>
      </c>
      <c r="B3999" s="1">
        <v>45729</v>
      </c>
      <c r="C3999" t="s">
        <v>7531</v>
      </c>
      <c r="F3999" t="s">
        <v>8050</v>
      </c>
      <c r="H3999" t="s">
        <v>3079</v>
      </c>
      <c r="J3999">
        <v>298</v>
      </c>
      <c r="L3999" t="s">
        <v>347</v>
      </c>
    </row>
    <row r="4000" spans="1:12" x14ac:dyDescent="0.35">
      <c r="A4000" t="s">
        <v>3056</v>
      </c>
      <c r="B4000" s="1">
        <v>45729</v>
      </c>
      <c r="C4000" t="s">
        <v>7726</v>
      </c>
      <c r="E4000" t="s">
        <v>8530</v>
      </c>
      <c r="F4000" t="s">
        <v>8098</v>
      </c>
      <c r="H4000" t="s">
        <v>3080</v>
      </c>
      <c r="K4000">
        <v>429520</v>
      </c>
      <c r="L4000" t="s">
        <v>6803</v>
      </c>
    </row>
    <row r="4001" spans="1:12" x14ac:dyDescent="0.35">
      <c r="A4001" t="s">
        <v>3056</v>
      </c>
      <c r="B4001" s="1">
        <v>45729</v>
      </c>
      <c r="C4001" t="s">
        <v>7726</v>
      </c>
      <c r="E4001" t="s">
        <v>8530</v>
      </c>
      <c r="F4001" t="s">
        <v>8524</v>
      </c>
      <c r="H4001" t="s">
        <v>3080</v>
      </c>
      <c r="J4001">
        <v>429520</v>
      </c>
      <c r="L4001" t="s">
        <v>6803</v>
      </c>
    </row>
    <row r="4002" spans="1:12" x14ac:dyDescent="0.35">
      <c r="A4002" t="s">
        <v>3056</v>
      </c>
      <c r="B4002" s="1">
        <v>45730</v>
      </c>
      <c r="C4002" t="s">
        <v>7532</v>
      </c>
      <c r="F4002" t="s">
        <v>8524</v>
      </c>
      <c r="H4002" t="s">
        <v>3081</v>
      </c>
      <c r="K4002">
        <v>322720</v>
      </c>
      <c r="L4002" t="s">
        <v>6803</v>
      </c>
    </row>
    <row r="4003" spans="1:12" x14ac:dyDescent="0.35">
      <c r="A4003" t="s">
        <v>3056</v>
      </c>
      <c r="B4003" s="1">
        <v>45730</v>
      </c>
      <c r="C4003" t="s">
        <v>7532</v>
      </c>
      <c r="F4003" t="s">
        <v>8105</v>
      </c>
      <c r="H4003" t="s">
        <v>3081</v>
      </c>
      <c r="J4003">
        <v>320000</v>
      </c>
      <c r="L4003" t="s">
        <v>5883</v>
      </c>
    </row>
    <row r="4004" spans="1:12" x14ac:dyDescent="0.35">
      <c r="A4004" t="s">
        <v>3056</v>
      </c>
      <c r="B4004" s="1">
        <v>45730</v>
      </c>
      <c r="C4004" t="s">
        <v>7532</v>
      </c>
      <c r="F4004" t="s">
        <v>8050</v>
      </c>
      <c r="H4004" t="s">
        <v>3081</v>
      </c>
      <c r="J4004">
        <v>2720</v>
      </c>
      <c r="L4004" t="s">
        <v>347</v>
      </c>
    </row>
    <row r="4005" spans="1:12" x14ac:dyDescent="0.35">
      <c r="A4005" t="s">
        <v>3056</v>
      </c>
      <c r="B4005" s="1">
        <v>45730</v>
      </c>
      <c r="C4005" t="s">
        <v>7820</v>
      </c>
      <c r="F4005" t="s">
        <v>8524</v>
      </c>
      <c r="H4005" t="s">
        <v>3082</v>
      </c>
      <c r="K4005">
        <v>105892</v>
      </c>
      <c r="L4005" t="s">
        <v>6803</v>
      </c>
    </row>
    <row r="4006" spans="1:12" x14ac:dyDescent="0.35">
      <c r="A4006" t="s">
        <v>3056</v>
      </c>
      <c r="B4006" s="1">
        <v>45730</v>
      </c>
      <c r="C4006" t="s">
        <v>7820</v>
      </c>
      <c r="F4006" t="s">
        <v>8105</v>
      </c>
      <c r="H4006" t="s">
        <v>3082</v>
      </c>
      <c r="J4006">
        <v>105000</v>
      </c>
      <c r="L4006" t="s">
        <v>5873</v>
      </c>
    </row>
    <row r="4007" spans="1:12" x14ac:dyDescent="0.35">
      <c r="A4007" t="s">
        <v>3056</v>
      </c>
      <c r="B4007" s="1">
        <v>45730</v>
      </c>
      <c r="C4007" t="s">
        <v>7820</v>
      </c>
      <c r="F4007" t="s">
        <v>8050</v>
      </c>
      <c r="H4007" t="s">
        <v>3082</v>
      </c>
      <c r="J4007">
        <v>892</v>
      </c>
      <c r="L4007" t="s">
        <v>347</v>
      </c>
    </row>
    <row r="4008" spans="1:12" x14ac:dyDescent="0.35">
      <c r="A4008" t="s">
        <v>3056</v>
      </c>
      <c r="B4008" s="1">
        <v>45730</v>
      </c>
      <c r="C4008" t="s">
        <v>7773</v>
      </c>
      <c r="F4008" t="s">
        <v>8524</v>
      </c>
      <c r="H4008" t="s">
        <v>3083</v>
      </c>
      <c r="K4008">
        <v>311626</v>
      </c>
      <c r="L4008" t="s">
        <v>6803</v>
      </c>
    </row>
    <row r="4009" spans="1:12" x14ac:dyDescent="0.35">
      <c r="A4009" t="s">
        <v>3056</v>
      </c>
      <c r="B4009" s="1">
        <v>45730</v>
      </c>
      <c r="C4009" t="s">
        <v>7773</v>
      </c>
      <c r="F4009" t="s">
        <v>8105</v>
      </c>
      <c r="H4009" t="s">
        <v>3083</v>
      </c>
      <c r="J4009">
        <v>309000</v>
      </c>
      <c r="L4009" t="s">
        <v>5939</v>
      </c>
    </row>
    <row r="4010" spans="1:12" x14ac:dyDescent="0.35">
      <c r="A4010" t="s">
        <v>3056</v>
      </c>
      <c r="B4010" s="1">
        <v>45730</v>
      </c>
      <c r="C4010" t="s">
        <v>7773</v>
      </c>
      <c r="F4010" t="s">
        <v>8050</v>
      </c>
      <c r="H4010" t="s">
        <v>3083</v>
      </c>
      <c r="J4010">
        <v>2626</v>
      </c>
      <c r="L4010" t="s">
        <v>347</v>
      </c>
    </row>
    <row r="4011" spans="1:12" x14ac:dyDescent="0.35">
      <c r="A4011" t="s">
        <v>3056</v>
      </c>
      <c r="B4011" s="1">
        <v>45730</v>
      </c>
      <c r="C4011" t="s">
        <v>7689</v>
      </c>
      <c r="F4011" t="s">
        <v>8524</v>
      </c>
      <c r="H4011" t="s">
        <v>3084</v>
      </c>
      <c r="K4011">
        <v>121020</v>
      </c>
      <c r="L4011" t="s">
        <v>6803</v>
      </c>
    </row>
    <row r="4012" spans="1:12" x14ac:dyDescent="0.35">
      <c r="A4012" t="s">
        <v>3056</v>
      </c>
      <c r="B4012" s="1">
        <v>45730</v>
      </c>
      <c r="C4012" t="s">
        <v>7689</v>
      </c>
      <c r="F4012" t="s">
        <v>8105</v>
      </c>
      <c r="H4012" t="s">
        <v>3084</v>
      </c>
      <c r="J4012">
        <v>120000</v>
      </c>
      <c r="L4012" t="s">
        <v>5882</v>
      </c>
    </row>
    <row r="4013" spans="1:12" x14ac:dyDescent="0.35">
      <c r="A4013" t="s">
        <v>3056</v>
      </c>
      <c r="B4013" s="1">
        <v>45730</v>
      </c>
      <c r="C4013" t="s">
        <v>7689</v>
      </c>
      <c r="F4013" t="s">
        <v>8050</v>
      </c>
      <c r="H4013" t="s">
        <v>3084</v>
      </c>
      <c r="J4013">
        <v>1020</v>
      </c>
      <c r="L4013" t="s">
        <v>347</v>
      </c>
    </row>
    <row r="4014" spans="1:12" x14ac:dyDescent="0.35">
      <c r="A4014" t="s">
        <v>3056</v>
      </c>
      <c r="B4014" s="1">
        <v>45730</v>
      </c>
      <c r="C4014" t="s">
        <v>7706</v>
      </c>
      <c r="F4014" t="s">
        <v>7875</v>
      </c>
      <c r="H4014" t="s">
        <v>3085</v>
      </c>
      <c r="J4014">
        <v>100000</v>
      </c>
      <c r="L4014" t="s">
        <v>6803</v>
      </c>
    </row>
    <row r="4015" spans="1:12" x14ac:dyDescent="0.35">
      <c r="A4015" t="s">
        <v>3056</v>
      </c>
      <c r="B4015" s="1">
        <v>45730</v>
      </c>
      <c r="C4015" t="s">
        <v>7706</v>
      </c>
      <c r="F4015" t="s">
        <v>8524</v>
      </c>
      <c r="H4015" t="s">
        <v>3085</v>
      </c>
      <c r="K4015">
        <v>100850</v>
      </c>
      <c r="L4015" t="s">
        <v>6803</v>
      </c>
    </row>
    <row r="4016" spans="1:12" x14ac:dyDescent="0.35">
      <c r="A4016" t="s">
        <v>3056</v>
      </c>
      <c r="B4016" s="1">
        <v>45730</v>
      </c>
      <c r="C4016" t="s">
        <v>7706</v>
      </c>
      <c r="F4016" t="s">
        <v>8050</v>
      </c>
      <c r="H4016" t="s">
        <v>3085</v>
      </c>
      <c r="J4016">
        <v>850</v>
      </c>
      <c r="L4016" t="s">
        <v>347</v>
      </c>
    </row>
    <row r="4017" spans="1:12" x14ac:dyDescent="0.35">
      <c r="A4017" t="s">
        <v>3056</v>
      </c>
      <c r="B4017" s="1">
        <v>45735</v>
      </c>
      <c r="C4017" t="s">
        <v>7707</v>
      </c>
      <c r="F4017" t="s">
        <v>8524</v>
      </c>
      <c r="H4017" t="s">
        <v>3086</v>
      </c>
      <c r="K4017">
        <v>504250</v>
      </c>
      <c r="L4017" t="s">
        <v>6803</v>
      </c>
    </row>
    <row r="4018" spans="1:12" x14ac:dyDescent="0.35">
      <c r="A4018" t="s">
        <v>3056</v>
      </c>
      <c r="B4018" s="1">
        <v>45735</v>
      </c>
      <c r="C4018" t="s">
        <v>7707</v>
      </c>
      <c r="F4018" t="s">
        <v>7829</v>
      </c>
      <c r="H4018" t="s">
        <v>3086</v>
      </c>
      <c r="J4018">
        <v>500000</v>
      </c>
      <c r="L4018" t="s">
        <v>6803</v>
      </c>
    </row>
    <row r="4019" spans="1:12" x14ac:dyDescent="0.35">
      <c r="A4019" t="s">
        <v>3056</v>
      </c>
      <c r="B4019" s="1">
        <v>45735</v>
      </c>
      <c r="C4019" t="s">
        <v>7707</v>
      </c>
      <c r="F4019" t="s">
        <v>8050</v>
      </c>
      <c r="H4019" t="s">
        <v>3086</v>
      </c>
      <c r="J4019">
        <v>4250</v>
      </c>
      <c r="L4019" t="s">
        <v>347</v>
      </c>
    </row>
    <row r="4020" spans="1:12" x14ac:dyDescent="0.35">
      <c r="A4020" t="s">
        <v>3056</v>
      </c>
      <c r="B4020" s="1">
        <v>45735</v>
      </c>
      <c r="C4020" t="s">
        <v>7708</v>
      </c>
      <c r="F4020" t="s">
        <v>8524</v>
      </c>
      <c r="H4020" t="s">
        <v>3087</v>
      </c>
      <c r="K4020">
        <v>1008500</v>
      </c>
      <c r="L4020" t="s">
        <v>6803</v>
      </c>
    </row>
    <row r="4021" spans="1:12" x14ac:dyDescent="0.35">
      <c r="A4021" t="s">
        <v>3056</v>
      </c>
      <c r="B4021" s="1">
        <v>45735</v>
      </c>
      <c r="C4021" t="s">
        <v>7708</v>
      </c>
      <c r="F4021" t="s">
        <v>7829</v>
      </c>
      <c r="H4021" t="s">
        <v>3087</v>
      </c>
      <c r="J4021">
        <v>1000000</v>
      </c>
      <c r="L4021" t="s">
        <v>6803</v>
      </c>
    </row>
    <row r="4022" spans="1:12" x14ac:dyDescent="0.35">
      <c r="A4022" t="s">
        <v>3056</v>
      </c>
      <c r="B4022" s="1">
        <v>45735</v>
      </c>
      <c r="C4022" t="s">
        <v>7708</v>
      </c>
      <c r="F4022" t="s">
        <v>8050</v>
      </c>
      <c r="H4022" t="s">
        <v>3087</v>
      </c>
      <c r="J4022">
        <v>8500</v>
      </c>
      <c r="L4022" t="s">
        <v>347</v>
      </c>
    </row>
    <row r="4023" spans="1:12" x14ac:dyDescent="0.35">
      <c r="A4023" t="s">
        <v>3056</v>
      </c>
      <c r="B4023" s="1">
        <v>45735</v>
      </c>
      <c r="C4023" t="s">
        <v>7792</v>
      </c>
      <c r="E4023" t="s">
        <v>8531</v>
      </c>
      <c r="F4023" t="s">
        <v>8098</v>
      </c>
      <c r="H4023" t="s">
        <v>3080</v>
      </c>
      <c r="K4023">
        <v>429520</v>
      </c>
      <c r="L4023" t="s">
        <v>6803</v>
      </c>
    </row>
    <row r="4024" spans="1:12" x14ac:dyDescent="0.35">
      <c r="A4024" t="s">
        <v>3056</v>
      </c>
      <c r="B4024" s="1">
        <v>45735</v>
      </c>
      <c r="C4024" t="s">
        <v>7792</v>
      </c>
      <c r="E4024" t="s">
        <v>8531</v>
      </c>
      <c r="F4024" t="s">
        <v>8524</v>
      </c>
      <c r="H4024" t="s">
        <v>3080</v>
      </c>
      <c r="J4024">
        <v>429520</v>
      </c>
      <c r="L4024" t="s">
        <v>6803</v>
      </c>
    </row>
    <row r="4025" spans="1:12" x14ac:dyDescent="0.35">
      <c r="A4025" t="s">
        <v>3056</v>
      </c>
      <c r="B4025" s="1">
        <v>45736</v>
      </c>
      <c r="C4025" t="s">
        <v>7822</v>
      </c>
      <c r="E4025" t="s">
        <v>8532</v>
      </c>
      <c r="F4025" t="s">
        <v>8098</v>
      </c>
      <c r="H4025" t="s">
        <v>127</v>
      </c>
      <c r="K4025">
        <v>644280</v>
      </c>
      <c r="L4025" t="s">
        <v>6803</v>
      </c>
    </row>
    <row r="4026" spans="1:12" x14ac:dyDescent="0.35">
      <c r="A4026" t="s">
        <v>3056</v>
      </c>
      <c r="B4026" s="1">
        <v>45736</v>
      </c>
      <c r="C4026" t="s">
        <v>7822</v>
      </c>
      <c r="E4026" t="s">
        <v>8532</v>
      </c>
      <c r="F4026" t="s">
        <v>8524</v>
      </c>
      <c r="H4026" t="s">
        <v>127</v>
      </c>
      <c r="J4026">
        <v>644280</v>
      </c>
      <c r="L4026" t="s">
        <v>6803</v>
      </c>
    </row>
    <row r="4027" spans="1:12" x14ac:dyDescent="0.35">
      <c r="A4027" t="s">
        <v>3056</v>
      </c>
      <c r="B4027" s="1">
        <v>45736</v>
      </c>
      <c r="C4027" t="s">
        <v>7539</v>
      </c>
      <c r="F4027" t="s">
        <v>8524</v>
      </c>
      <c r="H4027" t="s">
        <v>3088</v>
      </c>
      <c r="K4027">
        <v>45382</v>
      </c>
      <c r="L4027" t="s">
        <v>6803</v>
      </c>
    </row>
    <row r="4028" spans="1:12" x14ac:dyDescent="0.35">
      <c r="A4028" t="s">
        <v>3056</v>
      </c>
      <c r="B4028" s="1">
        <v>45736</v>
      </c>
      <c r="C4028" t="s">
        <v>7539</v>
      </c>
      <c r="F4028" t="s">
        <v>8105</v>
      </c>
      <c r="H4028" t="s">
        <v>3088</v>
      </c>
      <c r="J4028">
        <v>45000</v>
      </c>
      <c r="L4028" t="s">
        <v>5879</v>
      </c>
    </row>
    <row r="4029" spans="1:12" x14ac:dyDescent="0.35">
      <c r="A4029" t="s">
        <v>3056</v>
      </c>
      <c r="B4029" s="1">
        <v>45736</v>
      </c>
      <c r="C4029" t="s">
        <v>7539</v>
      </c>
      <c r="F4029" t="s">
        <v>8050</v>
      </c>
      <c r="H4029" t="s">
        <v>3088</v>
      </c>
      <c r="J4029">
        <v>382</v>
      </c>
      <c r="L4029" t="s">
        <v>347</v>
      </c>
    </row>
    <row r="4030" spans="1:12" x14ac:dyDescent="0.35">
      <c r="A4030" t="s">
        <v>3056</v>
      </c>
      <c r="B4030" s="1">
        <v>45736</v>
      </c>
      <c r="C4030" t="s">
        <v>7541</v>
      </c>
      <c r="F4030" t="s">
        <v>8524</v>
      </c>
      <c r="H4030" t="s">
        <v>3089</v>
      </c>
      <c r="K4030">
        <v>45382</v>
      </c>
      <c r="L4030" t="s">
        <v>6803</v>
      </c>
    </row>
    <row r="4031" spans="1:12" x14ac:dyDescent="0.35">
      <c r="A4031" t="s">
        <v>3056</v>
      </c>
      <c r="B4031" s="1">
        <v>45736</v>
      </c>
      <c r="C4031" t="s">
        <v>7541</v>
      </c>
      <c r="F4031" t="s">
        <v>7905</v>
      </c>
      <c r="H4031" t="s">
        <v>3089</v>
      </c>
      <c r="J4031">
        <v>45000</v>
      </c>
      <c r="L4031" t="s">
        <v>5944</v>
      </c>
    </row>
    <row r="4032" spans="1:12" x14ac:dyDescent="0.35">
      <c r="A4032" t="s">
        <v>3056</v>
      </c>
      <c r="B4032" s="1">
        <v>45736</v>
      </c>
      <c r="C4032" t="s">
        <v>7541</v>
      </c>
      <c r="F4032" t="s">
        <v>8050</v>
      </c>
      <c r="H4032" t="s">
        <v>3089</v>
      </c>
      <c r="J4032">
        <v>382</v>
      </c>
      <c r="L4032" t="s">
        <v>347</v>
      </c>
    </row>
    <row r="4033" spans="1:12" x14ac:dyDescent="0.35">
      <c r="A4033" t="s">
        <v>3056</v>
      </c>
      <c r="B4033" s="1">
        <v>45736</v>
      </c>
      <c r="C4033" t="s">
        <v>7543</v>
      </c>
      <c r="F4033" t="s">
        <v>8524</v>
      </c>
      <c r="H4033" t="s">
        <v>3090</v>
      </c>
      <c r="K4033">
        <v>121020</v>
      </c>
      <c r="L4033" t="s">
        <v>6803</v>
      </c>
    </row>
    <row r="4034" spans="1:12" x14ac:dyDescent="0.35">
      <c r="A4034" t="s">
        <v>3056</v>
      </c>
      <c r="B4034" s="1">
        <v>45736</v>
      </c>
      <c r="C4034" t="s">
        <v>7543</v>
      </c>
      <c r="F4034" t="s">
        <v>8105</v>
      </c>
      <c r="H4034" t="s">
        <v>3090</v>
      </c>
      <c r="J4034">
        <v>120000</v>
      </c>
      <c r="L4034" t="s">
        <v>5932</v>
      </c>
    </row>
    <row r="4035" spans="1:12" x14ac:dyDescent="0.35">
      <c r="A4035" t="s">
        <v>3056</v>
      </c>
      <c r="B4035" s="1">
        <v>45736</v>
      </c>
      <c r="C4035" t="s">
        <v>7543</v>
      </c>
      <c r="F4035" t="s">
        <v>8050</v>
      </c>
      <c r="H4035" t="s">
        <v>3090</v>
      </c>
      <c r="J4035">
        <v>1020</v>
      </c>
      <c r="L4035" t="s">
        <v>347</v>
      </c>
    </row>
    <row r="4036" spans="1:12" x14ac:dyDescent="0.35">
      <c r="A4036" t="s">
        <v>3056</v>
      </c>
      <c r="B4036" s="1">
        <v>45736</v>
      </c>
      <c r="C4036" t="s">
        <v>7545</v>
      </c>
      <c r="F4036" t="s">
        <v>8524</v>
      </c>
      <c r="H4036" t="s">
        <v>3091</v>
      </c>
      <c r="K4036">
        <v>216828</v>
      </c>
      <c r="L4036" t="s">
        <v>6803</v>
      </c>
    </row>
    <row r="4037" spans="1:12" x14ac:dyDescent="0.35">
      <c r="A4037" t="s">
        <v>3056</v>
      </c>
      <c r="B4037" s="1">
        <v>45736</v>
      </c>
      <c r="C4037" t="s">
        <v>7545</v>
      </c>
      <c r="F4037" t="s">
        <v>8105</v>
      </c>
      <c r="H4037" t="s">
        <v>3091</v>
      </c>
      <c r="J4037">
        <v>215000</v>
      </c>
      <c r="L4037" t="s">
        <v>5873</v>
      </c>
    </row>
    <row r="4038" spans="1:12" x14ac:dyDescent="0.35">
      <c r="A4038" t="s">
        <v>3056</v>
      </c>
      <c r="B4038" s="1">
        <v>45736</v>
      </c>
      <c r="C4038" t="s">
        <v>7545</v>
      </c>
      <c r="F4038" t="s">
        <v>8050</v>
      </c>
      <c r="H4038" t="s">
        <v>3091</v>
      </c>
      <c r="J4038">
        <v>1828</v>
      </c>
      <c r="L4038" t="s">
        <v>347</v>
      </c>
    </row>
    <row r="4039" spans="1:12" x14ac:dyDescent="0.35">
      <c r="A4039" t="s">
        <v>3056</v>
      </c>
      <c r="B4039" s="1">
        <v>45736</v>
      </c>
      <c r="C4039" t="s">
        <v>7547</v>
      </c>
      <c r="F4039" t="s">
        <v>8524</v>
      </c>
      <c r="H4039" t="s">
        <v>3092</v>
      </c>
      <c r="K4039">
        <v>50425</v>
      </c>
      <c r="L4039" t="s">
        <v>6803</v>
      </c>
    </row>
    <row r="4040" spans="1:12" x14ac:dyDescent="0.35">
      <c r="A4040" t="s">
        <v>3056</v>
      </c>
      <c r="B4040" s="1">
        <v>45736</v>
      </c>
      <c r="C4040" t="s">
        <v>7547</v>
      </c>
      <c r="F4040" t="s">
        <v>8105</v>
      </c>
      <c r="H4040" t="s">
        <v>3092</v>
      </c>
      <c r="J4040">
        <v>50000</v>
      </c>
      <c r="L4040" t="s">
        <v>5882</v>
      </c>
    </row>
    <row r="4041" spans="1:12" x14ac:dyDescent="0.35">
      <c r="A4041" t="s">
        <v>3056</v>
      </c>
      <c r="B4041" s="1">
        <v>45736</v>
      </c>
      <c r="C4041" t="s">
        <v>7547</v>
      </c>
      <c r="F4041" t="s">
        <v>8050</v>
      </c>
      <c r="H4041" t="s">
        <v>3092</v>
      </c>
      <c r="J4041">
        <v>425</v>
      </c>
      <c r="L4041" t="s">
        <v>347</v>
      </c>
    </row>
    <row r="4042" spans="1:12" x14ac:dyDescent="0.35">
      <c r="A4042" t="s">
        <v>3056</v>
      </c>
      <c r="B4042" s="1">
        <v>45736</v>
      </c>
      <c r="C4042" t="s">
        <v>7328</v>
      </c>
      <c r="F4042" t="s">
        <v>8098</v>
      </c>
      <c r="H4042" t="s">
        <v>3093</v>
      </c>
      <c r="K4042">
        <v>15000000</v>
      </c>
      <c r="L4042" t="s">
        <v>6803</v>
      </c>
    </row>
    <row r="4043" spans="1:12" x14ac:dyDescent="0.35">
      <c r="A4043" t="s">
        <v>3056</v>
      </c>
      <c r="B4043" s="1">
        <v>45736</v>
      </c>
      <c r="C4043" t="s">
        <v>7328</v>
      </c>
      <c r="F4043" t="s">
        <v>8524</v>
      </c>
      <c r="H4043" t="s">
        <v>3093</v>
      </c>
      <c r="J4043">
        <v>15000000</v>
      </c>
      <c r="L4043" t="s">
        <v>6803</v>
      </c>
    </row>
    <row r="4044" spans="1:12" x14ac:dyDescent="0.35">
      <c r="A4044" t="s">
        <v>3056</v>
      </c>
      <c r="B4044" s="1">
        <v>45737</v>
      </c>
      <c r="C4044" t="s">
        <v>7673</v>
      </c>
      <c r="F4044" t="s">
        <v>8524</v>
      </c>
      <c r="H4044" t="s">
        <v>3094</v>
      </c>
      <c r="K4044">
        <v>302550</v>
      </c>
      <c r="L4044" t="s">
        <v>6803</v>
      </c>
    </row>
    <row r="4045" spans="1:12" x14ac:dyDescent="0.35">
      <c r="A4045" t="s">
        <v>3056</v>
      </c>
      <c r="B4045" s="1">
        <v>45737</v>
      </c>
      <c r="C4045" t="s">
        <v>7673</v>
      </c>
      <c r="F4045" t="s">
        <v>7905</v>
      </c>
      <c r="H4045" t="s">
        <v>3094</v>
      </c>
      <c r="J4045">
        <v>300000</v>
      </c>
      <c r="L4045" t="s">
        <v>5953</v>
      </c>
    </row>
    <row r="4046" spans="1:12" x14ac:dyDescent="0.35">
      <c r="A4046" t="s">
        <v>3056</v>
      </c>
      <c r="B4046" s="1">
        <v>45737</v>
      </c>
      <c r="C4046" t="s">
        <v>7673</v>
      </c>
      <c r="F4046" t="s">
        <v>8050</v>
      </c>
      <c r="H4046" t="s">
        <v>3094</v>
      </c>
      <c r="J4046">
        <v>2550</v>
      </c>
      <c r="L4046" t="s">
        <v>347</v>
      </c>
    </row>
    <row r="4047" spans="1:12" x14ac:dyDescent="0.35">
      <c r="A4047" t="s">
        <v>3056</v>
      </c>
      <c r="B4047" s="1">
        <v>45737</v>
      </c>
      <c r="C4047" t="s">
        <v>7793</v>
      </c>
      <c r="F4047" t="s">
        <v>8524</v>
      </c>
      <c r="H4047" t="s">
        <v>3087</v>
      </c>
      <c r="K4047">
        <v>1008500</v>
      </c>
      <c r="L4047" t="s">
        <v>6803</v>
      </c>
    </row>
    <row r="4048" spans="1:12" x14ac:dyDescent="0.35">
      <c r="A4048" t="s">
        <v>3056</v>
      </c>
      <c r="B4048" s="1">
        <v>45737</v>
      </c>
      <c r="C4048" t="s">
        <v>7793</v>
      </c>
      <c r="F4048" t="s">
        <v>7829</v>
      </c>
      <c r="H4048" t="s">
        <v>3087</v>
      </c>
      <c r="J4048">
        <v>1000000</v>
      </c>
      <c r="L4048" t="s">
        <v>6803</v>
      </c>
    </row>
    <row r="4049" spans="1:12" x14ac:dyDescent="0.35">
      <c r="A4049" t="s">
        <v>3056</v>
      </c>
      <c r="B4049" s="1">
        <v>45737</v>
      </c>
      <c r="C4049" t="s">
        <v>7793</v>
      </c>
      <c r="F4049" t="s">
        <v>8050</v>
      </c>
      <c r="H4049" t="s">
        <v>3087</v>
      </c>
      <c r="J4049">
        <v>8500</v>
      </c>
      <c r="L4049" t="s">
        <v>347</v>
      </c>
    </row>
    <row r="4050" spans="1:12" x14ac:dyDescent="0.35">
      <c r="A4050" t="s">
        <v>3056</v>
      </c>
      <c r="B4050" s="1">
        <v>45737</v>
      </c>
      <c r="C4050" t="s">
        <v>7838</v>
      </c>
      <c r="F4050" t="s">
        <v>8521</v>
      </c>
      <c r="H4050" t="s">
        <v>3095</v>
      </c>
      <c r="J4050">
        <v>13420091</v>
      </c>
      <c r="L4050" t="s">
        <v>6803</v>
      </c>
    </row>
    <row r="4051" spans="1:12" x14ac:dyDescent="0.35">
      <c r="A4051" t="s">
        <v>3056</v>
      </c>
      <c r="B4051" s="1">
        <v>45737</v>
      </c>
      <c r="C4051" t="s">
        <v>7838</v>
      </c>
      <c r="F4051" t="s">
        <v>8524</v>
      </c>
      <c r="H4051" t="s">
        <v>3095</v>
      </c>
      <c r="K4051">
        <v>13534173</v>
      </c>
      <c r="L4051" t="s">
        <v>6803</v>
      </c>
    </row>
    <row r="4052" spans="1:12" x14ac:dyDescent="0.35">
      <c r="A4052" t="s">
        <v>3056</v>
      </c>
      <c r="B4052" s="1">
        <v>45737</v>
      </c>
      <c r="C4052" t="s">
        <v>7838</v>
      </c>
      <c r="F4052" t="s">
        <v>8050</v>
      </c>
      <c r="H4052" t="s">
        <v>3095</v>
      </c>
      <c r="J4052">
        <v>114082</v>
      </c>
      <c r="L4052" t="s">
        <v>347</v>
      </c>
    </row>
    <row r="4053" spans="1:12" x14ac:dyDescent="0.35">
      <c r="A4053" t="s">
        <v>3056</v>
      </c>
      <c r="B4053" s="1">
        <v>45740</v>
      </c>
      <c r="C4053" t="s">
        <v>7533</v>
      </c>
      <c r="E4053" t="s">
        <v>8533</v>
      </c>
      <c r="F4053" t="s">
        <v>8098</v>
      </c>
      <c r="H4053" t="s">
        <v>130</v>
      </c>
      <c r="K4053">
        <v>214760</v>
      </c>
      <c r="L4053" t="s">
        <v>6803</v>
      </c>
    </row>
    <row r="4054" spans="1:12" x14ac:dyDescent="0.35">
      <c r="A4054" t="s">
        <v>3056</v>
      </c>
      <c r="B4054" s="1">
        <v>45740</v>
      </c>
      <c r="C4054" t="s">
        <v>7533</v>
      </c>
      <c r="E4054" t="s">
        <v>8533</v>
      </c>
      <c r="F4054" t="s">
        <v>8524</v>
      </c>
      <c r="H4054" t="s">
        <v>130</v>
      </c>
      <c r="J4054">
        <v>214760</v>
      </c>
      <c r="L4054" t="s">
        <v>6803</v>
      </c>
    </row>
    <row r="4055" spans="1:12" x14ac:dyDescent="0.35">
      <c r="A4055" t="s">
        <v>3056</v>
      </c>
      <c r="B4055" s="1">
        <v>45740</v>
      </c>
      <c r="C4055" t="s">
        <v>7839</v>
      </c>
      <c r="F4055" t="s">
        <v>6804</v>
      </c>
      <c r="G4055" t="s">
        <v>7097</v>
      </c>
      <c r="H4055" t="s">
        <v>3096</v>
      </c>
      <c r="J4055">
        <v>300000</v>
      </c>
      <c r="L4055" t="s">
        <v>6803</v>
      </c>
    </row>
    <row r="4056" spans="1:12" x14ac:dyDescent="0.35">
      <c r="A4056" t="s">
        <v>3056</v>
      </c>
      <c r="B4056" s="1">
        <v>45740</v>
      </c>
      <c r="C4056" t="s">
        <v>7839</v>
      </c>
      <c r="F4056" t="s">
        <v>8524</v>
      </c>
      <c r="H4056" t="s">
        <v>3096</v>
      </c>
      <c r="K4056">
        <v>302550</v>
      </c>
      <c r="L4056" t="s">
        <v>6803</v>
      </c>
    </row>
    <row r="4057" spans="1:12" x14ac:dyDescent="0.35">
      <c r="A4057" t="s">
        <v>3056</v>
      </c>
      <c r="B4057" s="1">
        <v>45740</v>
      </c>
      <c r="C4057" t="s">
        <v>7839</v>
      </c>
      <c r="F4057" t="s">
        <v>8050</v>
      </c>
      <c r="H4057" t="s">
        <v>3096</v>
      </c>
      <c r="J4057">
        <v>2550</v>
      </c>
      <c r="L4057" t="s">
        <v>347</v>
      </c>
    </row>
    <row r="4058" spans="1:12" x14ac:dyDescent="0.35">
      <c r="A4058" t="s">
        <v>3056</v>
      </c>
      <c r="B4058" s="1">
        <v>45740</v>
      </c>
      <c r="C4058" t="s">
        <v>7846</v>
      </c>
      <c r="F4058" t="s">
        <v>7597</v>
      </c>
      <c r="H4058" t="s">
        <v>3097</v>
      </c>
      <c r="J4058">
        <v>118073</v>
      </c>
      <c r="L4058" t="s">
        <v>6803</v>
      </c>
    </row>
    <row r="4059" spans="1:12" x14ac:dyDescent="0.35">
      <c r="A4059" t="s">
        <v>3056</v>
      </c>
      <c r="B4059" s="1">
        <v>45740</v>
      </c>
      <c r="C4059" t="s">
        <v>7846</v>
      </c>
      <c r="F4059" t="s">
        <v>8524</v>
      </c>
      <c r="H4059" t="s">
        <v>3097</v>
      </c>
      <c r="K4059">
        <v>118073</v>
      </c>
      <c r="L4059" t="s">
        <v>6803</v>
      </c>
    </row>
    <row r="4060" spans="1:12" x14ac:dyDescent="0.35">
      <c r="A4060" t="s">
        <v>3056</v>
      </c>
      <c r="B4060" s="1">
        <v>45740</v>
      </c>
      <c r="C4060" t="s">
        <v>7850</v>
      </c>
      <c r="F4060" t="s">
        <v>8524</v>
      </c>
      <c r="H4060" t="s">
        <v>3098</v>
      </c>
      <c r="K4060">
        <v>146232</v>
      </c>
      <c r="L4060" t="s">
        <v>6803</v>
      </c>
    </row>
    <row r="4061" spans="1:12" x14ac:dyDescent="0.35">
      <c r="A4061" t="s">
        <v>3056</v>
      </c>
      <c r="B4061" s="1">
        <v>45740</v>
      </c>
      <c r="C4061" t="s">
        <v>7850</v>
      </c>
      <c r="F4061" t="s">
        <v>8105</v>
      </c>
      <c r="H4061" t="s">
        <v>3099</v>
      </c>
      <c r="J4061">
        <v>70000</v>
      </c>
      <c r="L4061" t="s">
        <v>5878</v>
      </c>
    </row>
    <row r="4062" spans="1:12" x14ac:dyDescent="0.35">
      <c r="A4062" t="s">
        <v>3056</v>
      </c>
      <c r="B4062" s="1">
        <v>45740</v>
      </c>
      <c r="C4062" t="s">
        <v>7850</v>
      </c>
      <c r="F4062" t="s">
        <v>7928</v>
      </c>
      <c r="H4062" t="s">
        <v>3100</v>
      </c>
      <c r="J4062">
        <v>75000</v>
      </c>
      <c r="L4062" t="s">
        <v>5878</v>
      </c>
    </row>
    <row r="4063" spans="1:12" x14ac:dyDescent="0.35">
      <c r="A4063" t="s">
        <v>3056</v>
      </c>
      <c r="B4063" s="1">
        <v>45740</v>
      </c>
      <c r="C4063" t="s">
        <v>7850</v>
      </c>
      <c r="F4063" t="s">
        <v>8050</v>
      </c>
      <c r="H4063" t="s">
        <v>3098</v>
      </c>
      <c r="J4063">
        <v>1232</v>
      </c>
      <c r="L4063" t="s">
        <v>347</v>
      </c>
    </row>
    <row r="4064" spans="1:12" x14ac:dyDescent="0.35">
      <c r="A4064" t="s">
        <v>3056</v>
      </c>
      <c r="B4064" s="1">
        <v>45740</v>
      </c>
      <c r="C4064" t="s">
        <v>7848</v>
      </c>
      <c r="F4064" t="s">
        <v>8524</v>
      </c>
      <c r="H4064" t="s">
        <v>3101</v>
      </c>
      <c r="K4064">
        <v>45382</v>
      </c>
      <c r="L4064" t="s">
        <v>6803</v>
      </c>
    </row>
    <row r="4065" spans="1:12" x14ac:dyDescent="0.35">
      <c r="A4065" t="s">
        <v>3056</v>
      </c>
      <c r="B4065" s="1">
        <v>45740</v>
      </c>
      <c r="C4065" t="s">
        <v>7848</v>
      </c>
      <c r="F4065" t="s">
        <v>7905</v>
      </c>
      <c r="H4065" t="s">
        <v>3101</v>
      </c>
      <c r="J4065">
        <v>45000</v>
      </c>
      <c r="L4065" t="s">
        <v>5957</v>
      </c>
    </row>
    <row r="4066" spans="1:12" x14ac:dyDescent="0.35">
      <c r="A4066" t="s">
        <v>3056</v>
      </c>
      <c r="B4066" s="1">
        <v>45740</v>
      </c>
      <c r="C4066" t="s">
        <v>7848</v>
      </c>
      <c r="F4066" t="s">
        <v>8050</v>
      </c>
      <c r="H4066" t="s">
        <v>3101</v>
      </c>
      <c r="J4066">
        <v>382</v>
      </c>
      <c r="L4066" t="s">
        <v>347</v>
      </c>
    </row>
    <row r="4067" spans="1:12" x14ac:dyDescent="0.35">
      <c r="A4067" t="s">
        <v>3056</v>
      </c>
      <c r="B4067" s="1">
        <v>45740</v>
      </c>
      <c r="C4067" t="s">
        <v>7849</v>
      </c>
      <c r="F4067" t="s">
        <v>8524</v>
      </c>
      <c r="H4067" t="s">
        <v>3102</v>
      </c>
      <c r="K4067">
        <v>45382</v>
      </c>
      <c r="L4067" t="s">
        <v>6803</v>
      </c>
    </row>
    <row r="4068" spans="1:12" x14ac:dyDescent="0.35">
      <c r="A4068" t="s">
        <v>3056</v>
      </c>
      <c r="B4068" s="1">
        <v>45740</v>
      </c>
      <c r="C4068" t="s">
        <v>7849</v>
      </c>
      <c r="F4068" t="s">
        <v>7905</v>
      </c>
      <c r="H4068" t="s">
        <v>3102</v>
      </c>
      <c r="J4068">
        <v>45000</v>
      </c>
      <c r="L4068" t="s">
        <v>5957</v>
      </c>
    </row>
    <row r="4069" spans="1:12" x14ac:dyDescent="0.35">
      <c r="A4069" t="s">
        <v>3056</v>
      </c>
      <c r="B4069" s="1">
        <v>45740</v>
      </c>
      <c r="C4069" t="s">
        <v>7849</v>
      </c>
      <c r="F4069" t="s">
        <v>8050</v>
      </c>
      <c r="H4069" t="s">
        <v>3102</v>
      </c>
      <c r="J4069">
        <v>382</v>
      </c>
      <c r="L4069" t="s">
        <v>347</v>
      </c>
    </row>
    <row r="4070" spans="1:12" x14ac:dyDescent="0.35">
      <c r="A4070" t="s">
        <v>3056</v>
      </c>
      <c r="B4070" s="1">
        <v>45740</v>
      </c>
      <c r="C4070" t="s">
        <v>7851</v>
      </c>
      <c r="F4070" t="s">
        <v>7875</v>
      </c>
      <c r="H4070" t="s">
        <v>3103</v>
      </c>
      <c r="J4070">
        <v>150000</v>
      </c>
      <c r="L4070" t="s">
        <v>6803</v>
      </c>
    </row>
    <row r="4071" spans="1:12" x14ac:dyDescent="0.35">
      <c r="A4071" t="s">
        <v>3056</v>
      </c>
      <c r="B4071" s="1">
        <v>45740</v>
      </c>
      <c r="C4071" t="s">
        <v>7851</v>
      </c>
      <c r="F4071" t="s">
        <v>8524</v>
      </c>
      <c r="H4071" t="s">
        <v>3103</v>
      </c>
      <c r="K4071">
        <v>151275</v>
      </c>
      <c r="L4071" t="s">
        <v>6803</v>
      </c>
    </row>
    <row r="4072" spans="1:12" x14ac:dyDescent="0.35">
      <c r="A4072" t="s">
        <v>3056</v>
      </c>
      <c r="B4072" s="1">
        <v>45740</v>
      </c>
      <c r="C4072" t="s">
        <v>7851</v>
      </c>
      <c r="F4072" t="s">
        <v>8050</v>
      </c>
      <c r="H4072" t="s">
        <v>3103</v>
      </c>
      <c r="J4072">
        <v>1275</v>
      </c>
      <c r="L4072" t="s">
        <v>347</v>
      </c>
    </row>
    <row r="4073" spans="1:12" x14ac:dyDescent="0.35">
      <c r="A4073" t="s">
        <v>3056</v>
      </c>
      <c r="B4073" s="1">
        <v>45741</v>
      </c>
      <c r="C4073" t="s">
        <v>7537</v>
      </c>
      <c r="E4073" t="s">
        <v>8534</v>
      </c>
      <c r="F4073" t="s">
        <v>8098</v>
      </c>
      <c r="H4073" t="s">
        <v>127</v>
      </c>
      <c r="K4073">
        <v>472000</v>
      </c>
      <c r="L4073" t="s">
        <v>6803</v>
      </c>
    </row>
    <row r="4074" spans="1:12" x14ac:dyDescent="0.35">
      <c r="A4074" t="s">
        <v>3056</v>
      </c>
      <c r="B4074" s="1">
        <v>45741</v>
      </c>
      <c r="C4074" t="s">
        <v>7537</v>
      </c>
      <c r="E4074" t="s">
        <v>8534</v>
      </c>
      <c r="F4074" t="s">
        <v>8524</v>
      </c>
      <c r="H4074" t="s">
        <v>127</v>
      </c>
      <c r="J4074">
        <v>472000</v>
      </c>
      <c r="L4074" t="s">
        <v>6803</v>
      </c>
    </row>
    <row r="4075" spans="1:12" x14ac:dyDescent="0.35">
      <c r="A4075" t="s">
        <v>3056</v>
      </c>
      <c r="B4075" s="1">
        <v>45741</v>
      </c>
      <c r="C4075" t="s">
        <v>7852</v>
      </c>
      <c r="F4075" t="s">
        <v>8524</v>
      </c>
      <c r="H4075" t="s">
        <v>3104</v>
      </c>
      <c r="K4075">
        <v>433655</v>
      </c>
      <c r="L4075" t="s">
        <v>6803</v>
      </c>
    </row>
    <row r="4076" spans="1:12" x14ac:dyDescent="0.35">
      <c r="A4076" t="s">
        <v>3056</v>
      </c>
      <c r="B4076" s="1">
        <v>45741</v>
      </c>
      <c r="C4076" t="s">
        <v>7852</v>
      </c>
      <c r="F4076" t="s">
        <v>7928</v>
      </c>
      <c r="H4076" t="s">
        <v>3105</v>
      </c>
      <c r="J4076">
        <v>409000</v>
      </c>
      <c r="L4076" t="s">
        <v>5928</v>
      </c>
    </row>
    <row r="4077" spans="1:12" x14ac:dyDescent="0.35">
      <c r="A4077" t="s">
        <v>3056</v>
      </c>
      <c r="B4077" s="1">
        <v>45741</v>
      </c>
      <c r="C4077" t="s">
        <v>7852</v>
      </c>
      <c r="F4077" t="s">
        <v>6820</v>
      </c>
      <c r="H4077" t="s">
        <v>3106</v>
      </c>
      <c r="J4077">
        <v>4000</v>
      </c>
      <c r="L4077" t="s">
        <v>5928</v>
      </c>
    </row>
    <row r="4078" spans="1:12" x14ac:dyDescent="0.35">
      <c r="A4078" t="s">
        <v>3056</v>
      </c>
      <c r="B4078" s="1">
        <v>45741</v>
      </c>
      <c r="C4078" t="s">
        <v>7852</v>
      </c>
      <c r="F4078" t="s">
        <v>8153</v>
      </c>
      <c r="H4078" t="s">
        <v>2460</v>
      </c>
      <c r="J4078">
        <v>3000</v>
      </c>
      <c r="L4078" t="s">
        <v>5928</v>
      </c>
    </row>
    <row r="4079" spans="1:12" x14ac:dyDescent="0.35">
      <c r="A4079" t="s">
        <v>3056</v>
      </c>
      <c r="B4079" s="1">
        <v>45741</v>
      </c>
      <c r="C4079" t="s">
        <v>7852</v>
      </c>
      <c r="F4079" t="s">
        <v>8050</v>
      </c>
      <c r="H4079" t="s">
        <v>3107</v>
      </c>
      <c r="J4079">
        <v>3655</v>
      </c>
      <c r="L4079" t="s">
        <v>347</v>
      </c>
    </row>
    <row r="4080" spans="1:12" x14ac:dyDescent="0.35">
      <c r="A4080" t="s">
        <v>3056</v>
      </c>
      <c r="B4080" s="1">
        <v>45741</v>
      </c>
      <c r="C4080" t="s">
        <v>7852</v>
      </c>
      <c r="F4080" t="s">
        <v>7908</v>
      </c>
      <c r="H4080" t="s">
        <v>2383</v>
      </c>
      <c r="J4080">
        <v>3000</v>
      </c>
      <c r="L4080" t="s">
        <v>5945</v>
      </c>
    </row>
    <row r="4081" spans="1:12" x14ac:dyDescent="0.35">
      <c r="A4081" t="s">
        <v>3056</v>
      </c>
      <c r="B4081" s="1">
        <v>45741</v>
      </c>
      <c r="C4081" t="s">
        <v>7852</v>
      </c>
      <c r="F4081" t="s">
        <v>7934</v>
      </c>
      <c r="H4081" t="s">
        <v>3108</v>
      </c>
      <c r="J4081">
        <v>11000</v>
      </c>
      <c r="L4081" t="s">
        <v>5928</v>
      </c>
    </row>
    <row r="4082" spans="1:12" x14ac:dyDescent="0.35">
      <c r="A4082" t="s">
        <v>3056</v>
      </c>
      <c r="B4082" s="1">
        <v>45742</v>
      </c>
      <c r="C4082" t="s">
        <v>7841</v>
      </c>
      <c r="F4082" t="s">
        <v>8524</v>
      </c>
      <c r="H4082" t="s">
        <v>3109</v>
      </c>
      <c r="K4082">
        <v>2017000</v>
      </c>
      <c r="L4082" t="s">
        <v>6803</v>
      </c>
    </row>
    <row r="4083" spans="1:12" x14ac:dyDescent="0.35">
      <c r="A4083" t="s">
        <v>3056</v>
      </c>
      <c r="B4083" s="1">
        <v>45742</v>
      </c>
      <c r="C4083" t="s">
        <v>7841</v>
      </c>
      <c r="F4083" t="s">
        <v>7829</v>
      </c>
      <c r="H4083" t="s">
        <v>3109</v>
      </c>
      <c r="J4083">
        <v>2000000</v>
      </c>
      <c r="L4083" t="s">
        <v>6803</v>
      </c>
    </row>
    <row r="4084" spans="1:12" x14ac:dyDescent="0.35">
      <c r="A4084" t="s">
        <v>3056</v>
      </c>
      <c r="B4084" s="1">
        <v>45742</v>
      </c>
      <c r="C4084" t="s">
        <v>7841</v>
      </c>
      <c r="F4084" t="s">
        <v>8050</v>
      </c>
      <c r="H4084" t="s">
        <v>3109</v>
      </c>
      <c r="J4084">
        <v>17000</v>
      </c>
      <c r="L4084" t="s">
        <v>347</v>
      </c>
    </row>
    <row r="4085" spans="1:12" x14ac:dyDescent="0.35">
      <c r="A4085" t="s">
        <v>3056</v>
      </c>
      <c r="B4085" s="1">
        <v>45742</v>
      </c>
      <c r="C4085" t="s">
        <v>7842</v>
      </c>
      <c r="F4085" t="s">
        <v>8524</v>
      </c>
      <c r="H4085" t="s">
        <v>3110</v>
      </c>
      <c r="K4085">
        <v>302550</v>
      </c>
      <c r="L4085" t="s">
        <v>6803</v>
      </c>
    </row>
    <row r="4086" spans="1:12" x14ac:dyDescent="0.35">
      <c r="A4086" t="s">
        <v>3056</v>
      </c>
      <c r="B4086" s="1">
        <v>45742</v>
      </c>
      <c r="C4086" t="s">
        <v>7842</v>
      </c>
      <c r="F4086" t="s">
        <v>7905</v>
      </c>
      <c r="H4086" t="s">
        <v>3110</v>
      </c>
      <c r="J4086">
        <v>300000</v>
      </c>
      <c r="L4086" t="s">
        <v>5953</v>
      </c>
    </row>
    <row r="4087" spans="1:12" x14ac:dyDescent="0.35">
      <c r="A4087" t="s">
        <v>3056</v>
      </c>
      <c r="B4087" s="1">
        <v>45742</v>
      </c>
      <c r="C4087" t="s">
        <v>7842</v>
      </c>
      <c r="F4087" t="s">
        <v>8050</v>
      </c>
      <c r="H4087" t="s">
        <v>3110</v>
      </c>
      <c r="J4087">
        <v>2550</v>
      </c>
      <c r="L4087" t="s">
        <v>347</v>
      </c>
    </row>
    <row r="4088" spans="1:12" x14ac:dyDescent="0.35">
      <c r="A4088" t="s">
        <v>3056</v>
      </c>
      <c r="B4088" s="1">
        <v>45744</v>
      </c>
      <c r="C4088" t="s">
        <v>7843</v>
      </c>
      <c r="F4088" t="s">
        <v>8524</v>
      </c>
      <c r="H4088" t="s">
        <v>3111</v>
      </c>
      <c r="K4088">
        <v>252125</v>
      </c>
      <c r="L4088" t="s">
        <v>6803</v>
      </c>
    </row>
    <row r="4089" spans="1:12" x14ac:dyDescent="0.35">
      <c r="A4089" t="s">
        <v>3056</v>
      </c>
      <c r="B4089" s="1">
        <v>45744</v>
      </c>
      <c r="C4089" t="s">
        <v>7843</v>
      </c>
      <c r="F4089" t="s">
        <v>8050</v>
      </c>
      <c r="H4089" t="s">
        <v>3111</v>
      </c>
      <c r="J4089">
        <v>2125</v>
      </c>
      <c r="L4089" t="s">
        <v>347</v>
      </c>
    </row>
    <row r="4090" spans="1:12" x14ac:dyDescent="0.35">
      <c r="A4090" t="s">
        <v>3056</v>
      </c>
      <c r="B4090" s="1">
        <v>45744</v>
      </c>
      <c r="C4090" t="s">
        <v>7843</v>
      </c>
      <c r="F4090" t="s">
        <v>7339</v>
      </c>
      <c r="H4090" t="s">
        <v>3111</v>
      </c>
      <c r="J4090">
        <v>250000</v>
      </c>
      <c r="L4090" t="s">
        <v>5956</v>
      </c>
    </row>
    <row r="4091" spans="1:12" x14ac:dyDescent="0.35">
      <c r="A4091" t="s">
        <v>3056</v>
      </c>
      <c r="B4091" s="1">
        <v>45744</v>
      </c>
      <c r="C4091" t="s">
        <v>7844</v>
      </c>
      <c r="F4091" t="s">
        <v>7847</v>
      </c>
      <c r="H4091" t="s">
        <v>3112</v>
      </c>
      <c r="J4091">
        <v>19278051</v>
      </c>
      <c r="L4091" t="s">
        <v>6803</v>
      </c>
    </row>
    <row r="4092" spans="1:12" x14ac:dyDescent="0.35">
      <c r="A4092" t="s">
        <v>3056</v>
      </c>
      <c r="B4092" s="1">
        <v>45744</v>
      </c>
      <c r="C4092" t="s">
        <v>7844</v>
      </c>
      <c r="F4092" t="s">
        <v>8524</v>
      </c>
      <c r="H4092" t="s">
        <v>3112</v>
      </c>
      <c r="K4092">
        <v>19441914</v>
      </c>
      <c r="L4092" t="s">
        <v>6803</v>
      </c>
    </row>
    <row r="4093" spans="1:12" x14ac:dyDescent="0.35">
      <c r="A4093" t="s">
        <v>3056</v>
      </c>
      <c r="B4093" s="1">
        <v>45744</v>
      </c>
      <c r="C4093" t="s">
        <v>7844</v>
      </c>
      <c r="F4093" t="s">
        <v>8050</v>
      </c>
      <c r="H4093" t="s">
        <v>3112</v>
      </c>
      <c r="J4093">
        <v>163863</v>
      </c>
      <c r="L4093" t="s">
        <v>347</v>
      </c>
    </row>
    <row r="4094" spans="1:12" x14ac:dyDescent="0.35">
      <c r="A4094" t="s">
        <v>3056</v>
      </c>
      <c r="B4094" s="1">
        <v>45744</v>
      </c>
      <c r="C4094" t="s">
        <v>7321</v>
      </c>
      <c r="F4094" t="s">
        <v>8524</v>
      </c>
      <c r="H4094" t="s">
        <v>3113</v>
      </c>
      <c r="K4094">
        <v>2285933</v>
      </c>
      <c r="L4094" t="s">
        <v>6803</v>
      </c>
    </row>
    <row r="4095" spans="1:12" x14ac:dyDescent="0.35">
      <c r="A4095" t="s">
        <v>3056</v>
      </c>
      <c r="B4095" s="1">
        <v>45744</v>
      </c>
      <c r="C4095" t="s">
        <v>7321</v>
      </c>
      <c r="F4095" t="s">
        <v>8050</v>
      </c>
      <c r="H4095" t="s">
        <v>3113</v>
      </c>
      <c r="J4095">
        <v>19267</v>
      </c>
      <c r="L4095" t="s">
        <v>347</v>
      </c>
    </row>
    <row r="4096" spans="1:12" x14ac:dyDescent="0.35">
      <c r="A4096" t="s">
        <v>3056</v>
      </c>
      <c r="B4096" s="1">
        <v>45744</v>
      </c>
      <c r="C4096" t="s">
        <v>7321</v>
      </c>
      <c r="F4096" t="s">
        <v>8525</v>
      </c>
      <c r="H4096" t="s">
        <v>3113</v>
      </c>
      <c r="J4096">
        <v>2266666</v>
      </c>
      <c r="L4096" t="s">
        <v>5909</v>
      </c>
    </row>
    <row r="4097" spans="1:12" x14ac:dyDescent="0.35">
      <c r="A4097" t="s">
        <v>3056</v>
      </c>
      <c r="B4097" s="1">
        <v>45744</v>
      </c>
      <c r="C4097" t="s">
        <v>7322</v>
      </c>
      <c r="F4097" t="s">
        <v>7514</v>
      </c>
      <c r="G4097" t="s">
        <v>7664</v>
      </c>
      <c r="H4097" t="s">
        <v>3114</v>
      </c>
      <c r="J4097">
        <v>201700</v>
      </c>
      <c r="L4097" t="s">
        <v>6803</v>
      </c>
    </row>
    <row r="4098" spans="1:12" x14ac:dyDescent="0.35">
      <c r="A4098" t="s">
        <v>3056</v>
      </c>
      <c r="B4098" s="1">
        <v>45744</v>
      </c>
      <c r="C4098" t="s">
        <v>7322</v>
      </c>
      <c r="F4098" t="s">
        <v>8524</v>
      </c>
      <c r="H4098" t="s">
        <v>3114</v>
      </c>
      <c r="K4098">
        <v>201700</v>
      </c>
      <c r="L4098" t="s">
        <v>6803</v>
      </c>
    </row>
    <row r="4099" spans="1:12" x14ac:dyDescent="0.35">
      <c r="A4099" t="s">
        <v>3056</v>
      </c>
      <c r="B4099" s="1">
        <v>45744</v>
      </c>
      <c r="C4099" t="s">
        <v>7325</v>
      </c>
      <c r="F4099" t="s">
        <v>8098</v>
      </c>
      <c r="H4099" t="s">
        <v>3093</v>
      </c>
      <c r="K4099">
        <v>22000000</v>
      </c>
      <c r="L4099" t="s">
        <v>6803</v>
      </c>
    </row>
    <row r="4100" spans="1:12" x14ac:dyDescent="0.35">
      <c r="A4100" t="s">
        <v>3056</v>
      </c>
      <c r="B4100" s="1">
        <v>45744</v>
      </c>
      <c r="C4100" t="s">
        <v>7325</v>
      </c>
      <c r="F4100" t="s">
        <v>8524</v>
      </c>
      <c r="H4100" t="s">
        <v>3093</v>
      </c>
      <c r="J4100">
        <v>22000000</v>
      </c>
      <c r="L4100" t="s">
        <v>6803</v>
      </c>
    </row>
    <row r="4101" spans="1:12" x14ac:dyDescent="0.35">
      <c r="A4101" t="s">
        <v>3056</v>
      </c>
      <c r="B4101" s="1">
        <v>45744</v>
      </c>
      <c r="C4101" t="s">
        <v>7329</v>
      </c>
      <c r="F4101" t="s">
        <v>8524</v>
      </c>
      <c r="H4101" t="s">
        <v>3093</v>
      </c>
      <c r="J4101">
        <v>500000</v>
      </c>
      <c r="L4101" t="s">
        <v>6803</v>
      </c>
    </row>
    <row r="4102" spans="1:12" x14ac:dyDescent="0.35">
      <c r="A4102" t="s">
        <v>3056</v>
      </c>
      <c r="B4102" s="1">
        <v>45744</v>
      </c>
      <c r="C4102" t="s">
        <v>7329</v>
      </c>
      <c r="F4102" t="s">
        <v>7829</v>
      </c>
      <c r="H4102" t="s">
        <v>3093</v>
      </c>
      <c r="K4102">
        <v>500000</v>
      </c>
      <c r="L4102" t="s">
        <v>6803</v>
      </c>
    </row>
    <row r="4103" spans="1:12" x14ac:dyDescent="0.35">
      <c r="A4103" t="s">
        <v>3115</v>
      </c>
      <c r="B4103" s="1">
        <v>45717</v>
      </c>
      <c r="C4103" t="s">
        <v>8535</v>
      </c>
      <c r="D4103" t="s">
        <v>3116</v>
      </c>
      <c r="E4103" t="s">
        <v>8536</v>
      </c>
      <c r="F4103" t="s">
        <v>6802</v>
      </c>
      <c r="H4103" t="s">
        <v>3117</v>
      </c>
      <c r="K4103">
        <v>43950</v>
      </c>
      <c r="L4103" t="s">
        <v>6803</v>
      </c>
    </row>
    <row r="4104" spans="1:12" x14ac:dyDescent="0.35">
      <c r="A4104" t="s">
        <v>3115</v>
      </c>
      <c r="B4104" s="1">
        <v>45717</v>
      </c>
      <c r="C4104" t="s">
        <v>8535</v>
      </c>
      <c r="D4104" t="s">
        <v>3116</v>
      </c>
      <c r="E4104" t="s">
        <v>8536</v>
      </c>
      <c r="F4104" t="s">
        <v>8537</v>
      </c>
      <c r="G4104" t="s">
        <v>8538</v>
      </c>
      <c r="H4104" t="s">
        <v>3117</v>
      </c>
      <c r="J4104">
        <v>43950</v>
      </c>
      <c r="L4104" t="s">
        <v>5881</v>
      </c>
    </row>
    <row r="4105" spans="1:12" x14ac:dyDescent="0.35">
      <c r="A4105" t="s">
        <v>3115</v>
      </c>
      <c r="B4105" s="1">
        <v>45717</v>
      </c>
      <c r="C4105" t="s">
        <v>8539</v>
      </c>
      <c r="D4105" t="s">
        <v>3118</v>
      </c>
      <c r="E4105" t="s">
        <v>8540</v>
      </c>
      <c r="F4105" t="s">
        <v>6802</v>
      </c>
      <c r="H4105" t="s">
        <v>3119</v>
      </c>
      <c r="K4105">
        <v>33979</v>
      </c>
      <c r="L4105" t="s">
        <v>6803</v>
      </c>
    </row>
    <row r="4106" spans="1:12" x14ac:dyDescent="0.35">
      <c r="A4106" t="s">
        <v>3115</v>
      </c>
      <c r="B4106" s="1">
        <v>45717</v>
      </c>
      <c r="C4106" t="s">
        <v>8539</v>
      </c>
      <c r="D4106" t="s">
        <v>3118</v>
      </c>
      <c r="E4106" t="s">
        <v>8540</v>
      </c>
      <c r="F4106" t="s">
        <v>8537</v>
      </c>
      <c r="G4106" t="s">
        <v>8538</v>
      </c>
      <c r="H4106" t="s">
        <v>3119</v>
      </c>
      <c r="J4106">
        <v>33979</v>
      </c>
      <c r="L4106" t="s">
        <v>5875</v>
      </c>
    </row>
    <row r="4107" spans="1:12" x14ac:dyDescent="0.35">
      <c r="A4107" t="s">
        <v>3115</v>
      </c>
      <c r="B4107" s="1">
        <v>45717</v>
      </c>
      <c r="C4107" t="s">
        <v>8541</v>
      </c>
      <c r="D4107" t="s">
        <v>3120</v>
      </c>
      <c r="E4107" t="s">
        <v>8542</v>
      </c>
      <c r="F4107" t="s">
        <v>6802</v>
      </c>
      <c r="H4107" t="s">
        <v>3121</v>
      </c>
      <c r="K4107">
        <v>43950</v>
      </c>
      <c r="L4107" t="s">
        <v>6803</v>
      </c>
    </row>
    <row r="4108" spans="1:12" x14ac:dyDescent="0.35">
      <c r="A4108" t="s">
        <v>3115</v>
      </c>
      <c r="B4108" s="1">
        <v>45717</v>
      </c>
      <c r="C4108" t="s">
        <v>8541</v>
      </c>
      <c r="D4108" t="s">
        <v>3120</v>
      </c>
      <c r="E4108" t="s">
        <v>8542</v>
      </c>
      <c r="F4108" t="s">
        <v>8537</v>
      </c>
      <c r="G4108" t="s">
        <v>8538</v>
      </c>
      <c r="H4108" t="s">
        <v>3121</v>
      </c>
      <c r="J4108">
        <v>43950</v>
      </c>
      <c r="L4108" t="s">
        <v>5880</v>
      </c>
    </row>
    <row r="4109" spans="1:12" x14ac:dyDescent="0.35">
      <c r="A4109" t="s">
        <v>3115</v>
      </c>
      <c r="B4109" s="1">
        <v>45717</v>
      </c>
      <c r="C4109" t="s">
        <v>8543</v>
      </c>
      <c r="D4109" t="s">
        <v>3122</v>
      </c>
      <c r="E4109" t="s">
        <v>8544</v>
      </c>
      <c r="F4109" t="s">
        <v>6802</v>
      </c>
      <c r="H4109" t="s">
        <v>3123</v>
      </c>
      <c r="K4109">
        <v>43950</v>
      </c>
      <c r="L4109" t="s">
        <v>6803</v>
      </c>
    </row>
    <row r="4110" spans="1:12" x14ac:dyDescent="0.35">
      <c r="A4110" t="s">
        <v>3115</v>
      </c>
      <c r="B4110" s="1">
        <v>45717</v>
      </c>
      <c r="C4110" t="s">
        <v>8543</v>
      </c>
      <c r="D4110" t="s">
        <v>3122</v>
      </c>
      <c r="E4110" t="s">
        <v>8544</v>
      </c>
      <c r="F4110" t="s">
        <v>8537</v>
      </c>
      <c r="G4110" t="s">
        <v>8538</v>
      </c>
      <c r="H4110" t="s">
        <v>3123</v>
      </c>
      <c r="J4110">
        <v>43950</v>
      </c>
      <c r="L4110" t="s">
        <v>5875</v>
      </c>
    </row>
    <row r="4111" spans="1:12" x14ac:dyDescent="0.35">
      <c r="A4111" t="s">
        <v>3115</v>
      </c>
      <c r="B4111" s="1">
        <v>45717</v>
      </c>
      <c r="C4111" t="s">
        <v>8545</v>
      </c>
      <c r="D4111" t="s">
        <v>3124</v>
      </c>
      <c r="E4111" t="s">
        <v>8546</v>
      </c>
      <c r="F4111" t="s">
        <v>6802</v>
      </c>
      <c r="H4111" t="s">
        <v>3125</v>
      </c>
      <c r="K4111">
        <v>30961</v>
      </c>
      <c r="L4111" t="s">
        <v>6803</v>
      </c>
    </row>
    <row r="4112" spans="1:12" x14ac:dyDescent="0.35">
      <c r="A4112" t="s">
        <v>3115</v>
      </c>
      <c r="B4112" s="1">
        <v>45717</v>
      </c>
      <c r="C4112" t="s">
        <v>8545</v>
      </c>
      <c r="D4112" t="s">
        <v>3124</v>
      </c>
      <c r="E4112" t="s">
        <v>8546</v>
      </c>
      <c r="F4112" t="s">
        <v>8537</v>
      </c>
      <c r="G4112" t="s">
        <v>8538</v>
      </c>
      <c r="H4112" t="s">
        <v>3125</v>
      </c>
      <c r="J4112">
        <v>30961</v>
      </c>
      <c r="L4112" t="s">
        <v>5880</v>
      </c>
    </row>
    <row r="4113" spans="1:12" x14ac:dyDescent="0.35">
      <c r="A4113" t="s">
        <v>3115</v>
      </c>
      <c r="B4113" s="1">
        <v>45717</v>
      </c>
      <c r="C4113" t="s">
        <v>8547</v>
      </c>
      <c r="D4113" t="s">
        <v>3126</v>
      </c>
      <c r="E4113" t="s">
        <v>8548</v>
      </c>
      <c r="F4113" t="s">
        <v>6802</v>
      </c>
      <c r="H4113" t="s">
        <v>3127</v>
      </c>
      <c r="K4113">
        <v>22959</v>
      </c>
      <c r="L4113" t="s">
        <v>6803</v>
      </c>
    </row>
    <row r="4114" spans="1:12" x14ac:dyDescent="0.35">
      <c r="A4114" t="s">
        <v>3115</v>
      </c>
      <c r="B4114" s="1">
        <v>45717</v>
      </c>
      <c r="C4114" t="s">
        <v>8547</v>
      </c>
      <c r="D4114" t="s">
        <v>3126</v>
      </c>
      <c r="E4114" t="s">
        <v>8548</v>
      </c>
      <c r="F4114" t="s">
        <v>8537</v>
      </c>
      <c r="G4114" t="s">
        <v>8538</v>
      </c>
      <c r="H4114" t="s">
        <v>3127</v>
      </c>
      <c r="J4114">
        <v>22959</v>
      </c>
      <c r="L4114" t="s">
        <v>5880</v>
      </c>
    </row>
    <row r="4115" spans="1:12" x14ac:dyDescent="0.35">
      <c r="A4115" t="s">
        <v>3115</v>
      </c>
      <c r="B4115" s="1">
        <v>45717</v>
      </c>
      <c r="C4115" t="s">
        <v>8549</v>
      </c>
      <c r="D4115" t="s">
        <v>3128</v>
      </c>
      <c r="E4115" t="s">
        <v>8550</v>
      </c>
      <c r="F4115" t="s">
        <v>6802</v>
      </c>
      <c r="H4115" t="s">
        <v>3129</v>
      </c>
      <c r="K4115">
        <v>181701</v>
      </c>
      <c r="L4115" t="s">
        <v>6803</v>
      </c>
    </row>
    <row r="4116" spans="1:12" x14ac:dyDescent="0.35">
      <c r="A4116" t="s">
        <v>3115</v>
      </c>
      <c r="B4116" s="1">
        <v>45717</v>
      </c>
      <c r="C4116" t="s">
        <v>8549</v>
      </c>
      <c r="D4116" t="s">
        <v>3128</v>
      </c>
      <c r="E4116" t="s">
        <v>8550</v>
      </c>
      <c r="F4116" t="s">
        <v>8537</v>
      </c>
      <c r="G4116" t="s">
        <v>8538</v>
      </c>
      <c r="H4116" t="s">
        <v>3129</v>
      </c>
      <c r="J4116">
        <v>181701</v>
      </c>
      <c r="L4116" t="s">
        <v>5875</v>
      </c>
    </row>
    <row r="4117" spans="1:12" x14ac:dyDescent="0.35">
      <c r="A4117" t="s">
        <v>3115</v>
      </c>
      <c r="B4117" s="1">
        <v>45717</v>
      </c>
      <c r="C4117" t="s">
        <v>8551</v>
      </c>
      <c r="D4117" t="s">
        <v>3130</v>
      </c>
      <c r="E4117" t="s">
        <v>8552</v>
      </c>
      <c r="F4117" t="s">
        <v>6802</v>
      </c>
      <c r="H4117" t="s">
        <v>3131</v>
      </c>
      <c r="K4117">
        <v>40801</v>
      </c>
      <c r="L4117" t="s">
        <v>6803</v>
      </c>
    </row>
    <row r="4118" spans="1:12" x14ac:dyDescent="0.35">
      <c r="A4118" t="s">
        <v>3115</v>
      </c>
      <c r="B4118" s="1">
        <v>45717</v>
      </c>
      <c r="C4118" t="s">
        <v>8551</v>
      </c>
      <c r="D4118" t="s">
        <v>3130</v>
      </c>
      <c r="E4118" t="s">
        <v>8552</v>
      </c>
      <c r="F4118" t="s">
        <v>8537</v>
      </c>
      <c r="G4118" t="s">
        <v>8538</v>
      </c>
      <c r="H4118" t="s">
        <v>3131</v>
      </c>
      <c r="J4118">
        <v>40801</v>
      </c>
      <c r="L4118" t="s">
        <v>5874</v>
      </c>
    </row>
    <row r="4119" spans="1:12" x14ac:dyDescent="0.35">
      <c r="A4119" t="s">
        <v>3115</v>
      </c>
      <c r="B4119" s="1">
        <v>45717</v>
      </c>
      <c r="C4119" t="s">
        <v>8553</v>
      </c>
      <c r="D4119" t="s">
        <v>3132</v>
      </c>
      <c r="E4119" t="s">
        <v>8554</v>
      </c>
      <c r="F4119" t="s">
        <v>6802</v>
      </c>
      <c r="H4119" t="s">
        <v>3133</v>
      </c>
      <c r="K4119">
        <v>3017</v>
      </c>
      <c r="L4119" t="s">
        <v>6803</v>
      </c>
    </row>
    <row r="4120" spans="1:12" x14ac:dyDescent="0.35">
      <c r="A4120" t="s">
        <v>3115</v>
      </c>
      <c r="B4120" s="1">
        <v>45717</v>
      </c>
      <c r="C4120" t="s">
        <v>8553</v>
      </c>
      <c r="D4120" t="s">
        <v>3132</v>
      </c>
      <c r="E4120" t="s">
        <v>8554</v>
      </c>
      <c r="F4120" t="s">
        <v>8537</v>
      </c>
      <c r="G4120" t="s">
        <v>8538</v>
      </c>
      <c r="H4120" t="s">
        <v>3133</v>
      </c>
      <c r="J4120">
        <v>3017</v>
      </c>
      <c r="L4120" t="s">
        <v>5966</v>
      </c>
    </row>
    <row r="4121" spans="1:12" x14ac:dyDescent="0.35">
      <c r="A4121" t="s">
        <v>3115</v>
      </c>
      <c r="B4121" s="1">
        <v>45717</v>
      </c>
      <c r="C4121" t="s">
        <v>8555</v>
      </c>
      <c r="D4121" t="s">
        <v>3134</v>
      </c>
      <c r="E4121" t="s">
        <v>8556</v>
      </c>
      <c r="F4121" t="s">
        <v>6811</v>
      </c>
      <c r="H4121" t="s">
        <v>3135</v>
      </c>
      <c r="K4121">
        <v>3295</v>
      </c>
      <c r="L4121" t="s">
        <v>6803</v>
      </c>
    </row>
    <row r="4122" spans="1:12" x14ac:dyDescent="0.35">
      <c r="A4122" t="s">
        <v>3115</v>
      </c>
      <c r="B4122" s="1">
        <v>45717</v>
      </c>
      <c r="C4122" t="s">
        <v>8555</v>
      </c>
      <c r="D4122" t="s">
        <v>3134</v>
      </c>
      <c r="E4122" t="s">
        <v>8556</v>
      </c>
      <c r="F4122" t="s">
        <v>8557</v>
      </c>
      <c r="G4122" t="s">
        <v>8558</v>
      </c>
      <c r="H4122" t="s">
        <v>3135</v>
      </c>
      <c r="J4122">
        <v>3295</v>
      </c>
      <c r="L4122" t="s">
        <v>5966</v>
      </c>
    </row>
    <row r="4123" spans="1:12" x14ac:dyDescent="0.35">
      <c r="A4123" t="s">
        <v>3115</v>
      </c>
      <c r="B4123" s="1">
        <v>45717</v>
      </c>
      <c r="C4123" t="s">
        <v>8559</v>
      </c>
      <c r="D4123" t="s">
        <v>3136</v>
      </c>
      <c r="E4123" t="s">
        <v>8560</v>
      </c>
      <c r="F4123" t="s">
        <v>6811</v>
      </c>
      <c r="H4123" t="s">
        <v>3137</v>
      </c>
      <c r="K4123">
        <v>750</v>
      </c>
      <c r="L4123" t="s">
        <v>6803</v>
      </c>
    </row>
    <row r="4124" spans="1:12" x14ac:dyDescent="0.35">
      <c r="A4124" t="s">
        <v>3115</v>
      </c>
      <c r="B4124" s="1">
        <v>45717</v>
      </c>
      <c r="C4124" t="s">
        <v>8559</v>
      </c>
      <c r="D4124" t="s">
        <v>3136</v>
      </c>
      <c r="E4124" t="s">
        <v>8560</v>
      </c>
      <c r="F4124" t="s">
        <v>8467</v>
      </c>
      <c r="G4124" t="s">
        <v>8558</v>
      </c>
      <c r="H4124" t="s">
        <v>3137</v>
      </c>
      <c r="J4124">
        <v>750</v>
      </c>
      <c r="L4124" t="s">
        <v>5966</v>
      </c>
    </row>
    <row r="4125" spans="1:12" x14ac:dyDescent="0.35">
      <c r="A4125" t="s">
        <v>3115</v>
      </c>
      <c r="B4125" s="1">
        <v>45717</v>
      </c>
      <c r="C4125" t="s">
        <v>8561</v>
      </c>
      <c r="D4125" t="s">
        <v>3138</v>
      </c>
      <c r="E4125" t="s">
        <v>8562</v>
      </c>
      <c r="F4125" t="s">
        <v>6802</v>
      </c>
      <c r="H4125" t="s">
        <v>3139</v>
      </c>
      <c r="K4125">
        <v>850</v>
      </c>
      <c r="L4125" t="s">
        <v>6803</v>
      </c>
    </row>
    <row r="4126" spans="1:12" x14ac:dyDescent="0.35">
      <c r="A4126" t="s">
        <v>3115</v>
      </c>
      <c r="B4126" s="1">
        <v>45717</v>
      </c>
      <c r="C4126" t="s">
        <v>8561</v>
      </c>
      <c r="D4126" t="s">
        <v>3138</v>
      </c>
      <c r="E4126" t="s">
        <v>8562</v>
      </c>
      <c r="F4126" t="s">
        <v>8557</v>
      </c>
      <c r="G4126" t="s">
        <v>8558</v>
      </c>
      <c r="H4126" t="s">
        <v>3139</v>
      </c>
      <c r="J4126">
        <v>850</v>
      </c>
      <c r="L4126" t="s">
        <v>5966</v>
      </c>
    </row>
    <row r="4127" spans="1:12" x14ac:dyDescent="0.35">
      <c r="A4127" t="s">
        <v>3115</v>
      </c>
      <c r="B4127" s="1">
        <v>45717</v>
      </c>
      <c r="C4127" t="s">
        <v>8563</v>
      </c>
      <c r="D4127" t="s">
        <v>3140</v>
      </c>
      <c r="E4127" t="s">
        <v>8564</v>
      </c>
      <c r="F4127" t="s">
        <v>6802</v>
      </c>
      <c r="H4127" t="s">
        <v>3141</v>
      </c>
      <c r="K4127">
        <v>101</v>
      </c>
      <c r="L4127" t="s">
        <v>6803</v>
      </c>
    </row>
    <row r="4128" spans="1:12" x14ac:dyDescent="0.35">
      <c r="A4128" t="s">
        <v>3115</v>
      </c>
      <c r="B4128" s="1">
        <v>45717</v>
      </c>
      <c r="C4128" t="s">
        <v>8563</v>
      </c>
      <c r="D4128" t="s">
        <v>3140</v>
      </c>
      <c r="E4128" t="s">
        <v>8564</v>
      </c>
      <c r="F4128" t="s">
        <v>8557</v>
      </c>
      <c r="G4128" t="s">
        <v>8558</v>
      </c>
      <c r="H4128" t="s">
        <v>3141</v>
      </c>
      <c r="J4128">
        <v>101</v>
      </c>
      <c r="L4128" t="s">
        <v>5966</v>
      </c>
    </row>
    <row r="4129" spans="1:12" x14ac:dyDescent="0.35">
      <c r="A4129" t="s">
        <v>3115</v>
      </c>
      <c r="B4129" s="1">
        <v>45717</v>
      </c>
      <c r="C4129" t="s">
        <v>8565</v>
      </c>
      <c r="D4129" t="s">
        <v>3142</v>
      </c>
      <c r="E4129" t="s">
        <v>8566</v>
      </c>
      <c r="F4129" t="s">
        <v>6808</v>
      </c>
      <c r="H4129" t="s">
        <v>3143</v>
      </c>
      <c r="K4129">
        <v>7864</v>
      </c>
      <c r="L4129" t="s">
        <v>6803</v>
      </c>
    </row>
    <row r="4130" spans="1:12" x14ac:dyDescent="0.35">
      <c r="A4130" t="s">
        <v>3115</v>
      </c>
      <c r="B4130" s="1">
        <v>45717</v>
      </c>
      <c r="C4130" t="s">
        <v>8565</v>
      </c>
      <c r="D4130" t="s">
        <v>3142</v>
      </c>
      <c r="E4130" t="s">
        <v>8566</v>
      </c>
      <c r="F4130" t="s">
        <v>8467</v>
      </c>
      <c r="G4130" t="s">
        <v>8567</v>
      </c>
      <c r="H4130" t="s">
        <v>3143</v>
      </c>
      <c r="J4130">
        <v>7864</v>
      </c>
      <c r="L4130" t="s">
        <v>5966</v>
      </c>
    </row>
    <row r="4131" spans="1:12" x14ac:dyDescent="0.35">
      <c r="A4131" t="s">
        <v>3115</v>
      </c>
      <c r="B4131" s="1">
        <v>45717</v>
      </c>
      <c r="C4131" t="s">
        <v>8568</v>
      </c>
      <c r="D4131" t="s">
        <v>3144</v>
      </c>
      <c r="E4131" t="s">
        <v>8542</v>
      </c>
      <c r="F4131" t="s">
        <v>6915</v>
      </c>
      <c r="H4131" t="s">
        <v>3145</v>
      </c>
      <c r="K4131">
        <v>120400</v>
      </c>
      <c r="L4131" t="s">
        <v>6803</v>
      </c>
    </row>
    <row r="4132" spans="1:12" x14ac:dyDescent="0.35">
      <c r="A4132" t="s">
        <v>3115</v>
      </c>
      <c r="B4132" s="1">
        <v>45717</v>
      </c>
      <c r="C4132" t="s">
        <v>8568</v>
      </c>
      <c r="D4132" t="s">
        <v>3144</v>
      </c>
      <c r="E4132" t="s">
        <v>8542</v>
      </c>
      <c r="F4132" t="s">
        <v>8569</v>
      </c>
      <c r="G4132" t="s">
        <v>8570</v>
      </c>
      <c r="H4132" t="s">
        <v>3145</v>
      </c>
      <c r="J4132">
        <v>120400</v>
      </c>
      <c r="L4132" t="s">
        <v>5880</v>
      </c>
    </row>
    <row r="4133" spans="1:12" x14ac:dyDescent="0.35">
      <c r="A4133" t="s">
        <v>3115</v>
      </c>
      <c r="B4133" s="1">
        <v>45717</v>
      </c>
      <c r="C4133" t="s">
        <v>8571</v>
      </c>
      <c r="D4133" t="s">
        <v>3146</v>
      </c>
      <c r="E4133" t="s">
        <v>8550</v>
      </c>
      <c r="F4133" t="s">
        <v>6915</v>
      </c>
      <c r="H4133" t="s">
        <v>3147</v>
      </c>
      <c r="K4133">
        <v>114380</v>
      </c>
      <c r="L4133" t="s">
        <v>6803</v>
      </c>
    </row>
    <row r="4134" spans="1:12" x14ac:dyDescent="0.35">
      <c r="A4134" t="s">
        <v>3115</v>
      </c>
      <c r="B4134" s="1">
        <v>45717</v>
      </c>
      <c r="C4134" t="s">
        <v>8571</v>
      </c>
      <c r="D4134" t="s">
        <v>3146</v>
      </c>
      <c r="E4134" t="s">
        <v>8550</v>
      </c>
      <c r="F4134" t="s">
        <v>8569</v>
      </c>
      <c r="G4134" t="s">
        <v>8570</v>
      </c>
      <c r="H4134" t="s">
        <v>3147</v>
      </c>
      <c r="J4134">
        <v>114380</v>
      </c>
      <c r="L4134" t="s">
        <v>5875</v>
      </c>
    </row>
    <row r="4135" spans="1:12" x14ac:dyDescent="0.35">
      <c r="A4135" t="s">
        <v>3115</v>
      </c>
      <c r="B4135" s="1">
        <v>45717</v>
      </c>
      <c r="C4135" t="s">
        <v>8572</v>
      </c>
      <c r="D4135" t="s">
        <v>3148</v>
      </c>
      <c r="E4135" t="s">
        <v>8573</v>
      </c>
      <c r="F4135" t="s">
        <v>6802</v>
      </c>
      <c r="H4135" t="s">
        <v>3149</v>
      </c>
      <c r="K4135">
        <v>70516</v>
      </c>
      <c r="L4135" t="s">
        <v>6803</v>
      </c>
    </row>
    <row r="4136" spans="1:12" x14ac:dyDescent="0.35">
      <c r="A4136" t="s">
        <v>3115</v>
      </c>
      <c r="B4136" s="1">
        <v>45717</v>
      </c>
      <c r="C4136" t="s">
        <v>8572</v>
      </c>
      <c r="D4136" t="s">
        <v>3148</v>
      </c>
      <c r="E4136" t="s">
        <v>8573</v>
      </c>
      <c r="F4136" t="s">
        <v>8537</v>
      </c>
      <c r="G4136" t="s">
        <v>8538</v>
      </c>
      <c r="H4136" t="s">
        <v>3149</v>
      </c>
      <c r="J4136">
        <v>70516</v>
      </c>
      <c r="L4136" t="s">
        <v>5875</v>
      </c>
    </row>
    <row r="4137" spans="1:12" x14ac:dyDescent="0.35">
      <c r="A4137" t="s">
        <v>3115</v>
      </c>
      <c r="B4137" s="1">
        <v>45717</v>
      </c>
      <c r="C4137" t="s">
        <v>8574</v>
      </c>
      <c r="D4137" t="s">
        <v>3150</v>
      </c>
      <c r="E4137" t="s">
        <v>8564</v>
      </c>
      <c r="F4137" t="s">
        <v>6802</v>
      </c>
      <c r="H4137" t="s">
        <v>3151</v>
      </c>
      <c r="K4137">
        <v>328</v>
      </c>
      <c r="L4137" t="s">
        <v>6803</v>
      </c>
    </row>
    <row r="4138" spans="1:12" x14ac:dyDescent="0.35">
      <c r="A4138" t="s">
        <v>3115</v>
      </c>
      <c r="B4138" s="1">
        <v>45717</v>
      </c>
      <c r="C4138" t="s">
        <v>8574</v>
      </c>
      <c r="D4138" t="s">
        <v>3150</v>
      </c>
      <c r="E4138" t="s">
        <v>8564</v>
      </c>
      <c r="F4138" t="s">
        <v>8537</v>
      </c>
      <c r="G4138" t="s">
        <v>8538</v>
      </c>
      <c r="H4138" t="s">
        <v>3151</v>
      </c>
      <c r="J4138">
        <v>328</v>
      </c>
      <c r="L4138" t="s">
        <v>5966</v>
      </c>
    </row>
    <row r="4139" spans="1:12" x14ac:dyDescent="0.35">
      <c r="A4139" t="s">
        <v>3115</v>
      </c>
      <c r="B4139" s="1">
        <v>45717</v>
      </c>
      <c r="C4139" t="s">
        <v>8575</v>
      </c>
      <c r="D4139" t="s">
        <v>3152</v>
      </c>
      <c r="E4139" t="s">
        <v>8576</v>
      </c>
      <c r="F4139" t="s">
        <v>6802</v>
      </c>
      <c r="H4139" t="s">
        <v>3153</v>
      </c>
      <c r="K4139">
        <v>525</v>
      </c>
      <c r="L4139" t="s">
        <v>6803</v>
      </c>
    </row>
    <row r="4140" spans="1:12" x14ac:dyDescent="0.35">
      <c r="A4140" t="s">
        <v>3115</v>
      </c>
      <c r="B4140" s="1">
        <v>45717</v>
      </c>
      <c r="C4140" t="s">
        <v>8575</v>
      </c>
      <c r="D4140" t="s">
        <v>3152</v>
      </c>
      <c r="E4140" t="s">
        <v>8576</v>
      </c>
      <c r="F4140" t="s">
        <v>8537</v>
      </c>
      <c r="G4140" t="s">
        <v>8538</v>
      </c>
      <c r="H4140" t="s">
        <v>3153</v>
      </c>
      <c r="J4140">
        <v>525</v>
      </c>
      <c r="L4140" t="s">
        <v>5966</v>
      </c>
    </row>
    <row r="4141" spans="1:12" x14ac:dyDescent="0.35">
      <c r="A4141" t="s">
        <v>3115</v>
      </c>
      <c r="B4141" s="1">
        <v>45717</v>
      </c>
      <c r="C4141" t="s">
        <v>8577</v>
      </c>
      <c r="D4141" t="s">
        <v>3154</v>
      </c>
      <c r="E4141" t="s">
        <v>8578</v>
      </c>
      <c r="F4141" t="s">
        <v>6915</v>
      </c>
      <c r="H4141" t="s">
        <v>3155</v>
      </c>
      <c r="K4141">
        <v>154910</v>
      </c>
      <c r="L4141" t="s">
        <v>6803</v>
      </c>
    </row>
    <row r="4142" spans="1:12" x14ac:dyDescent="0.35">
      <c r="A4142" t="s">
        <v>3115</v>
      </c>
      <c r="B4142" s="1">
        <v>45717</v>
      </c>
      <c r="C4142" t="s">
        <v>8577</v>
      </c>
      <c r="D4142" t="s">
        <v>3154</v>
      </c>
      <c r="E4142" t="s">
        <v>8578</v>
      </c>
      <c r="F4142" t="s">
        <v>8569</v>
      </c>
      <c r="G4142" t="s">
        <v>8570</v>
      </c>
      <c r="H4142" t="s">
        <v>3155</v>
      </c>
      <c r="J4142">
        <v>154910</v>
      </c>
      <c r="L4142" t="s">
        <v>5875</v>
      </c>
    </row>
    <row r="4143" spans="1:12" x14ac:dyDescent="0.35">
      <c r="A4143" t="s">
        <v>3115</v>
      </c>
      <c r="B4143" s="1">
        <v>45718</v>
      </c>
      <c r="C4143" t="s">
        <v>8579</v>
      </c>
      <c r="D4143" t="s">
        <v>3156</v>
      </c>
      <c r="E4143" t="s">
        <v>8580</v>
      </c>
      <c r="F4143" t="s">
        <v>6808</v>
      </c>
      <c r="H4143" t="s">
        <v>3157</v>
      </c>
      <c r="K4143">
        <v>6597</v>
      </c>
      <c r="L4143" t="s">
        <v>6803</v>
      </c>
    </row>
    <row r="4144" spans="1:12" x14ac:dyDescent="0.35">
      <c r="A4144" t="s">
        <v>3115</v>
      </c>
      <c r="B4144" s="1">
        <v>45718</v>
      </c>
      <c r="C4144" t="s">
        <v>8579</v>
      </c>
      <c r="D4144" t="s">
        <v>3156</v>
      </c>
      <c r="E4144" t="s">
        <v>8580</v>
      </c>
      <c r="F4144" t="s">
        <v>8467</v>
      </c>
      <c r="G4144" t="s">
        <v>8567</v>
      </c>
      <c r="H4144" t="s">
        <v>3157</v>
      </c>
      <c r="J4144">
        <v>6597</v>
      </c>
      <c r="L4144" t="s">
        <v>5966</v>
      </c>
    </row>
    <row r="4145" spans="1:12" x14ac:dyDescent="0.35">
      <c r="A4145" t="s">
        <v>3115</v>
      </c>
      <c r="B4145" s="1">
        <v>45718</v>
      </c>
      <c r="C4145" t="s">
        <v>8581</v>
      </c>
      <c r="D4145" t="s">
        <v>3158</v>
      </c>
      <c r="E4145" t="s">
        <v>8582</v>
      </c>
      <c r="F4145" t="s">
        <v>6802</v>
      </c>
      <c r="H4145" t="s">
        <v>3159</v>
      </c>
      <c r="K4145">
        <v>16858</v>
      </c>
      <c r="L4145" t="s">
        <v>6803</v>
      </c>
    </row>
    <row r="4146" spans="1:12" x14ac:dyDescent="0.35">
      <c r="A4146" t="s">
        <v>3115</v>
      </c>
      <c r="B4146" s="1">
        <v>45718</v>
      </c>
      <c r="C4146" t="s">
        <v>8581</v>
      </c>
      <c r="D4146" t="s">
        <v>3158</v>
      </c>
      <c r="E4146" t="s">
        <v>8582</v>
      </c>
      <c r="F4146" t="s">
        <v>8537</v>
      </c>
      <c r="G4146" t="s">
        <v>8538</v>
      </c>
      <c r="H4146" t="s">
        <v>3159</v>
      </c>
      <c r="J4146">
        <v>16858</v>
      </c>
      <c r="L4146" t="s">
        <v>5890</v>
      </c>
    </row>
    <row r="4147" spans="1:12" x14ac:dyDescent="0.35">
      <c r="A4147" t="s">
        <v>3115</v>
      </c>
      <c r="B4147" s="1">
        <v>45718</v>
      </c>
      <c r="C4147" t="s">
        <v>8583</v>
      </c>
      <c r="D4147" t="s">
        <v>3160</v>
      </c>
      <c r="E4147" t="s">
        <v>8582</v>
      </c>
      <c r="F4147" t="s">
        <v>6915</v>
      </c>
      <c r="H4147" t="s">
        <v>3161</v>
      </c>
      <c r="K4147">
        <v>12150</v>
      </c>
      <c r="L4147" t="s">
        <v>6803</v>
      </c>
    </row>
    <row r="4148" spans="1:12" x14ac:dyDescent="0.35">
      <c r="A4148" t="s">
        <v>3115</v>
      </c>
      <c r="B4148" s="1">
        <v>45718</v>
      </c>
      <c r="C4148" t="s">
        <v>8583</v>
      </c>
      <c r="D4148" t="s">
        <v>3160</v>
      </c>
      <c r="E4148" t="s">
        <v>8582</v>
      </c>
      <c r="F4148" t="s">
        <v>8569</v>
      </c>
      <c r="G4148" t="s">
        <v>8570</v>
      </c>
      <c r="H4148" t="s">
        <v>3161</v>
      </c>
      <c r="J4148">
        <v>12150</v>
      </c>
      <c r="L4148" t="s">
        <v>5890</v>
      </c>
    </row>
    <row r="4149" spans="1:12" x14ac:dyDescent="0.35">
      <c r="A4149" t="s">
        <v>3115</v>
      </c>
      <c r="B4149" s="1">
        <v>45718</v>
      </c>
      <c r="C4149" t="s">
        <v>8584</v>
      </c>
      <c r="D4149" t="s">
        <v>3162</v>
      </c>
      <c r="E4149" t="s">
        <v>8585</v>
      </c>
      <c r="F4149" t="s">
        <v>6802</v>
      </c>
      <c r="H4149" t="s">
        <v>3163</v>
      </c>
      <c r="K4149">
        <v>224535</v>
      </c>
      <c r="L4149" t="s">
        <v>6803</v>
      </c>
    </row>
    <row r="4150" spans="1:12" x14ac:dyDescent="0.35">
      <c r="A4150" t="s">
        <v>3115</v>
      </c>
      <c r="B4150" s="1">
        <v>45718</v>
      </c>
      <c r="C4150" t="s">
        <v>8584</v>
      </c>
      <c r="D4150" t="s">
        <v>3162</v>
      </c>
      <c r="E4150" t="s">
        <v>8585</v>
      </c>
      <c r="F4150" t="s">
        <v>8537</v>
      </c>
      <c r="G4150" t="s">
        <v>8538</v>
      </c>
      <c r="H4150" t="s">
        <v>3163</v>
      </c>
      <c r="J4150">
        <v>224535</v>
      </c>
      <c r="L4150" t="s">
        <v>5966</v>
      </c>
    </row>
    <row r="4151" spans="1:12" x14ac:dyDescent="0.35">
      <c r="A4151" t="s">
        <v>3115</v>
      </c>
      <c r="B4151" s="1">
        <v>45718</v>
      </c>
      <c r="C4151" t="s">
        <v>8586</v>
      </c>
      <c r="D4151" t="s">
        <v>3164</v>
      </c>
      <c r="E4151" t="s">
        <v>8587</v>
      </c>
      <c r="F4151" t="s">
        <v>6811</v>
      </c>
      <c r="H4151" t="s">
        <v>3165</v>
      </c>
      <c r="K4151">
        <v>196</v>
      </c>
      <c r="L4151" t="s">
        <v>6803</v>
      </c>
    </row>
    <row r="4152" spans="1:12" x14ac:dyDescent="0.35">
      <c r="A4152" t="s">
        <v>3115</v>
      </c>
      <c r="B4152" s="1">
        <v>45718</v>
      </c>
      <c r="C4152" t="s">
        <v>8586</v>
      </c>
      <c r="D4152" t="s">
        <v>3164</v>
      </c>
      <c r="E4152" t="s">
        <v>8587</v>
      </c>
      <c r="F4152" t="s">
        <v>8557</v>
      </c>
      <c r="G4152" t="s">
        <v>8558</v>
      </c>
      <c r="H4152" t="s">
        <v>3165</v>
      </c>
      <c r="J4152">
        <v>196</v>
      </c>
      <c r="L4152" t="s">
        <v>5966</v>
      </c>
    </row>
    <row r="4153" spans="1:12" x14ac:dyDescent="0.35">
      <c r="A4153" t="s">
        <v>3115</v>
      </c>
      <c r="B4153" s="1">
        <v>45718</v>
      </c>
      <c r="C4153" t="s">
        <v>8588</v>
      </c>
      <c r="D4153" t="s">
        <v>3166</v>
      </c>
      <c r="E4153" t="s">
        <v>8585</v>
      </c>
      <c r="F4153" t="s">
        <v>6802</v>
      </c>
      <c r="H4153" t="s">
        <v>3167</v>
      </c>
      <c r="K4153">
        <v>14457</v>
      </c>
      <c r="L4153" t="s">
        <v>6803</v>
      </c>
    </row>
    <row r="4154" spans="1:12" x14ac:dyDescent="0.35">
      <c r="A4154" t="s">
        <v>3115</v>
      </c>
      <c r="B4154" s="1">
        <v>45718</v>
      </c>
      <c r="C4154" t="s">
        <v>8588</v>
      </c>
      <c r="D4154" t="s">
        <v>3166</v>
      </c>
      <c r="E4154" t="s">
        <v>8585</v>
      </c>
      <c r="F4154" t="s">
        <v>8557</v>
      </c>
      <c r="G4154" t="s">
        <v>8558</v>
      </c>
      <c r="H4154" t="s">
        <v>3167</v>
      </c>
      <c r="J4154">
        <v>14457</v>
      </c>
      <c r="L4154" t="s">
        <v>5966</v>
      </c>
    </row>
    <row r="4155" spans="1:12" x14ac:dyDescent="0.35">
      <c r="A4155" t="s">
        <v>3115</v>
      </c>
      <c r="B4155" s="1">
        <v>45718</v>
      </c>
      <c r="C4155" t="s">
        <v>8589</v>
      </c>
      <c r="D4155" t="s">
        <v>3168</v>
      </c>
      <c r="E4155" t="s">
        <v>8590</v>
      </c>
      <c r="F4155" t="s">
        <v>6802</v>
      </c>
      <c r="H4155" t="s">
        <v>3169</v>
      </c>
      <c r="K4155">
        <v>130536</v>
      </c>
      <c r="L4155" t="s">
        <v>6803</v>
      </c>
    </row>
    <row r="4156" spans="1:12" x14ac:dyDescent="0.35">
      <c r="A4156" t="s">
        <v>3115</v>
      </c>
      <c r="B4156" s="1">
        <v>45718</v>
      </c>
      <c r="C4156" t="s">
        <v>8589</v>
      </c>
      <c r="D4156" t="s">
        <v>3168</v>
      </c>
      <c r="E4156" t="s">
        <v>8590</v>
      </c>
      <c r="F4156" t="s">
        <v>8537</v>
      </c>
      <c r="G4156" t="s">
        <v>8538</v>
      </c>
      <c r="H4156" t="s">
        <v>3169</v>
      </c>
      <c r="J4156">
        <v>130536</v>
      </c>
      <c r="L4156" t="s">
        <v>5966</v>
      </c>
    </row>
    <row r="4157" spans="1:12" x14ac:dyDescent="0.35">
      <c r="A4157" t="s">
        <v>3115</v>
      </c>
      <c r="B4157" s="1">
        <v>45718</v>
      </c>
      <c r="C4157" t="s">
        <v>8591</v>
      </c>
      <c r="D4157" t="s">
        <v>3170</v>
      </c>
      <c r="E4157" t="s">
        <v>8592</v>
      </c>
      <c r="F4157" t="s">
        <v>6802</v>
      </c>
      <c r="H4157" t="s">
        <v>3171</v>
      </c>
      <c r="K4157">
        <v>50509</v>
      </c>
      <c r="L4157" t="s">
        <v>6803</v>
      </c>
    </row>
    <row r="4158" spans="1:12" x14ac:dyDescent="0.35">
      <c r="A4158" t="s">
        <v>3115</v>
      </c>
      <c r="B4158" s="1">
        <v>45718</v>
      </c>
      <c r="C4158" t="s">
        <v>8591</v>
      </c>
      <c r="D4158" t="s">
        <v>3170</v>
      </c>
      <c r="E4158" t="s">
        <v>8592</v>
      </c>
      <c r="F4158" t="s">
        <v>8537</v>
      </c>
      <c r="G4158" t="s">
        <v>8538</v>
      </c>
      <c r="H4158" t="s">
        <v>3171</v>
      </c>
      <c r="J4158">
        <v>50509</v>
      </c>
      <c r="L4158" t="s">
        <v>5966</v>
      </c>
    </row>
    <row r="4159" spans="1:12" x14ac:dyDescent="0.35">
      <c r="A4159" t="s">
        <v>3115</v>
      </c>
      <c r="B4159" s="1">
        <v>45718</v>
      </c>
      <c r="C4159" t="s">
        <v>8593</v>
      </c>
      <c r="D4159" t="s">
        <v>3172</v>
      </c>
      <c r="E4159" t="s">
        <v>8594</v>
      </c>
      <c r="F4159" t="s">
        <v>6802</v>
      </c>
      <c r="H4159" t="s">
        <v>3173</v>
      </c>
      <c r="K4159">
        <v>2500</v>
      </c>
      <c r="L4159" t="s">
        <v>6803</v>
      </c>
    </row>
    <row r="4160" spans="1:12" x14ac:dyDescent="0.35">
      <c r="A4160" t="s">
        <v>3115</v>
      </c>
      <c r="B4160" s="1">
        <v>45718</v>
      </c>
      <c r="C4160" t="s">
        <v>8593</v>
      </c>
      <c r="D4160" t="s">
        <v>3172</v>
      </c>
      <c r="E4160" t="s">
        <v>8594</v>
      </c>
      <c r="F4160" t="s">
        <v>8557</v>
      </c>
      <c r="G4160" t="s">
        <v>8558</v>
      </c>
      <c r="H4160" t="s">
        <v>3173</v>
      </c>
      <c r="J4160">
        <v>2500</v>
      </c>
      <c r="L4160" t="s">
        <v>5966</v>
      </c>
    </row>
    <row r="4161" spans="1:12" x14ac:dyDescent="0.35">
      <c r="A4161" t="s">
        <v>3115</v>
      </c>
      <c r="B4161" s="1">
        <v>45718</v>
      </c>
      <c r="C4161" t="s">
        <v>8595</v>
      </c>
      <c r="D4161" t="s">
        <v>3174</v>
      </c>
      <c r="E4161" t="s">
        <v>8596</v>
      </c>
      <c r="F4161" t="s">
        <v>6802</v>
      </c>
      <c r="H4161" t="s">
        <v>3175</v>
      </c>
      <c r="K4161">
        <v>37000</v>
      </c>
      <c r="L4161" t="s">
        <v>6803</v>
      </c>
    </row>
    <row r="4162" spans="1:12" x14ac:dyDescent="0.35">
      <c r="A4162" t="s">
        <v>3115</v>
      </c>
      <c r="B4162" s="1">
        <v>45718</v>
      </c>
      <c r="C4162" t="s">
        <v>8595</v>
      </c>
      <c r="D4162" t="s">
        <v>3174</v>
      </c>
      <c r="E4162" t="s">
        <v>8596</v>
      </c>
      <c r="F4162" t="s">
        <v>8557</v>
      </c>
      <c r="G4162" t="s">
        <v>8558</v>
      </c>
      <c r="H4162" t="s">
        <v>3175</v>
      </c>
      <c r="J4162">
        <v>37000</v>
      </c>
      <c r="L4162" t="s">
        <v>5966</v>
      </c>
    </row>
    <row r="4163" spans="1:12" x14ac:dyDescent="0.35">
      <c r="A4163" t="s">
        <v>3115</v>
      </c>
      <c r="B4163" s="1">
        <v>45718</v>
      </c>
      <c r="C4163" t="s">
        <v>8597</v>
      </c>
      <c r="D4163" t="s">
        <v>3176</v>
      </c>
      <c r="E4163" t="s">
        <v>8596</v>
      </c>
      <c r="F4163" t="s">
        <v>6802</v>
      </c>
      <c r="H4163" t="s">
        <v>3177</v>
      </c>
      <c r="K4163">
        <v>1199</v>
      </c>
      <c r="L4163" t="s">
        <v>6803</v>
      </c>
    </row>
    <row r="4164" spans="1:12" x14ac:dyDescent="0.35">
      <c r="A4164" t="s">
        <v>3115</v>
      </c>
      <c r="B4164" s="1">
        <v>45718</v>
      </c>
      <c r="C4164" t="s">
        <v>8597</v>
      </c>
      <c r="D4164" t="s">
        <v>3176</v>
      </c>
      <c r="E4164" t="s">
        <v>8596</v>
      </c>
      <c r="F4164" t="s">
        <v>8557</v>
      </c>
      <c r="G4164" t="s">
        <v>8558</v>
      </c>
      <c r="H4164" t="s">
        <v>3177</v>
      </c>
      <c r="J4164">
        <v>1199</v>
      </c>
      <c r="L4164" t="s">
        <v>5966</v>
      </c>
    </row>
    <row r="4165" spans="1:12" x14ac:dyDescent="0.35">
      <c r="A4165" t="s">
        <v>3115</v>
      </c>
      <c r="B4165" s="1">
        <v>45718</v>
      </c>
      <c r="C4165" t="s">
        <v>8598</v>
      </c>
      <c r="D4165" t="s">
        <v>3178</v>
      </c>
      <c r="E4165" t="s">
        <v>8599</v>
      </c>
      <c r="F4165" t="s">
        <v>6802</v>
      </c>
      <c r="H4165" t="s">
        <v>3179</v>
      </c>
      <c r="K4165">
        <v>3936</v>
      </c>
      <c r="L4165" t="s">
        <v>6803</v>
      </c>
    </row>
    <row r="4166" spans="1:12" x14ac:dyDescent="0.35">
      <c r="A4166" t="s">
        <v>3115</v>
      </c>
      <c r="B4166" s="1">
        <v>45718</v>
      </c>
      <c r="C4166" t="s">
        <v>8598</v>
      </c>
      <c r="D4166" t="s">
        <v>3178</v>
      </c>
      <c r="E4166" t="s">
        <v>8599</v>
      </c>
      <c r="F4166" t="s">
        <v>8537</v>
      </c>
      <c r="G4166" t="s">
        <v>8538</v>
      </c>
      <c r="H4166" t="s">
        <v>3179</v>
      </c>
      <c r="J4166">
        <v>3936</v>
      </c>
      <c r="L4166" t="s">
        <v>5966</v>
      </c>
    </row>
    <row r="4167" spans="1:12" x14ac:dyDescent="0.35">
      <c r="A4167" t="s">
        <v>3115</v>
      </c>
      <c r="B4167" s="1">
        <v>45718</v>
      </c>
      <c r="C4167" t="s">
        <v>8600</v>
      </c>
      <c r="D4167" t="s">
        <v>3180</v>
      </c>
      <c r="E4167" t="s">
        <v>8599</v>
      </c>
      <c r="F4167" t="s">
        <v>6802</v>
      </c>
      <c r="H4167" t="s">
        <v>3181</v>
      </c>
      <c r="K4167">
        <v>10511</v>
      </c>
      <c r="L4167" t="s">
        <v>6803</v>
      </c>
    </row>
    <row r="4168" spans="1:12" x14ac:dyDescent="0.35">
      <c r="A4168" t="s">
        <v>3115</v>
      </c>
      <c r="B4168" s="1">
        <v>45718</v>
      </c>
      <c r="C4168" t="s">
        <v>8600</v>
      </c>
      <c r="D4168" t="s">
        <v>3180</v>
      </c>
      <c r="E4168" t="s">
        <v>8599</v>
      </c>
      <c r="F4168" t="s">
        <v>8557</v>
      </c>
      <c r="G4168" t="s">
        <v>8558</v>
      </c>
      <c r="H4168" t="s">
        <v>3181</v>
      </c>
      <c r="J4168">
        <v>10511</v>
      </c>
      <c r="L4168" t="s">
        <v>5966</v>
      </c>
    </row>
    <row r="4169" spans="1:12" x14ac:dyDescent="0.35">
      <c r="A4169" t="s">
        <v>3115</v>
      </c>
      <c r="B4169" s="1">
        <v>45718</v>
      </c>
      <c r="C4169" t="s">
        <v>8601</v>
      </c>
      <c r="D4169" t="s">
        <v>3182</v>
      </c>
      <c r="E4169" t="s">
        <v>8602</v>
      </c>
      <c r="F4169" t="s">
        <v>6802</v>
      </c>
      <c r="H4169" t="s">
        <v>3183</v>
      </c>
      <c r="K4169">
        <v>8003</v>
      </c>
      <c r="L4169" t="s">
        <v>6803</v>
      </c>
    </row>
    <row r="4170" spans="1:12" x14ac:dyDescent="0.35">
      <c r="A4170" t="s">
        <v>3115</v>
      </c>
      <c r="B4170" s="1">
        <v>45718</v>
      </c>
      <c r="C4170" t="s">
        <v>8601</v>
      </c>
      <c r="D4170" t="s">
        <v>3182</v>
      </c>
      <c r="E4170" t="s">
        <v>8602</v>
      </c>
      <c r="F4170" t="s">
        <v>8537</v>
      </c>
      <c r="G4170" t="s">
        <v>8538</v>
      </c>
      <c r="H4170" t="s">
        <v>3183</v>
      </c>
      <c r="J4170">
        <v>8003</v>
      </c>
      <c r="L4170" t="s">
        <v>5966</v>
      </c>
    </row>
    <row r="4171" spans="1:12" x14ac:dyDescent="0.35">
      <c r="A4171" t="s">
        <v>3115</v>
      </c>
      <c r="B4171" s="1">
        <v>45718</v>
      </c>
      <c r="C4171" t="s">
        <v>8603</v>
      </c>
      <c r="D4171" t="s">
        <v>3184</v>
      </c>
      <c r="E4171" t="s">
        <v>8604</v>
      </c>
      <c r="F4171" t="s">
        <v>6802</v>
      </c>
      <c r="H4171" t="s">
        <v>3185</v>
      </c>
      <c r="K4171">
        <v>6137</v>
      </c>
      <c r="L4171" t="s">
        <v>6803</v>
      </c>
    </row>
    <row r="4172" spans="1:12" x14ac:dyDescent="0.35">
      <c r="A4172" t="s">
        <v>3115</v>
      </c>
      <c r="B4172" s="1">
        <v>45718</v>
      </c>
      <c r="C4172" t="s">
        <v>8603</v>
      </c>
      <c r="D4172" t="s">
        <v>3184</v>
      </c>
      <c r="E4172" t="s">
        <v>8604</v>
      </c>
      <c r="F4172" t="s">
        <v>8537</v>
      </c>
      <c r="G4172" t="s">
        <v>8538</v>
      </c>
      <c r="H4172" t="s">
        <v>3185</v>
      </c>
      <c r="J4172">
        <v>6137</v>
      </c>
      <c r="L4172" t="s">
        <v>5966</v>
      </c>
    </row>
    <row r="4173" spans="1:12" x14ac:dyDescent="0.35">
      <c r="A4173" t="s">
        <v>3115</v>
      </c>
      <c r="B4173" s="1">
        <v>45718</v>
      </c>
      <c r="C4173" t="s">
        <v>8605</v>
      </c>
      <c r="D4173" t="s">
        <v>3186</v>
      </c>
      <c r="E4173" t="s">
        <v>8604</v>
      </c>
      <c r="F4173" t="s">
        <v>6802</v>
      </c>
      <c r="H4173" t="s">
        <v>3187</v>
      </c>
      <c r="K4173">
        <v>3943</v>
      </c>
      <c r="L4173" t="s">
        <v>6803</v>
      </c>
    </row>
    <row r="4174" spans="1:12" x14ac:dyDescent="0.35">
      <c r="A4174" t="s">
        <v>3115</v>
      </c>
      <c r="B4174" s="1">
        <v>45718</v>
      </c>
      <c r="C4174" t="s">
        <v>8605</v>
      </c>
      <c r="D4174" t="s">
        <v>3186</v>
      </c>
      <c r="E4174" t="s">
        <v>8604</v>
      </c>
      <c r="F4174" t="s">
        <v>8557</v>
      </c>
      <c r="G4174" t="s">
        <v>8558</v>
      </c>
      <c r="H4174" t="s">
        <v>3187</v>
      </c>
      <c r="J4174">
        <v>3943</v>
      </c>
      <c r="L4174" t="s">
        <v>5966</v>
      </c>
    </row>
    <row r="4175" spans="1:12" x14ac:dyDescent="0.35">
      <c r="A4175" t="s">
        <v>3115</v>
      </c>
      <c r="B4175" s="1">
        <v>45718</v>
      </c>
      <c r="C4175" t="s">
        <v>8606</v>
      </c>
      <c r="D4175" t="s">
        <v>3188</v>
      </c>
      <c r="E4175" t="s">
        <v>8607</v>
      </c>
      <c r="F4175" t="s">
        <v>6811</v>
      </c>
      <c r="H4175" t="s">
        <v>3189</v>
      </c>
      <c r="K4175">
        <v>1009</v>
      </c>
      <c r="L4175" t="s">
        <v>6803</v>
      </c>
    </row>
    <row r="4176" spans="1:12" x14ac:dyDescent="0.35">
      <c r="A4176" t="s">
        <v>3115</v>
      </c>
      <c r="B4176" s="1">
        <v>45718</v>
      </c>
      <c r="C4176" t="s">
        <v>8606</v>
      </c>
      <c r="D4176" t="s">
        <v>3188</v>
      </c>
      <c r="E4176" t="s">
        <v>8607</v>
      </c>
      <c r="F4176" t="s">
        <v>8557</v>
      </c>
      <c r="G4176" t="s">
        <v>8558</v>
      </c>
      <c r="H4176" t="s">
        <v>3189</v>
      </c>
      <c r="J4176">
        <v>1009</v>
      </c>
      <c r="L4176" t="s">
        <v>5966</v>
      </c>
    </row>
    <row r="4177" spans="1:12" x14ac:dyDescent="0.35">
      <c r="A4177" t="s">
        <v>3115</v>
      </c>
      <c r="B4177" s="1">
        <v>45719</v>
      </c>
      <c r="C4177" t="s">
        <v>7222</v>
      </c>
      <c r="D4177" t="s">
        <v>3190</v>
      </c>
      <c r="E4177" t="s">
        <v>8608</v>
      </c>
      <c r="F4177" t="s">
        <v>6811</v>
      </c>
      <c r="H4177" t="s">
        <v>3191</v>
      </c>
      <c r="K4177">
        <v>15481</v>
      </c>
      <c r="L4177" t="s">
        <v>6803</v>
      </c>
    </row>
    <row r="4178" spans="1:12" x14ac:dyDescent="0.35">
      <c r="A4178" t="s">
        <v>3115</v>
      </c>
      <c r="B4178" s="1">
        <v>45719</v>
      </c>
      <c r="C4178" t="s">
        <v>7222</v>
      </c>
      <c r="D4178" t="s">
        <v>3190</v>
      </c>
      <c r="E4178" t="s">
        <v>8608</v>
      </c>
      <c r="F4178" t="s">
        <v>6802</v>
      </c>
      <c r="H4178" t="s">
        <v>3191</v>
      </c>
      <c r="K4178">
        <v>80027</v>
      </c>
      <c r="L4178" t="s">
        <v>6803</v>
      </c>
    </row>
    <row r="4179" spans="1:12" x14ac:dyDescent="0.35">
      <c r="A4179" t="s">
        <v>3115</v>
      </c>
      <c r="B4179" s="1">
        <v>45719</v>
      </c>
      <c r="C4179" t="s">
        <v>7222</v>
      </c>
      <c r="D4179" t="s">
        <v>3190</v>
      </c>
      <c r="E4179" t="s">
        <v>8608</v>
      </c>
      <c r="F4179" t="s">
        <v>8537</v>
      </c>
      <c r="G4179" t="s">
        <v>8538</v>
      </c>
      <c r="H4179" t="s">
        <v>3191</v>
      </c>
      <c r="J4179">
        <v>95508</v>
      </c>
      <c r="L4179" t="s">
        <v>5958</v>
      </c>
    </row>
    <row r="4180" spans="1:12" x14ac:dyDescent="0.35">
      <c r="A4180" t="s">
        <v>3115</v>
      </c>
      <c r="B4180" s="1">
        <v>45719</v>
      </c>
      <c r="C4180" t="s">
        <v>7224</v>
      </c>
      <c r="D4180" t="s">
        <v>3192</v>
      </c>
      <c r="E4180" t="s">
        <v>8609</v>
      </c>
      <c r="F4180" t="s">
        <v>6802</v>
      </c>
      <c r="H4180" t="s">
        <v>3193</v>
      </c>
      <c r="K4180">
        <v>12266</v>
      </c>
      <c r="L4180" t="s">
        <v>6803</v>
      </c>
    </row>
    <row r="4181" spans="1:12" x14ac:dyDescent="0.35">
      <c r="A4181" t="s">
        <v>3115</v>
      </c>
      <c r="B4181" s="1">
        <v>45719</v>
      </c>
      <c r="C4181" t="s">
        <v>7224</v>
      </c>
      <c r="D4181" t="s">
        <v>3192</v>
      </c>
      <c r="E4181" t="s">
        <v>8609</v>
      </c>
      <c r="F4181" t="s">
        <v>6802</v>
      </c>
      <c r="H4181" t="s">
        <v>3193</v>
      </c>
      <c r="K4181">
        <v>5707</v>
      </c>
      <c r="L4181" t="s">
        <v>6803</v>
      </c>
    </row>
    <row r="4182" spans="1:12" x14ac:dyDescent="0.35">
      <c r="A4182" t="s">
        <v>3115</v>
      </c>
      <c r="B4182" s="1">
        <v>45719</v>
      </c>
      <c r="C4182" t="s">
        <v>7224</v>
      </c>
      <c r="D4182" t="s">
        <v>3192</v>
      </c>
      <c r="E4182" t="s">
        <v>8609</v>
      </c>
      <c r="F4182" t="s">
        <v>8537</v>
      </c>
      <c r="G4182" t="s">
        <v>8538</v>
      </c>
      <c r="H4182" t="s">
        <v>3193</v>
      </c>
      <c r="J4182">
        <v>17973</v>
      </c>
      <c r="L4182" t="s">
        <v>6010</v>
      </c>
    </row>
    <row r="4183" spans="1:12" x14ac:dyDescent="0.35">
      <c r="A4183" t="s">
        <v>3115</v>
      </c>
      <c r="B4183" s="1">
        <v>45719</v>
      </c>
      <c r="C4183" t="s">
        <v>7226</v>
      </c>
      <c r="D4183" t="s">
        <v>3194</v>
      </c>
      <c r="E4183" t="s">
        <v>8610</v>
      </c>
      <c r="F4183" t="s">
        <v>6915</v>
      </c>
      <c r="H4183" t="s">
        <v>3195</v>
      </c>
      <c r="K4183">
        <v>78260</v>
      </c>
      <c r="L4183" t="s">
        <v>6803</v>
      </c>
    </row>
    <row r="4184" spans="1:12" x14ac:dyDescent="0.35">
      <c r="A4184" t="s">
        <v>3115</v>
      </c>
      <c r="B4184" s="1">
        <v>45719</v>
      </c>
      <c r="C4184" t="s">
        <v>7226</v>
      </c>
      <c r="D4184" t="s">
        <v>3194</v>
      </c>
      <c r="E4184" t="s">
        <v>8610</v>
      </c>
      <c r="F4184" t="s">
        <v>8569</v>
      </c>
      <c r="G4184" t="s">
        <v>8570</v>
      </c>
      <c r="H4184" t="s">
        <v>3195</v>
      </c>
      <c r="J4184">
        <v>78260</v>
      </c>
      <c r="L4184" t="s">
        <v>6010</v>
      </c>
    </row>
    <row r="4185" spans="1:12" x14ac:dyDescent="0.35">
      <c r="A4185" t="s">
        <v>3115</v>
      </c>
      <c r="B4185" s="1">
        <v>45719</v>
      </c>
      <c r="C4185" t="s">
        <v>7228</v>
      </c>
      <c r="D4185" t="s">
        <v>3196</v>
      </c>
      <c r="E4185" t="s">
        <v>8610</v>
      </c>
      <c r="F4185" t="s">
        <v>6802</v>
      </c>
      <c r="H4185" t="s">
        <v>3197</v>
      </c>
      <c r="K4185">
        <v>12266</v>
      </c>
      <c r="L4185" t="s">
        <v>6803</v>
      </c>
    </row>
    <row r="4186" spans="1:12" x14ac:dyDescent="0.35">
      <c r="A4186" t="s">
        <v>3115</v>
      </c>
      <c r="B4186" s="1">
        <v>45719</v>
      </c>
      <c r="C4186" t="s">
        <v>7228</v>
      </c>
      <c r="D4186" t="s">
        <v>3196</v>
      </c>
      <c r="E4186" t="s">
        <v>8610</v>
      </c>
      <c r="F4186" t="s">
        <v>6802</v>
      </c>
      <c r="H4186" t="s">
        <v>3197</v>
      </c>
      <c r="K4186">
        <v>5707</v>
      </c>
      <c r="L4186" t="s">
        <v>6803</v>
      </c>
    </row>
    <row r="4187" spans="1:12" x14ac:dyDescent="0.35">
      <c r="A4187" t="s">
        <v>3115</v>
      </c>
      <c r="B4187" s="1">
        <v>45719</v>
      </c>
      <c r="C4187" t="s">
        <v>7228</v>
      </c>
      <c r="D4187" t="s">
        <v>3196</v>
      </c>
      <c r="E4187" t="s">
        <v>8610</v>
      </c>
      <c r="F4187" t="s">
        <v>8537</v>
      </c>
      <c r="G4187" t="s">
        <v>8538</v>
      </c>
      <c r="H4187" t="s">
        <v>3197</v>
      </c>
      <c r="J4187">
        <v>17973</v>
      </c>
      <c r="L4187" t="s">
        <v>6010</v>
      </c>
    </row>
    <row r="4188" spans="1:12" x14ac:dyDescent="0.35">
      <c r="A4188" t="s">
        <v>3115</v>
      </c>
      <c r="B4188" s="1">
        <v>45719</v>
      </c>
      <c r="C4188" t="s">
        <v>7230</v>
      </c>
      <c r="D4188" t="s">
        <v>3198</v>
      </c>
      <c r="E4188" t="s">
        <v>8611</v>
      </c>
      <c r="F4188" t="s">
        <v>6808</v>
      </c>
      <c r="H4188" t="s">
        <v>3199</v>
      </c>
      <c r="K4188">
        <v>10594</v>
      </c>
      <c r="L4188" t="s">
        <v>6803</v>
      </c>
    </row>
    <row r="4189" spans="1:12" x14ac:dyDescent="0.35">
      <c r="A4189" t="s">
        <v>3115</v>
      </c>
      <c r="B4189" s="1">
        <v>45719</v>
      </c>
      <c r="C4189" t="s">
        <v>7230</v>
      </c>
      <c r="D4189" t="s">
        <v>3198</v>
      </c>
      <c r="E4189" t="s">
        <v>8611</v>
      </c>
      <c r="F4189" t="s">
        <v>6802</v>
      </c>
      <c r="H4189" t="s">
        <v>3199</v>
      </c>
      <c r="K4189">
        <v>2793</v>
      </c>
      <c r="L4189" t="s">
        <v>6803</v>
      </c>
    </row>
    <row r="4190" spans="1:12" x14ac:dyDescent="0.35">
      <c r="A4190" t="s">
        <v>3115</v>
      </c>
      <c r="B4190" s="1">
        <v>45719</v>
      </c>
      <c r="C4190" t="s">
        <v>7230</v>
      </c>
      <c r="D4190" t="s">
        <v>3198</v>
      </c>
      <c r="E4190" t="s">
        <v>8611</v>
      </c>
      <c r="F4190" t="s">
        <v>8557</v>
      </c>
      <c r="G4190" t="s">
        <v>8558</v>
      </c>
      <c r="H4190" t="s">
        <v>3199</v>
      </c>
      <c r="J4190">
        <v>13387</v>
      </c>
      <c r="L4190" t="s">
        <v>6011</v>
      </c>
    </row>
    <row r="4191" spans="1:12" x14ac:dyDescent="0.35">
      <c r="A4191" t="s">
        <v>3115</v>
      </c>
      <c r="B4191" s="1">
        <v>45719</v>
      </c>
      <c r="C4191" t="s">
        <v>7232</v>
      </c>
      <c r="D4191" t="s">
        <v>3200</v>
      </c>
      <c r="E4191" t="s">
        <v>8612</v>
      </c>
      <c r="F4191" t="s">
        <v>6915</v>
      </c>
      <c r="H4191" t="s">
        <v>3201</v>
      </c>
      <c r="K4191">
        <v>120400</v>
      </c>
      <c r="L4191" t="s">
        <v>6803</v>
      </c>
    </row>
    <row r="4192" spans="1:12" x14ac:dyDescent="0.35">
      <c r="A4192" t="s">
        <v>3115</v>
      </c>
      <c r="B4192" s="1">
        <v>45719</v>
      </c>
      <c r="C4192" t="s">
        <v>7232</v>
      </c>
      <c r="D4192" t="s">
        <v>3200</v>
      </c>
      <c r="E4192" t="s">
        <v>8612</v>
      </c>
      <c r="F4192" t="s">
        <v>8569</v>
      </c>
      <c r="G4192" t="s">
        <v>8570</v>
      </c>
      <c r="H4192" t="s">
        <v>3201</v>
      </c>
      <c r="J4192">
        <v>120400</v>
      </c>
      <c r="L4192" t="s">
        <v>5880</v>
      </c>
    </row>
    <row r="4193" spans="1:12" x14ac:dyDescent="0.35">
      <c r="A4193" t="s">
        <v>3115</v>
      </c>
      <c r="B4193" s="1">
        <v>45719</v>
      </c>
      <c r="C4193" t="s">
        <v>7234</v>
      </c>
      <c r="D4193" t="s">
        <v>3202</v>
      </c>
      <c r="E4193" t="s">
        <v>8613</v>
      </c>
      <c r="F4193" t="s">
        <v>6802</v>
      </c>
      <c r="H4193" t="s">
        <v>3203</v>
      </c>
      <c r="K4193">
        <v>181701</v>
      </c>
      <c r="L4193" t="s">
        <v>6803</v>
      </c>
    </row>
    <row r="4194" spans="1:12" x14ac:dyDescent="0.35">
      <c r="A4194" t="s">
        <v>3115</v>
      </c>
      <c r="B4194" s="1">
        <v>45719</v>
      </c>
      <c r="C4194" t="s">
        <v>7234</v>
      </c>
      <c r="D4194" t="s">
        <v>3202</v>
      </c>
      <c r="E4194" t="s">
        <v>8613</v>
      </c>
      <c r="F4194" t="s">
        <v>8537</v>
      </c>
      <c r="G4194" t="s">
        <v>8538</v>
      </c>
      <c r="H4194" t="s">
        <v>3203</v>
      </c>
      <c r="J4194">
        <v>181701</v>
      </c>
      <c r="L4194" t="s">
        <v>6010</v>
      </c>
    </row>
    <row r="4195" spans="1:12" x14ac:dyDescent="0.35">
      <c r="A4195" t="s">
        <v>3115</v>
      </c>
      <c r="B4195" s="1">
        <v>45719</v>
      </c>
      <c r="C4195" t="s">
        <v>7236</v>
      </c>
      <c r="D4195" t="s">
        <v>3204</v>
      </c>
      <c r="E4195" t="s">
        <v>8613</v>
      </c>
      <c r="F4195" t="s">
        <v>6915</v>
      </c>
      <c r="H4195" t="s">
        <v>3205</v>
      </c>
      <c r="K4195">
        <v>48160</v>
      </c>
      <c r="L4195" t="s">
        <v>6803</v>
      </c>
    </row>
    <row r="4196" spans="1:12" x14ac:dyDescent="0.35">
      <c r="A4196" t="s">
        <v>3115</v>
      </c>
      <c r="B4196" s="1">
        <v>45719</v>
      </c>
      <c r="C4196" t="s">
        <v>7236</v>
      </c>
      <c r="D4196" t="s">
        <v>3204</v>
      </c>
      <c r="E4196" t="s">
        <v>8613</v>
      </c>
      <c r="F4196" t="s">
        <v>8569</v>
      </c>
      <c r="G4196" t="s">
        <v>8570</v>
      </c>
      <c r="H4196" t="s">
        <v>3205</v>
      </c>
      <c r="J4196">
        <v>48160</v>
      </c>
      <c r="L4196" t="s">
        <v>6010</v>
      </c>
    </row>
    <row r="4197" spans="1:12" x14ac:dyDescent="0.35">
      <c r="A4197" t="s">
        <v>3115</v>
      </c>
      <c r="B4197" s="1">
        <v>45719</v>
      </c>
      <c r="C4197" t="s">
        <v>7238</v>
      </c>
      <c r="D4197" t="s">
        <v>3206</v>
      </c>
      <c r="E4197" t="s">
        <v>8614</v>
      </c>
      <c r="F4197" t="s">
        <v>6802</v>
      </c>
      <c r="H4197" t="s">
        <v>3207</v>
      </c>
      <c r="K4197">
        <v>181701</v>
      </c>
      <c r="L4197" t="s">
        <v>6803</v>
      </c>
    </row>
    <row r="4198" spans="1:12" x14ac:dyDescent="0.35">
      <c r="A4198" t="s">
        <v>3115</v>
      </c>
      <c r="B4198" s="1">
        <v>45719</v>
      </c>
      <c r="C4198" t="s">
        <v>7238</v>
      </c>
      <c r="D4198" t="s">
        <v>3206</v>
      </c>
      <c r="E4198" t="s">
        <v>8614</v>
      </c>
      <c r="F4198" t="s">
        <v>8537</v>
      </c>
      <c r="G4198" t="s">
        <v>8538</v>
      </c>
      <c r="H4198" t="s">
        <v>3207</v>
      </c>
      <c r="J4198">
        <v>181701</v>
      </c>
      <c r="L4198" t="s">
        <v>5875</v>
      </c>
    </row>
    <row r="4199" spans="1:12" x14ac:dyDescent="0.35">
      <c r="A4199" t="s">
        <v>3115</v>
      </c>
      <c r="B4199" s="1">
        <v>45719</v>
      </c>
      <c r="C4199" t="s">
        <v>7240</v>
      </c>
      <c r="D4199" t="s">
        <v>3208</v>
      </c>
      <c r="E4199" t="s">
        <v>8615</v>
      </c>
      <c r="F4199" t="s">
        <v>6802</v>
      </c>
      <c r="H4199" t="s">
        <v>3209</v>
      </c>
      <c r="K4199">
        <v>17973</v>
      </c>
      <c r="L4199" t="s">
        <v>6803</v>
      </c>
    </row>
    <row r="4200" spans="1:12" x14ac:dyDescent="0.35">
      <c r="A4200" t="s">
        <v>3115</v>
      </c>
      <c r="B4200" s="1">
        <v>45719</v>
      </c>
      <c r="C4200" t="s">
        <v>7240</v>
      </c>
      <c r="D4200" t="s">
        <v>3208</v>
      </c>
      <c r="E4200" t="s">
        <v>8615</v>
      </c>
      <c r="F4200" t="s">
        <v>8537</v>
      </c>
      <c r="G4200" t="s">
        <v>8538</v>
      </c>
      <c r="H4200" t="s">
        <v>3209</v>
      </c>
      <c r="J4200">
        <v>17973</v>
      </c>
      <c r="L4200" t="s">
        <v>5880</v>
      </c>
    </row>
    <row r="4201" spans="1:12" x14ac:dyDescent="0.35">
      <c r="A4201" t="s">
        <v>3115</v>
      </c>
      <c r="B4201" s="1">
        <v>45719</v>
      </c>
      <c r="C4201" t="s">
        <v>7242</v>
      </c>
      <c r="D4201" t="s">
        <v>3210</v>
      </c>
      <c r="E4201" t="s">
        <v>8616</v>
      </c>
      <c r="F4201" t="s">
        <v>6802</v>
      </c>
      <c r="H4201" t="s">
        <v>3211</v>
      </c>
      <c r="K4201">
        <v>12988</v>
      </c>
      <c r="L4201" t="s">
        <v>6803</v>
      </c>
    </row>
    <row r="4202" spans="1:12" x14ac:dyDescent="0.35">
      <c r="A4202" t="s">
        <v>3115</v>
      </c>
      <c r="B4202" s="1">
        <v>45719</v>
      </c>
      <c r="C4202" t="s">
        <v>7242</v>
      </c>
      <c r="D4202" t="s">
        <v>3210</v>
      </c>
      <c r="E4202" t="s">
        <v>8616</v>
      </c>
      <c r="F4202" t="s">
        <v>8537</v>
      </c>
      <c r="G4202" t="s">
        <v>8538</v>
      </c>
      <c r="H4202" t="s">
        <v>3211</v>
      </c>
      <c r="J4202">
        <v>12988</v>
      </c>
      <c r="L4202" t="s">
        <v>5875</v>
      </c>
    </row>
    <row r="4203" spans="1:12" x14ac:dyDescent="0.35">
      <c r="A4203" t="s">
        <v>3115</v>
      </c>
      <c r="B4203" s="1">
        <v>45719</v>
      </c>
      <c r="C4203" t="s">
        <v>7244</v>
      </c>
      <c r="D4203" t="s">
        <v>3212</v>
      </c>
      <c r="E4203" t="s">
        <v>8617</v>
      </c>
      <c r="F4203" t="s">
        <v>6802</v>
      </c>
      <c r="H4203" t="s">
        <v>3213</v>
      </c>
      <c r="K4203">
        <v>30961</v>
      </c>
      <c r="L4203" t="s">
        <v>6803</v>
      </c>
    </row>
    <row r="4204" spans="1:12" x14ac:dyDescent="0.35">
      <c r="A4204" t="s">
        <v>3115</v>
      </c>
      <c r="B4204" s="1">
        <v>45719</v>
      </c>
      <c r="C4204" t="s">
        <v>7244</v>
      </c>
      <c r="D4204" t="s">
        <v>3212</v>
      </c>
      <c r="E4204" t="s">
        <v>8617</v>
      </c>
      <c r="F4204" t="s">
        <v>8537</v>
      </c>
      <c r="G4204" t="s">
        <v>8538</v>
      </c>
      <c r="H4204" t="s">
        <v>3213</v>
      </c>
      <c r="J4204">
        <v>30961</v>
      </c>
      <c r="L4204" t="s">
        <v>5880</v>
      </c>
    </row>
    <row r="4205" spans="1:12" x14ac:dyDescent="0.35">
      <c r="A4205" t="s">
        <v>3115</v>
      </c>
      <c r="B4205" s="1">
        <v>45719</v>
      </c>
      <c r="C4205" t="s">
        <v>7246</v>
      </c>
      <c r="D4205" t="s">
        <v>3214</v>
      </c>
      <c r="E4205" t="s">
        <v>8618</v>
      </c>
      <c r="F4205" t="s">
        <v>6802</v>
      </c>
      <c r="H4205" t="s">
        <v>3215</v>
      </c>
      <c r="K4205">
        <v>17974</v>
      </c>
      <c r="L4205" t="s">
        <v>6803</v>
      </c>
    </row>
    <row r="4206" spans="1:12" x14ac:dyDescent="0.35">
      <c r="A4206" t="s">
        <v>3115</v>
      </c>
      <c r="B4206" s="1">
        <v>45719</v>
      </c>
      <c r="C4206" t="s">
        <v>7246</v>
      </c>
      <c r="D4206" t="s">
        <v>3214</v>
      </c>
      <c r="E4206" t="s">
        <v>8618</v>
      </c>
      <c r="F4206" t="s">
        <v>8537</v>
      </c>
      <c r="G4206" t="s">
        <v>8538</v>
      </c>
      <c r="H4206" t="s">
        <v>3215</v>
      </c>
      <c r="J4206">
        <v>17974</v>
      </c>
      <c r="L4206" t="s">
        <v>5875</v>
      </c>
    </row>
    <row r="4207" spans="1:12" x14ac:dyDescent="0.35">
      <c r="A4207" t="s">
        <v>3115</v>
      </c>
      <c r="B4207" s="1">
        <v>45719</v>
      </c>
      <c r="C4207" t="s">
        <v>7248</v>
      </c>
      <c r="D4207" t="s">
        <v>3216</v>
      </c>
      <c r="E4207" t="s">
        <v>8619</v>
      </c>
      <c r="F4207" t="s">
        <v>6802</v>
      </c>
      <c r="H4207" t="s">
        <v>3217</v>
      </c>
      <c r="K4207">
        <v>3477</v>
      </c>
      <c r="L4207" t="s">
        <v>6803</v>
      </c>
    </row>
    <row r="4208" spans="1:12" x14ac:dyDescent="0.35">
      <c r="A4208" t="s">
        <v>3115</v>
      </c>
      <c r="B4208" s="1">
        <v>45719</v>
      </c>
      <c r="C4208" t="s">
        <v>7248</v>
      </c>
      <c r="D4208" t="s">
        <v>3216</v>
      </c>
      <c r="E4208" t="s">
        <v>8619</v>
      </c>
      <c r="F4208" t="s">
        <v>8537</v>
      </c>
      <c r="G4208" t="s">
        <v>8538</v>
      </c>
      <c r="H4208" t="s">
        <v>3217</v>
      </c>
      <c r="J4208">
        <v>3477</v>
      </c>
      <c r="L4208" t="s">
        <v>5875</v>
      </c>
    </row>
    <row r="4209" spans="1:12" x14ac:dyDescent="0.35">
      <c r="A4209" t="s">
        <v>3115</v>
      </c>
      <c r="B4209" s="1">
        <v>45719</v>
      </c>
      <c r="C4209" t="s">
        <v>7250</v>
      </c>
      <c r="D4209" t="s">
        <v>3218</v>
      </c>
      <c r="E4209" t="s">
        <v>8620</v>
      </c>
      <c r="F4209" t="s">
        <v>6811</v>
      </c>
      <c r="H4209" t="s">
        <v>3219</v>
      </c>
      <c r="K4209">
        <v>294</v>
      </c>
      <c r="L4209" t="s">
        <v>6803</v>
      </c>
    </row>
    <row r="4210" spans="1:12" x14ac:dyDescent="0.35">
      <c r="A4210" t="s">
        <v>3115</v>
      </c>
      <c r="B4210" s="1">
        <v>45719</v>
      </c>
      <c r="C4210" t="s">
        <v>7250</v>
      </c>
      <c r="D4210" t="s">
        <v>3218</v>
      </c>
      <c r="E4210" t="s">
        <v>8620</v>
      </c>
      <c r="F4210" t="s">
        <v>8557</v>
      </c>
      <c r="G4210" t="s">
        <v>8558</v>
      </c>
      <c r="H4210" t="s">
        <v>3219</v>
      </c>
      <c r="J4210">
        <v>294</v>
      </c>
      <c r="L4210" t="s">
        <v>5955</v>
      </c>
    </row>
    <row r="4211" spans="1:12" x14ac:dyDescent="0.35">
      <c r="A4211" t="s">
        <v>3115</v>
      </c>
      <c r="B4211" s="1">
        <v>45719</v>
      </c>
      <c r="C4211" t="s">
        <v>7252</v>
      </c>
      <c r="D4211" t="s">
        <v>3220</v>
      </c>
      <c r="E4211" t="s">
        <v>8621</v>
      </c>
      <c r="F4211" t="s">
        <v>6802</v>
      </c>
      <c r="H4211" t="s">
        <v>3221</v>
      </c>
      <c r="K4211">
        <v>86390</v>
      </c>
      <c r="L4211" t="s">
        <v>6803</v>
      </c>
    </row>
    <row r="4212" spans="1:12" x14ac:dyDescent="0.35">
      <c r="A4212" t="s">
        <v>3115</v>
      </c>
      <c r="B4212" s="1">
        <v>45719</v>
      </c>
      <c r="C4212" t="s">
        <v>7252</v>
      </c>
      <c r="D4212" t="s">
        <v>3220</v>
      </c>
      <c r="E4212" t="s">
        <v>8621</v>
      </c>
      <c r="F4212" t="s">
        <v>8537</v>
      </c>
      <c r="G4212" t="s">
        <v>8538</v>
      </c>
      <c r="H4212" t="s">
        <v>3221</v>
      </c>
      <c r="J4212">
        <v>86390</v>
      </c>
      <c r="L4212" t="s">
        <v>6010</v>
      </c>
    </row>
    <row r="4213" spans="1:12" x14ac:dyDescent="0.35">
      <c r="A4213" t="s">
        <v>3115</v>
      </c>
      <c r="B4213" s="1">
        <v>45719</v>
      </c>
      <c r="C4213" t="s">
        <v>7254</v>
      </c>
      <c r="D4213" t="s">
        <v>3222</v>
      </c>
      <c r="E4213" t="s">
        <v>8622</v>
      </c>
      <c r="F4213" t="s">
        <v>6802</v>
      </c>
      <c r="H4213" t="s">
        <v>3223</v>
      </c>
      <c r="K4213">
        <v>12464</v>
      </c>
      <c r="L4213" t="s">
        <v>6803</v>
      </c>
    </row>
    <row r="4214" spans="1:12" x14ac:dyDescent="0.35">
      <c r="A4214" t="s">
        <v>3115</v>
      </c>
      <c r="B4214" s="1">
        <v>45719</v>
      </c>
      <c r="C4214" t="s">
        <v>7254</v>
      </c>
      <c r="D4214" t="s">
        <v>3222</v>
      </c>
      <c r="E4214" t="s">
        <v>8622</v>
      </c>
      <c r="F4214" t="s">
        <v>8537</v>
      </c>
      <c r="G4214" t="s">
        <v>8538</v>
      </c>
      <c r="H4214" t="s">
        <v>3223</v>
      </c>
      <c r="J4214">
        <v>12464</v>
      </c>
      <c r="L4214" t="s">
        <v>5875</v>
      </c>
    </row>
    <row r="4215" spans="1:12" x14ac:dyDescent="0.35">
      <c r="A4215" t="s">
        <v>3115</v>
      </c>
      <c r="B4215" s="1">
        <v>45719</v>
      </c>
      <c r="C4215" t="s">
        <v>7256</v>
      </c>
      <c r="D4215" t="s">
        <v>3224</v>
      </c>
      <c r="E4215" t="s">
        <v>8623</v>
      </c>
      <c r="F4215" t="s">
        <v>6802</v>
      </c>
      <c r="H4215" t="s">
        <v>3225</v>
      </c>
      <c r="K4215">
        <v>10000</v>
      </c>
      <c r="L4215" t="s">
        <v>6803</v>
      </c>
    </row>
    <row r="4216" spans="1:12" x14ac:dyDescent="0.35">
      <c r="A4216" t="s">
        <v>3115</v>
      </c>
      <c r="B4216" s="1">
        <v>45719</v>
      </c>
      <c r="C4216" t="s">
        <v>7256</v>
      </c>
      <c r="D4216" t="s">
        <v>3224</v>
      </c>
      <c r="E4216" t="s">
        <v>8623</v>
      </c>
      <c r="F4216" t="s">
        <v>8537</v>
      </c>
      <c r="G4216" t="s">
        <v>8538</v>
      </c>
      <c r="H4216" t="s">
        <v>3225</v>
      </c>
      <c r="J4216">
        <v>10000</v>
      </c>
      <c r="L4216" t="s">
        <v>5880</v>
      </c>
    </row>
    <row r="4217" spans="1:12" x14ac:dyDescent="0.35">
      <c r="A4217" t="s">
        <v>3115</v>
      </c>
      <c r="B4217" s="1">
        <v>45719</v>
      </c>
      <c r="C4217" t="s">
        <v>7258</v>
      </c>
      <c r="D4217" t="s">
        <v>3226</v>
      </c>
      <c r="E4217" t="s">
        <v>8621</v>
      </c>
      <c r="F4217" t="s">
        <v>6915</v>
      </c>
      <c r="H4217" t="s">
        <v>3227</v>
      </c>
      <c r="K4217">
        <v>120400</v>
      </c>
      <c r="L4217" t="s">
        <v>6803</v>
      </c>
    </row>
    <row r="4218" spans="1:12" x14ac:dyDescent="0.35">
      <c r="A4218" t="s">
        <v>3115</v>
      </c>
      <c r="B4218" s="1">
        <v>45719</v>
      </c>
      <c r="C4218" t="s">
        <v>7258</v>
      </c>
      <c r="D4218" t="s">
        <v>3226</v>
      </c>
      <c r="E4218" t="s">
        <v>8621</v>
      </c>
      <c r="F4218" t="s">
        <v>8569</v>
      </c>
      <c r="G4218" t="s">
        <v>8570</v>
      </c>
      <c r="H4218" t="s">
        <v>3227</v>
      </c>
      <c r="J4218">
        <v>120400</v>
      </c>
      <c r="L4218" t="s">
        <v>6010</v>
      </c>
    </row>
    <row r="4219" spans="1:12" x14ac:dyDescent="0.35">
      <c r="A4219" t="s">
        <v>3115</v>
      </c>
      <c r="B4219" s="1">
        <v>45719</v>
      </c>
      <c r="C4219" t="s">
        <v>7283</v>
      </c>
      <c r="D4219" t="s">
        <v>3228</v>
      </c>
      <c r="E4219" t="s">
        <v>8620</v>
      </c>
      <c r="F4219" t="s">
        <v>6802</v>
      </c>
      <c r="H4219" t="s">
        <v>3229</v>
      </c>
      <c r="K4219">
        <v>38439</v>
      </c>
      <c r="L4219" t="s">
        <v>6803</v>
      </c>
    </row>
    <row r="4220" spans="1:12" x14ac:dyDescent="0.35">
      <c r="A4220" t="s">
        <v>3115</v>
      </c>
      <c r="B4220" s="1">
        <v>45719</v>
      </c>
      <c r="C4220" t="s">
        <v>7283</v>
      </c>
      <c r="D4220" t="s">
        <v>3228</v>
      </c>
      <c r="E4220" t="s">
        <v>8620</v>
      </c>
      <c r="F4220" t="s">
        <v>8537</v>
      </c>
      <c r="G4220" t="s">
        <v>8538</v>
      </c>
      <c r="H4220" t="s">
        <v>3229</v>
      </c>
      <c r="J4220">
        <v>38439</v>
      </c>
      <c r="L4220" t="s">
        <v>5875</v>
      </c>
    </row>
    <row r="4221" spans="1:12" x14ac:dyDescent="0.35">
      <c r="A4221" t="s">
        <v>3115</v>
      </c>
      <c r="B4221" s="1">
        <v>45719</v>
      </c>
      <c r="C4221" t="s">
        <v>7285</v>
      </c>
      <c r="D4221" t="s">
        <v>3230</v>
      </c>
      <c r="E4221" t="s">
        <v>8624</v>
      </c>
      <c r="F4221" t="s">
        <v>6808</v>
      </c>
      <c r="H4221" t="s">
        <v>3231</v>
      </c>
      <c r="K4221">
        <v>1649</v>
      </c>
      <c r="L4221" t="s">
        <v>6803</v>
      </c>
    </row>
    <row r="4222" spans="1:12" x14ac:dyDescent="0.35">
      <c r="A4222" t="s">
        <v>3115</v>
      </c>
      <c r="B4222" s="1">
        <v>45719</v>
      </c>
      <c r="C4222" t="s">
        <v>7285</v>
      </c>
      <c r="D4222" t="s">
        <v>3230</v>
      </c>
      <c r="E4222" t="s">
        <v>8624</v>
      </c>
      <c r="F4222" t="s">
        <v>8467</v>
      </c>
      <c r="G4222" t="s">
        <v>8567</v>
      </c>
      <c r="H4222" t="s">
        <v>3231</v>
      </c>
      <c r="J4222">
        <v>1649</v>
      </c>
      <c r="L4222" t="s">
        <v>5875</v>
      </c>
    </row>
    <row r="4223" spans="1:12" x14ac:dyDescent="0.35">
      <c r="A4223" t="s">
        <v>3115</v>
      </c>
      <c r="B4223" s="1">
        <v>45719</v>
      </c>
      <c r="C4223" t="s">
        <v>7287</v>
      </c>
      <c r="D4223" t="s">
        <v>3232</v>
      </c>
      <c r="E4223" t="s">
        <v>8620</v>
      </c>
      <c r="F4223" t="s">
        <v>6915</v>
      </c>
      <c r="H4223" t="s">
        <v>3233</v>
      </c>
      <c r="K4223">
        <v>120400</v>
      </c>
      <c r="L4223" t="s">
        <v>6803</v>
      </c>
    </row>
    <row r="4224" spans="1:12" x14ac:dyDescent="0.35">
      <c r="A4224" t="s">
        <v>3115</v>
      </c>
      <c r="B4224" s="1">
        <v>45719</v>
      </c>
      <c r="C4224" t="s">
        <v>7287</v>
      </c>
      <c r="D4224" t="s">
        <v>3232</v>
      </c>
      <c r="E4224" t="s">
        <v>8620</v>
      </c>
      <c r="F4224" t="s">
        <v>8569</v>
      </c>
      <c r="G4224" t="s">
        <v>8570</v>
      </c>
      <c r="H4224" t="s">
        <v>3233</v>
      </c>
      <c r="J4224">
        <v>120400</v>
      </c>
      <c r="L4224" t="s">
        <v>5875</v>
      </c>
    </row>
    <row r="4225" spans="1:12" x14ac:dyDescent="0.35">
      <c r="A4225" t="s">
        <v>3115</v>
      </c>
      <c r="B4225" s="1">
        <v>45719</v>
      </c>
      <c r="C4225" t="s">
        <v>7289</v>
      </c>
      <c r="D4225" t="s">
        <v>3234</v>
      </c>
      <c r="E4225" t="s">
        <v>8625</v>
      </c>
      <c r="F4225" t="s">
        <v>6915</v>
      </c>
      <c r="H4225" t="s">
        <v>3235</v>
      </c>
      <c r="K4225">
        <v>2741</v>
      </c>
      <c r="L4225" t="s">
        <v>6803</v>
      </c>
    </row>
    <row r="4226" spans="1:12" x14ac:dyDescent="0.35">
      <c r="A4226" t="s">
        <v>3115</v>
      </c>
      <c r="B4226" s="1">
        <v>45719</v>
      </c>
      <c r="C4226" t="s">
        <v>7289</v>
      </c>
      <c r="D4226" t="s">
        <v>3234</v>
      </c>
      <c r="E4226" t="s">
        <v>8625</v>
      </c>
      <c r="F4226" t="s">
        <v>8569</v>
      </c>
      <c r="G4226" t="s">
        <v>8570</v>
      </c>
      <c r="H4226" t="s">
        <v>3235</v>
      </c>
      <c r="J4226">
        <v>2741</v>
      </c>
      <c r="L4226" t="s">
        <v>5966</v>
      </c>
    </row>
    <row r="4227" spans="1:12" x14ac:dyDescent="0.35">
      <c r="A4227" t="s">
        <v>3115</v>
      </c>
      <c r="B4227" s="1">
        <v>45719</v>
      </c>
      <c r="C4227" t="s">
        <v>7291</v>
      </c>
      <c r="D4227" t="s">
        <v>3236</v>
      </c>
      <c r="E4227" t="s">
        <v>8609</v>
      </c>
      <c r="F4227" t="s">
        <v>6915</v>
      </c>
      <c r="H4227" t="s">
        <v>3237</v>
      </c>
      <c r="K4227">
        <v>78260</v>
      </c>
      <c r="L4227" t="s">
        <v>6803</v>
      </c>
    </row>
    <row r="4228" spans="1:12" x14ac:dyDescent="0.35">
      <c r="A4228" t="s">
        <v>3115</v>
      </c>
      <c r="B4228" s="1">
        <v>45719</v>
      </c>
      <c r="C4228" t="s">
        <v>7291</v>
      </c>
      <c r="D4228" t="s">
        <v>3236</v>
      </c>
      <c r="E4228" t="s">
        <v>8609</v>
      </c>
      <c r="F4228" t="s">
        <v>8569</v>
      </c>
      <c r="G4228" t="s">
        <v>8570</v>
      </c>
      <c r="H4228" t="s">
        <v>3237</v>
      </c>
      <c r="J4228">
        <v>78260</v>
      </c>
      <c r="L4228" t="s">
        <v>6010</v>
      </c>
    </row>
    <row r="4229" spans="1:12" x14ac:dyDescent="0.35">
      <c r="A4229" t="s">
        <v>3115</v>
      </c>
      <c r="B4229" s="1">
        <v>45719</v>
      </c>
      <c r="C4229" t="s">
        <v>7293</v>
      </c>
      <c r="D4229" t="s">
        <v>3238</v>
      </c>
      <c r="E4229" t="s">
        <v>8626</v>
      </c>
      <c r="F4229" t="s">
        <v>6802</v>
      </c>
      <c r="H4229" t="s">
        <v>3239</v>
      </c>
      <c r="K4229">
        <v>99968</v>
      </c>
      <c r="L4229" t="s">
        <v>6803</v>
      </c>
    </row>
    <row r="4230" spans="1:12" x14ac:dyDescent="0.35">
      <c r="A4230" t="s">
        <v>3115</v>
      </c>
      <c r="B4230" s="1">
        <v>45719</v>
      </c>
      <c r="C4230" t="s">
        <v>7293</v>
      </c>
      <c r="D4230" t="s">
        <v>3238</v>
      </c>
      <c r="E4230" t="s">
        <v>8626</v>
      </c>
      <c r="F4230" t="s">
        <v>8537</v>
      </c>
      <c r="G4230" t="s">
        <v>8538</v>
      </c>
      <c r="H4230" t="s">
        <v>3239</v>
      </c>
      <c r="J4230">
        <v>99968</v>
      </c>
      <c r="L4230" t="s">
        <v>5966</v>
      </c>
    </row>
    <row r="4231" spans="1:12" x14ac:dyDescent="0.35">
      <c r="A4231" t="s">
        <v>3115</v>
      </c>
      <c r="B4231" s="1">
        <v>45719</v>
      </c>
      <c r="C4231" t="s">
        <v>7295</v>
      </c>
      <c r="D4231" t="s">
        <v>3240</v>
      </c>
      <c r="E4231" t="s">
        <v>8627</v>
      </c>
      <c r="F4231" t="s">
        <v>6802</v>
      </c>
      <c r="H4231" t="s">
        <v>3241</v>
      </c>
      <c r="K4231">
        <v>3149</v>
      </c>
      <c r="L4231" t="s">
        <v>6803</v>
      </c>
    </row>
    <row r="4232" spans="1:12" x14ac:dyDescent="0.35">
      <c r="A4232" t="s">
        <v>3115</v>
      </c>
      <c r="B4232" s="1">
        <v>45719</v>
      </c>
      <c r="C4232" t="s">
        <v>7295</v>
      </c>
      <c r="D4232" t="s">
        <v>3240</v>
      </c>
      <c r="E4232" t="s">
        <v>8627</v>
      </c>
      <c r="F4232" t="s">
        <v>8537</v>
      </c>
      <c r="G4232" t="s">
        <v>8538</v>
      </c>
      <c r="H4232" t="s">
        <v>3241</v>
      </c>
      <c r="J4232">
        <v>3149</v>
      </c>
      <c r="L4232" t="s">
        <v>5966</v>
      </c>
    </row>
    <row r="4233" spans="1:12" x14ac:dyDescent="0.35">
      <c r="A4233" t="s">
        <v>3115</v>
      </c>
      <c r="B4233" s="1">
        <v>45719</v>
      </c>
      <c r="C4233" t="s">
        <v>7297</v>
      </c>
      <c r="D4233" t="s">
        <v>3242</v>
      </c>
      <c r="E4233" t="s">
        <v>8627</v>
      </c>
      <c r="F4233" t="s">
        <v>6811</v>
      </c>
      <c r="H4233" t="s">
        <v>3243</v>
      </c>
      <c r="K4233">
        <v>750</v>
      </c>
      <c r="L4233" t="s">
        <v>6803</v>
      </c>
    </row>
    <row r="4234" spans="1:12" x14ac:dyDescent="0.35">
      <c r="A4234" t="s">
        <v>3115</v>
      </c>
      <c r="B4234" s="1">
        <v>45719</v>
      </c>
      <c r="C4234" t="s">
        <v>7297</v>
      </c>
      <c r="D4234" t="s">
        <v>3242</v>
      </c>
      <c r="E4234" t="s">
        <v>8627</v>
      </c>
      <c r="F4234" t="s">
        <v>8557</v>
      </c>
      <c r="G4234" t="s">
        <v>8558</v>
      </c>
      <c r="H4234" t="s">
        <v>3243</v>
      </c>
      <c r="J4234">
        <v>750</v>
      </c>
      <c r="L4234" t="s">
        <v>5966</v>
      </c>
    </row>
    <row r="4235" spans="1:12" x14ac:dyDescent="0.35">
      <c r="A4235" t="s">
        <v>3115</v>
      </c>
      <c r="B4235" s="1">
        <v>45719</v>
      </c>
      <c r="C4235" t="s">
        <v>7098</v>
      </c>
      <c r="D4235" t="s">
        <v>3244</v>
      </c>
      <c r="E4235" t="s">
        <v>8628</v>
      </c>
      <c r="F4235" t="s">
        <v>6802</v>
      </c>
      <c r="H4235" t="s">
        <v>3245</v>
      </c>
      <c r="K4235">
        <v>3477</v>
      </c>
      <c r="L4235" t="s">
        <v>6803</v>
      </c>
    </row>
    <row r="4236" spans="1:12" x14ac:dyDescent="0.35">
      <c r="A4236" t="s">
        <v>3115</v>
      </c>
      <c r="B4236" s="1">
        <v>45719</v>
      </c>
      <c r="C4236" t="s">
        <v>7098</v>
      </c>
      <c r="D4236" t="s">
        <v>3244</v>
      </c>
      <c r="E4236" t="s">
        <v>8628</v>
      </c>
      <c r="F4236" t="s">
        <v>8537</v>
      </c>
      <c r="G4236" t="s">
        <v>8538</v>
      </c>
      <c r="H4236" t="s">
        <v>3245</v>
      </c>
      <c r="J4236">
        <v>3477</v>
      </c>
      <c r="L4236" t="s">
        <v>5966</v>
      </c>
    </row>
    <row r="4237" spans="1:12" x14ac:dyDescent="0.35">
      <c r="A4237" t="s">
        <v>3115</v>
      </c>
      <c r="B4237" s="1">
        <v>45719</v>
      </c>
      <c r="C4237" t="s">
        <v>7192</v>
      </c>
      <c r="D4237" t="s">
        <v>3246</v>
      </c>
      <c r="E4237" t="s">
        <v>8628</v>
      </c>
      <c r="F4237" t="s">
        <v>6811</v>
      </c>
      <c r="H4237" t="s">
        <v>3247</v>
      </c>
      <c r="K4237">
        <v>750</v>
      </c>
      <c r="L4237" t="s">
        <v>6803</v>
      </c>
    </row>
    <row r="4238" spans="1:12" x14ac:dyDescent="0.35">
      <c r="A4238" t="s">
        <v>3115</v>
      </c>
      <c r="B4238" s="1">
        <v>45719</v>
      </c>
      <c r="C4238" t="s">
        <v>7192</v>
      </c>
      <c r="D4238" t="s">
        <v>3246</v>
      </c>
      <c r="E4238" t="s">
        <v>8628</v>
      </c>
      <c r="F4238" t="s">
        <v>6802</v>
      </c>
      <c r="H4238" t="s">
        <v>3247</v>
      </c>
      <c r="K4238">
        <v>101</v>
      </c>
      <c r="L4238" t="s">
        <v>6803</v>
      </c>
    </row>
    <row r="4239" spans="1:12" x14ac:dyDescent="0.35">
      <c r="A4239" t="s">
        <v>3115</v>
      </c>
      <c r="B4239" s="1">
        <v>45719</v>
      </c>
      <c r="C4239" t="s">
        <v>7192</v>
      </c>
      <c r="D4239" t="s">
        <v>3246</v>
      </c>
      <c r="E4239" t="s">
        <v>8628</v>
      </c>
      <c r="F4239" t="s">
        <v>8557</v>
      </c>
      <c r="G4239" t="s">
        <v>8558</v>
      </c>
      <c r="H4239" t="s">
        <v>3247</v>
      </c>
      <c r="J4239">
        <v>851</v>
      </c>
      <c r="L4239" t="s">
        <v>5966</v>
      </c>
    </row>
    <row r="4240" spans="1:12" x14ac:dyDescent="0.35">
      <c r="A4240" t="s">
        <v>3115</v>
      </c>
      <c r="B4240" s="1">
        <v>45719</v>
      </c>
      <c r="C4240" t="s">
        <v>7194</v>
      </c>
      <c r="D4240" t="s">
        <v>3248</v>
      </c>
      <c r="E4240" t="s">
        <v>8629</v>
      </c>
      <c r="F4240" t="s">
        <v>6802</v>
      </c>
      <c r="H4240" t="s">
        <v>3249</v>
      </c>
      <c r="K4240">
        <v>6356</v>
      </c>
      <c r="L4240" t="s">
        <v>6803</v>
      </c>
    </row>
    <row r="4241" spans="1:12" x14ac:dyDescent="0.35">
      <c r="A4241" t="s">
        <v>3115</v>
      </c>
      <c r="B4241" s="1">
        <v>45719</v>
      </c>
      <c r="C4241" t="s">
        <v>7194</v>
      </c>
      <c r="D4241" t="s">
        <v>3248</v>
      </c>
      <c r="E4241" t="s">
        <v>8629</v>
      </c>
      <c r="F4241" t="s">
        <v>8467</v>
      </c>
      <c r="G4241" t="s">
        <v>8567</v>
      </c>
      <c r="H4241" t="s">
        <v>3249</v>
      </c>
      <c r="J4241">
        <v>6356</v>
      </c>
      <c r="L4241" t="s">
        <v>5875</v>
      </c>
    </row>
    <row r="4242" spans="1:12" x14ac:dyDescent="0.35">
      <c r="A4242" t="s">
        <v>3115</v>
      </c>
      <c r="B4242" s="1">
        <v>45719</v>
      </c>
      <c r="C4242" t="s">
        <v>7299</v>
      </c>
      <c r="D4242" t="s">
        <v>3250</v>
      </c>
      <c r="E4242" t="s">
        <v>8630</v>
      </c>
      <c r="F4242" t="s">
        <v>6811</v>
      </c>
      <c r="H4242" t="s">
        <v>3251</v>
      </c>
      <c r="K4242">
        <v>3409</v>
      </c>
      <c r="L4242" t="s">
        <v>6803</v>
      </c>
    </row>
    <row r="4243" spans="1:12" x14ac:dyDescent="0.35">
      <c r="A4243" t="s">
        <v>3115</v>
      </c>
      <c r="B4243" s="1">
        <v>45719</v>
      </c>
      <c r="C4243" t="s">
        <v>7299</v>
      </c>
      <c r="D4243" t="s">
        <v>3250</v>
      </c>
      <c r="E4243" t="s">
        <v>8630</v>
      </c>
      <c r="F4243" t="s">
        <v>8557</v>
      </c>
      <c r="G4243" t="s">
        <v>8558</v>
      </c>
      <c r="H4243" t="s">
        <v>3251</v>
      </c>
      <c r="J4243">
        <v>3409</v>
      </c>
      <c r="L4243" t="s">
        <v>5875</v>
      </c>
    </row>
    <row r="4244" spans="1:12" x14ac:dyDescent="0.35">
      <c r="A4244" t="s">
        <v>3115</v>
      </c>
      <c r="B4244" s="1">
        <v>45719</v>
      </c>
      <c r="C4244" t="s">
        <v>7301</v>
      </c>
      <c r="D4244" t="s">
        <v>3252</v>
      </c>
      <c r="E4244" t="s">
        <v>8631</v>
      </c>
      <c r="F4244" t="s">
        <v>6915</v>
      </c>
      <c r="H4244" t="s">
        <v>3253</v>
      </c>
      <c r="K4244">
        <v>96320</v>
      </c>
      <c r="L4244" t="s">
        <v>6803</v>
      </c>
    </row>
    <row r="4245" spans="1:12" x14ac:dyDescent="0.35">
      <c r="A4245" t="s">
        <v>3115</v>
      </c>
      <c r="B4245" s="1">
        <v>45719</v>
      </c>
      <c r="C4245" t="s">
        <v>7301</v>
      </c>
      <c r="D4245" t="s">
        <v>3252</v>
      </c>
      <c r="E4245" t="s">
        <v>8631</v>
      </c>
      <c r="F4245" t="s">
        <v>8569</v>
      </c>
      <c r="G4245" t="s">
        <v>8570</v>
      </c>
      <c r="H4245" t="s">
        <v>3253</v>
      </c>
      <c r="J4245">
        <v>96320</v>
      </c>
      <c r="L4245" t="s">
        <v>5874</v>
      </c>
    </row>
    <row r="4246" spans="1:12" x14ac:dyDescent="0.35">
      <c r="A4246" t="s">
        <v>3115</v>
      </c>
      <c r="B4246" s="1">
        <v>45719</v>
      </c>
      <c r="C4246" t="s">
        <v>7303</v>
      </c>
      <c r="D4246" t="s">
        <v>3254</v>
      </c>
      <c r="E4246" t="s">
        <v>8632</v>
      </c>
      <c r="F4246" t="s">
        <v>6811</v>
      </c>
      <c r="H4246" t="s">
        <v>3255</v>
      </c>
      <c r="K4246">
        <v>4420</v>
      </c>
      <c r="L4246" t="s">
        <v>6803</v>
      </c>
    </row>
    <row r="4247" spans="1:12" x14ac:dyDescent="0.35">
      <c r="A4247" t="s">
        <v>3115</v>
      </c>
      <c r="B4247" s="1">
        <v>45719</v>
      </c>
      <c r="C4247" t="s">
        <v>7303</v>
      </c>
      <c r="D4247" t="s">
        <v>3254</v>
      </c>
      <c r="E4247" t="s">
        <v>8632</v>
      </c>
      <c r="F4247" t="s">
        <v>8557</v>
      </c>
      <c r="G4247" t="s">
        <v>8558</v>
      </c>
      <c r="H4247" t="s">
        <v>3255</v>
      </c>
      <c r="J4247">
        <v>4420</v>
      </c>
      <c r="L4247" t="s">
        <v>5949</v>
      </c>
    </row>
    <row r="4248" spans="1:12" x14ac:dyDescent="0.35">
      <c r="A4248" t="s">
        <v>3115</v>
      </c>
      <c r="B4248" s="1">
        <v>45719</v>
      </c>
      <c r="C4248" t="s">
        <v>7305</v>
      </c>
      <c r="D4248" t="s">
        <v>3256</v>
      </c>
      <c r="E4248" t="s">
        <v>8633</v>
      </c>
      <c r="F4248" t="s">
        <v>6811</v>
      </c>
      <c r="H4248" t="s">
        <v>3257</v>
      </c>
      <c r="K4248">
        <v>2273</v>
      </c>
      <c r="L4248" t="s">
        <v>6803</v>
      </c>
    </row>
    <row r="4249" spans="1:12" x14ac:dyDescent="0.35">
      <c r="A4249" t="s">
        <v>3115</v>
      </c>
      <c r="B4249" s="1">
        <v>45719</v>
      </c>
      <c r="C4249" t="s">
        <v>7305</v>
      </c>
      <c r="D4249" t="s">
        <v>3256</v>
      </c>
      <c r="E4249" t="s">
        <v>8633</v>
      </c>
      <c r="F4249" t="s">
        <v>8557</v>
      </c>
      <c r="G4249" t="s">
        <v>8558</v>
      </c>
      <c r="H4249" t="s">
        <v>3257</v>
      </c>
      <c r="J4249">
        <v>2273</v>
      </c>
      <c r="L4249" t="s">
        <v>5875</v>
      </c>
    </row>
    <row r="4250" spans="1:12" x14ac:dyDescent="0.35">
      <c r="A4250" t="s">
        <v>3115</v>
      </c>
      <c r="B4250" s="1">
        <v>45719</v>
      </c>
      <c r="C4250" t="s">
        <v>7307</v>
      </c>
      <c r="D4250" t="s">
        <v>3258</v>
      </c>
      <c r="E4250" t="s">
        <v>8634</v>
      </c>
      <c r="F4250" t="s">
        <v>6811</v>
      </c>
      <c r="H4250" t="s">
        <v>3259</v>
      </c>
      <c r="K4250">
        <v>14966</v>
      </c>
      <c r="L4250" t="s">
        <v>6803</v>
      </c>
    </row>
    <row r="4251" spans="1:12" x14ac:dyDescent="0.35">
      <c r="A4251" t="s">
        <v>3115</v>
      </c>
      <c r="B4251" s="1">
        <v>45719</v>
      </c>
      <c r="C4251" t="s">
        <v>7307</v>
      </c>
      <c r="D4251" t="s">
        <v>3258</v>
      </c>
      <c r="E4251" t="s">
        <v>8634</v>
      </c>
      <c r="F4251" t="s">
        <v>8557</v>
      </c>
      <c r="G4251" t="s">
        <v>8558</v>
      </c>
      <c r="H4251" t="s">
        <v>3259</v>
      </c>
      <c r="J4251">
        <v>14966</v>
      </c>
      <c r="L4251" t="s">
        <v>5949</v>
      </c>
    </row>
    <row r="4252" spans="1:12" x14ac:dyDescent="0.35">
      <c r="A4252" t="s">
        <v>3115</v>
      </c>
      <c r="B4252" s="1">
        <v>45719</v>
      </c>
      <c r="C4252" t="s">
        <v>7309</v>
      </c>
      <c r="D4252" t="s">
        <v>3260</v>
      </c>
      <c r="E4252" t="s">
        <v>8635</v>
      </c>
      <c r="F4252" t="s">
        <v>6802</v>
      </c>
      <c r="H4252" t="s">
        <v>3261</v>
      </c>
      <c r="K4252">
        <v>29387</v>
      </c>
      <c r="L4252" t="s">
        <v>6803</v>
      </c>
    </row>
    <row r="4253" spans="1:12" x14ac:dyDescent="0.35">
      <c r="A4253" t="s">
        <v>3115</v>
      </c>
      <c r="B4253" s="1">
        <v>45719</v>
      </c>
      <c r="C4253" t="s">
        <v>7309</v>
      </c>
      <c r="D4253" t="s">
        <v>3260</v>
      </c>
      <c r="E4253" t="s">
        <v>8635</v>
      </c>
      <c r="F4253" t="s">
        <v>8537</v>
      </c>
      <c r="G4253" t="s">
        <v>8538</v>
      </c>
      <c r="H4253" t="s">
        <v>3261</v>
      </c>
      <c r="J4253">
        <v>29387</v>
      </c>
      <c r="L4253" t="s">
        <v>5966</v>
      </c>
    </row>
    <row r="4254" spans="1:12" x14ac:dyDescent="0.35">
      <c r="A4254" t="s">
        <v>3115</v>
      </c>
      <c r="B4254" s="1">
        <v>45719</v>
      </c>
      <c r="C4254" t="s">
        <v>7311</v>
      </c>
      <c r="D4254" t="s">
        <v>3262</v>
      </c>
      <c r="E4254" t="s">
        <v>8636</v>
      </c>
      <c r="F4254" t="s">
        <v>6802</v>
      </c>
      <c r="H4254" t="s">
        <v>3263</v>
      </c>
      <c r="K4254">
        <v>165696</v>
      </c>
      <c r="L4254" t="s">
        <v>6803</v>
      </c>
    </row>
    <row r="4255" spans="1:12" x14ac:dyDescent="0.35">
      <c r="A4255" t="s">
        <v>3115</v>
      </c>
      <c r="B4255" s="1">
        <v>45719</v>
      </c>
      <c r="C4255" t="s">
        <v>7311</v>
      </c>
      <c r="D4255" t="s">
        <v>3262</v>
      </c>
      <c r="E4255" t="s">
        <v>8636</v>
      </c>
      <c r="F4255" t="s">
        <v>8537</v>
      </c>
      <c r="G4255" t="s">
        <v>8538</v>
      </c>
      <c r="H4255" t="s">
        <v>3263</v>
      </c>
      <c r="J4255">
        <v>165696</v>
      </c>
      <c r="L4255" t="s">
        <v>5875</v>
      </c>
    </row>
    <row r="4256" spans="1:12" x14ac:dyDescent="0.35">
      <c r="A4256" t="s">
        <v>3115</v>
      </c>
      <c r="B4256" s="1">
        <v>45719</v>
      </c>
      <c r="C4256" t="s">
        <v>7313</v>
      </c>
      <c r="D4256" t="s">
        <v>3264</v>
      </c>
      <c r="E4256" t="s">
        <v>8635</v>
      </c>
      <c r="F4256" t="s">
        <v>6802</v>
      </c>
      <c r="H4256" t="s">
        <v>3265</v>
      </c>
      <c r="K4256">
        <v>10000</v>
      </c>
      <c r="L4256" t="s">
        <v>6803</v>
      </c>
    </row>
    <row r="4257" spans="1:12" x14ac:dyDescent="0.35">
      <c r="A4257" t="s">
        <v>3115</v>
      </c>
      <c r="B4257" s="1">
        <v>45719</v>
      </c>
      <c r="C4257" t="s">
        <v>7313</v>
      </c>
      <c r="D4257" t="s">
        <v>3264</v>
      </c>
      <c r="E4257" t="s">
        <v>8635</v>
      </c>
      <c r="F4257" t="s">
        <v>8557</v>
      </c>
      <c r="G4257" t="s">
        <v>8558</v>
      </c>
      <c r="H4257" t="s">
        <v>3265</v>
      </c>
      <c r="J4257">
        <v>10000</v>
      </c>
      <c r="L4257" t="s">
        <v>5966</v>
      </c>
    </row>
    <row r="4258" spans="1:12" x14ac:dyDescent="0.35">
      <c r="A4258" t="s">
        <v>3115</v>
      </c>
      <c r="B4258" s="1">
        <v>45719</v>
      </c>
      <c r="C4258" t="s">
        <v>7052</v>
      </c>
      <c r="D4258" t="s">
        <v>3266</v>
      </c>
      <c r="E4258" t="s">
        <v>8637</v>
      </c>
      <c r="F4258" t="s">
        <v>6811</v>
      </c>
      <c r="H4258" t="s">
        <v>3267</v>
      </c>
      <c r="K4258">
        <v>980</v>
      </c>
      <c r="L4258" t="s">
        <v>6803</v>
      </c>
    </row>
    <row r="4259" spans="1:12" x14ac:dyDescent="0.35">
      <c r="A4259" t="s">
        <v>3115</v>
      </c>
      <c r="B4259" s="1">
        <v>45719</v>
      </c>
      <c r="C4259" t="s">
        <v>7052</v>
      </c>
      <c r="D4259" t="s">
        <v>3266</v>
      </c>
      <c r="E4259" t="s">
        <v>8637</v>
      </c>
      <c r="F4259" t="s">
        <v>6802</v>
      </c>
      <c r="H4259" t="s">
        <v>3267</v>
      </c>
      <c r="K4259">
        <v>23083</v>
      </c>
      <c r="L4259" t="s">
        <v>6803</v>
      </c>
    </row>
    <row r="4260" spans="1:12" x14ac:dyDescent="0.35">
      <c r="A4260" t="s">
        <v>3115</v>
      </c>
      <c r="B4260" s="1">
        <v>45719</v>
      </c>
      <c r="C4260" t="s">
        <v>7052</v>
      </c>
      <c r="D4260" t="s">
        <v>3266</v>
      </c>
      <c r="E4260" t="s">
        <v>8637</v>
      </c>
      <c r="F4260" t="s">
        <v>8557</v>
      </c>
      <c r="G4260" t="s">
        <v>8558</v>
      </c>
      <c r="H4260" t="s">
        <v>3267</v>
      </c>
      <c r="J4260">
        <v>24063</v>
      </c>
      <c r="L4260" t="s">
        <v>5874</v>
      </c>
    </row>
    <row r="4261" spans="1:12" x14ac:dyDescent="0.35">
      <c r="A4261" t="s">
        <v>3115</v>
      </c>
      <c r="B4261" s="1">
        <v>45719</v>
      </c>
      <c r="C4261" t="s">
        <v>7315</v>
      </c>
      <c r="D4261" t="s">
        <v>3268</v>
      </c>
      <c r="E4261" t="s">
        <v>8638</v>
      </c>
      <c r="F4261" t="s">
        <v>6811</v>
      </c>
      <c r="H4261" t="s">
        <v>3269</v>
      </c>
      <c r="K4261">
        <v>750</v>
      </c>
      <c r="L4261" t="s">
        <v>6803</v>
      </c>
    </row>
    <row r="4262" spans="1:12" x14ac:dyDescent="0.35">
      <c r="A4262" t="s">
        <v>3115</v>
      </c>
      <c r="B4262" s="1">
        <v>45719</v>
      </c>
      <c r="C4262" t="s">
        <v>7315</v>
      </c>
      <c r="D4262" t="s">
        <v>3268</v>
      </c>
      <c r="E4262" t="s">
        <v>8638</v>
      </c>
      <c r="F4262" t="s">
        <v>8557</v>
      </c>
      <c r="G4262" t="s">
        <v>8558</v>
      </c>
      <c r="H4262" t="s">
        <v>3269</v>
      </c>
      <c r="J4262">
        <v>750</v>
      </c>
      <c r="L4262" t="s">
        <v>5966</v>
      </c>
    </row>
    <row r="4263" spans="1:12" x14ac:dyDescent="0.35">
      <c r="A4263" t="s">
        <v>3115</v>
      </c>
      <c r="B4263" s="1">
        <v>45719</v>
      </c>
      <c r="C4263" t="s">
        <v>8234</v>
      </c>
      <c r="D4263" t="s">
        <v>3270</v>
      </c>
      <c r="E4263" t="s">
        <v>8636</v>
      </c>
      <c r="F4263" t="s">
        <v>6915</v>
      </c>
      <c r="H4263" t="s">
        <v>3271</v>
      </c>
      <c r="K4263">
        <v>114380</v>
      </c>
      <c r="L4263" t="s">
        <v>6803</v>
      </c>
    </row>
    <row r="4264" spans="1:12" x14ac:dyDescent="0.35">
      <c r="A4264" t="s">
        <v>3115</v>
      </c>
      <c r="B4264" s="1">
        <v>45719</v>
      </c>
      <c r="C4264" t="s">
        <v>8234</v>
      </c>
      <c r="D4264" t="s">
        <v>3270</v>
      </c>
      <c r="E4264" t="s">
        <v>8636</v>
      </c>
      <c r="F4264" t="s">
        <v>8569</v>
      </c>
      <c r="G4264" t="s">
        <v>8570</v>
      </c>
      <c r="H4264" t="s">
        <v>3271</v>
      </c>
      <c r="J4264">
        <v>114380</v>
      </c>
      <c r="L4264" t="s">
        <v>5875</v>
      </c>
    </row>
    <row r="4265" spans="1:12" x14ac:dyDescent="0.35">
      <c r="A4265" t="s">
        <v>3115</v>
      </c>
      <c r="B4265" s="1">
        <v>45719</v>
      </c>
      <c r="C4265" t="s">
        <v>8236</v>
      </c>
      <c r="D4265" t="s">
        <v>3272</v>
      </c>
      <c r="E4265" t="s">
        <v>8639</v>
      </c>
      <c r="F4265" t="s">
        <v>6802</v>
      </c>
      <c r="H4265" t="s">
        <v>3273</v>
      </c>
      <c r="K4265">
        <v>614</v>
      </c>
      <c r="L4265" t="s">
        <v>6803</v>
      </c>
    </row>
    <row r="4266" spans="1:12" x14ac:dyDescent="0.35">
      <c r="A4266" t="s">
        <v>3115</v>
      </c>
      <c r="B4266" s="1">
        <v>45719</v>
      </c>
      <c r="C4266" t="s">
        <v>8236</v>
      </c>
      <c r="D4266" t="s">
        <v>3272</v>
      </c>
      <c r="E4266" t="s">
        <v>8639</v>
      </c>
      <c r="F4266" t="s">
        <v>8557</v>
      </c>
      <c r="G4266" t="s">
        <v>8558</v>
      </c>
      <c r="H4266" t="s">
        <v>3273</v>
      </c>
      <c r="J4266">
        <v>614</v>
      </c>
      <c r="L4266" t="s">
        <v>5966</v>
      </c>
    </row>
    <row r="4267" spans="1:12" x14ac:dyDescent="0.35">
      <c r="A4267" t="s">
        <v>3115</v>
      </c>
      <c r="B4267" s="1">
        <v>45719</v>
      </c>
      <c r="C4267" t="s">
        <v>8238</v>
      </c>
      <c r="D4267" t="s">
        <v>3274</v>
      </c>
      <c r="E4267" t="s">
        <v>8640</v>
      </c>
      <c r="F4267" t="s">
        <v>6802</v>
      </c>
      <c r="H4267" t="s">
        <v>3275</v>
      </c>
      <c r="K4267">
        <v>159791</v>
      </c>
      <c r="L4267" t="s">
        <v>6803</v>
      </c>
    </row>
    <row r="4268" spans="1:12" x14ac:dyDescent="0.35">
      <c r="A4268" t="s">
        <v>3115</v>
      </c>
      <c r="B4268" s="1">
        <v>45719</v>
      </c>
      <c r="C4268" t="s">
        <v>8238</v>
      </c>
      <c r="D4268" t="s">
        <v>3274</v>
      </c>
      <c r="E4268" t="s">
        <v>8640</v>
      </c>
      <c r="F4268" t="s">
        <v>8537</v>
      </c>
      <c r="G4268" t="s">
        <v>8538</v>
      </c>
      <c r="H4268" t="s">
        <v>3275</v>
      </c>
      <c r="J4268">
        <v>159791</v>
      </c>
      <c r="L4268" t="s">
        <v>5966</v>
      </c>
    </row>
    <row r="4269" spans="1:12" x14ac:dyDescent="0.35">
      <c r="A4269" t="s">
        <v>3115</v>
      </c>
      <c r="B4269" s="1">
        <v>45719</v>
      </c>
      <c r="C4269" t="s">
        <v>8240</v>
      </c>
      <c r="D4269" t="s">
        <v>3276</v>
      </c>
      <c r="E4269" t="s">
        <v>8641</v>
      </c>
      <c r="F4269" t="s">
        <v>6811</v>
      </c>
      <c r="H4269" t="s">
        <v>3277</v>
      </c>
      <c r="K4269">
        <v>4847</v>
      </c>
      <c r="L4269" t="s">
        <v>6803</v>
      </c>
    </row>
    <row r="4270" spans="1:12" x14ac:dyDescent="0.35">
      <c r="A4270" t="s">
        <v>3115</v>
      </c>
      <c r="B4270" s="1">
        <v>45719</v>
      </c>
      <c r="C4270" t="s">
        <v>8240</v>
      </c>
      <c r="D4270" t="s">
        <v>3276</v>
      </c>
      <c r="E4270" t="s">
        <v>8641</v>
      </c>
      <c r="F4270" t="s">
        <v>8557</v>
      </c>
      <c r="G4270" t="s">
        <v>8558</v>
      </c>
      <c r="H4270" t="s">
        <v>3277</v>
      </c>
      <c r="J4270">
        <v>4847</v>
      </c>
      <c r="L4270" t="s">
        <v>5949</v>
      </c>
    </row>
    <row r="4271" spans="1:12" x14ac:dyDescent="0.35">
      <c r="A4271" t="s">
        <v>3115</v>
      </c>
      <c r="B4271" s="1">
        <v>45719</v>
      </c>
      <c r="C4271" t="s">
        <v>8242</v>
      </c>
      <c r="D4271" t="s">
        <v>3278</v>
      </c>
      <c r="E4271" t="s">
        <v>8642</v>
      </c>
      <c r="F4271" t="s">
        <v>6802</v>
      </c>
      <c r="H4271" t="s">
        <v>3279</v>
      </c>
      <c r="K4271">
        <v>165696</v>
      </c>
      <c r="L4271" t="s">
        <v>6803</v>
      </c>
    </row>
    <row r="4272" spans="1:12" x14ac:dyDescent="0.35">
      <c r="A4272" t="s">
        <v>3115</v>
      </c>
      <c r="B4272" s="1">
        <v>45719</v>
      </c>
      <c r="C4272" t="s">
        <v>8242</v>
      </c>
      <c r="D4272" t="s">
        <v>3278</v>
      </c>
      <c r="E4272" t="s">
        <v>8642</v>
      </c>
      <c r="F4272" t="s">
        <v>8537</v>
      </c>
      <c r="G4272" t="s">
        <v>8538</v>
      </c>
      <c r="H4272" t="s">
        <v>3279</v>
      </c>
      <c r="J4272">
        <v>165696</v>
      </c>
      <c r="L4272" t="s">
        <v>5876</v>
      </c>
    </row>
    <row r="4273" spans="1:12" x14ac:dyDescent="0.35">
      <c r="A4273" t="s">
        <v>3115</v>
      </c>
      <c r="B4273" s="1">
        <v>45719</v>
      </c>
      <c r="C4273" t="s">
        <v>8244</v>
      </c>
      <c r="D4273" t="s">
        <v>3280</v>
      </c>
      <c r="E4273" t="s">
        <v>8643</v>
      </c>
      <c r="F4273" t="s">
        <v>6802</v>
      </c>
      <c r="H4273" t="s">
        <v>3281</v>
      </c>
      <c r="K4273">
        <v>2403</v>
      </c>
      <c r="L4273" t="s">
        <v>6803</v>
      </c>
    </row>
    <row r="4274" spans="1:12" x14ac:dyDescent="0.35">
      <c r="A4274" t="s">
        <v>3115</v>
      </c>
      <c r="B4274" s="1">
        <v>45719</v>
      </c>
      <c r="C4274" t="s">
        <v>8244</v>
      </c>
      <c r="D4274" t="s">
        <v>3280</v>
      </c>
      <c r="E4274" t="s">
        <v>8643</v>
      </c>
      <c r="F4274" t="s">
        <v>8557</v>
      </c>
      <c r="G4274" t="s">
        <v>8558</v>
      </c>
      <c r="H4274" t="s">
        <v>3281</v>
      </c>
      <c r="J4274">
        <v>2403</v>
      </c>
      <c r="L4274" t="s">
        <v>5880</v>
      </c>
    </row>
    <row r="4275" spans="1:12" x14ac:dyDescent="0.35">
      <c r="A4275" t="s">
        <v>3115</v>
      </c>
      <c r="B4275" s="1">
        <v>45719</v>
      </c>
      <c r="C4275" t="s">
        <v>8246</v>
      </c>
      <c r="D4275" t="s">
        <v>3282</v>
      </c>
      <c r="E4275" t="s">
        <v>8642</v>
      </c>
      <c r="F4275" t="s">
        <v>6915</v>
      </c>
      <c r="H4275" t="s">
        <v>3283</v>
      </c>
      <c r="K4275">
        <v>114380</v>
      </c>
      <c r="L4275" t="s">
        <v>6803</v>
      </c>
    </row>
    <row r="4276" spans="1:12" x14ac:dyDescent="0.35">
      <c r="A4276" t="s">
        <v>3115</v>
      </c>
      <c r="B4276" s="1">
        <v>45719</v>
      </c>
      <c r="C4276" t="s">
        <v>8246</v>
      </c>
      <c r="D4276" t="s">
        <v>3282</v>
      </c>
      <c r="E4276" t="s">
        <v>8642</v>
      </c>
      <c r="F4276" t="s">
        <v>8569</v>
      </c>
      <c r="G4276" t="s">
        <v>8570</v>
      </c>
      <c r="H4276" t="s">
        <v>3283</v>
      </c>
      <c r="J4276">
        <v>114380</v>
      </c>
      <c r="L4276" t="s">
        <v>5876</v>
      </c>
    </row>
    <row r="4277" spans="1:12" x14ac:dyDescent="0.35">
      <c r="A4277" t="s">
        <v>3115</v>
      </c>
      <c r="B4277" s="1">
        <v>45719</v>
      </c>
      <c r="C4277" t="s">
        <v>8248</v>
      </c>
      <c r="D4277" t="s">
        <v>3284</v>
      </c>
      <c r="E4277" t="s">
        <v>8640</v>
      </c>
      <c r="F4277" t="s">
        <v>6915</v>
      </c>
      <c r="H4277" t="s">
        <v>3285</v>
      </c>
      <c r="K4277">
        <v>66825</v>
      </c>
      <c r="L4277" t="s">
        <v>6803</v>
      </c>
    </row>
    <row r="4278" spans="1:12" x14ac:dyDescent="0.35">
      <c r="A4278" t="s">
        <v>3115</v>
      </c>
      <c r="B4278" s="1">
        <v>45719</v>
      </c>
      <c r="C4278" t="s">
        <v>8248</v>
      </c>
      <c r="D4278" t="s">
        <v>3284</v>
      </c>
      <c r="E4278" t="s">
        <v>8640</v>
      </c>
      <c r="F4278" t="s">
        <v>8569</v>
      </c>
      <c r="G4278" t="s">
        <v>8570</v>
      </c>
      <c r="H4278" t="s">
        <v>3285</v>
      </c>
      <c r="J4278">
        <v>66825</v>
      </c>
      <c r="L4278" t="s">
        <v>5966</v>
      </c>
    </row>
    <row r="4279" spans="1:12" x14ac:dyDescent="0.35">
      <c r="A4279" t="s">
        <v>3115</v>
      </c>
      <c r="B4279" s="1">
        <v>45719</v>
      </c>
      <c r="C4279" t="s">
        <v>8250</v>
      </c>
      <c r="D4279" t="s">
        <v>3286</v>
      </c>
      <c r="E4279" t="s">
        <v>8644</v>
      </c>
      <c r="F4279" t="s">
        <v>6808</v>
      </c>
      <c r="H4279" t="s">
        <v>3287</v>
      </c>
      <c r="K4279">
        <v>4290</v>
      </c>
      <c r="L4279" t="s">
        <v>6803</v>
      </c>
    </row>
    <row r="4280" spans="1:12" x14ac:dyDescent="0.35">
      <c r="A4280" t="s">
        <v>3115</v>
      </c>
      <c r="B4280" s="1">
        <v>45719</v>
      </c>
      <c r="C4280" t="s">
        <v>8250</v>
      </c>
      <c r="D4280" t="s">
        <v>3286</v>
      </c>
      <c r="E4280" t="s">
        <v>8644</v>
      </c>
      <c r="F4280" t="s">
        <v>8467</v>
      </c>
      <c r="G4280" t="s">
        <v>8567</v>
      </c>
      <c r="H4280" t="s">
        <v>3287</v>
      </c>
      <c r="J4280">
        <v>4290</v>
      </c>
      <c r="L4280" t="s">
        <v>5875</v>
      </c>
    </row>
    <row r="4281" spans="1:12" x14ac:dyDescent="0.35">
      <c r="A4281" t="s">
        <v>3115</v>
      </c>
      <c r="B4281" s="1">
        <v>45719</v>
      </c>
      <c r="C4281" t="s">
        <v>8252</v>
      </c>
      <c r="D4281" t="s">
        <v>3288</v>
      </c>
      <c r="E4281" t="s">
        <v>8631</v>
      </c>
      <c r="F4281" t="s">
        <v>6802</v>
      </c>
      <c r="H4281" t="s">
        <v>3289</v>
      </c>
      <c r="K4281">
        <v>93802</v>
      </c>
      <c r="L4281" t="s">
        <v>6803</v>
      </c>
    </row>
    <row r="4282" spans="1:12" x14ac:dyDescent="0.35">
      <c r="A4282" t="s">
        <v>3115</v>
      </c>
      <c r="B4282" s="1">
        <v>45719</v>
      </c>
      <c r="C4282" t="s">
        <v>8252</v>
      </c>
      <c r="D4282" t="s">
        <v>3288</v>
      </c>
      <c r="E4282" t="s">
        <v>8631</v>
      </c>
      <c r="F4282" t="s">
        <v>8537</v>
      </c>
      <c r="G4282" t="s">
        <v>8538</v>
      </c>
      <c r="H4282" t="s">
        <v>3289</v>
      </c>
      <c r="J4282">
        <v>93802</v>
      </c>
      <c r="L4282" t="s">
        <v>5874</v>
      </c>
    </row>
    <row r="4283" spans="1:12" x14ac:dyDescent="0.35">
      <c r="A4283" t="s">
        <v>3115</v>
      </c>
      <c r="B4283" s="1">
        <v>45719</v>
      </c>
      <c r="C4283" t="s">
        <v>8254</v>
      </c>
      <c r="D4283" t="s">
        <v>3290</v>
      </c>
      <c r="E4283" t="s">
        <v>8645</v>
      </c>
      <c r="F4283" t="s">
        <v>6811</v>
      </c>
      <c r="H4283" t="s">
        <v>3291</v>
      </c>
      <c r="K4283">
        <v>1150</v>
      </c>
      <c r="L4283" t="s">
        <v>6803</v>
      </c>
    </row>
    <row r="4284" spans="1:12" x14ac:dyDescent="0.35">
      <c r="A4284" t="s">
        <v>3115</v>
      </c>
      <c r="B4284" s="1">
        <v>45719</v>
      </c>
      <c r="C4284" t="s">
        <v>8254</v>
      </c>
      <c r="D4284" t="s">
        <v>3290</v>
      </c>
      <c r="E4284" t="s">
        <v>8645</v>
      </c>
      <c r="F4284" t="s">
        <v>8557</v>
      </c>
      <c r="G4284" t="s">
        <v>8558</v>
      </c>
      <c r="H4284" t="s">
        <v>3291</v>
      </c>
      <c r="J4284">
        <v>1150</v>
      </c>
      <c r="L4284" t="s">
        <v>5890</v>
      </c>
    </row>
    <row r="4285" spans="1:12" x14ac:dyDescent="0.35">
      <c r="A4285" t="s">
        <v>3115</v>
      </c>
      <c r="B4285" s="1">
        <v>45719</v>
      </c>
      <c r="C4285" t="s">
        <v>8256</v>
      </c>
      <c r="D4285" t="s">
        <v>3292</v>
      </c>
      <c r="E4285" t="s">
        <v>8612</v>
      </c>
      <c r="F4285" t="s">
        <v>6802</v>
      </c>
      <c r="H4285" t="s">
        <v>3293</v>
      </c>
      <c r="K4285">
        <v>43950</v>
      </c>
      <c r="L4285" t="s">
        <v>6803</v>
      </c>
    </row>
    <row r="4286" spans="1:12" x14ac:dyDescent="0.35">
      <c r="A4286" t="s">
        <v>3115</v>
      </c>
      <c r="B4286" s="1">
        <v>45719</v>
      </c>
      <c r="C4286" t="s">
        <v>8256</v>
      </c>
      <c r="D4286" t="s">
        <v>3292</v>
      </c>
      <c r="E4286" t="s">
        <v>8612</v>
      </c>
      <c r="F4286" t="s">
        <v>8537</v>
      </c>
      <c r="G4286" t="s">
        <v>8538</v>
      </c>
      <c r="H4286" t="s">
        <v>3293</v>
      </c>
      <c r="J4286">
        <v>43950</v>
      </c>
      <c r="L4286" t="s">
        <v>5880</v>
      </c>
    </row>
    <row r="4287" spans="1:12" x14ac:dyDescent="0.35">
      <c r="A4287" t="s">
        <v>3115</v>
      </c>
      <c r="B4287" s="1">
        <v>45719</v>
      </c>
      <c r="C4287" t="s">
        <v>8258</v>
      </c>
      <c r="D4287" t="s">
        <v>3294</v>
      </c>
      <c r="E4287" t="s">
        <v>8646</v>
      </c>
      <c r="F4287" t="s">
        <v>6802</v>
      </c>
      <c r="H4287" t="s">
        <v>3295</v>
      </c>
      <c r="K4287">
        <v>21580</v>
      </c>
      <c r="L4287" t="s">
        <v>6803</v>
      </c>
    </row>
    <row r="4288" spans="1:12" x14ac:dyDescent="0.35">
      <c r="A4288" t="s">
        <v>3115</v>
      </c>
      <c r="B4288" s="1">
        <v>45719</v>
      </c>
      <c r="C4288" t="s">
        <v>8258</v>
      </c>
      <c r="D4288" t="s">
        <v>3294</v>
      </c>
      <c r="E4288" t="s">
        <v>8646</v>
      </c>
      <c r="F4288" t="s">
        <v>8537</v>
      </c>
      <c r="G4288" t="s">
        <v>8538</v>
      </c>
      <c r="H4288" t="s">
        <v>3295</v>
      </c>
      <c r="J4288">
        <v>21580</v>
      </c>
      <c r="L4288" t="s">
        <v>5875</v>
      </c>
    </row>
    <row r="4289" spans="1:12" x14ac:dyDescent="0.35">
      <c r="A4289" t="s">
        <v>3115</v>
      </c>
      <c r="B4289" s="1">
        <v>45719</v>
      </c>
      <c r="C4289" t="s">
        <v>8260</v>
      </c>
      <c r="D4289" t="s">
        <v>3296</v>
      </c>
      <c r="E4289" t="s">
        <v>8647</v>
      </c>
      <c r="F4289" t="s">
        <v>6802</v>
      </c>
      <c r="H4289" t="s">
        <v>3297</v>
      </c>
      <c r="K4289">
        <v>1050</v>
      </c>
      <c r="L4289" t="s">
        <v>6803</v>
      </c>
    </row>
    <row r="4290" spans="1:12" x14ac:dyDescent="0.35">
      <c r="A4290" t="s">
        <v>3115</v>
      </c>
      <c r="B4290" s="1">
        <v>45719</v>
      </c>
      <c r="C4290" t="s">
        <v>8260</v>
      </c>
      <c r="D4290" t="s">
        <v>3296</v>
      </c>
      <c r="E4290" t="s">
        <v>8647</v>
      </c>
      <c r="F4290" t="s">
        <v>8537</v>
      </c>
      <c r="G4290" t="s">
        <v>8538</v>
      </c>
      <c r="H4290" t="s">
        <v>3297</v>
      </c>
      <c r="J4290">
        <v>1050</v>
      </c>
      <c r="L4290" t="s">
        <v>5875</v>
      </c>
    </row>
    <row r="4291" spans="1:12" x14ac:dyDescent="0.35">
      <c r="A4291" t="s">
        <v>3115</v>
      </c>
      <c r="B4291" s="1">
        <v>45719</v>
      </c>
      <c r="C4291" t="s">
        <v>8262</v>
      </c>
      <c r="D4291" t="s">
        <v>3298</v>
      </c>
      <c r="E4291" t="s">
        <v>8648</v>
      </c>
      <c r="F4291" t="s">
        <v>6802</v>
      </c>
      <c r="H4291" t="s">
        <v>3299</v>
      </c>
      <c r="K4291">
        <v>3153</v>
      </c>
      <c r="L4291" t="s">
        <v>6803</v>
      </c>
    </row>
    <row r="4292" spans="1:12" x14ac:dyDescent="0.35">
      <c r="A4292" t="s">
        <v>3115</v>
      </c>
      <c r="B4292" s="1">
        <v>45719</v>
      </c>
      <c r="C4292" t="s">
        <v>8262</v>
      </c>
      <c r="D4292" t="s">
        <v>3298</v>
      </c>
      <c r="E4292" t="s">
        <v>8648</v>
      </c>
      <c r="F4292" t="s">
        <v>8537</v>
      </c>
      <c r="G4292" t="s">
        <v>8538</v>
      </c>
      <c r="H4292" t="s">
        <v>3299</v>
      </c>
      <c r="J4292">
        <v>3153</v>
      </c>
      <c r="L4292" t="s">
        <v>5966</v>
      </c>
    </row>
    <row r="4293" spans="1:12" x14ac:dyDescent="0.35">
      <c r="A4293" t="s">
        <v>3115</v>
      </c>
      <c r="B4293" s="1">
        <v>45719</v>
      </c>
      <c r="C4293" t="s">
        <v>8264</v>
      </c>
      <c r="D4293" t="s">
        <v>3300</v>
      </c>
      <c r="E4293" t="s">
        <v>8649</v>
      </c>
      <c r="F4293" t="s">
        <v>6811</v>
      </c>
      <c r="H4293" t="s">
        <v>3301</v>
      </c>
      <c r="K4293">
        <v>3150</v>
      </c>
      <c r="L4293" t="s">
        <v>6803</v>
      </c>
    </row>
    <row r="4294" spans="1:12" x14ac:dyDescent="0.35">
      <c r="A4294" t="s">
        <v>3115</v>
      </c>
      <c r="B4294" s="1">
        <v>45719</v>
      </c>
      <c r="C4294" t="s">
        <v>8264</v>
      </c>
      <c r="D4294" t="s">
        <v>3300</v>
      </c>
      <c r="E4294" t="s">
        <v>8649</v>
      </c>
      <c r="F4294" t="s">
        <v>6802</v>
      </c>
      <c r="H4294" t="s">
        <v>3301</v>
      </c>
      <c r="K4294">
        <v>701</v>
      </c>
      <c r="L4294" t="s">
        <v>6803</v>
      </c>
    </row>
    <row r="4295" spans="1:12" x14ac:dyDescent="0.35">
      <c r="A4295" t="s">
        <v>3115</v>
      </c>
      <c r="B4295" s="1">
        <v>45719</v>
      </c>
      <c r="C4295" t="s">
        <v>8264</v>
      </c>
      <c r="D4295" t="s">
        <v>3300</v>
      </c>
      <c r="E4295" t="s">
        <v>8649</v>
      </c>
      <c r="F4295" t="s">
        <v>8557</v>
      </c>
      <c r="G4295" t="s">
        <v>8558</v>
      </c>
      <c r="H4295" t="s">
        <v>3301</v>
      </c>
      <c r="J4295">
        <v>3851</v>
      </c>
      <c r="L4295" t="s">
        <v>5966</v>
      </c>
    </row>
    <row r="4296" spans="1:12" x14ac:dyDescent="0.35">
      <c r="A4296" t="s">
        <v>3115</v>
      </c>
      <c r="B4296" s="1">
        <v>45719</v>
      </c>
      <c r="C4296" t="s">
        <v>8266</v>
      </c>
      <c r="D4296" t="s">
        <v>3302</v>
      </c>
      <c r="E4296" t="s">
        <v>8649</v>
      </c>
      <c r="F4296" t="s">
        <v>6802</v>
      </c>
      <c r="H4296" t="s">
        <v>3303</v>
      </c>
      <c r="K4296">
        <v>3411</v>
      </c>
      <c r="L4296" t="s">
        <v>6803</v>
      </c>
    </row>
    <row r="4297" spans="1:12" x14ac:dyDescent="0.35">
      <c r="A4297" t="s">
        <v>3115</v>
      </c>
      <c r="B4297" s="1">
        <v>45719</v>
      </c>
      <c r="C4297" t="s">
        <v>8266</v>
      </c>
      <c r="D4297" t="s">
        <v>3302</v>
      </c>
      <c r="E4297" t="s">
        <v>8649</v>
      </c>
      <c r="F4297" t="s">
        <v>8537</v>
      </c>
      <c r="G4297" t="s">
        <v>8538</v>
      </c>
      <c r="H4297" t="s">
        <v>3303</v>
      </c>
      <c r="J4297">
        <v>3411</v>
      </c>
      <c r="L4297" t="s">
        <v>5966</v>
      </c>
    </row>
    <row r="4298" spans="1:12" x14ac:dyDescent="0.35">
      <c r="A4298" t="s">
        <v>3115</v>
      </c>
      <c r="B4298" s="1">
        <v>45719</v>
      </c>
      <c r="C4298" t="s">
        <v>8268</v>
      </c>
      <c r="D4298" t="s">
        <v>3304</v>
      </c>
      <c r="E4298" t="s">
        <v>8648</v>
      </c>
      <c r="F4298" t="s">
        <v>6811</v>
      </c>
      <c r="H4298" t="s">
        <v>3305</v>
      </c>
      <c r="K4298">
        <v>600</v>
      </c>
      <c r="L4298" t="s">
        <v>6803</v>
      </c>
    </row>
    <row r="4299" spans="1:12" x14ac:dyDescent="0.35">
      <c r="A4299" t="s">
        <v>3115</v>
      </c>
      <c r="B4299" s="1">
        <v>45719</v>
      </c>
      <c r="C4299" t="s">
        <v>8268</v>
      </c>
      <c r="D4299" t="s">
        <v>3304</v>
      </c>
      <c r="E4299" t="s">
        <v>8648</v>
      </c>
      <c r="F4299" t="s">
        <v>8557</v>
      </c>
      <c r="G4299" t="s">
        <v>8558</v>
      </c>
      <c r="H4299" t="s">
        <v>3305</v>
      </c>
      <c r="J4299">
        <v>600</v>
      </c>
      <c r="L4299" t="s">
        <v>5966</v>
      </c>
    </row>
    <row r="4300" spans="1:12" x14ac:dyDescent="0.35">
      <c r="A4300" t="s">
        <v>3115</v>
      </c>
      <c r="B4300" s="1">
        <v>45719</v>
      </c>
      <c r="C4300" t="s">
        <v>8270</v>
      </c>
      <c r="D4300" t="s">
        <v>3306</v>
      </c>
      <c r="E4300" t="s">
        <v>8650</v>
      </c>
      <c r="F4300" t="s">
        <v>6802</v>
      </c>
      <c r="H4300" t="s">
        <v>3307</v>
      </c>
      <c r="K4300">
        <v>656</v>
      </c>
      <c r="L4300" t="s">
        <v>6803</v>
      </c>
    </row>
    <row r="4301" spans="1:12" x14ac:dyDescent="0.35">
      <c r="A4301" t="s">
        <v>3115</v>
      </c>
      <c r="B4301" s="1">
        <v>45719</v>
      </c>
      <c r="C4301" t="s">
        <v>8270</v>
      </c>
      <c r="D4301" t="s">
        <v>3306</v>
      </c>
      <c r="E4301" t="s">
        <v>8650</v>
      </c>
      <c r="F4301" t="s">
        <v>8537</v>
      </c>
      <c r="G4301" t="s">
        <v>8538</v>
      </c>
      <c r="H4301" t="s">
        <v>3307</v>
      </c>
      <c r="J4301">
        <v>656</v>
      </c>
      <c r="L4301" t="s">
        <v>5966</v>
      </c>
    </row>
    <row r="4302" spans="1:12" x14ac:dyDescent="0.35">
      <c r="A4302" t="s">
        <v>3115</v>
      </c>
      <c r="B4302" s="1">
        <v>45719</v>
      </c>
      <c r="C4302" t="s">
        <v>8272</v>
      </c>
      <c r="D4302" t="s">
        <v>3308</v>
      </c>
      <c r="E4302" t="s">
        <v>8651</v>
      </c>
      <c r="F4302" t="s">
        <v>6802</v>
      </c>
      <c r="H4302" t="s">
        <v>3309</v>
      </c>
      <c r="K4302">
        <v>1443</v>
      </c>
      <c r="L4302" t="s">
        <v>6803</v>
      </c>
    </row>
    <row r="4303" spans="1:12" x14ac:dyDescent="0.35">
      <c r="A4303" t="s">
        <v>3115</v>
      </c>
      <c r="B4303" s="1">
        <v>45719</v>
      </c>
      <c r="C4303" t="s">
        <v>8272</v>
      </c>
      <c r="D4303" t="s">
        <v>3308</v>
      </c>
      <c r="E4303" t="s">
        <v>8651</v>
      </c>
      <c r="F4303" t="s">
        <v>8537</v>
      </c>
      <c r="G4303" t="s">
        <v>8538</v>
      </c>
      <c r="H4303" t="s">
        <v>3309</v>
      </c>
      <c r="J4303">
        <v>1443</v>
      </c>
      <c r="L4303" t="s">
        <v>5966</v>
      </c>
    </row>
    <row r="4304" spans="1:12" x14ac:dyDescent="0.35">
      <c r="A4304" t="s">
        <v>3115</v>
      </c>
      <c r="B4304" s="1">
        <v>45719</v>
      </c>
      <c r="C4304" t="s">
        <v>8274</v>
      </c>
      <c r="D4304" t="s">
        <v>3310</v>
      </c>
      <c r="E4304" t="s">
        <v>8650</v>
      </c>
      <c r="F4304" t="s">
        <v>6811</v>
      </c>
      <c r="H4304" t="s">
        <v>3311</v>
      </c>
      <c r="K4304">
        <v>750</v>
      </c>
      <c r="L4304" t="s">
        <v>6803</v>
      </c>
    </row>
    <row r="4305" spans="1:12" x14ac:dyDescent="0.35">
      <c r="A4305" t="s">
        <v>3115</v>
      </c>
      <c r="B4305" s="1">
        <v>45719</v>
      </c>
      <c r="C4305" t="s">
        <v>8274</v>
      </c>
      <c r="D4305" t="s">
        <v>3310</v>
      </c>
      <c r="E4305" t="s">
        <v>8650</v>
      </c>
      <c r="F4305" t="s">
        <v>8557</v>
      </c>
      <c r="G4305" t="s">
        <v>8558</v>
      </c>
      <c r="H4305" t="s">
        <v>3311</v>
      </c>
      <c r="J4305">
        <v>750</v>
      </c>
      <c r="L4305" t="s">
        <v>5966</v>
      </c>
    </row>
    <row r="4306" spans="1:12" x14ac:dyDescent="0.35">
      <c r="A4306" t="s">
        <v>3115</v>
      </c>
      <c r="B4306" s="1">
        <v>45719</v>
      </c>
      <c r="C4306" t="s">
        <v>8276</v>
      </c>
      <c r="D4306" t="s">
        <v>3312</v>
      </c>
      <c r="E4306" t="s">
        <v>8652</v>
      </c>
      <c r="F4306" t="s">
        <v>6802</v>
      </c>
      <c r="H4306" t="s">
        <v>3313</v>
      </c>
      <c r="K4306">
        <v>1968</v>
      </c>
      <c r="L4306" t="s">
        <v>6803</v>
      </c>
    </row>
    <row r="4307" spans="1:12" x14ac:dyDescent="0.35">
      <c r="A4307" t="s">
        <v>3115</v>
      </c>
      <c r="B4307" s="1">
        <v>45719</v>
      </c>
      <c r="C4307" t="s">
        <v>8276</v>
      </c>
      <c r="D4307" t="s">
        <v>3312</v>
      </c>
      <c r="E4307" t="s">
        <v>8652</v>
      </c>
      <c r="F4307" t="s">
        <v>8537</v>
      </c>
      <c r="G4307" t="s">
        <v>8538</v>
      </c>
      <c r="H4307" t="s">
        <v>3313</v>
      </c>
      <c r="J4307">
        <v>1968</v>
      </c>
      <c r="L4307" t="s">
        <v>5966</v>
      </c>
    </row>
    <row r="4308" spans="1:12" x14ac:dyDescent="0.35">
      <c r="A4308" t="s">
        <v>3115</v>
      </c>
      <c r="B4308" s="1">
        <v>45719</v>
      </c>
      <c r="C4308" t="s">
        <v>8278</v>
      </c>
      <c r="D4308" t="s">
        <v>3314</v>
      </c>
      <c r="E4308" t="s">
        <v>8652</v>
      </c>
      <c r="F4308" t="s">
        <v>6802</v>
      </c>
      <c r="H4308" t="s">
        <v>3315</v>
      </c>
      <c r="K4308">
        <v>797</v>
      </c>
      <c r="L4308" t="s">
        <v>6803</v>
      </c>
    </row>
    <row r="4309" spans="1:12" x14ac:dyDescent="0.35">
      <c r="A4309" t="s">
        <v>3115</v>
      </c>
      <c r="B4309" s="1">
        <v>45719</v>
      </c>
      <c r="C4309" t="s">
        <v>8278</v>
      </c>
      <c r="D4309" t="s">
        <v>3314</v>
      </c>
      <c r="E4309" t="s">
        <v>8652</v>
      </c>
      <c r="F4309" t="s">
        <v>8557</v>
      </c>
      <c r="G4309" t="s">
        <v>8558</v>
      </c>
      <c r="H4309" t="s">
        <v>3315</v>
      </c>
      <c r="J4309">
        <v>797</v>
      </c>
      <c r="L4309" t="s">
        <v>5966</v>
      </c>
    </row>
    <row r="4310" spans="1:12" x14ac:dyDescent="0.35">
      <c r="A4310" t="s">
        <v>3115</v>
      </c>
      <c r="B4310" s="1">
        <v>45719</v>
      </c>
      <c r="C4310" t="s">
        <v>8280</v>
      </c>
      <c r="D4310" t="s">
        <v>3316</v>
      </c>
      <c r="E4310" t="s">
        <v>8653</v>
      </c>
      <c r="F4310" t="s">
        <v>6802</v>
      </c>
      <c r="H4310" t="s">
        <v>3317</v>
      </c>
      <c r="K4310">
        <v>3936</v>
      </c>
      <c r="L4310" t="s">
        <v>6803</v>
      </c>
    </row>
    <row r="4311" spans="1:12" x14ac:dyDescent="0.35">
      <c r="A4311" t="s">
        <v>3115</v>
      </c>
      <c r="B4311" s="1">
        <v>45719</v>
      </c>
      <c r="C4311" t="s">
        <v>8280</v>
      </c>
      <c r="D4311" t="s">
        <v>3316</v>
      </c>
      <c r="E4311" t="s">
        <v>8653</v>
      </c>
      <c r="F4311" t="s">
        <v>8537</v>
      </c>
      <c r="G4311" t="s">
        <v>8538</v>
      </c>
      <c r="H4311" t="s">
        <v>3317</v>
      </c>
      <c r="J4311">
        <v>3936</v>
      </c>
      <c r="L4311" t="s">
        <v>5966</v>
      </c>
    </row>
    <row r="4312" spans="1:12" x14ac:dyDescent="0.35">
      <c r="A4312" t="s">
        <v>3115</v>
      </c>
      <c r="B4312" s="1">
        <v>45719</v>
      </c>
      <c r="C4312" t="s">
        <v>8283</v>
      </c>
      <c r="D4312" t="s">
        <v>3318</v>
      </c>
      <c r="E4312" t="s">
        <v>8654</v>
      </c>
      <c r="F4312" t="s">
        <v>6915</v>
      </c>
      <c r="H4312" t="s">
        <v>3319</v>
      </c>
      <c r="K4312">
        <v>114380</v>
      </c>
      <c r="L4312" t="s">
        <v>6803</v>
      </c>
    </row>
    <row r="4313" spans="1:12" x14ac:dyDescent="0.35">
      <c r="A4313" t="s">
        <v>3115</v>
      </c>
      <c r="B4313" s="1">
        <v>45719</v>
      </c>
      <c r="C4313" t="s">
        <v>8283</v>
      </c>
      <c r="D4313" t="s">
        <v>3318</v>
      </c>
      <c r="E4313" t="s">
        <v>8654</v>
      </c>
      <c r="F4313" t="s">
        <v>8569</v>
      </c>
      <c r="G4313" t="s">
        <v>8570</v>
      </c>
      <c r="H4313" t="s">
        <v>3319</v>
      </c>
      <c r="J4313">
        <v>114380</v>
      </c>
      <c r="L4313" t="s">
        <v>5880</v>
      </c>
    </row>
    <row r="4314" spans="1:12" x14ac:dyDescent="0.35">
      <c r="A4314" t="s">
        <v>3115</v>
      </c>
      <c r="B4314" s="1">
        <v>45719</v>
      </c>
      <c r="C4314" t="s">
        <v>8285</v>
      </c>
      <c r="D4314" t="s">
        <v>3320</v>
      </c>
      <c r="E4314" t="s">
        <v>8655</v>
      </c>
      <c r="F4314" t="s">
        <v>6811</v>
      </c>
      <c r="H4314" t="s">
        <v>3321</v>
      </c>
      <c r="K4314">
        <v>3619</v>
      </c>
      <c r="L4314" t="s">
        <v>6803</v>
      </c>
    </row>
    <row r="4315" spans="1:12" x14ac:dyDescent="0.35">
      <c r="A4315" t="s">
        <v>3115</v>
      </c>
      <c r="B4315" s="1">
        <v>45719</v>
      </c>
      <c r="C4315" t="s">
        <v>8285</v>
      </c>
      <c r="D4315" t="s">
        <v>3320</v>
      </c>
      <c r="E4315" t="s">
        <v>8655</v>
      </c>
      <c r="F4315" t="s">
        <v>8557</v>
      </c>
      <c r="G4315" t="s">
        <v>8558</v>
      </c>
      <c r="H4315" t="s">
        <v>3321</v>
      </c>
      <c r="J4315">
        <v>3619</v>
      </c>
      <c r="L4315" t="s">
        <v>5966</v>
      </c>
    </row>
    <row r="4316" spans="1:12" x14ac:dyDescent="0.35">
      <c r="A4316" t="s">
        <v>3115</v>
      </c>
      <c r="B4316" s="1">
        <v>45719</v>
      </c>
      <c r="C4316" t="s">
        <v>8287</v>
      </c>
      <c r="D4316" t="s">
        <v>3322</v>
      </c>
      <c r="E4316" t="s">
        <v>8656</v>
      </c>
      <c r="F4316" t="s">
        <v>6915</v>
      </c>
      <c r="H4316" t="s">
        <v>3323</v>
      </c>
      <c r="K4316">
        <v>114380</v>
      </c>
      <c r="L4316" t="s">
        <v>6803</v>
      </c>
    </row>
    <row r="4317" spans="1:12" x14ac:dyDescent="0.35">
      <c r="A4317" t="s">
        <v>3115</v>
      </c>
      <c r="B4317" s="1">
        <v>45719</v>
      </c>
      <c r="C4317" t="s">
        <v>8287</v>
      </c>
      <c r="D4317" t="s">
        <v>3322</v>
      </c>
      <c r="E4317" t="s">
        <v>8656</v>
      </c>
      <c r="F4317" t="s">
        <v>8569</v>
      </c>
      <c r="G4317" t="s">
        <v>8570</v>
      </c>
      <c r="H4317" t="s">
        <v>3323</v>
      </c>
      <c r="J4317">
        <v>114380</v>
      </c>
      <c r="L4317" t="s">
        <v>5876</v>
      </c>
    </row>
    <row r="4318" spans="1:12" x14ac:dyDescent="0.35">
      <c r="A4318" t="s">
        <v>3115</v>
      </c>
      <c r="B4318" s="1">
        <v>45719</v>
      </c>
      <c r="C4318" t="s">
        <v>8289</v>
      </c>
      <c r="D4318" t="s">
        <v>3324</v>
      </c>
      <c r="E4318" t="s">
        <v>8657</v>
      </c>
      <c r="F4318" t="s">
        <v>6811</v>
      </c>
      <c r="H4318" t="s">
        <v>3325</v>
      </c>
      <c r="K4318">
        <v>2273</v>
      </c>
      <c r="L4318" t="s">
        <v>6803</v>
      </c>
    </row>
    <row r="4319" spans="1:12" x14ac:dyDescent="0.35">
      <c r="A4319" t="s">
        <v>3115</v>
      </c>
      <c r="B4319" s="1">
        <v>45719</v>
      </c>
      <c r="C4319" t="s">
        <v>8289</v>
      </c>
      <c r="D4319" t="s">
        <v>3324</v>
      </c>
      <c r="E4319" t="s">
        <v>8657</v>
      </c>
      <c r="F4319" t="s">
        <v>8557</v>
      </c>
      <c r="G4319" t="s">
        <v>8558</v>
      </c>
      <c r="H4319" t="s">
        <v>3325</v>
      </c>
      <c r="J4319">
        <v>2273</v>
      </c>
      <c r="L4319" t="s">
        <v>5966</v>
      </c>
    </row>
    <row r="4320" spans="1:12" x14ac:dyDescent="0.35">
      <c r="A4320" t="s">
        <v>3115</v>
      </c>
      <c r="B4320" s="1">
        <v>45719</v>
      </c>
      <c r="C4320" t="s">
        <v>8291</v>
      </c>
      <c r="D4320" t="s">
        <v>3326</v>
      </c>
      <c r="E4320" t="s">
        <v>8658</v>
      </c>
      <c r="F4320" t="s">
        <v>6811</v>
      </c>
      <c r="H4320" t="s">
        <v>3327</v>
      </c>
      <c r="K4320">
        <v>1136</v>
      </c>
      <c r="L4320" t="s">
        <v>6803</v>
      </c>
    </row>
    <row r="4321" spans="1:12" x14ac:dyDescent="0.35">
      <c r="A4321" t="s">
        <v>3115</v>
      </c>
      <c r="B4321" s="1">
        <v>45719</v>
      </c>
      <c r="C4321" t="s">
        <v>8291</v>
      </c>
      <c r="D4321" t="s">
        <v>3326</v>
      </c>
      <c r="E4321" t="s">
        <v>8658</v>
      </c>
      <c r="F4321" t="s">
        <v>8557</v>
      </c>
      <c r="G4321" t="s">
        <v>8558</v>
      </c>
      <c r="H4321" t="s">
        <v>3327</v>
      </c>
      <c r="J4321">
        <v>1136</v>
      </c>
      <c r="L4321" t="s">
        <v>5966</v>
      </c>
    </row>
    <row r="4322" spans="1:12" x14ac:dyDescent="0.35">
      <c r="A4322" t="s">
        <v>3115</v>
      </c>
      <c r="B4322" s="1">
        <v>45719</v>
      </c>
      <c r="C4322" t="s">
        <v>8293</v>
      </c>
      <c r="D4322" t="s">
        <v>3328</v>
      </c>
      <c r="E4322" t="s">
        <v>8659</v>
      </c>
      <c r="F4322" t="s">
        <v>6811</v>
      </c>
      <c r="H4322" t="s">
        <v>3329</v>
      </c>
      <c r="K4322">
        <v>1809</v>
      </c>
      <c r="L4322" t="s">
        <v>6803</v>
      </c>
    </row>
    <row r="4323" spans="1:12" x14ac:dyDescent="0.35">
      <c r="A4323" t="s">
        <v>3115</v>
      </c>
      <c r="B4323" s="1">
        <v>45719</v>
      </c>
      <c r="C4323" t="s">
        <v>8293</v>
      </c>
      <c r="D4323" t="s">
        <v>3328</v>
      </c>
      <c r="E4323" t="s">
        <v>8659</v>
      </c>
      <c r="F4323" t="s">
        <v>8557</v>
      </c>
      <c r="G4323" t="s">
        <v>8558</v>
      </c>
      <c r="H4323" t="s">
        <v>3329</v>
      </c>
      <c r="J4323">
        <v>1809</v>
      </c>
      <c r="L4323" t="s">
        <v>5966</v>
      </c>
    </row>
    <row r="4324" spans="1:12" x14ac:dyDescent="0.35">
      <c r="A4324" t="s">
        <v>3115</v>
      </c>
      <c r="B4324" s="1">
        <v>45719</v>
      </c>
      <c r="C4324" t="s">
        <v>8295</v>
      </c>
      <c r="D4324" t="s">
        <v>3330</v>
      </c>
      <c r="E4324" t="s">
        <v>8660</v>
      </c>
      <c r="F4324" t="s">
        <v>6811</v>
      </c>
      <c r="H4324" t="s">
        <v>3331</v>
      </c>
      <c r="K4324">
        <v>68932</v>
      </c>
      <c r="L4324" t="s">
        <v>6803</v>
      </c>
    </row>
    <row r="4325" spans="1:12" x14ac:dyDescent="0.35">
      <c r="A4325" t="s">
        <v>3115</v>
      </c>
      <c r="B4325" s="1">
        <v>45719</v>
      </c>
      <c r="C4325" t="s">
        <v>8295</v>
      </c>
      <c r="D4325" t="s">
        <v>3330</v>
      </c>
      <c r="E4325" t="s">
        <v>8660</v>
      </c>
      <c r="F4325" t="s">
        <v>8557</v>
      </c>
      <c r="G4325" t="s">
        <v>8558</v>
      </c>
      <c r="H4325" t="s">
        <v>3331</v>
      </c>
      <c r="J4325">
        <v>68932</v>
      </c>
      <c r="L4325" t="s">
        <v>6012</v>
      </c>
    </row>
    <row r="4326" spans="1:12" x14ac:dyDescent="0.35">
      <c r="A4326" t="s">
        <v>3115</v>
      </c>
      <c r="B4326" s="1">
        <v>45720</v>
      </c>
      <c r="C4326" t="s">
        <v>8297</v>
      </c>
      <c r="D4326" t="s">
        <v>3332</v>
      </c>
      <c r="E4326" t="s">
        <v>8661</v>
      </c>
      <c r="F4326" t="s">
        <v>6802</v>
      </c>
      <c r="H4326" t="s">
        <v>3333</v>
      </c>
      <c r="K4326">
        <v>80027</v>
      </c>
      <c r="L4326" t="s">
        <v>6803</v>
      </c>
    </row>
    <row r="4327" spans="1:12" x14ac:dyDescent="0.35">
      <c r="A4327" t="s">
        <v>3115</v>
      </c>
      <c r="B4327" s="1">
        <v>45720</v>
      </c>
      <c r="C4327" t="s">
        <v>8297</v>
      </c>
      <c r="D4327" t="s">
        <v>3332</v>
      </c>
      <c r="E4327" t="s">
        <v>8661</v>
      </c>
      <c r="F4327" t="s">
        <v>8537</v>
      </c>
      <c r="G4327" t="s">
        <v>8538</v>
      </c>
      <c r="H4327" t="s">
        <v>3333</v>
      </c>
      <c r="J4327">
        <v>80027</v>
      </c>
      <c r="L4327" t="s">
        <v>5958</v>
      </c>
    </row>
    <row r="4328" spans="1:12" x14ac:dyDescent="0.35">
      <c r="A4328" t="s">
        <v>3115</v>
      </c>
      <c r="B4328" s="1">
        <v>45720</v>
      </c>
      <c r="C4328" t="s">
        <v>8299</v>
      </c>
      <c r="D4328" t="s">
        <v>3334</v>
      </c>
      <c r="E4328" t="s">
        <v>8662</v>
      </c>
      <c r="F4328" t="s">
        <v>6802</v>
      </c>
      <c r="H4328" t="s">
        <v>3335</v>
      </c>
      <c r="K4328">
        <v>3178</v>
      </c>
      <c r="L4328" t="s">
        <v>6803</v>
      </c>
    </row>
    <row r="4329" spans="1:12" x14ac:dyDescent="0.35">
      <c r="A4329" t="s">
        <v>3115</v>
      </c>
      <c r="B4329" s="1">
        <v>45720</v>
      </c>
      <c r="C4329" t="s">
        <v>8299</v>
      </c>
      <c r="D4329" t="s">
        <v>3334</v>
      </c>
      <c r="E4329" t="s">
        <v>8662</v>
      </c>
      <c r="F4329" t="s">
        <v>8467</v>
      </c>
      <c r="G4329" t="s">
        <v>8567</v>
      </c>
      <c r="H4329" t="s">
        <v>3335</v>
      </c>
      <c r="J4329">
        <v>3178</v>
      </c>
      <c r="L4329" t="s">
        <v>5958</v>
      </c>
    </row>
    <row r="4330" spans="1:12" x14ac:dyDescent="0.35">
      <c r="A4330" t="s">
        <v>3115</v>
      </c>
      <c r="B4330" s="1">
        <v>45720</v>
      </c>
      <c r="C4330" t="s">
        <v>8301</v>
      </c>
      <c r="D4330" t="s">
        <v>3336</v>
      </c>
      <c r="E4330" t="s">
        <v>8663</v>
      </c>
      <c r="F4330" t="s">
        <v>6808</v>
      </c>
      <c r="H4330" t="s">
        <v>3337</v>
      </c>
      <c r="K4330">
        <v>10594</v>
      </c>
      <c r="L4330" t="s">
        <v>6803</v>
      </c>
    </row>
    <row r="4331" spans="1:12" x14ac:dyDescent="0.35">
      <c r="A4331" t="s">
        <v>3115</v>
      </c>
      <c r="B4331" s="1">
        <v>45720</v>
      </c>
      <c r="C4331" t="s">
        <v>8301</v>
      </c>
      <c r="D4331" t="s">
        <v>3336</v>
      </c>
      <c r="E4331" t="s">
        <v>8663</v>
      </c>
      <c r="F4331" t="s">
        <v>8467</v>
      </c>
      <c r="G4331" t="s">
        <v>8567</v>
      </c>
      <c r="H4331" t="s">
        <v>3337</v>
      </c>
      <c r="J4331">
        <v>10594</v>
      </c>
      <c r="L4331" t="s">
        <v>5949</v>
      </c>
    </row>
    <row r="4332" spans="1:12" x14ac:dyDescent="0.35">
      <c r="A4332" t="s">
        <v>3115</v>
      </c>
      <c r="B4332" s="1">
        <v>45720</v>
      </c>
      <c r="C4332" t="s">
        <v>8303</v>
      </c>
      <c r="D4332" t="s">
        <v>3338</v>
      </c>
      <c r="E4332" t="s">
        <v>8664</v>
      </c>
      <c r="F4332" t="s">
        <v>6811</v>
      </c>
      <c r="H4332" t="s">
        <v>3339</v>
      </c>
      <c r="K4332">
        <v>1225</v>
      </c>
      <c r="L4332" t="s">
        <v>6803</v>
      </c>
    </row>
    <row r="4333" spans="1:12" x14ac:dyDescent="0.35">
      <c r="A4333" t="s">
        <v>3115</v>
      </c>
      <c r="B4333" s="1">
        <v>45720</v>
      </c>
      <c r="C4333" t="s">
        <v>8303</v>
      </c>
      <c r="D4333" t="s">
        <v>3338</v>
      </c>
      <c r="E4333" t="s">
        <v>8664</v>
      </c>
      <c r="F4333" t="s">
        <v>8557</v>
      </c>
      <c r="G4333" t="s">
        <v>8558</v>
      </c>
      <c r="H4333" t="s">
        <v>3339</v>
      </c>
      <c r="J4333">
        <v>1225</v>
      </c>
      <c r="L4333" t="s">
        <v>5949</v>
      </c>
    </row>
    <row r="4334" spans="1:12" x14ac:dyDescent="0.35">
      <c r="A4334" t="s">
        <v>3115</v>
      </c>
      <c r="B4334" s="1">
        <v>45720</v>
      </c>
      <c r="C4334" t="s">
        <v>8305</v>
      </c>
      <c r="D4334" t="s">
        <v>3340</v>
      </c>
      <c r="E4334" t="s">
        <v>8665</v>
      </c>
      <c r="F4334" t="s">
        <v>6802</v>
      </c>
      <c r="H4334" t="s">
        <v>3341</v>
      </c>
      <c r="K4334">
        <v>262</v>
      </c>
      <c r="L4334" t="s">
        <v>6803</v>
      </c>
    </row>
    <row r="4335" spans="1:12" x14ac:dyDescent="0.35">
      <c r="A4335" t="s">
        <v>3115</v>
      </c>
      <c r="B4335" s="1">
        <v>45720</v>
      </c>
      <c r="C4335" t="s">
        <v>8305</v>
      </c>
      <c r="D4335" t="s">
        <v>3340</v>
      </c>
      <c r="E4335" t="s">
        <v>8665</v>
      </c>
      <c r="F4335" t="s">
        <v>8537</v>
      </c>
      <c r="G4335" t="s">
        <v>8538</v>
      </c>
      <c r="H4335" t="s">
        <v>3341</v>
      </c>
      <c r="J4335">
        <v>262</v>
      </c>
      <c r="L4335" t="s">
        <v>6010</v>
      </c>
    </row>
    <row r="4336" spans="1:12" x14ac:dyDescent="0.35">
      <c r="A4336" t="s">
        <v>3115</v>
      </c>
      <c r="B4336" s="1">
        <v>45720</v>
      </c>
      <c r="C4336" t="s">
        <v>8307</v>
      </c>
      <c r="D4336" t="s">
        <v>3342</v>
      </c>
      <c r="E4336" t="s">
        <v>8666</v>
      </c>
      <c r="F4336" t="s">
        <v>6802</v>
      </c>
      <c r="H4336" t="s">
        <v>3343</v>
      </c>
      <c r="K4336">
        <v>17973</v>
      </c>
      <c r="L4336" t="s">
        <v>6803</v>
      </c>
    </row>
    <row r="4337" spans="1:12" x14ac:dyDescent="0.35">
      <c r="A4337" t="s">
        <v>3115</v>
      </c>
      <c r="B4337" s="1">
        <v>45720</v>
      </c>
      <c r="C4337" t="s">
        <v>8307</v>
      </c>
      <c r="D4337" t="s">
        <v>3342</v>
      </c>
      <c r="E4337" t="s">
        <v>8666</v>
      </c>
      <c r="F4337" t="s">
        <v>8537</v>
      </c>
      <c r="G4337" t="s">
        <v>8538</v>
      </c>
      <c r="H4337" t="s">
        <v>3343</v>
      </c>
      <c r="J4337">
        <v>17973</v>
      </c>
      <c r="L4337" t="s">
        <v>5880</v>
      </c>
    </row>
    <row r="4338" spans="1:12" x14ac:dyDescent="0.35">
      <c r="A4338" t="s">
        <v>3115</v>
      </c>
      <c r="B4338" s="1">
        <v>45720</v>
      </c>
      <c r="C4338" t="s">
        <v>8309</v>
      </c>
      <c r="D4338" t="s">
        <v>3344</v>
      </c>
      <c r="E4338" t="s">
        <v>8667</v>
      </c>
      <c r="F4338" t="s">
        <v>6808</v>
      </c>
      <c r="H4338" t="s">
        <v>3345</v>
      </c>
      <c r="K4338">
        <v>2800000</v>
      </c>
      <c r="L4338" t="s">
        <v>6803</v>
      </c>
    </row>
    <row r="4339" spans="1:12" x14ac:dyDescent="0.35">
      <c r="A4339" t="s">
        <v>3115</v>
      </c>
      <c r="B4339" s="1">
        <v>45720</v>
      </c>
      <c r="C4339" t="s">
        <v>8309</v>
      </c>
      <c r="D4339" t="s">
        <v>3344</v>
      </c>
      <c r="E4339" t="s">
        <v>8667</v>
      </c>
      <c r="F4339" t="s">
        <v>8467</v>
      </c>
      <c r="G4339" t="s">
        <v>8567</v>
      </c>
      <c r="H4339" t="s">
        <v>3345</v>
      </c>
      <c r="J4339">
        <v>2800000</v>
      </c>
      <c r="L4339" t="s">
        <v>5880</v>
      </c>
    </row>
    <row r="4340" spans="1:12" x14ac:dyDescent="0.35">
      <c r="A4340" t="s">
        <v>3115</v>
      </c>
      <c r="B4340" s="1">
        <v>45720</v>
      </c>
      <c r="C4340" t="s">
        <v>8311</v>
      </c>
      <c r="D4340" t="s">
        <v>3346</v>
      </c>
      <c r="E4340" t="s">
        <v>8668</v>
      </c>
      <c r="F4340" t="s">
        <v>6808</v>
      </c>
      <c r="H4340" t="s">
        <v>3347</v>
      </c>
      <c r="K4340">
        <v>2800000</v>
      </c>
      <c r="L4340" t="s">
        <v>6803</v>
      </c>
    </row>
    <row r="4341" spans="1:12" x14ac:dyDescent="0.35">
      <c r="A4341" t="s">
        <v>3115</v>
      </c>
      <c r="B4341" s="1">
        <v>45720</v>
      </c>
      <c r="C4341" t="s">
        <v>8311</v>
      </c>
      <c r="D4341" t="s">
        <v>3346</v>
      </c>
      <c r="E4341" t="s">
        <v>8668</v>
      </c>
      <c r="F4341" t="s">
        <v>8467</v>
      </c>
      <c r="G4341" t="s">
        <v>8567</v>
      </c>
      <c r="H4341" t="s">
        <v>3347</v>
      </c>
      <c r="J4341">
        <v>2800000</v>
      </c>
      <c r="L4341" t="s">
        <v>5958</v>
      </c>
    </row>
    <row r="4342" spans="1:12" x14ac:dyDescent="0.35">
      <c r="A4342" t="s">
        <v>3115</v>
      </c>
      <c r="B4342" s="1">
        <v>45720</v>
      </c>
      <c r="C4342" t="s">
        <v>8313</v>
      </c>
      <c r="D4342" t="s">
        <v>3348</v>
      </c>
      <c r="E4342" t="s">
        <v>8669</v>
      </c>
      <c r="F4342" t="s">
        <v>6811</v>
      </c>
      <c r="H4342" t="s">
        <v>3349</v>
      </c>
      <c r="K4342">
        <v>9168</v>
      </c>
      <c r="L4342" t="s">
        <v>6803</v>
      </c>
    </row>
    <row r="4343" spans="1:12" x14ac:dyDescent="0.35">
      <c r="A4343" t="s">
        <v>3115</v>
      </c>
      <c r="B4343" s="1">
        <v>45720</v>
      </c>
      <c r="C4343" t="s">
        <v>8313</v>
      </c>
      <c r="D4343" t="s">
        <v>3348</v>
      </c>
      <c r="E4343" t="s">
        <v>8669</v>
      </c>
      <c r="F4343" t="s">
        <v>6802</v>
      </c>
      <c r="H4343" t="s">
        <v>3349</v>
      </c>
      <c r="K4343">
        <v>219451</v>
      </c>
      <c r="L4343" t="s">
        <v>6803</v>
      </c>
    </row>
    <row r="4344" spans="1:12" x14ac:dyDescent="0.35">
      <c r="A4344" t="s">
        <v>3115</v>
      </c>
      <c r="B4344" s="1">
        <v>45720</v>
      </c>
      <c r="C4344" t="s">
        <v>8313</v>
      </c>
      <c r="D4344" t="s">
        <v>3348</v>
      </c>
      <c r="E4344" t="s">
        <v>8669</v>
      </c>
      <c r="F4344" t="s">
        <v>8557</v>
      </c>
      <c r="G4344" t="s">
        <v>8558</v>
      </c>
      <c r="H4344" t="s">
        <v>3349</v>
      </c>
      <c r="J4344">
        <v>228619</v>
      </c>
      <c r="L4344" t="s">
        <v>5958</v>
      </c>
    </row>
    <row r="4345" spans="1:12" x14ac:dyDescent="0.35">
      <c r="A4345" t="s">
        <v>3115</v>
      </c>
      <c r="B4345" s="1">
        <v>45720</v>
      </c>
      <c r="C4345" t="s">
        <v>8315</v>
      </c>
      <c r="D4345" t="s">
        <v>3350</v>
      </c>
      <c r="E4345" t="s">
        <v>8670</v>
      </c>
      <c r="F4345" t="s">
        <v>6808</v>
      </c>
      <c r="H4345" t="s">
        <v>3351</v>
      </c>
      <c r="K4345">
        <v>1980000</v>
      </c>
      <c r="L4345" t="s">
        <v>6803</v>
      </c>
    </row>
    <row r="4346" spans="1:12" x14ac:dyDescent="0.35">
      <c r="A4346" t="s">
        <v>3115</v>
      </c>
      <c r="B4346" s="1">
        <v>45720</v>
      </c>
      <c r="C4346" t="s">
        <v>8315</v>
      </c>
      <c r="D4346" t="s">
        <v>3350</v>
      </c>
      <c r="E4346" t="s">
        <v>8670</v>
      </c>
      <c r="F4346" t="s">
        <v>8467</v>
      </c>
      <c r="G4346" t="s">
        <v>8567</v>
      </c>
      <c r="H4346" t="s">
        <v>3351</v>
      </c>
      <c r="J4346">
        <v>1980000</v>
      </c>
      <c r="L4346" t="s">
        <v>5876</v>
      </c>
    </row>
    <row r="4347" spans="1:12" x14ac:dyDescent="0.35">
      <c r="A4347" t="s">
        <v>3115</v>
      </c>
      <c r="B4347" s="1">
        <v>45720</v>
      </c>
      <c r="C4347" t="s">
        <v>8317</v>
      </c>
      <c r="D4347" t="s">
        <v>3352</v>
      </c>
      <c r="E4347" t="s">
        <v>8671</v>
      </c>
      <c r="F4347" t="s">
        <v>6808</v>
      </c>
      <c r="H4347" t="s">
        <v>3353</v>
      </c>
      <c r="K4347">
        <v>990000</v>
      </c>
      <c r="L4347" t="s">
        <v>6803</v>
      </c>
    </row>
    <row r="4348" spans="1:12" x14ac:dyDescent="0.35">
      <c r="A4348" t="s">
        <v>3115</v>
      </c>
      <c r="B4348" s="1">
        <v>45720</v>
      </c>
      <c r="C4348" t="s">
        <v>8317</v>
      </c>
      <c r="D4348" t="s">
        <v>3352</v>
      </c>
      <c r="E4348" t="s">
        <v>8671</v>
      </c>
      <c r="F4348" t="s">
        <v>8467</v>
      </c>
      <c r="G4348" t="s">
        <v>8567</v>
      </c>
      <c r="H4348" t="s">
        <v>3353</v>
      </c>
      <c r="J4348">
        <v>990000</v>
      </c>
      <c r="L4348" t="s">
        <v>5874</v>
      </c>
    </row>
    <row r="4349" spans="1:12" x14ac:dyDescent="0.35">
      <c r="A4349" t="s">
        <v>3115</v>
      </c>
      <c r="B4349" s="1">
        <v>45720</v>
      </c>
      <c r="C4349" t="s">
        <v>8319</v>
      </c>
      <c r="D4349" t="s">
        <v>3354</v>
      </c>
      <c r="E4349" t="s">
        <v>8672</v>
      </c>
      <c r="F4349" t="s">
        <v>6811</v>
      </c>
      <c r="H4349" t="s">
        <v>3355</v>
      </c>
      <c r="K4349">
        <v>9168</v>
      </c>
      <c r="L4349" t="s">
        <v>6803</v>
      </c>
    </row>
    <row r="4350" spans="1:12" x14ac:dyDescent="0.35">
      <c r="A4350" t="s">
        <v>3115</v>
      </c>
      <c r="B4350" s="1">
        <v>45720</v>
      </c>
      <c r="C4350" t="s">
        <v>8319</v>
      </c>
      <c r="D4350" t="s">
        <v>3354</v>
      </c>
      <c r="E4350" t="s">
        <v>8672</v>
      </c>
      <c r="F4350" t="s">
        <v>6802</v>
      </c>
      <c r="H4350" t="s">
        <v>3355</v>
      </c>
      <c r="K4350">
        <v>219455</v>
      </c>
      <c r="L4350" t="s">
        <v>6803</v>
      </c>
    </row>
    <row r="4351" spans="1:12" x14ac:dyDescent="0.35">
      <c r="A4351" t="s">
        <v>3115</v>
      </c>
      <c r="B4351" s="1">
        <v>45720</v>
      </c>
      <c r="C4351" t="s">
        <v>8319</v>
      </c>
      <c r="D4351" t="s">
        <v>3354</v>
      </c>
      <c r="E4351" t="s">
        <v>8672</v>
      </c>
      <c r="F4351" t="s">
        <v>8557</v>
      </c>
      <c r="G4351" t="s">
        <v>8558</v>
      </c>
      <c r="H4351" t="s">
        <v>3355</v>
      </c>
      <c r="J4351">
        <v>228623</v>
      </c>
      <c r="L4351" t="s">
        <v>5958</v>
      </c>
    </row>
    <row r="4352" spans="1:12" x14ac:dyDescent="0.35">
      <c r="A4352" t="s">
        <v>3115</v>
      </c>
      <c r="B4352" s="1">
        <v>45720</v>
      </c>
      <c r="C4352" t="s">
        <v>8321</v>
      </c>
      <c r="D4352" t="s">
        <v>3356</v>
      </c>
      <c r="E4352" t="s">
        <v>8673</v>
      </c>
      <c r="F4352" t="s">
        <v>6808</v>
      </c>
      <c r="H4352" t="s">
        <v>3357</v>
      </c>
      <c r="K4352">
        <v>3220000</v>
      </c>
      <c r="L4352" t="s">
        <v>6803</v>
      </c>
    </row>
    <row r="4353" spans="1:12" x14ac:dyDescent="0.35">
      <c r="A4353" t="s">
        <v>3115</v>
      </c>
      <c r="B4353" s="1">
        <v>45720</v>
      </c>
      <c r="C4353" t="s">
        <v>8321</v>
      </c>
      <c r="D4353" t="s">
        <v>3356</v>
      </c>
      <c r="E4353" t="s">
        <v>8673</v>
      </c>
      <c r="F4353" t="s">
        <v>8467</v>
      </c>
      <c r="G4353" t="s">
        <v>8567</v>
      </c>
      <c r="H4353" t="s">
        <v>3357</v>
      </c>
      <c r="J4353">
        <v>3220000</v>
      </c>
      <c r="L4353" t="s">
        <v>5875</v>
      </c>
    </row>
    <row r="4354" spans="1:12" x14ac:dyDescent="0.35">
      <c r="A4354" t="s">
        <v>3115</v>
      </c>
      <c r="B4354" s="1">
        <v>45720</v>
      </c>
      <c r="C4354" t="s">
        <v>8323</v>
      </c>
      <c r="D4354" t="s">
        <v>3358</v>
      </c>
      <c r="E4354" t="s">
        <v>8674</v>
      </c>
      <c r="F4354" t="s">
        <v>6802</v>
      </c>
      <c r="H4354" t="s">
        <v>3359</v>
      </c>
      <c r="K4354">
        <v>1985000</v>
      </c>
      <c r="L4354" t="s">
        <v>6803</v>
      </c>
    </row>
    <row r="4355" spans="1:12" x14ac:dyDescent="0.35">
      <c r="A4355" t="s">
        <v>3115</v>
      </c>
      <c r="B4355" s="1">
        <v>45720</v>
      </c>
      <c r="C4355" t="s">
        <v>8323</v>
      </c>
      <c r="D4355" t="s">
        <v>3358</v>
      </c>
      <c r="E4355" t="s">
        <v>8674</v>
      </c>
      <c r="F4355" t="s">
        <v>8537</v>
      </c>
      <c r="G4355" t="s">
        <v>8538</v>
      </c>
      <c r="H4355" t="s">
        <v>3359</v>
      </c>
      <c r="J4355">
        <v>1985000</v>
      </c>
      <c r="L4355" t="s">
        <v>5880</v>
      </c>
    </row>
    <row r="4356" spans="1:12" x14ac:dyDescent="0.35">
      <c r="A4356" t="s">
        <v>3115</v>
      </c>
      <c r="B4356" s="1">
        <v>45720</v>
      </c>
      <c r="C4356" t="s">
        <v>8325</v>
      </c>
      <c r="D4356" t="s">
        <v>3360</v>
      </c>
      <c r="E4356" t="s">
        <v>8675</v>
      </c>
      <c r="F4356" t="s">
        <v>6811</v>
      </c>
      <c r="H4356" t="s">
        <v>3361</v>
      </c>
      <c r="K4356">
        <v>9168</v>
      </c>
      <c r="L4356" t="s">
        <v>6803</v>
      </c>
    </row>
    <row r="4357" spans="1:12" x14ac:dyDescent="0.35">
      <c r="A4357" t="s">
        <v>3115</v>
      </c>
      <c r="B4357" s="1">
        <v>45720</v>
      </c>
      <c r="C4357" t="s">
        <v>8325</v>
      </c>
      <c r="D4357" t="s">
        <v>3360</v>
      </c>
      <c r="E4357" t="s">
        <v>8675</v>
      </c>
      <c r="F4357" t="s">
        <v>6802</v>
      </c>
      <c r="H4357" t="s">
        <v>3361</v>
      </c>
      <c r="K4357">
        <v>546894</v>
      </c>
      <c r="L4357" t="s">
        <v>6803</v>
      </c>
    </row>
    <row r="4358" spans="1:12" x14ac:dyDescent="0.35">
      <c r="A4358" t="s">
        <v>3115</v>
      </c>
      <c r="B4358" s="1">
        <v>45720</v>
      </c>
      <c r="C4358" t="s">
        <v>8325</v>
      </c>
      <c r="D4358" t="s">
        <v>3360</v>
      </c>
      <c r="E4358" t="s">
        <v>8675</v>
      </c>
      <c r="F4358" t="s">
        <v>8557</v>
      </c>
      <c r="G4358" t="s">
        <v>8558</v>
      </c>
      <c r="H4358" t="s">
        <v>3361</v>
      </c>
      <c r="J4358">
        <v>556062</v>
      </c>
      <c r="L4358" t="s">
        <v>5958</v>
      </c>
    </row>
    <row r="4359" spans="1:12" x14ac:dyDescent="0.35">
      <c r="A4359" t="s">
        <v>3115</v>
      </c>
      <c r="B4359" s="1">
        <v>45720</v>
      </c>
      <c r="C4359" t="s">
        <v>8327</v>
      </c>
      <c r="D4359" t="s">
        <v>3362</v>
      </c>
      <c r="E4359" t="s">
        <v>8676</v>
      </c>
      <c r="F4359" t="s">
        <v>6808</v>
      </c>
      <c r="H4359" t="s">
        <v>3363</v>
      </c>
      <c r="K4359">
        <v>3220000</v>
      </c>
      <c r="L4359" t="s">
        <v>6803</v>
      </c>
    </row>
    <row r="4360" spans="1:12" x14ac:dyDescent="0.35">
      <c r="A4360" t="s">
        <v>3115</v>
      </c>
      <c r="B4360" s="1">
        <v>45720</v>
      </c>
      <c r="C4360" t="s">
        <v>8327</v>
      </c>
      <c r="D4360" t="s">
        <v>3362</v>
      </c>
      <c r="E4360" t="s">
        <v>8676</v>
      </c>
      <c r="F4360" t="s">
        <v>8467</v>
      </c>
      <c r="G4360" t="s">
        <v>8567</v>
      </c>
      <c r="H4360" t="s">
        <v>3363</v>
      </c>
      <c r="J4360">
        <v>3220000</v>
      </c>
      <c r="L4360" t="s">
        <v>5875</v>
      </c>
    </row>
    <row r="4361" spans="1:12" x14ac:dyDescent="0.35">
      <c r="A4361" t="s">
        <v>3115</v>
      </c>
      <c r="B4361" s="1">
        <v>45720</v>
      </c>
      <c r="C4361" t="s">
        <v>8329</v>
      </c>
      <c r="D4361" t="s">
        <v>3364</v>
      </c>
      <c r="E4361" t="s">
        <v>8677</v>
      </c>
      <c r="F4361" t="s">
        <v>6802</v>
      </c>
      <c r="H4361" t="s">
        <v>3365</v>
      </c>
      <c r="K4361">
        <v>20740</v>
      </c>
      <c r="L4361" t="s">
        <v>6803</v>
      </c>
    </row>
    <row r="4362" spans="1:12" x14ac:dyDescent="0.35">
      <c r="A4362" t="s">
        <v>3115</v>
      </c>
      <c r="B4362" s="1">
        <v>45720</v>
      </c>
      <c r="C4362" t="s">
        <v>8329</v>
      </c>
      <c r="D4362" t="s">
        <v>3364</v>
      </c>
      <c r="E4362" t="s">
        <v>8677</v>
      </c>
      <c r="F4362" t="s">
        <v>8557</v>
      </c>
      <c r="G4362" t="s">
        <v>8558</v>
      </c>
      <c r="H4362" t="s">
        <v>3365</v>
      </c>
      <c r="J4362">
        <v>20740</v>
      </c>
      <c r="L4362" t="s">
        <v>5949</v>
      </c>
    </row>
    <row r="4363" spans="1:12" x14ac:dyDescent="0.35">
      <c r="A4363" t="s">
        <v>3115</v>
      </c>
      <c r="B4363" s="1">
        <v>45720</v>
      </c>
      <c r="C4363" t="s">
        <v>8331</v>
      </c>
      <c r="D4363" t="s">
        <v>3366</v>
      </c>
      <c r="E4363" t="s">
        <v>8678</v>
      </c>
      <c r="F4363" t="s">
        <v>6808</v>
      </c>
      <c r="H4363" t="s">
        <v>3367</v>
      </c>
      <c r="K4363">
        <v>2240000</v>
      </c>
      <c r="L4363" t="s">
        <v>6803</v>
      </c>
    </row>
    <row r="4364" spans="1:12" x14ac:dyDescent="0.35">
      <c r="A4364" t="s">
        <v>3115</v>
      </c>
      <c r="B4364" s="1">
        <v>45720</v>
      </c>
      <c r="C4364" t="s">
        <v>8331</v>
      </c>
      <c r="D4364" t="s">
        <v>3366</v>
      </c>
      <c r="E4364" t="s">
        <v>8678</v>
      </c>
      <c r="F4364" t="s">
        <v>8467</v>
      </c>
      <c r="G4364" t="s">
        <v>8567</v>
      </c>
      <c r="H4364" t="s">
        <v>3367</v>
      </c>
      <c r="J4364">
        <v>2240000</v>
      </c>
      <c r="L4364" t="s">
        <v>5958</v>
      </c>
    </row>
    <row r="4365" spans="1:12" x14ac:dyDescent="0.35">
      <c r="A4365" t="s">
        <v>3115</v>
      </c>
      <c r="B4365" s="1">
        <v>45720</v>
      </c>
      <c r="C4365" t="s">
        <v>8333</v>
      </c>
      <c r="D4365" t="s">
        <v>3368</v>
      </c>
      <c r="E4365" t="s">
        <v>8679</v>
      </c>
      <c r="F4365" t="s">
        <v>6802</v>
      </c>
      <c r="H4365" t="s">
        <v>3369</v>
      </c>
      <c r="K4365">
        <v>113378</v>
      </c>
      <c r="L4365" t="s">
        <v>6803</v>
      </c>
    </row>
    <row r="4366" spans="1:12" x14ac:dyDescent="0.35">
      <c r="A4366" t="s">
        <v>3115</v>
      </c>
      <c r="B4366" s="1">
        <v>45720</v>
      </c>
      <c r="C4366" t="s">
        <v>8333</v>
      </c>
      <c r="D4366" t="s">
        <v>3368</v>
      </c>
      <c r="E4366" t="s">
        <v>8679</v>
      </c>
      <c r="F4366" t="s">
        <v>8557</v>
      </c>
      <c r="G4366" t="s">
        <v>8558</v>
      </c>
      <c r="H4366" t="s">
        <v>3369</v>
      </c>
      <c r="J4366">
        <v>113378</v>
      </c>
      <c r="L4366" t="s">
        <v>5874</v>
      </c>
    </row>
    <row r="4367" spans="1:12" x14ac:dyDescent="0.35">
      <c r="A4367" t="s">
        <v>3115</v>
      </c>
      <c r="B4367" s="1">
        <v>45720</v>
      </c>
      <c r="C4367" t="s">
        <v>8334</v>
      </c>
      <c r="D4367" t="s">
        <v>3370</v>
      </c>
      <c r="E4367" t="s">
        <v>8680</v>
      </c>
      <c r="F4367" t="s">
        <v>6802</v>
      </c>
      <c r="H4367" t="s">
        <v>3371</v>
      </c>
      <c r="K4367">
        <v>182000</v>
      </c>
      <c r="L4367" t="s">
        <v>6803</v>
      </c>
    </row>
    <row r="4368" spans="1:12" x14ac:dyDescent="0.35">
      <c r="A4368" t="s">
        <v>3115</v>
      </c>
      <c r="B4368" s="1">
        <v>45720</v>
      </c>
      <c r="C4368" t="s">
        <v>8334</v>
      </c>
      <c r="D4368" t="s">
        <v>3370</v>
      </c>
      <c r="E4368" t="s">
        <v>8680</v>
      </c>
      <c r="F4368" t="s">
        <v>8537</v>
      </c>
      <c r="G4368" t="s">
        <v>8538</v>
      </c>
      <c r="H4368" t="s">
        <v>3371</v>
      </c>
      <c r="J4368">
        <v>182000</v>
      </c>
      <c r="L4368" t="s">
        <v>5905</v>
      </c>
    </row>
    <row r="4369" spans="1:12" x14ac:dyDescent="0.35">
      <c r="A4369" t="s">
        <v>3115</v>
      </c>
      <c r="B4369" s="1">
        <v>45720</v>
      </c>
      <c r="C4369" t="s">
        <v>8336</v>
      </c>
      <c r="D4369" t="s">
        <v>3372</v>
      </c>
      <c r="E4369" t="s">
        <v>8681</v>
      </c>
      <c r="F4369" t="s">
        <v>6802</v>
      </c>
      <c r="H4369" t="s">
        <v>3373</v>
      </c>
      <c r="K4369">
        <v>536722</v>
      </c>
      <c r="L4369" t="s">
        <v>6803</v>
      </c>
    </row>
    <row r="4370" spans="1:12" x14ac:dyDescent="0.35">
      <c r="A4370" t="s">
        <v>3115</v>
      </c>
      <c r="B4370" s="1">
        <v>45720</v>
      </c>
      <c r="C4370" t="s">
        <v>8336</v>
      </c>
      <c r="D4370" t="s">
        <v>3372</v>
      </c>
      <c r="E4370" t="s">
        <v>8681</v>
      </c>
      <c r="F4370" t="s">
        <v>8557</v>
      </c>
      <c r="G4370" t="s">
        <v>8558</v>
      </c>
      <c r="H4370" t="s">
        <v>3373</v>
      </c>
      <c r="J4370">
        <v>536722</v>
      </c>
      <c r="L4370" t="s">
        <v>5880</v>
      </c>
    </row>
    <row r="4371" spans="1:12" x14ac:dyDescent="0.35">
      <c r="A4371" t="s">
        <v>3115</v>
      </c>
      <c r="B4371" s="1">
        <v>45720</v>
      </c>
      <c r="C4371" t="s">
        <v>8338</v>
      </c>
      <c r="D4371" t="s">
        <v>3374</v>
      </c>
      <c r="E4371" t="s">
        <v>8682</v>
      </c>
      <c r="F4371" t="s">
        <v>6802</v>
      </c>
      <c r="H4371" t="s">
        <v>3375</v>
      </c>
      <c r="K4371">
        <v>111096</v>
      </c>
      <c r="L4371" t="s">
        <v>6803</v>
      </c>
    </row>
    <row r="4372" spans="1:12" x14ac:dyDescent="0.35">
      <c r="A4372" t="s">
        <v>3115</v>
      </c>
      <c r="B4372" s="1">
        <v>45720</v>
      </c>
      <c r="C4372" t="s">
        <v>8338</v>
      </c>
      <c r="D4372" t="s">
        <v>3374</v>
      </c>
      <c r="E4372" t="s">
        <v>8682</v>
      </c>
      <c r="F4372" t="s">
        <v>8537</v>
      </c>
      <c r="G4372" t="s">
        <v>8538</v>
      </c>
      <c r="H4372" t="s">
        <v>3375</v>
      </c>
      <c r="J4372">
        <v>111096</v>
      </c>
      <c r="L4372" t="s">
        <v>5873</v>
      </c>
    </row>
    <row r="4373" spans="1:12" x14ac:dyDescent="0.35">
      <c r="A4373" t="s">
        <v>3115</v>
      </c>
      <c r="B4373" s="1">
        <v>45720</v>
      </c>
      <c r="C4373" t="s">
        <v>8340</v>
      </c>
      <c r="D4373" t="s">
        <v>3376</v>
      </c>
      <c r="E4373" t="s">
        <v>8683</v>
      </c>
      <c r="F4373" t="s">
        <v>6802</v>
      </c>
      <c r="H4373" t="s">
        <v>3377</v>
      </c>
      <c r="K4373">
        <v>125850</v>
      </c>
      <c r="L4373" t="s">
        <v>6803</v>
      </c>
    </row>
    <row r="4374" spans="1:12" x14ac:dyDescent="0.35">
      <c r="A4374" t="s">
        <v>3115</v>
      </c>
      <c r="B4374" s="1">
        <v>45720</v>
      </c>
      <c r="C4374" t="s">
        <v>8340</v>
      </c>
      <c r="D4374" t="s">
        <v>3376</v>
      </c>
      <c r="E4374" t="s">
        <v>8683</v>
      </c>
      <c r="F4374" t="s">
        <v>8557</v>
      </c>
      <c r="G4374" t="s">
        <v>8558</v>
      </c>
      <c r="H4374" t="s">
        <v>3377</v>
      </c>
      <c r="J4374">
        <v>125850</v>
      </c>
      <c r="L4374" t="s">
        <v>5881</v>
      </c>
    </row>
    <row r="4375" spans="1:12" x14ac:dyDescent="0.35">
      <c r="A4375" t="s">
        <v>3115</v>
      </c>
      <c r="B4375" s="1">
        <v>45720</v>
      </c>
      <c r="C4375" t="s">
        <v>8342</v>
      </c>
      <c r="D4375" t="s">
        <v>3378</v>
      </c>
      <c r="E4375" t="s">
        <v>8684</v>
      </c>
      <c r="F4375" t="s">
        <v>6811</v>
      </c>
      <c r="H4375" t="s">
        <v>3379</v>
      </c>
      <c r="K4375">
        <v>9168</v>
      </c>
      <c r="L4375" t="s">
        <v>6803</v>
      </c>
    </row>
    <row r="4376" spans="1:12" x14ac:dyDescent="0.35">
      <c r="A4376" t="s">
        <v>3115</v>
      </c>
      <c r="B4376" s="1">
        <v>45720</v>
      </c>
      <c r="C4376" t="s">
        <v>8342</v>
      </c>
      <c r="D4376" t="s">
        <v>3378</v>
      </c>
      <c r="E4376" t="s">
        <v>8684</v>
      </c>
      <c r="F4376" t="s">
        <v>6802</v>
      </c>
      <c r="H4376" t="s">
        <v>3379</v>
      </c>
      <c r="K4376">
        <v>545059</v>
      </c>
      <c r="L4376" t="s">
        <v>6803</v>
      </c>
    </row>
    <row r="4377" spans="1:12" x14ac:dyDescent="0.35">
      <c r="A4377" t="s">
        <v>3115</v>
      </c>
      <c r="B4377" s="1">
        <v>45720</v>
      </c>
      <c r="C4377" t="s">
        <v>8342</v>
      </c>
      <c r="D4377" t="s">
        <v>3378</v>
      </c>
      <c r="E4377" t="s">
        <v>8684</v>
      </c>
      <c r="F4377" t="s">
        <v>8557</v>
      </c>
      <c r="G4377" t="s">
        <v>8558</v>
      </c>
      <c r="H4377" t="s">
        <v>3379</v>
      </c>
      <c r="J4377">
        <v>554227</v>
      </c>
      <c r="L4377" t="s">
        <v>5958</v>
      </c>
    </row>
    <row r="4378" spans="1:12" x14ac:dyDescent="0.35">
      <c r="A4378" t="s">
        <v>3115</v>
      </c>
      <c r="B4378" s="1">
        <v>45720</v>
      </c>
      <c r="C4378" t="s">
        <v>8344</v>
      </c>
      <c r="D4378" t="s">
        <v>3380</v>
      </c>
      <c r="E4378" t="s">
        <v>8685</v>
      </c>
      <c r="F4378" t="s">
        <v>6802</v>
      </c>
      <c r="H4378" t="s">
        <v>3381</v>
      </c>
      <c r="K4378">
        <v>37537</v>
      </c>
      <c r="L4378" t="s">
        <v>6803</v>
      </c>
    </row>
    <row r="4379" spans="1:12" x14ac:dyDescent="0.35">
      <c r="A4379" t="s">
        <v>3115</v>
      </c>
      <c r="B4379" s="1">
        <v>45720</v>
      </c>
      <c r="C4379" t="s">
        <v>8344</v>
      </c>
      <c r="D4379" t="s">
        <v>3380</v>
      </c>
      <c r="E4379" t="s">
        <v>8685</v>
      </c>
      <c r="F4379" t="s">
        <v>8557</v>
      </c>
      <c r="G4379" t="s">
        <v>8558</v>
      </c>
      <c r="H4379" t="s">
        <v>3381</v>
      </c>
      <c r="J4379">
        <v>37537</v>
      </c>
      <c r="L4379" t="s">
        <v>5874</v>
      </c>
    </row>
    <row r="4380" spans="1:12" x14ac:dyDescent="0.35">
      <c r="A4380" t="s">
        <v>3115</v>
      </c>
      <c r="B4380" s="1">
        <v>45720</v>
      </c>
      <c r="C4380" t="s">
        <v>8346</v>
      </c>
      <c r="D4380" t="s">
        <v>3382</v>
      </c>
      <c r="E4380" t="s">
        <v>8686</v>
      </c>
      <c r="F4380" t="s">
        <v>6802</v>
      </c>
      <c r="H4380" t="s">
        <v>3383</v>
      </c>
      <c r="K4380">
        <v>143000</v>
      </c>
      <c r="L4380" t="s">
        <v>6803</v>
      </c>
    </row>
    <row r="4381" spans="1:12" x14ac:dyDescent="0.35">
      <c r="A4381" t="s">
        <v>3115</v>
      </c>
      <c r="B4381" s="1">
        <v>45720</v>
      </c>
      <c r="C4381" t="s">
        <v>8346</v>
      </c>
      <c r="D4381" t="s">
        <v>3382</v>
      </c>
      <c r="E4381" t="s">
        <v>8686</v>
      </c>
      <c r="F4381" t="s">
        <v>8537</v>
      </c>
      <c r="G4381" t="s">
        <v>8538</v>
      </c>
      <c r="H4381" t="s">
        <v>3383</v>
      </c>
      <c r="J4381">
        <v>143000</v>
      </c>
      <c r="L4381" t="s">
        <v>5876</v>
      </c>
    </row>
    <row r="4382" spans="1:12" x14ac:dyDescent="0.35">
      <c r="A4382" t="s">
        <v>3115</v>
      </c>
      <c r="B4382" s="1">
        <v>45720</v>
      </c>
      <c r="C4382" t="s">
        <v>8348</v>
      </c>
      <c r="D4382" t="s">
        <v>3384</v>
      </c>
      <c r="E4382" t="s">
        <v>8687</v>
      </c>
      <c r="F4382" t="s">
        <v>6802</v>
      </c>
      <c r="H4382" t="s">
        <v>3385</v>
      </c>
      <c r="K4382">
        <v>240500</v>
      </c>
      <c r="L4382" t="s">
        <v>6803</v>
      </c>
    </row>
    <row r="4383" spans="1:12" x14ac:dyDescent="0.35">
      <c r="A4383" t="s">
        <v>3115</v>
      </c>
      <c r="B4383" s="1">
        <v>45720</v>
      </c>
      <c r="C4383" t="s">
        <v>8348</v>
      </c>
      <c r="D4383" t="s">
        <v>3384</v>
      </c>
      <c r="E4383" t="s">
        <v>8687</v>
      </c>
      <c r="F4383" t="s">
        <v>8537</v>
      </c>
      <c r="G4383" t="s">
        <v>8538</v>
      </c>
      <c r="H4383" t="s">
        <v>3385</v>
      </c>
      <c r="J4383">
        <v>240500</v>
      </c>
      <c r="L4383" t="s">
        <v>5880</v>
      </c>
    </row>
    <row r="4384" spans="1:12" x14ac:dyDescent="0.35">
      <c r="A4384" t="s">
        <v>3115</v>
      </c>
      <c r="B4384" s="1">
        <v>45720</v>
      </c>
      <c r="C4384" t="s">
        <v>8350</v>
      </c>
      <c r="D4384" t="s">
        <v>3386</v>
      </c>
      <c r="E4384" t="s">
        <v>8688</v>
      </c>
      <c r="F4384" t="s">
        <v>6802</v>
      </c>
      <c r="H4384" t="s">
        <v>3387</v>
      </c>
      <c r="K4384">
        <v>106003</v>
      </c>
      <c r="L4384" t="s">
        <v>6803</v>
      </c>
    </row>
    <row r="4385" spans="1:12" x14ac:dyDescent="0.35">
      <c r="A4385" t="s">
        <v>3115</v>
      </c>
      <c r="B4385" s="1">
        <v>45720</v>
      </c>
      <c r="C4385" t="s">
        <v>8350</v>
      </c>
      <c r="D4385" t="s">
        <v>3386</v>
      </c>
      <c r="E4385" t="s">
        <v>8688</v>
      </c>
      <c r="F4385" t="s">
        <v>8537</v>
      </c>
      <c r="G4385" t="s">
        <v>8538</v>
      </c>
      <c r="H4385" t="s">
        <v>3387</v>
      </c>
      <c r="J4385">
        <v>106003</v>
      </c>
      <c r="L4385" t="s">
        <v>5881</v>
      </c>
    </row>
    <row r="4386" spans="1:12" x14ac:dyDescent="0.35">
      <c r="A4386" t="s">
        <v>3115</v>
      </c>
      <c r="B4386" s="1">
        <v>45720</v>
      </c>
      <c r="C4386" t="s">
        <v>8352</v>
      </c>
      <c r="D4386" t="s">
        <v>3388</v>
      </c>
      <c r="E4386" t="s">
        <v>8689</v>
      </c>
      <c r="F4386" t="s">
        <v>6802</v>
      </c>
      <c r="H4386" t="s">
        <v>3389</v>
      </c>
      <c r="K4386">
        <v>14421</v>
      </c>
      <c r="L4386" t="s">
        <v>6803</v>
      </c>
    </row>
    <row r="4387" spans="1:12" x14ac:dyDescent="0.35">
      <c r="A4387" t="s">
        <v>3115</v>
      </c>
      <c r="B4387" s="1">
        <v>45720</v>
      </c>
      <c r="C4387" t="s">
        <v>8352</v>
      </c>
      <c r="D4387" t="s">
        <v>3388</v>
      </c>
      <c r="E4387" t="s">
        <v>8689</v>
      </c>
      <c r="F4387" t="s">
        <v>8557</v>
      </c>
      <c r="G4387" t="s">
        <v>8558</v>
      </c>
      <c r="H4387" t="s">
        <v>3389</v>
      </c>
      <c r="J4387">
        <v>14421</v>
      </c>
      <c r="L4387" t="s">
        <v>5881</v>
      </c>
    </row>
    <row r="4388" spans="1:12" x14ac:dyDescent="0.35">
      <c r="A4388" t="s">
        <v>3115</v>
      </c>
      <c r="B4388" s="1">
        <v>45720</v>
      </c>
      <c r="C4388" t="s">
        <v>8354</v>
      </c>
      <c r="D4388" t="s">
        <v>3390</v>
      </c>
      <c r="E4388" t="s">
        <v>8690</v>
      </c>
      <c r="F4388" t="s">
        <v>6802</v>
      </c>
      <c r="H4388" t="s">
        <v>3391</v>
      </c>
      <c r="K4388">
        <v>1546</v>
      </c>
      <c r="L4388" t="s">
        <v>6803</v>
      </c>
    </row>
    <row r="4389" spans="1:12" x14ac:dyDescent="0.35">
      <c r="A4389" t="s">
        <v>3115</v>
      </c>
      <c r="B4389" s="1">
        <v>45720</v>
      </c>
      <c r="C4389" t="s">
        <v>8354</v>
      </c>
      <c r="D4389" t="s">
        <v>3390</v>
      </c>
      <c r="E4389" t="s">
        <v>8690</v>
      </c>
      <c r="F4389" t="s">
        <v>8557</v>
      </c>
      <c r="G4389" t="s">
        <v>8558</v>
      </c>
      <c r="H4389" t="s">
        <v>3391</v>
      </c>
      <c r="J4389">
        <v>1546</v>
      </c>
      <c r="L4389" t="s">
        <v>5874</v>
      </c>
    </row>
    <row r="4390" spans="1:12" x14ac:dyDescent="0.35">
      <c r="A4390" t="s">
        <v>3115</v>
      </c>
      <c r="B4390" s="1">
        <v>45720</v>
      </c>
      <c r="C4390" t="s">
        <v>8356</v>
      </c>
      <c r="D4390" t="s">
        <v>3392</v>
      </c>
      <c r="E4390" t="s">
        <v>8691</v>
      </c>
      <c r="F4390" t="s">
        <v>6811</v>
      </c>
      <c r="H4390" t="s">
        <v>3393</v>
      </c>
      <c r="K4390">
        <v>735</v>
      </c>
      <c r="L4390" t="s">
        <v>6803</v>
      </c>
    </row>
    <row r="4391" spans="1:12" x14ac:dyDescent="0.35">
      <c r="A4391" t="s">
        <v>3115</v>
      </c>
      <c r="B4391" s="1">
        <v>45720</v>
      </c>
      <c r="C4391" t="s">
        <v>8356</v>
      </c>
      <c r="D4391" t="s">
        <v>3392</v>
      </c>
      <c r="E4391" t="s">
        <v>8691</v>
      </c>
      <c r="F4391" t="s">
        <v>6802</v>
      </c>
      <c r="H4391" t="s">
        <v>3393</v>
      </c>
      <c r="K4391">
        <v>63273</v>
      </c>
      <c r="L4391" t="s">
        <v>6803</v>
      </c>
    </row>
    <row r="4392" spans="1:12" x14ac:dyDescent="0.35">
      <c r="A4392" t="s">
        <v>3115</v>
      </c>
      <c r="B4392" s="1">
        <v>45720</v>
      </c>
      <c r="C4392" t="s">
        <v>8356</v>
      </c>
      <c r="D4392" t="s">
        <v>3392</v>
      </c>
      <c r="E4392" t="s">
        <v>8691</v>
      </c>
      <c r="F4392" t="s">
        <v>8557</v>
      </c>
      <c r="G4392" t="s">
        <v>8558</v>
      </c>
      <c r="H4392" t="s">
        <v>3393</v>
      </c>
      <c r="J4392">
        <v>64008</v>
      </c>
      <c r="L4392" t="s">
        <v>5874</v>
      </c>
    </row>
    <row r="4393" spans="1:12" x14ac:dyDescent="0.35">
      <c r="A4393" t="s">
        <v>3115</v>
      </c>
      <c r="B4393" s="1">
        <v>45720</v>
      </c>
      <c r="C4393" t="s">
        <v>8359</v>
      </c>
      <c r="D4393" t="s">
        <v>3394</v>
      </c>
      <c r="E4393" t="s">
        <v>8692</v>
      </c>
      <c r="F4393" t="s">
        <v>6802</v>
      </c>
      <c r="H4393" t="s">
        <v>3395</v>
      </c>
      <c r="K4393">
        <v>3218</v>
      </c>
      <c r="L4393" t="s">
        <v>6803</v>
      </c>
    </row>
    <row r="4394" spans="1:12" x14ac:dyDescent="0.35">
      <c r="A4394" t="s">
        <v>3115</v>
      </c>
      <c r="B4394" s="1">
        <v>45720</v>
      </c>
      <c r="C4394" t="s">
        <v>8359</v>
      </c>
      <c r="D4394" t="s">
        <v>3394</v>
      </c>
      <c r="E4394" t="s">
        <v>8692</v>
      </c>
      <c r="F4394" t="s">
        <v>8557</v>
      </c>
      <c r="G4394" t="s">
        <v>8558</v>
      </c>
      <c r="H4394" t="s">
        <v>3395</v>
      </c>
      <c r="J4394">
        <v>3218</v>
      </c>
      <c r="L4394" t="s">
        <v>5874</v>
      </c>
    </row>
    <row r="4395" spans="1:12" x14ac:dyDescent="0.35">
      <c r="A4395" t="s">
        <v>3115</v>
      </c>
      <c r="B4395" s="1">
        <v>45720</v>
      </c>
      <c r="C4395" t="s">
        <v>8361</v>
      </c>
      <c r="D4395" t="s">
        <v>3396</v>
      </c>
      <c r="E4395" t="s">
        <v>8693</v>
      </c>
      <c r="F4395" t="s">
        <v>6811</v>
      </c>
      <c r="H4395" t="s">
        <v>3397</v>
      </c>
      <c r="K4395">
        <v>4082</v>
      </c>
      <c r="L4395" t="s">
        <v>6803</v>
      </c>
    </row>
    <row r="4396" spans="1:12" x14ac:dyDescent="0.35">
      <c r="A4396" t="s">
        <v>3115</v>
      </c>
      <c r="B4396" s="1">
        <v>45720</v>
      </c>
      <c r="C4396" t="s">
        <v>8361</v>
      </c>
      <c r="D4396" t="s">
        <v>3396</v>
      </c>
      <c r="E4396" t="s">
        <v>8693</v>
      </c>
      <c r="F4396" t="s">
        <v>8557</v>
      </c>
      <c r="G4396" t="s">
        <v>8558</v>
      </c>
      <c r="H4396" t="s">
        <v>3397</v>
      </c>
      <c r="J4396">
        <v>4082</v>
      </c>
      <c r="L4396" t="s">
        <v>5875</v>
      </c>
    </row>
    <row r="4397" spans="1:12" x14ac:dyDescent="0.35">
      <c r="A4397" t="s">
        <v>3115</v>
      </c>
      <c r="B4397" s="1">
        <v>45720</v>
      </c>
      <c r="C4397" t="s">
        <v>8363</v>
      </c>
      <c r="D4397" t="s">
        <v>3398</v>
      </c>
      <c r="E4397" t="s">
        <v>8694</v>
      </c>
      <c r="F4397" t="s">
        <v>6811</v>
      </c>
      <c r="H4397" t="s">
        <v>3399</v>
      </c>
      <c r="K4397">
        <v>3409</v>
      </c>
      <c r="L4397" t="s">
        <v>6803</v>
      </c>
    </row>
    <row r="4398" spans="1:12" x14ac:dyDescent="0.35">
      <c r="A4398" t="s">
        <v>3115</v>
      </c>
      <c r="B4398" s="1">
        <v>45720</v>
      </c>
      <c r="C4398" t="s">
        <v>8363</v>
      </c>
      <c r="D4398" t="s">
        <v>3398</v>
      </c>
      <c r="E4398" t="s">
        <v>8694</v>
      </c>
      <c r="F4398" t="s">
        <v>8557</v>
      </c>
      <c r="G4398" t="s">
        <v>8558</v>
      </c>
      <c r="H4398" t="s">
        <v>3399</v>
      </c>
      <c r="J4398">
        <v>3409</v>
      </c>
      <c r="L4398" t="s">
        <v>5875</v>
      </c>
    </row>
    <row r="4399" spans="1:12" x14ac:dyDescent="0.35">
      <c r="A4399" t="s">
        <v>3115</v>
      </c>
      <c r="B4399" s="1">
        <v>45720</v>
      </c>
      <c r="C4399" t="s">
        <v>8365</v>
      </c>
      <c r="D4399" t="s">
        <v>3400</v>
      </c>
      <c r="E4399" t="s">
        <v>8695</v>
      </c>
      <c r="F4399" t="s">
        <v>6802</v>
      </c>
      <c r="H4399" t="s">
        <v>3401</v>
      </c>
      <c r="K4399">
        <v>3936</v>
      </c>
      <c r="L4399" t="s">
        <v>6803</v>
      </c>
    </row>
    <row r="4400" spans="1:12" x14ac:dyDescent="0.35">
      <c r="A4400" t="s">
        <v>3115</v>
      </c>
      <c r="B4400" s="1">
        <v>45720</v>
      </c>
      <c r="C4400" t="s">
        <v>8365</v>
      </c>
      <c r="D4400" t="s">
        <v>3400</v>
      </c>
      <c r="E4400" t="s">
        <v>8695</v>
      </c>
      <c r="F4400" t="s">
        <v>8537</v>
      </c>
      <c r="G4400" t="s">
        <v>8538</v>
      </c>
      <c r="H4400" t="s">
        <v>3401</v>
      </c>
      <c r="J4400">
        <v>3936</v>
      </c>
      <c r="L4400" t="s">
        <v>5876</v>
      </c>
    </row>
    <row r="4401" spans="1:12" x14ac:dyDescent="0.35">
      <c r="A4401" t="s">
        <v>3115</v>
      </c>
      <c r="B4401" s="1">
        <v>45720</v>
      </c>
      <c r="C4401" t="s">
        <v>8367</v>
      </c>
      <c r="D4401" t="s">
        <v>3402</v>
      </c>
      <c r="E4401" t="s">
        <v>8696</v>
      </c>
      <c r="F4401" t="s">
        <v>6802</v>
      </c>
      <c r="H4401" t="s">
        <v>3403</v>
      </c>
      <c r="K4401">
        <v>1574</v>
      </c>
      <c r="L4401" t="s">
        <v>6803</v>
      </c>
    </row>
    <row r="4402" spans="1:12" x14ac:dyDescent="0.35">
      <c r="A4402" t="s">
        <v>3115</v>
      </c>
      <c r="B4402" s="1">
        <v>45720</v>
      </c>
      <c r="C4402" t="s">
        <v>8367</v>
      </c>
      <c r="D4402" t="s">
        <v>3402</v>
      </c>
      <c r="E4402" t="s">
        <v>8696</v>
      </c>
      <c r="F4402" t="s">
        <v>8537</v>
      </c>
      <c r="G4402" t="s">
        <v>8538</v>
      </c>
      <c r="H4402" t="s">
        <v>3403</v>
      </c>
      <c r="J4402">
        <v>1574</v>
      </c>
      <c r="L4402" t="s">
        <v>5874</v>
      </c>
    </row>
    <row r="4403" spans="1:12" x14ac:dyDescent="0.35">
      <c r="A4403" t="s">
        <v>3115</v>
      </c>
      <c r="B4403" s="1">
        <v>45720</v>
      </c>
      <c r="C4403" t="s">
        <v>8369</v>
      </c>
      <c r="D4403" t="s">
        <v>3404</v>
      </c>
      <c r="E4403" t="s">
        <v>8697</v>
      </c>
      <c r="F4403" t="s">
        <v>6802</v>
      </c>
      <c r="H4403" t="s">
        <v>3405</v>
      </c>
      <c r="K4403">
        <v>2165</v>
      </c>
      <c r="L4403" t="s">
        <v>6803</v>
      </c>
    </row>
    <row r="4404" spans="1:12" x14ac:dyDescent="0.35">
      <c r="A4404" t="s">
        <v>3115</v>
      </c>
      <c r="B4404" s="1">
        <v>45720</v>
      </c>
      <c r="C4404" t="s">
        <v>8369</v>
      </c>
      <c r="D4404" t="s">
        <v>3404</v>
      </c>
      <c r="E4404" t="s">
        <v>8697</v>
      </c>
      <c r="F4404" t="s">
        <v>8537</v>
      </c>
      <c r="G4404" t="s">
        <v>8538</v>
      </c>
      <c r="H4404" t="s">
        <v>3405</v>
      </c>
      <c r="J4404">
        <v>2165</v>
      </c>
      <c r="L4404" t="s">
        <v>5874</v>
      </c>
    </row>
    <row r="4405" spans="1:12" x14ac:dyDescent="0.35">
      <c r="A4405" t="s">
        <v>3115</v>
      </c>
      <c r="B4405" s="1">
        <v>45720</v>
      </c>
      <c r="C4405" t="s">
        <v>8371</v>
      </c>
      <c r="D4405" t="s">
        <v>3406</v>
      </c>
      <c r="E4405" t="s">
        <v>8698</v>
      </c>
      <c r="F4405" t="s">
        <v>6811</v>
      </c>
      <c r="H4405" t="s">
        <v>3407</v>
      </c>
      <c r="K4405">
        <v>1968</v>
      </c>
      <c r="L4405" t="s">
        <v>6803</v>
      </c>
    </row>
    <row r="4406" spans="1:12" x14ac:dyDescent="0.35">
      <c r="A4406" t="s">
        <v>3115</v>
      </c>
      <c r="B4406" s="1">
        <v>45720</v>
      </c>
      <c r="C4406" t="s">
        <v>8371</v>
      </c>
      <c r="D4406" t="s">
        <v>3406</v>
      </c>
      <c r="E4406" t="s">
        <v>8698</v>
      </c>
      <c r="F4406" t="s">
        <v>6802</v>
      </c>
      <c r="H4406" t="s">
        <v>3407</v>
      </c>
      <c r="K4406">
        <v>6232</v>
      </c>
      <c r="L4406" t="s">
        <v>6803</v>
      </c>
    </row>
    <row r="4407" spans="1:12" x14ac:dyDescent="0.35">
      <c r="A4407" t="s">
        <v>3115</v>
      </c>
      <c r="B4407" s="1">
        <v>45720</v>
      </c>
      <c r="C4407" t="s">
        <v>8371</v>
      </c>
      <c r="D4407" t="s">
        <v>3406</v>
      </c>
      <c r="E4407" t="s">
        <v>8698</v>
      </c>
      <c r="F4407" t="s">
        <v>8537</v>
      </c>
      <c r="G4407" t="s">
        <v>8538</v>
      </c>
      <c r="H4407" t="s">
        <v>3407</v>
      </c>
      <c r="J4407">
        <v>8200</v>
      </c>
      <c r="L4407" t="s">
        <v>5880</v>
      </c>
    </row>
    <row r="4408" spans="1:12" x14ac:dyDescent="0.35">
      <c r="A4408" t="s">
        <v>3115</v>
      </c>
      <c r="B4408" s="1">
        <v>45720</v>
      </c>
      <c r="C4408" t="s">
        <v>8373</v>
      </c>
      <c r="D4408" t="s">
        <v>3408</v>
      </c>
      <c r="E4408" t="s">
        <v>8699</v>
      </c>
      <c r="F4408" t="s">
        <v>6811</v>
      </c>
      <c r="H4408" t="s">
        <v>3409</v>
      </c>
      <c r="K4408">
        <v>700</v>
      </c>
      <c r="L4408" t="s">
        <v>6803</v>
      </c>
    </row>
    <row r="4409" spans="1:12" x14ac:dyDescent="0.35">
      <c r="A4409" t="s">
        <v>3115</v>
      </c>
      <c r="B4409" s="1">
        <v>45720</v>
      </c>
      <c r="C4409" t="s">
        <v>8373</v>
      </c>
      <c r="D4409" t="s">
        <v>3408</v>
      </c>
      <c r="E4409" t="s">
        <v>8699</v>
      </c>
      <c r="F4409" t="s">
        <v>6802</v>
      </c>
      <c r="H4409" t="s">
        <v>3409</v>
      </c>
      <c r="K4409">
        <v>3400</v>
      </c>
      <c r="L4409" t="s">
        <v>6803</v>
      </c>
    </row>
    <row r="4410" spans="1:12" x14ac:dyDescent="0.35">
      <c r="A4410" t="s">
        <v>3115</v>
      </c>
      <c r="B4410" s="1">
        <v>45720</v>
      </c>
      <c r="C4410" t="s">
        <v>8373</v>
      </c>
      <c r="D4410" t="s">
        <v>3408</v>
      </c>
      <c r="E4410" t="s">
        <v>8699</v>
      </c>
      <c r="F4410" t="s">
        <v>8557</v>
      </c>
      <c r="G4410" t="s">
        <v>8558</v>
      </c>
      <c r="H4410" t="s">
        <v>3409</v>
      </c>
      <c r="J4410">
        <v>4100</v>
      </c>
      <c r="L4410" t="s">
        <v>5966</v>
      </c>
    </row>
    <row r="4411" spans="1:12" x14ac:dyDescent="0.35">
      <c r="A4411" t="s">
        <v>3115</v>
      </c>
      <c r="B4411" s="1">
        <v>45720</v>
      </c>
      <c r="C4411" t="s">
        <v>8375</v>
      </c>
      <c r="D4411" t="s">
        <v>3410</v>
      </c>
      <c r="E4411" t="s">
        <v>8700</v>
      </c>
      <c r="F4411" t="s">
        <v>6802</v>
      </c>
      <c r="H4411" t="s">
        <v>3411</v>
      </c>
      <c r="K4411">
        <v>3149</v>
      </c>
      <c r="L4411" t="s">
        <v>6803</v>
      </c>
    </row>
    <row r="4412" spans="1:12" x14ac:dyDescent="0.35">
      <c r="A4412" t="s">
        <v>3115</v>
      </c>
      <c r="B4412" s="1">
        <v>45720</v>
      </c>
      <c r="C4412" t="s">
        <v>8375</v>
      </c>
      <c r="D4412" t="s">
        <v>3410</v>
      </c>
      <c r="E4412" t="s">
        <v>8700</v>
      </c>
      <c r="F4412" t="s">
        <v>8537</v>
      </c>
      <c r="G4412" t="s">
        <v>8538</v>
      </c>
      <c r="H4412" t="s">
        <v>3411</v>
      </c>
      <c r="J4412">
        <v>3149</v>
      </c>
      <c r="L4412" t="s">
        <v>5966</v>
      </c>
    </row>
    <row r="4413" spans="1:12" x14ac:dyDescent="0.35">
      <c r="A4413" t="s">
        <v>3115</v>
      </c>
      <c r="B4413" s="1">
        <v>45720</v>
      </c>
      <c r="C4413" t="s">
        <v>8377</v>
      </c>
      <c r="D4413" t="s">
        <v>3412</v>
      </c>
      <c r="E4413" t="s">
        <v>8700</v>
      </c>
      <c r="F4413" t="s">
        <v>6802</v>
      </c>
      <c r="H4413" t="s">
        <v>3413</v>
      </c>
      <c r="K4413">
        <v>499</v>
      </c>
      <c r="L4413" t="s">
        <v>6803</v>
      </c>
    </row>
    <row r="4414" spans="1:12" x14ac:dyDescent="0.35">
      <c r="A4414" t="s">
        <v>3115</v>
      </c>
      <c r="B4414" s="1">
        <v>45720</v>
      </c>
      <c r="C4414" t="s">
        <v>8377</v>
      </c>
      <c r="D4414" t="s">
        <v>3412</v>
      </c>
      <c r="E4414" t="s">
        <v>8700</v>
      </c>
      <c r="F4414" t="s">
        <v>8557</v>
      </c>
      <c r="G4414" t="s">
        <v>8558</v>
      </c>
      <c r="H4414" t="s">
        <v>3413</v>
      </c>
      <c r="J4414">
        <v>499</v>
      </c>
      <c r="L4414" t="s">
        <v>5966</v>
      </c>
    </row>
    <row r="4415" spans="1:12" x14ac:dyDescent="0.35">
      <c r="A4415" t="s">
        <v>3115</v>
      </c>
      <c r="B4415" s="1">
        <v>45720</v>
      </c>
      <c r="C4415" t="s">
        <v>8379</v>
      </c>
      <c r="D4415" t="s">
        <v>3414</v>
      </c>
      <c r="E4415" t="s">
        <v>8701</v>
      </c>
      <c r="F4415" t="s">
        <v>6802</v>
      </c>
      <c r="H4415" t="s">
        <v>3415</v>
      </c>
      <c r="K4415">
        <v>3542</v>
      </c>
      <c r="L4415" t="s">
        <v>6803</v>
      </c>
    </row>
    <row r="4416" spans="1:12" x14ac:dyDescent="0.35">
      <c r="A4416" t="s">
        <v>3115</v>
      </c>
      <c r="B4416" s="1">
        <v>45720</v>
      </c>
      <c r="C4416" t="s">
        <v>8379</v>
      </c>
      <c r="D4416" t="s">
        <v>3414</v>
      </c>
      <c r="E4416" t="s">
        <v>8701</v>
      </c>
      <c r="F4416" t="s">
        <v>8537</v>
      </c>
      <c r="G4416" t="s">
        <v>8538</v>
      </c>
      <c r="H4416" t="s">
        <v>3415</v>
      </c>
      <c r="J4416">
        <v>3542</v>
      </c>
      <c r="L4416" t="s">
        <v>5876</v>
      </c>
    </row>
    <row r="4417" spans="1:12" x14ac:dyDescent="0.35">
      <c r="A4417" t="s">
        <v>3115</v>
      </c>
      <c r="B4417" s="1">
        <v>45720</v>
      </c>
      <c r="C4417" t="s">
        <v>8382</v>
      </c>
      <c r="D4417" t="s">
        <v>3416</v>
      </c>
      <c r="F4417" t="s">
        <v>6802</v>
      </c>
      <c r="H4417" t="s">
        <v>3417</v>
      </c>
      <c r="K4417">
        <v>6954</v>
      </c>
      <c r="L4417" t="s">
        <v>6803</v>
      </c>
    </row>
    <row r="4418" spans="1:12" x14ac:dyDescent="0.35">
      <c r="A4418" t="s">
        <v>3115</v>
      </c>
      <c r="B4418" s="1">
        <v>45720</v>
      </c>
      <c r="C4418" t="s">
        <v>8382</v>
      </c>
      <c r="D4418" t="s">
        <v>3416</v>
      </c>
      <c r="F4418" t="s">
        <v>8537</v>
      </c>
      <c r="G4418" t="s">
        <v>8538</v>
      </c>
      <c r="H4418" t="s">
        <v>3417</v>
      </c>
      <c r="J4418">
        <v>6954</v>
      </c>
      <c r="L4418" t="s">
        <v>5874</v>
      </c>
    </row>
    <row r="4419" spans="1:12" x14ac:dyDescent="0.35">
      <c r="A4419" t="s">
        <v>3115</v>
      </c>
      <c r="B4419" s="1">
        <v>45720</v>
      </c>
      <c r="C4419" t="s">
        <v>8384</v>
      </c>
      <c r="D4419" t="s">
        <v>3418</v>
      </c>
      <c r="E4419" t="s">
        <v>8702</v>
      </c>
      <c r="F4419" t="s">
        <v>6802</v>
      </c>
      <c r="H4419" t="s">
        <v>3419</v>
      </c>
      <c r="K4419">
        <v>3059</v>
      </c>
      <c r="L4419" t="s">
        <v>6803</v>
      </c>
    </row>
    <row r="4420" spans="1:12" x14ac:dyDescent="0.35">
      <c r="A4420" t="s">
        <v>3115</v>
      </c>
      <c r="B4420" s="1">
        <v>45720</v>
      </c>
      <c r="C4420" t="s">
        <v>8384</v>
      </c>
      <c r="D4420" t="s">
        <v>3418</v>
      </c>
      <c r="E4420" t="s">
        <v>8702</v>
      </c>
      <c r="F4420" t="s">
        <v>8557</v>
      </c>
      <c r="G4420" t="s">
        <v>8558</v>
      </c>
      <c r="H4420" t="s">
        <v>3419</v>
      </c>
      <c r="J4420">
        <v>3059</v>
      </c>
      <c r="L4420" t="s">
        <v>5966</v>
      </c>
    </row>
    <row r="4421" spans="1:12" x14ac:dyDescent="0.35">
      <c r="A4421" t="s">
        <v>3115</v>
      </c>
      <c r="B4421" s="1">
        <v>45720</v>
      </c>
      <c r="C4421" t="s">
        <v>8386</v>
      </c>
      <c r="D4421" t="s">
        <v>3420</v>
      </c>
      <c r="E4421" t="s">
        <v>8703</v>
      </c>
      <c r="F4421" t="s">
        <v>6802</v>
      </c>
      <c r="H4421" t="s">
        <v>3421</v>
      </c>
      <c r="K4421">
        <v>6035</v>
      </c>
      <c r="L4421" t="s">
        <v>6803</v>
      </c>
    </row>
    <row r="4422" spans="1:12" x14ac:dyDescent="0.35">
      <c r="A4422" t="s">
        <v>3115</v>
      </c>
      <c r="B4422" s="1">
        <v>45720</v>
      </c>
      <c r="C4422" t="s">
        <v>8386</v>
      </c>
      <c r="D4422" t="s">
        <v>3420</v>
      </c>
      <c r="E4422" t="s">
        <v>8703</v>
      </c>
      <c r="F4422" t="s">
        <v>8537</v>
      </c>
      <c r="G4422" t="s">
        <v>8538</v>
      </c>
      <c r="H4422" t="s">
        <v>3421</v>
      </c>
      <c r="J4422">
        <v>6035</v>
      </c>
      <c r="L4422" t="s">
        <v>5875</v>
      </c>
    </row>
    <row r="4423" spans="1:12" x14ac:dyDescent="0.35">
      <c r="A4423" t="s">
        <v>3115</v>
      </c>
      <c r="B4423" s="1">
        <v>45720</v>
      </c>
      <c r="C4423" t="s">
        <v>8388</v>
      </c>
      <c r="D4423" t="s">
        <v>3422</v>
      </c>
      <c r="E4423" t="s">
        <v>8704</v>
      </c>
      <c r="F4423" t="s">
        <v>6802</v>
      </c>
      <c r="H4423" t="s">
        <v>3423</v>
      </c>
      <c r="K4423">
        <v>2230</v>
      </c>
      <c r="L4423" t="s">
        <v>6803</v>
      </c>
    </row>
    <row r="4424" spans="1:12" x14ac:dyDescent="0.35">
      <c r="A4424" t="s">
        <v>3115</v>
      </c>
      <c r="B4424" s="1">
        <v>45720</v>
      </c>
      <c r="C4424" t="s">
        <v>8388</v>
      </c>
      <c r="D4424" t="s">
        <v>3422</v>
      </c>
      <c r="E4424" t="s">
        <v>8704</v>
      </c>
      <c r="F4424" t="s">
        <v>8537</v>
      </c>
      <c r="G4424" t="s">
        <v>8538</v>
      </c>
      <c r="H4424" t="s">
        <v>3423</v>
      </c>
      <c r="J4424">
        <v>2230</v>
      </c>
      <c r="L4424" t="s">
        <v>5874</v>
      </c>
    </row>
    <row r="4425" spans="1:12" x14ac:dyDescent="0.35">
      <c r="A4425" t="s">
        <v>3115</v>
      </c>
      <c r="B4425" s="1">
        <v>45720</v>
      </c>
      <c r="C4425" t="s">
        <v>8705</v>
      </c>
      <c r="D4425" t="s">
        <v>3424</v>
      </c>
      <c r="E4425" t="s">
        <v>8706</v>
      </c>
      <c r="F4425" t="s">
        <v>6811</v>
      </c>
      <c r="H4425" t="s">
        <v>3425</v>
      </c>
      <c r="K4425">
        <v>144908</v>
      </c>
      <c r="L4425" t="s">
        <v>6803</v>
      </c>
    </row>
    <row r="4426" spans="1:12" x14ac:dyDescent="0.35">
      <c r="A4426" t="s">
        <v>3115</v>
      </c>
      <c r="B4426" s="1">
        <v>45720</v>
      </c>
      <c r="C4426" t="s">
        <v>8705</v>
      </c>
      <c r="D4426" t="s">
        <v>3424</v>
      </c>
      <c r="E4426" t="s">
        <v>8706</v>
      </c>
      <c r="F4426" t="s">
        <v>8557</v>
      </c>
      <c r="G4426" t="s">
        <v>8558</v>
      </c>
      <c r="H4426" t="s">
        <v>3425</v>
      </c>
      <c r="J4426">
        <v>144908</v>
      </c>
      <c r="L4426" t="s">
        <v>5949</v>
      </c>
    </row>
    <row r="4427" spans="1:12" x14ac:dyDescent="0.35">
      <c r="A4427" t="s">
        <v>3115</v>
      </c>
      <c r="B4427" s="1">
        <v>45720</v>
      </c>
      <c r="C4427" t="s">
        <v>8707</v>
      </c>
      <c r="D4427" t="s">
        <v>3426</v>
      </c>
      <c r="E4427" t="s">
        <v>8708</v>
      </c>
      <c r="F4427" t="s">
        <v>6802</v>
      </c>
      <c r="H4427" t="s">
        <v>3427</v>
      </c>
      <c r="K4427">
        <v>6035</v>
      </c>
      <c r="L4427" t="s">
        <v>6803</v>
      </c>
    </row>
    <row r="4428" spans="1:12" x14ac:dyDescent="0.35">
      <c r="A4428" t="s">
        <v>3115</v>
      </c>
      <c r="B4428" s="1">
        <v>45720</v>
      </c>
      <c r="C4428" t="s">
        <v>8707</v>
      </c>
      <c r="D4428" t="s">
        <v>3426</v>
      </c>
      <c r="E4428" t="s">
        <v>8708</v>
      </c>
      <c r="F4428" t="s">
        <v>8537</v>
      </c>
      <c r="G4428" t="s">
        <v>8538</v>
      </c>
      <c r="H4428" t="s">
        <v>3427</v>
      </c>
      <c r="J4428">
        <v>6035</v>
      </c>
      <c r="L4428" t="s">
        <v>5876</v>
      </c>
    </row>
    <row r="4429" spans="1:12" x14ac:dyDescent="0.35">
      <c r="A4429" t="s">
        <v>3115</v>
      </c>
      <c r="B4429" s="1">
        <v>45720</v>
      </c>
      <c r="C4429" t="s">
        <v>8709</v>
      </c>
      <c r="D4429" t="s">
        <v>3428</v>
      </c>
      <c r="E4429" t="s">
        <v>8710</v>
      </c>
      <c r="F4429" t="s">
        <v>6802</v>
      </c>
      <c r="H4429" t="s">
        <v>3429</v>
      </c>
      <c r="K4429">
        <v>6035</v>
      </c>
      <c r="L4429" t="s">
        <v>6803</v>
      </c>
    </row>
    <row r="4430" spans="1:12" x14ac:dyDescent="0.35">
      <c r="A4430" t="s">
        <v>3115</v>
      </c>
      <c r="B4430" s="1">
        <v>45720</v>
      </c>
      <c r="C4430" t="s">
        <v>8709</v>
      </c>
      <c r="D4430" t="s">
        <v>3428</v>
      </c>
      <c r="E4430" t="s">
        <v>8710</v>
      </c>
      <c r="F4430" t="s">
        <v>8537</v>
      </c>
      <c r="G4430" t="s">
        <v>8538</v>
      </c>
      <c r="H4430" t="s">
        <v>3429</v>
      </c>
      <c r="J4430">
        <v>6035</v>
      </c>
      <c r="L4430" t="s">
        <v>5876</v>
      </c>
    </row>
    <row r="4431" spans="1:12" x14ac:dyDescent="0.35">
      <c r="A4431" t="s">
        <v>3115</v>
      </c>
      <c r="B4431" s="1">
        <v>45720</v>
      </c>
      <c r="C4431" t="s">
        <v>8711</v>
      </c>
      <c r="D4431" t="s">
        <v>3430</v>
      </c>
      <c r="E4431" t="s">
        <v>8712</v>
      </c>
      <c r="F4431" t="s">
        <v>6802</v>
      </c>
      <c r="H4431" t="s">
        <v>3431</v>
      </c>
      <c r="K4431">
        <v>2465</v>
      </c>
      <c r="L4431" t="s">
        <v>6803</v>
      </c>
    </row>
    <row r="4432" spans="1:12" x14ac:dyDescent="0.35">
      <c r="A4432" t="s">
        <v>3115</v>
      </c>
      <c r="B4432" s="1">
        <v>45720</v>
      </c>
      <c r="C4432" t="s">
        <v>8711</v>
      </c>
      <c r="D4432" t="s">
        <v>3430</v>
      </c>
      <c r="E4432" t="s">
        <v>8712</v>
      </c>
      <c r="F4432" t="s">
        <v>8537</v>
      </c>
      <c r="G4432" t="s">
        <v>8538</v>
      </c>
      <c r="H4432" t="s">
        <v>3431</v>
      </c>
      <c r="J4432">
        <v>2465</v>
      </c>
      <c r="L4432" t="s">
        <v>5966</v>
      </c>
    </row>
    <row r="4433" spans="1:12" x14ac:dyDescent="0.35">
      <c r="A4433" t="s">
        <v>3115</v>
      </c>
      <c r="B4433" s="1">
        <v>45720</v>
      </c>
      <c r="C4433" t="s">
        <v>8713</v>
      </c>
      <c r="D4433" t="s">
        <v>3432</v>
      </c>
      <c r="E4433" t="s">
        <v>8714</v>
      </c>
      <c r="F4433" t="s">
        <v>6811</v>
      </c>
      <c r="H4433" t="s">
        <v>3433</v>
      </c>
      <c r="K4433">
        <v>3000</v>
      </c>
      <c r="L4433" t="s">
        <v>6803</v>
      </c>
    </row>
    <row r="4434" spans="1:12" x14ac:dyDescent="0.35">
      <c r="A4434" t="s">
        <v>3115</v>
      </c>
      <c r="B4434" s="1">
        <v>45720</v>
      </c>
      <c r="C4434" t="s">
        <v>8713</v>
      </c>
      <c r="D4434" t="s">
        <v>3432</v>
      </c>
      <c r="E4434" t="s">
        <v>8714</v>
      </c>
      <c r="F4434" t="s">
        <v>6802</v>
      </c>
      <c r="H4434" t="s">
        <v>3433</v>
      </c>
      <c r="K4434">
        <v>21000</v>
      </c>
      <c r="L4434" t="s">
        <v>6803</v>
      </c>
    </row>
    <row r="4435" spans="1:12" x14ac:dyDescent="0.35">
      <c r="A4435" t="s">
        <v>3115</v>
      </c>
      <c r="B4435" s="1">
        <v>45720</v>
      </c>
      <c r="C4435" t="s">
        <v>8713</v>
      </c>
      <c r="D4435" t="s">
        <v>3432</v>
      </c>
      <c r="E4435" t="s">
        <v>8714</v>
      </c>
      <c r="F4435" t="s">
        <v>8557</v>
      </c>
      <c r="G4435" t="s">
        <v>8558</v>
      </c>
      <c r="H4435" t="s">
        <v>3433</v>
      </c>
      <c r="J4435">
        <v>24000</v>
      </c>
      <c r="L4435" t="s">
        <v>5874</v>
      </c>
    </row>
    <row r="4436" spans="1:12" x14ac:dyDescent="0.35">
      <c r="A4436" t="s">
        <v>3115</v>
      </c>
      <c r="B4436" s="1">
        <v>45720</v>
      </c>
      <c r="C4436" t="s">
        <v>8715</v>
      </c>
      <c r="D4436" t="s">
        <v>3434</v>
      </c>
      <c r="E4436" t="s">
        <v>8716</v>
      </c>
      <c r="F4436" t="s">
        <v>6802</v>
      </c>
      <c r="H4436" t="s">
        <v>3435</v>
      </c>
      <c r="K4436">
        <v>6035</v>
      </c>
      <c r="L4436" t="s">
        <v>6803</v>
      </c>
    </row>
    <row r="4437" spans="1:12" x14ac:dyDescent="0.35">
      <c r="A4437" t="s">
        <v>3115</v>
      </c>
      <c r="B4437" s="1">
        <v>45720</v>
      </c>
      <c r="C4437" t="s">
        <v>8715</v>
      </c>
      <c r="D4437" t="s">
        <v>3434</v>
      </c>
      <c r="E4437" t="s">
        <v>8716</v>
      </c>
      <c r="F4437" t="s">
        <v>8537</v>
      </c>
      <c r="G4437" t="s">
        <v>8538</v>
      </c>
      <c r="H4437" t="s">
        <v>3435</v>
      </c>
      <c r="J4437">
        <v>6035</v>
      </c>
      <c r="L4437" t="s">
        <v>5876</v>
      </c>
    </row>
    <row r="4438" spans="1:12" x14ac:dyDescent="0.35">
      <c r="A4438" t="s">
        <v>3115</v>
      </c>
      <c r="B4438" s="1">
        <v>45720</v>
      </c>
      <c r="C4438" t="s">
        <v>8717</v>
      </c>
      <c r="D4438" t="s">
        <v>3436</v>
      </c>
      <c r="E4438" t="s">
        <v>8712</v>
      </c>
      <c r="F4438" t="s">
        <v>6802</v>
      </c>
      <c r="H4438" t="s">
        <v>3437</v>
      </c>
      <c r="K4438">
        <v>300</v>
      </c>
      <c r="L4438" t="s">
        <v>6803</v>
      </c>
    </row>
    <row r="4439" spans="1:12" x14ac:dyDescent="0.35">
      <c r="A4439" t="s">
        <v>3115</v>
      </c>
      <c r="B4439" s="1">
        <v>45720</v>
      </c>
      <c r="C4439" t="s">
        <v>8717</v>
      </c>
      <c r="D4439" t="s">
        <v>3436</v>
      </c>
      <c r="E4439" t="s">
        <v>8712</v>
      </c>
      <c r="F4439" t="s">
        <v>8557</v>
      </c>
      <c r="G4439" t="s">
        <v>8558</v>
      </c>
      <c r="H4439" t="s">
        <v>3437</v>
      </c>
      <c r="J4439">
        <v>300</v>
      </c>
      <c r="L4439" t="s">
        <v>5966</v>
      </c>
    </row>
    <row r="4440" spans="1:12" x14ac:dyDescent="0.35">
      <c r="A4440" t="s">
        <v>3115</v>
      </c>
      <c r="B4440" s="1">
        <v>45720</v>
      </c>
      <c r="C4440" t="s">
        <v>8718</v>
      </c>
      <c r="D4440" t="s">
        <v>3438</v>
      </c>
      <c r="E4440" t="s">
        <v>8719</v>
      </c>
      <c r="F4440" t="s">
        <v>6802</v>
      </c>
      <c r="H4440" t="s">
        <v>3439</v>
      </c>
      <c r="K4440">
        <v>328</v>
      </c>
      <c r="L4440" t="s">
        <v>6803</v>
      </c>
    </row>
    <row r="4441" spans="1:12" x14ac:dyDescent="0.35">
      <c r="A4441" t="s">
        <v>3115</v>
      </c>
      <c r="B4441" s="1">
        <v>45720</v>
      </c>
      <c r="C4441" t="s">
        <v>8718</v>
      </c>
      <c r="D4441" t="s">
        <v>3438</v>
      </c>
      <c r="E4441" t="s">
        <v>8719</v>
      </c>
      <c r="F4441" t="s">
        <v>8537</v>
      </c>
      <c r="G4441" t="s">
        <v>8538</v>
      </c>
      <c r="H4441" t="s">
        <v>3439</v>
      </c>
      <c r="J4441">
        <v>328</v>
      </c>
      <c r="L4441" t="s">
        <v>5966</v>
      </c>
    </row>
    <row r="4442" spans="1:12" x14ac:dyDescent="0.35">
      <c r="A4442" t="s">
        <v>3115</v>
      </c>
      <c r="B4442" s="1">
        <v>45720</v>
      </c>
      <c r="C4442" t="s">
        <v>8720</v>
      </c>
      <c r="D4442" t="s">
        <v>3440</v>
      </c>
      <c r="E4442" t="s">
        <v>8721</v>
      </c>
      <c r="F4442" t="s">
        <v>6802</v>
      </c>
      <c r="H4442" t="s">
        <v>3441</v>
      </c>
      <c r="K4442">
        <v>1443</v>
      </c>
      <c r="L4442" t="s">
        <v>6803</v>
      </c>
    </row>
    <row r="4443" spans="1:12" x14ac:dyDescent="0.35">
      <c r="A4443" t="s">
        <v>3115</v>
      </c>
      <c r="B4443" s="1">
        <v>45720</v>
      </c>
      <c r="C4443" t="s">
        <v>8720</v>
      </c>
      <c r="D4443" t="s">
        <v>3440</v>
      </c>
      <c r="E4443" t="s">
        <v>8721</v>
      </c>
      <c r="F4443" t="s">
        <v>8537</v>
      </c>
      <c r="G4443" t="s">
        <v>8538</v>
      </c>
      <c r="H4443" t="s">
        <v>3441</v>
      </c>
      <c r="J4443">
        <v>1443</v>
      </c>
      <c r="L4443" t="s">
        <v>5880</v>
      </c>
    </row>
    <row r="4444" spans="1:12" x14ac:dyDescent="0.35">
      <c r="A4444" t="s">
        <v>3115</v>
      </c>
      <c r="B4444" s="1">
        <v>45720</v>
      </c>
      <c r="C4444" t="s">
        <v>8722</v>
      </c>
      <c r="D4444" t="s">
        <v>3442</v>
      </c>
      <c r="E4444" t="s">
        <v>8723</v>
      </c>
      <c r="F4444" t="s">
        <v>6802</v>
      </c>
      <c r="H4444" t="s">
        <v>3443</v>
      </c>
      <c r="K4444">
        <v>787</v>
      </c>
      <c r="L4444" t="s">
        <v>6803</v>
      </c>
    </row>
    <row r="4445" spans="1:12" x14ac:dyDescent="0.35">
      <c r="A4445" t="s">
        <v>3115</v>
      </c>
      <c r="B4445" s="1">
        <v>45720</v>
      </c>
      <c r="C4445" t="s">
        <v>8722</v>
      </c>
      <c r="D4445" t="s">
        <v>3442</v>
      </c>
      <c r="E4445" t="s">
        <v>8723</v>
      </c>
      <c r="F4445" t="s">
        <v>8537</v>
      </c>
      <c r="G4445" t="s">
        <v>8538</v>
      </c>
      <c r="H4445" t="s">
        <v>3443</v>
      </c>
      <c r="J4445">
        <v>787</v>
      </c>
      <c r="L4445" t="s">
        <v>5966</v>
      </c>
    </row>
    <row r="4446" spans="1:12" x14ac:dyDescent="0.35">
      <c r="A4446" t="s">
        <v>3115</v>
      </c>
      <c r="B4446" s="1">
        <v>45720</v>
      </c>
      <c r="C4446" t="s">
        <v>8724</v>
      </c>
      <c r="D4446" t="s">
        <v>3444</v>
      </c>
      <c r="E4446" t="s">
        <v>8725</v>
      </c>
      <c r="F4446" t="s">
        <v>6802</v>
      </c>
      <c r="H4446" t="s">
        <v>3445</v>
      </c>
      <c r="K4446">
        <v>7084</v>
      </c>
      <c r="L4446" t="s">
        <v>6803</v>
      </c>
    </row>
    <row r="4447" spans="1:12" x14ac:dyDescent="0.35">
      <c r="A4447" t="s">
        <v>3115</v>
      </c>
      <c r="B4447" s="1">
        <v>45720</v>
      </c>
      <c r="C4447" t="s">
        <v>8724</v>
      </c>
      <c r="D4447" t="s">
        <v>3444</v>
      </c>
      <c r="E4447" t="s">
        <v>8725</v>
      </c>
      <c r="F4447" t="s">
        <v>8537</v>
      </c>
      <c r="G4447" t="s">
        <v>8538</v>
      </c>
      <c r="H4447" t="s">
        <v>3445</v>
      </c>
      <c r="J4447">
        <v>7084</v>
      </c>
      <c r="L4447" t="s">
        <v>5875</v>
      </c>
    </row>
    <row r="4448" spans="1:12" x14ac:dyDescent="0.35">
      <c r="A4448" t="s">
        <v>3115</v>
      </c>
      <c r="B4448" s="1">
        <v>45720</v>
      </c>
      <c r="C4448" t="s">
        <v>8726</v>
      </c>
      <c r="D4448" t="s">
        <v>3446</v>
      </c>
      <c r="E4448" t="s">
        <v>8727</v>
      </c>
      <c r="F4448" t="s">
        <v>6802</v>
      </c>
      <c r="H4448" t="s">
        <v>3447</v>
      </c>
      <c r="K4448">
        <v>984</v>
      </c>
      <c r="L4448" t="s">
        <v>6803</v>
      </c>
    </row>
    <row r="4449" spans="1:12" x14ac:dyDescent="0.35">
      <c r="A4449" t="s">
        <v>3115</v>
      </c>
      <c r="B4449" s="1">
        <v>45720</v>
      </c>
      <c r="C4449" t="s">
        <v>8726</v>
      </c>
      <c r="D4449" t="s">
        <v>3446</v>
      </c>
      <c r="E4449" t="s">
        <v>8727</v>
      </c>
      <c r="F4449" t="s">
        <v>8537</v>
      </c>
      <c r="G4449" t="s">
        <v>8538</v>
      </c>
      <c r="H4449" t="s">
        <v>3447</v>
      </c>
      <c r="J4449">
        <v>984</v>
      </c>
      <c r="L4449" t="s">
        <v>5966</v>
      </c>
    </row>
    <row r="4450" spans="1:12" x14ac:dyDescent="0.35">
      <c r="A4450" t="s">
        <v>3115</v>
      </c>
      <c r="B4450" s="1">
        <v>45720</v>
      </c>
      <c r="C4450" t="s">
        <v>8728</v>
      </c>
      <c r="D4450" t="s">
        <v>3448</v>
      </c>
      <c r="E4450" t="s">
        <v>8729</v>
      </c>
      <c r="F4450" t="s">
        <v>6802</v>
      </c>
      <c r="H4450" t="s">
        <v>3449</v>
      </c>
      <c r="K4450">
        <v>1968</v>
      </c>
      <c r="L4450" t="s">
        <v>6803</v>
      </c>
    </row>
    <row r="4451" spans="1:12" x14ac:dyDescent="0.35">
      <c r="A4451" t="s">
        <v>3115</v>
      </c>
      <c r="B4451" s="1">
        <v>45720</v>
      </c>
      <c r="C4451" t="s">
        <v>8728</v>
      </c>
      <c r="D4451" t="s">
        <v>3448</v>
      </c>
      <c r="E4451" t="s">
        <v>8729</v>
      </c>
      <c r="F4451" t="s">
        <v>8537</v>
      </c>
      <c r="G4451" t="s">
        <v>8538</v>
      </c>
      <c r="H4451" t="s">
        <v>3449</v>
      </c>
      <c r="J4451">
        <v>1968</v>
      </c>
      <c r="L4451" t="s">
        <v>5966</v>
      </c>
    </row>
    <row r="4452" spans="1:12" x14ac:dyDescent="0.35">
      <c r="A4452" t="s">
        <v>3115</v>
      </c>
      <c r="B4452" s="1">
        <v>45720</v>
      </c>
      <c r="C4452" t="s">
        <v>8730</v>
      </c>
      <c r="D4452" t="s">
        <v>3450</v>
      </c>
      <c r="E4452" t="s">
        <v>8731</v>
      </c>
      <c r="F4452" t="s">
        <v>6802</v>
      </c>
      <c r="H4452" t="s">
        <v>3451</v>
      </c>
      <c r="K4452">
        <v>21500</v>
      </c>
      <c r="L4452" t="s">
        <v>6803</v>
      </c>
    </row>
    <row r="4453" spans="1:12" x14ac:dyDescent="0.35">
      <c r="A4453" t="s">
        <v>3115</v>
      </c>
      <c r="B4453" s="1">
        <v>45720</v>
      </c>
      <c r="C4453" t="s">
        <v>8730</v>
      </c>
      <c r="D4453" t="s">
        <v>3450</v>
      </c>
      <c r="E4453" t="s">
        <v>8731</v>
      </c>
      <c r="F4453" t="s">
        <v>8557</v>
      </c>
      <c r="G4453" t="s">
        <v>8558</v>
      </c>
      <c r="H4453" t="s">
        <v>3451</v>
      </c>
      <c r="J4453">
        <v>21500</v>
      </c>
      <c r="L4453" t="s">
        <v>5880</v>
      </c>
    </row>
    <row r="4454" spans="1:12" x14ac:dyDescent="0.35">
      <c r="A4454" t="s">
        <v>3115</v>
      </c>
      <c r="B4454" s="1">
        <v>45720</v>
      </c>
      <c r="C4454" t="s">
        <v>8732</v>
      </c>
      <c r="D4454" t="s">
        <v>3452</v>
      </c>
      <c r="E4454" t="s">
        <v>8733</v>
      </c>
      <c r="F4454" t="s">
        <v>6802</v>
      </c>
      <c r="H4454" t="s">
        <v>3453</v>
      </c>
      <c r="K4454">
        <v>6035</v>
      </c>
      <c r="L4454" t="s">
        <v>6803</v>
      </c>
    </row>
    <row r="4455" spans="1:12" x14ac:dyDescent="0.35">
      <c r="A4455" t="s">
        <v>3115</v>
      </c>
      <c r="B4455" s="1">
        <v>45720</v>
      </c>
      <c r="C4455" t="s">
        <v>8732</v>
      </c>
      <c r="D4455" t="s">
        <v>3452</v>
      </c>
      <c r="E4455" t="s">
        <v>8733</v>
      </c>
      <c r="F4455" t="s">
        <v>8537</v>
      </c>
      <c r="G4455" t="s">
        <v>8538</v>
      </c>
      <c r="H4455" t="s">
        <v>3453</v>
      </c>
      <c r="J4455">
        <v>6035</v>
      </c>
      <c r="L4455" t="s">
        <v>5966</v>
      </c>
    </row>
    <row r="4456" spans="1:12" x14ac:dyDescent="0.35">
      <c r="A4456" t="s">
        <v>3115</v>
      </c>
      <c r="B4456" s="1">
        <v>45720</v>
      </c>
      <c r="C4456" t="s">
        <v>8734</v>
      </c>
      <c r="D4456" t="s">
        <v>3454</v>
      </c>
      <c r="E4456" t="s">
        <v>8735</v>
      </c>
      <c r="F4456" t="s">
        <v>6802</v>
      </c>
      <c r="H4456" t="s">
        <v>3455</v>
      </c>
      <c r="K4456">
        <v>724</v>
      </c>
      <c r="L4456" t="s">
        <v>6803</v>
      </c>
    </row>
    <row r="4457" spans="1:12" x14ac:dyDescent="0.35">
      <c r="A4457" t="s">
        <v>3115</v>
      </c>
      <c r="B4457" s="1">
        <v>45720</v>
      </c>
      <c r="C4457" t="s">
        <v>8734</v>
      </c>
      <c r="D4457" t="s">
        <v>3454</v>
      </c>
      <c r="E4457" t="s">
        <v>8735</v>
      </c>
      <c r="F4457" t="s">
        <v>8537</v>
      </c>
      <c r="G4457" t="s">
        <v>8538</v>
      </c>
      <c r="H4457" t="s">
        <v>3455</v>
      </c>
      <c r="J4457">
        <v>724</v>
      </c>
      <c r="L4457" t="s">
        <v>5966</v>
      </c>
    </row>
    <row r="4458" spans="1:12" x14ac:dyDescent="0.35">
      <c r="A4458" t="s">
        <v>3115</v>
      </c>
      <c r="B4458" s="1">
        <v>45720</v>
      </c>
      <c r="C4458" t="s">
        <v>8736</v>
      </c>
      <c r="D4458" t="s">
        <v>3456</v>
      </c>
      <c r="E4458" t="s">
        <v>8737</v>
      </c>
      <c r="F4458" t="s">
        <v>6802</v>
      </c>
      <c r="H4458" t="s">
        <v>3457</v>
      </c>
      <c r="K4458">
        <v>1837</v>
      </c>
      <c r="L4458" t="s">
        <v>6803</v>
      </c>
    </row>
    <row r="4459" spans="1:12" x14ac:dyDescent="0.35">
      <c r="A4459" t="s">
        <v>3115</v>
      </c>
      <c r="B4459" s="1">
        <v>45720</v>
      </c>
      <c r="C4459" t="s">
        <v>8736</v>
      </c>
      <c r="D4459" t="s">
        <v>3456</v>
      </c>
      <c r="E4459" t="s">
        <v>8737</v>
      </c>
      <c r="F4459" t="s">
        <v>8537</v>
      </c>
      <c r="G4459" t="s">
        <v>8538</v>
      </c>
      <c r="H4459" t="s">
        <v>3457</v>
      </c>
      <c r="J4459">
        <v>1837</v>
      </c>
      <c r="L4459" t="s">
        <v>5875</v>
      </c>
    </row>
    <row r="4460" spans="1:12" x14ac:dyDescent="0.35">
      <c r="A4460" t="s">
        <v>3115</v>
      </c>
      <c r="B4460" s="1">
        <v>45720</v>
      </c>
      <c r="C4460" t="s">
        <v>8738</v>
      </c>
      <c r="D4460" t="s">
        <v>3458</v>
      </c>
      <c r="E4460" t="s">
        <v>8739</v>
      </c>
      <c r="F4460" t="s">
        <v>6802</v>
      </c>
      <c r="H4460" t="s">
        <v>3459</v>
      </c>
      <c r="K4460">
        <v>6822</v>
      </c>
      <c r="L4460" t="s">
        <v>6803</v>
      </c>
    </row>
    <row r="4461" spans="1:12" x14ac:dyDescent="0.35">
      <c r="A4461" t="s">
        <v>3115</v>
      </c>
      <c r="B4461" s="1">
        <v>45720</v>
      </c>
      <c r="C4461" t="s">
        <v>8738</v>
      </c>
      <c r="D4461" t="s">
        <v>3458</v>
      </c>
      <c r="E4461" t="s">
        <v>8739</v>
      </c>
      <c r="F4461" t="s">
        <v>8537</v>
      </c>
      <c r="G4461" t="s">
        <v>8538</v>
      </c>
      <c r="H4461" t="s">
        <v>3459</v>
      </c>
      <c r="J4461">
        <v>6822</v>
      </c>
      <c r="L4461" t="s">
        <v>5876</v>
      </c>
    </row>
    <row r="4462" spans="1:12" x14ac:dyDescent="0.35">
      <c r="A4462" t="s">
        <v>3115</v>
      </c>
      <c r="B4462" s="1">
        <v>45720</v>
      </c>
      <c r="C4462" t="s">
        <v>8740</v>
      </c>
      <c r="D4462" t="s">
        <v>3460</v>
      </c>
      <c r="E4462" t="s">
        <v>8741</v>
      </c>
      <c r="F4462" t="s">
        <v>6802</v>
      </c>
      <c r="H4462" t="s">
        <v>3461</v>
      </c>
      <c r="K4462">
        <v>2788</v>
      </c>
      <c r="L4462" t="s">
        <v>6803</v>
      </c>
    </row>
    <row r="4463" spans="1:12" x14ac:dyDescent="0.35">
      <c r="A4463" t="s">
        <v>3115</v>
      </c>
      <c r="B4463" s="1">
        <v>45720</v>
      </c>
      <c r="C4463" t="s">
        <v>8740</v>
      </c>
      <c r="D4463" t="s">
        <v>3460</v>
      </c>
      <c r="E4463" t="s">
        <v>8741</v>
      </c>
      <c r="F4463" t="s">
        <v>8557</v>
      </c>
      <c r="G4463" t="s">
        <v>8558</v>
      </c>
      <c r="H4463" t="s">
        <v>3461</v>
      </c>
      <c r="J4463">
        <v>2788</v>
      </c>
      <c r="L4463" t="s">
        <v>5966</v>
      </c>
    </row>
    <row r="4464" spans="1:12" x14ac:dyDescent="0.35">
      <c r="A4464" t="s">
        <v>3115</v>
      </c>
      <c r="B4464" s="1">
        <v>45720</v>
      </c>
      <c r="C4464" t="s">
        <v>8742</v>
      </c>
      <c r="D4464" t="s">
        <v>3462</v>
      </c>
      <c r="E4464" t="s">
        <v>8743</v>
      </c>
      <c r="F4464" t="s">
        <v>6802</v>
      </c>
      <c r="H4464" t="s">
        <v>3463</v>
      </c>
      <c r="K4464">
        <v>79</v>
      </c>
      <c r="L4464" t="s">
        <v>6803</v>
      </c>
    </row>
    <row r="4465" spans="1:12" x14ac:dyDescent="0.35">
      <c r="A4465" t="s">
        <v>3115</v>
      </c>
      <c r="B4465" s="1">
        <v>45720</v>
      </c>
      <c r="C4465" t="s">
        <v>8742</v>
      </c>
      <c r="D4465" t="s">
        <v>3462</v>
      </c>
      <c r="E4465" t="s">
        <v>8743</v>
      </c>
      <c r="F4465" t="s">
        <v>8557</v>
      </c>
      <c r="G4465" t="s">
        <v>8558</v>
      </c>
      <c r="H4465" t="s">
        <v>3463</v>
      </c>
      <c r="J4465">
        <v>79</v>
      </c>
      <c r="L4465" t="s">
        <v>5966</v>
      </c>
    </row>
    <row r="4466" spans="1:12" x14ac:dyDescent="0.35">
      <c r="A4466" t="s">
        <v>3115</v>
      </c>
      <c r="B4466" s="1">
        <v>45720</v>
      </c>
      <c r="C4466" t="s">
        <v>8744</v>
      </c>
      <c r="D4466" t="s">
        <v>3464</v>
      </c>
      <c r="E4466" t="s">
        <v>8745</v>
      </c>
      <c r="F4466" t="s">
        <v>6802</v>
      </c>
      <c r="H4466" t="s">
        <v>3465</v>
      </c>
      <c r="K4466">
        <v>10495</v>
      </c>
      <c r="L4466" t="s">
        <v>6803</v>
      </c>
    </row>
    <row r="4467" spans="1:12" x14ac:dyDescent="0.35">
      <c r="A4467" t="s">
        <v>3115</v>
      </c>
      <c r="B4467" s="1">
        <v>45720</v>
      </c>
      <c r="C4467" t="s">
        <v>8744</v>
      </c>
      <c r="D4467" t="s">
        <v>3464</v>
      </c>
      <c r="E4467" t="s">
        <v>8745</v>
      </c>
      <c r="F4467" t="s">
        <v>8537</v>
      </c>
      <c r="G4467" t="s">
        <v>8538</v>
      </c>
      <c r="H4467" t="s">
        <v>3465</v>
      </c>
      <c r="J4467">
        <v>10495</v>
      </c>
      <c r="L4467" t="s">
        <v>5890</v>
      </c>
    </row>
    <row r="4468" spans="1:12" x14ac:dyDescent="0.35">
      <c r="A4468" t="s">
        <v>3115</v>
      </c>
      <c r="B4468" s="1">
        <v>45720</v>
      </c>
      <c r="C4468" t="s">
        <v>8746</v>
      </c>
      <c r="D4468" t="s">
        <v>3466</v>
      </c>
      <c r="E4468" t="s">
        <v>8747</v>
      </c>
      <c r="F4468" t="s">
        <v>6808</v>
      </c>
      <c r="H4468" t="s">
        <v>3467</v>
      </c>
      <c r="K4468">
        <v>33600</v>
      </c>
      <c r="L4468" t="s">
        <v>6803</v>
      </c>
    </row>
    <row r="4469" spans="1:12" x14ac:dyDescent="0.35">
      <c r="A4469" t="s">
        <v>3115</v>
      </c>
      <c r="B4469" s="1">
        <v>45720</v>
      </c>
      <c r="C4469" t="s">
        <v>8746</v>
      </c>
      <c r="D4469" t="s">
        <v>3466</v>
      </c>
      <c r="E4469" t="s">
        <v>8747</v>
      </c>
      <c r="F4469" t="s">
        <v>8467</v>
      </c>
      <c r="G4469" t="s">
        <v>8567</v>
      </c>
      <c r="H4469" t="s">
        <v>3467</v>
      </c>
      <c r="J4469">
        <v>33600</v>
      </c>
      <c r="L4469" t="s">
        <v>5875</v>
      </c>
    </row>
    <row r="4470" spans="1:12" x14ac:dyDescent="0.35">
      <c r="A4470" t="s">
        <v>3115</v>
      </c>
      <c r="B4470" s="1">
        <v>45720</v>
      </c>
      <c r="C4470" t="s">
        <v>8748</v>
      </c>
      <c r="D4470" t="s">
        <v>3468</v>
      </c>
      <c r="E4470" t="s">
        <v>8745</v>
      </c>
      <c r="F4470" t="s">
        <v>6915</v>
      </c>
      <c r="H4470" t="s">
        <v>3469</v>
      </c>
      <c r="K4470">
        <v>14175</v>
      </c>
      <c r="L4470" t="s">
        <v>6803</v>
      </c>
    </row>
    <row r="4471" spans="1:12" x14ac:dyDescent="0.35">
      <c r="A4471" t="s">
        <v>3115</v>
      </c>
      <c r="B4471" s="1">
        <v>45720</v>
      </c>
      <c r="C4471" t="s">
        <v>8748</v>
      </c>
      <c r="D4471" t="s">
        <v>3468</v>
      </c>
      <c r="E4471" t="s">
        <v>8745</v>
      </c>
      <c r="F4471" t="s">
        <v>8569</v>
      </c>
      <c r="G4471" t="s">
        <v>8570</v>
      </c>
      <c r="H4471" t="s">
        <v>3469</v>
      </c>
      <c r="J4471">
        <v>14175</v>
      </c>
      <c r="L4471" t="s">
        <v>5890</v>
      </c>
    </row>
    <row r="4472" spans="1:12" x14ac:dyDescent="0.35">
      <c r="A4472" t="s">
        <v>3115</v>
      </c>
      <c r="B4472" s="1">
        <v>45720</v>
      </c>
      <c r="C4472" t="s">
        <v>8749</v>
      </c>
      <c r="D4472" t="s">
        <v>3470</v>
      </c>
      <c r="E4472" t="s">
        <v>8750</v>
      </c>
      <c r="F4472" t="s">
        <v>6802</v>
      </c>
      <c r="H4472" t="s">
        <v>3471</v>
      </c>
      <c r="K4472">
        <v>9213</v>
      </c>
      <c r="L4472" t="s">
        <v>6803</v>
      </c>
    </row>
    <row r="4473" spans="1:12" x14ac:dyDescent="0.35">
      <c r="A4473" t="s">
        <v>3115</v>
      </c>
      <c r="B4473" s="1">
        <v>45720</v>
      </c>
      <c r="C4473" t="s">
        <v>8749</v>
      </c>
      <c r="D4473" t="s">
        <v>3470</v>
      </c>
      <c r="E4473" t="s">
        <v>8750</v>
      </c>
      <c r="F4473" t="s">
        <v>8467</v>
      </c>
      <c r="G4473" t="s">
        <v>8567</v>
      </c>
      <c r="H4473" t="s">
        <v>3471</v>
      </c>
      <c r="J4473">
        <v>9213</v>
      </c>
      <c r="L4473" t="s">
        <v>5880</v>
      </c>
    </row>
    <row r="4474" spans="1:12" x14ac:dyDescent="0.35">
      <c r="A4474" t="s">
        <v>3115</v>
      </c>
      <c r="B4474" s="1">
        <v>45720</v>
      </c>
      <c r="C4474" t="s">
        <v>8751</v>
      </c>
      <c r="D4474" t="s">
        <v>3472</v>
      </c>
      <c r="E4474" t="s">
        <v>8752</v>
      </c>
      <c r="F4474" t="s">
        <v>6802</v>
      </c>
      <c r="H4474" t="s">
        <v>3473</v>
      </c>
      <c r="K4474">
        <v>287</v>
      </c>
      <c r="L4474" t="s">
        <v>6803</v>
      </c>
    </row>
    <row r="4475" spans="1:12" x14ac:dyDescent="0.35">
      <c r="A4475" t="s">
        <v>3115</v>
      </c>
      <c r="B4475" s="1">
        <v>45720</v>
      </c>
      <c r="C4475" t="s">
        <v>8751</v>
      </c>
      <c r="D4475" t="s">
        <v>3472</v>
      </c>
      <c r="E4475" t="s">
        <v>8752</v>
      </c>
      <c r="F4475" t="s">
        <v>8557</v>
      </c>
      <c r="G4475" t="s">
        <v>8558</v>
      </c>
      <c r="H4475" t="s">
        <v>3473</v>
      </c>
      <c r="J4475">
        <v>287</v>
      </c>
      <c r="L4475" t="s">
        <v>5966</v>
      </c>
    </row>
    <row r="4476" spans="1:12" x14ac:dyDescent="0.35">
      <c r="A4476" t="s">
        <v>3115</v>
      </c>
      <c r="B4476" s="1">
        <v>45720</v>
      </c>
      <c r="C4476" t="s">
        <v>8753</v>
      </c>
      <c r="D4476" t="s">
        <v>3474</v>
      </c>
      <c r="E4476" t="s">
        <v>8754</v>
      </c>
      <c r="F4476" t="s">
        <v>6802</v>
      </c>
      <c r="H4476" t="s">
        <v>3475</v>
      </c>
      <c r="K4476">
        <v>10080</v>
      </c>
      <c r="L4476" t="s">
        <v>6803</v>
      </c>
    </row>
    <row r="4477" spans="1:12" x14ac:dyDescent="0.35">
      <c r="A4477" t="s">
        <v>3115</v>
      </c>
      <c r="B4477" s="1">
        <v>45720</v>
      </c>
      <c r="C4477" t="s">
        <v>8753</v>
      </c>
      <c r="D4477" t="s">
        <v>3474</v>
      </c>
      <c r="E4477" t="s">
        <v>8754</v>
      </c>
      <c r="F4477" t="s">
        <v>8557</v>
      </c>
      <c r="G4477" t="s">
        <v>8558</v>
      </c>
      <c r="H4477" t="s">
        <v>3475</v>
      </c>
      <c r="J4477">
        <v>10080</v>
      </c>
      <c r="L4477" t="s">
        <v>5875</v>
      </c>
    </row>
    <row r="4478" spans="1:12" x14ac:dyDescent="0.35">
      <c r="A4478" t="s">
        <v>3115</v>
      </c>
      <c r="B4478" s="1">
        <v>45720</v>
      </c>
      <c r="C4478" t="s">
        <v>8755</v>
      </c>
      <c r="D4478" t="s">
        <v>3476</v>
      </c>
      <c r="E4478" t="s">
        <v>8756</v>
      </c>
      <c r="F4478" t="s">
        <v>6811</v>
      </c>
      <c r="H4478" t="s">
        <v>3477</v>
      </c>
      <c r="K4478">
        <v>392</v>
      </c>
      <c r="L4478" t="s">
        <v>6803</v>
      </c>
    </row>
    <row r="4479" spans="1:12" x14ac:dyDescent="0.35">
      <c r="A4479" t="s">
        <v>3115</v>
      </c>
      <c r="B4479" s="1">
        <v>45720</v>
      </c>
      <c r="C4479" t="s">
        <v>8755</v>
      </c>
      <c r="D4479" t="s">
        <v>3476</v>
      </c>
      <c r="E4479" t="s">
        <v>8756</v>
      </c>
      <c r="F4479" t="s">
        <v>6802</v>
      </c>
      <c r="H4479" t="s">
        <v>3477</v>
      </c>
      <c r="K4479">
        <v>10564</v>
      </c>
      <c r="L4479" t="s">
        <v>6803</v>
      </c>
    </row>
    <row r="4480" spans="1:12" x14ac:dyDescent="0.35">
      <c r="A4480" t="s">
        <v>3115</v>
      </c>
      <c r="B4480" s="1">
        <v>45720</v>
      </c>
      <c r="C4480" t="s">
        <v>8755</v>
      </c>
      <c r="D4480" t="s">
        <v>3476</v>
      </c>
      <c r="E4480" t="s">
        <v>8756</v>
      </c>
      <c r="F4480" t="s">
        <v>8557</v>
      </c>
      <c r="G4480" t="s">
        <v>8558</v>
      </c>
      <c r="H4480" t="s">
        <v>3477</v>
      </c>
      <c r="J4480">
        <v>10956</v>
      </c>
      <c r="L4480" t="s">
        <v>5874</v>
      </c>
    </row>
    <row r="4481" spans="1:12" x14ac:dyDescent="0.35">
      <c r="A4481" t="s">
        <v>3115</v>
      </c>
      <c r="B4481" s="1">
        <v>45720</v>
      </c>
      <c r="C4481" t="s">
        <v>8757</v>
      </c>
      <c r="D4481" t="s">
        <v>3478</v>
      </c>
      <c r="E4481" t="s">
        <v>8758</v>
      </c>
      <c r="F4481" t="s">
        <v>6811</v>
      </c>
      <c r="H4481" t="s">
        <v>3479</v>
      </c>
      <c r="K4481">
        <v>1500</v>
      </c>
      <c r="L4481" t="s">
        <v>6803</v>
      </c>
    </row>
    <row r="4482" spans="1:12" x14ac:dyDescent="0.35">
      <c r="A4482" t="s">
        <v>3115</v>
      </c>
      <c r="B4482" s="1">
        <v>45720</v>
      </c>
      <c r="C4482" t="s">
        <v>8757</v>
      </c>
      <c r="D4482" t="s">
        <v>3478</v>
      </c>
      <c r="E4482" t="s">
        <v>8758</v>
      </c>
      <c r="F4482" t="s">
        <v>8557</v>
      </c>
      <c r="G4482" t="s">
        <v>8558</v>
      </c>
      <c r="H4482" t="s">
        <v>3479</v>
      </c>
      <c r="J4482">
        <v>1500</v>
      </c>
      <c r="L4482" t="s">
        <v>5880</v>
      </c>
    </row>
    <row r="4483" spans="1:12" x14ac:dyDescent="0.35">
      <c r="A4483" t="s">
        <v>3115</v>
      </c>
      <c r="B4483" s="1">
        <v>45720</v>
      </c>
      <c r="C4483" t="s">
        <v>8759</v>
      </c>
      <c r="D4483" t="s">
        <v>3480</v>
      </c>
      <c r="E4483" t="s">
        <v>8760</v>
      </c>
      <c r="F4483" t="s">
        <v>6915</v>
      </c>
      <c r="H4483" t="s">
        <v>3481</v>
      </c>
      <c r="K4483">
        <v>2033</v>
      </c>
      <c r="L4483" t="s">
        <v>6803</v>
      </c>
    </row>
    <row r="4484" spans="1:12" x14ac:dyDescent="0.35">
      <c r="A4484" t="s">
        <v>3115</v>
      </c>
      <c r="B4484" s="1">
        <v>45720</v>
      </c>
      <c r="C4484" t="s">
        <v>8759</v>
      </c>
      <c r="D4484" t="s">
        <v>3480</v>
      </c>
      <c r="E4484" t="s">
        <v>8760</v>
      </c>
      <c r="F4484" t="s">
        <v>6802</v>
      </c>
      <c r="H4484" t="s">
        <v>3481</v>
      </c>
      <c r="K4484">
        <v>7347</v>
      </c>
      <c r="L4484" t="s">
        <v>6803</v>
      </c>
    </row>
    <row r="4485" spans="1:12" x14ac:dyDescent="0.35">
      <c r="A4485" t="s">
        <v>3115</v>
      </c>
      <c r="B4485" s="1">
        <v>45720</v>
      </c>
      <c r="C4485" t="s">
        <v>8759</v>
      </c>
      <c r="D4485" t="s">
        <v>3480</v>
      </c>
      <c r="E4485" t="s">
        <v>8760</v>
      </c>
      <c r="F4485" t="s">
        <v>8537</v>
      </c>
      <c r="G4485" t="s">
        <v>8538</v>
      </c>
      <c r="H4485" t="s">
        <v>3481</v>
      </c>
      <c r="J4485">
        <v>9380</v>
      </c>
      <c r="L4485" t="s">
        <v>5890</v>
      </c>
    </row>
    <row r="4486" spans="1:12" x14ac:dyDescent="0.35">
      <c r="A4486" t="s">
        <v>3115</v>
      </c>
      <c r="B4486" s="1">
        <v>45720</v>
      </c>
      <c r="C4486" t="s">
        <v>8761</v>
      </c>
      <c r="D4486" t="s">
        <v>3482</v>
      </c>
      <c r="E4486" t="s">
        <v>8762</v>
      </c>
      <c r="F4486" t="s">
        <v>6802</v>
      </c>
      <c r="H4486" t="s">
        <v>3483</v>
      </c>
      <c r="K4486">
        <v>99968</v>
      </c>
      <c r="L4486" t="s">
        <v>6803</v>
      </c>
    </row>
    <row r="4487" spans="1:12" x14ac:dyDescent="0.35">
      <c r="A4487" t="s">
        <v>3115</v>
      </c>
      <c r="B4487" s="1">
        <v>45720</v>
      </c>
      <c r="C4487" t="s">
        <v>8761</v>
      </c>
      <c r="D4487" t="s">
        <v>3482</v>
      </c>
      <c r="E4487" t="s">
        <v>8762</v>
      </c>
      <c r="F4487" t="s">
        <v>8537</v>
      </c>
      <c r="G4487" t="s">
        <v>8538</v>
      </c>
      <c r="H4487" t="s">
        <v>3483</v>
      </c>
      <c r="J4487">
        <v>99968</v>
      </c>
      <c r="L4487" t="s">
        <v>5875</v>
      </c>
    </row>
    <row r="4488" spans="1:12" x14ac:dyDescent="0.35">
      <c r="A4488" t="s">
        <v>3115</v>
      </c>
      <c r="B4488" s="1">
        <v>45720</v>
      </c>
      <c r="C4488" t="s">
        <v>8763</v>
      </c>
      <c r="D4488" t="s">
        <v>3484</v>
      </c>
      <c r="E4488" t="s">
        <v>8760</v>
      </c>
      <c r="F4488" t="s">
        <v>6915</v>
      </c>
      <c r="H4488" t="s">
        <v>3485</v>
      </c>
      <c r="K4488">
        <v>10125</v>
      </c>
      <c r="L4488" t="s">
        <v>6803</v>
      </c>
    </row>
    <row r="4489" spans="1:12" x14ac:dyDescent="0.35">
      <c r="A4489" t="s">
        <v>3115</v>
      </c>
      <c r="B4489" s="1">
        <v>45720</v>
      </c>
      <c r="C4489" t="s">
        <v>8763</v>
      </c>
      <c r="D4489" t="s">
        <v>3484</v>
      </c>
      <c r="E4489" t="s">
        <v>8760</v>
      </c>
      <c r="F4489" t="s">
        <v>8569</v>
      </c>
      <c r="G4489" t="s">
        <v>8570</v>
      </c>
      <c r="H4489" t="s">
        <v>3485</v>
      </c>
      <c r="J4489">
        <v>10125</v>
      </c>
      <c r="L4489" t="s">
        <v>5890</v>
      </c>
    </row>
    <row r="4490" spans="1:12" x14ac:dyDescent="0.35">
      <c r="A4490" t="s">
        <v>3115</v>
      </c>
      <c r="B4490" s="1">
        <v>45720</v>
      </c>
      <c r="C4490" t="s">
        <v>8764</v>
      </c>
      <c r="D4490" t="s">
        <v>3486</v>
      </c>
      <c r="E4490" t="s">
        <v>8765</v>
      </c>
      <c r="F4490" t="s">
        <v>6915</v>
      </c>
      <c r="H4490" t="s">
        <v>3487</v>
      </c>
      <c r="K4490">
        <v>10125</v>
      </c>
      <c r="L4490" t="s">
        <v>6803</v>
      </c>
    </row>
    <row r="4491" spans="1:12" x14ac:dyDescent="0.35">
      <c r="A4491" t="s">
        <v>3115</v>
      </c>
      <c r="B4491" s="1">
        <v>45720</v>
      </c>
      <c r="C4491" t="s">
        <v>8764</v>
      </c>
      <c r="D4491" t="s">
        <v>3486</v>
      </c>
      <c r="E4491" t="s">
        <v>8765</v>
      </c>
      <c r="F4491" t="s">
        <v>8569</v>
      </c>
      <c r="G4491" t="s">
        <v>8570</v>
      </c>
      <c r="H4491" t="s">
        <v>3487</v>
      </c>
      <c r="J4491">
        <v>10125</v>
      </c>
      <c r="L4491" t="s">
        <v>5966</v>
      </c>
    </row>
    <row r="4492" spans="1:12" x14ac:dyDescent="0.35">
      <c r="A4492" t="s">
        <v>3115</v>
      </c>
      <c r="B4492" s="1">
        <v>45720</v>
      </c>
      <c r="C4492" t="s">
        <v>8766</v>
      </c>
      <c r="D4492" t="s">
        <v>3488</v>
      </c>
      <c r="E4492" t="s">
        <v>8767</v>
      </c>
      <c r="F4492" t="s">
        <v>6802</v>
      </c>
      <c r="H4492" t="s">
        <v>3489</v>
      </c>
      <c r="K4492">
        <v>49984</v>
      </c>
      <c r="L4492" t="s">
        <v>6803</v>
      </c>
    </row>
    <row r="4493" spans="1:12" x14ac:dyDescent="0.35">
      <c r="A4493" t="s">
        <v>3115</v>
      </c>
      <c r="B4493" s="1">
        <v>45720</v>
      </c>
      <c r="C4493" t="s">
        <v>8766</v>
      </c>
      <c r="D4493" t="s">
        <v>3488</v>
      </c>
      <c r="E4493" t="s">
        <v>8767</v>
      </c>
      <c r="F4493" t="s">
        <v>8537</v>
      </c>
      <c r="G4493" t="s">
        <v>8538</v>
      </c>
      <c r="H4493" t="s">
        <v>3489</v>
      </c>
      <c r="J4493">
        <v>49984</v>
      </c>
      <c r="L4493" t="s">
        <v>5875</v>
      </c>
    </row>
    <row r="4494" spans="1:12" x14ac:dyDescent="0.35">
      <c r="A4494" t="s">
        <v>3115</v>
      </c>
      <c r="B4494" s="1">
        <v>45720</v>
      </c>
      <c r="C4494" t="s">
        <v>8768</v>
      </c>
      <c r="D4494" t="s">
        <v>3490</v>
      </c>
      <c r="E4494" t="s">
        <v>8769</v>
      </c>
      <c r="F4494" t="s">
        <v>6802</v>
      </c>
      <c r="H4494" t="s">
        <v>3491</v>
      </c>
      <c r="K4494">
        <v>122270</v>
      </c>
      <c r="L4494" t="s">
        <v>6803</v>
      </c>
    </row>
    <row r="4495" spans="1:12" x14ac:dyDescent="0.35">
      <c r="A4495" t="s">
        <v>3115</v>
      </c>
      <c r="B4495" s="1">
        <v>45720</v>
      </c>
      <c r="C4495" t="s">
        <v>8768</v>
      </c>
      <c r="D4495" t="s">
        <v>3490</v>
      </c>
      <c r="E4495" t="s">
        <v>8769</v>
      </c>
      <c r="F4495" t="s">
        <v>8537</v>
      </c>
      <c r="G4495" t="s">
        <v>8538</v>
      </c>
      <c r="H4495" t="s">
        <v>3491</v>
      </c>
      <c r="J4495">
        <v>122270</v>
      </c>
      <c r="L4495" t="s">
        <v>5966</v>
      </c>
    </row>
    <row r="4496" spans="1:12" x14ac:dyDescent="0.35">
      <c r="A4496" t="s">
        <v>3115</v>
      </c>
      <c r="B4496" s="1">
        <v>45720</v>
      </c>
      <c r="C4496" t="s">
        <v>8770</v>
      </c>
      <c r="D4496" t="s">
        <v>3492</v>
      </c>
      <c r="E4496" t="s">
        <v>8769</v>
      </c>
      <c r="F4496" t="s">
        <v>6915</v>
      </c>
      <c r="H4496" t="s">
        <v>3493</v>
      </c>
      <c r="K4496">
        <v>66825</v>
      </c>
      <c r="L4496" t="s">
        <v>6803</v>
      </c>
    </row>
    <row r="4497" spans="1:12" x14ac:dyDescent="0.35">
      <c r="A4497" t="s">
        <v>3115</v>
      </c>
      <c r="B4497" s="1">
        <v>45720</v>
      </c>
      <c r="C4497" t="s">
        <v>8770</v>
      </c>
      <c r="D4497" t="s">
        <v>3492</v>
      </c>
      <c r="E4497" t="s">
        <v>8769</v>
      </c>
      <c r="F4497" t="s">
        <v>8569</v>
      </c>
      <c r="G4497" t="s">
        <v>8570</v>
      </c>
      <c r="H4497" t="s">
        <v>3493</v>
      </c>
      <c r="J4497">
        <v>66825</v>
      </c>
      <c r="L4497" t="s">
        <v>5966</v>
      </c>
    </row>
    <row r="4498" spans="1:12" x14ac:dyDescent="0.35">
      <c r="A4498" t="s">
        <v>3115</v>
      </c>
      <c r="B4498" s="1">
        <v>45720</v>
      </c>
      <c r="C4498" t="s">
        <v>8771</v>
      </c>
      <c r="D4498" t="s">
        <v>3494</v>
      </c>
      <c r="E4498" t="s">
        <v>8772</v>
      </c>
      <c r="F4498" t="s">
        <v>6811</v>
      </c>
      <c r="H4498" t="s">
        <v>3495</v>
      </c>
      <c r="K4498">
        <v>808</v>
      </c>
      <c r="L4498" t="s">
        <v>6803</v>
      </c>
    </row>
    <row r="4499" spans="1:12" x14ac:dyDescent="0.35">
      <c r="A4499" t="s">
        <v>3115</v>
      </c>
      <c r="B4499" s="1">
        <v>45720</v>
      </c>
      <c r="C4499" t="s">
        <v>8771</v>
      </c>
      <c r="D4499" t="s">
        <v>3494</v>
      </c>
      <c r="E4499" t="s">
        <v>8772</v>
      </c>
      <c r="F4499" t="s">
        <v>8557</v>
      </c>
      <c r="G4499" t="s">
        <v>8558</v>
      </c>
      <c r="H4499" t="s">
        <v>3495</v>
      </c>
      <c r="J4499">
        <v>808</v>
      </c>
      <c r="L4499" t="s">
        <v>5966</v>
      </c>
    </row>
    <row r="4500" spans="1:12" x14ac:dyDescent="0.35">
      <c r="A4500" t="s">
        <v>3115</v>
      </c>
      <c r="B4500" s="1">
        <v>45720</v>
      </c>
      <c r="C4500" t="s">
        <v>8773</v>
      </c>
      <c r="D4500" t="s">
        <v>3496</v>
      </c>
      <c r="E4500" t="s">
        <v>8774</v>
      </c>
      <c r="F4500" t="s">
        <v>6811</v>
      </c>
      <c r="H4500" t="s">
        <v>3497</v>
      </c>
      <c r="K4500">
        <v>2953</v>
      </c>
      <c r="L4500" t="s">
        <v>6803</v>
      </c>
    </row>
    <row r="4501" spans="1:12" x14ac:dyDescent="0.35">
      <c r="A4501" t="s">
        <v>3115</v>
      </c>
      <c r="B4501" s="1">
        <v>45720</v>
      </c>
      <c r="C4501" t="s">
        <v>8773</v>
      </c>
      <c r="D4501" t="s">
        <v>3496</v>
      </c>
      <c r="E4501" t="s">
        <v>8774</v>
      </c>
      <c r="F4501" t="s">
        <v>6802</v>
      </c>
      <c r="H4501" t="s">
        <v>3497</v>
      </c>
      <c r="K4501">
        <v>1604</v>
      </c>
      <c r="L4501" t="s">
        <v>6803</v>
      </c>
    </row>
    <row r="4502" spans="1:12" x14ac:dyDescent="0.35">
      <c r="A4502" t="s">
        <v>3115</v>
      </c>
      <c r="B4502" s="1">
        <v>45720</v>
      </c>
      <c r="C4502" t="s">
        <v>8773</v>
      </c>
      <c r="D4502" t="s">
        <v>3496</v>
      </c>
      <c r="E4502" t="s">
        <v>8774</v>
      </c>
      <c r="F4502" t="s">
        <v>8557</v>
      </c>
      <c r="G4502" t="s">
        <v>8558</v>
      </c>
      <c r="H4502" t="s">
        <v>3497</v>
      </c>
      <c r="J4502">
        <v>4557</v>
      </c>
      <c r="L4502" t="s">
        <v>6012</v>
      </c>
    </row>
    <row r="4503" spans="1:12" x14ac:dyDescent="0.35">
      <c r="A4503" t="s">
        <v>3115</v>
      </c>
      <c r="B4503" s="1">
        <v>45720</v>
      </c>
      <c r="C4503" t="s">
        <v>8775</v>
      </c>
      <c r="D4503" t="s">
        <v>3498</v>
      </c>
      <c r="E4503" t="s">
        <v>8776</v>
      </c>
      <c r="F4503" t="s">
        <v>6802</v>
      </c>
      <c r="H4503" t="s">
        <v>3499</v>
      </c>
      <c r="K4503">
        <v>3936</v>
      </c>
      <c r="L4503" t="s">
        <v>6803</v>
      </c>
    </row>
    <row r="4504" spans="1:12" x14ac:dyDescent="0.35">
      <c r="A4504" t="s">
        <v>3115</v>
      </c>
      <c r="B4504" s="1">
        <v>45720</v>
      </c>
      <c r="C4504" t="s">
        <v>8775</v>
      </c>
      <c r="D4504" t="s">
        <v>3498</v>
      </c>
      <c r="E4504" t="s">
        <v>8776</v>
      </c>
      <c r="F4504" t="s">
        <v>8537</v>
      </c>
      <c r="G4504" t="s">
        <v>8538</v>
      </c>
      <c r="H4504" t="s">
        <v>3499</v>
      </c>
      <c r="J4504">
        <v>3936</v>
      </c>
      <c r="L4504" t="s">
        <v>5966</v>
      </c>
    </row>
    <row r="4505" spans="1:12" x14ac:dyDescent="0.35">
      <c r="A4505" t="s">
        <v>3115</v>
      </c>
      <c r="B4505" s="1">
        <v>45720</v>
      </c>
      <c r="C4505" t="s">
        <v>8777</v>
      </c>
      <c r="D4505" t="s">
        <v>3500</v>
      </c>
      <c r="E4505" t="s">
        <v>8778</v>
      </c>
      <c r="F4505" t="s">
        <v>6811</v>
      </c>
      <c r="H4505" t="s">
        <v>3501</v>
      </c>
      <c r="K4505">
        <v>14966</v>
      </c>
      <c r="L4505" t="s">
        <v>6803</v>
      </c>
    </row>
    <row r="4506" spans="1:12" x14ac:dyDescent="0.35">
      <c r="A4506" t="s">
        <v>3115</v>
      </c>
      <c r="B4506" s="1">
        <v>45720</v>
      </c>
      <c r="C4506" t="s">
        <v>8777</v>
      </c>
      <c r="D4506" t="s">
        <v>3500</v>
      </c>
      <c r="E4506" t="s">
        <v>8778</v>
      </c>
      <c r="F4506" t="s">
        <v>8557</v>
      </c>
      <c r="G4506" t="s">
        <v>8558</v>
      </c>
      <c r="H4506" t="s">
        <v>3501</v>
      </c>
      <c r="J4506">
        <v>14966</v>
      </c>
      <c r="L4506" t="s">
        <v>5949</v>
      </c>
    </row>
    <row r="4507" spans="1:12" x14ac:dyDescent="0.35">
      <c r="A4507" t="s">
        <v>3115</v>
      </c>
      <c r="B4507" s="1">
        <v>45720</v>
      </c>
      <c r="C4507" t="s">
        <v>8779</v>
      </c>
      <c r="D4507" t="s">
        <v>3502</v>
      </c>
      <c r="E4507" t="s">
        <v>8780</v>
      </c>
      <c r="F4507" t="s">
        <v>6808</v>
      </c>
      <c r="H4507" t="s">
        <v>3503</v>
      </c>
      <c r="K4507">
        <v>2917</v>
      </c>
      <c r="L4507" t="s">
        <v>6803</v>
      </c>
    </row>
    <row r="4508" spans="1:12" x14ac:dyDescent="0.35">
      <c r="A4508" t="s">
        <v>3115</v>
      </c>
      <c r="B4508" s="1">
        <v>45720</v>
      </c>
      <c r="C4508" t="s">
        <v>8779</v>
      </c>
      <c r="D4508" t="s">
        <v>3502</v>
      </c>
      <c r="E4508" t="s">
        <v>8780</v>
      </c>
      <c r="F4508" t="s">
        <v>8467</v>
      </c>
      <c r="G4508" t="s">
        <v>8567</v>
      </c>
      <c r="H4508" t="s">
        <v>3503</v>
      </c>
      <c r="J4508">
        <v>2917</v>
      </c>
      <c r="L4508" t="s">
        <v>5966</v>
      </c>
    </row>
    <row r="4509" spans="1:12" x14ac:dyDescent="0.35">
      <c r="A4509" t="s">
        <v>3115</v>
      </c>
      <c r="B4509" s="1">
        <v>45720</v>
      </c>
      <c r="C4509" t="s">
        <v>8781</v>
      </c>
      <c r="D4509" t="s">
        <v>3504</v>
      </c>
      <c r="E4509" t="s">
        <v>8782</v>
      </c>
      <c r="F4509" t="s">
        <v>6808</v>
      </c>
      <c r="H4509" t="s">
        <v>3505</v>
      </c>
      <c r="K4509">
        <v>4947</v>
      </c>
      <c r="L4509" t="s">
        <v>6803</v>
      </c>
    </row>
    <row r="4510" spans="1:12" x14ac:dyDescent="0.35">
      <c r="A4510" t="s">
        <v>3115</v>
      </c>
      <c r="B4510" s="1">
        <v>45720</v>
      </c>
      <c r="C4510" t="s">
        <v>8781</v>
      </c>
      <c r="D4510" t="s">
        <v>3504</v>
      </c>
      <c r="E4510" t="s">
        <v>8782</v>
      </c>
      <c r="F4510" t="s">
        <v>8467</v>
      </c>
      <c r="G4510" t="s">
        <v>8567</v>
      </c>
      <c r="H4510" t="s">
        <v>3505</v>
      </c>
      <c r="J4510">
        <v>4947</v>
      </c>
      <c r="L4510" t="s">
        <v>5966</v>
      </c>
    </row>
    <row r="4511" spans="1:12" x14ac:dyDescent="0.35">
      <c r="A4511" t="s">
        <v>3115</v>
      </c>
      <c r="B4511" s="1">
        <v>45721</v>
      </c>
      <c r="C4511" t="s">
        <v>8783</v>
      </c>
      <c r="D4511" t="s">
        <v>3506</v>
      </c>
      <c r="E4511" t="s">
        <v>8784</v>
      </c>
      <c r="F4511" t="s">
        <v>6811</v>
      </c>
      <c r="H4511" t="s">
        <v>3507</v>
      </c>
      <c r="K4511">
        <v>787</v>
      </c>
      <c r="L4511" t="s">
        <v>6803</v>
      </c>
    </row>
    <row r="4512" spans="1:12" x14ac:dyDescent="0.35">
      <c r="A4512" t="s">
        <v>3115</v>
      </c>
      <c r="B4512" s="1">
        <v>45721</v>
      </c>
      <c r="C4512" t="s">
        <v>8783</v>
      </c>
      <c r="D4512" t="s">
        <v>3506</v>
      </c>
      <c r="E4512" t="s">
        <v>8784</v>
      </c>
      <c r="F4512" t="s">
        <v>8537</v>
      </c>
      <c r="G4512" t="s">
        <v>8538</v>
      </c>
      <c r="H4512" t="s">
        <v>3507</v>
      </c>
      <c r="J4512">
        <v>787</v>
      </c>
      <c r="L4512" t="s">
        <v>5958</v>
      </c>
    </row>
    <row r="4513" spans="1:12" x14ac:dyDescent="0.35">
      <c r="A4513" t="s">
        <v>3115</v>
      </c>
      <c r="B4513" s="1">
        <v>45721</v>
      </c>
      <c r="C4513" t="s">
        <v>8785</v>
      </c>
      <c r="D4513" t="s">
        <v>3508</v>
      </c>
      <c r="E4513" t="s">
        <v>8786</v>
      </c>
      <c r="F4513" t="s">
        <v>6802</v>
      </c>
      <c r="H4513" t="s">
        <v>3509</v>
      </c>
      <c r="K4513">
        <v>919</v>
      </c>
      <c r="L4513" t="s">
        <v>6803</v>
      </c>
    </row>
    <row r="4514" spans="1:12" x14ac:dyDescent="0.35">
      <c r="A4514" t="s">
        <v>3115</v>
      </c>
      <c r="B4514" s="1">
        <v>45721</v>
      </c>
      <c r="C4514" t="s">
        <v>8785</v>
      </c>
      <c r="D4514" t="s">
        <v>3508</v>
      </c>
      <c r="E4514" t="s">
        <v>8786</v>
      </c>
      <c r="F4514" t="s">
        <v>8537</v>
      </c>
      <c r="G4514" t="s">
        <v>8538</v>
      </c>
      <c r="H4514" t="s">
        <v>3509</v>
      </c>
      <c r="J4514">
        <v>919</v>
      </c>
      <c r="L4514" t="s">
        <v>5958</v>
      </c>
    </row>
    <row r="4515" spans="1:12" x14ac:dyDescent="0.35">
      <c r="A4515" t="s">
        <v>3115</v>
      </c>
      <c r="B4515" s="1">
        <v>45721</v>
      </c>
      <c r="C4515" t="s">
        <v>8787</v>
      </c>
      <c r="D4515" t="s">
        <v>3510</v>
      </c>
      <c r="E4515" t="s">
        <v>8788</v>
      </c>
      <c r="F4515" t="s">
        <v>6802</v>
      </c>
      <c r="H4515" t="s">
        <v>3511</v>
      </c>
      <c r="K4515">
        <v>65006</v>
      </c>
      <c r="L4515" t="s">
        <v>6803</v>
      </c>
    </row>
    <row r="4516" spans="1:12" x14ac:dyDescent="0.35">
      <c r="A4516" t="s">
        <v>3115</v>
      </c>
      <c r="B4516" s="1">
        <v>45721</v>
      </c>
      <c r="C4516" t="s">
        <v>8787</v>
      </c>
      <c r="D4516" t="s">
        <v>3510</v>
      </c>
      <c r="E4516" t="s">
        <v>8788</v>
      </c>
      <c r="F4516" t="s">
        <v>8537</v>
      </c>
      <c r="G4516" t="s">
        <v>8538</v>
      </c>
      <c r="H4516" t="s">
        <v>3511</v>
      </c>
      <c r="J4516">
        <v>65006</v>
      </c>
      <c r="L4516" t="s">
        <v>5958</v>
      </c>
    </row>
    <row r="4517" spans="1:12" x14ac:dyDescent="0.35">
      <c r="A4517" t="s">
        <v>3115</v>
      </c>
      <c r="B4517" s="1">
        <v>45721</v>
      </c>
      <c r="C4517" t="s">
        <v>8789</v>
      </c>
      <c r="D4517" t="s">
        <v>3512</v>
      </c>
      <c r="E4517" t="s">
        <v>8790</v>
      </c>
      <c r="F4517" t="s">
        <v>6802</v>
      </c>
      <c r="H4517" t="s">
        <v>3513</v>
      </c>
      <c r="K4517">
        <v>2230</v>
      </c>
      <c r="L4517" t="s">
        <v>6803</v>
      </c>
    </row>
    <row r="4518" spans="1:12" x14ac:dyDescent="0.35">
      <c r="A4518" t="s">
        <v>3115</v>
      </c>
      <c r="B4518" s="1">
        <v>45721</v>
      </c>
      <c r="C4518" t="s">
        <v>8789</v>
      </c>
      <c r="D4518" t="s">
        <v>3512</v>
      </c>
      <c r="E4518" t="s">
        <v>8790</v>
      </c>
      <c r="F4518" t="s">
        <v>8537</v>
      </c>
      <c r="G4518" t="s">
        <v>8538</v>
      </c>
      <c r="H4518" t="s">
        <v>3513</v>
      </c>
      <c r="J4518">
        <v>2230</v>
      </c>
      <c r="L4518" t="s">
        <v>5875</v>
      </c>
    </row>
    <row r="4519" spans="1:12" x14ac:dyDescent="0.35">
      <c r="A4519" t="s">
        <v>3115</v>
      </c>
      <c r="B4519" s="1">
        <v>45721</v>
      </c>
      <c r="C4519" t="s">
        <v>8791</v>
      </c>
      <c r="D4519" t="s">
        <v>3514</v>
      </c>
      <c r="E4519" t="s">
        <v>8792</v>
      </c>
      <c r="F4519" t="s">
        <v>6802</v>
      </c>
      <c r="H4519" t="s">
        <v>3515</v>
      </c>
      <c r="K4519">
        <v>2230</v>
      </c>
      <c r="L4519" t="s">
        <v>6803</v>
      </c>
    </row>
    <row r="4520" spans="1:12" x14ac:dyDescent="0.35">
      <c r="A4520" t="s">
        <v>3115</v>
      </c>
      <c r="B4520" s="1">
        <v>45721</v>
      </c>
      <c r="C4520" t="s">
        <v>8791</v>
      </c>
      <c r="D4520" t="s">
        <v>3514</v>
      </c>
      <c r="E4520" t="s">
        <v>8792</v>
      </c>
      <c r="F4520" t="s">
        <v>8537</v>
      </c>
      <c r="G4520" t="s">
        <v>8538</v>
      </c>
      <c r="H4520" t="s">
        <v>3515</v>
      </c>
      <c r="J4520">
        <v>2230</v>
      </c>
      <c r="L4520" t="s">
        <v>5875</v>
      </c>
    </row>
    <row r="4521" spans="1:12" x14ac:dyDescent="0.35">
      <c r="A4521" t="s">
        <v>3115</v>
      </c>
      <c r="B4521" s="1">
        <v>45721</v>
      </c>
      <c r="C4521" t="s">
        <v>8793</v>
      </c>
      <c r="D4521" t="s">
        <v>3516</v>
      </c>
      <c r="E4521" t="s">
        <v>8794</v>
      </c>
      <c r="F4521" t="s">
        <v>6802</v>
      </c>
      <c r="H4521" t="s">
        <v>3517</v>
      </c>
      <c r="K4521">
        <v>1312</v>
      </c>
      <c r="L4521" t="s">
        <v>6803</v>
      </c>
    </row>
    <row r="4522" spans="1:12" x14ac:dyDescent="0.35">
      <c r="A4522" t="s">
        <v>3115</v>
      </c>
      <c r="B4522" s="1">
        <v>45721</v>
      </c>
      <c r="C4522" t="s">
        <v>8793</v>
      </c>
      <c r="D4522" t="s">
        <v>3516</v>
      </c>
      <c r="E4522" t="s">
        <v>8794</v>
      </c>
      <c r="F4522" t="s">
        <v>8537</v>
      </c>
      <c r="G4522" t="s">
        <v>8538</v>
      </c>
      <c r="H4522" t="s">
        <v>3517</v>
      </c>
      <c r="J4522">
        <v>1312</v>
      </c>
      <c r="L4522" t="s">
        <v>5876</v>
      </c>
    </row>
    <row r="4523" spans="1:12" x14ac:dyDescent="0.35">
      <c r="A4523" t="s">
        <v>3115</v>
      </c>
      <c r="B4523" s="1">
        <v>45721</v>
      </c>
      <c r="C4523" t="s">
        <v>8795</v>
      </c>
      <c r="D4523" t="s">
        <v>3518</v>
      </c>
      <c r="E4523" t="s">
        <v>8794</v>
      </c>
      <c r="F4523" t="s">
        <v>6802</v>
      </c>
      <c r="H4523" t="s">
        <v>3519</v>
      </c>
      <c r="K4523">
        <v>1620</v>
      </c>
      <c r="L4523" t="s">
        <v>6803</v>
      </c>
    </row>
    <row r="4524" spans="1:12" x14ac:dyDescent="0.35">
      <c r="A4524" t="s">
        <v>3115</v>
      </c>
      <c r="B4524" s="1">
        <v>45721</v>
      </c>
      <c r="C4524" t="s">
        <v>8795</v>
      </c>
      <c r="D4524" t="s">
        <v>3518</v>
      </c>
      <c r="E4524" t="s">
        <v>8794</v>
      </c>
      <c r="F4524" t="s">
        <v>8557</v>
      </c>
      <c r="G4524" t="s">
        <v>8558</v>
      </c>
      <c r="H4524" t="s">
        <v>3519</v>
      </c>
      <c r="J4524">
        <v>1620</v>
      </c>
      <c r="L4524" t="s">
        <v>5876</v>
      </c>
    </row>
    <row r="4525" spans="1:12" x14ac:dyDescent="0.35">
      <c r="A4525" t="s">
        <v>3115</v>
      </c>
      <c r="B4525" s="1">
        <v>45721</v>
      </c>
      <c r="C4525" t="s">
        <v>8796</v>
      </c>
      <c r="D4525" t="s">
        <v>3520</v>
      </c>
      <c r="E4525" t="s">
        <v>8797</v>
      </c>
      <c r="F4525" t="s">
        <v>6802</v>
      </c>
      <c r="H4525" t="s">
        <v>3521</v>
      </c>
      <c r="K4525">
        <v>11021</v>
      </c>
      <c r="L4525" t="s">
        <v>6803</v>
      </c>
    </row>
    <row r="4526" spans="1:12" x14ac:dyDescent="0.35">
      <c r="A4526" t="s">
        <v>3115</v>
      </c>
      <c r="B4526" s="1">
        <v>45721</v>
      </c>
      <c r="C4526" t="s">
        <v>8796</v>
      </c>
      <c r="D4526" t="s">
        <v>3520</v>
      </c>
      <c r="E4526" t="s">
        <v>8797</v>
      </c>
      <c r="F4526" t="s">
        <v>8537</v>
      </c>
      <c r="G4526" t="s">
        <v>8538</v>
      </c>
      <c r="H4526" t="s">
        <v>3521</v>
      </c>
      <c r="J4526">
        <v>11021</v>
      </c>
      <c r="L4526" t="s">
        <v>5874</v>
      </c>
    </row>
    <row r="4527" spans="1:12" x14ac:dyDescent="0.35">
      <c r="A4527" t="s">
        <v>3115</v>
      </c>
      <c r="B4527" s="1">
        <v>45721</v>
      </c>
      <c r="C4527" t="s">
        <v>8798</v>
      </c>
      <c r="D4527" t="s">
        <v>3522</v>
      </c>
      <c r="E4527" t="s">
        <v>8797</v>
      </c>
      <c r="F4527" t="s">
        <v>6802</v>
      </c>
      <c r="H4527" t="s">
        <v>3523</v>
      </c>
      <c r="K4527">
        <v>1620</v>
      </c>
      <c r="L4527" t="s">
        <v>6803</v>
      </c>
    </row>
    <row r="4528" spans="1:12" x14ac:dyDescent="0.35">
      <c r="A4528" t="s">
        <v>3115</v>
      </c>
      <c r="B4528" s="1">
        <v>45721</v>
      </c>
      <c r="C4528" t="s">
        <v>8798</v>
      </c>
      <c r="D4528" t="s">
        <v>3522</v>
      </c>
      <c r="E4528" t="s">
        <v>8797</v>
      </c>
      <c r="F4528" t="s">
        <v>8557</v>
      </c>
      <c r="G4528" t="s">
        <v>8558</v>
      </c>
      <c r="H4528" t="s">
        <v>3523</v>
      </c>
      <c r="J4528">
        <v>1620</v>
      </c>
      <c r="L4528" t="s">
        <v>5874</v>
      </c>
    </row>
    <row r="4529" spans="1:12" x14ac:dyDescent="0.35">
      <c r="A4529" t="s">
        <v>3115</v>
      </c>
      <c r="B4529" s="1">
        <v>45721</v>
      </c>
      <c r="C4529" t="s">
        <v>8799</v>
      </c>
      <c r="D4529" t="s">
        <v>3524</v>
      </c>
      <c r="E4529" t="s">
        <v>8800</v>
      </c>
      <c r="F4529" t="s">
        <v>6802</v>
      </c>
      <c r="H4529" t="s">
        <v>3525</v>
      </c>
      <c r="K4529">
        <v>62054</v>
      </c>
      <c r="L4529" t="s">
        <v>6803</v>
      </c>
    </row>
    <row r="4530" spans="1:12" x14ac:dyDescent="0.35">
      <c r="A4530" t="s">
        <v>3115</v>
      </c>
      <c r="B4530" s="1">
        <v>45721</v>
      </c>
      <c r="C4530" t="s">
        <v>8799</v>
      </c>
      <c r="D4530" t="s">
        <v>3524</v>
      </c>
      <c r="E4530" t="s">
        <v>8800</v>
      </c>
      <c r="F4530" t="s">
        <v>8537</v>
      </c>
      <c r="G4530" t="s">
        <v>8538</v>
      </c>
      <c r="H4530" t="s">
        <v>3525</v>
      </c>
      <c r="J4530">
        <v>62054</v>
      </c>
      <c r="L4530" t="s">
        <v>5875</v>
      </c>
    </row>
    <row r="4531" spans="1:12" x14ac:dyDescent="0.35">
      <c r="A4531" t="s">
        <v>3115</v>
      </c>
      <c r="B4531" s="1">
        <v>45721</v>
      </c>
      <c r="C4531" t="s">
        <v>8801</v>
      </c>
      <c r="D4531" t="s">
        <v>3526</v>
      </c>
      <c r="E4531" t="s">
        <v>8802</v>
      </c>
      <c r="F4531" t="s">
        <v>6802</v>
      </c>
      <c r="H4531" t="s">
        <v>3527</v>
      </c>
      <c r="K4531">
        <v>40801</v>
      </c>
      <c r="L4531" t="s">
        <v>6803</v>
      </c>
    </row>
    <row r="4532" spans="1:12" x14ac:dyDescent="0.35">
      <c r="A4532" t="s">
        <v>3115</v>
      </c>
      <c r="B4532" s="1">
        <v>45721</v>
      </c>
      <c r="C4532" t="s">
        <v>8801</v>
      </c>
      <c r="D4532" t="s">
        <v>3526</v>
      </c>
      <c r="E4532" t="s">
        <v>8802</v>
      </c>
      <c r="F4532" t="s">
        <v>8537</v>
      </c>
      <c r="G4532" t="s">
        <v>8538</v>
      </c>
      <c r="H4532" t="s">
        <v>3527</v>
      </c>
      <c r="J4532">
        <v>40801</v>
      </c>
      <c r="L4532" t="s">
        <v>5874</v>
      </c>
    </row>
    <row r="4533" spans="1:12" x14ac:dyDescent="0.35">
      <c r="A4533" t="s">
        <v>3115</v>
      </c>
      <c r="B4533" s="1">
        <v>45721</v>
      </c>
      <c r="C4533" t="s">
        <v>8803</v>
      </c>
      <c r="D4533" t="s">
        <v>3528</v>
      </c>
      <c r="E4533" t="s">
        <v>8800</v>
      </c>
      <c r="F4533" t="s">
        <v>6915</v>
      </c>
      <c r="H4533" t="s">
        <v>3529</v>
      </c>
      <c r="K4533">
        <v>64800</v>
      </c>
      <c r="L4533" t="s">
        <v>6803</v>
      </c>
    </row>
    <row r="4534" spans="1:12" x14ac:dyDescent="0.35">
      <c r="A4534" t="s">
        <v>3115</v>
      </c>
      <c r="B4534" s="1">
        <v>45721</v>
      </c>
      <c r="C4534" t="s">
        <v>8803</v>
      </c>
      <c r="D4534" t="s">
        <v>3528</v>
      </c>
      <c r="E4534" t="s">
        <v>8800</v>
      </c>
      <c r="F4534" t="s">
        <v>8569</v>
      </c>
      <c r="G4534" t="s">
        <v>8570</v>
      </c>
      <c r="H4534" t="s">
        <v>3529</v>
      </c>
      <c r="J4534">
        <v>64800</v>
      </c>
      <c r="L4534" t="s">
        <v>5875</v>
      </c>
    </row>
    <row r="4535" spans="1:12" x14ac:dyDescent="0.35">
      <c r="A4535" t="s">
        <v>3115</v>
      </c>
      <c r="B4535" s="1">
        <v>45721</v>
      </c>
      <c r="C4535" t="s">
        <v>8804</v>
      </c>
      <c r="D4535" t="s">
        <v>3530</v>
      </c>
      <c r="E4535" t="s">
        <v>8805</v>
      </c>
      <c r="F4535" t="s">
        <v>6811</v>
      </c>
      <c r="H4535" t="s">
        <v>3531</v>
      </c>
      <c r="K4535">
        <v>350</v>
      </c>
      <c r="L4535" t="s">
        <v>6803</v>
      </c>
    </row>
    <row r="4536" spans="1:12" x14ac:dyDescent="0.35">
      <c r="A4536" t="s">
        <v>3115</v>
      </c>
      <c r="B4536" s="1">
        <v>45721</v>
      </c>
      <c r="C4536" t="s">
        <v>8804</v>
      </c>
      <c r="D4536" t="s">
        <v>3530</v>
      </c>
      <c r="E4536" t="s">
        <v>8805</v>
      </c>
      <c r="F4536" t="s">
        <v>6802</v>
      </c>
      <c r="H4536" t="s">
        <v>3531</v>
      </c>
      <c r="K4536">
        <v>2768</v>
      </c>
      <c r="L4536" t="s">
        <v>6803</v>
      </c>
    </row>
    <row r="4537" spans="1:12" x14ac:dyDescent="0.35">
      <c r="A4537" t="s">
        <v>3115</v>
      </c>
      <c r="B4537" s="1">
        <v>45721</v>
      </c>
      <c r="C4537" t="s">
        <v>8804</v>
      </c>
      <c r="D4537" t="s">
        <v>3530</v>
      </c>
      <c r="E4537" t="s">
        <v>8805</v>
      </c>
      <c r="F4537" t="s">
        <v>8557</v>
      </c>
      <c r="G4537" t="s">
        <v>8558</v>
      </c>
      <c r="H4537" t="s">
        <v>3531</v>
      </c>
      <c r="J4537">
        <v>3118</v>
      </c>
      <c r="L4537" t="s">
        <v>5966</v>
      </c>
    </row>
    <row r="4538" spans="1:12" x14ac:dyDescent="0.35">
      <c r="A4538" t="s">
        <v>3115</v>
      </c>
      <c r="B4538" s="1">
        <v>45721</v>
      </c>
      <c r="C4538" t="s">
        <v>8806</v>
      </c>
      <c r="D4538" t="s">
        <v>3532</v>
      </c>
      <c r="E4538" t="s">
        <v>8807</v>
      </c>
      <c r="F4538" t="s">
        <v>6802</v>
      </c>
      <c r="H4538" t="s">
        <v>3533</v>
      </c>
      <c r="K4538">
        <v>580</v>
      </c>
      <c r="L4538" t="s">
        <v>6803</v>
      </c>
    </row>
    <row r="4539" spans="1:12" x14ac:dyDescent="0.35">
      <c r="A4539" t="s">
        <v>3115</v>
      </c>
      <c r="B4539" s="1">
        <v>45721</v>
      </c>
      <c r="C4539" t="s">
        <v>8806</v>
      </c>
      <c r="D4539" t="s">
        <v>3532</v>
      </c>
      <c r="E4539" t="s">
        <v>8807</v>
      </c>
      <c r="F4539" t="s">
        <v>8557</v>
      </c>
      <c r="G4539" t="s">
        <v>8558</v>
      </c>
      <c r="H4539" t="s">
        <v>3533</v>
      </c>
      <c r="J4539">
        <v>580</v>
      </c>
      <c r="L4539" t="s">
        <v>5966</v>
      </c>
    </row>
    <row r="4540" spans="1:12" x14ac:dyDescent="0.35">
      <c r="A4540" t="s">
        <v>3115</v>
      </c>
      <c r="B4540" s="1">
        <v>45721</v>
      </c>
      <c r="C4540" t="s">
        <v>8808</v>
      </c>
      <c r="D4540" t="s">
        <v>3534</v>
      </c>
      <c r="E4540" t="s">
        <v>8809</v>
      </c>
      <c r="F4540" t="s">
        <v>6915</v>
      </c>
      <c r="H4540" t="s">
        <v>3535</v>
      </c>
      <c r="K4540">
        <v>10963</v>
      </c>
      <c r="L4540" t="s">
        <v>6803</v>
      </c>
    </row>
    <row r="4541" spans="1:12" x14ac:dyDescent="0.35">
      <c r="A4541" t="s">
        <v>3115</v>
      </c>
      <c r="B4541" s="1">
        <v>45721</v>
      </c>
      <c r="C4541" t="s">
        <v>8808</v>
      </c>
      <c r="D4541" t="s">
        <v>3534</v>
      </c>
      <c r="E4541" t="s">
        <v>8809</v>
      </c>
      <c r="F4541" t="s">
        <v>8569</v>
      </c>
      <c r="G4541" t="s">
        <v>8570</v>
      </c>
      <c r="H4541" t="s">
        <v>3535</v>
      </c>
      <c r="J4541">
        <v>10963</v>
      </c>
      <c r="L4541" t="s">
        <v>5958</v>
      </c>
    </row>
    <row r="4542" spans="1:12" x14ac:dyDescent="0.35">
      <c r="A4542" t="s">
        <v>3115</v>
      </c>
      <c r="B4542" s="1">
        <v>45721</v>
      </c>
      <c r="C4542" t="s">
        <v>8810</v>
      </c>
      <c r="D4542" t="s">
        <v>3536</v>
      </c>
      <c r="E4542" t="s">
        <v>8811</v>
      </c>
      <c r="F4542" t="s">
        <v>6802</v>
      </c>
      <c r="H4542" t="s">
        <v>3537</v>
      </c>
      <c r="K4542">
        <v>125</v>
      </c>
      <c r="L4542" t="s">
        <v>6803</v>
      </c>
    </row>
    <row r="4543" spans="1:12" x14ac:dyDescent="0.35">
      <c r="A4543" t="s">
        <v>3115</v>
      </c>
      <c r="B4543" s="1">
        <v>45721</v>
      </c>
      <c r="C4543" t="s">
        <v>8810</v>
      </c>
      <c r="D4543" t="s">
        <v>3536</v>
      </c>
      <c r="E4543" t="s">
        <v>8811</v>
      </c>
      <c r="F4543" t="s">
        <v>8557</v>
      </c>
      <c r="G4543" t="s">
        <v>8558</v>
      </c>
      <c r="H4543" t="s">
        <v>3537</v>
      </c>
      <c r="J4543">
        <v>125</v>
      </c>
      <c r="L4543" t="s">
        <v>5966</v>
      </c>
    </row>
    <row r="4544" spans="1:12" x14ac:dyDescent="0.35">
      <c r="A4544" t="s">
        <v>3115</v>
      </c>
      <c r="B4544" s="1">
        <v>45721</v>
      </c>
      <c r="C4544" t="s">
        <v>8812</v>
      </c>
      <c r="D4544" t="s">
        <v>3538</v>
      </c>
      <c r="E4544" t="s">
        <v>8813</v>
      </c>
      <c r="F4544" t="s">
        <v>6802</v>
      </c>
      <c r="H4544" t="s">
        <v>3539</v>
      </c>
      <c r="K4544">
        <v>7500</v>
      </c>
      <c r="L4544" t="s">
        <v>6803</v>
      </c>
    </row>
    <row r="4545" spans="1:12" x14ac:dyDescent="0.35">
      <c r="A4545" t="s">
        <v>3115</v>
      </c>
      <c r="B4545" s="1">
        <v>45721</v>
      </c>
      <c r="C4545" t="s">
        <v>8812</v>
      </c>
      <c r="D4545" t="s">
        <v>3538</v>
      </c>
      <c r="E4545" t="s">
        <v>8813</v>
      </c>
      <c r="F4545" t="s">
        <v>8557</v>
      </c>
      <c r="G4545" t="s">
        <v>8558</v>
      </c>
      <c r="H4545" t="s">
        <v>3539</v>
      </c>
      <c r="J4545">
        <v>7500</v>
      </c>
      <c r="L4545" t="s">
        <v>5966</v>
      </c>
    </row>
    <row r="4546" spans="1:12" x14ac:dyDescent="0.35">
      <c r="A4546" t="s">
        <v>3115</v>
      </c>
      <c r="B4546" s="1">
        <v>45721</v>
      </c>
      <c r="C4546" t="s">
        <v>8814</v>
      </c>
      <c r="D4546" t="s">
        <v>3540</v>
      </c>
      <c r="E4546" t="s">
        <v>8815</v>
      </c>
      <c r="F4546" t="s">
        <v>6811</v>
      </c>
      <c r="H4546" t="s">
        <v>3541</v>
      </c>
      <c r="K4546">
        <v>5000</v>
      </c>
      <c r="L4546" t="s">
        <v>6803</v>
      </c>
    </row>
    <row r="4547" spans="1:12" x14ac:dyDescent="0.35">
      <c r="A4547" t="s">
        <v>3115</v>
      </c>
      <c r="B4547" s="1">
        <v>45721</v>
      </c>
      <c r="C4547" t="s">
        <v>8814</v>
      </c>
      <c r="D4547" t="s">
        <v>3540</v>
      </c>
      <c r="E4547" t="s">
        <v>8815</v>
      </c>
      <c r="F4547" t="s">
        <v>8557</v>
      </c>
      <c r="G4547" t="s">
        <v>8558</v>
      </c>
      <c r="H4547" t="s">
        <v>3541</v>
      </c>
      <c r="J4547">
        <v>5000</v>
      </c>
      <c r="L4547" t="s">
        <v>5949</v>
      </c>
    </row>
    <row r="4548" spans="1:12" x14ac:dyDescent="0.35">
      <c r="A4548" t="s">
        <v>3115</v>
      </c>
      <c r="B4548" s="1">
        <v>45721</v>
      </c>
      <c r="C4548" t="s">
        <v>8816</v>
      </c>
      <c r="D4548" t="s">
        <v>3542</v>
      </c>
      <c r="E4548" t="s">
        <v>8817</v>
      </c>
      <c r="F4548" t="s">
        <v>6802</v>
      </c>
      <c r="H4548" t="s">
        <v>3543</v>
      </c>
      <c r="K4548">
        <v>24336</v>
      </c>
      <c r="L4548" t="s">
        <v>6803</v>
      </c>
    </row>
    <row r="4549" spans="1:12" x14ac:dyDescent="0.35">
      <c r="A4549" t="s">
        <v>3115</v>
      </c>
      <c r="B4549" s="1">
        <v>45721</v>
      </c>
      <c r="C4549" t="s">
        <v>8816</v>
      </c>
      <c r="D4549" t="s">
        <v>3542</v>
      </c>
      <c r="E4549" t="s">
        <v>8817</v>
      </c>
      <c r="F4549" t="s">
        <v>8537</v>
      </c>
      <c r="G4549" t="s">
        <v>8538</v>
      </c>
      <c r="H4549" t="s">
        <v>3543</v>
      </c>
      <c r="J4549">
        <v>24336</v>
      </c>
      <c r="L4549" t="s">
        <v>5966</v>
      </c>
    </row>
    <row r="4550" spans="1:12" x14ac:dyDescent="0.35">
      <c r="A4550" t="s">
        <v>3115</v>
      </c>
      <c r="B4550" s="1">
        <v>45721</v>
      </c>
      <c r="C4550" t="s">
        <v>8818</v>
      </c>
      <c r="D4550" t="s">
        <v>3544</v>
      </c>
      <c r="E4550" t="s">
        <v>8819</v>
      </c>
      <c r="F4550" t="s">
        <v>6802</v>
      </c>
      <c r="H4550" t="s">
        <v>3545</v>
      </c>
      <c r="K4550">
        <v>7500</v>
      </c>
      <c r="L4550" t="s">
        <v>6803</v>
      </c>
    </row>
    <row r="4551" spans="1:12" x14ac:dyDescent="0.35">
      <c r="A4551" t="s">
        <v>3115</v>
      </c>
      <c r="B4551" s="1">
        <v>45721</v>
      </c>
      <c r="C4551" t="s">
        <v>8818</v>
      </c>
      <c r="D4551" t="s">
        <v>3544</v>
      </c>
      <c r="E4551" t="s">
        <v>8819</v>
      </c>
      <c r="F4551" t="s">
        <v>8557</v>
      </c>
      <c r="G4551" t="s">
        <v>8558</v>
      </c>
      <c r="H4551" t="s">
        <v>3545</v>
      </c>
      <c r="J4551">
        <v>7500</v>
      </c>
      <c r="L4551" t="s">
        <v>5880</v>
      </c>
    </row>
    <row r="4552" spans="1:12" x14ac:dyDescent="0.35">
      <c r="A4552" t="s">
        <v>3115</v>
      </c>
      <c r="B4552" s="1">
        <v>45721</v>
      </c>
      <c r="C4552" t="s">
        <v>8820</v>
      </c>
      <c r="D4552" t="s">
        <v>3546</v>
      </c>
      <c r="E4552" t="s">
        <v>8821</v>
      </c>
      <c r="F4552" t="s">
        <v>6802</v>
      </c>
      <c r="H4552" t="s">
        <v>3547</v>
      </c>
      <c r="K4552">
        <v>1968</v>
      </c>
      <c r="L4552" t="s">
        <v>6803</v>
      </c>
    </row>
    <row r="4553" spans="1:12" x14ac:dyDescent="0.35">
      <c r="A4553" t="s">
        <v>3115</v>
      </c>
      <c r="B4553" s="1">
        <v>45721</v>
      </c>
      <c r="C4553" t="s">
        <v>8820</v>
      </c>
      <c r="D4553" t="s">
        <v>3546</v>
      </c>
      <c r="E4553" t="s">
        <v>8821</v>
      </c>
      <c r="F4553" t="s">
        <v>8537</v>
      </c>
      <c r="G4553" t="s">
        <v>8538</v>
      </c>
      <c r="H4553" t="s">
        <v>3547</v>
      </c>
      <c r="J4553">
        <v>1968</v>
      </c>
      <c r="L4553" t="s">
        <v>5966</v>
      </c>
    </row>
    <row r="4554" spans="1:12" x14ac:dyDescent="0.35">
      <c r="A4554" t="s">
        <v>3115</v>
      </c>
      <c r="B4554" s="1">
        <v>45721</v>
      </c>
      <c r="C4554" t="s">
        <v>8822</v>
      </c>
      <c r="D4554" t="s">
        <v>3548</v>
      </c>
      <c r="E4554" t="s">
        <v>8823</v>
      </c>
      <c r="F4554" t="s">
        <v>6802</v>
      </c>
      <c r="H4554" t="s">
        <v>3549</v>
      </c>
      <c r="K4554">
        <v>394</v>
      </c>
      <c r="L4554" t="s">
        <v>6803</v>
      </c>
    </row>
    <row r="4555" spans="1:12" x14ac:dyDescent="0.35">
      <c r="A4555" t="s">
        <v>3115</v>
      </c>
      <c r="B4555" s="1">
        <v>45721</v>
      </c>
      <c r="C4555" t="s">
        <v>8822</v>
      </c>
      <c r="D4555" t="s">
        <v>3548</v>
      </c>
      <c r="E4555" t="s">
        <v>8823</v>
      </c>
      <c r="F4555" t="s">
        <v>8537</v>
      </c>
      <c r="G4555" t="s">
        <v>8538</v>
      </c>
      <c r="H4555" t="s">
        <v>3549</v>
      </c>
      <c r="J4555">
        <v>394</v>
      </c>
      <c r="L4555" t="s">
        <v>5966</v>
      </c>
    </row>
    <row r="4556" spans="1:12" x14ac:dyDescent="0.35">
      <c r="A4556" t="s">
        <v>3115</v>
      </c>
      <c r="B4556" s="1">
        <v>45721</v>
      </c>
      <c r="C4556" t="s">
        <v>8824</v>
      </c>
      <c r="D4556" t="s">
        <v>3550</v>
      </c>
      <c r="E4556" t="s">
        <v>8825</v>
      </c>
      <c r="F4556" t="s">
        <v>6802</v>
      </c>
      <c r="H4556" t="s">
        <v>3551</v>
      </c>
      <c r="K4556">
        <v>787</v>
      </c>
      <c r="L4556" t="s">
        <v>6803</v>
      </c>
    </row>
    <row r="4557" spans="1:12" x14ac:dyDescent="0.35">
      <c r="A4557" t="s">
        <v>3115</v>
      </c>
      <c r="B4557" s="1">
        <v>45721</v>
      </c>
      <c r="C4557" t="s">
        <v>8824</v>
      </c>
      <c r="D4557" t="s">
        <v>3550</v>
      </c>
      <c r="E4557" t="s">
        <v>8825</v>
      </c>
      <c r="F4557" t="s">
        <v>8537</v>
      </c>
      <c r="G4557" t="s">
        <v>8538</v>
      </c>
      <c r="H4557" t="s">
        <v>3551</v>
      </c>
      <c r="J4557">
        <v>787</v>
      </c>
      <c r="L4557" t="s">
        <v>5966</v>
      </c>
    </row>
    <row r="4558" spans="1:12" x14ac:dyDescent="0.35">
      <c r="A4558" t="s">
        <v>3115</v>
      </c>
      <c r="B4558" s="1">
        <v>45721</v>
      </c>
      <c r="C4558" t="s">
        <v>8826</v>
      </c>
      <c r="D4558" t="s">
        <v>3552</v>
      </c>
      <c r="E4558" t="s">
        <v>8827</v>
      </c>
      <c r="F4558" t="s">
        <v>6802</v>
      </c>
      <c r="H4558" t="s">
        <v>3553</v>
      </c>
      <c r="K4558">
        <v>19700</v>
      </c>
      <c r="L4558" t="s">
        <v>6803</v>
      </c>
    </row>
    <row r="4559" spans="1:12" x14ac:dyDescent="0.35">
      <c r="A4559" t="s">
        <v>3115</v>
      </c>
      <c r="B4559" s="1">
        <v>45721</v>
      </c>
      <c r="C4559" t="s">
        <v>8826</v>
      </c>
      <c r="D4559" t="s">
        <v>3552</v>
      </c>
      <c r="E4559" t="s">
        <v>8827</v>
      </c>
      <c r="F4559" t="s">
        <v>8557</v>
      </c>
      <c r="G4559" t="s">
        <v>8558</v>
      </c>
      <c r="H4559" t="s">
        <v>3553</v>
      </c>
      <c r="J4559">
        <v>19700</v>
      </c>
      <c r="L4559" t="s">
        <v>5880</v>
      </c>
    </row>
    <row r="4560" spans="1:12" x14ac:dyDescent="0.35">
      <c r="A4560" t="s">
        <v>3115</v>
      </c>
      <c r="B4560" s="1">
        <v>45721</v>
      </c>
      <c r="C4560" t="s">
        <v>8828</v>
      </c>
      <c r="D4560" t="s">
        <v>3554</v>
      </c>
      <c r="E4560" t="s">
        <v>8829</v>
      </c>
      <c r="F4560" t="s">
        <v>6802</v>
      </c>
      <c r="H4560" t="s">
        <v>3555</v>
      </c>
      <c r="K4560">
        <v>2755</v>
      </c>
      <c r="L4560" t="s">
        <v>6803</v>
      </c>
    </row>
    <row r="4561" spans="1:12" x14ac:dyDescent="0.35">
      <c r="A4561" t="s">
        <v>3115</v>
      </c>
      <c r="B4561" s="1">
        <v>45721</v>
      </c>
      <c r="C4561" t="s">
        <v>8828</v>
      </c>
      <c r="D4561" t="s">
        <v>3554</v>
      </c>
      <c r="E4561" t="s">
        <v>8829</v>
      </c>
      <c r="F4561" t="s">
        <v>8537</v>
      </c>
      <c r="G4561" t="s">
        <v>8538</v>
      </c>
      <c r="H4561" t="s">
        <v>3555</v>
      </c>
      <c r="J4561">
        <v>2755</v>
      </c>
      <c r="L4561" t="s">
        <v>5966</v>
      </c>
    </row>
    <row r="4562" spans="1:12" x14ac:dyDescent="0.35">
      <c r="A4562" t="s">
        <v>3115</v>
      </c>
      <c r="B4562" s="1">
        <v>45721</v>
      </c>
      <c r="C4562" t="s">
        <v>8830</v>
      </c>
      <c r="D4562" t="s">
        <v>3556</v>
      </c>
      <c r="E4562" t="s">
        <v>8831</v>
      </c>
      <c r="F4562" t="s">
        <v>6802</v>
      </c>
      <c r="H4562" t="s">
        <v>3557</v>
      </c>
      <c r="K4562">
        <v>1181</v>
      </c>
      <c r="L4562" t="s">
        <v>6803</v>
      </c>
    </row>
    <row r="4563" spans="1:12" x14ac:dyDescent="0.35">
      <c r="A4563" t="s">
        <v>3115</v>
      </c>
      <c r="B4563" s="1">
        <v>45721</v>
      </c>
      <c r="C4563" t="s">
        <v>8830</v>
      </c>
      <c r="D4563" t="s">
        <v>3556</v>
      </c>
      <c r="E4563" t="s">
        <v>8831</v>
      </c>
      <c r="F4563" t="s">
        <v>8537</v>
      </c>
      <c r="G4563" t="s">
        <v>8538</v>
      </c>
      <c r="H4563" t="s">
        <v>3557</v>
      </c>
      <c r="J4563">
        <v>1181</v>
      </c>
      <c r="L4563" t="s">
        <v>5966</v>
      </c>
    </row>
    <row r="4564" spans="1:12" x14ac:dyDescent="0.35">
      <c r="A4564" t="s">
        <v>3115</v>
      </c>
      <c r="B4564" s="1">
        <v>45721</v>
      </c>
      <c r="C4564" t="s">
        <v>8832</v>
      </c>
      <c r="D4564" t="s">
        <v>3558</v>
      </c>
      <c r="E4564" t="s">
        <v>8833</v>
      </c>
      <c r="F4564" t="s">
        <v>6802</v>
      </c>
      <c r="H4564" t="s">
        <v>3559</v>
      </c>
      <c r="K4564">
        <v>13972</v>
      </c>
      <c r="L4564" t="s">
        <v>6803</v>
      </c>
    </row>
    <row r="4565" spans="1:12" x14ac:dyDescent="0.35">
      <c r="A4565" t="s">
        <v>3115</v>
      </c>
      <c r="B4565" s="1">
        <v>45721</v>
      </c>
      <c r="C4565" t="s">
        <v>8832</v>
      </c>
      <c r="D4565" t="s">
        <v>3558</v>
      </c>
      <c r="E4565" t="s">
        <v>8833</v>
      </c>
      <c r="F4565" t="s">
        <v>8537</v>
      </c>
      <c r="G4565" t="s">
        <v>8538</v>
      </c>
      <c r="H4565" t="s">
        <v>3559</v>
      </c>
      <c r="J4565">
        <v>13972</v>
      </c>
      <c r="L4565" t="s">
        <v>5966</v>
      </c>
    </row>
    <row r="4566" spans="1:12" x14ac:dyDescent="0.35">
      <c r="A4566" t="s">
        <v>3115</v>
      </c>
      <c r="B4566" s="1">
        <v>45721</v>
      </c>
      <c r="C4566" t="s">
        <v>8834</v>
      </c>
      <c r="D4566" t="s">
        <v>3560</v>
      </c>
      <c r="E4566" t="s">
        <v>8835</v>
      </c>
      <c r="F4566" t="s">
        <v>6802</v>
      </c>
      <c r="H4566" t="s">
        <v>3561</v>
      </c>
      <c r="K4566">
        <v>1520</v>
      </c>
      <c r="L4566" t="s">
        <v>6803</v>
      </c>
    </row>
    <row r="4567" spans="1:12" x14ac:dyDescent="0.35">
      <c r="A4567" t="s">
        <v>3115</v>
      </c>
      <c r="B4567" s="1">
        <v>45721</v>
      </c>
      <c r="C4567" t="s">
        <v>8834</v>
      </c>
      <c r="D4567" t="s">
        <v>3560</v>
      </c>
      <c r="E4567" t="s">
        <v>8835</v>
      </c>
      <c r="F4567" t="s">
        <v>8557</v>
      </c>
      <c r="G4567" t="s">
        <v>8558</v>
      </c>
      <c r="H4567" t="s">
        <v>3561</v>
      </c>
      <c r="J4567">
        <v>1520</v>
      </c>
      <c r="L4567" t="s">
        <v>5966</v>
      </c>
    </row>
    <row r="4568" spans="1:12" x14ac:dyDescent="0.35">
      <c r="A4568" t="s">
        <v>3115</v>
      </c>
      <c r="B4568" s="1">
        <v>45721</v>
      </c>
      <c r="C4568" t="s">
        <v>8836</v>
      </c>
      <c r="D4568" t="s">
        <v>3562</v>
      </c>
      <c r="E4568" t="s">
        <v>8837</v>
      </c>
      <c r="F4568" t="s">
        <v>6802</v>
      </c>
      <c r="H4568" t="s">
        <v>3563</v>
      </c>
      <c r="K4568">
        <v>99968</v>
      </c>
      <c r="L4568" t="s">
        <v>6803</v>
      </c>
    </row>
    <row r="4569" spans="1:12" x14ac:dyDescent="0.35">
      <c r="A4569" t="s">
        <v>3115</v>
      </c>
      <c r="B4569" s="1">
        <v>45721</v>
      </c>
      <c r="C4569" t="s">
        <v>8836</v>
      </c>
      <c r="D4569" t="s">
        <v>3562</v>
      </c>
      <c r="E4569" t="s">
        <v>8837</v>
      </c>
      <c r="F4569" t="s">
        <v>8537</v>
      </c>
      <c r="G4569" t="s">
        <v>8538</v>
      </c>
      <c r="H4569" t="s">
        <v>3563</v>
      </c>
      <c r="J4569">
        <v>99968</v>
      </c>
      <c r="L4569" t="s">
        <v>5966</v>
      </c>
    </row>
    <row r="4570" spans="1:12" x14ac:dyDescent="0.35">
      <c r="A4570" t="s">
        <v>3115</v>
      </c>
      <c r="B4570" s="1">
        <v>45721</v>
      </c>
      <c r="C4570" t="s">
        <v>8838</v>
      </c>
      <c r="D4570" t="s">
        <v>3564</v>
      </c>
      <c r="E4570" t="s">
        <v>8839</v>
      </c>
      <c r="F4570" t="s">
        <v>6808</v>
      </c>
      <c r="H4570" t="s">
        <v>3565</v>
      </c>
      <c r="K4570">
        <v>11840</v>
      </c>
      <c r="L4570" t="s">
        <v>6803</v>
      </c>
    </row>
    <row r="4571" spans="1:12" x14ac:dyDescent="0.35">
      <c r="A4571" t="s">
        <v>3115</v>
      </c>
      <c r="B4571" s="1">
        <v>45721</v>
      </c>
      <c r="C4571" t="s">
        <v>8838</v>
      </c>
      <c r="D4571" t="s">
        <v>3564</v>
      </c>
      <c r="E4571" t="s">
        <v>8839</v>
      </c>
      <c r="F4571" t="s">
        <v>8467</v>
      </c>
      <c r="G4571" t="s">
        <v>8567</v>
      </c>
      <c r="H4571" t="s">
        <v>3565</v>
      </c>
      <c r="J4571">
        <v>11840</v>
      </c>
      <c r="L4571" t="s">
        <v>5966</v>
      </c>
    </row>
    <row r="4572" spans="1:12" x14ac:dyDescent="0.35">
      <c r="A4572" t="s">
        <v>3115</v>
      </c>
      <c r="B4572" s="1">
        <v>45721</v>
      </c>
      <c r="C4572" t="s">
        <v>8840</v>
      </c>
      <c r="D4572" t="s">
        <v>3566</v>
      </c>
      <c r="E4572" t="s">
        <v>8841</v>
      </c>
      <c r="F4572" t="s">
        <v>6808</v>
      </c>
      <c r="H4572" t="s">
        <v>3567</v>
      </c>
      <c r="K4572">
        <v>4947</v>
      </c>
      <c r="L4572" t="s">
        <v>6803</v>
      </c>
    </row>
    <row r="4573" spans="1:12" x14ac:dyDescent="0.35">
      <c r="A4573" t="s">
        <v>3115</v>
      </c>
      <c r="B4573" s="1">
        <v>45721</v>
      </c>
      <c r="C4573" t="s">
        <v>8840</v>
      </c>
      <c r="D4573" t="s">
        <v>3566</v>
      </c>
      <c r="E4573" t="s">
        <v>8841</v>
      </c>
      <c r="F4573" t="s">
        <v>8467</v>
      </c>
      <c r="G4573" t="s">
        <v>8567</v>
      </c>
      <c r="H4573" t="s">
        <v>3567</v>
      </c>
      <c r="J4573">
        <v>4947</v>
      </c>
      <c r="L4573" t="s">
        <v>5966</v>
      </c>
    </row>
    <row r="4574" spans="1:12" x14ac:dyDescent="0.35">
      <c r="A4574" t="s">
        <v>3115</v>
      </c>
      <c r="B4574" s="1">
        <v>45721</v>
      </c>
      <c r="C4574" t="s">
        <v>8842</v>
      </c>
      <c r="D4574" t="s">
        <v>3568</v>
      </c>
      <c r="E4574" t="s">
        <v>8843</v>
      </c>
      <c r="F4574" t="s">
        <v>6802</v>
      </c>
      <c r="H4574" t="s">
        <v>3569</v>
      </c>
      <c r="K4574">
        <v>11951</v>
      </c>
      <c r="L4574" t="s">
        <v>6803</v>
      </c>
    </row>
    <row r="4575" spans="1:12" x14ac:dyDescent="0.35">
      <c r="A4575" t="s">
        <v>3115</v>
      </c>
      <c r="B4575" s="1">
        <v>45721</v>
      </c>
      <c r="C4575" t="s">
        <v>8842</v>
      </c>
      <c r="D4575" t="s">
        <v>3568</v>
      </c>
      <c r="E4575" t="s">
        <v>8843</v>
      </c>
      <c r="F4575" t="s">
        <v>8557</v>
      </c>
      <c r="G4575" t="s">
        <v>8558</v>
      </c>
      <c r="H4575" t="s">
        <v>3569</v>
      </c>
      <c r="J4575">
        <v>11951</v>
      </c>
      <c r="L4575" t="s">
        <v>5880</v>
      </c>
    </row>
    <row r="4576" spans="1:12" x14ac:dyDescent="0.35">
      <c r="A4576" t="s">
        <v>3115</v>
      </c>
      <c r="B4576" s="1">
        <v>45721</v>
      </c>
      <c r="C4576" t="s">
        <v>8844</v>
      </c>
      <c r="D4576" t="s">
        <v>3570</v>
      </c>
      <c r="E4576" t="s">
        <v>8845</v>
      </c>
      <c r="F4576" t="s">
        <v>6802</v>
      </c>
      <c r="H4576" t="s">
        <v>3571</v>
      </c>
      <c r="K4576">
        <v>19941</v>
      </c>
      <c r="L4576" t="s">
        <v>6803</v>
      </c>
    </row>
    <row r="4577" spans="1:12" x14ac:dyDescent="0.35">
      <c r="A4577" t="s">
        <v>3115</v>
      </c>
      <c r="B4577" s="1">
        <v>45721</v>
      </c>
      <c r="C4577" t="s">
        <v>8844</v>
      </c>
      <c r="D4577" t="s">
        <v>3570</v>
      </c>
      <c r="E4577" t="s">
        <v>8845</v>
      </c>
      <c r="F4577" t="s">
        <v>8537</v>
      </c>
      <c r="G4577" t="s">
        <v>8538</v>
      </c>
      <c r="H4577" t="s">
        <v>3571</v>
      </c>
      <c r="J4577">
        <v>19941</v>
      </c>
      <c r="L4577" t="s">
        <v>5966</v>
      </c>
    </row>
    <row r="4578" spans="1:12" x14ac:dyDescent="0.35">
      <c r="A4578" t="s">
        <v>3115</v>
      </c>
      <c r="B4578" s="1">
        <v>45721</v>
      </c>
      <c r="C4578" t="s">
        <v>8846</v>
      </c>
      <c r="D4578" t="s">
        <v>3572</v>
      </c>
      <c r="E4578" t="s">
        <v>8847</v>
      </c>
      <c r="F4578" t="s">
        <v>6811</v>
      </c>
      <c r="H4578" t="s">
        <v>3573</v>
      </c>
      <c r="K4578">
        <v>9801</v>
      </c>
      <c r="L4578" t="s">
        <v>6803</v>
      </c>
    </row>
    <row r="4579" spans="1:12" x14ac:dyDescent="0.35">
      <c r="A4579" t="s">
        <v>3115</v>
      </c>
      <c r="B4579" s="1">
        <v>45721</v>
      </c>
      <c r="C4579" t="s">
        <v>8846</v>
      </c>
      <c r="D4579" t="s">
        <v>3572</v>
      </c>
      <c r="E4579" t="s">
        <v>8847</v>
      </c>
      <c r="F4579" t="s">
        <v>8557</v>
      </c>
      <c r="G4579" t="s">
        <v>8558</v>
      </c>
      <c r="H4579" t="s">
        <v>3573</v>
      </c>
      <c r="J4579">
        <v>9801</v>
      </c>
      <c r="L4579" t="s">
        <v>5966</v>
      </c>
    </row>
    <row r="4580" spans="1:12" x14ac:dyDescent="0.35">
      <c r="A4580" t="s">
        <v>3115</v>
      </c>
      <c r="B4580" s="1">
        <v>45721</v>
      </c>
      <c r="C4580" t="s">
        <v>8848</v>
      </c>
      <c r="D4580" t="s">
        <v>3574</v>
      </c>
      <c r="E4580" t="s">
        <v>8849</v>
      </c>
      <c r="F4580" t="s">
        <v>6802</v>
      </c>
      <c r="H4580" t="s">
        <v>3575</v>
      </c>
      <c r="K4580">
        <v>200002</v>
      </c>
      <c r="L4580" t="s">
        <v>6803</v>
      </c>
    </row>
    <row r="4581" spans="1:12" x14ac:dyDescent="0.35">
      <c r="A4581" t="s">
        <v>3115</v>
      </c>
      <c r="B4581" s="1">
        <v>45721</v>
      </c>
      <c r="C4581" t="s">
        <v>8848</v>
      </c>
      <c r="D4581" t="s">
        <v>3574</v>
      </c>
      <c r="E4581" t="s">
        <v>8849</v>
      </c>
      <c r="F4581" t="s">
        <v>8537</v>
      </c>
      <c r="G4581" t="s">
        <v>8538</v>
      </c>
      <c r="H4581" t="s">
        <v>3575</v>
      </c>
      <c r="J4581">
        <v>200002</v>
      </c>
      <c r="L4581" t="s">
        <v>5966</v>
      </c>
    </row>
    <row r="4582" spans="1:12" x14ac:dyDescent="0.35">
      <c r="A4582" t="s">
        <v>3115</v>
      </c>
      <c r="B4582" s="1">
        <v>45721</v>
      </c>
      <c r="C4582" t="s">
        <v>8850</v>
      </c>
      <c r="D4582" t="s">
        <v>3576</v>
      </c>
      <c r="E4582" t="s">
        <v>8851</v>
      </c>
      <c r="F4582" t="s">
        <v>6811</v>
      </c>
      <c r="H4582" t="s">
        <v>3577</v>
      </c>
      <c r="K4582">
        <v>980</v>
      </c>
      <c r="L4582" t="s">
        <v>6803</v>
      </c>
    </row>
    <row r="4583" spans="1:12" x14ac:dyDescent="0.35">
      <c r="A4583" t="s">
        <v>3115</v>
      </c>
      <c r="B4583" s="1">
        <v>45721</v>
      </c>
      <c r="C4583" t="s">
        <v>8850</v>
      </c>
      <c r="D4583" t="s">
        <v>3576</v>
      </c>
      <c r="E4583" t="s">
        <v>8851</v>
      </c>
      <c r="F4583" t="s">
        <v>6802</v>
      </c>
      <c r="H4583" t="s">
        <v>3577</v>
      </c>
      <c r="K4583">
        <v>22283</v>
      </c>
      <c r="L4583" t="s">
        <v>6803</v>
      </c>
    </row>
    <row r="4584" spans="1:12" x14ac:dyDescent="0.35">
      <c r="A4584" t="s">
        <v>3115</v>
      </c>
      <c r="B4584" s="1">
        <v>45721</v>
      </c>
      <c r="C4584" t="s">
        <v>8850</v>
      </c>
      <c r="D4584" t="s">
        <v>3576</v>
      </c>
      <c r="E4584" t="s">
        <v>8851</v>
      </c>
      <c r="F4584" t="s">
        <v>8557</v>
      </c>
      <c r="G4584" t="s">
        <v>8558</v>
      </c>
      <c r="H4584" t="s">
        <v>3577</v>
      </c>
      <c r="J4584">
        <v>23263</v>
      </c>
      <c r="L4584" t="s">
        <v>5874</v>
      </c>
    </row>
    <row r="4585" spans="1:12" x14ac:dyDescent="0.35">
      <c r="A4585" t="s">
        <v>3115</v>
      </c>
      <c r="B4585" s="1">
        <v>45721</v>
      </c>
      <c r="C4585" t="s">
        <v>8852</v>
      </c>
      <c r="D4585" t="s">
        <v>3578</v>
      </c>
      <c r="E4585" t="s">
        <v>8853</v>
      </c>
      <c r="F4585" t="s">
        <v>6811</v>
      </c>
      <c r="H4585" t="s">
        <v>3579</v>
      </c>
      <c r="K4585">
        <v>490</v>
      </c>
      <c r="L4585" t="s">
        <v>6803</v>
      </c>
    </row>
    <row r="4586" spans="1:12" x14ac:dyDescent="0.35">
      <c r="A4586" t="s">
        <v>3115</v>
      </c>
      <c r="B4586" s="1">
        <v>45721</v>
      </c>
      <c r="C4586" t="s">
        <v>8852</v>
      </c>
      <c r="D4586" t="s">
        <v>3578</v>
      </c>
      <c r="E4586" t="s">
        <v>8853</v>
      </c>
      <c r="F4586" t="s">
        <v>6802</v>
      </c>
      <c r="H4586" t="s">
        <v>3579</v>
      </c>
      <c r="K4586">
        <v>9409</v>
      </c>
      <c r="L4586" t="s">
        <v>6803</v>
      </c>
    </row>
    <row r="4587" spans="1:12" x14ac:dyDescent="0.35">
      <c r="A4587" t="s">
        <v>3115</v>
      </c>
      <c r="B4587" s="1">
        <v>45721</v>
      </c>
      <c r="C4587" t="s">
        <v>8852</v>
      </c>
      <c r="D4587" t="s">
        <v>3578</v>
      </c>
      <c r="E4587" t="s">
        <v>8853</v>
      </c>
      <c r="F4587" t="s">
        <v>8557</v>
      </c>
      <c r="G4587" t="s">
        <v>8558</v>
      </c>
      <c r="H4587" t="s">
        <v>3579</v>
      </c>
      <c r="J4587">
        <v>9899</v>
      </c>
      <c r="L4587" t="s">
        <v>5876</v>
      </c>
    </row>
    <row r="4588" spans="1:12" x14ac:dyDescent="0.35">
      <c r="A4588" t="s">
        <v>3115</v>
      </c>
      <c r="B4588" s="1">
        <v>45721</v>
      </c>
      <c r="C4588" t="s">
        <v>8854</v>
      </c>
      <c r="D4588" t="s">
        <v>3580</v>
      </c>
      <c r="E4588" t="s">
        <v>8855</v>
      </c>
      <c r="F4588" t="s">
        <v>6802</v>
      </c>
      <c r="H4588" t="s">
        <v>3581</v>
      </c>
      <c r="K4588">
        <v>6000</v>
      </c>
      <c r="L4588" t="s">
        <v>6803</v>
      </c>
    </row>
    <row r="4589" spans="1:12" x14ac:dyDescent="0.35">
      <c r="A4589" t="s">
        <v>3115</v>
      </c>
      <c r="B4589" s="1">
        <v>45721</v>
      </c>
      <c r="C4589" t="s">
        <v>8854</v>
      </c>
      <c r="D4589" t="s">
        <v>3580</v>
      </c>
      <c r="E4589" t="s">
        <v>8855</v>
      </c>
      <c r="F4589" t="s">
        <v>8537</v>
      </c>
      <c r="G4589" t="s">
        <v>8538</v>
      </c>
      <c r="H4589" t="s">
        <v>3581</v>
      </c>
      <c r="J4589">
        <v>6000</v>
      </c>
      <c r="L4589" t="s">
        <v>5875</v>
      </c>
    </row>
    <row r="4590" spans="1:12" x14ac:dyDescent="0.35">
      <c r="A4590" t="s">
        <v>3115</v>
      </c>
      <c r="B4590" s="1">
        <v>45721</v>
      </c>
      <c r="C4590" t="s">
        <v>8856</v>
      </c>
      <c r="D4590" t="s">
        <v>3582</v>
      </c>
      <c r="E4590" t="s">
        <v>8857</v>
      </c>
      <c r="F4590" t="s">
        <v>6915</v>
      </c>
      <c r="H4590" t="s">
        <v>3583</v>
      </c>
      <c r="K4590">
        <v>32500</v>
      </c>
      <c r="L4590" t="s">
        <v>6803</v>
      </c>
    </row>
    <row r="4591" spans="1:12" x14ac:dyDescent="0.35">
      <c r="A4591" t="s">
        <v>3115</v>
      </c>
      <c r="B4591" s="1">
        <v>45721</v>
      </c>
      <c r="C4591" t="s">
        <v>8856</v>
      </c>
      <c r="D4591" t="s">
        <v>3582</v>
      </c>
      <c r="E4591" t="s">
        <v>8857</v>
      </c>
      <c r="F4591" t="s">
        <v>8569</v>
      </c>
      <c r="G4591" t="s">
        <v>8570</v>
      </c>
      <c r="H4591" t="s">
        <v>3583</v>
      </c>
      <c r="J4591">
        <v>32500</v>
      </c>
      <c r="L4591" t="s">
        <v>5876</v>
      </c>
    </row>
    <row r="4592" spans="1:12" x14ac:dyDescent="0.35">
      <c r="A4592" t="s">
        <v>3115</v>
      </c>
      <c r="B4592" s="1">
        <v>45721</v>
      </c>
      <c r="C4592" t="s">
        <v>8858</v>
      </c>
      <c r="D4592" t="s">
        <v>3584</v>
      </c>
      <c r="E4592" t="s">
        <v>8859</v>
      </c>
      <c r="F4592" t="s">
        <v>6811</v>
      </c>
      <c r="H4592" t="s">
        <v>3585</v>
      </c>
      <c r="K4592">
        <v>4082</v>
      </c>
      <c r="L4592" t="s">
        <v>6803</v>
      </c>
    </row>
    <row r="4593" spans="1:12" x14ac:dyDescent="0.35">
      <c r="A4593" t="s">
        <v>3115</v>
      </c>
      <c r="B4593" s="1">
        <v>45721</v>
      </c>
      <c r="C4593" t="s">
        <v>8858</v>
      </c>
      <c r="D4593" t="s">
        <v>3584</v>
      </c>
      <c r="E4593" t="s">
        <v>8859</v>
      </c>
      <c r="F4593" t="s">
        <v>8557</v>
      </c>
      <c r="G4593" t="s">
        <v>8558</v>
      </c>
      <c r="H4593" t="s">
        <v>3585</v>
      </c>
      <c r="J4593">
        <v>4082</v>
      </c>
      <c r="L4593" t="s">
        <v>5875</v>
      </c>
    </row>
    <row r="4594" spans="1:12" x14ac:dyDescent="0.35">
      <c r="A4594" t="s">
        <v>3115</v>
      </c>
      <c r="B4594" s="1">
        <v>45721</v>
      </c>
      <c r="C4594" t="s">
        <v>8860</v>
      </c>
      <c r="D4594" t="s">
        <v>3586</v>
      </c>
      <c r="E4594" t="s">
        <v>8861</v>
      </c>
      <c r="F4594" t="s">
        <v>6811</v>
      </c>
      <c r="H4594" t="s">
        <v>3587</v>
      </c>
      <c r="K4594">
        <v>4700</v>
      </c>
      <c r="L4594" t="s">
        <v>6803</v>
      </c>
    </row>
    <row r="4595" spans="1:12" x14ac:dyDescent="0.35">
      <c r="A4595" t="s">
        <v>3115</v>
      </c>
      <c r="B4595" s="1">
        <v>45721</v>
      </c>
      <c r="C4595" t="s">
        <v>8860</v>
      </c>
      <c r="D4595" t="s">
        <v>3586</v>
      </c>
      <c r="E4595" t="s">
        <v>8861</v>
      </c>
      <c r="F4595" t="s">
        <v>8557</v>
      </c>
      <c r="G4595" t="s">
        <v>8558</v>
      </c>
      <c r="H4595" t="s">
        <v>3587</v>
      </c>
      <c r="J4595">
        <v>4700</v>
      </c>
      <c r="L4595" t="s">
        <v>5949</v>
      </c>
    </row>
    <row r="4596" spans="1:12" x14ac:dyDescent="0.35">
      <c r="A4596" t="s">
        <v>3115</v>
      </c>
      <c r="B4596" s="1">
        <v>45721</v>
      </c>
      <c r="C4596" t="s">
        <v>8862</v>
      </c>
      <c r="D4596" t="s">
        <v>3588</v>
      </c>
      <c r="E4596" t="s">
        <v>8863</v>
      </c>
      <c r="F4596" t="s">
        <v>6915</v>
      </c>
      <c r="H4596" t="s">
        <v>3589</v>
      </c>
      <c r="K4596">
        <v>48750</v>
      </c>
      <c r="L4596" t="s">
        <v>6803</v>
      </c>
    </row>
    <row r="4597" spans="1:12" x14ac:dyDescent="0.35">
      <c r="A4597" t="s">
        <v>3115</v>
      </c>
      <c r="B4597" s="1">
        <v>45721</v>
      </c>
      <c r="C4597" t="s">
        <v>8862</v>
      </c>
      <c r="D4597" t="s">
        <v>3588</v>
      </c>
      <c r="E4597" t="s">
        <v>8863</v>
      </c>
      <c r="F4597" t="s">
        <v>8569</v>
      </c>
      <c r="G4597" t="s">
        <v>8570</v>
      </c>
      <c r="H4597" t="s">
        <v>3589</v>
      </c>
      <c r="J4597">
        <v>48750</v>
      </c>
      <c r="L4597" t="s">
        <v>5881</v>
      </c>
    </row>
    <row r="4598" spans="1:12" x14ac:dyDescent="0.35">
      <c r="A4598" t="s">
        <v>3115</v>
      </c>
      <c r="B4598" s="1">
        <v>45721</v>
      </c>
      <c r="C4598" t="s">
        <v>8864</v>
      </c>
      <c r="D4598" t="s">
        <v>3590</v>
      </c>
      <c r="E4598" t="s">
        <v>8865</v>
      </c>
      <c r="F4598" t="s">
        <v>6811</v>
      </c>
      <c r="H4598" t="s">
        <v>3591</v>
      </c>
      <c r="K4598">
        <v>9741</v>
      </c>
      <c r="L4598" t="s">
        <v>6803</v>
      </c>
    </row>
    <row r="4599" spans="1:12" x14ac:dyDescent="0.35">
      <c r="A4599" t="s">
        <v>3115</v>
      </c>
      <c r="B4599" s="1">
        <v>45721</v>
      </c>
      <c r="C4599" t="s">
        <v>8864</v>
      </c>
      <c r="D4599" t="s">
        <v>3590</v>
      </c>
      <c r="E4599" t="s">
        <v>8865</v>
      </c>
      <c r="F4599" t="s">
        <v>8557</v>
      </c>
      <c r="G4599" t="s">
        <v>8558</v>
      </c>
      <c r="H4599" t="s">
        <v>3591</v>
      </c>
      <c r="J4599">
        <v>9741</v>
      </c>
      <c r="L4599" t="s">
        <v>5966</v>
      </c>
    </row>
    <row r="4600" spans="1:12" x14ac:dyDescent="0.35">
      <c r="A4600" t="s">
        <v>3115</v>
      </c>
      <c r="B4600" s="1">
        <v>45721</v>
      </c>
      <c r="C4600" t="s">
        <v>8866</v>
      </c>
      <c r="D4600" t="s">
        <v>3592</v>
      </c>
      <c r="E4600" t="s">
        <v>8867</v>
      </c>
      <c r="F4600" t="s">
        <v>6802</v>
      </c>
      <c r="H4600" t="s">
        <v>3593</v>
      </c>
      <c r="K4600">
        <v>21122</v>
      </c>
      <c r="L4600" t="s">
        <v>6803</v>
      </c>
    </row>
    <row r="4601" spans="1:12" x14ac:dyDescent="0.35">
      <c r="A4601" t="s">
        <v>3115</v>
      </c>
      <c r="B4601" s="1">
        <v>45721</v>
      </c>
      <c r="C4601" t="s">
        <v>8866</v>
      </c>
      <c r="D4601" t="s">
        <v>3592</v>
      </c>
      <c r="E4601" t="s">
        <v>8867</v>
      </c>
      <c r="F4601" t="s">
        <v>8537</v>
      </c>
      <c r="G4601" t="s">
        <v>8538</v>
      </c>
      <c r="H4601" t="s">
        <v>3593</v>
      </c>
      <c r="J4601">
        <v>21122</v>
      </c>
      <c r="L4601" t="s">
        <v>5874</v>
      </c>
    </row>
    <row r="4602" spans="1:12" x14ac:dyDescent="0.35">
      <c r="A4602" t="s">
        <v>3115</v>
      </c>
      <c r="B4602" s="1">
        <v>45721</v>
      </c>
      <c r="C4602" t="s">
        <v>8868</v>
      </c>
      <c r="D4602" t="s">
        <v>3594</v>
      </c>
      <c r="E4602" t="s">
        <v>8869</v>
      </c>
      <c r="F4602" t="s">
        <v>6811</v>
      </c>
      <c r="H4602" t="s">
        <v>3595</v>
      </c>
      <c r="K4602">
        <v>4545</v>
      </c>
      <c r="L4602" t="s">
        <v>6803</v>
      </c>
    </row>
    <row r="4603" spans="1:12" x14ac:dyDescent="0.35">
      <c r="A4603" t="s">
        <v>3115</v>
      </c>
      <c r="B4603" s="1">
        <v>45721</v>
      </c>
      <c r="C4603" t="s">
        <v>8868</v>
      </c>
      <c r="D4603" t="s">
        <v>3594</v>
      </c>
      <c r="E4603" t="s">
        <v>8869</v>
      </c>
      <c r="F4603" t="s">
        <v>8557</v>
      </c>
      <c r="G4603" t="s">
        <v>8558</v>
      </c>
      <c r="H4603" t="s">
        <v>3595</v>
      </c>
      <c r="J4603">
        <v>4545</v>
      </c>
      <c r="L4603" t="s">
        <v>5966</v>
      </c>
    </row>
    <row r="4604" spans="1:12" x14ac:dyDescent="0.35">
      <c r="A4604" t="s">
        <v>3115</v>
      </c>
      <c r="B4604" s="1">
        <v>45721</v>
      </c>
      <c r="C4604" t="s">
        <v>8870</v>
      </c>
      <c r="D4604" t="s">
        <v>3596</v>
      </c>
      <c r="E4604" t="s">
        <v>8871</v>
      </c>
      <c r="F4604" t="s">
        <v>6811</v>
      </c>
      <c r="H4604" t="s">
        <v>3597</v>
      </c>
      <c r="K4604">
        <v>4400</v>
      </c>
      <c r="L4604" t="s">
        <v>6803</v>
      </c>
    </row>
    <row r="4605" spans="1:12" x14ac:dyDescent="0.35">
      <c r="A4605" t="s">
        <v>3115</v>
      </c>
      <c r="B4605" s="1">
        <v>45721</v>
      </c>
      <c r="C4605" t="s">
        <v>8870</v>
      </c>
      <c r="D4605" t="s">
        <v>3596</v>
      </c>
      <c r="E4605" t="s">
        <v>8871</v>
      </c>
      <c r="F4605" t="s">
        <v>8557</v>
      </c>
      <c r="G4605" t="s">
        <v>8558</v>
      </c>
      <c r="H4605" t="s">
        <v>3597</v>
      </c>
      <c r="J4605">
        <v>4400</v>
      </c>
      <c r="L4605" t="s">
        <v>5875</v>
      </c>
    </row>
    <row r="4606" spans="1:12" x14ac:dyDescent="0.35">
      <c r="A4606" t="s">
        <v>3115</v>
      </c>
      <c r="B4606" s="1">
        <v>45721</v>
      </c>
      <c r="C4606" t="s">
        <v>8872</v>
      </c>
      <c r="D4606" t="s">
        <v>3598</v>
      </c>
      <c r="E4606" t="s">
        <v>8873</v>
      </c>
      <c r="F4606" t="s">
        <v>6802</v>
      </c>
      <c r="H4606" t="s">
        <v>3599</v>
      </c>
      <c r="K4606">
        <v>15285</v>
      </c>
      <c r="L4606" t="s">
        <v>6803</v>
      </c>
    </row>
    <row r="4607" spans="1:12" x14ac:dyDescent="0.35">
      <c r="A4607" t="s">
        <v>3115</v>
      </c>
      <c r="B4607" s="1">
        <v>45721</v>
      </c>
      <c r="C4607" t="s">
        <v>8872</v>
      </c>
      <c r="D4607" t="s">
        <v>3598</v>
      </c>
      <c r="E4607" t="s">
        <v>8873</v>
      </c>
      <c r="F4607" t="s">
        <v>8537</v>
      </c>
      <c r="G4607" t="s">
        <v>8538</v>
      </c>
      <c r="H4607" t="s">
        <v>3599</v>
      </c>
      <c r="J4607">
        <v>15285</v>
      </c>
      <c r="L4607" t="s">
        <v>5876</v>
      </c>
    </row>
    <row r="4608" spans="1:12" x14ac:dyDescent="0.35">
      <c r="A4608" t="s">
        <v>3115</v>
      </c>
      <c r="B4608" s="1">
        <v>45722</v>
      </c>
      <c r="C4608" t="s">
        <v>8874</v>
      </c>
      <c r="D4608" t="s">
        <v>3600</v>
      </c>
      <c r="E4608" t="s">
        <v>8875</v>
      </c>
      <c r="F4608" t="s">
        <v>6802</v>
      </c>
      <c r="H4608" t="s">
        <v>3601</v>
      </c>
      <c r="K4608">
        <v>3178</v>
      </c>
      <c r="L4608" t="s">
        <v>6803</v>
      </c>
    </row>
    <row r="4609" spans="1:12" x14ac:dyDescent="0.35">
      <c r="A4609" t="s">
        <v>3115</v>
      </c>
      <c r="B4609" s="1">
        <v>45722</v>
      </c>
      <c r="C4609" t="s">
        <v>8874</v>
      </c>
      <c r="D4609" t="s">
        <v>3600</v>
      </c>
      <c r="E4609" t="s">
        <v>8875</v>
      </c>
      <c r="F4609" t="s">
        <v>8467</v>
      </c>
      <c r="G4609" t="s">
        <v>8567</v>
      </c>
      <c r="H4609" t="s">
        <v>3601</v>
      </c>
      <c r="J4609">
        <v>3178</v>
      </c>
      <c r="L4609" t="s">
        <v>5958</v>
      </c>
    </row>
    <row r="4610" spans="1:12" x14ac:dyDescent="0.35">
      <c r="A4610" t="s">
        <v>3115</v>
      </c>
      <c r="B4610" s="1">
        <v>45722</v>
      </c>
      <c r="C4610" t="s">
        <v>8876</v>
      </c>
      <c r="D4610" t="s">
        <v>3602</v>
      </c>
      <c r="E4610" t="s">
        <v>8877</v>
      </c>
      <c r="F4610" t="s">
        <v>6802</v>
      </c>
      <c r="H4610" t="s">
        <v>3603</v>
      </c>
      <c r="K4610">
        <v>74976</v>
      </c>
      <c r="L4610" t="s">
        <v>6803</v>
      </c>
    </row>
    <row r="4611" spans="1:12" x14ac:dyDescent="0.35">
      <c r="A4611" t="s">
        <v>3115</v>
      </c>
      <c r="B4611" s="1">
        <v>45722</v>
      </c>
      <c r="C4611" t="s">
        <v>8876</v>
      </c>
      <c r="D4611" t="s">
        <v>3602</v>
      </c>
      <c r="E4611" t="s">
        <v>8877</v>
      </c>
      <c r="F4611" t="s">
        <v>8537</v>
      </c>
      <c r="G4611" t="s">
        <v>8538</v>
      </c>
      <c r="H4611" t="s">
        <v>3603</v>
      </c>
      <c r="J4611">
        <v>74976</v>
      </c>
      <c r="L4611" t="s">
        <v>5958</v>
      </c>
    </row>
    <row r="4612" spans="1:12" x14ac:dyDescent="0.35">
      <c r="A4612" t="s">
        <v>3115</v>
      </c>
      <c r="B4612" s="1">
        <v>45722</v>
      </c>
      <c r="C4612" t="s">
        <v>8878</v>
      </c>
      <c r="D4612" t="s">
        <v>3604</v>
      </c>
      <c r="E4612" t="s">
        <v>8879</v>
      </c>
      <c r="F4612" t="s">
        <v>6808</v>
      </c>
      <c r="H4612" t="s">
        <v>3605</v>
      </c>
      <c r="K4612">
        <v>1650000</v>
      </c>
      <c r="L4612" t="s">
        <v>6803</v>
      </c>
    </row>
    <row r="4613" spans="1:12" x14ac:dyDescent="0.35">
      <c r="A4613" t="s">
        <v>3115</v>
      </c>
      <c r="B4613" s="1">
        <v>45722</v>
      </c>
      <c r="C4613" t="s">
        <v>8878</v>
      </c>
      <c r="D4613" t="s">
        <v>3604</v>
      </c>
      <c r="E4613" t="s">
        <v>8879</v>
      </c>
      <c r="F4613" t="s">
        <v>8467</v>
      </c>
      <c r="G4613" t="s">
        <v>8567</v>
      </c>
      <c r="H4613" t="s">
        <v>3605</v>
      </c>
      <c r="J4613">
        <v>1650000</v>
      </c>
      <c r="L4613" t="s">
        <v>5874</v>
      </c>
    </row>
    <row r="4614" spans="1:12" x14ac:dyDescent="0.35">
      <c r="A4614" t="s">
        <v>3115</v>
      </c>
      <c r="B4614" s="1">
        <v>45722</v>
      </c>
      <c r="C4614" t="s">
        <v>8880</v>
      </c>
      <c r="D4614" t="s">
        <v>3606</v>
      </c>
      <c r="E4614" t="s">
        <v>8881</v>
      </c>
      <c r="F4614" t="s">
        <v>6811</v>
      </c>
      <c r="H4614" t="s">
        <v>3607</v>
      </c>
      <c r="K4614">
        <v>14700</v>
      </c>
      <c r="L4614" t="s">
        <v>6803</v>
      </c>
    </row>
    <row r="4615" spans="1:12" x14ac:dyDescent="0.35">
      <c r="A4615" t="s">
        <v>3115</v>
      </c>
      <c r="B4615" s="1">
        <v>45722</v>
      </c>
      <c r="C4615" t="s">
        <v>8880</v>
      </c>
      <c r="D4615" t="s">
        <v>3606</v>
      </c>
      <c r="E4615" t="s">
        <v>8881</v>
      </c>
      <c r="F4615" t="s">
        <v>6802</v>
      </c>
      <c r="H4615" t="s">
        <v>3607</v>
      </c>
      <c r="K4615">
        <v>91762</v>
      </c>
      <c r="L4615" t="s">
        <v>6803</v>
      </c>
    </row>
    <row r="4616" spans="1:12" x14ac:dyDescent="0.35">
      <c r="A4616" t="s">
        <v>3115</v>
      </c>
      <c r="B4616" s="1">
        <v>45722</v>
      </c>
      <c r="C4616" t="s">
        <v>8880</v>
      </c>
      <c r="D4616" t="s">
        <v>3606</v>
      </c>
      <c r="E4616" t="s">
        <v>8881</v>
      </c>
      <c r="F4616" t="s">
        <v>8537</v>
      </c>
      <c r="G4616" t="s">
        <v>8538</v>
      </c>
      <c r="H4616" t="s">
        <v>3607</v>
      </c>
      <c r="J4616">
        <v>106462</v>
      </c>
      <c r="L4616" t="s">
        <v>5880</v>
      </c>
    </row>
    <row r="4617" spans="1:12" x14ac:dyDescent="0.35">
      <c r="A4617" t="s">
        <v>3115</v>
      </c>
      <c r="B4617" s="1">
        <v>45722</v>
      </c>
      <c r="C4617" t="s">
        <v>8882</v>
      </c>
      <c r="D4617" t="s">
        <v>3608</v>
      </c>
      <c r="E4617" t="s">
        <v>8883</v>
      </c>
      <c r="F4617" t="s">
        <v>6811</v>
      </c>
      <c r="H4617" t="s">
        <v>3609</v>
      </c>
      <c r="K4617">
        <v>4900</v>
      </c>
      <c r="L4617" t="s">
        <v>6803</v>
      </c>
    </row>
    <row r="4618" spans="1:12" x14ac:dyDescent="0.35">
      <c r="A4618" t="s">
        <v>3115</v>
      </c>
      <c r="B4618" s="1">
        <v>45722</v>
      </c>
      <c r="C4618" t="s">
        <v>8882</v>
      </c>
      <c r="D4618" t="s">
        <v>3608</v>
      </c>
      <c r="E4618" t="s">
        <v>8883</v>
      </c>
      <c r="F4618" t="s">
        <v>6802</v>
      </c>
      <c r="H4618" t="s">
        <v>3609</v>
      </c>
      <c r="K4618">
        <v>31304</v>
      </c>
      <c r="L4618" t="s">
        <v>6803</v>
      </c>
    </row>
    <row r="4619" spans="1:12" x14ac:dyDescent="0.35">
      <c r="A4619" t="s">
        <v>3115</v>
      </c>
      <c r="B4619" s="1">
        <v>45722</v>
      </c>
      <c r="C4619" t="s">
        <v>8882</v>
      </c>
      <c r="D4619" t="s">
        <v>3608</v>
      </c>
      <c r="E4619" t="s">
        <v>8883</v>
      </c>
      <c r="F4619" t="s">
        <v>8537</v>
      </c>
      <c r="G4619" t="s">
        <v>8538</v>
      </c>
      <c r="H4619" t="s">
        <v>3609</v>
      </c>
      <c r="J4619">
        <v>36204</v>
      </c>
      <c r="L4619" t="s">
        <v>5874</v>
      </c>
    </row>
    <row r="4620" spans="1:12" x14ac:dyDescent="0.35">
      <c r="A4620" t="s">
        <v>3115</v>
      </c>
      <c r="B4620" s="1">
        <v>45722</v>
      </c>
      <c r="C4620" t="s">
        <v>8884</v>
      </c>
      <c r="D4620" t="s">
        <v>3610</v>
      </c>
      <c r="E4620" t="s">
        <v>8885</v>
      </c>
      <c r="F4620" t="s">
        <v>6811</v>
      </c>
      <c r="H4620" t="s">
        <v>3611</v>
      </c>
      <c r="K4620">
        <v>294</v>
      </c>
      <c r="L4620" t="s">
        <v>6803</v>
      </c>
    </row>
    <row r="4621" spans="1:12" x14ac:dyDescent="0.35">
      <c r="A4621" t="s">
        <v>3115</v>
      </c>
      <c r="B4621" s="1">
        <v>45722</v>
      </c>
      <c r="C4621" t="s">
        <v>8884</v>
      </c>
      <c r="D4621" t="s">
        <v>3610</v>
      </c>
      <c r="E4621" t="s">
        <v>8885</v>
      </c>
      <c r="F4621" t="s">
        <v>6802</v>
      </c>
      <c r="H4621" t="s">
        <v>3611</v>
      </c>
      <c r="K4621">
        <v>2506</v>
      </c>
      <c r="L4621" t="s">
        <v>6803</v>
      </c>
    </row>
    <row r="4622" spans="1:12" x14ac:dyDescent="0.35">
      <c r="A4622" t="s">
        <v>3115</v>
      </c>
      <c r="B4622" s="1">
        <v>45722</v>
      </c>
      <c r="C4622" t="s">
        <v>8884</v>
      </c>
      <c r="D4622" t="s">
        <v>3610</v>
      </c>
      <c r="E4622" t="s">
        <v>8885</v>
      </c>
      <c r="F4622" t="s">
        <v>8557</v>
      </c>
      <c r="G4622" t="s">
        <v>8558</v>
      </c>
      <c r="H4622" t="s">
        <v>3611</v>
      </c>
      <c r="J4622">
        <v>2800</v>
      </c>
      <c r="L4622" t="s">
        <v>5874</v>
      </c>
    </row>
    <row r="4623" spans="1:12" x14ac:dyDescent="0.35">
      <c r="A4623" t="s">
        <v>3115</v>
      </c>
      <c r="B4623" s="1">
        <v>45722</v>
      </c>
      <c r="C4623" t="s">
        <v>8886</v>
      </c>
      <c r="D4623" t="s">
        <v>3612</v>
      </c>
      <c r="E4623" t="s">
        <v>8887</v>
      </c>
      <c r="F4623" t="s">
        <v>6811</v>
      </c>
      <c r="H4623" t="s">
        <v>3613</v>
      </c>
      <c r="K4623">
        <v>3155</v>
      </c>
      <c r="L4623" t="s">
        <v>6803</v>
      </c>
    </row>
    <row r="4624" spans="1:12" x14ac:dyDescent="0.35">
      <c r="A4624" t="s">
        <v>3115</v>
      </c>
      <c r="B4624" s="1">
        <v>45722</v>
      </c>
      <c r="C4624" t="s">
        <v>8886</v>
      </c>
      <c r="D4624" t="s">
        <v>3612</v>
      </c>
      <c r="E4624" t="s">
        <v>8887</v>
      </c>
      <c r="F4624" t="s">
        <v>8557</v>
      </c>
      <c r="G4624" t="s">
        <v>8558</v>
      </c>
      <c r="H4624" t="s">
        <v>3613</v>
      </c>
      <c r="J4624">
        <v>3155</v>
      </c>
      <c r="L4624" t="s">
        <v>5875</v>
      </c>
    </row>
    <row r="4625" spans="1:12" x14ac:dyDescent="0.35">
      <c r="A4625" t="s">
        <v>3115</v>
      </c>
      <c r="B4625" s="1">
        <v>45722</v>
      </c>
      <c r="C4625" t="s">
        <v>8888</v>
      </c>
      <c r="D4625" t="s">
        <v>3614</v>
      </c>
      <c r="E4625" t="s">
        <v>8889</v>
      </c>
      <c r="F4625" t="s">
        <v>6811</v>
      </c>
      <c r="H4625" t="s">
        <v>3615</v>
      </c>
      <c r="K4625">
        <v>392</v>
      </c>
      <c r="L4625" t="s">
        <v>6803</v>
      </c>
    </row>
    <row r="4626" spans="1:12" x14ac:dyDescent="0.35">
      <c r="A4626" t="s">
        <v>3115</v>
      </c>
      <c r="B4626" s="1">
        <v>45722</v>
      </c>
      <c r="C4626" t="s">
        <v>8888</v>
      </c>
      <c r="D4626" t="s">
        <v>3614</v>
      </c>
      <c r="E4626" t="s">
        <v>8889</v>
      </c>
      <c r="F4626" t="s">
        <v>8557</v>
      </c>
      <c r="G4626" t="s">
        <v>8558</v>
      </c>
      <c r="H4626" t="s">
        <v>3615</v>
      </c>
      <c r="J4626">
        <v>392</v>
      </c>
      <c r="L4626" t="s">
        <v>5881</v>
      </c>
    </row>
    <row r="4627" spans="1:12" x14ac:dyDescent="0.35">
      <c r="A4627" t="s">
        <v>3115</v>
      </c>
      <c r="B4627" s="1">
        <v>45722</v>
      </c>
      <c r="C4627" t="s">
        <v>8890</v>
      </c>
      <c r="D4627" t="s">
        <v>3616</v>
      </c>
      <c r="E4627" t="s">
        <v>8891</v>
      </c>
      <c r="F4627" t="s">
        <v>6811</v>
      </c>
      <c r="H4627" t="s">
        <v>3617</v>
      </c>
      <c r="K4627">
        <v>4400</v>
      </c>
      <c r="L4627" t="s">
        <v>6803</v>
      </c>
    </row>
    <row r="4628" spans="1:12" x14ac:dyDescent="0.35">
      <c r="A4628" t="s">
        <v>3115</v>
      </c>
      <c r="B4628" s="1">
        <v>45722</v>
      </c>
      <c r="C4628" t="s">
        <v>8890</v>
      </c>
      <c r="D4628" t="s">
        <v>3616</v>
      </c>
      <c r="E4628" t="s">
        <v>8891</v>
      </c>
      <c r="F4628" t="s">
        <v>8557</v>
      </c>
      <c r="G4628" t="s">
        <v>8558</v>
      </c>
      <c r="H4628" t="s">
        <v>3617</v>
      </c>
      <c r="J4628">
        <v>4400</v>
      </c>
      <c r="L4628" t="s">
        <v>5875</v>
      </c>
    </row>
    <row r="4629" spans="1:12" x14ac:dyDescent="0.35">
      <c r="A4629" t="s">
        <v>3115</v>
      </c>
      <c r="B4629" s="1">
        <v>45722</v>
      </c>
      <c r="C4629" t="s">
        <v>8892</v>
      </c>
      <c r="D4629" t="s">
        <v>3618</v>
      </c>
      <c r="E4629" t="s">
        <v>8893</v>
      </c>
      <c r="F4629" t="s">
        <v>6811</v>
      </c>
      <c r="H4629" t="s">
        <v>3619</v>
      </c>
      <c r="K4629">
        <v>39465</v>
      </c>
      <c r="L4629" t="s">
        <v>6803</v>
      </c>
    </row>
    <row r="4630" spans="1:12" x14ac:dyDescent="0.35">
      <c r="A4630" t="s">
        <v>3115</v>
      </c>
      <c r="B4630" s="1">
        <v>45722</v>
      </c>
      <c r="C4630" t="s">
        <v>8892</v>
      </c>
      <c r="D4630" t="s">
        <v>3618</v>
      </c>
      <c r="E4630" t="s">
        <v>8893</v>
      </c>
      <c r="F4630" t="s">
        <v>8467</v>
      </c>
      <c r="G4630" t="s">
        <v>8567</v>
      </c>
      <c r="H4630" t="s">
        <v>3619</v>
      </c>
      <c r="J4630">
        <v>39465</v>
      </c>
      <c r="L4630" t="s">
        <v>5949</v>
      </c>
    </row>
    <row r="4631" spans="1:12" x14ac:dyDescent="0.35">
      <c r="A4631" t="s">
        <v>3115</v>
      </c>
      <c r="B4631" s="1">
        <v>45722</v>
      </c>
      <c r="C4631" t="s">
        <v>8894</v>
      </c>
      <c r="D4631" t="s">
        <v>3620</v>
      </c>
      <c r="E4631" t="s">
        <v>8895</v>
      </c>
      <c r="F4631" t="s">
        <v>6802</v>
      </c>
      <c r="H4631" t="s">
        <v>3621</v>
      </c>
      <c r="K4631">
        <v>6356</v>
      </c>
      <c r="L4631" t="s">
        <v>6803</v>
      </c>
    </row>
    <row r="4632" spans="1:12" x14ac:dyDescent="0.35">
      <c r="A4632" t="s">
        <v>3115</v>
      </c>
      <c r="B4632" s="1">
        <v>45722</v>
      </c>
      <c r="C4632" t="s">
        <v>8894</v>
      </c>
      <c r="D4632" t="s">
        <v>3620</v>
      </c>
      <c r="E4632" t="s">
        <v>8895</v>
      </c>
      <c r="F4632" t="s">
        <v>8467</v>
      </c>
      <c r="G4632" t="s">
        <v>8567</v>
      </c>
      <c r="H4632" t="s">
        <v>3621</v>
      </c>
      <c r="J4632">
        <v>6356</v>
      </c>
      <c r="L4632" t="s">
        <v>5875</v>
      </c>
    </row>
    <row r="4633" spans="1:12" x14ac:dyDescent="0.35">
      <c r="A4633" t="s">
        <v>3115</v>
      </c>
      <c r="B4633" s="1">
        <v>45722</v>
      </c>
      <c r="C4633" t="s">
        <v>8896</v>
      </c>
      <c r="D4633" t="s">
        <v>3622</v>
      </c>
      <c r="E4633" t="s">
        <v>8897</v>
      </c>
      <c r="F4633" t="s">
        <v>6808</v>
      </c>
      <c r="H4633" t="s">
        <v>3623</v>
      </c>
      <c r="K4633">
        <v>3298</v>
      </c>
      <c r="L4633" t="s">
        <v>6803</v>
      </c>
    </row>
    <row r="4634" spans="1:12" x14ac:dyDescent="0.35">
      <c r="A4634" t="s">
        <v>3115</v>
      </c>
      <c r="B4634" s="1">
        <v>45722</v>
      </c>
      <c r="C4634" t="s">
        <v>8896</v>
      </c>
      <c r="D4634" t="s">
        <v>3622</v>
      </c>
      <c r="E4634" t="s">
        <v>8897</v>
      </c>
      <c r="F4634" t="s">
        <v>8467</v>
      </c>
      <c r="G4634" t="s">
        <v>8567</v>
      </c>
      <c r="H4634" t="s">
        <v>3623</v>
      </c>
      <c r="J4634">
        <v>3298</v>
      </c>
      <c r="L4634" t="s">
        <v>5875</v>
      </c>
    </row>
    <row r="4635" spans="1:12" x14ac:dyDescent="0.35">
      <c r="A4635" t="s">
        <v>3115</v>
      </c>
      <c r="B4635" s="1">
        <v>45722</v>
      </c>
      <c r="C4635" t="s">
        <v>8898</v>
      </c>
      <c r="D4635" t="s">
        <v>3624</v>
      </c>
      <c r="E4635" t="s">
        <v>8899</v>
      </c>
      <c r="F4635" t="s">
        <v>6802</v>
      </c>
      <c r="H4635" t="s">
        <v>3625</v>
      </c>
      <c r="K4635">
        <v>2952</v>
      </c>
      <c r="L4635" t="s">
        <v>6803</v>
      </c>
    </row>
    <row r="4636" spans="1:12" x14ac:dyDescent="0.35">
      <c r="A4636" t="s">
        <v>3115</v>
      </c>
      <c r="B4636" s="1">
        <v>45722</v>
      </c>
      <c r="C4636" t="s">
        <v>8898</v>
      </c>
      <c r="D4636" t="s">
        <v>3624</v>
      </c>
      <c r="E4636" t="s">
        <v>8899</v>
      </c>
      <c r="F4636" t="s">
        <v>8537</v>
      </c>
      <c r="G4636" t="s">
        <v>8538</v>
      </c>
      <c r="H4636" t="s">
        <v>3625</v>
      </c>
      <c r="J4636">
        <v>2952</v>
      </c>
      <c r="L4636" t="s">
        <v>5875</v>
      </c>
    </row>
    <row r="4637" spans="1:12" x14ac:dyDescent="0.35">
      <c r="A4637" t="s">
        <v>3115</v>
      </c>
      <c r="B4637" s="1">
        <v>45722</v>
      </c>
      <c r="C4637" t="s">
        <v>8900</v>
      </c>
      <c r="D4637" t="s">
        <v>3626</v>
      </c>
      <c r="E4637" t="s">
        <v>8901</v>
      </c>
      <c r="F4637" t="s">
        <v>6802</v>
      </c>
      <c r="H4637" t="s">
        <v>3627</v>
      </c>
      <c r="K4637">
        <v>26567</v>
      </c>
      <c r="L4637" t="s">
        <v>6803</v>
      </c>
    </row>
    <row r="4638" spans="1:12" x14ac:dyDescent="0.35">
      <c r="A4638" t="s">
        <v>3115</v>
      </c>
      <c r="B4638" s="1">
        <v>45722</v>
      </c>
      <c r="C4638" t="s">
        <v>8900</v>
      </c>
      <c r="D4638" t="s">
        <v>3626</v>
      </c>
      <c r="E4638" t="s">
        <v>8901</v>
      </c>
      <c r="F4638" t="s">
        <v>8537</v>
      </c>
      <c r="G4638" t="s">
        <v>8538</v>
      </c>
      <c r="H4638" t="s">
        <v>3627</v>
      </c>
      <c r="J4638">
        <v>26567</v>
      </c>
      <c r="L4638" t="s">
        <v>5876</v>
      </c>
    </row>
    <row r="4639" spans="1:12" x14ac:dyDescent="0.35">
      <c r="A4639" t="s">
        <v>3115</v>
      </c>
      <c r="B4639" s="1">
        <v>45722</v>
      </c>
      <c r="C4639" t="s">
        <v>8902</v>
      </c>
      <c r="D4639" t="s">
        <v>3628</v>
      </c>
      <c r="E4639" t="s">
        <v>8901</v>
      </c>
      <c r="F4639" t="s">
        <v>6802</v>
      </c>
      <c r="H4639" t="s">
        <v>3629</v>
      </c>
      <c r="K4639">
        <v>230</v>
      </c>
      <c r="L4639" t="s">
        <v>6803</v>
      </c>
    </row>
    <row r="4640" spans="1:12" x14ac:dyDescent="0.35">
      <c r="A4640" t="s">
        <v>3115</v>
      </c>
      <c r="B4640" s="1">
        <v>45722</v>
      </c>
      <c r="C4640" t="s">
        <v>8902</v>
      </c>
      <c r="D4640" t="s">
        <v>3628</v>
      </c>
      <c r="E4640" t="s">
        <v>8901</v>
      </c>
      <c r="F4640" t="s">
        <v>8557</v>
      </c>
      <c r="G4640" t="s">
        <v>8558</v>
      </c>
      <c r="H4640" t="s">
        <v>3629</v>
      </c>
      <c r="J4640">
        <v>230</v>
      </c>
      <c r="L4640" t="s">
        <v>5876</v>
      </c>
    </row>
    <row r="4641" spans="1:12" x14ac:dyDescent="0.35">
      <c r="A4641" t="s">
        <v>3115</v>
      </c>
      <c r="B4641" s="1">
        <v>45722</v>
      </c>
      <c r="C4641" t="s">
        <v>8903</v>
      </c>
      <c r="D4641" t="s">
        <v>3630</v>
      </c>
      <c r="E4641" t="s">
        <v>8904</v>
      </c>
      <c r="F4641" t="s">
        <v>6802</v>
      </c>
      <c r="H4641" t="s">
        <v>3631</v>
      </c>
      <c r="K4641">
        <v>122270</v>
      </c>
      <c r="L4641" t="s">
        <v>6803</v>
      </c>
    </row>
    <row r="4642" spans="1:12" x14ac:dyDescent="0.35">
      <c r="A4642" t="s">
        <v>3115</v>
      </c>
      <c r="B4642" s="1">
        <v>45722</v>
      </c>
      <c r="C4642" t="s">
        <v>8903</v>
      </c>
      <c r="D4642" t="s">
        <v>3630</v>
      </c>
      <c r="E4642" t="s">
        <v>8904</v>
      </c>
      <c r="F4642" t="s">
        <v>8537</v>
      </c>
      <c r="G4642" t="s">
        <v>8538</v>
      </c>
      <c r="H4642" t="s">
        <v>3631</v>
      </c>
      <c r="J4642">
        <v>122270</v>
      </c>
      <c r="L4642" t="s">
        <v>5966</v>
      </c>
    </row>
    <row r="4643" spans="1:12" x14ac:dyDescent="0.35">
      <c r="A4643" t="s">
        <v>3115</v>
      </c>
      <c r="B4643" s="1">
        <v>45722</v>
      </c>
      <c r="C4643" t="s">
        <v>8905</v>
      </c>
      <c r="D4643" t="s">
        <v>3632</v>
      </c>
      <c r="E4643" t="s">
        <v>8904</v>
      </c>
      <c r="F4643" t="s">
        <v>6915</v>
      </c>
      <c r="H4643" t="s">
        <v>3633</v>
      </c>
      <c r="K4643">
        <v>66825</v>
      </c>
      <c r="L4643" t="s">
        <v>6803</v>
      </c>
    </row>
    <row r="4644" spans="1:12" x14ac:dyDescent="0.35">
      <c r="A4644" t="s">
        <v>3115</v>
      </c>
      <c r="B4644" s="1">
        <v>45722</v>
      </c>
      <c r="C4644" t="s">
        <v>8905</v>
      </c>
      <c r="D4644" t="s">
        <v>3632</v>
      </c>
      <c r="E4644" t="s">
        <v>8904</v>
      </c>
      <c r="F4644" t="s">
        <v>8569</v>
      </c>
      <c r="G4644" t="s">
        <v>8570</v>
      </c>
      <c r="H4644" t="s">
        <v>3633</v>
      </c>
      <c r="J4644">
        <v>66825</v>
      </c>
      <c r="L4644" t="s">
        <v>5966</v>
      </c>
    </row>
    <row r="4645" spans="1:12" x14ac:dyDescent="0.35">
      <c r="A4645" t="s">
        <v>3115</v>
      </c>
      <c r="B4645" s="1">
        <v>45722</v>
      </c>
      <c r="C4645" t="s">
        <v>8906</v>
      </c>
      <c r="D4645" t="s">
        <v>3634</v>
      </c>
      <c r="E4645" t="s">
        <v>8907</v>
      </c>
      <c r="F4645" t="s">
        <v>6915</v>
      </c>
      <c r="H4645" t="s">
        <v>3635</v>
      </c>
      <c r="K4645">
        <v>2550</v>
      </c>
      <c r="L4645" t="s">
        <v>6803</v>
      </c>
    </row>
    <row r="4646" spans="1:12" x14ac:dyDescent="0.35">
      <c r="A4646" t="s">
        <v>3115</v>
      </c>
      <c r="B4646" s="1">
        <v>45722</v>
      </c>
      <c r="C4646" t="s">
        <v>8906</v>
      </c>
      <c r="D4646" t="s">
        <v>3634</v>
      </c>
      <c r="E4646" t="s">
        <v>8907</v>
      </c>
      <c r="F4646" t="s">
        <v>8569</v>
      </c>
      <c r="G4646" t="s">
        <v>8570</v>
      </c>
      <c r="H4646" t="s">
        <v>3635</v>
      </c>
      <c r="J4646">
        <v>2550</v>
      </c>
      <c r="L4646" t="s">
        <v>5966</v>
      </c>
    </row>
    <row r="4647" spans="1:12" x14ac:dyDescent="0.35">
      <c r="A4647" t="s">
        <v>3115</v>
      </c>
      <c r="B4647" s="1">
        <v>45722</v>
      </c>
      <c r="C4647" t="s">
        <v>8908</v>
      </c>
      <c r="D4647" t="s">
        <v>3636</v>
      </c>
      <c r="E4647" t="s">
        <v>8909</v>
      </c>
      <c r="F4647" t="s">
        <v>6802</v>
      </c>
      <c r="H4647" t="s">
        <v>3637</v>
      </c>
      <c r="K4647">
        <v>2500</v>
      </c>
      <c r="L4647" t="s">
        <v>6803</v>
      </c>
    </row>
    <row r="4648" spans="1:12" x14ac:dyDescent="0.35">
      <c r="A4648" t="s">
        <v>3115</v>
      </c>
      <c r="B4648" s="1">
        <v>45722</v>
      </c>
      <c r="C4648" t="s">
        <v>8908</v>
      </c>
      <c r="D4648" t="s">
        <v>3636</v>
      </c>
      <c r="E4648" t="s">
        <v>8909</v>
      </c>
      <c r="F4648" t="s">
        <v>8557</v>
      </c>
      <c r="G4648" t="s">
        <v>8558</v>
      </c>
      <c r="H4648" t="s">
        <v>3637</v>
      </c>
      <c r="J4648">
        <v>2500</v>
      </c>
      <c r="L4648" t="s">
        <v>5966</v>
      </c>
    </row>
    <row r="4649" spans="1:12" x14ac:dyDescent="0.35">
      <c r="A4649" t="s">
        <v>3115</v>
      </c>
      <c r="B4649" s="1">
        <v>45722</v>
      </c>
      <c r="C4649" t="s">
        <v>8910</v>
      </c>
      <c r="D4649" t="s">
        <v>3638</v>
      </c>
      <c r="E4649" t="s">
        <v>8911</v>
      </c>
      <c r="F4649" t="s">
        <v>6802</v>
      </c>
      <c r="H4649" t="s">
        <v>3639</v>
      </c>
      <c r="K4649">
        <v>2500</v>
      </c>
      <c r="L4649" t="s">
        <v>6803</v>
      </c>
    </row>
    <row r="4650" spans="1:12" x14ac:dyDescent="0.35">
      <c r="A4650" t="s">
        <v>3115</v>
      </c>
      <c r="B4650" s="1">
        <v>45722</v>
      </c>
      <c r="C4650" t="s">
        <v>8910</v>
      </c>
      <c r="D4650" t="s">
        <v>3638</v>
      </c>
      <c r="E4650" t="s">
        <v>8911</v>
      </c>
      <c r="F4650" t="s">
        <v>8557</v>
      </c>
      <c r="G4650" t="s">
        <v>8558</v>
      </c>
      <c r="H4650" t="s">
        <v>3639</v>
      </c>
      <c r="J4650">
        <v>2500</v>
      </c>
      <c r="L4650" t="s">
        <v>5966</v>
      </c>
    </row>
    <row r="4651" spans="1:12" x14ac:dyDescent="0.35">
      <c r="A4651" t="s">
        <v>3115</v>
      </c>
      <c r="B4651" s="1">
        <v>45722</v>
      </c>
      <c r="C4651" t="s">
        <v>8912</v>
      </c>
      <c r="D4651" t="s">
        <v>3640</v>
      </c>
      <c r="E4651" t="s">
        <v>8913</v>
      </c>
      <c r="F4651" t="s">
        <v>6811</v>
      </c>
      <c r="H4651" t="s">
        <v>3641</v>
      </c>
      <c r="K4651">
        <v>2106</v>
      </c>
      <c r="L4651" t="s">
        <v>6803</v>
      </c>
    </row>
    <row r="4652" spans="1:12" x14ac:dyDescent="0.35">
      <c r="A4652" t="s">
        <v>3115</v>
      </c>
      <c r="B4652" s="1">
        <v>45722</v>
      </c>
      <c r="C4652" t="s">
        <v>8912</v>
      </c>
      <c r="D4652" t="s">
        <v>3640</v>
      </c>
      <c r="E4652" t="s">
        <v>8913</v>
      </c>
      <c r="F4652" t="s">
        <v>8557</v>
      </c>
      <c r="G4652" t="s">
        <v>8558</v>
      </c>
      <c r="H4652" t="s">
        <v>3641</v>
      </c>
      <c r="J4652">
        <v>2106</v>
      </c>
      <c r="L4652" t="s">
        <v>5966</v>
      </c>
    </row>
    <row r="4653" spans="1:12" x14ac:dyDescent="0.35">
      <c r="A4653" t="s">
        <v>3115</v>
      </c>
      <c r="B4653" s="1">
        <v>45722</v>
      </c>
      <c r="C4653" t="s">
        <v>8914</v>
      </c>
      <c r="D4653" t="s">
        <v>3642</v>
      </c>
      <c r="E4653" t="s">
        <v>8915</v>
      </c>
      <c r="F4653" t="s">
        <v>6808</v>
      </c>
      <c r="H4653" t="s">
        <v>3643</v>
      </c>
      <c r="K4653">
        <v>1649</v>
      </c>
      <c r="L4653" t="s">
        <v>6803</v>
      </c>
    </row>
    <row r="4654" spans="1:12" x14ac:dyDescent="0.35">
      <c r="A4654" t="s">
        <v>3115</v>
      </c>
      <c r="B4654" s="1">
        <v>45722</v>
      </c>
      <c r="C4654" t="s">
        <v>8914</v>
      </c>
      <c r="D4654" t="s">
        <v>3642</v>
      </c>
      <c r="E4654" t="s">
        <v>8915</v>
      </c>
      <c r="F4654" t="s">
        <v>6811</v>
      </c>
      <c r="H4654" t="s">
        <v>3643</v>
      </c>
      <c r="K4654">
        <v>35000</v>
      </c>
      <c r="L4654" t="s">
        <v>6803</v>
      </c>
    </row>
    <row r="4655" spans="1:12" x14ac:dyDescent="0.35">
      <c r="A4655" t="s">
        <v>3115</v>
      </c>
      <c r="B4655" s="1">
        <v>45722</v>
      </c>
      <c r="C4655" t="s">
        <v>8914</v>
      </c>
      <c r="D4655" t="s">
        <v>3642</v>
      </c>
      <c r="E4655" t="s">
        <v>8915</v>
      </c>
      <c r="F4655" t="s">
        <v>6802</v>
      </c>
      <c r="H4655" t="s">
        <v>3643</v>
      </c>
      <c r="K4655">
        <v>6356</v>
      </c>
      <c r="L4655" t="s">
        <v>6803</v>
      </c>
    </row>
    <row r="4656" spans="1:12" x14ac:dyDescent="0.35">
      <c r="A4656" t="s">
        <v>3115</v>
      </c>
      <c r="B4656" s="1">
        <v>45722</v>
      </c>
      <c r="C4656" t="s">
        <v>8914</v>
      </c>
      <c r="D4656" t="s">
        <v>3642</v>
      </c>
      <c r="E4656" t="s">
        <v>8915</v>
      </c>
      <c r="F4656" t="s">
        <v>8467</v>
      </c>
      <c r="G4656" t="s">
        <v>8567</v>
      </c>
      <c r="H4656" t="s">
        <v>3643</v>
      </c>
      <c r="J4656">
        <v>43005</v>
      </c>
      <c r="L4656" t="s">
        <v>5966</v>
      </c>
    </row>
    <row r="4657" spans="1:12" x14ac:dyDescent="0.35">
      <c r="A4657" t="s">
        <v>3115</v>
      </c>
      <c r="B4657" s="1">
        <v>45722</v>
      </c>
      <c r="C4657" t="s">
        <v>8916</v>
      </c>
      <c r="D4657" t="s">
        <v>3644</v>
      </c>
      <c r="E4657" t="s">
        <v>8835</v>
      </c>
      <c r="F4657" t="s">
        <v>6802</v>
      </c>
      <c r="H4657" t="s">
        <v>3645</v>
      </c>
      <c r="K4657">
        <v>189310</v>
      </c>
      <c r="L4657" t="s">
        <v>6803</v>
      </c>
    </row>
    <row r="4658" spans="1:12" x14ac:dyDescent="0.35">
      <c r="A4658" t="s">
        <v>3115</v>
      </c>
      <c r="B4658" s="1">
        <v>45722</v>
      </c>
      <c r="C4658" t="s">
        <v>8916</v>
      </c>
      <c r="D4658" t="s">
        <v>3644</v>
      </c>
      <c r="E4658" t="s">
        <v>8835</v>
      </c>
      <c r="F4658" t="s">
        <v>8537</v>
      </c>
      <c r="G4658" t="s">
        <v>8538</v>
      </c>
      <c r="H4658" t="s">
        <v>3645</v>
      </c>
      <c r="J4658">
        <v>189310</v>
      </c>
      <c r="L4658" t="s">
        <v>5966</v>
      </c>
    </row>
    <row r="4659" spans="1:12" x14ac:dyDescent="0.35">
      <c r="A4659" t="s">
        <v>3115</v>
      </c>
      <c r="B4659" s="1">
        <v>45722</v>
      </c>
      <c r="C4659" t="s">
        <v>8917</v>
      </c>
      <c r="D4659" t="s">
        <v>3646</v>
      </c>
      <c r="E4659" t="s">
        <v>8835</v>
      </c>
      <c r="F4659" t="s">
        <v>6915</v>
      </c>
      <c r="H4659" t="s">
        <v>3647</v>
      </c>
      <c r="K4659">
        <v>66825</v>
      </c>
      <c r="L4659" t="s">
        <v>6803</v>
      </c>
    </row>
    <row r="4660" spans="1:12" x14ac:dyDescent="0.35">
      <c r="A4660" t="s">
        <v>3115</v>
      </c>
      <c r="B4660" s="1">
        <v>45722</v>
      </c>
      <c r="C4660" t="s">
        <v>8917</v>
      </c>
      <c r="D4660" t="s">
        <v>3646</v>
      </c>
      <c r="E4660" t="s">
        <v>8835</v>
      </c>
      <c r="F4660" t="s">
        <v>8569</v>
      </c>
      <c r="G4660" t="s">
        <v>8570</v>
      </c>
      <c r="H4660" t="s">
        <v>3647</v>
      </c>
      <c r="J4660">
        <v>66825</v>
      </c>
      <c r="L4660" t="s">
        <v>5966</v>
      </c>
    </row>
    <row r="4661" spans="1:12" x14ac:dyDescent="0.35">
      <c r="A4661" t="s">
        <v>3115</v>
      </c>
      <c r="B4661" s="1">
        <v>45722</v>
      </c>
      <c r="C4661" t="s">
        <v>8918</v>
      </c>
      <c r="D4661" t="s">
        <v>3648</v>
      </c>
      <c r="E4661" t="s">
        <v>8919</v>
      </c>
      <c r="F4661" t="s">
        <v>6802</v>
      </c>
      <c r="H4661" t="s">
        <v>3649</v>
      </c>
      <c r="K4661">
        <v>15941</v>
      </c>
      <c r="L4661" t="s">
        <v>6803</v>
      </c>
    </row>
    <row r="4662" spans="1:12" x14ac:dyDescent="0.35">
      <c r="A4662" t="s">
        <v>3115</v>
      </c>
      <c r="B4662" s="1">
        <v>45722</v>
      </c>
      <c r="C4662" t="s">
        <v>8918</v>
      </c>
      <c r="D4662" t="s">
        <v>3648</v>
      </c>
      <c r="E4662" t="s">
        <v>8919</v>
      </c>
      <c r="F4662" t="s">
        <v>8537</v>
      </c>
      <c r="G4662" t="s">
        <v>8538</v>
      </c>
      <c r="H4662" t="s">
        <v>3649</v>
      </c>
      <c r="J4662">
        <v>15941</v>
      </c>
      <c r="L4662" t="s">
        <v>5966</v>
      </c>
    </row>
    <row r="4663" spans="1:12" x14ac:dyDescent="0.35">
      <c r="A4663" t="s">
        <v>3115</v>
      </c>
      <c r="B4663" s="1">
        <v>45722</v>
      </c>
      <c r="C4663" t="s">
        <v>8920</v>
      </c>
      <c r="D4663" t="s">
        <v>3650</v>
      </c>
      <c r="E4663" t="s">
        <v>8921</v>
      </c>
      <c r="F4663" t="s">
        <v>6802</v>
      </c>
      <c r="H4663" t="s">
        <v>3651</v>
      </c>
      <c r="K4663">
        <v>2886</v>
      </c>
      <c r="L4663" t="s">
        <v>6803</v>
      </c>
    </row>
    <row r="4664" spans="1:12" x14ac:dyDescent="0.35">
      <c r="A4664" t="s">
        <v>3115</v>
      </c>
      <c r="B4664" s="1">
        <v>45722</v>
      </c>
      <c r="C4664" t="s">
        <v>8920</v>
      </c>
      <c r="D4664" t="s">
        <v>3650</v>
      </c>
      <c r="E4664" t="s">
        <v>8921</v>
      </c>
      <c r="F4664" t="s">
        <v>8537</v>
      </c>
      <c r="G4664" t="s">
        <v>8538</v>
      </c>
      <c r="H4664" t="s">
        <v>3651</v>
      </c>
      <c r="J4664">
        <v>2886</v>
      </c>
      <c r="L4664" t="s">
        <v>5966</v>
      </c>
    </row>
    <row r="4665" spans="1:12" x14ac:dyDescent="0.35">
      <c r="A4665" t="s">
        <v>3115</v>
      </c>
      <c r="B4665" s="1">
        <v>45722</v>
      </c>
      <c r="C4665" t="s">
        <v>8922</v>
      </c>
      <c r="D4665" t="s">
        <v>3652</v>
      </c>
      <c r="E4665" t="s">
        <v>8923</v>
      </c>
      <c r="F4665" t="s">
        <v>6811</v>
      </c>
      <c r="H4665" t="s">
        <v>3653</v>
      </c>
      <c r="K4665">
        <v>1136</v>
      </c>
      <c r="L4665" t="s">
        <v>6803</v>
      </c>
    </row>
    <row r="4666" spans="1:12" x14ac:dyDescent="0.35">
      <c r="A4666" t="s">
        <v>3115</v>
      </c>
      <c r="B4666" s="1">
        <v>45722</v>
      </c>
      <c r="C4666" t="s">
        <v>8922</v>
      </c>
      <c r="D4666" t="s">
        <v>3652</v>
      </c>
      <c r="E4666" t="s">
        <v>8923</v>
      </c>
      <c r="F4666" t="s">
        <v>8557</v>
      </c>
      <c r="G4666" t="s">
        <v>8558</v>
      </c>
      <c r="H4666" t="s">
        <v>3653</v>
      </c>
      <c r="J4666">
        <v>1136</v>
      </c>
      <c r="L4666" t="s">
        <v>5966</v>
      </c>
    </row>
    <row r="4667" spans="1:12" x14ac:dyDescent="0.35">
      <c r="A4667" t="s">
        <v>3115</v>
      </c>
      <c r="B4667" s="1">
        <v>45722</v>
      </c>
      <c r="C4667" t="s">
        <v>8924</v>
      </c>
      <c r="D4667" t="s">
        <v>3654</v>
      </c>
      <c r="E4667" t="s">
        <v>8925</v>
      </c>
      <c r="F4667" t="s">
        <v>6811</v>
      </c>
      <c r="H4667" t="s">
        <v>3655</v>
      </c>
      <c r="K4667">
        <v>3177</v>
      </c>
      <c r="L4667" t="s">
        <v>6803</v>
      </c>
    </row>
    <row r="4668" spans="1:12" x14ac:dyDescent="0.35">
      <c r="A4668" t="s">
        <v>3115</v>
      </c>
      <c r="B4668" s="1">
        <v>45722</v>
      </c>
      <c r="C4668" t="s">
        <v>8924</v>
      </c>
      <c r="D4668" t="s">
        <v>3654</v>
      </c>
      <c r="E4668" t="s">
        <v>8925</v>
      </c>
      <c r="F4668" t="s">
        <v>8557</v>
      </c>
      <c r="G4668" t="s">
        <v>8558</v>
      </c>
      <c r="H4668" t="s">
        <v>3655</v>
      </c>
      <c r="J4668">
        <v>3177</v>
      </c>
      <c r="L4668" t="s">
        <v>5966</v>
      </c>
    </row>
    <row r="4669" spans="1:12" x14ac:dyDescent="0.35">
      <c r="A4669" t="s">
        <v>3115</v>
      </c>
      <c r="B4669" s="1">
        <v>45722</v>
      </c>
      <c r="C4669" t="s">
        <v>8926</v>
      </c>
      <c r="D4669" t="s">
        <v>3656</v>
      </c>
      <c r="E4669" t="s">
        <v>8927</v>
      </c>
      <c r="F4669" t="s">
        <v>6802</v>
      </c>
      <c r="H4669" t="s">
        <v>3657</v>
      </c>
      <c r="K4669">
        <v>250000</v>
      </c>
      <c r="L4669" t="s">
        <v>6803</v>
      </c>
    </row>
    <row r="4670" spans="1:12" x14ac:dyDescent="0.35">
      <c r="A4670" t="s">
        <v>3115</v>
      </c>
      <c r="B4670" s="1">
        <v>45722</v>
      </c>
      <c r="C4670" t="s">
        <v>8926</v>
      </c>
      <c r="D4670" t="s">
        <v>3656</v>
      </c>
      <c r="E4670" t="s">
        <v>8927</v>
      </c>
      <c r="F4670" t="s">
        <v>8537</v>
      </c>
      <c r="G4670" t="s">
        <v>8538</v>
      </c>
      <c r="H4670" t="s">
        <v>3657</v>
      </c>
      <c r="J4670">
        <v>250000</v>
      </c>
      <c r="L4670" t="s">
        <v>5966</v>
      </c>
    </row>
    <row r="4671" spans="1:12" x14ac:dyDescent="0.35">
      <c r="A4671" t="s">
        <v>3115</v>
      </c>
      <c r="B4671" s="1">
        <v>45722</v>
      </c>
      <c r="C4671" t="s">
        <v>8928</v>
      </c>
      <c r="D4671" t="s">
        <v>3658</v>
      </c>
      <c r="E4671" t="s">
        <v>8929</v>
      </c>
      <c r="F4671" t="s">
        <v>6802</v>
      </c>
      <c r="H4671" t="s">
        <v>3659</v>
      </c>
      <c r="K4671">
        <v>250000</v>
      </c>
      <c r="L4671" t="s">
        <v>6803</v>
      </c>
    </row>
    <row r="4672" spans="1:12" x14ac:dyDescent="0.35">
      <c r="A4672" t="s">
        <v>3115</v>
      </c>
      <c r="B4672" s="1">
        <v>45722</v>
      </c>
      <c r="C4672" t="s">
        <v>8928</v>
      </c>
      <c r="D4672" t="s">
        <v>3658</v>
      </c>
      <c r="E4672" t="s">
        <v>8929</v>
      </c>
      <c r="F4672" t="s">
        <v>8537</v>
      </c>
      <c r="G4672" t="s">
        <v>8538</v>
      </c>
      <c r="H4672" t="s">
        <v>3659</v>
      </c>
      <c r="J4672">
        <v>250000</v>
      </c>
      <c r="L4672" t="s">
        <v>5966</v>
      </c>
    </row>
    <row r="4673" spans="1:12" x14ac:dyDescent="0.35">
      <c r="A4673" t="s">
        <v>3115</v>
      </c>
      <c r="B4673" s="1">
        <v>45722</v>
      </c>
      <c r="C4673" t="s">
        <v>8930</v>
      </c>
      <c r="D4673" t="s">
        <v>3660</v>
      </c>
      <c r="E4673" t="s">
        <v>8931</v>
      </c>
      <c r="F4673" t="s">
        <v>6811</v>
      </c>
      <c r="H4673" t="s">
        <v>3661</v>
      </c>
      <c r="K4673">
        <v>2273</v>
      </c>
      <c r="L4673" t="s">
        <v>6803</v>
      </c>
    </row>
    <row r="4674" spans="1:12" x14ac:dyDescent="0.35">
      <c r="A4674" t="s">
        <v>3115</v>
      </c>
      <c r="B4674" s="1">
        <v>45722</v>
      </c>
      <c r="C4674" t="s">
        <v>8930</v>
      </c>
      <c r="D4674" t="s">
        <v>3660</v>
      </c>
      <c r="E4674" t="s">
        <v>8931</v>
      </c>
      <c r="F4674" t="s">
        <v>8557</v>
      </c>
      <c r="G4674" t="s">
        <v>8558</v>
      </c>
      <c r="H4674" t="s">
        <v>3661</v>
      </c>
      <c r="J4674">
        <v>2273</v>
      </c>
      <c r="L4674" t="s">
        <v>5875</v>
      </c>
    </row>
    <row r="4675" spans="1:12" x14ac:dyDescent="0.35">
      <c r="A4675" t="s">
        <v>3115</v>
      </c>
      <c r="B4675" s="1">
        <v>45722</v>
      </c>
      <c r="C4675" t="s">
        <v>8932</v>
      </c>
      <c r="D4675" t="s">
        <v>3662</v>
      </c>
      <c r="E4675" t="s">
        <v>8933</v>
      </c>
      <c r="F4675" t="s">
        <v>6802</v>
      </c>
      <c r="H4675" t="s">
        <v>3663</v>
      </c>
      <c r="K4675">
        <v>200002</v>
      </c>
      <c r="L4675" t="s">
        <v>6803</v>
      </c>
    </row>
    <row r="4676" spans="1:12" x14ac:dyDescent="0.35">
      <c r="A4676" t="s">
        <v>3115</v>
      </c>
      <c r="B4676" s="1">
        <v>45722</v>
      </c>
      <c r="C4676" t="s">
        <v>8932</v>
      </c>
      <c r="D4676" t="s">
        <v>3662</v>
      </c>
      <c r="E4676" t="s">
        <v>8933</v>
      </c>
      <c r="F4676" t="s">
        <v>8537</v>
      </c>
      <c r="G4676" t="s">
        <v>8538</v>
      </c>
      <c r="H4676" t="s">
        <v>3663</v>
      </c>
      <c r="J4676">
        <v>200002</v>
      </c>
      <c r="L4676" t="s">
        <v>5966</v>
      </c>
    </row>
    <row r="4677" spans="1:12" x14ac:dyDescent="0.35">
      <c r="A4677" t="s">
        <v>3115</v>
      </c>
      <c r="B4677" s="1">
        <v>45722</v>
      </c>
      <c r="C4677" t="s">
        <v>8934</v>
      </c>
      <c r="D4677" t="s">
        <v>3664</v>
      </c>
      <c r="E4677" t="s">
        <v>8935</v>
      </c>
      <c r="F4677" t="s">
        <v>6811</v>
      </c>
      <c r="H4677" t="s">
        <v>3665</v>
      </c>
      <c r="K4677">
        <v>294</v>
      </c>
      <c r="L4677" t="s">
        <v>6803</v>
      </c>
    </row>
    <row r="4678" spans="1:12" x14ac:dyDescent="0.35">
      <c r="A4678" t="s">
        <v>3115</v>
      </c>
      <c r="B4678" s="1">
        <v>45722</v>
      </c>
      <c r="C4678" t="s">
        <v>8934</v>
      </c>
      <c r="D4678" t="s">
        <v>3664</v>
      </c>
      <c r="E4678" t="s">
        <v>8935</v>
      </c>
      <c r="F4678" t="s">
        <v>8557</v>
      </c>
      <c r="G4678" t="s">
        <v>8558</v>
      </c>
      <c r="H4678" t="s">
        <v>3665</v>
      </c>
      <c r="J4678">
        <v>294</v>
      </c>
      <c r="L4678" t="s">
        <v>5880</v>
      </c>
    </row>
    <row r="4679" spans="1:12" x14ac:dyDescent="0.35">
      <c r="A4679" t="s">
        <v>3115</v>
      </c>
      <c r="B4679" s="1">
        <v>45722</v>
      </c>
      <c r="C4679" t="s">
        <v>8936</v>
      </c>
      <c r="D4679" t="s">
        <v>3666</v>
      </c>
      <c r="E4679" t="s">
        <v>8937</v>
      </c>
      <c r="F4679" t="s">
        <v>6802</v>
      </c>
      <c r="H4679" t="s">
        <v>3667</v>
      </c>
      <c r="K4679">
        <v>11677</v>
      </c>
      <c r="L4679" t="s">
        <v>6803</v>
      </c>
    </row>
    <row r="4680" spans="1:12" x14ac:dyDescent="0.35">
      <c r="A4680" t="s">
        <v>3115</v>
      </c>
      <c r="B4680" s="1">
        <v>45722</v>
      </c>
      <c r="C4680" t="s">
        <v>8936</v>
      </c>
      <c r="D4680" t="s">
        <v>3666</v>
      </c>
      <c r="E4680" t="s">
        <v>8937</v>
      </c>
      <c r="F4680" t="s">
        <v>8537</v>
      </c>
      <c r="G4680" t="s">
        <v>8538</v>
      </c>
      <c r="H4680" t="s">
        <v>3667</v>
      </c>
      <c r="J4680">
        <v>11677</v>
      </c>
      <c r="L4680" t="s">
        <v>5873</v>
      </c>
    </row>
    <row r="4681" spans="1:12" x14ac:dyDescent="0.35">
      <c r="A4681" t="s">
        <v>3115</v>
      </c>
      <c r="B4681" s="1">
        <v>45722</v>
      </c>
      <c r="C4681" t="s">
        <v>8938</v>
      </c>
      <c r="D4681" t="s">
        <v>3668</v>
      </c>
      <c r="E4681" t="s">
        <v>8939</v>
      </c>
      <c r="F4681" t="s">
        <v>6802</v>
      </c>
      <c r="H4681" t="s">
        <v>3669</v>
      </c>
      <c r="K4681">
        <v>1837</v>
      </c>
      <c r="L4681" t="s">
        <v>6803</v>
      </c>
    </row>
    <row r="4682" spans="1:12" x14ac:dyDescent="0.35">
      <c r="A4682" t="s">
        <v>3115</v>
      </c>
      <c r="B4682" s="1">
        <v>45722</v>
      </c>
      <c r="C4682" t="s">
        <v>8938</v>
      </c>
      <c r="D4682" t="s">
        <v>3668</v>
      </c>
      <c r="E4682" t="s">
        <v>8939</v>
      </c>
      <c r="F4682" t="s">
        <v>8537</v>
      </c>
      <c r="G4682" t="s">
        <v>8538</v>
      </c>
      <c r="H4682" t="s">
        <v>3669</v>
      </c>
      <c r="J4682">
        <v>1837</v>
      </c>
      <c r="L4682" t="s">
        <v>5875</v>
      </c>
    </row>
    <row r="4683" spans="1:12" x14ac:dyDescent="0.35">
      <c r="A4683" t="s">
        <v>3115</v>
      </c>
      <c r="B4683" s="1">
        <v>45722</v>
      </c>
      <c r="C4683" t="s">
        <v>8940</v>
      </c>
      <c r="D4683" t="s">
        <v>3670</v>
      </c>
      <c r="E4683" t="s">
        <v>8941</v>
      </c>
      <c r="F4683" t="s">
        <v>6802</v>
      </c>
      <c r="H4683" t="s">
        <v>3671</v>
      </c>
      <c r="K4683">
        <v>4002</v>
      </c>
      <c r="L4683" t="s">
        <v>6803</v>
      </c>
    </row>
    <row r="4684" spans="1:12" x14ac:dyDescent="0.35">
      <c r="A4684" t="s">
        <v>3115</v>
      </c>
      <c r="B4684" s="1">
        <v>45722</v>
      </c>
      <c r="C4684" t="s">
        <v>8940</v>
      </c>
      <c r="D4684" t="s">
        <v>3670</v>
      </c>
      <c r="E4684" t="s">
        <v>8941</v>
      </c>
      <c r="F4684" t="s">
        <v>8537</v>
      </c>
      <c r="G4684" t="s">
        <v>8538</v>
      </c>
      <c r="H4684" t="s">
        <v>3671</v>
      </c>
      <c r="J4684">
        <v>4002</v>
      </c>
      <c r="L4684" t="s">
        <v>5875</v>
      </c>
    </row>
    <row r="4685" spans="1:12" x14ac:dyDescent="0.35">
      <c r="A4685" t="s">
        <v>3115</v>
      </c>
      <c r="B4685" s="1">
        <v>45722</v>
      </c>
      <c r="C4685" t="s">
        <v>8942</v>
      </c>
      <c r="D4685" t="s">
        <v>3672</v>
      </c>
      <c r="E4685" t="s">
        <v>8943</v>
      </c>
      <c r="F4685" t="s">
        <v>6802</v>
      </c>
      <c r="H4685" t="s">
        <v>3673</v>
      </c>
      <c r="K4685">
        <v>6166</v>
      </c>
      <c r="L4685" t="s">
        <v>6803</v>
      </c>
    </row>
    <row r="4686" spans="1:12" x14ac:dyDescent="0.35">
      <c r="A4686" t="s">
        <v>3115</v>
      </c>
      <c r="B4686" s="1">
        <v>45722</v>
      </c>
      <c r="C4686" t="s">
        <v>8942</v>
      </c>
      <c r="D4686" t="s">
        <v>3672</v>
      </c>
      <c r="E4686" t="s">
        <v>8943</v>
      </c>
      <c r="F4686" t="s">
        <v>8537</v>
      </c>
      <c r="G4686" t="s">
        <v>8538</v>
      </c>
      <c r="H4686" t="s">
        <v>3673</v>
      </c>
      <c r="J4686">
        <v>6166</v>
      </c>
      <c r="L4686" t="s">
        <v>5875</v>
      </c>
    </row>
    <row r="4687" spans="1:12" x14ac:dyDescent="0.35">
      <c r="A4687" t="s">
        <v>3115</v>
      </c>
      <c r="B4687" s="1">
        <v>45723</v>
      </c>
      <c r="C4687" t="s">
        <v>8944</v>
      </c>
      <c r="D4687" t="s">
        <v>3674</v>
      </c>
      <c r="E4687" t="s">
        <v>8945</v>
      </c>
      <c r="F4687" t="s">
        <v>6811</v>
      </c>
      <c r="H4687" t="s">
        <v>3675</v>
      </c>
      <c r="K4687">
        <v>20000</v>
      </c>
      <c r="L4687" t="s">
        <v>6803</v>
      </c>
    </row>
    <row r="4688" spans="1:12" x14ac:dyDescent="0.35">
      <c r="A4688" t="s">
        <v>3115</v>
      </c>
      <c r="B4688" s="1">
        <v>45723</v>
      </c>
      <c r="C4688" t="s">
        <v>8944</v>
      </c>
      <c r="D4688" t="s">
        <v>3674</v>
      </c>
      <c r="E4688" t="s">
        <v>8945</v>
      </c>
      <c r="F4688" t="s">
        <v>8557</v>
      </c>
      <c r="G4688" t="s">
        <v>8558</v>
      </c>
      <c r="H4688" t="s">
        <v>3675</v>
      </c>
      <c r="J4688">
        <v>20000</v>
      </c>
      <c r="L4688" t="s">
        <v>5873</v>
      </c>
    </row>
    <row r="4689" spans="1:12" x14ac:dyDescent="0.35">
      <c r="A4689" t="s">
        <v>3115</v>
      </c>
      <c r="B4689" s="1">
        <v>45723</v>
      </c>
      <c r="C4689" t="s">
        <v>8946</v>
      </c>
      <c r="D4689" t="s">
        <v>3676</v>
      </c>
      <c r="E4689" t="s">
        <v>8947</v>
      </c>
      <c r="F4689" t="s">
        <v>6802</v>
      </c>
      <c r="H4689" t="s">
        <v>3677</v>
      </c>
      <c r="K4689">
        <v>11539</v>
      </c>
      <c r="L4689" t="s">
        <v>6803</v>
      </c>
    </row>
    <row r="4690" spans="1:12" x14ac:dyDescent="0.35">
      <c r="A4690" t="s">
        <v>3115</v>
      </c>
      <c r="B4690" s="1">
        <v>45723</v>
      </c>
      <c r="C4690" t="s">
        <v>8946</v>
      </c>
      <c r="D4690" t="s">
        <v>3676</v>
      </c>
      <c r="E4690" t="s">
        <v>8947</v>
      </c>
      <c r="F4690" t="s">
        <v>8537</v>
      </c>
      <c r="G4690" t="s">
        <v>8538</v>
      </c>
      <c r="H4690" t="s">
        <v>3677</v>
      </c>
      <c r="J4690">
        <v>11539</v>
      </c>
      <c r="L4690" t="s">
        <v>5905</v>
      </c>
    </row>
    <row r="4691" spans="1:12" x14ac:dyDescent="0.35">
      <c r="A4691" t="s">
        <v>3115</v>
      </c>
      <c r="B4691" s="1">
        <v>45723</v>
      </c>
      <c r="C4691" t="s">
        <v>8948</v>
      </c>
      <c r="D4691" t="s">
        <v>3678</v>
      </c>
      <c r="E4691" t="s">
        <v>8949</v>
      </c>
      <c r="F4691" t="s">
        <v>6802</v>
      </c>
      <c r="H4691" t="s">
        <v>3679</v>
      </c>
      <c r="K4691">
        <v>34000</v>
      </c>
      <c r="L4691" t="s">
        <v>6803</v>
      </c>
    </row>
    <row r="4692" spans="1:12" x14ac:dyDescent="0.35">
      <c r="A4692" t="s">
        <v>3115</v>
      </c>
      <c r="B4692" s="1">
        <v>45723</v>
      </c>
      <c r="C4692" t="s">
        <v>8948</v>
      </c>
      <c r="D4692" t="s">
        <v>3678</v>
      </c>
      <c r="E4692" t="s">
        <v>8949</v>
      </c>
      <c r="F4692" t="s">
        <v>8557</v>
      </c>
      <c r="G4692" t="s">
        <v>8558</v>
      </c>
      <c r="H4692" t="s">
        <v>3679</v>
      </c>
      <c r="J4692">
        <v>34000</v>
      </c>
      <c r="L4692" t="s">
        <v>5949</v>
      </c>
    </row>
    <row r="4693" spans="1:12" x14ac:dyDescent="0.35">
      <c r="A4693" t="s">
        <v>3115</v>
      </c>
      <c r="B4693" s="1">
        <v>45723</v>
      </c>
      <c r="C4693" t="s">
        <v>8950</v>
      </c>
      <c r="D4693" t="s">
        <v>3680</v>
      </c>
      <c r="E4693" t="s">
        <v>8951</v>
      </c>
      <c r="F4693" t="s">
        <v>6802</v>
      </c>
      <c r="H4693" t="s">
        <v>3681</v>
      </c>
      <c r="K4693">
        <v>8000</v>
      </c>
      <c r="L4693" t="s">
        <v>6803</v>
      </c>
    </row>
    <row r="4694" spans="1:12" x14ac:dyDescent="0.35">
      <c r="A4694" t="s">
        <v>3115</v>
      </c>
      <c r="B4694" s="1">
        <v>45723</v>
      </c>
      <c r="C4694" t="s">
        <v>8950</v>
      </c>
      <c r="D4694" t="s">
        <v>3680</v>
      </c>
      <c r="E4694" t="s">
        <v>8951</v>
      </c>
      <c r="F4694" t="s">
        <v>8537</v>
      </c>
      <c r="G4694" t="s">
        <v>8538</v>
      </c>
      <c r="H4694" t="s">
        <v>3681</v>
      </c>
      <c r="J4694">
        <v>8000</v>
      </c>
      <c r="L4694" t="s">
        <v>5880</v>
      </c>
    </row>
    <row r="4695" spans="1:12" x14ac:dyDescent="0.35">
      <c r="A4695" t="s">
        <v>3115</v>
      </c>
      <c r="B4695" s="1">
        <v>45723</v>
      </c>
      <c r="C4695" t="s">
        <v>8952</v>
      </c>
      <c r="D4695" t="s">
        <v>3682</v>
      </c>
      <c r="E4695" t="s">
        <v>8953</v>
      </c>
      <c r="F4695" t="s">
        <v>6802</v>
      </c>
      <c r="H4695" t="s">
        <v>3683</v>
      </c>
      <c r="K4695">
        <v>45000</v>
      </c>
      <c r="L4695" t="s">
        <v>6803</v>
      </c>
    </row>
    <row r="4696" spans="1:12" x14ac:dyDescent="0.35">
      <c r="A4696" t="s">
        <v>3115</v>
      </c>
      <c r="B4696" s="1">
        <v>45723</v>
      </c>
      <c r="C4696" t="s">
        <v>8952</v>
      </c>
      <c r="D4696" t="s">
        <v>3682</v>
      </c>
      <c r="E4696" t="s">
        <v>8953</v>
      </c>
      <c r="F4696" t="s">
        <v>8537</v>
      </c>
      <c r="G4696" t="s">
        <v>8538</v>
      </c>
      <c r="H4696" t="s">
        <v>3683</v>
      </c>
      <c r="J4696">
        <v>45000</v>
      </c>
      <c r="L4696" t="s">
        <v>5874</v>
      </c>
    </row>
    <row r="4697" spans="1:12" x14ac:dyDescent="0.35">
      <c r="A4697" t="s">
        <v>3115</v>
      </c>
      <c r="B4697" s="1">
        <v>45723</v>
      </c>
      <c r="C4697" t="s">
        <v>8954</v>
      </c>
      <c r="D4697" t="s">
        <v>3684</v>
      </c>
      <c r="E4697" t="s">
        <v>8955</v>
      </c>
      <c r="F4697" t="s">
        <v>6802</v>
      </c>
      <c r="H4697" t="s">
        <v>3685</v>
      </c>
      <c r="K4697">
        <v>300000</v>
      </c>
      <c r="L4697" t="s">
        <v>6803</v>
      </c>
    </row>
    <row r="4698" spans="1:12" x14ac:dyDescent="0.35">
      <c r="A4698" t="s">
        <v>3115</v>
      </c>
      <c r="B4698" s="1">
        <v>45723</v>
      </c>
      <c r="C4698" t="s">
        <v>8954</v>
      </c>
      <c r="D4698" t="s">
        <v>3684</v>
      </c>
      <c r="E4698" t="s">
        <v>8955</v>
      </c>
      <c r="F4698" t="s">
        <v>8537</v>
      </c>
      <c r="G4698" t="s">
        <v>8538</v>
      </c>
      <c r="H4698" t="s">
        <v>3685</v>
      </c>
      <c r="J4698">
        <v>300000</v>
      </c>
      <c r="L4698" t="s">
        <v>5874</v>
      </c>
    </row>
    <row r="4699" spans="1:12" x14ac:dyDescent="0.35">
      <c r="A4699" t="s">
        <v>3115</v>
      </c>
      <c r="B4699" s="1">
        <v>45723</v>
      </c>
      <c r="C4699" t="s">
        <v>8956</v>
      </c>
      <c r="D4699" t="s">
        <v>3686</v>
      </c>
      <c r="E4699" t="s">
        <v>8957</v>
      </c>
      <c r="F4699" t="s">
        <v>6802</v>
      </c>
      <c r="H4699" t="s">
        <v>3687</v>
      </c>
      <c r="K4699">
        <v>25000</v>
      </c>
      <c r="L4699" t="s">
        <v>6803</v>
      </c>
    </row>
    <row r="4700" spans="1:12" x14ac:dyDescent="0.35">
      <c r="A4700" t="s">
        <v>3115</v>
      </c>
      <c r="B4700" s="1">
        <v>45723</v>
      </c>
      <c r="C4700" t="s">
        <v>8956</v>
      </c>
      <c r="D4700" t="s">
        <v>3686</v>
      </c>
      <c r="E4700" t="s">
        <v>8957</v>
      </c>
      <c r="F4700" t="s">
        <v>8537</v>
      </c>
      <c r="G4700" t="s">
        <v>8538</v>
      </c>
      <c r="H4700" t="s">
        <v>3687</v>
      </c>
      <c r="J4700">
        <v>25000</v>
      </c>
      <c r="L4700" t="s">
        <v>5874</v>
      </c>
    </row>
    <row r="4701" spans="1:12" x14ac:dyDescent="0.35">
      <c r="A4701" t="s">
        <v>3115</v>
      </c>
      <c r="B4701" s="1">
        <v>45723</v>
      </c>
      <c r="C4701" t="s">
        <v>8958</v>
      </c>
      <c r="D4701" t="s">
        <v>3688</v>
      </c>
      <c r="E4701" t="s">
        <v>8959</v>
      </c>
      <c r="F4701" t="s">
        <v>6802</v>
      </c>
      <c r="H4701" t="s">
        <v>3689</v>
      </c>
      <c r="K4701">
        <v>150000</v>
      </c>
      <c r="L4701" t="s">
        <v>6803</v>
      </c>
    </row>
    <row r="4702" spans="1:12" x14ac:dyDescent="0.35">
      <c r="A4702" t="s">
        <v>3115</v>
      </c>
      <c r="B4702" s="1">
        <v>45723</v>
      </c>
      <c r="C4702" t="s">
        <v>8958</v>
      </c>
      <c r="D4702" t="s">
        <v>3688</v>
      </c>
      <c r="E4702" t="s">
        <v>8959</v>
      </c>
      <c r="F4702" t="s">
        <v>8537</v>
      </c>
      <c r="G4702" t="s">
        <v>8538</v>
      </c>
      <c r="H4702" t="s">
        <v>3689</v>
      </c>
      <c r="J4702">
        <v>150000</v>
      </c>
      <c r="L4702" t="s">
        <v>5874</v>
      </c>
    </row>
    <row r="4703" spans="1:12" x14ac:dyDescent="0.35">
      <c r="A4703" t="s">
        <v>3115</v>
      </c>
      <c r="B4703" s="1">
        <v>45723</v>
      </c>
      <c r="C4703" t="s">
        <v>8960</v>
      </c>
      <c r="D4703" t="s">
        <v>3690</v>
      </c>
      <c r="E4703" t="s">
        <v>8961</v>
      </c>
      <c r="F4703" t="s">
        <v>6802</v>
      </c>
      <c r="H4703" t="s">
        <v>3691</v>
      </c>
      <c r="K4703">
        <v>75000</v>
      </c>
      <c r="L4703" t="s">
        <v>6803</v>
      </c>
    </row>
    <row r="4704" spans="1:12" x14ac:dyDescent="0.35">
      <c r="A4704" t="s">
        <v>3115</v>
      </c>
      <c r="B4704" s="1">
        <v>45723</v>
      </c>
      <c r="C4704" t="s">
        <v>8960</v>
      </c>
      <c r="D4704" t="s">
        <v>3690</v>
      </c>
      <c r="E4704" t="s">
        <v>8961</v>
      </c>
      <c r="F4704" t="s">
        <v>8537</v>
      </c>
      <c r="G4704" t="s">
        <v>8538</v>
      </c>
      <c r="H4704" t="s">
        <v>3691</v>
      </c>
      <c r="J4704">
        <v>75000</v>
      </c>
      <c r="L4704" t="s">
        <v>5875</v>
      </c>
    </row>
    <row r="4705" spans="1:12" x14ac:dyDescent="0.35">
      <c r="A4705" t="s">
        <v>3115</v>
      </c>
      <c r="B4705" s="1">
        <v>45723</v>
      </c>
      <c r="C4705" t="s">
        <v>8962</v>
      </c>
      <c r="D4705" t="s">
        <v>3692</v>
      </c>
      <c r="E4705" t="s">
        <v>8963</v>
      </c>
      <c r="F4705" t="s">
        <v>6802</v>
      </c>
      <c r="H4705" t="s">
        <v>3693</v>
      </c>
      <c r="K4705">
        <v>175000</v>
      </c>
      <c r="L4705" t="s">
        <v>6803</v>
      </c>
    </row>
    <row r="4706" spans="1:12" x14ac:dyDescent="0.35">
      <c r="A4706" t="s">
        <v>3115</v>
      </c>
      <c r="B4706" s="1">
        <v>45723</v>
      </c>
      <c r="C4706" t="s">
        <v>8962</v>
      </c>
      <c r="D4706" t="s">
        <v>3692</v>
      </c>
      <c r="E4706" t="s">
        <v>8963</v>
      </c>
      <c r="F4706" t="s">
        <v>8537</v>
      </c>
      <c r="G4706" t="s">
        <v>8538</v>
      </c>
      <c r="H4706" t="s">
        <v>3693</v>
      </c>
      <c r="J4706">
        <v>175000</v>
      </c>
      <c r="L4706" t="s">
        <v>5875</v>
      </c>
    </row>
    <row r="4707" spans="1:12" x14ac:dyDescent="0.35">
      <c r="A4707" t="s">
        <v>3115</v>
      </c>
      <c r="B4707" s="1">
        <v>45723</v>
      </c>
      <c r="C4707" t="s">
        <v>8964</v>
      </c>
      <c r="D4707" t="s">
        <v>3694</v>
      </c>
      <c r="E4707" t="s">
        <v>8965</v>
      </c>
      <c r="F4707" t="s">
        <v>6802</v>
      </c>
      <c r="H4707" t="s">
        <v>3695</v>
      </c>
      <c r="K4707">
        <v>300</v>
      </c>
      <c r="L4707" t="s">
        <v>6803</v>
      </c>
    </row>
    <row r="4708" spans="1:12" x14ac:dyDescent="0.35">
      <c r="A4708" t="s">
        <v>3115</v>
      </c>
      <c r="B4708" s="1">
        <v>45723</v>
      </c>
      <c r="C4708" t="s">
        <v>8964</v>
      </c>
      <c r="D4708" t="s">
        <v>3694</v>
      </c>
      <c r="E4708" t="s">
        <v>8965</v>
      </c>
      <c r="F4708" t="s">
        <v>8557</v>
      </c>
      <c r="G4708" t="s">
        <v>8558</v>
      </c>
      <c r="H4708" t="s">
        <v>3695</v>
      </c>
      <c r="J4708">
        <v>300</v>
      </c>
      <c r="L4708" t="s">
        <v>5874</v>
      </c>
    </row>
    <row r="4709" spans="1:12" x14ac:dyDescent="0.35">
      <c r="A4709" t="s">
        <v>3115</v>
      </c>
      <c r="B4709" s="1">
        <v>45723</v>
      </c>
      <c r="C4709" t="s">
        <v>8966</v>
      </c>
      <c r="D4709" t="s">
        <v>3696</v>
      </c>
      <c r="E4709" t="s">
        <v>8967</v>
      </c>
      <c r="F4709" t="s">
        <v>6802</v>
      </c>
      <c r="H4709" t="s">
        <v>3697</v>
      </c>
      <c r="K4709">
        <v>60554</v>
      </c>
      <c r="L4709" t="s">
        <v>6803</v>
      </c>
    </row>
    <row r="4710" spans="1:12" x14ac:dyDescent="0.35">
      <c r="A4710" t="s">
        <v>3115</v>
      </c>
      <c r="B4710" s="1">
        <v>45723</v>
      </c>
      <c r="C4710" t="s">
        <v>8966</v>
      </c>
      <c r="D4710" t="s">
        <v>3696</v>
      </c>
      <c r="E4710" t="s">
        <v>8967</v>
      </c>
      <c r="F4710" t="s">
        <v>8537</v>
      </c>
      <c r="G4710" t="s">
        <v>8538</v>
      </c>
      <c r="H4710" t="s">
        <v>3697</v>
      </c>
      <c r="J4710">
        <v>60554</v>
      </c>
      <c r="L4710" t="s">
        <v>5958</v>
      </c>
    </row>
    <row r="4711" spans="1:12" x14ac:dyDescent="0.35">
      <c r="A4711" t="s">
        <v>3115</v>
      </c>
      <c r="B4711" s="1">
        <v>45723</v>
      </c>
      <c r="C4711" t="s">
        <v>8968</v>
      </c>
      <c r="D4711" t="s">
        <v>3698</v>
      </c>
      <c r="E4711" t="s">
        <v>8969</v>
      </c>
      <c r="F4711" t="s">
        <v>6802</v>
      </c>
      <c r="H4711" t="s">
        <v>3699</v>
      </c>
      <c r="K4711">
        <v>150000</v>
      </c>
      <c r="L4711" t="s">
        <v>6803</v>
      </c>
    </row>
    <row r="4712" spans="1:12" x14ac:dyDescent="0.35">
      <c r="A4712" t="s">
        <v>3115</v>
      </c>
      <c r="B4712" s="1">
        <v>45723</v>
      </c>
      <c r="C4712" t="s">
        <v>8968</v>
      </c>
      <c r="D4712" t="s">
        <v>3698</v>
      </c>
      <c r="E4712" t="s">
        <v>8969</v>
      </c>
      <c r="F4712" t="s">
        <v>8537</v>
      </c>
      <c r="G4712" t="s">
        <v>8538</v>
      </c>
      <c r="H4712" t="s">
        <v>3699</v>
      </c>
      <c r="J4712">
        <v>150000</v>
      </c>
      <c r="L4712" t="s">
        <v>5958</v>
      </c>
    </row>
    <row r="4713" spans="1:12" x14ac:dyDescent="0.35">
      <c r="A4713" t="s">
        <v>3115</v>
      </c>
      <c r="B4713" s="1">
        <v>45723</v>
      </c>
      <c r="C4713" t="s">
        <v>8970</v>
      </c>
      <c r="D4713" t="s">
        <v>3700</v>
      </c>
      <c r="E4713" t="s">
        <v>8971</v>
      </c>
      <c r="F4713" t="s">
        <v>6802</v>
      </c>
      <c r="H4713" t="s">
        <v>3701</v>
      </c>
      <c r="K4713">
        <v>160000</v>
      </c>
      <c r="L4713" t="s">
        <v>6803</v>
      </c>
    </row>
    <row r="4714" spans="1:12" x14ac:dyDescent="0.35">
      <c r="A4714" t="s">
        <v>3115</v>
      </c>
      <c r="B4714" s="1">
        <v>45723</v>
      </c>
      <c r="C4714" t="s">
        <v>8970</v>
      </c>
      <c r="D4714" t="s">
        <v>3700</v>
      </c>
      <c r="E4714" t="s">
        <v>8971</v>
      </c>
      <c r="F4714" t="s">
        <v>8537</v>
      </c>
      <c r="G4714" t="s">
        <v>8538</v>
      </c>
      <c r="H4714" t="s">
        <v>3701</v>
      </c>
      <c r="J4714">
        <v>160000</v>
      </c>
      <c r="L4714" t="s">
        <v>5874</v>
      </c>
    </row>
    <row r="4715" spans="1:12" x14ac:dyDescent="0.35">
      <c r="A4715" t="s">
        <v>3115</v>
      </c>
      <c r="B4715" s="1">
        <v>45723</v>
      </c>
      <c r="C4715" t="s">
        <v>8972</v>
      </c>
      <c r="D4715" t="s">
        <v>3702</v>
      </c>
      <c r="E4715" t="s">
        <v>8973</v>
      </c>
      <c r="F4715" t="s">
        <v>6802</v>
      </c>
      <c r="H4715" t="s">
        <v>3703</v>
      </c>
      <c r="K4715">
        <v>65000</v>
      </c>
      <c r="L4715" t="s">
        <v>6803</v>
      </c>
    </row>
    <row r="4716" spans="1:12" x14ac:dyDescent="0.35">
      <c r="A4716" t="s">
        <v>3115</v>
      </c>
      <c r="B4716" s="1">
        <v>45723</v>
      </c>
      <c r="C4716" t="s">
        <v>8972</v>
      </c>
      <c r="D4716" t="s">
        <v>3702</v>
      </c>
      <c r="E4716" t="s">
        <v>8973</v>
      </c>
      <c r="F4716" t="s">
        <v>8537</v>
      </c>
      <c r="G4716" t="s">
        <v>8538</v>
      </c>
      <c r="H4716" t="s">
        <v>3703</v>
      </c>
      <c r="J4716">
        <v>65000</v>
      </c>
      <c r="L4716" t="s">
        <v>5875</v>
      </c>
    </row>
    <row r="4717" spans="1:12" x14ac:dyDescent="0.35">
      <c r="A4717" t="s">
        <v>3115</v>
      </c>
      <c r="B4717" s="1">
        <v>45723</v>
      </c>
      <c r="C4717" t="s">
        <v>8974</v>
      </c>
      <c r="D4717" t="s">
        <v>3704</v>
      </c>
      <c r="E4717" t="s">
        <v>8975</v>
      </c>
      <c r="F4717" t="s">
        <v>6802</v>
      </c>
      <c r="H4717" t="s">
        <v>3705</v>
      </c>
      <c r="K4717">
        <v>40000</v>
      </c>
      <c r="L4717" t="s">
        <v>6803</v>
      </c>
    </row>
    <row r="4718" spans="1:12" x14ac:dyDescent="0.35">
      <c r="A4718" t="s">
        <v>3115</v>
      </c>
      <c r="B4718" s="1">
        <v>45723</v>
      </c>
      <c r="C4718" t="s">
        <v>8974</v>
      </c>
      <c r="D4718" t="s">
        <v>3704</v>
      </c>
      <c r="E4718" t="s">
        <v>8975</v>
      </c>
      <c r="F4718" t="s">
        <v>8537</v>
      </c>
      <c r="G4718" t="s">
        <v>8538</v>
      </c>
      <c r="H4718" t="s">
        <v>3705</v>
      </c>
      <c r="J4718">
        <v>40000</v>
      </c>
      <c r="L4718" t="s">
        <v>5881</v>
      </c>
    </row>
    <row r="4719" spans="1:12" x14ac:dyDescent="0.35">
      <c r="A4719" t="s">
        <v>3115</v>
      </c>
      <c r="B4719" s="1">
        <v>45723</v>
      </c>
      <c r="C4719" t="s">
        <v>8976</v>
      </c>
      <c r="D4719" t="s">
        <v>3706</v>
      </c>
      <c r="E4719" t="s">
        <v>8977</v>
      </c>
      <c r="F4719" t="s">
        <v>6802</v>
      </c>
      <c r="H4719" t="s">
        <v>3707</v>
      </c>
      <c r="K4719">
        <v>340000</v>
      </c>
      <c r="L4719" t="s">
        <v>6803</v>
      </c>
    </row>
    <row r="4720" spans="1:12" x14ac:dyDescent="0.35">
      <c r="A4720" t="s">
        <v>3115</v>
      </c>
      <c r="B4720" s="1">
        <v>45723</v>
      </c>
      <c r="C4720" t="s">
        <v>8976</v>
      </c>
      <c r="D4720" t="s">
        <v>3706</v>
      </c>
      <c r="E4720" t="s">
        <v>8977</v>
      </c>
      <c r="F4720" t="s">
        <v>8537</v>
      </c>
      <c r="G4720" t="s">
        <v>8538</v>
      </c>
      <c r="H4720" t="s">
        <v>3707</v>
      </c>
      <c r="J4720">
        <v>340000</v>
      </c>
      <c r="L4720" t="s">
        <v>5874</v>
      </c>
    </row>
    <row r="4721" spans="1:12" x14ac:dyDescent="0.35">
      <c r="A4721" t="s">
        <v>3115</v>
      </c>
      <c r="B4721" s="1">
        <v>45723</v>
      </c>
      <c r="C4721" t="s">
        <v>8978</v>
      </c>
      <c r="D4721" t="s">
        <v>3708</v>
      </c>
      <c r="E4721" t="s">
        <v>8979</v>
      </c>
      <c r="F4721" t="s">
        <v>6802</v>
      </c>
      <c r="H4721" t="s">
        <v>3709</v>
      </c>
      <c r="K4721">
        <v>320000</v>
      </c>
      <c r="L4721" t="s">
        <v>6803</v>
      </c>
    </row>
    <row r="4722" spans="1:12" x14ac:dyDescent="0.35">
      <c r="A4722" t="s">
        <v>3115</v>
      </c>
      <c r="B4722" s="1">
        <v>45723</v>
      </c>
      <c r="C4722" t="s">
        <v>8978</v>
      </c>
      <c r="D4722" t="s">
        <v>3708</v>
      </c>
      <c r="E4722" t="s">
        <v>8979</v>
      </c>
      <c r="F4722" t="s">
        <v>8537</v>
      </c>
      <c r="G4722" t="s">
        <v>8538</v>
      </c>
      <c r="H4722" t="s">
        <v>3709</v>
      </c>
      <c r="J4722">
        <v>320000</v>
      </c>
      <c r="L4722" t="s">
        <v>5873</v>
      </c>
    </row>
    <row r="4723" spans="1:12" x14ac:dyDescent="0.35">
      <c r="A4723" t="s">
        <v>3115</v>
      </c>
      <c r="B4723" s="1">
        <v>45723</v>
      </c>
      <c r="C4723" t="s">
        <v>8980</v>
      </c>
      <c r="D4723" t="s">
        <v>3710</v>
      </c>
      <c r="E4723" t="s">
        <v>8573</v>
      </c>
      <c r="F4723" t="s">
        <v>6802</v>
      </c>
      <c r="H4723" t="s">
        <v>3711</v>
      </c>
      <c r="K4723">
        <v>65000</v>
      </c>
      <c r="L4723" t="s">
        <v>6803</v>
      </c>
    </row>
    <row r="4724" spans="1:12" x14ac:dyDescent="0.35">
      <c r="A4724" t="s">
        <v>3115</v>
      </c>
      <c r="B4724" s="1">
        <v>45723</v>
      </c>
      <c r="C4724" t="s">
        <v>8980</v>
      </c>
      <c r="D4724" t="s">
        <v>3710</v>
      </c>
      <c r="E4724" t="s">
        <v>8573</v>
      </c>
      <c r="F4724" t="s">
        <v>8537</v>
      </c>
      <c r="G4724" t="s">
        <v>8538</v>
      </c>
      <c r="H4724" t="s">
        <v>3711</v>
      </c>
      <c r="J4724">
        <v>65000</v>
      </c>
      <c r="L4724" t="s">
        <v>5875</v>
      </c>
    </row>
    <row r="4725" spans="1:12" x14ac:dyDescent="0.35">
      <c r="A4725" t="s">
        <v>3115</v>
      </c>
      <c r="B4725" s="1">
        <v>45723</v>
      </c>
      <c r="C4725" t="s">
        <v>8981</v>
      </c>
      <c r="D4725" t="s">
        <v>3712</v>
      </c>
      <c r="E4725" t="s">
        <v>8982</v>
      </c>
      <c r="F4725" t="s">
        <v>6802</v>
      </c>
      <c r="H4725" t="s">
        <v>3713</v>
      </c>
      <c r="K4725">
        <v>850000</v>
      </c>
      <c r="L4725" t="s">
        <v>6803</v>
      </c>
    </row>
    <row r="4726" spans="1:12" x14ac:dyDescent="0.35">
      <c r="A4726" t="s">
        <v>3115</v>
      </c>
      <c r="B4726" s="1">
        <v>45723</v>
      </c>
      <c r="C4726" t="s">
        <v>8981</v>
      </c>
      <c r="D4726" t="s">
        <v>3712</v>
      </c>
      <c r="E4726" t="s">
        <v>8982</v>
      </c>
      <c r="F4726" t="s">
        <v>8537</v>
      </c>
      <c r="G4726" t="s">
        <v>8538</v>
      </c>
      <c r="H4726" t="s">
        <v>3713</v>
      </c>
      <c r="J4726">
        <v>850000</v>
      </c>
      <c r="L4726" t="s">
        <v>5881</v>
      </c>
    </row>
    <row r="4727" spans="1:12" x14ac:dyDescent="0.35">
      <c r="A4727" t="s">
        <v>3115</v>
      </c>
      <c r="B4727" s="1">
        <v>45723</v>
      </c>
      <c r="C4727" t="s">
        <v>8983</v>
      </c>
      <c r="D4727" t="s">
        <v>3714</v>
      </c>
      <c r="E4727" t="s">
        <v>8984</v>
      </c>
      <c r="F4727" t="s">
        <v>6802</v>
      </c>
      <c r="H4727" t="s">
        <v>3715</v>
      </c>
      <c r="K4727">
        <v>190000</v>
      </c>
      <c r="L4727" t="s">
        <v>6803</v>
      </c>
    </row>
    <row r="4728" spans="1:12" x14ac:dyDescent="0.35">
      <c r="A4728" t="s">
        <v>3115</v>
      </c>
      <c r="B4728" s="1">
        <v>45723</v>
      </c>
      <c r="C4728" t="s">
        <v>8983</v>
      </c>
      <c r="D4728" t="s">
        <v>3714</v>
      </c>
      <c r="E4728" t="s">
        <v>8984</v>
      </c>
      <c r="F4728" t="s">
        <v>8537</v>
      </c>
      <c r="G4728" t="s">
        <v>8538</v>
      </c>
      <c r="H4728" t="s">
        <v>3715</v>
      </c>
      <c r="J4728">
        <v>190000</v>
      </c>
      <c r="L4728" t="s">
        <v>5873</v>
      </c>
    </row>
    <row r="4729" spans="1:12" x14ac:dyDescent="0.35">
      <c r="A4729" t="s">
        <v>3115</v>
      </c>
      <c r="B4729" s="1">
        <v>45723</v>
      </c>
      <c r="C4729" t="s">
        <v>8985</v>
      </c>
      <c r="D4729" t="s">
        <v>3716</v>
      </c>
      <c r="E4729" t="s">
        <v>8986</v>
      </c>
      <c r="F4729" t="s">
        <v>6802</v>
      </c>
      <c r="H4729" t="s">
        <v>3717</v>
      </c>
      <c r="K4729">
        <v>24000</v>
      </c>
      <c r="L4729" t="s">
        <v>6803</v>
      </c>
    </row>
    <row r="4730" spans="1:12" x14ac:dyDescent="0.35">
      <c r="A4730" t="s">
        <v>3115</v>
      </c>
      <c r="B4730" s="1">
        <v>45723</v>
      </c>
      <c r="C4730" t="s">
        <v>8985</v>
      </c>
      <c r="D4730" t="s">
        <v>3716</v>
      </c>
      <c r="E4730" t="s">
        <v>8986</v>
      </c>
      <c r="F4730" t="s">
        <v>8537</v>
      </c>
      <c r="G4730" t="s">
        <v>8538</v>
      </c>
      <c r="H4730" t="s">
        <v>3717</v>
      </c>
      <c r="J4730">
        <v>24000</v>
      </c>
      <c r="L4730" t="s">
        <v>5873</v>
      </c>
    </row>
    <row r="4731" spans="1:12" x14ac:dyDescent="0.35">
      <c r="A4731" t="s">
        <v>3115</v>
      </c>
      <c r="B4731" s="1">
        <v>45723</v>
      </c>
      <c r="C4731" t="s">
        <v>8987</v>
      </c>
      <c r="D4731" t="s">
        <v>3718</v>
      </c>
      <c r="E4731" t="s">
        <v>8636</v>
      </c>
      <c r="F4731" t="s">
        <v>6802</v>
      </c>
      <c r="H4731" t="s">
        <v>3719</v>
      </c>
      <c r="K4731">
        <v>65000</v>
      </c>
      <c r="L4731" t="s">
        <v>6803</v>
      </c>
    </row>
    <row r="4732" spans="1:12" x14ac:dyDescent="0.35">
      <c r="A4732" t="s">
        <v>3115</v>
      </c>
      <c r="B4732" s="1">
        <v>45723</v>
      </c>
      <c r="C4732" t="s">
        <v>8987</v>
      </c>
      <c r="D4732" t="s">
        <v>3718</v>
      </c>
      <c r="E4732" t="s">
        <v>8636</v>
      </c>
      <c r="F4732" t="s">
        <v>8537</v>
      </c>
      <c r="G4732" t="s">
        <v>8538</v>
      </c>
      <c r="H4732" t="s">
        <v>3719</v>
      </c>
      <c r="J4732">
        <v>65000</v>
      </c>
      <c r="L4732" t="s">
        <v>5875</v>
      </c>
    </row>
    <row r="4733" spans="1:12" x14ac:dyDescent="0.35">
      <c r="A4733" t="s">
        <v>3115</v>
      </c>
      <c r="B4733" s="1">
        <v>45723</v>
      </c>
      <c r="C4733" t="s">
        <v>8988</v>
      </c>
      <c r="D4733" t="s">
        <v>3720</v>
      </c>
      <c r="E4733" t="s">
        <v>8642</v>
      </c>
      <c r="F4733" t="s">
        <v>6802</v>
      </c>
      <c r="H4733" t="s">
        <v>3721</v>
      </c>
      <c r="K4733">
        <v>65000</v>
      </c>
      <c r="L4733" t="s">
        <v>6803</v>
      </c>
    </row>
    <row r="4734" spans="1:12" x14ac:dyDescent="0.35">
      <c r="A4734" t="s">
        <v>3115</v>
      </c>
      <c r="B4734" s="1">
        <v>45723</v>
      </c>
      <c r="C4734" t="s">
        <v>8988</v>
      </c>
      <c r="D4734" t="s">
        <v>3720</v>
      </c>
      <c r="E4734" t="s">
        <v>8642</v>
      </c>
      <c r="F4734" t="s">
        <v>8537</v>
      </c>
      <c r="G4734" t="s">
        <v>8538</v>
      </c>
      <c r="H4734" t="s">
        <v>3721</v>
      </c>
      <c r="J4734">
        <v>65000</v>
      </c>
      <c r="L4734" t="s">
        <v>5876</v>
      </c>
    </row>
    <row r="4735" spans="1:12" x14ac:dyDescent="0.35">
      <c r="A4735" t="s">
        <v>3115</v>
      </c>
      <c r="B4735" s="1">
        <v>45723</v>
      </c>
      <c r="C4735" t="s">
        <v>8989</v>
      </c>
      <c r="D4735" t="s">
        <v>3722</v>
      </c>
      <c r="E4735" t="s">
        <v>8614</v>
      </c>
      <c r="F4735" t="s">
        <v>6802</v>
      </c>
      <c r="H4735" t="s">
        <v>3723</v>
      </c>
      <c r="K4735">
        <v>65000</v>
      </c>
      <c r="L4735" t="s">
        <v>6803</v>
      </c>
    </row>
    <row r="4736" spans="1:12" x14ac:dyDescent="0.35">
      <c r="A4736" t="s">
        <v>3115</v>
      </c>
      <c r="B4736" s="1">
        <v>45723</v>
      </c>
      <c r="C4736" t="s">
        <v>8989</v>
      </c>
      <c r="D4736" t="s">
        <v>3722</v>
      </c>
      <c r="E4736" t="s">
        <v>8614</v>
      </c>
      <c r="F4736" t="s">
        <v>8537</v>
      </c>
      <c r="G4736" t="s">
        <v>8538</v>
      </c>
      <c r="H4736" t="s">
        <v>3723</v>
      </c>
      <c r="J4736">
        <v>65000</v>
      </c>
      <c r="L4736" t="s">
        <v>5875</v>
      </c>
    </row>
    <row r="4737" spans="1:12" x14ac:dyDescent="0.35">
      <c r="A4737" t="s">
        <v>3115</v>
      </c>
      <c r="B4737" s="1">
        <v>45723</v>
      </c>
      <c r="C4737" t="s">
        <v>8990</v>
      </c>
      <c r="D4737" t="s">
        <v>3724</v>
      </c>
      <c r="E4737" t="s">
        <v>8991</v>
      </c>
      <c r="F4737" t="s">
        <v>6802</v>
      </c>
      <c r="H4737" t="s">
        <v>3725</v>
      </c>
      <c r="K4737">
        <v>80000</v>
      </c>
      <c r="L4737" t="s">
        <v>6803</v>
      </c>
    </row>
    <row r="4738" spans="1:12" x14ac:dyDescent="0.35">
      <c r="A4738" t="s">
        <v>3115</v>
      </c>
      <c r="B4738" s="1">
        <v>45723</v>
      </c>
      <c r="C4738" t="s">
        <v>8990</v>
      </c>
      <c r="D4738" t="s">
        <v>3724</v>
      </c>
      <c r="E4738" t="s">
        <v>8991</v>
      </c>
      <c r="F4738" t="s">
        <v>8537</v>
      </c>
      <c r="G4738" t="s">
        <v>8538</v>
      </c>
      <c r="H4738" t="s">
        <v>3725</v>
      </c>
      <c r="J4738">
        <v>80000</v>
      </c>
      <c r="L4738" t="s">
        <v>5875</v>
      </c>
    </row>
    <row r="4739" spans="1:12" x14ac:dyDescent="0.35">
      <c r="A4739" t="s">
        <v>3115</v>
      </c>
      <c r="B4739" s="1">
        <v>45723</v>
      </c>
      <c r="C4739" t="s">
        <v>8992</v>
      </c>
      <c r="D4739" t="s">
        <v>3726</v>
      </c>
      <c r="E4739" t="s">
        <v>8993</v>
      </c>
      <c r="F4739" t="s">
        <v>6802</v>
      </c>
      <c r="H4739" t="s">
        <v>3727</v>
      </c>
      <c r="K4739">
        <v>60000</v>
      </c>
      <c r="L4739" t="s">
        <v>6803</v>
      </c>
    </row>
    <row r="4740" spans="1:12" x14ac:dyDescent="0.35">
      <c r="A4740" t="s">
        <v>3115</v>
      </c>
      <c r="B4740" s="1">
        <v>45723</v>
      </c>
      <c r="C4740" t="s">
        <v>8992</v>
      </c>
      <c r="D4740" t="s">
        <v>3726</v>
      </c>
      <c r="E4740" t="s">
        <v>8993</v>
      </c>
      <c r="F4740" t="s">
        <v>8537</v>
      </c>
      <c r="G4740" t="s">
        <v>8538</v>
      </c>
      <c r="H4740" t="s">
        <v>3727</v>
      </c>
      <c r="J4740">
        <v>60000</v>
      </c>
      <c r="L4740" t="s">
        <v>5881</v>
      </c>
    </row>
    <row r="4741" spans="1:12" x14ac:dyDescent="0.35">
      <c r="A4741" t="s">
        <v>3115</v>
      </c>
      <c r="B4741" s="1">
        <v>45723</v>
      </c>
      <c r="C4741" t="s">
        <v>8994</v>
      </c>
      <c r="D4741" t="s">
        <v>3728</v>
      </c>
      <c r="E4741" t="s">
        <v>8995</v>
      </c>
      <c r="F4741" t="s">
        <v>6802</v>
      </c>
      <c r="H4741" t="s">
        <v>3729</v>
      </c>
      <c r="K4741">
        <v>65000</v>
      </c>
      <c r="L4741" t="s">
        <v>6803</v>
      </c>
    </row>
    <row r="4742" spans="1:12" x14ac:dyDescent="0.35">
      <c r="A4742" t="s">
        <v>3115</v>
      </c>
      <c r="B4742" s="1">
        <v>45723</v>
      </c>
      <c r="C4742" t="s">
        <v>8994</v>
      </c>
      <c r="D4742" t="s">
        <v>3728</v>
      </c>
      <c r="E4742" t="s">
        <v>8995</v>
      </c>
      <c r="F4742" t="s">
        <v>8537</v>
      </c>
      <c r="G4742" t="s">
        <v>8538</v>
      </c>
      <c r="H4742" t="s">
        <v>3729</v>
      </c>
      <c r="J4742">
        <v>65000</v>
      </c>
      <c r="L4742" t="s">
        <v>5874</v>
      </c>
    </row>
    <row r="4743" spans="1:12" x14ac:dyDescent="0.35">
      <c r="A4743" t="s">
        <v>3115</v>
      </c>
      <c r="B4743" s="1">
        <v>45723</v>
      </c>
      <c r="C4743" t="s">
        <v>8996</v>
      </c>
      <c r="D4743" t="s">
        <v>3730</v>
      </c>
      <c r="E4743" t="s">
        <v>8997</v>
      </c>
      <c r="F4743" t="s">
        <v>6802</v>
      </c>
      <c r="H4743" t="s">
        <v>3731</v>
      </c>
      <c r="K4743">
        <v>160000</v>
      </c>
      <c r="L4743" t="s">
        <v>6803</v>
      </c>
    </row>
    <row r="4744" spans="1:12" x14ac:dyDescent="0.35">
      <c r="A4744" t="s">
        <v>3115</v>
      </c>
      <c r="B4744" s="1">
        <v>45723</v>
      </c>
      <c r="C4744" t="s">
        <v>8996</v>
      </c>
      <c r="D4744" t="s">
        <v>3730</v>
      </c>
      <c r="E4744" t="s">
        <v>8997</v>
      </c>
      <c r="F4744" t="s">
        <v>8537</v>
      </c>
      <c r="G4744" t="s">
        <v>8538</v>
      </c>
      <c r="H4744" t="s">
        <v>3731</v>
      </c>
      <c r="J4744">
        <v>160000</v>
      </c>
      <c r="L4744" t="s">
        <v>5874</v>
      </c>
    </row>
    <row r="4745" spans="1:12" x14ac:dyDescent="0.35">
      <c r="A4745" t="s">
        <v>3115</v>
      </c>
      <c r="B4745" s="1">
        <v>45723</v>
      </c>
      <c r="C4745" t="s">
        <v>8998</v>
      </c>
      <c r="D4745" t="s">
        <v>3732</v>
      </c>
      <c r="E4745" t="s">
        <v>8999</v>
      </c>
      <c r="F4745" t="s">
        <v>6802</v>
      </c>
      <c r="H4745" t="s">
        <v>3733</v>
      </c>
      <c r="K4745">
        <v>80000</v>
      </c>
      <c r="L4745" t="s">
        <v>6803</v>
      </c>
    </row>
    <row r="4746" spans="1:12" x14ac:dyDescent="0.35">
      <c r="A4746" t="s">
        <v>3115</v>
      </c>
      <c r="B4746" s="1">
        <v>45723</v>
      </c>
      <c r="C4746" t="s">
        <v>8998</v>
      </c>
      <c r="D4746" t="s">
        <v>3732</v>
      </c>
      <c r="E4746" t="s">
        <v>8999</v>
      </c>
      <c r="F4746" t="s">
        <v>8537</v>
      </c>
      <c r="G4746" t="s">
        <v>8538</v>
      </c>
      <c r="H4746" t="s">
        <v>3733</v>
      </c>
      <c r="J4746">
        <v>80000</v>
      </c>
      <c r="L4746" t="s">
        <v>5874</v>
      </c>
    </row>
    <row r="4747" spans="1:12" x14ac:dyDescent="0.35">
      <c r="A4747" t="s">
        <v>3115</v>
      </c>
      <c r="B4747" s="1">
        <v>45723</v>
      </c>
      <c r="C4747" t="s">
        <v>9000</v>
      </c>
      <c r="D4747" t="s">
        <v>3734</v>
      </c>
      <c r="E4747" t="s">
        <v>9001</v>
      </c>
      <c r="F4747" t="s">
        <v>6802</v>
      </c>
      <c r="H4747" t="s">
        <v>3735</v>
      </c>
      <c r="K4747">
        <v>80000</v>
      </c>
      <c r="L4747" t="s">
        <v>6803</v>
      </c>
    </row>
    <row r="4748" spans="1:12" x14ac:dyDescent="0.35">
      <c r="A4748" t="s">
        <v>3115</v>
      </c>
      <c r="B4748" s="1">
        <v>45723</v>
      </c>
      <c r="C4748" t="s">
        <v>9000</v>
      </c>
      <c r="D4748" t="s">
        <v>3734</v>
      </c>
      <c r="E4748" t="s">
        <v>9001</v>
      </c>
      <c r="F4748" t="s">
        <v>8537</v>
      </c>
      <c r="G4748" t="s">
        <v>8538</v>
      </c>
      <c r="H4748" t="s">
        <v>3735</v>
      </c>
      <c r="J4748">
        <v>80000</v>
      </c>
      <c r="L4748" t="s">
        <v>5874</v>
      </c>
    </row>
    <row r="4749" spans="1:12" x14ac:dyDescent="0.35">
      <c r="A4749" t="s">
        <v>3115</v>
      </c>
      <c r="B4749" s="1">
        <v>45723</v>
      </c>
      <c r="C4749" t="s">
        <v>9002</v>
      </c>
      <c r="D4749" t="s">
        <v>3736</v>
      </c>
      <c r="E4749" t="s">
        <v>9003</v>
      </c>
      <c r="F4749" t="s">
        <v>6802</v>
      </c>
      <c r="H4749" t="s">
        <v>3737</v>
      </c>
      <c r="K4749">
        <v>330000</v>
      </c>
      <c r="L4749" t="s">
        <v>6803</v>
      </c>
    </row>
    <row r="4750" spans="1:12" x14ac:dyDescent="0.35">
      <c r="A4750" t="s">
        <v>3115</v>
      </c>
      <c r="B4750" s="1">
        <v>45723</v>
      </c>
      <c r="C4750" t="s">
        <v>9002</v>
      </c>
      <c r="D4750" t="s">
        <v>3736</v>
      </c>
      <c r="E4750" t="s">
        <v>9003</v>
      </c>
      <c r="F4750" t="s">
        <v>8537</v>
      </c>
      <c r="G4750" t="s">
        <v>8538</v>
      </c>
      <c r="H4750" t="s">
        <v>3737</v>
      </c>
      <c r="J4750">
        <v>330000</v>
      </c>
      <c r="L4750" t="s">
        <v>5875</v>
      </c>
    </row>
    <row r="4751" spans="1:12" x14ac:dyDescent="0.35">
      <c r="A4751" t="s">
        <v>3115</v>
      </c>
      <c r="B4751" s="1">
        <v>45723</v>
      </c>
      <c r="C4751" t="s">
        <v>9004</v>
      </c>
      <c r="D4751" t="s">
        <v>3738</v>
      </c>
      <c r="E4751" t="s">
        <v>9005</v>
      </c>
      <c r="F4751" t="s">
        <v>6802</v>
      </c>
      <c r="H4751" t="s">
        <v>3739</v>
      </c>
      <c r="K4751">
        <v>135000</v>
      </c>
      <c r="L4751" t="s">
        <v>6803</v>
      </c>
    </row>
    <row r="4752" spans="1:12" x14ac:dyDescent="0.35">
      <c r="A4752" t="s">
        <v>3115</v>
      </c>
      <c r="B4752" s="1">
        <v>45723</v>
      </c>
      <c r="C4752" t="s">
        <v>9004</v>
      </c>
      <c r="D4752" t="s">
        <v>3738</v>
      </c>
      <c r="E4752" t="s">
        <v>9005</v>
      </c>
      <c r="F4752" t="s">
        <v>8537</v>
      </c>
      <c r="G4752" t="s">
        <v>8538</v>
      </c>
      <c r="H4752" t="s">
        <v>3739</v>
      </c>
      <c r="J4752">
        <v>135000</v>
      </c>
      <c r="L4752" t="s">
        <v>5878</v>
      </c>
    </row>
    <row r="4753" spans="1:12" x14ac:dyDescent="0.35">
      <c r="A4753" t="s">
        <v>3115</v>
      </c>
      <c r="B4753" s="1">
        <v>45723</v>
      </c>
      <c r="C4753" t="s">
        <v>9006</v>
      </c>
      <c r="D4753" t="s">
        <v>3740</v>
      </c>
      <c r="E4753" t="s">
        <v>8550</v>
      </c>
      <c r="F4753" t="s">
        <v>6802</v>
      </c>
      <c r="H4753" t="s">
        <v>3741</v>
      </c>
      <c r="K4753">
        <v>65000</v>
      </c>
      <c r="L4753" t="s">
        <v>6803</v>
      </c>
    </row>
    <row r="4754" spans="1:12" x14ac:dyDescent="0.35">
      <c r="A4754" t="s">
        <v>3115</v>
      </c>
      <c r="B4754" s="1">
        <v>45723</v>
      </c>
      <c r="C4754" t="s">
        <v>9006</v>
      </c>
      <c r="D4754" t="s">
        <v>3740</v>
      </c>
      <c r="E4754" t="s">
        <v>8550</v>
      </c>
      <c r="F4754" t="s">
        <v>8537</v>
      </c>
      <c r="G4754" t="s">
        <v>8538</v>
      </c>
      <c r="H4754" t="s">
        <v>3741</v>
      </c>
      <c r="J4754">
        <v>65000</v>
      </c>
      <c r="L4754" t="s">
        <v>5875</v>
      </c>
    </row>
    <row r="4755" spans="1:12" x14ac:dyDescent="0.35">
      <c r="A4755" t="s">
        <v>3115</v>
      </c>
      <c r="B4755" s="1">
        <v>45723</v>
      </c>
      <c r="C4755" t="s">
        <v>9007</v>
      </c>
      <c r="D4755" t="s">
        <v>3742</v>
      </c>
      <c r="E4755" t="s">
        <v>9008</v>
      </c>
      <c r="F4755" t="s">
        <v>6802</v>
      </c>
      <c r="H4755" t="s">
        <v>3743</v>
      </c>
      <c r="K4755">
        <v>6035</v>
      </c>
      <c r="L4755" t="s">
        <v>6803</v>
      </c>
    </row>
    <row r="4756" spans="1:12" x14ac:dyDescent="0.35">
      <c r="A4756" t="s">
        <v>3115</v>
      </c>
      <c r="B4756" s="1">
        <v>45723</v>
      </c>
      <c r="C4756" t="s">
        <v>9007</v>
      </c>
      <c r="D4756" t="s">
        <v>3742</v>
      </c>
      <c r="E4756" t="s">
        <v>9008</v>
      </c>
      <c r="F4756" t="s">
        <v>8537</v>
      </c>
      <c r="G4756" t="s">
        <v>8538</v>
      </c>
      <c r="H4756" t="s">
        <v>3743</v>
      </c>
      <c r="J4756">
        <v>6035</v>
      </c>
      <c r="L4756" t="s">
        <v>5880</v>
      </c>
    </row>
    <row r="4757" spans="1:12" x14ac:dyDescent="0.35">
      <c r="A4757" t="s">
        <v>3115</v>
      </c>
      <c r="B4757" s="1">
        <v>45723</v>
      </c>
      <c r="C4757" t="s">
        <v>9009</v>
      </c>
      <c r="D4757" t="s">
        <v>3744</v>
      </c>
      <c r="E4757" t="s">
        <v>9010</v>
      </c>
      <c r="F4757" t="s">
        <v>6802</v>
      </c>
      <c r="H4757" t="s">
        <v>3745</v>
      </c>
      <c r="K4757">
        <v>4723</v>
      </c>
      <c r="L4757" t="s">
        <v>6803</v>
      </c>
    </row>
    <row r="4758" spans="1:12" x14ac:dyDescent="0.35">
      <c r="A4758" t="s">
        <v>3115</v>
      </c>
      <c r="B4758" s="1">
        <v>45723</v>
      </c>
      <c r="C4758" t="s">
        <v>9009</v>
      </c>
      <c r="D4758" t="s">
        <v>3744</v>
      </c>
      <c r="E4758" t="s">
        <v>9010</v>
      </c>
      <c r="F4758" t="s">
        <v>8537</v>
      </c>
      <c r="G4758" t="s">
        <v>8538</v>
      </c>
      <c r="H4758" t="s">
        <v>3745</v>
      </c>
      <c r="J4758">
        <v>4723</v>
      </c>
      <c r="L4758" t="s">
        <v>5873</v>
      </c>
    </row>
    <row r="4759" spans="1:12" x14ac:dyDescent="0.35">
      <c r="A4759" t="s">
        <v>3115</v>
      </c>
      <c r="B4759" s="1">
        <v>45723</v>
      </c>
      <c r="C4759" t="s">
        <v>9011</v>
      </c>
      <c r="D4759" t="s">
        <v>3746</v>
      </c>
      <c r="E4759" t="s">
        <v>9012</v>
      </c>
      <c r="F4759" t="s">
        <v>6802</v>
      </c>
      <c r="H4759" t="s">
        <v>3747</v>
      </c>
      <c r="K4759">
        <v>3739</v>
      </c>
      <c r="L4759" t="s">
        <v>6803</v>
      </c>
    </row>
    <row r="4760" spans="1:12" x14ac:dyDescent="0.35">
      <c r="A4760" t="s">
        <v>3115</v>
      </c>
      <c r="B4760" s="1">
        <v>45723</v>
      </c>
      <c r="C4760" t="s">
        <v>9011</v>
      </c>
      <c r="D4760" t="s">
        <v>3746</v>
      </c>
      <c r="E4760" t="s">
        <v>9012</v>
      </c>
      <c r="F4760" t="s">
        <v>8537</v>
      </c>
      <c r="G4760" t="s">
        <v>8538</v>
      </c>
      <c r="H4760" t="s">
        <v>3747</v>
      </c>
      <c r="J4760">
        <v>3739</v>
      </c>
      <c r="L4760" t="s">
        <v>5875</v>
      </c>
    </row>
    <row r="4761" spans="1:12" x14ac:dyDescent="0.35">
      <c r="A4761" t="s">
        <v>3115</v>
      </c>
      <c r="B4761" s="1">
        <v>45723</v>
      </c>
      <c r="C4761" t="s">
        <v>9013</v>
      </c>
      <c r="D4761" t="s">
        <v>3748</v>
      </c>
      <c r="E4761" t="s">
        <v>9014</v>
      </c>
      <c r="F4761" t="s">
        <v>6802</v>
      </c>
      <c r="H4761" t="s">
        <v>3749</v>
      </c>
      <c r="K4761">
        <v>300</v>
      </c>
      <c r="L4761" t="s">
        <v>6803</v>
      </c>
    </row>
    <row r="4762" spans="1:12" x14ac:dyDescent="0.35">
      <c r="A4762" t="s">
        <v>3115</v>
      </c>
      <c r="B4762" s="1">
        <v>45723</v>
      </c>
      <c r="C4762" t="s">
        <v>9013</v>
      </c>
      <c r="D4762" t="s">
        <v>3748</v>
      </c>
      <c r="E4762" t="s">
        <v>9014</v>
      </c>
      <c r="F4762" t="s">
        <v>8557</v>
      </c>
      <c r="G4762" t="s">
        <v>8558</v>
      </c>
      <c r="H4762" t="s">
        <v>3749</v>
      </c>
      <c r="J4762">
        <v>300</v>
      </c>
      <c r="L4762" t="s">
        <v>5880</v>
      </c>
    </row>
    <row r="4763" spans="1:12" x14ac:dyDescent="0.35">
      <c r="A4763" t="s">
        <v>3115</v>
      </c>
      <c r="B4763" s="1">
        <v>45723</v>
      </c>
      <c r="C4763" t="s">
        <v>9015</v>
      </c>
      <c r="D4763" t="s">
        <v>3750</v>
      </c>
      <c r="E4763" t="s">
        <v>9016</v>
      </c>
      <c r="F4763" t="s">
        <v>6802</v>
      </c>
      <c r="H4763" t="s">
        <v>3751</v>
      </c>
      <c r="K4763">
        <v>870000</v>
      </c>
      <c r="L4763" t="s">
        <v>6803</v>
      </c>
    </row>
    <row r="4764" spans="1:12" x14ac:dyDescent="0.35">
      <c r="A4764" t="s">
        <v>3115</v>
      </c>
      <c r="B4764" s="1">
        <v>45723</v>
      </c>
      <c r="C4764" t="s">
        <v>9015</v>
      </c>
      <c r="D4764" t="s">
        <v>3750</v>
      </c>
      <c r="E4764" t="s">
        <v>9016</v>
      </c>
      <c r="F4764" t="s">
        <v>8537</v>
      </c>
      <c r="G4764" t="s">
        <v>8538</v>
      </c>
      <c r="H4764" t="s">
        <v>3751</v>
      </c>
      <c r="J4764">
        <v>870000</v>
      </c>
      <c r="L4764" t="s">
        <v>5958</v>
      </c>
    </row>
    <row r="4765" spans="1:12" x14ac:dyDescent="0.35">
      <c r="A4765" t="s">
        <v>3115</v>
      </c>
      <c r="B4765" s="1">
        <v>45723</v>
      </c>
      <c r="C4765" t="s">
        <v>9017</v>
      </c>
      <c r="D4765" t="s">
        <v>3752</v>
      </c>
      <c r="E4765" t="s">
        <v>9018</v>
      </c>
      <c r="F4765" t="s">
        <v>6802</v>
      </c>
      <c r="H4765" t="s">
        <v>3753</v>
      </c>
      <c r="K4765">
        <v>175000</v>
      </c>
      <c r="L4765" t="s">
        <v>6803</v>
      </c>
    </row>
    <row r="4766" spans="1:12" x14ac:dyDescent="0.35">
      <c r="A4766" t="s">
        <v>3115</v>
      </c>
      <c r="B4766" s="1">
        <v>45723</v>
      </c>
      <c r="C4766" t="s">
        <v>9017</v>
      </c>
      <c r="D4766" t="s">
        <v>3752</v>
      </c>
      <c r="E4766" t="s">
        <v>9018</v>
      </c>
      <c r="F4766" t="s">
        <v>8537</v>
      </c>
      <c r="G4766" t="s">
        <v>8538</v>
      </c>
      <c r="H4766" t="s">
        <v>3753</v>
      </c>
      <c r="J4766">
        <v>175000</v>
      </c>
      <c r="L4766" t="s">
        <v>5875</v>
      </c>
    </row>
    <row r="4767" spans="1:12" x14ac:dyDescent="0.35">
      <c r="A4767" t="s">
        <v>3115</v>
      </c>
      <c r="B4767" s="1">
        <v>45723</v>
      </c>
      <c r="C4767" t="s">
        <v>9019</v>
      </c>
      <c r="D4767" t="s">
        <v>3754</v>
      </c>
      <c r="E4767" t="s">
        <v>9020</v>
      </c>
      <c r="F4767" t="s">
        <v>6802</v>
      </c>
      <c r="H4767" t="s">
        <v>3755</v>
      </c>
      <c r="K4767">
        <v>50000</v>
      </c>
      <c r="L4767" t="s">
        <v>6803</v>
      </c>
    </row>
    <row r="4768" spans="1:12" x14ac:dyDescent="0.35">
      <c r="A4768" t="s">
        <v>3115</v>
      </c>
      <c r="B4768" s="1">
        <v>45723</v>
      </c>
      <c r="C4768" t="s">
        <v>9019</v>
      </c>
      <c r="D4768" t="s">
        <v>3754</v>
      </c>
      <c r="E4768" t="s">
        <v>9020</v>
      </c>
      <c r="F4768" t="s">
        <v>8537</v>
      </c>
      <c r="G4768" t="s">
        <v>8538</v>
      </c>
      <c r="H4768" t="s">
        <v>3755</v>
      </c>
      <c r="J4768">
        <v>50000</v>
      </c>
      <c r="L4768" t="s">
        <v>5875</v>
      </c>
    </row>
    <row r="4769" spans="1:12" x14ac:dyDescent="0.35">
      <c r="A4769" t="s">
        <v>3115</v>
      </c>
      <c r="B4769" s="1">
        <v>45723</v>
      </c>
      <c r="C4769" t="s">
        <v>9021</v>
      </c>
      <c r="D4769" t="s">
        <v>3756</v>
      </c>
      <c r="E4769" t="s">
        <v>9022</v>
      </c>
      <c r="F4769" t="s">
        <v>6802</v>
      </c>
      <c r="H4769" t="s">
        <v>3757</v>
      </c>
      <c r="K4769">
        <v>70000</v>
      </c>
      <c r="L4769" t="s">
        <v>6803</v>
      </c>
    </row>
    <row r="4770" spans="1:12" x14ac:dyDescent="0.35">
      <c r="A4770" t="s">
        <v>3115</v>
      </c>
      <c r="B4770" s="1">
        <v>45723</v>
      </c>
      <c r="C4770" t="s">
        <v>9021</v>
      </c>
      <c r="D4770" t="s">
        <v>3756</v>
      </c>
      <c r="E4770" t="s">
        <v>9022</v>
      </c>
      <c r="F4770" t="s">
        <v>8537</v>
      </c>
      <c r="G4770" t="s">
        <v>8538</v>
      </c>
      <c r="H4770" t="s">
        <v>3757</v>
      </c>
      <c r="J4770">
        <v>70000</v>
      </c>
      <c r="L4770" t="s">
        <v>5873</v>
      </c>
    </row>
    <row r="4771" spans="1:12" x14ac:dyDescent="0.35">
      <c r="A4771" t="s">
        <v>3115</v>
      </c>
      <c r="B4771" s="1">
        <v>45723</v>
      </c>
      <c r="C4771" t="s">
        <v>9023</v>
      </c>
      <c r="D4771" t="s">
        <v>3758</v>
      </c>
      <c r="E4771" t="s">
        <v>9024</v>
      </c>
      <c r="F4771" t="s">
        <v>6802</v>
      </c>
      <c r="H4771" t="s">
        <v>3759</v>
      </c>
      <c r="K4771">
        <v>30000</v>
      </c>
      <c r="L4771" t="s">
        <v>6803</v>
      </c>
    </row>
    <row r="4772" spans="1:12" x14ac:dyDescent="0.35">
      <c r="A4772" t="s">
        <v>3115</v>
      </c>
      <c r="B4772" s="1">
        <v>45723</v>
      </c>
      <c r="C4772" t="s">
        <v>9023</v>
      </c>
      <c r="D4772" t="s">
        <v>3758</v>
      </c>
      <c r="E4772" t="s">
        <v>9024</v>
      </c>
      <c r="F4772" t="s">
        <v>8537</v>
      </c>
      <c r="G4772" t="s">
        <v>8538</v>
      </c>
      <c r="H4772" t="s">
        <v>3759</v>
      </c>
      <c r="J4772">
        <v>30000</v>
      </c>
      <c r="L4772" t="s">
        <v>5875</v>
      </c>
    </row>
    <row r="4773" spans="1:12" x14ac:dyDescent="0.35">
      <c r="A4773" t="s">
        <v>3115</v>
      </c>
      <c r="B4773" s="1">
        <v>45723</v>
      </c>
      <c r="C4773" t="s">
        <v>9025</v>
      </c>
      <c r="D4773" t="s">
        <v>3760</v>
      </c>
      <c r="E4773" t="s">
        <v>9026</v>
      </c>
      <c r="F4773" t="s">
        <v>6802</v>
      </c>
      <c r="H4773" t="s">
        <v>3761</v>
      </c>
      <c r="K4773">
        <v>90000</v>
      </c>
      <c r="L4773" t="s">
        <v>6803</v>
      </c>
    </row>
    <row r="4774" spans="1:12" x14ac:dyDescent="0.35">
      <c r="A4774" t="s">
        <v>3115</v>
      </c>
      <c r="B4774" s="1">
        <v>45723</v>
      </c>
      <c r="C4774" t="s">
        <v>9025</v>
      </c>
      <c r="D4774" t="s">
        <v>3760</v>
      </c>
      <c r="E4774" t="s">
        <v>9026</v>
      </c>
      <c r="F4774" t="s">
        <v>8537</v>
      </c>
      <c r="G4774" t="s">
        <v>8538</v>
      </c>
      <c r="H4774" t="s">
        <v>3761</v>
      </c>
      <c r="J4774">
        <v>90000</v>
      </c>
      <c r="L4774" t="s">
        <v>5880</v>
      </c>
    </row>
    <row r="4775" spans="1:12" x14ac:dyDescent="0.35">
      <c r="A4775" t="s">
        <v>3115</v>
      </c>
      <c r="B4775" s="1">
        <v>45723</v>
      </c>
      <c r="C4775" t="s">
        <v>9027</v>
      </c>
      <c r="D4775" t="s">
        <v>3762</v>
      </c>
      <c r="E4775" t="s">
        <v>9028</v>
      </c>
      <c r="F4775" t="s">
        <v>6802</v>
      </c>
      <c r="H4775" t="s">
        <v>3763</v>
      </c>
      <c r="K4775">
        <v>70000</v>
      </c>
      <c r="L4775" t="s">
        <v>6803</v>
      </c>
    </row>
    <row r="4776" spans="1:12" x14ac:dyDescent="0.35">
      <c r="A4776" t="s">
        <v>3115</v>
      </c>
      <c r="B4776" s="1">
        <v>45723</v>
      </c>
      <c r="C4776" t="s">
        <v>9027</v>
      </c>
      <c r="D4776" t="s">
        <v>3762</v>
      </c>
      <c r="E4776" t="s">
        <v>9028</v>
      </c>
      <c r="F4776" t="s">
        <v>8537</v>
      </c>
      <c r="G4776" t="s">
        <v>8538</v>
      </c>
      <c r="H4776" t="s">
        <v>3763</v>
      </c>
      <c r="J4776">
        <v>70000</v>
      </c>
      <c r="L4776" t="s">
        <v>5958</v>
      </c>
    </row>
    <row r="4777" spans="1:12" x14ac:dyDescent="0.35">
      <c r="A4777" t="s">
        <v>3115</v>
      </c>
      <c r="B4777" s="1">
        <v>45723</v>
      </c>
      <c r="C4777" t="s">
        <v>9029</v>
      </c>
      <c r="D4777" t="s">
        <v>3764</v>
      </c>
      <c r="E4777" t="s">
        <v>9030</v>
      </c>
      <c r="F4777" t="s">
        <v>6802</v>
      </c>
      <c r="H4777" t="s">
        <v>3765</v>
      </c>
      <c r="K4777">
        <v>45000</v>
      </c>
      <c r="L4777" t="s">
        <v>6803</v>
      </c>
    </row>
    <row r="4778" spans="1:12" x14ac:dyDescent="0.35">
      <c r="A4778" t="s">
        <v>3115</v>
      </c>
      <c r="B4778" s="1">
        <v>45723</v>
      </c>
      <c r="C4778" t="s">
        <v>9029</v>
      </c>
      <c r="D4778" t="s">
        <v>3764</v>
      </c>
      <c r="E4778" t="s">
        <v>9030</v>
      </c>
      <c r="F4778" t="s">
        <v>8537</v>
      </c>
      <c r="G4778" t="s">
        <v>8538</v>
      </c>
      <c r="H4778" t="s">
        <v>3765</v>
      </c>
      <c r="J4778">
        <v>45000</v>
      </c>
      <c r="L4778" t="s">
        <v>5874</v>
      </c>
    </row>
    <row r="4779" spans="1:12" x14ac:dyDescent="0.35">
      <c r="A4779" t="s">
        <v>3115</v>
      </c>
      <c r="B4779" s="1">
        <v>45723</v>
      </c>
      <c r="C4779" t="s">
        <v>9031</v>
      </c>
      <c r="D4779" t="s">
        <v>3766</v>
      </c>
      <c r="E4779" t="s">
        <v>9032</v>
      </c>
      <c r="F4779" t="s">
        <v>6802</v>
      </c>
      <c r="H4779" t="s">
        <v>3767</v>
      </c>
      <c r="K4779">
        <v>80000</v>
      </c>
      <c r="L4779" t="s">
        <v>6803</v>
      </c>
    </row>
    <row r="4780" spans="1:12" x14ac:dyDescent="0.35">
      <c r="A4780" t="s">
        <v>3115</v>
      </c>
      <c r="B4780" s="1">
        <v>45723</v>
      </c>
      <c r="C4780" t="s">
        <v>9031</v>
      </c>
      <c r="D4780" t="s">
        <v>3766</v>
      </c>
      <c r="E4780" t="s">
        <v>9032</v>
      </c>
      <c r="F4780" t="s">
        <v>8537</v>
      </c>
      <c r="G4780" t="s">
        <v>8538</v>
      </c>
      <c r="H4780" t="s">
        <v>3767</v>
      </c>
      <c r="J4780">
        <v>80000</v>
      </c>
      <c r="L4780" t="s">
        <v>5875</v>
      </c>
    </row>
    <row r="4781" spans="1:12" x14ac:dyDescent="0.35">
      <c r="A4781" t="s">
        <v>3115</v>
      </c>
      <c r="B4781" s="1">
        <v>45723</v>
      </c>
      <c r="C4781" t="s">
        <v>9033</v>
      </c>
      <c r="D4781" t="s">
        <v>3768</v>
      </c>
      <c r="E4781" t="s">
        <v>9034</v>
      </c>
      <c r="F4781" t="s">
        <v>6802</v>
      </c>
      <c r="H4781" t="s">
        <v>3769</v>
      </c>
      <c r="K4781">
        <v>65000</v>
      </c>
      <c r="L4781" t="s">
        <v>6803</v>
      </c>
    </row>
    <row r="4782" spans="1:12" x14ac:dyDescent="0.35">
      <c r="A4782" t="s">
        <v>3115</v>
      </c>
      <c r="B4782" s="1">
        <v>45723</v>
      </c>
      <c r="C4782" t="s">
        <v>9033</v>
      </c>
      <c r="D4782" t="s">
        <v>3768</v>
      </c>
      <c r="E4782" t="s">
        <v>9034</v>
      </c>
      <c r="F4782" t="s">
        <v>8537</v>
      </c>
      <c r="G4782" t="s">
        <v>8538</v>
      </c>
      <c r="H4782" t="s">
        <v>3769</v>
      </c>
      <c r="J4782">
        <v>65000</v>
      </c>
      <c r="L4782" t="s">
        <v>5876</v>
      </c>
    </row>
    <row r="4783" spans="1:12" x14ac:dyDescent="0.35">
      <c r="A4783" t="s">
        <v>3115</v>
      </c>
      <c r="B4783" s="1">
        <v>45723</v>
      </c>
      <c r="C4783" t="s">
        <v>9035</v>
      </c>
      <c r="D4783" t="s">
        <v>3770</v>
      </c>
      <c r="E4783" t="s">
        <v>9036</v>
      </c>
      <c r="F4783" t="s">
        <v>6802</v>
      </c>
      <c r="H4783" t="s">
        <v>3771</v>
      </c>
      <c r="K4783">
        <v>185112</v>
      </c>
      <c r="L4783" t="s">
        <v>6803</v>
      </c>
    </row>
    <row r="4784" spans="1:12" x14ac:dyDescent="0.35">
      <c r="A4784" t="s">
        <v>3115</v>
      </c>
      <c r="B4784" s="1">
        <v>45723</v>
      </c>
      <c r="C4784" t="s">
        <v>9035</v>
      </c>
      <c r="D4784" t="s">
        <v>3770</v>
      </c>
      <c r="E4784" t="s">
        <v>9036</v>
      </c>
      <c r="F4784" t="s">
        <v>8537</v>
      </c>
      <c r="G4784" t="s">
        <v>8538</v>
      </c>
      <c r="H4784" t="s">
        <v>3771</v>
      </c>
      <c r="J4784">
        <v>185112</v>
      </c>
      <c r="L4784" t="s">
        <v>5876</v>
      </c>
    </row>
    <row r="4785" spans="1:12" x14ac:dyDescent="0.35">
      <c r="A4785" t="s">
        <v>3115</v>
      </c>
      <c r="B4785" s="1">
        <v>45723</v>
      </c>
      <c r="C4785" t="s">
        <v>9037</v>
      </c>
      <c r="D4785" t="s">
        <v>3772</v>
      </c>
      <c r="E4785" t="s">
        <v>9038</v>
      </c>
      <c r="F4785" t="s">
        <v>6802</v>
      </c>
      <c r="H4785" t="s">
        <v>3773</v>
      </c>
      <c r="K4785">
        <v>30000</v>
      </c>
      <c r="L4785" t="s">
        <v>6803</v>
      </c>
    </row>
    <row r="4786" spans="1:12" x14ac:dyDescent="0.35">
      <c r="A4786" t="s">
        <v>3115</v>
      </c>
      <c r="B4786" s="1">
        <v>45723</v>
      </c>
      <c r="C4786" t="s">
        <v>9037</v>
      </c>
      <c r="D4786" t="s">
        <v>3772</v>
      </c>
      <c r="E4786" t="s">
        <v>9038</v>
      </c>
      <c r="F4786" t="s">
        <v>8537</v>
      </c>
      <c r="G4786" t="s">
        <v>8538</v>
      </c>
      <c r="H4786" t="s">
        <v>3773</v>
      </c>
      <c r="J4786">
        <v>30000</v>
      </c>
      <c r="L4786" t="s">
        <v>5876</v>
      </c>
    </row>
    <row r="4787" spans="1:12" x14ac:dyDescent="0.35">
      <c r="A4787" t="s">
        <v>3115</v>
      </c>
      <c r="B4787" s="1">
        <v>45723</v>
      </c>
      <c r="C4787" t="s">
        <v>9039</v>
      </c>
      <c r="D4787" t="s">
        <v>3774</v>
      </c>
      <c r="E4787" t="s">
        <v>9040</v>
      </c>
      <c r="F4787" t="s">
        <v>6802</v>
      </c>
      <c r="H4787" t="s">
        <v>3775</v>
      </c>
      <c r="K4787">
        <v>80000</v>
      </c>
      <c r="L4787" t="s">
        <v>6803</v>
      </c>
    </row>
    <row r="4788" spans="1:12" x14ac:dyDescent="0.35">
      <c r="A4788" t="s">
        <v>3115</v>
      </c>
      <c r="B4788" s="1">
        <v>45723</v>
      </c>
      <c r="C4788" t="s">
        <v>9039</v>
      </c>
      <c r="D4788" t="s">
        <v>3774</v>
      </c>
      <c r="E4788" t="s">
        <v>9040</v>
      </c>
      <c r="F4788" t="s">
        <v>8537</v>
      </c>
      <c r="G4788" t="s">
        <v>8538</v>
      </c>
      <c r="H4788" t="s">
        <v>3775</v>
      </c>
      <c r="J4788">
        <v>80000</v>
      </c>
      <c r="L4788" t="s">
        <v>5875</v>
      </c>
    </row>
    <row r="4789" spans="1:12" x14ac:dyDescent="0.35">
      <c r="A4789" t="s">
        <v>3115</v>
      </c>
      <c r="B4789" s="1">
        <v>45723</v>
      </c>
      <c r="C4789" t="s">
        <v>9041</v>
      </c>
      <c r="D4789" t="s">
        <v>3776</v>
      </c>
      <c r="E4789" t="s">
        <v>9042</v>
      </c>
      <c r="F4789" t="s">
        <v>6802</v>
      </c>
      <c r="H4789" t="s">
        <v>3777</v>
      </c>
      <c r="K4789">
        <v>65000</v>
      </c>
      <c r="L4789" t="s">
        <v>6803</v>
      </c>
    </row>
    <row r="4790" spans="1:12" x14ac:dyDescent="0.35">
      <c r="A4790" t="s">
        <v>3115</v>
      </c>
      <c r="B4790" s="1">
        <v>45723</v>
      </c>
      <c r="C4790" t="s">
        <v>9041</v>
      </c>
      <c r="D4790" t="s">
        <v>3776</v>
      </c>
      <c r="E4790" t="s">
        <v>9042</v>
      </c>
      <c r="F4790" t="s">
        <v>8537</v>
      </c>
      <c r="G4790" t="s">
        <v>8538</v>
      </c>
      <c r="H4790" t="s">
        <v>3777</v>
      </c>
      <c r="J4790">
        <v>65000</v>
      </c>
      <c r="L4790" t="s">
        <v>5880</v>
      </c>
    </row>
    <row r="4791" spans="1:12" x14ac:dyDescent="0.35">
      <c r="A4791" t="s">
        <v>3115</v>
      </c>
      <c r="B4791" s="1">
        <v>45723</v>
      </c>
      <c r="C4791" t="s">
        <v>9043</v>
      </c>
      <c r="D4791" t="s">
        <v>3778</v>
      </c>
      <c r="E4791" t="s">
        <v>8613</v>
      </c>
      <c r="F4791" t="s">
        <v>6802</v>
      </c>
      <c r="H4791" t="s">
        <v>3779</v>
      </c>
      <c r="K4791">
        <v>65000</v>
      </c>
      <c r="L4791" t="s">
        <v>6803</v>
      </c>
    </row>
    <row r="4792" spans="1:12" x14ac:dyDescent="0.35">
      <c r="A4792" t="s">
        <v>3115</v>
      </c>
      <c r="B4792" s="1">
        <v>45723</v>
      </c>
      <c r="C4792" t="s">
        <v>9043</v>
      </c>
      <c r="D4792" t="s">
        <v>3778</v>
      </c>
      <c r="E4792" t="s">
        <v>8613</v>
      </c>
      <c r="F4792" t="s">
        <v>8537</v>
      </c>
      <c r="G4792" t="s">
        <v>8538</v>
      </c>
      <c r="H4792" t="s">
        <v>3779</v>
      </c>
      <c r="J4792">
        <v>65000</v>
      </c>
      <c r="L4792" t="s">
        <v>5874</v>
      </c>
    </row>
    <row r="4793" spans="1:12" x14ac:dyDescent="0.35">
      <c r="A4793" t="s">
        <v>3115</v>
      </c>
      <c r="B4793" s="1">
        <v>45723</v>
      </c>
      <c r="C4793" t="s">
        <v>9044</v>
      </c>
      <c r="D4793" t="s">
        <v>3780</v>
      </c>
      <c r="E4793" t="s">
        <v>9045</v>
      </c>
      <c r="F4793" t="s">
        <v>6802</v>
      </c>
      <c r="H4793" t="s">
        <v>3781</v>
      </c>
      <c r="K4793">
        <v>15000</v>
      </c>
      <c r="L4793" t="s">
        <v>6803</v>
      </c>
    </row>
    <row r="4794" spans="1:12" x14ac:dyDescent="0.35">
      <c r="A4794" t="s">
        <v>3115</v>
      </c>
      <c r="B4794" s="1">
        <v>45723</v>
      </c>
      <c r="C4794" t="s">
        <v>9044</v>
      </c>
      <c r="D4794" t="s">
        <v>3780</v>
      </c>
      <c r="E4794" t="s">
        <v>9045</v>
      </c>
      <c r="F4794" t="s">
        <v>8537</v>
      </c>
      <c r="G4794" t="s">
        <v>8538</v>
      </c>
      <c r="H4794" t="s">
        <v>3781</v>
      </c>
      <c r="J4794">
        <v>15000</v>
      </c>
      <c r="L4794" t="s">
        <v>5876</v>
      </c>
    </row>
    <row r="4795" spans="1:12" x14ac:dyDescent="0.35">
      <c r="A4795" t="s">
        <v>3115</v>
      </c>
      <c r="B4795" s="1">
        <v>45723</v>
      </c>
      <c r="C4795" t="s">
        <v>9046</v>
      </c>
      <c r="D4795" t="s">
        <v>3782</v>
      </c>
      <c r="E4795" t="s">
        <v>9045</v>
      </c>
      <c r="F4795" t="s">
        <v>6802</v>
      </c>
      <c r="H4795" t="s">
        <v>3783</v>
      </c>
      <c r="K4795">
        <v>300</v>
      </c>
      <c r="L4795" t="s">
        <v>6803</v>
      </c>
    </row>
    <row r="4796" spans="1:12" x14ac:dyDescent="0.35">
      <c r="A4796" t="s">
        <v>3115</v>
      </c>
      <c r="B4796" s="1">
        <v>45723</v>
      </c>
      <c r="C4796" t="s">
        <v>9046</v>
      </c>
      <c r="D4796" t="s">
        <v>3782</v>
      </c>
      <c r="E4796" t="s">
        <v>9045</v>
      </c>
      <c r="F4796" t="s">
        <v>8557</v>
      </c>
      <c r="G4796" t="s">
        <v>8558</v>
      </c>
      <c r="H4796" t="s">
        <v>3783</v>
      </c>
      <c r="J4796">
        <v>300</v>
      </c>
      <c r="L4796" t="s">
        <v>5876</v>
      </c>
    </row>
    <row r="4797" spans="1:12" x14ac:dyDescent="0.35">
      <c r="A4797" t="s">
        <v>3115</v>
      </c>
      <c r="B4797" s="1">
        <v>45723</v>
      </c>
      <c r="C4797" t="s">
        <v>9047</v>
      </c>
      <c r="D4797" t="s">
        <v>3784</v>
      </c>
      <c r="E4797" t="s">
        <v>9048</v>
      </c>
      <c r="F4797" t="s">
        <v>6802</v>
      </c>
      <c r="H4797" t="s">
        <v>3785</v>
      </c>
      <c r="K4797">
        <v>15000</v>
      </c>
      <c r="L4797" t="s">
        <v>6803</v>
      </c>
    </row>
    <row r="4798" spans="1:12" x14ac:dyDescent="0.35">
      <c r="A4798" t="s">
        <v>3115</v>
      </c>
      <c r="B4798" s="1">
        <v>45723</v>
      </c>
      <c r="C4798" t="s">
        <v>9047</v>
      </c>
      <c r="D4798" t="s">
        <v>3784</v>
      </c>
      <c r="E4798" t="s">
        <v>9048</v>
      </c>
      <c r="F4798" t="s">
        <v>8537</v>
      </c>
      <c r="G4798" t="s">
        <v>8538</v>
      </c>
      <c r="H4798" t="s">
        <v>3785</v>
      </c>
      <c r="J4798">
        <v>15000</v>
      </c>
      <c r="L4798" t="s">
        <v>5876</v>
      </c>
    </row>
    <row r="4799" spans="1:12" x14ac:dyDescent="0.35">
      <c r="A4799" t="s">
        <v>3115</v>
      </c>
      <c r="B4799" s="1">
        <v>45723</v>
      </c>
      <c r="C4799" t="s">
        <v>9049</v>
      </c>
      <c r="D4799" t="s">
        <v>3786</v>
      </c>
      <c r="E4799" t="s">
        <v>9050</v>
      </c>
      <c r="F4799" t="s">
        <v>6802</v>
      </c>
      <c r="H4799" t="s">
        <v>3787</v>
      </c>
      <c r="K4799">
        <v>49984</v>
      </c>
      <c r="L4799" t="s">
        <v>6803</v>
      </c>
    </row>
    <row r="4800" spans="1:12" x14ac:dyDescent="0.35">
      <c r="A4800" t="s">
        <v>3115</v>
      </c>
      <c r="B4800" s="1">
        <v>45723</v>
      </c>
      <c r="C4800" t="s">
        <v>9049</v>
      </c>
      <c r="D4800" t="s">
        <v>3786</v>
      </c>
      <c r="E4800" t="s">
        <v>9050</v>
      </c>
      <c r="F4800" t="s">
        <v>8537</v>
      </c>
      <c r="G4800" t="s">
        <v>8538</v>
      </c>
      <c r="H4800" t="s">
        <v>3787</v>
      </c>
      <c r="J4800">
        <v>49984</v>
      </c>
      <c r="L4800" t="s">
        <v>5966</v>
      </c>
    </row>
    <row r="4801" spans="1:12" x14ac:dyDescent="0.35">
      <c r="A4801" t="s">
        <v>3115</v>
      </c>
      <c r="B4801" s="1">
        <v>45723</v>
      </c>
      <c r="C4801" t="s">
        <v>9051</v>
      </c>
      <c r="D4801" t="s">
        <v>3788</v>
      </c>
      <c r="E4801" t="s">
        <v>9052</v>
      </c>
      <c r="F4801" t="s">
        <v>6811</v>
      </c>
      <c r="H4801" t="s">
        <v>3789</v>
      </c>
      <c r="K4801">
        <v>350</v>
      </c>
      <c r="L4801" t="s">
        <v>6803</v>
      </c>
    </row>
    <row r="4802" spans="1:12" x14ac:dyDescent="0.35">
      <c r="A4802" t="s">
        <v>3115</v>
      </c>
      <c r="B4802" s="1">
        <v>45723</v>
      </c>
      <c r="C4802" t="s">
        <v>9051</v>
      </c>
      <c r="D4802" t="s">
        <v>3788</v>
      </c>
      <c r="E4802" t="s">
        <v>9052</v>
      </c>
      <c r="F4802" t="s">
        <v>6802</v>
      </c>
      <c r="H4802" t="s">
        <v>3789</v>
      </c>
      <c r="K4802">
        <v>550</v>
      </c>
      <c r="L4802" t="s">
        <v>6803</v>
      </c>
    </row>
    <row r="4803" spans="1:12" x14ac:dyDescent="0.35">
      <c r="A4803" t="s">
        <v>3115</v>
      </c>
      <c r="B4803" s="1">
        <v>45723</v>
      </c>
      <c r="C4803" t="s">
        <v>9051</v>
      </c>
      <c r="D4803" t="s">
        <v>3788</v>
      </c>
      <c r="E4803" t="s">
        <v>9052</v>
      </c>
      <c r="F4803" t="s">
        <v>8557</v>
      </c>
      <c r="G4803" t="s">
        <v>8558</v>
      </c>
      <c r="H4803" t="s">
        <v>3789</v>
      </c>
      <c r="J4803">
        <v>900</v>
      </c>
      <c r="L4803" t="s">
        <v>5966</v>
      </c>
    </row>
    <row r="4804" spans="1:12" x14ac:dyDescent="0.35">
      <c r="A4804" t="s">
        <v>3115</v>
      </c>
      <c r="B4804" s="1">
        <v>45723</v>
      </c>
      <c r="C4804" t="s">
        <v>9053</v>
      </c>
      <c r="D4804" t="s">
        <v>3790</v>
      </c>
      <c r="E4804" t="s">
        <v>9054</v>
      </c>
      <c r="F4804" t="s">
        <v>6802</v>
      </c>
      <c r="H4804" t="s">
        <v>3791</v>
      </c>
      <c r="K4804">
        <v>7100</v>
      </c>
      <c r="L4804" t="s">
        <v>6803</v>
      </c>
    </row>
    <row r="4805" spans="1:12" x14ac:dyDescent="0.35">
      <c r="A4805" t="s">
        <v>3115</v>
      </c>
      <c r="B4805" s="1">
        <v>45723</v>
      </c>
      <c r="C4805" t="s">
        <v>9053</v>
      </c>
      <c r="D4805" t="s">
        <v>3790</v>
      </c>
      <c r="E4805" t="s">
        <v>9054</v>
      </c>
      <c r="F4805" t="s">
        <v>8557</v>
      </c>
      <c r="G4805" t="s">
        <v>8558</v>
      </c>
      <c r="H4805" t="s">
        <v>3791</v>
      </c>
      <c r="J4805">
        <v>7100</v>
      </c>
      <c r="L4805" t="s">
        <v>5966</v>
      </c>
    </row>
    <row r="4806" spans="1:12" x14ac:dyDescent="0.35">
      <c r="A4806" t="s">
        <v>3115</v>
      </c>
      <c r="B4806" s="1">
        <v>45723</v>
      </c>
      <c r="C4806" t="s">
        <v>9055</v>
      </c>
      <c r="D4806" t="s">
        <v>3792</v>
      </c>
      <c r="E4806" t="s">
        <v>9056</v>
      </c>
      <c r="F4806" t="s">
        <v>6802</v>
      </c>
      <c r="H4806" t="s">
        <v>3793</v>
      </c>
      <c r="K4806">
        <v>2230</v>
      </c>
      <c r="L4806" t="s">
        <v>6803</v>
      </c>
    </row>
    <row r="4807" spans="1:12" x14ac:dyDescent="0.35">
      <c r="A4807" t="s">
        <v>3115</v>
      </c>
      <c r="B4807" s="1">
        <v>45723</v>
      </c>
      <c r="C4807" t="s">
        <v>9055</v>
      </c>
      <c r="D4807" t="s">
        <v>3792</v>
      </c>
      <c r="E4807" t="s">
        <v>9056</v>
      </c>
      <c r="F4807" t="s">
        <v>8537</v>
      </c>
      <c r="G4807" t="s">
        <v>8538</v>
      </c>
      <c r="H4807" t="s">
        <v>3793</v>
      </c>
      <c r="J4807">
        <v>2230</v>
      </c>
      <c r="L4807" t="s">
        <v>5966</v>
      </c>
    </row>
    <row r="4808" spans="1:12" x14ac:dyDescent="0.35">
      <c r="A4808" t="s">
        <v>3115</v>
      </c>
      <c r="B4808" s="1">
        <v>45723</v>
      </c>
      <c r="C4808" t="s">
        <v>9057</v>
      </c>
      <c r="D4808" t="s">
        <v>3794</v>
      </c>
      <c r="E4808" t="s">
        <v>9058</v>
      </c>
      <c r="F4808" t="s">
        <v>6802</v>
      </c>
      <c r="H4808" t="s">
        <v>3795</v>
      </c>
      <c r="K4808">
        <v>590</v>
      </c>
      <c r="L4808" t="s">
        <v>6803</v>
      </c>
    </row>
    <row r="4809" spans="1:12" x14ac:dyDescent="0.35">
      <c r="A4809" t="s">
        <v>3115</v>
      </c>
      <c r="B4809" s="1">
        <v>45723</v>
      </c>
      <c r="C4809" t="s">
        <v>9057</v>
      </c>
      <c r="D4809" t="s">
        <v>3794</v>
      </c>
      <c r="E4809" t="s">
        <v>9058</v>
      </c>
      <c r="F4809" t="s">
        <v>8537</v>
      </c>
      <c r="G4809" t="s">
        <v>8538</v>
      </c>
      <c r="H4809" t="s">
        <v>3795</v>
      </c>
      <c r="J4809">
        <v>590</v>
      </c>
      <c r="L4809" t="s">
        <v>5966</v>
      </c>
    </row>
    <row r="4810" spans="1:12" x14ac:dyDescent="0.35">
      <c r="A4810" t="s">
        <v>3115</v>
      </c>
      <c r="B4810" s="1">
        <v>45723</v>
      </c>
      <c r="C4810" t="s">
        <v>9059</v>
      </c>
      <c r="D4810" t="s">
        <v>3796</v>
      </c>
      <c r="E4810" t="s">
        <v>9060</v>
      </c>
      <c r="F4810" t="s">
        <v>6802</v>
      </c>
      <c r="H4810" t="s">
        <v>3797</v>
      </c>
      <c r="K4810">
        <v>60021</v>
      </c>
      <c r="L4810" t="s">
        <v>6803</v>
      </c>
    </row>
    <row r="4811" spans="1:12" x14ac:dyDescent="0.35">
      <c r="A4811" t="s">
        <v>3115</v>
      </c>
      <c r="B4811" s="1">
        <v>45723</v>
      </c>
      <c r="C4811" t="s">
        <v>9059</v>
      </c>
      <c r="D4811" t="s">
        <v>3796</v>
      </c>
      <c r="E4811" t="s">
        <v>9060</v>
      </c>
      <c r="F4811" t="s">
        <v>8537</v>
      </c>
      <c r="G4811" t="s">
        <v>8538</v>
      </c>
      <c r="H4811" t="s">
        <v>3797</v>
      </c>
      <c r="J4811">
        <v>60021</v>
      </c>
      <c r="L4811" t="s">
        <v>5966</v>
      </c>
    </row>
    <row r="4812" spans="1:12" x14ac:dyDescent="0.35">
      <c r="A4812" t="s">
        <v>3115</v>
      </c>
      <c r="B4812" s="1">
        <v>45723</v>
      </c>
      <c r="C4812" t="s">
        <v>9061</v>
      </c>
      <c r="D4812" t="s">
        <v>3798</v>
      </c>
      <c r="E4812" t="s">
        <v>9062</v>
      </c>
      <c r="F4812" t="s">
        <v>6802</v>
      </c>
      <c r="H4812" t="s">
        <v>3799</v>
      </c>
      <c r="K4812">
        <v>300000</v>
      </c>
      <c r="L4812" t="s">
        <v>6803</v>
      </c>
    </row>
    <row r="4813" spans="1:12" x14ac:dyDescent="0.35">
      <c r="A4813" t="s">
        <v>3115</v>
      </c>
      <c r="B4813" s="1">
        <v>45723</v>
      </c>
      <c r="C4813" t="s">
        <v>9061</v>
      </c>
      <c r="D4813" t="s">
        <v>3798</v>
      </c>
      <c r="E4813" t="s">
        <v>9062</v>
      </c>
      <c r="F4813" t="s">
        <v>8537</v>
      </c>
      <c r="G4813" t="s">
        <v>8538</v>
      </c>
      <c r="H4813" t="s">
        <v>3799</v>
      </c>
      <c r="J4813">
        <v>300000</v>
      </c>
      <c r="L4813" t="s">
        <v>5880</v>
      </c>
    </row>
    <row r="4814" spans="1:12" x14ac:dyDescent="0.35">
      <c r="A4814" t="s">
        <v>3115</v>
      </c>
      <c r="B4814" s="1">
        <v>45723</v>
      </c>
      <c r="C4814" t="s">
        <v>9063</v>
      </c>
      <c r="D4814" t="s">
        <v>3800</v>
      </c>
      <c r="E4814" t="s">
        <v>9060</v>
      </c>
      <c r="F4814" t="s">
        <v>6802</v>
      </c>
      <c r="H4814" t="s">
        <v>3801</v>
      </c>
      <c r="K4814">
        <v>12442</v>
      </c>
      <c r="L4814" t="s">
        <v>6803</v>
      </c>
    </row>
    <row r="4815" spans="1:12" x14ac:dyDescent="0.35">
      <c r="A4815" t="s">
        <v>3115</v>
      </c>
      <c r="B4815" s="1">
        <v>45723</v>
      </c>
      <c r="C4815" t="s">
        <v>9063</v>
      </c>
      <c r="D4815" t="s">
        <v>3800</v>
      </c>
      <c r="E4815" t="s">
        <v>9060</v>
      </c>
      <c r="F4815" t="s">
        <v>8557</v>
      </c>
      <c r="G4815" t="s">
        <v>8558</v>
      </c>
      <c r="H4815" t="s">
        <v>3801</v>
      </c>
      <c r="J4815">
        <v>12442</v>
      </c>
      <c r="L4815" t="s">
        <v>5966</v>
      </c>
    </row>
    <row r="4816" spans="1:12" x14ac:dyDescent="0.35">
      <c r="A4816" t="s">
        <v>3115</v>
      </c>
      <c r="B4816" s="1">
        <v>45723</v>
      </c>
      <c r="C4816" t="s">
        <v>9064</v>
      </c>
      <c r="D4816" t="s">
        <v>3802</v>
      </c>
      <c r="E4816" t="s">
        <v>9065</v>
      </c>
      <c r="F4816" t="s">
        <v>6811</v>
      </c>
      <c r="H4816" t="s">
        <v>3803</v>
      </c>
      <c r="K4816">
        <v>2673</v>
      </c>
      <c r="L4816" t="s">
        <v>6803</v>
      </c>
    </row>
    <row r="4817" spans="1:12" x14ac:dyDescent="0.35">
      <c r="A4817" t="s">
        <v>3115</v>
      </c>
      <c r="B4817" s="1">
        <v>45723</v>
      </c>
      <c r="C4817" t="s">
        <v>9064</v>
      </c>
      <c r="D4817" t="s">
        <v>3802</v>
      </c>
      <c r="E4817" t="s">
        <v>9065</v>
      </c>
      <c r="F4817" t="s">
        <v>8557</v>
      </c>
      <c r="G4817" t="s">
        <v>8558</v>
      </c>
      <c r="H4817" t="s">
        <v>3803</v>
      </c>
      <c r="J4817">
        <v>2673</v>
      </c>
      <c r="L4817" t="s">
        <v>5966</v>
      </c>
    </row>
    <row r="4818" spans="1:12" x14ac:dyDescent="0.35">
      <c r="A4818" t="s">
        <v>3115</v>
      </c>
      <c r="B4818" s="1">
        <v>45723</v>
      </c>
      <c r="C4818" t="s">
        <v>9066</v>
      </c>
      <c r="D4818" t="s">
        <v>3804</v>
      </c>
      <c r="E4818" t="s">
        <v>9067</v>
      </c>
      <c r="F4818" t="s">
        <v>6811</v>
      </c>
      <c r="H4818" t="s">
        <v>3805</v>
      </c>
      <c r="K4818">
        <v>1782</v>
      </c>
      <c r="L4818" t="s">
        <v>6803</v>
      </c>
    </row>
    <row r="4819" spans="1:12" x14ac:dyDescent="0.35">
      <c r="A4819" t="s">
        <v>3115</v>
      </c>
      <c r="B4819" s="1">
        <v>45723</v>
      </c>
      <c r="C4819" t="s">
        <v>9066</v>
      </c>
      <c r="D4819" t="s">
        <v>3804</v>
      </c>
      <c r="E4819" t="s">
        <v>9067</v>
      </c>
      <c r="F4819" t="s">
        <v>8557</v>
      </c>
      <c r="G4819" t="s">
        <v>8558</v>
      </c>
      <c r="H4819" t="s">
        <v>3805</v>
      </c>
      <c r="J4819">
        <v>1782</v>
      </c>
      <c r="L4819" t="s">
        <v>5966</v>
      </c>
    </row>
    <row r="4820" spans="1:12" x14ac:dyDescent="0.35">
      <c r="A4820" t="s">
        <v>3115</v>
      </c>
      <c r="B4820" s="1">
        <v>45723</v>
      </c>
      <c r="C4820" t="s">
        <v>9068</v>
      </c>
      <c r="D4820" t="s">
        <v>3806</v>
      </c>
      <c r="E4820" t="s">
        <v>9069</v>
      </c>
      <c r="F4820" t="s">
        <v>6802</v>
      </c>
      <c r="H4820" t="s">
        <v>3807</v>
      </c>
      <c r="K4820">
        <v>200000</v>
      </c>
      <c r="L4820" t="s">
        <v>6803</v>
      </c>
    </row>
    <row r="4821" spans="1:12" x14ac:dyDescent="0.35">
      <c r="A4821" t="s">
        <v>3115</v>
      </c>
      <c r="B4821" s="1">
        <v>45723</v>
      </c>
      <c r="C4821" t="s">
        <v>9068</v>
      </c>
      <c r="D4821" t="s">
        <v>3806</v>
      </c>
      <c r="E4821" t="s">
        <v>9069</v>
      </c>
      <c r="F4821" t="s">
        <v>8537</v>
      </c>
      <c r="G4821" t="s">
        <v>8538</v>
      </c>
      <c r="H4821" t="s">
        <v>3807</v>
      </c>
      <c r="J4821">
        <v>200000</v>
      </c>
      <c r="L4821" t="s">
        <v>5946</v>
      </c>
    </row>
    <row r="4822" spans="1:12" x14ac:dyDescent="0.35">
      <c r="A4822" t="s">
        <v>3115</v>
      </c>
      <c r="B4822" s="1">
        <v>45723</v>
      </c>
      <c r="C4822" t="s">
        <v>9070</v>
      </c>
      <c r="D4822" t="s">
        <v>3808</v>
      </c>
      <c r="E4822" t="s">
        <v>9071</v>
      </c>
      <c r="F4822" t="s">
        <v>6811</v>
      </c>
      <c r="H4822" t="s">
        <v>3809</v>
      </c>
      <c r="K4822">
        <v>2273</v>
      </c>
      <c r="L4822" t="s">
        <v>6803</v>
      </c>
    </row>
    <row r="4823" spans="1:12" x14ac:dyDescent="0.35">
      <c r="A4823" t="s">
        <v>3115</v>
      </c>
      <c r="B4823" s="1">
        <v>45723</v>
      </c>
      <c r="C4823" t="s">
        <v>9070</v>
      </c>
      <c r="D4823" t="s">
        <v>3808</v>
      </c>
      <c r="E4823" t="s">
        <v>9071</v>
      </c>
      <c r="F4823" t="s">
        <v>8557</v>
      </c>
      <c r="G4823" t="s">
        <v>8558</v>
      </c>
      <c r="H4823" t="s">
        <v>3809</v>
      </c>
      <c r="J4823">
        <v>2273</v>
      </c>
      <c r="L4823" t="s">
        <v>5966</v>
      </c>
    </row>
    <row r="4824" spans="1:12" x14ac:dyDescent="0.35">
      <c r="A4824" t="s">
        <v>3115</v>
      </c>
      <c r="B4824" s="1">
        <v>45723</v>
      </c>
      <c r="C4824" t="s">
        <v>9072</v>
      </c>
      <c r="D4824" t="s">
        <v>3810</v>
      </c>
      <c r="E4824" t="s">
        <v>9073</v>
      </c>
      <c r="F4824" t="s">
        <v>6802</v>
      </c>
      <c r="H4824" t="s">
        <v>3811</v>
      </c>
      <c r="K4824">
        <v>3500</v>
      </c>
      <c r="L4824" t="s">
        <v>6803</v>
      </c>
    </row>
    <row r="4825" spans="1:12" x14ac:dyDescent="0.35">
      <c r="A4825" t="s">
        <v>3115</v>
      </c>
      <c r="B4825" s="1">
        <v>45723</v>
      </c>
      <c r="C4825" t="s">
        <v>9072</v>
      </c>
      <c r="D4825" t="s">
        <v>3810</v>
      </c>
      <c r="E4825" t="s">
        <v>9073</v>
      </c>
      <c r="F4825" t="s">
        <v>8537</v>
      </c>
      <c r="G4825" t="s">
        <v>8538</v>
      </c>
      <c r="H4825" t="s">
        <v>3811</v>
      </c>
      <c r="J4825">
        <v>3500</v>
      </c>
      <c r="L4825" t="s">
        <v>5875</v>
      </c>
    </row>
    <row r="4826" spans="1:12" x14ac:dyDescent="0.35">
      <c r="A4826" t="s">
        <v>3115</v>
      </c>
      <c r="B4826" s="1">
        <v>45723</v>
      </c>
      <c r="C4826" t="s">
        <v>9074</v>
      </c>
      <c r="D4826" t="s">
        <v>3812</v>
      </c>
      <c r="E4826" t="s">
        <v>9075</v>
      </c>
      <c r="F4826" t="s">
        <v>6808</v>
      </c>
      <c r="H4826" t="s">
        <v>3813</v>
      </c>
      <c r="K4826">
        <v>3889</v>
      </c>
      <c r="L4826" t="s">
        <v>6803</v>
      </c>
    </row>
    <row r="4827" spans="1:12" x14ac:dyDescent="0.35">
      <c r="A4827" t="s">
        <v>3115</v>
      </c>
      <c r="B4827" s="1">
        <v>45723</v>
      </c>
      <c r="C4827" t="s">
        <v>9074</v>
      </c>
      <c r="D4827" t="s">
        <v>3812</v>
      </c>
      <c r="E4827" t="s">
        <v>9075</v>
      </c>
      <c r="F4827" t="s">
        <v>8467</v>
      </c>
      <c r="G4827" t="s">
        <v>8567</v>
      </c>
      <c r="H4827" t="s">
        <v>3813</v>
      </c>
      <c r="J4827">
        <v>3889</v>
      </c>
      <c r="L4827" t="s">
        <v>5966</v>
      </c>
    </row>
    <row r="4828" spans="1:12" x14ac:dyDescent="0.35">
      <c r="A4828" t="s">
        <v>3115</v>
      </c>
      <c r="B4828" s="1">
        <v>45723</v>
      </c>
      <c r="C4828" t="s">
        <v>9076</v>
      </c>
      <c r="D4828" t="s">
        <v>3814</v>
      </c>
      <c r="E4828" t="s">
        <v>9077</v>
      </c>
      <c r="F4828" t="s">
        <v>6802</v>
      </c>
      <c r="H4828" t="s">
        <v>3815</v>
      </c>
      <c r="K4828">
        <v>270000</v>
      </c>
      <c r="L4828" t="s">
        <v>6803</v>
      </c>
    </row>
    <row r="4829" spans="1:12" x14ac:dyDescent="0.35">
      <c r="A4829" t="s">
        <v>3115</v>
      </c>
      <c r="B4829" s="1">
        <v>45723</v>
      </c>
      <c r="C4829" t="s">
        <v>9076</v>
      </c>
      <c r="D4829" t="s">
        <v>3814</v>
      </c>
      <c r="E4829" t="s">
        <v>9077</v>
      </c>
      <c r="F4829" t="s">
        <v>8537</v>
      </c>
      <c r="G4829" t="s">
        <v>8538</v>
      </c>
      <c r="H4829" t="s">
        <v>3815</v>
      </c>
      <c r="J4829">
        <v>270000</v>
      </c>
      <c r="L4829" t="s">
        <v>5875</v>
      </c>
    </row>
    <row r="4830" spans="1:12" x14ac:dyDescent="0.35">
      <c r="A4830" t="s">
        <v>3115</v>
      </c>
      <c r="B4830" s="1">
        <v>45723</v>
      </c>
      <c r="C4830" t="s">
        <v>9078</v>
      </c>
      <c r="D4830" t="s">
        <v>3816</v>
      </c>
      <c r="E4830" t="s">
        <v>9079</v>
      </c>
      <c r="F4830" t="s">
        <v>6802</v>
      </c>
      <c r="H4830" t="s">
        <v>3817</v>
      </c>
      <c r="K4830">
        <v>122270</v>
      </c>
      <c r="L4830" t="s">
        <v>6803</v>
      </c>
    </row>
    <row r="4831" spans="1:12" x14ac:dyDescent="0.35">
      <c r="A4831" t="s">
        <v>3115</v>
      </c>
      <c r="B4831" s="1">
        <v>45723</v>
      </c>
      <c r="C4831" t="s">
        <v>9078</v>
      </c>
      <c r="D4831" t="s">
        <v>3816</v>
      </c>
      <c r="E4831" t="s">
        <v>9079</v>
      </c>
      <c r="F4831" t="s">
        <v>8537</v>
      </c>
      <c r="G4831" t="s">
        <v>8538</v>
      </c>
      <c r="H4831" t="s">
        <v>3817</v>
      </c>
      <c r="J4831">
        <v>122270</v>
      </c>
      <c r="L4831" t="s">
        <v>5966</v>
      </c>
    </row>
    <row r="4832" spans="1:12" x14ac:dyDescent="0.35">
      <c r="A4832" t="s">
        <v>3115</v>
      </c>
      <c r="B4832" s="1">
        <v>45723</v>
      </c>
      <c r="C4832" t="s">
        <v>9080</v>
      </c>
      <c r="D4832" t="s">
        <v>3818</v>
      </c>
      <c r="E4832" t="s">
        <v>9081</v>
      </c>
      <c r="F4832" t="s">
        <v>6802</v>
      </c>
      <c r="H4832" t="s">
        <v>3819</v>
      </c>
      <c r="K4832">
        <v>261072</v>
      </c>
      <c r="L4832" t="s">
        <v>6803</v>
      </c>
    </row>
    <row r="4833" spans="1:12" x14ac:dyDescent="0.35">
      <c r="A4833" t="s">
        <v>3115</v>
      </c>
      <c r="B4833" s="1">
        <v>45723</v>
      </c>
      <c r="C4833" t="s">
        <v>9080</v>
      </c>
      <c r="D4833" t="s">
        <v>3818</v>
      </c>
      <c r="E4833" t="s">
        <v>9081</v>
      </c>
      <c r="F4833" t="s">
        <v>8537</v>
      </c>
      <c r="G4833" t="s">
        <v>8538</v>
      </c>
      <c r="H4833" t="s">
        <v>3819</v>
      </c>
      <c r="J4833">
        <v>261072</v>
      </c>
      <c r="L4833" t="s">
        <v>5966</v>
      </c>
    </row>
    <row r="4834" spans="1:12" x14ac:dyDescent="0.35">
      <c r="A4834" t="s">
        <v>3115</v>
      </c>
      <c r="B4834" s="1">
        <v>45723</v>
      </c>
      <c r="C4834" t="s">
        <v>9082</v>
      </c>
      <c r="D4834" t="s">
        <v>3820</v>
      </c>
      <c r="E4834" t="s">
        <v>9083</v>
      </c>
      <c r="F4834" t="s">
        <v>6802</v>
      </c>
      <c r="H4834" t="s">
        <v>3821</v>
      </c>
      <c r="K4834">
        <v>1600000</v>
      </c>
      <c r="L4834" t="s">
        <v>6803</v>
      </c>
    </row>
    <row r="4835" spans="1:12" x14ac:dyDescent="0.35">
      <c r="A4835" t="s">
        <v>3115</v>
      </c>
      <c r="B4835" s="1">
        <v>45723</v>
      </c>
      <c r="C4835" t="s">
        <v>9082</v>
      </c>
      <c r="D4835" t="s">
        <v>3820</v>
      </c>
      <c r="E4835" t="s">
        <v>9083</v>
      </c>
      <c r="F4835" t="s">
        <v>8537</v>
      </c>
      <c r="G4835" t="s">
        <v>8538</v>
      </c>
      <c r="H4835" t="s">
        <v>3821</v>
      </c>
      <c r="J4835">
        <v>1600000</v>
      </c>
      <c r="L4835" t="s">
        <v>5875</v>
      </c>
    </row>
    <row r="4836" spans="1:12" x14ac:dyDescent="0.35">
      <c r="A4836" t="s">
        <v>3115</v>
      </c>
      <c r="B4836" s="1">
        <v>45723</v>
      </c>
      <c r="C4836" t="s">
        <v>9084</v>
      </c>
      <c r="D4836" t="s">
        <v>3822</v>
      </c>
      <c r="E4836" t="s">
        <v>9079</v>
      </c>
      <c r="F4836" t="s">
        <v>6915</v>
      </c>
      <c r="H4836" t="s">
        <v>3823</v>
      </c>
      <c r="K4836">
        <v>66825</v>
      </c>
      <c r="L4836" t="s">
        <v>6803</v>
      </c>
    </row>
    <row r="4837" spans="1:12" x14ac:dyDescent="0.35">
      <c r="A4837" t="s">
        <v>3115</v>
      </c>
      <c r="B4837" s="1">
        <v>45723</v>
      </c>
      <c r="C4837" t="s">
        <v>9084</v>
      </c>
      <c r="D4837" t="s">
        <v>3822</v>
      </c>
      <c r="E4837" t="s">
        <v>9079</v>
      </c>
      <c r="F4837" t="s">
        <v>8569</v>
      </c>
      <c r="G4837" t="s">
        <v>8570</v>
      </c>
      <c r="H4837" t="s">
        <v>3823</v>
      </c>
      <c r="J4837">
        <v>66825</v>
      </c>
      <c r="L4837" t="s">
        <v>5966</v>
      </c>
    </row>
    <row r="4838" spans="1:12" x14ac:dyDescent="0.35">
      <c r="A4838" t="s">
        <v>3115</v>
      </c>
      <c r="B4838" s="1">
        <v>45723</v>
      </c>
      <c r="C4838" t="s">
        <v>9085</v>
      </c>
      <c r="D4838" t="s">
        <v>3824</v>
      </c>
      <c r="E4838" t="s">
        <v>9086</v>
      </c>
      <c r="F4838" t="s">
        <v>6802</v>
      </c>
      <c r="H4838" t="s">
        <v>3825</v>
      </c>
      <c r="K4838">
        <v>15000</v>
      </c>
      <c r="L4838" t="s">
        <v>6803</v>
      </c>
    </row>
    <row r="4839" spans="1:12" x14ac:dyDescent="0.35">
      <c r="A4839" t="s">
        <v>3115</v>
      </c>
      <c r="B4839" s="1">
        <v>45723</v>
      </c>
      <c r="C4839" t="s">
        <v>9085</v>
      </c>
      <c r="D4839" t="s">
        <v>3824</v>
      </c>
      <c r="E4839" t="s">
        <v>9086</v>
      </c>
      <c r="F4839" t="s">
        <v>8537</v>
      </c>
      <c r="G4839" t="s">
        <v>8538</v>
      </c>
      <c r="H4839" t="s">
        <v>3825</v>
      </c>
      <c r="J4839">
        <v>15000</v>
      </c>
      <c r="L4839" t="s">
        <v>5876</v>
      </c>
    </row>
    <row r="4840" spans="1:12" x14ac:dyDescent="0.35">
      <c r="A4840" t="s">
        <v>3115</v>
      </c>
      <c r="B4840" s="1">
        <v>45723</v>
      </c>
      <c r="C4840" t="s">
        <v>9087</v>
      </c>
      <c r="D4840" t="s">
        <v>3826</v>
      </c>
      <c r="E4840" t="s">
        <v>9088</v>
      </c>
      <c r="F4840" t="s">
        <v>6811</v>
      </c>
      <c r="H4840" t="s">
        <v>3827</v>
      </c>
      <c r="K4840">
        <v>3409</v>
      </c>
      <c r="L4840" t="s">
        <v>6803</v>
      </c>
    </row>
    <row r="4841" spans="1:12" x14ac:dyDescent="0.35">
      <c r="A4841" t="s">
        <v>3115</v>
      </c>
      <c r="B4841" s="1">
        <v>45723</v>
      </c>
      <c r="C4841" t="s">
        <v>9087</v>
      </c>
      <c r="D4841" t="s">
        <v>3826</v>
      </c>
      <c r="E4841" t="s">
        <v>9088</v>
      </c>
      <c r="F4841" t="s">
        <v>8557</v>
      </c>
      <c r="G4841" t="s">
        <v>8558</v>
      </c>
      <c r="H4841" t="s">
        <v>3827</v>
      </c>
      <c r="J4841">
        <v>3409</v>
      </c>
      <c r="L4841" t="s">
        <v>5966</v>
      </c>
    </row>
    <row r="4842" spans="1:12" x14ac:dyDescent="0.35">
      <c r="A4842" t="s">
        <v>3115</v>
      </c>
      <c r="B4842" s="1">
        <v>45723</v>
      </c>
      <c r="C4842" t="s">
        <v>9089</v>
      </c>
      <c r="D4842" t="s">
        <v>3828</v>
      </c>
      <c r="E4842" t="s">
        <v>9086</v>
      </c>
      <c r="F4842" t="s">
        <v>6802</v>
      </c>
      <c r="H4842" t="s">
        <v>3829</v>
      </c>
      <c r="K4842">
        <v>300</v>
      </c>
      <c r="L4842" t="s">
        <v>6803</v>
      </c>
    </row>
    <row r="4843" spans="1:12" x14ac:dyDescent="0.35">
      <c r="A4843" t="s">
        <v>3115</v>
      </c>
      <c r="B4843" s="1">
        <v>45723</v>
      </c>
      <c r="C4843" t="s">
        <v>9089</v>
      </c>
      <c r="D4843" t="s">
        <v>3828</v>
      </c>
      <c r="E4843" t="s">
        <v>9086</v>
      </c>
      <c r="F4843" t="s">
        <v>8557</v>
      </c>
      <c r="G4843" t="s">
        <v>8558</v>
      </c>
      <c r="H4843" t="s">
        <v>3829</v>
      </c>
      <c r="J4843">
        <v>300</v>
      </c>
      <c r="L4843" t="s">
        <v>5876</v>
      </c>
    </row>
    <row r="4844" spans="1:12" x14ac:dyDescent="0.35">
      <c r="A4844" t="s">
        <v>3115</v>
      </c>
      <c r="B4844" s="1">
        <v>45723</v>
      </c>
      <c r="C4844" t="s">
        <v>9090</v>
      </c>
      <c r="D4844" t="s">
        <v>3830</v>
      </c>
      <c r="E4844" t="s">
        <v>9091</v>
      </c>
      <c r="F4844" t="s">
        <v>6808</v>
      </c>
      <c r="H4844" t="s">
        <v>3831</v>
      </c>
      <c r="K4844">
        <v>6720</v>
      </c>
      <c r="L4844" t="s">
        <v>6803</v>
      </c>
    </row>
    <row r="4845" spans="1:12" x14ac:dyDescent="0.35">
      <c r="A4845" t="s">
        <v>3115</v>
      </c>
      <c r="B4845" s="1">
        <v>45723</v>
      </c>
      <c r="C4845" t="s">
        <v>9090</v>
      </c>
      <c r="D4845" t="s">
        <v>3830</v>
      </c>
      <c r="E4845" t="s">
        <v>9091</v>
      </c>
      <c r="F4845" t="s">
        <v>8467</v>
      </c>
      <c r="G4845" t="s">
        <v>8567</v>
      </c>
      <c r="H4845" t="s">
        <v>3831</v>
      </c>
      <c r="J4845">
        <v>6720</v>
      </c>
      <c r="L4845" t="s">
        <v>5966</v>
      </c>
    </row>
    <row r="4846" spans="1:12" x14ac:dyDescent="0.35">
      <c r="A4846" t="s">
        <v>3115</v>
      </c>
      <c r="B4846" s="1">
        <v>45723</v>
      </c>
      <c r="C4846" t="s">
        <v>9092</v>
      </c>
      <c r="D4846" t="s">
        <v>3832</v>
      </c>
      <c r="E4846" t="s">
        <v>9093</v>
      </c>
      <c r="F4846" t="s">
        <v>6802</v>
      </c>
      <c r="H4846" t="s">
        <v>3833</v>
      </c>
      <c r="K4846">
        <v>45000</v>
      </c>
      <c r="L4846" t="s">
        <v>6803</v>
      </c>
    </row>
    <row r="4847" spans="1:12" x14ac:dyDescent="0.35">
      <c r="A4847" t="s">
        <v>3115</v>
      </c>
      <c r="B4847" s="1">
        <v>45723</v>
      </c>
      <c r="C4847" t="s">
        <v>9092</v>
      </c>
      <c r="D4847" t="s">
        <v>3832</v>
      </c>
      <c r="E4847" t="s">
        <v>9093</v>
      </c>
      <c r="F4847" t="s">
        <v>8537</v>
      </c>
      <c r="G4847" t="s">
        <v>8538</v>
      </c>
      <c r="H4847" t="s">
        <v>3833</v>
      </c>
      <c r="J4847">
        <v>45000</v>
      </c>
      <c r="L4847" t="s">
        <v>5876</v>
      </c>
    </row>
    <row r="4848" spans="1:12" x14ac:dyDescent="0.35">
      <c r="A4848" t="s">
        <v>3115</v>
      </c>
      <c r="B4848" s="1">
        <v>45723</v>
      </c>
      <c r="C4848" t="s">
        <v>9094</v>
      </c>
      <c r="D4848" t="s">
        <v>3834</v>
      </c>
      <c r="E4848" t="s">
        <v>9095</v>
      </c>
      <c r="F4848" t="s">
        <v>6802</v>
      </c>
      <c r="H4848" t="s">
        <v>3835</v>
      </c>
      <c r="K4848">
        <v>30000</v>
      </c>
      <c r="L4848" t="s">
        <v>6803</v>
      </c>
    </row>
    <row r="4849" spans="1:12" x14ac:dyDescent="0.35">
      <c r="A4849" t="s">
        <v>3115</v>
      </c>
      <c r="B4849" s="1">
        <v>45723</v>
      </c>
      <c r="C4849" t="s">
        <v>9094</v>
      </c>
      <c r="D4849" t="s">
        <v>3834</v>
      </c>
      <c r="E4849" t="s">
        <v>9095</v>
      </c>
      <c r="F4849" t="s">
        <v>8537</v>
      </c>
      <c r="G4849" t="s">
        <v>8538</v>
      </c>
      <c r="H4849" t="s">
        <v>3835</v>
      </c>
      <c r="J4849">
        <v>30000</v>
      </c>
      <c r="L4849" t="s">
        <v>5874</v>
      </c>
    </row>
    <row r="4850" spans="1:12" x14ac:dyDescent="0.35">
      <c r="A4850" t="s">
        <v>3115</v>
      </c>
      <c r="B4850" s="1">
        <v>45723</v>
      </c>
      <c r="C4850" t="s">
        <v>9096</v>
      </c>
      <c r="D4850" t="s">
        <v>3836</v>
      </c>
      <c r="E4850" t="s">
        <v>9097</v>
      </c>
      <c r="F4850" t="s">
        <v>6802</v>
      </c>
      <c r="H4850" t="s">
        <v>3837</v>
      </c>
      <c r="K4850">
        <v>90000</v>
      </c>
      <c r="L4850" t="s">
        <v>6803</v>
      </c>
    </row>
    <row r="4851" spans="1:12" x14ac:dyDescent="0.35">
      <c r="A4851" t="s">
        <v>3115</v>
      </c>
      <c r="B4851" s="1">
        <v>45723</v>
      </c>
      <c r="C4851" t="s">
        <v>9096</v>
      </c>
      <c r="D4851" t="s">
        <v>3836</v>
      </c>
      <c r="E4851" t="s">
        <v>9097</v>
      </c>
      <c r="F4851" t="s">
        <v>8537</v>
      </c>
      <c r="G4851" t="s">
        <v>8538</v>
      </c>
      <c r="H4851" t="s">
        <v>3837</v>
      </c>
      <c r="J4851">
        <v>90000</v>
      </c>
      <c r="L4851" t="s">
        <v>5880</v>
      </c>
    </row>
    <row r="4852" spans="1:12" x14ac:dyDescent="0.35">
      <c r="A4852" t="s">
        <v>3115</v>
      </c>
      <c r="B4852" s="1">
        <v>45723</v>
      </c>
      <c r="C4852" t="s">
        <v>9098</v>
      </c>
      <c r="D4852" t="s">
        <v>3838</v>
      </c>
      <c r="E4852" t="s">
        <v>9073</v>
      </c>
      <c r="F4852" t="s">
        <v>6802</v>
      </c>
      <c r="H4852" t="s">
        <v>3839</v>
      </c>
      <c r="K4852">
        <v>6000</v>
      </c>
      <c r="L4852" t="s">
        <v>6803</v>
      </c>
    </row>
    <row r="4853" spans="1:12" x14ac:dyDescent="0.35">
      <c r="A4853" t="s">
        <v>3115</v>
      </c>
      <c r="B4853" s="1">
        <v>45723</v>
      </c>
      <c r="C4853" t="s">
        <v>9098</v>
      </c>
      <c r="D4853" t="s">
        <v>3838</v>
      </c>
      <c r="E4853" t="s">
        <v>9073</v>
      </c>
      <c r="F4853" t="s">
        <v>8537</v>
      </c>
      <c r="G4853" t="s">
        <v>8538</v>
      </c>
      <c r="H4853" t="s">
        <v>3839</v>
      </c>
      <c r="J4853">
        <v>6000</v>
      </c>
      <c r="L4853" t="s">
        <v>5875</v>
      </c>
    </row>
    <row r="4854" spans="1:12" x14ac:dyDescent="0.35">
      <c r="A4854" t="s">
        <v>3115</v>
      </c>
      <c r="B4854" s="1">
        <v>45723</v>
      </c>
      <c r="C4854" t="s">
        <v>9099</v>
      </c>
      <c r="D4854" t="s">
        <v>3840</v>
      </c>
      <c r="E4854" t="s">
        <v>9100</v>
      </c>
      <c r="F4854" t="s">
        <v>6802</v>
      </c>
      <c r="H4854" t="s">
        <v>3841</v>
      </c>
      <c r="K4854">
        <v>8000</v>
      </c>
      <c r="L4854" t="s">
        <v>6803</v>
      </c>
    </row>
    <row r="4855" spans="1:12" x14ac:dyDescent="0.35">
      <c r="A4855" t="s">
        <v>3115</v>
      </c>
      <c r="B4855" s="1">
        <v>45723</v>
      </c>
      <c r="C4855" t="s">
        <v>9099</v>
      </c>
      <c r="D4855" t="s">
        <v>3840</v>
      </c>
      <c r="E4855" t="s">
        <v>9100</v>
      </c>
      <c r="F4855" t="s">
        <v>8537</v>
      </c>
      <c r="G4855" t="s">
        <v>8538</v>
      </c>
      <c r="H4855" t="s">
        <v>3841</v>
      </c>
      <c r="J4855">
        <v>8000</v>
      </c>
      <c r="L4855" t="s">
        <v>5876</v>
      </c>
    </row>
    <row r="4856" spans="1:12" x14ac:dyDescent="0.35">
      <c r="A4856" t="s">
        <v>3115</v>
      </c>
      <c r="B4856" s="1">
        <v>45723</v>
      </c>
      <c r="C4856" t="s">
        <v>9101</v>
      </c>
      <c r="D4856" t="s">
        <v>3842</v>
      </c>
      <c r="E4856" t="s">
        <v>9102</v>
      </c>
      <c r="F4856" t="s">
        <v>6802</v>
      </c>
      <c r="H4856" t="s">
        <v>3843</v>
      </c>
      <c r="K4856">
        <v>6000</v>
      </c>
      <c r="L4856" t="s">
        <v>6803</v>
      </c>
    </row>
    <row r="4857" spans="1:12" x14ac:dyDescent="0.35">
      <c r="A4857" t="s">
        <v>3115</v>
      </c>
      <c r="B4857" s="1">
        <v>45723</v>
      </c>
      <c r="C4857" t="s">
        <v>9101</v>
      </c>
      <c r="D4857" t="s">
        <v>3842</v>
      </c>
      <c r="E4857" t="s">
        <v>9102</v>
      </c>
      <c r="F4857" t="s">
        <v>8537</v>
      </c>
      <c r="G4857" t="s">
        <v>8538</v>
      </c>
      <c r="H4857" t="s">
        <v>3843</v>
      </c>
      <c r="J4857">
        <v>6000</v>
      </c>
      <c r="L4857" t="s">
        <v>5876</v>
      </c>
    </row>
    <row r="4858" spans="1:12" x14ac:dyDescent="0.35">
      <c r="A4858" t="s">
        <v>3115</v>
      </c>
      <c r="B4858" s="1">
        <v>45723</v>
      </c>
      <c r="C4858" t="s">
        <v>9103</v>
      </c>
      <c r="D4858" t="s">
        <v>3844</v>
      </c>
      <c r="E4858" t="s">
        <v>9104</v>
      </c>
      <c r="F4858" t="s">
        <v>6802</v>
      </c>
      <c r="H4858" t="s">
        <v>3845</v>
      </c>
      <c r="K4858">
        <v>6000</v>
      </c>
      <c r="L4858" t="s">
        <v>6803</v>
      </c>
    </row>
    <row r="4859" spans="1:12" x14ac:dyDescent="0.35">
      <c r="A4859" t="s">
        <v>3115</v>
      </c>
      <c r="B4859" s="1">
        <v>45723</v>
      </c>
      <c r="C4859" t="s">
        <v>9103</v>
      </c>
      <c r="D4859" t="s">
        <v>3844</v>
      </c>
      <c r="E4859" t="s">
        <v>9104</v>
      </c>
      <c r="F4859" t="s">
        <v>8537</v>
      </c>
      <c r="G4859" t="s">
        <v>8538</v>
      </c>
      <c r="H4859" t="s">
        <v>3845</v>
      </c>
      <c r="J4859">
        <v>6000</v>
      </c>
      <c r="L4859" t="s">
        <v>5874</v>
      </c>
    </row>
    <row r="4860" spans="1:12" x14ac:dyDescent="0.35">
      <c r="A4860" t="s">
        <v>3115</v>
      </c>
      <c r="B4860" s="1">
        <v>45723</v>
      </c>
      <c r="C4860" t="s">
        <v>9105</v>
      </c>
      <c r="D4860" t="s">
        <v>3846</v>
      </c>
      <c r="E4860" t="s">
        <v>9106</v>
      </c>
      <c r="F4860" t="s">
        <v>6802</v>
      </c>
      <c r="H4860" t="s">
        <v>3847</v>
      </c>
      <c r="K4860">
        <v>38000</v>
      </c>
      <c r="L4860" t="s">
        <v>6803</v>
      </c>
    </row>
    <row r="4861" spans="1:12" x14ac:dyDescent="0.35">
      <c r="A4861" t="s">
        <v>3115</v>
      </c>
      <c r="B4861" s="1">
        <v>45723</v>
      </c>
      <c r="C4861" t="s">
        <v>9105</v>
      </c>
      <c r="D4861" t="s">
        <v>3846</v>
      </c>
      <c r="E4861" t="s">
        <v>9106</v>
      </c>
      <c r="F4861" t="s">
        <v>8537</v>
      </c>
      <c r="G4861" t="s">
        <v>8538</v>
      </c>
      <c r="H4861" t="s">
        <v>3847</v>
      </c>
      <c r="J4861">
        <v>38000</v>
      </c>
      <c r="L4861" t="s">
        <v>5875</v>
      </c>
    </row>
    <row r="4862" spans="1:12" x14ac:dyDescent="0.35">
      <c r="A4862" t="s">
        <v>3115</v>
      </c>
      <c r="B4862" s="1">
        <v>45723</v>
      </c>
      <c r="C4862" t="s">
        <v>9107</v>
      </c>
      <c r="D4862" t="s">
        <v>3848</v>
      </c>
      <c r="E4862" t="s">
        <v>9108</v>
      </c>
      <c r="F4862" t="s">
        <v>6802</v>
      </c>
      <c r="H4862" t="s">
        <v>3849</v>
      </c>
      <c r="K4862">
        <v>24000</v>
      </c>
      <c r="L4862" t="s">
        <v>6803</v>
      </c>
    </row>
    <row r="4863" spans="1:12" x14ac:dyDescent="0.35">
      <c r="A4863" t="s">
        <v>3115</v>
      </c>
      <c r="B4863" s="1">
        <v>45723</v>
      </c>
      <c r="C4863" t="s">
        <v>9107</v>
      </c>
      <c r="D4863" t="s">
        <v>3848</v>
      </c>
      <c r="E4863" t="s">
        <v>9108</v>
      </c>
      <c r="F4863" t="s">
        <v>8537</v>
      </c>
      <c r="G4863" t="s">
        <v>8538</v>
      </c>
      <c r="H4863" t="s">
        <v>3849</v>
      </c>
      <c r="J4863">
        <v>24000</v>
      </c>
      <c r="L4863" t="s">
        <v>5880</v>
      </c>
    </row>
    <row r="4864" spans="1:12" x14ac:dyDescent="0.35">
      <c r="A4864" t="s">
        <v>3115</v>
      </c>
      <c r="B4864" s="1">
        <v>45723</v>
      </c>
      <c r="C4864" t="s">
        <v>9109</v>
      </c>
      <c r="D4864" t="s">
        <v>3850</v>
      </c>
      <c r="E4864" t="s">
        <v>9110</v>
      </c>
      <c r="F4864" t="s">
        <v>6802</v>
      </c>
      <c r="H4864" t="s">
        <v>3851</v>
      </c>
      <c r="K4864">
        <v>26501</v>
      </c>
      <c r="L4864" t="s">
        <v>6803</v>
      </c>
    </row>
    <row r="4865" spans="1:12" x14ac:dyDescent="0.35">
      <c r="A4865" t="s">
        <v>3115</v>
      </c>
      <c r="B4865" s="1">
        <v>45723</v>
      </c>
      <c r="C4865" t="s">
        <v>9109</v>
      </c>
      <c r="D4865" t="s">
        <v>3850</v>
      </c>
      <c r="E4865" t="s">
        <v>9110</v>
      </c>
      <c r="F4865" t="s">
        <v>8537</v>
      </c>
      <c r="G4865" t="s">
        <v>8538</v>
      </c>
      <c r="H4865" t="s">
        <v>3851</v>
      </c>
      <c r="J4865">
        <v>26501</v>
      </c>
      <c r="L4865" t="s">
        <v>5875</v>
      </c>
    </row>
    <row r="4866" spans="1:12" x14ac:dyDescent="0.35">
      <c r="A4866" t="s">
        <v>3115</v>
      </c>
      <c r="B4866" s="1">
        <v>45723</v>
      </c>
      <c r="C4866" t="s">
        <v>9111</v>
      </c>
      <c r="D4866" t="s">
        <v>3852</v>
      </c>
      <c r="E4866" t="s">
        <v>9112</v>
      </c>
      <c r="F4866" t="s">
        <v>6802</v>
      </c>
      <c r="H4866" t="s">
        <v>3853</v>
      </c>
      <c r="K4866">
        <v>8000</v>
      </c>
      <c r="L4866" t="s">
        <v>6803</v>
      </c>
    </row>
    <row r="4867" spans="1:12" x14ac:dyDescent="0.35">
      <c r="A4867" t="s">
        <v>3115</v>
      </c>
      <c r="B4867" s="1">
        <v>45723</v>
      </c>
      <c r="C4867" t="s">
        <v>9111</v>
      </c>
      <c r="D4867" t="s">
        <v>3852</v>
      </c>
      <c r="E4867" t="s">
        <v>9112</v>
      </c>
      <c r="F4867" t="s">
        <v>8537</v>
      </c>
      <c r="G4867" t="s">
        <v>8538</v>
      </c>
      <c r="H4867" t="s">
        <v>3853</v>
      </c>
      <c r="J4867">
        <v>8000</v>
      </c>
      <c r="L4867" t="s">
        <v>5876</v>
      </c>
    </row>
    <row r="4868" spans="1:12" x14ac:dyDescent="0.35">
      <c r="A4868" t="s">
        <v>3115</v>
      </c>
      <c r="B4868" s="1">
        <v>45723</v>
      </c>
      <c r="C4868" t="s">
        <v>9113</v>
      </c>
      <c r="D4868" t="s">
        <v>3854</v>
      </c>
      <c r="E4868" t="s">
        <v>9012</v>
      </c>
      <c r="F4868" t="s">
        <v>6811</v>
      </c>
      <c r="H4868" t="s">
        <v>3855</v>
      </c>
      <c r="K4868">
        <v>2273</v>
      </c>
      <c r="L4868" t="s">
        <v>6803</v>
      </c>
    </row>
    <row r="4869" spans="1:12" x14ac:dyDescent="0.35">
      <c r="A4869" t="s">
        <v>3115</v>
      </c>
      <c r="B4869" s="1">
        <v>45723</v>
      </c>
      <c r="C4869" t="s">
        <v>9113</v>
      </c>
      <c r="D4869" t="s">
        <v>3854</v>
      </c>
      <c r="E4869" t="s">
        <v>9012</v>
      </c>
      <c r="F4869" t="s">
        <v>8557</v>
      </c>
      <c r="G4869" t="s">
        <v>8558</v>
      </c>
      <c r="H4869" t="s">
        <v>3855</v>
      </c>
      <c r="J4869">
        <v>2273</v>
      </c>
      <c r="L4869" t="s">
        <v>5875</v>
      </c>
    </row>
    <row r="4870" spans="1:12" x14ac:dyDescent="0.35">
      <c r="A4870" t="s">
        <v>3115</v>
      </c>
      <c r="B4870" s="1">
        <v>45723</v>
      </c>
      <c r="C4870" t="s">
        <v>9114</v>
      </c>
      <c r="D4870" t="s">
        <v>3856</v>
      </c>
      <c r="E4870" t="s">
        <v>9115</v>
      </c>
      <c r="F4870" t="s">
        <v>6802</v>
      </c>
      <c r="H4870" t="s">
        <v>3857</v>
      </c>
      <c r="K4870">
        <v>11172</v>
      </c>
      <c r="L4870" t="s">
        <v>6803</v>
      </c>
    </row>
    <row r="4871" spans="1:12" x14ac:dyDescent="0.35">
      <c r="A4871" t="s">
        <v>3115</v>
      </c>
      <c r="B4871" s="1">
        <v>45723</v>
      </c>
      <c r="C4871" t="s">
        <v>9114</v>
      </c>
      <c r="D4871" t="s">
        <v>3856</v>
      </c>
      <c r="E4871" t="s">
        <v>9115</v>
      </c>
      <c r="F4871" t="s">
        <v>8557</v>
      </c>
      <c r="G4871" t="s">
        <v>8558</v>
      </c>
      <c r="H4871" t="s">
        <v>3857</v>
      </c>
      <c r="J4871">
        <v>11172</v>
      </c>
      <c r="L4871" t="s">
        <v>5875</v>
      </c>
    </row>
    <row r="4872" spans="1:12" x14ac:dyDescent="0.35">
      <c r="A4872" t="s">
        <v>3115</v>
      </c>
      <c r="B4872" s="1">
        <v>45723</v>
      </c>
      <c r="C4872" t="s">
        <v>9116</v>
      </c>
      <c r="D4872" t="s">
        <v>3858</v>
      </c>
      <c r="E4872" t="s">
        <v>9117</v>
      </c>
      <c r="F4872" t="s">
        <v>6811</v>
      </c>
      <c r="H4872" t="s">
        <v>3859</v>
      </c>
      <c r="K4872">
        <v>2400</v>
      </c>
      <c r="L4872" t="s">
        <v>6803</v>
      </c>
    </row>
    <row r="4873" spans="1:12" x14ac:dyDescent="0.35">
      <c r="A4873" t="s">
        <v>3115</v>
      </c>
      <c r="B4873" s="1">
        <v>45723</v>
      </c>
      <c r="C4873" t="s">
        <v>9116</v>
      </c>
      <c r="D4873" t="s">
        <v>3858</v>
      </c>
      <c r="E4873" t="s">
        <v>9117</v>
      </c>
      <c r="F4873" t="s">
        <v>8557</v>
      </c>
      <c r="G4873" t="s">
        <v>8558</v>
      </c>
      <c r="H4873" t="s">
        <v>3859</v>
      </c>
      <c r="J4873">
        <v>2400</v>
      </c>
      <c r="L4873" t="s">
        <v>5949</v>
      </c>
    </row>
    <row r="4874" spans="1:12" x14ac:dyDescent="0.35">
      <c r="A4874" t="s">
        <v>3115</v>
      </c>
      <c r="B4874" s="1">
        <v>45723</v>
      </c>
      <c r="C4874" t="s">
        <v>9118</v>
      </c>
      <c r="D4874" t="s">
        <v>3860</v>
      </c>
      <c r="E4874" t="s">
        <v>9119</v>
      </c>
      <c r="F4874" t="s">
        <v>6811</v>
      </c>
      <c r="H4874" t="s">
        <v>3861</v>
      </c>
      <c r="K4874">
        <v>42900</v>
      </c>
      <c r="L4874" t="s">
        <v>6803</v>
      </c>
    </row>
    <row r="4875" spans="1:12" x14ac:dyDescent="0.35">
      <c r="A4875" t="s">
        <v>3115</v>
      </c>
      <c r="B4875" s="1">
        <v>45723</v>
      </c>
      <c r="C4875" t="s">
        <v>9118</v>
      </c>
      <c r="D4875" t="s">
        <v>3860</v>
      </c>
      <c r="E4875" t="s">
        <v>9119</v>
      </c>
      <c r="F4875" t="s">
        <v>8557</v>
      </c>
      <c r="G4875" t="s">
        <v>8558</v>
      </c>
      <c r="H4875" t="s">
        <v>3861</v>
      </c>
      <c r="J4875">
        <v>42900</v>
      </c>
      <c r="L4875" t="s">
        <v>5949</v>
      </c>
    </row>
    <row r="4876" spans="1:12" x14ac:dyDescent="0.35">
      <c r="A4876" t="s">
        <v>3115</v>
      </c>
      <c r="B4876" s="1">
        <v>45723</v>
      </c>
      <c r="C4876" t="s">
        <v>9120</v>
      </c>
      <c r="D4876" t="s">
        <v>3862</v>
      </c>
      <c r="E4876" t="s">
        <v>9121</v>
      </c>
      <c r="F4876" t="s">
        <v>6811</v>
      </c>
      <c r="H4876" t="s">
        <v>3863</v>
      </c>
      <c r="K4876">
        <v>1250</v>
      </c>
      <c r="L4876" t="s">
        <v>6803</v>
      </c>
    </row>
    <row r="4877" spans="1:12" x14ac:dyDescent="0.35">
      <c r="A4877" t="s">
        <v>3115</v>
      </c>
      <c r="B4877" s="1">
        <v>45723</v>
      </c>
      <c r="C4877" t="s">
        <v>9120</v>
      </c>
      <c r="D4877" t="s">
        <v>3862</v>
      </c>
      <c r="E4877" t="s">
        <v>9121</v>
      </c>
      <c r="F4877" t="s">
        <v>8557</v>
      </c>
      <c r="G4877" t="s">
        <v>8558</v>
      </c>
      <c r="H4877" t="s">
        <v>3863</v>
      </c>
      <c r="J4877">
        <v>1250</v>
      </c>
      <c r="L4877" t="s">
        <v>5880</v>
      </c>
    </row>
    <row r="4878" spans="1:12" x14ac:dyDescent="0.35">
      <c r="A4878" t="s">
        <v>3115</v>
      </c>
      <c r="B4878" s="1">
        <v>45723</v>
      </c>
      <c r="C4878" t="s">
        <v>9122</v>
      </c>
      <c r="D4878" t="s">
        <v>3864</v>
      </c>
      <c r="E4878" t="s">
        <v>9123</v>
      </c>
      <c r="F4878" t="s">
        <v>6808</v>
      </c>
      <c r="H4878" t="s">
        <v>3865</v>
      </c>
      <c r="K4878">
        <v>992</v>
      </c>
      <c r="L4878" t="s">
        <v>6803</v>
      </c>
    </row>
    <row r="4879" spans="1:12" x14ac:dyDescent="0.35">
      <c r="A4879" t="s">
        <v>3115</v>
      </c>
      <c r="B4879" s="1">
        <v>45723</v>
      </c>
      <c r="C4879" t="s">
        <v>9122</v>
      </c>
      <c r="D4879" t="s">
        <v>3864</v>
      </c>
      <c r="E4879" t="s">
        <v>9123</v>
      </c>
      <c r="F4879" t="s">
        <v>8557</v>
      </c>
      <c r="G4879" t="s">
        <v>8558</v>
      </c>
      <c r="H4879" t="s">
        <v>3865</v>
      </c>
      <c r="J4879">
        <v>992</v>
      </c>
      <c r="L4879" t="s">
        <v>5873</v>
      </c>
    </row>
    <row r="4880" spans="1:12" x14ac:dyDescent="0.35">
      <c r="A4880" t="s">
        <v>3115</v>
      </c>
      <c r="B4880" s="1">
        <v>45723</v>
      </c>
      <c r="C4880" t="s">
        <v>9124</v>
      </c>
      <c r="D4880" t="s">
        <v>3866</v>
      </c>
      <c r="E4880" t="s">
        <v>9125</v>
      </c>
      <c r="F4880" t="s">
        <v>6915</v>
      </c>
      <c r="H4880" t="s">
        <v>3867</v>
      </c>
      <c r="K4880">
        <v>20250</v>
      </c>
      <c r="L4880" t="s">
        <v>6803</v>
      </c>
    </row>
    <row r="4881" spans="1:12" x14ac:dyDescent="0.35">
      <c r="A4881" t="s">
        <v>3115</v>
      </c>
      <c r="B4881" s="1">
        <v>45723</v>
      </c>
      <c r="C4881" t="s">
        <v>9124</v>
      </c>
      <c r="D4881" t="s">
        <v>3866</v>
      </c>
      <c r="E4881" t="s">
        <v>9125</v>
      </c>
      <c r="F4881" t="s">
        <v>8569</v>
      </c>
      <c r="G4881" t="s">
        <v>8570</v>
      </c>
      <c r="H4881" t="s">
        <v>3867</v>
      </c>
      <c r="J4881">
        <v>20250</v>
      </c>
      <c r="L4881" t="s">
        <v>5905</v>
      </c>
    </row>
    <row r="4882" spans="1:12" x14ac:dyDescent="0.35">
      <c r="A4882" t="s">
        <v>3115</v>
      </c>
      <c r="B4882" s="1">
        <v>45723</v>
      </c>
      <c r="C4882" t="s">
        <v>9126</v>
      </c>
      <c r="D4882" t="s">
        <v>3868</v>
      </c>
      <c r="E4882" t="s">
        <v>9127</v>
      </c>
      <c r="F4882" t="s">
        <v>6808</v>
      </c>
      <c r="H4882" t="s">
        <v>3869</v>
      </c>
      <c r="K4882">
        <v>3298</v>
      </c>
      <c r="L4882" t="s">
        <v>6803</v>
      </c>
    </row>
    <row r="4883" spans="1:12" x14ac:dyDescent="0.35">
      <c r="A4883" t="s">
        <v>3115</v>
      </c>
      <c r="B4883" s="1">
        <v>45723</v>
      </c>
      <c r="C4883" t="s">
        <v>9126</v>
      </c>
      <c r="D4883" t="s">
        <v>3868</v>
      </c>
      <c r="E4883" t="s">
        <v>9127</v>
      </c>
      <c r="F4883" t="s">
        <v>8557</v>
      </c>
      <c r="G4883" t="s">
        <v>8558</v>
      </c>
      <c r="H4883" t="s">
        <v>3869</v>
      </c>
      <c r="J4883">
        <v>3298</v>
      </c>
      <c r="L4883" t="s">
        <v>5876</v>
      </c>
    </row>
    <row r="4884" spans="1:12" x14ac:dyDescent="0.35">
      <c r="A4884" t="s">
        <v>3115</v>
      </c>
      <c r="B4884" s="1">
        <v>45723</v>
      </c>
      <c r="C4884" t="s">
        <v>9128</v>
      </c>
      <c r="D4884" t="s">
        <v>3870</v>
      </c>
      <c r="E4884" t="s">
        <v>9129</v>
      </c>
      <c r="F4884" t="s">
        <v>6811</v>
      </c>
      <c r="H4884" t="s">
        <v>3871</v>
      </c>
      <c r="K4884">
        <v>2120</v>
      </c>
      <c r="L4884" t="s">
        <v>6803</v>
      </c>
    </row>
    <row r="4885" spans="1:12" x14ac:dyDescent="0.35">
      <c r="A4885" t="s">
        <v>3115</v>
      </c>
      <c r="B4885" s="1">
        <v>45723</v>
      </c>
      <c r="C4885" t="s">
        <v>9128</v>
      </c>
      <c r="D4885" t="s">
        <v>3870</v>
      </c>
      <c r="E4885" t="s">
        <v>9129</v>
      </c>
      <c r="F4885" t="s">
        <v>8557</v>
      </c>
      <c r="G4885" t="s">
        <v>8558</v>
      </c>
      <c r="H4885" t="s">
        <v>3871</v>
      </c>
      <c r="J4885">
        <v>2120</v>
      </c>
      <c r="L4885" t="s">
        <v>5949</v>
      </c>
    </row>
    <row r="4886" spans="1:12" x14ac:dyDescent="0.35">
      <c r="A4886" t="s">
        <v>3115</v>
      </c>
      <c r="B4886" s="1">
        <v>45723</v>
      </c>
      <c r="C4886" t="s">
        <v>9130</v>
      </c>
      <c r="D4886" t="s">
        <v>3872</v>
      </c>
      <c r="E4886" t="s">
        <v>9131</v>
      </c>
      <c r="F4886" t="s">
        <v>6811</v>
      </c>
      <c r="H4886" t="s">
        <v>3873</v>
      </c>
      <c r="K4886">
        <v>2629</v>
      </c>
      <c r="L4886" t="s">
        <v>6803</v>
      </c>
    </row>
    <row r="4887" spans="1:12" x14ac:dyDescent="0.35">
      <c r="A4887" t="s">
        <v>3115</v>
      </c>
      <c r="B4887" s="1">
        <v>45723</v>
      </c>
      <c r="C4887" t="s">
        <v>9130</v>
      </c>
      <c r="D4887" t="s">
        <v>3872</v>
      </c>
      <c r="E4887" t="s">
        <v>9131</v>
      </c>
      <c r="F4887" t="s">
        <v>8557</v>
      </c>
      <c r="G4887" t="s">
        <v>8558</v>
      </c>
      <c r="H4887" t="s">
        <v>3873</v>
      </c>
      <c r="J4887">
        <v>2629</v>
      </c>
      <c r="L4887" t="s">
        <v>5875</v>
      </c>
    </row>
    <row r="4888" spans="1:12" x14ac:dyDescent="0.35">
      <c r="A4888" t="s">
        <v>3115</v>
      </c>
      <c r="B4888" s="1">
        <v>45724</v>
      </c>
      <c r="C4888" t="s">
        <v>9132</v>
      </c>
      <c r="D4888" t="s">
        <v>3874</v>
      </c>
      <c r="E4888" t="s">
        <v>9133</v>
      </c>
      <c r="F4888" t="s">
        <v>6802</v>
      </c>
      <c r="H4888" t="s">
        <v>3875</v>
      </c>
      <c r="K4888">
        <v>722</v>
      </c>
      <c r="L4888" t="s">
        <v>6803</v>
      </c>
    </row>
    <row r="4889" spans="1:12" x14ac:dyDescent="0.35">
      <c r="A4889" t="s">
        <v>3115</v>
      </c>
      <c r="B4889" s="1">
        <v>45724</v>
      </c>
      <c r="C4889" t="s">
        <v>9132</v>
      </c>
      <c r="D4889" t="s">
        <v>3874</v>
      </c>
      <c r="E4889" t="s">
        <v>9133</v>
      </c>
      <c r="F4889" t="s">
        <v>8537</v>
      </c>
      <c r="G4889" t="s">
        <v>8538</v>
      </c>
      <c r="H4889" t="s">
        <v>3875</v>
      </c>
      <c r="J4889">
        <v>722</v>
      </c>
      <c r="L4889" t="s">
        <v>5958</v>
      </c>
    </row>
    <row r="4890" spans="1:12" x14ac:dyDescent="0.35">
      <c r="A4890" t="s">
        <v>3115</v>
      </c>
      <c r="B4890" s="1">
        <v>45724</v>
      </c>
      <c r="C4890" t="s">
        <v>9134</v>
      </c>
      <c r="D4890" t="s">
        <v>3876</v>
      </c>
      <c r="E4890" t="s">
        <v>9135</v>
      </c>
      <c r="F4890" t="s">
        <v>6802</v>
      </c>
      <c r="H4890" t="s">
        <v>3877</v>
      </c>
      <c r="K4890">
        <v>3936</v>
      </c>
      <c r="L4890" t="s">
        <v>6803</v>
      </c>
    </row>
    <row r="4891" spans="1:12" x14ac:dyDescent="0.35">
      <c r="A4891" t="s">
        <v>3115</v>
      </c>
      <c r="B4891" s="1">
        <v>45724</v>
      </c>
      <c r="C4891" t="s">
        <v>9134</v>
      </c>
      <c r="D4891" t="s">
        <v>3876</v>
      </c>
      <c r="E4891" t="s">
        <v>9135</v>
      </c>
      <c r="F4891" t="s">
        <v>8537</v>
      </c>
      <c r="G4891" t="s">
        <v>8538</v>
      </c>
      <c r="H4891" t="s">
        <v>3877</v>
      </c>
      <c r="J4891">
        <v>3936</v>
      </c>
      <c r="L4891" t="s">
        <v>5966</v>
      </c>
    </row>
    <row r="4892" spans="1:12" x14ac:dyDescent="0.35">
      <c r="A4892" t="s">
        <v>3115</v>
      </c>
      <c r="B4892" s="1">
        <v>45724</v>
      </c>
      <c r="C4892" t="s">
        <v>9136</v>
      </c>
      <c r="D4892" t="s">
        <v>3878</v>
      </c>
      <c r="E4892" t="s">
        <v>9137</v>
      </c>
      <c r="F4892" t="s">
        <v>6802</v>
      </c>
      <c r="H4892" t="s">
        <v>3879</v>
      </c>
      <c r="K4892">
        <v>2493</v>
      </c>
      <c r="L4892" t="s">
        <v>6803</v>
      </c>
    </row>
    <row r="4893" spans="1:12" x14ac:dyDescent="0.35">
      <c r="A4893" t="s">
        <v>3115</v>
      </c>
      <c r="B4893" s="1">
        <v>45724</v>
      </c>
      <c r="C4893" t="s">
        <v>9136</v>
      </c>
      <c r="D4893" t="s">
        <v>3878</v>
      </c>
      <c r="E4893" t="s">
        <v>9137</v>
      </c>
      <c r="F4893" t="s">
        <v>8537</v>
      </c>
      <c r="G4893" t="s">
        <v>8538</v>
      </c>
      <c r="H4893" t="s">
        <v>3879</v>
      </c>
      <c r="J4893">
        <v>2493</v>
      </c>
      <c r="L4893" t="s">
        <v>5966</v>
      </c>
    </row>
    <row r="4894" spans="1:12" x14ac:dyDescent="0.35">
      <c r="A4894" t="s">
        <v>3115</v>
      </c>
      <c r="B4894" s="1">
        <v>45724</v>
      </c>
      <c r="C4894" t="s">
        <v>9138</v>
      </c>
      <c r="D4894" t="s">
        <v>3880</v>
      </c>
      <c r="E4894" t="s">
        <v>9139</v>
      </c>
      <c r="F4894" t="s">
        <v>6802</v>
      </c>
      <c r="H4894" t="s">
        <v>3881</v>
      </c>
      <c r="K4894">
        <v>1968</v>
      </c>
      <c r="L4894" t="s">
        <v>6803</v>
      </c>
    </row>
    <row r="4895" spans="1:12" x14ac:dyDescent="0.35">
      <c r="A4895" t="s">
        <v>3115</v>
      </c>
      <c r="B4895" s="1">
        <v>45724</v>
      </c>
      <c r="C4895" t="s">
        <v>9138</v>
      </c>
      <c r="D4895" t="s">
        <v>3880</v>
      </c>
      <c r="E4895" t="s">
        <v>9139</v>
      </c>
      <c r="F4895" t="s">
        <v>8537</v>
      </c>
      <c r="G4895" t="s">
        <v>8538</v>
      </c>
      <c r="H4895" t="s">
        <v>3881</v>
      </c>
      <c r="J4895">
        <v>1968</v>
      </c>
      <c r="L4895" t="s">
        <v>5966</v>
      </c>
    </row>
    <row r="4896" spans="1:12" x14ac:dyDescent="0.35">
      <c r="A4896" t="s">
        <v>3115</v>
      </c>
      <c r="B4896" s="1">
        <v>45724</v>
      </c>
      <c r="C4896" t="s">
        <v>9140</v>
      </c>
      <c r="D4896" t="s">
        <v>3882</v>
      </c>
      <c r="E4896" t="s">
        <v>9141</v>
      </c>
      <c r="F4896" t="s">
        <v>6802</v>
      </c>
      <c r="H4896" t="s">
        <v>3883</v>
      </c>
      <c r="K4896">
        <v>394</v>
      </c>
      <c r="L4896" t="s">
        <v>6803</v>
      </c>
    </row>
    <row r="4897" spans="1:12" x14ac:dyDescent="0.35">
      <c r="A4897" t="s">
        <v>3115</v>
      </c>
      <c r="B4897" s="1">
        <v>45724</v>
      </c>
      <c r="C4897" t="s">
        <v>9140</v>
      </c>
      <c r="D4897" t="s">
        <v>3882</v>
      </c>
      <c r="E4897" t="s">
        <v>9141</v>
      </c>
      <c r="F4897" t="s">
        <v>8537</v>
      </c>
      <c r="G4897" t="s">
        <v>8538</v>
      </c>
      <c r="H4897" t="s">
        <v>3883</v>
      </c>
      <c r="J4897">
        <v>394</v>
      </c>
      <c r="L4897" t="s">
        <v>5966</v>
      </c>
    </row>
    <row r="4898" spans="1:12" x14ac:dyDescent="0.35">
      <c r="A4898" t="s">
        <v>3115</v>
      </c>
      <c r="B4898" s="1">
        <v>45724</v>
      </c>
      <c r="C4898" t="s">
        <v>9142</v>
      </c>
      <c r="D4898" t="s">
        <v>3884</v>
      </c>
      <c r="E4898" t="s">
        <v>9143</v>
      </c>
      <c r="F4898" t="s">
        <v>6802</v>
      </c>
      <c r="H4898" t="s">
        <v>3885</v>
      </c>
      <c r="K4898">
        <v>262</v>
      </c>
      <c r="L4898" t="s">
        <v>6803</v>
      </c>
    </row>
    <row r="4899" spans="1:12" x14ac:dyDescent="0.35">
      <c r="A4899" t="s">
        <v>3115</v>
      </c>
      <c r="B4899" s="1">
        <v>45724</v>
      </c>
      <c r="C4899" t="s">
        <v>9142</v>
      </c>
      <c r="D4899" t="s">
        <v>3884</v>
      </c>
      <c r="E4899" t="s">
        <v>9143</v>
      </c>
      <c r="F4899" t="s">
        <v>8537</v>
      </c>
      <c r="G4899" t="s">
        <v>8538</v>
      </c>
      <c r="H4899" t="s">
        <v>3885</v>
      </c>
      <c r="J4899">
        <v>262</v>
      </c>
      <c r="L4899" t="s">
        <v>5966</v>
      </c>
    </row>
    <row r="4900" spans="1:12" x14ac:dyDescent="0.35">
      <c r="A4900" t="s">
        <v>3115</v>
      </c>
      <c r="B4900" s="1">
        <v>45724</v>
      </c>
      <c r="C4900" t="s">
        <v>9144</v>
      </c>
      <c r="D4900" t="s">
        <v>3886</v>
      </c>
      <c r="E4900" t="s">
        <v>9145</v>
      </c>
      <c r="F4900" t="s">
        <v>6802</v>
      </c>
      <c r="H4900" t="s">
        <v>3887</v>
      </c>
      <c r="K4900">
        <v>3017</v>
      </c>
      <c r="L4900" t="s">
        <v>6803</v>
      </c>
    </row>
    <row r="4901" spans="1:12" x14ac:dyDescent="0.35">
      <c r="A4901" t="s">
        <v>3115</v>
      </c>
      <c r="B4901" s="1">
        <v>45724</v>
      </c>
      <c r="C4901" t="s">
        <v>9144</v>
      </c>
      <c r="D4901" t="s">
        <v>3886</v>
      </c>
      <c r="E4901" t="s">
        <v>9145</v>
      </c>
      <c r="F4901" t="s">
        <v>8537</v>
      </c>
      <c r="G4901" t="s">
        <v>8538</v>
      </c>
      <c r="H4901" t="s">
        <v>3887</v>
      </c>
      <c r="J4901">
        <v>3017</v>
      </c>
      <c r="L4901" t="s">
        <v>5966</v>
      </c>
    </row>
    <row r="4902" spans="1:12" x14ac:dyDescent="0.35">
      <c r="A4902" t="s">
        <v>3115</v>
      </c>
      <c r="B4902" s="1">
        <v>45724</v>
      </c>
      <c r="C4902" t="s">
        <v>9146</v>
      </c>
      <c r="D4902" t="s">
        <v>3888</v>
      </c>
      <c r="E4902" t="s">
        <v>9147</v>
      </c>
      <c r="F4902" t="s">
        <v>6802</v>
      </c>
      <c r="H4902" t="s">
        <v>3889</v>
      </c>
      <c r="K4902">
        <v>787</v>
      </c>
      <c r="L4902" t="s">
        <v>6803</v>
      </c>
    </row>
    <row r="4903" spans="1:12" x14ac:dyDescent="0.35">
      <c r="A4903" t="s">
        <v>3115</v>
      </c>
      <c r="B4903" s="1">
        <v>45724</v>
      </c>
      <c r="C4903" t="s">
        <v>9146</v>
      </c>
      <c r="D4903" t="s">
        <v>3888</v>
      </c>
      <c r="E4903" t="s">
        <v>9147</v>
      </c>
      <c r="F4903" t="s">
        <v>8537</v>
      </c>
      <c r="G4903" t="s">
        <v>8538</v>
      </c>
      <c r="H4903" t="s">
        <v>3889</v>
      </c>
      <c r="J4903">
        <v>787</v>
      </c>
      <c r="L4903" t="s">
        <v>5966</v>
      </c>
    </row>
    <row r="4904" spans="1:12" x14ac:dyDescent="0.35">
      <c r="A4904" t="s">
        <v>3115</v>
      </c>
      <c r="B4904" s="1">
        <v>45724</v>
      </c>
      <c r="C4904" t="s">
        <v>9148</v>
      </c>
      <c r="D4904" t="s">
        <v>3890</v>
      </c>
      <c r="E4904" t="s">
        <v>9149</v>
      </c>
      <c r="F4904" t="s">
        <v>6802</v>
      </c>
      <c r="H4904" t="s">
        <v>3891</v>
      </c>
      <c r="K4904">
        <v>3936</v>
      </c>
      <c r="L4904" t="s">
        <v>6803</v>
      </c>
    </row>
    <row r="4905" spans="1:12" x14ac:dyDescent="0.35">
      <c r="A4905" t="s">
        <v>3115</v>
      </c>
      <c r="B4905" s="1">
        <v>45724</v>
      </c>
      <c r="C4905" t="s">
        <v>9148</v>
      </c>
      <c r="D4905" t="s">
        <v>3890</v>
      </c>
      <c r="E4905" t="s">
        <v>9149</v>
      </c>
      <c r="F4905" t="s">
        <v>8537</v>
      </c>
      <c r="G4905" t="s">
        <v>8538</v>
      </c>
      <c r="H4905" t="s">
        <v>3891</v>
      </c>
      <c r="J4905">
        <v>3936</v>
      </c>
      <c r="L4905" t="s">
        <v>5890</v>
      </c>
    </row>
    <row r="4906" spans="1:12" x14ac:dyDescent="0.35">
      <c r="A4906" t="s">
        <v>3115</v>
      </c>
      <c r="B4906" s="1">
        <v>45724</v>
      </c>
      <c r="C4906" t="s">
        <v>9150</v>
      </c>
      <c r="D4906" t="s">
        <v>3892</v>
      </c>
      <c r="E4906" t="s">
        <v>9151</v>
      </c>
      <c r="F4906" t="s">
        <v>6802</v>
      </c>
      <c r="H4906" t="s">
        <v>3893</v>
      </c>
      <c r="K4906">
        <v>3149</v>
      </c>
      <c r="L4906" t="s">
        <v>6803</v>
      </c>
    </row>
    <row r="4907" spans="1:12" x14ac:dyDescent="0.35">
      <c r="A4907" t="s">
        <v>3115</v>
      </c>
      <c r="B4907" s="1">
        <v>45724</v>
      </c>
      <c r="C4907" t="s">
        <v>9150</v>
      </c>
      <c r="D4907" t="s">
        <v>3892</v>
      </c>
      <c r="E4907" t="s">
        <v>9151</v>
      </c>
      <c r="F4907" t="s">
        <v>8537</v>
      </c>
      <c r="G4907" t="s">
        <v>8538</v>
      </c>
      <c r="H4907" t="s">
        <v>3893</v>
      </c>
      <c r="J4907">
        <v>3149</v>
      </c>
      <c r="L4907" t="s">
        <v>5966</v>
      </c>
    </row>
    <row r="4908" spans="1:12" x14ac:dyDescent="0.35">
      <c r="A4908" t="s">
        <v>3115</v>
      </c>
      <c r="B4908" s="1">
        <v>45724</v>
      </c>
      <c r="C4908" t="s">
        <v>9152</v>
      </c>
      <c r="D4908" t="s">
        <v>3894</v>
      </c>
      <c r="E4908" t="s">
        <v>9153</v>
      </c>
      <c r="F4908" t="s">
        <v>6811</v>
      </c>
      <c r="H4908" t="s">
        <v>3895</v>
      </c>
      <c r="K4908">
        <v>1136</v>
      </c>
      <c r="L4908" t="s">
        <v>6803</v>
      </c>
    </row>
    <row r="4909" spans="1:12" x14ac:dyDescent="0.35">
      <c r="A4909" t="s">
        <v>3115</v>
      </c>
      <c r="B4909" s="1">
        <v>45724</v>
      </c>
      <c r="C4909" t="s">
        <v>9152</v>
      </c>
      <c r="D4909" t="s">
        <v>3894</v>
      </c>
      <c r="E4909" t="s">
        <v>9153</v>
      </c>
      <c r="F4909" t="s">
        <v>8557</v>
      </c>
      <c r="G4909" t="s">
        <v>8558</v>
      </c>
      <c r="H4909" t="s">
        <v>3895</v>
      </c>
      <c r="J4909">
        <v>1136</v>
      </c>
      <c r="L4909" t="s">
        <v>5966</v>
      </c>
    </row>
    <row r="4910" spans="1:12" x14ac:dyDescent="0.35">
      <c r="A4910" t="s">
        <v>3115</v>
      </c>
      <c r="B4910" s="1">
        <v>45724</v>
      </c>
      <c r="C4910" t="s">
        <v>9154</v>
      </c>
      <c r="D4910" t="s">
        <v>3896</v>
      </c>
      <c r="E4910" t="s">
        <v>9155</v>
      </c>
      <c r="F4910" t="s">
        <v>6808</v>
      </c>
      <c r="H4910" t="s">
        <v>3897</v>
      </c>
      <c r="K4910">
        <v>3889</v>
      </c>
      <c r="L4910" t="s">
        <v>6803</v>
      </c>
    </row>
    <row r="4911" spans="1:12" x14ac:dyDescent="0.35">
      <c r="A4911" t="s">
        <v>3115</v>
      </c>
      <c r="B4911" s="1">
        <v>45724</v>
      </c>
      <c r="C4911" t="s">
        <v>9154</v>
      </c>
      <c r="D4911" t="s">
        <v>3896</v>
      </c>
      <c r="E4911" t="s">
        <v>9155</v>
      </c>
      <c r="F4911" t="s">
        <v>8467</v>
      </c>
      <c r="G4911" t="s">
        <v>8567</v>
      </c>
      <c r="H4911" t="s">
        <v>3897</v>
      </c>
      <c r="J4911">
        <v>3889</v>
      </c>
      <c r="L4911" t="s">
        <v>5966</v>
      </c>
    </row>
    <row r="4912" spans="1:12" x14ac:dyDescent="0.35">
      <c r="A4912" t="s">
        <v>3115</v>
      </c>
      <c r="B4912" s="1">
        <v>45724</v>
      </c>
      <c r="C4912" t="s">
        <v>9156</v>
      </c>
      <c r="D4912" t="s">
        <v>3898</v>
      </c>
      <c r="E4912" t="s">
        <v>9157</v>
      </c>
      <c r="F4912" t="s">
        <v>6808</v>
      </c>
      <c r="H4912" t="s">
        <v>3899</v>
      </c>
      <c r="K4912">
        <v>4947</v>
      </c>
      <c r="L4912" t="s">
        <v>6803</v>
      </c>
    </row>
    <row r="4913" spans="1:12" x14ac:dyDescent="0.35">
      <c r="A4913" t="s">
        <v>3115</v>
      </c>
      <c r="B4913" s="1">
        <v>45724</v>
      </c>
      <c r="C4913" t="s">
        <v>9156</v>
      </c>
      <c r="D4913" t="s">
        <v>3898</v>
      </c>
      <c r="E4913" t="s">
        <v>9157</v>
      </c>
      <c r="F4913" t="s">
        <v>8467</v>
      </c>
      <c r="G4913" t="s">
        <v>8567</v>
      </c>
      <c r="H4913" t="s">
        <v>3899</v>
      </c>
      <c r="J4913">
        <v>4947</v>
      </c>
      <c r="L4913" t="s">
        <v>5966</v>
      </c>
    </row>
    <row r="4914" spans="1:12" x14ac:dyDescent="0.35">
      <c r="A4914" t="s">
        <v>3115</v>
      </c>
      <c r="B4914" s="1">
        <v>45724</v>
      </c>
      <c r="C4914" t="s">
        <v>9158</v>
      </c>
      <c r="D4914" t="s">
        <v>3900</v>
      </c>
      <c r="E4914" t="s">
        <v>9159</v>
      </c>
      <c r="F4914" t="s">
        <v>6808</v>
      </c>
      <c r="H4914" t="s">
        <v>3901</v>
      </c>
      <c r="K4914">
        <v>8836</v>
      </c>
      <c r="L4914" t="s">
        <v>6803</v>
      </c>
    </row>
    <row r="4915" spans="1:12" x14ac:dyDescent="0.35">
      <c r="A4915" t="s">
        <v>3115</v>
      </c>
      <c r="B4915" s="1">
        <v>45724</v>
      </c>
      <c r="C4915" t="s">
        <v>9158</v>
      </c>
      <c r="D4915" t="s">
        <v>3900</v>
      </c>
      <c r="E4915" t="s">
        <v>9159</v>
      </c>
      <c r="F4915" t="s">
        <v>8467</v>
      </c>
      <c r="G4915" t="s">
        <v>8567</v>
      </c>
      <c r="H4915" t="s">
        <v>3901</v>
      </c>
      <c r="J4915">
        <v>8836</v>
      </c>
      <c r="L4915" t="s">
        <v>5966</v>
      </c>
    </row>
    <row r="4916" spans="1:12" x14ac:dyDescent="0.35">
      <c r="A4916" t="s">
        <v>3115</v>
      </c>
      <c r="B4916" s="1">
        <v>45724</v>
      </c>
      <c r="C4916" t="s">
        <v>9160</v>
      </c>
      <c r="D4916" t="s">
        <v>3902</v>
      </c>
      <c r="E4916" t="s">
        <v>9161</v>
      </c>
      <c r="F4916" t="s">
        <v>6811</v>
      </c>
      <c r="H4916" t="s">
        <v>3903</v>
      </c>
      <c r="K4916">
        <v>1136</v>
      </c>
      <c r="L4916" t="s">
        <v>6803</v>
      </c>
    </row>
    <row r="4917" spans="1:12" x14ac:dyDescent="0.35">
      <c r="A4917" t="s">
        <v>3115</v>
      </c>
      <c r="B4917" s="1">
        <v>45724</v>
      </c>
      <c r="C4917" t="s">
        <v>9160</v>
      </c>
      <c r="D4917" t="s">
        <v>3902</v>
      </c>
      <c r="E4917" t="s">
        <v>9161</v>
      </c>
      <c r="F4917" t="s">
        <v>8557</v>
      </c>
      <c r="G4917" t="s">
        <v>8558</v>
      </c>
      <c r="H4917" t="s">
        <v>3903</v>
      </c>
      <c r="J4917">
        <v>1136</v>
      </c>
      <c r="L4917" t="s">
        <v>5966</v>
      </c>
    </row>
    <row r="4918" spans="1:12" x14ac:dyDescent="0.35">
      <c r="A4918" t="s">
        <v>3115</v>
      </c>
      <c r="B4918" s="1">
        <v>45725</v>
      </c>
      <c r="C4918" t="s">
        <v>9162</v>
      </c>
      <c r="D4918" t="s">
        <v>3904</v>
      </c>
      <c r="E4918" t="s">
        <v>9163</v>
      </c>
      <c r="F4918" t="s">
        <v>6802</v>
      </c>
      <c r="H4918" t="s">
        <v>3905</v>
      </c>
      <c r="K4918">
        <v>261072</v>
      </c>
      <c r="L4918" t="s">
        <v>6803</v>
      </c>
    </row>
    <row r="4919" spans="1:12" x14ac:dyDescent="0.35">
      <c r="A4919" t="s">
        <v>3115</v>
      </c>
      <c r="B4919" s="1">
        <v>45725</v>
      </c>
      <c r="C4919" t="s">
        <v>9162</v>
      </c>
      <c r="D4919" t="s">
        <v>3904</v>
      </c>
      <c r="E4919" t="s">
        <v>9163</v>
      </c>
      <c r="F4919" t="s">
        <v>8537</v>
      </c>
      <c r="G4919" t="s">
        <v>8538</v>
      </c>
      <c r="H4919" t="s">
        <v>3905</v>
      </c>
      <c r="J4919">
        <v>261072</v>
      </c>
      <c r="L4919" t="s">
        <v>5966</v>
      </c>
    </row>
    <row r="4920" spans="1:12" x14ac:dyDescent="0.35">
      <c r="A4920" t="s">
        <v>3115</v>
      </c>
      <c r="B4920" s="1">
        <v>45725</v>
      </c>
      <c r="C4920" t="s">
        <v>9164</v>
      </c>
      <c r="D4920" t="s">
        <v>3906</v>
      </c>
      <c r="E4920" t="s">
        <v>9165</v>
      </c>
      <c r="F4920" t="s">
        <v>6802</v>
      </c>
      <c r="H4920" t="s">
        <v>3907</v>
      </c>
      <c r="K4920">
        <v>984</v>
      </c>
      <c r="L4920" t="s">
        <v>6803</v>
      </c>
    </row>
    <row r="4921" spans="1:12" x14ac:dyDescent="0.35">
      <c r="A4921" t="s">
        <v>3115</v>
      </c>
      <c r="B4921" s="1">
        <v>45725</v>
      </c>
      <c r="C4921" t="s">
        <v>9164</v>
      </c>
      <c r="D4921" t="s">
        <v>3906</v>
      </c>
      <c r="E4921" t="s">
        <v>9165</v>
      </c>
      <c r="F4921" t="s">
        <v>8537</v>
      </c>
      <c r="G4921" t="s">
        <v>8538</v>
      </c>
      <c r="H4921" t="s">
        <v>3907</v>
      </c>
      <c r="J4921">
        <v>984</v>
      </c>
      <c r="L4921" t="s">
        <v>5966</v>
      </c>
    </row>
    <row r="4922" spans="1:12" x14ac:dyDescent="0.35">
      <c r="A4922" t="s">
        <v>3115</v>
      </c>
      <c r="B4922" s="1">
        <v>45725</v>
      </c>
      <c r="C4922" t="s">
        <v>9166</v>
      </c>
      <c r="D4922" t="s">
        <v>3908</v>
      </c>
      <c r="E4922" t="s">
        <v>9167</v>
      </c>
      <c r="F4922" t="s">
        <v>6802</v>
      </c>
      <c r="H4922" t="s">
        <v>3909</v>
      </c>
      <c r="K4922">
        <v>328</v>
      </c>
      <c r="L4922" t="s">
        <v>6803</v>
      </c>
    </row>
    <row r="4923" spans="1:12" x14ac:dyDescent="0.35">
      <c r="A4923" t="s">
        <v>3115</v>
      </c>
      <c r="B4923" s="1">
        <v>45725</v>
      </c>
      <c r="C4923" t="s">
        <v>9166</v>
      </c>
      <c r="D4923" t="s">
        <v>3908</v>
      </c>
      <c r="E4923" t="s">
        <v>9167</v>
      </c>
      <c r="F4923" t="s">
        <v>8537</v>
      </c>
      <c r="G4923" t="s">
        <v>8538</v>
      </c>
      <c r="H4923" t="s">
        <v>3909</v>
      </c>
      <c r="J4923">
        <v>328</v>
      </c>
      <c r="L4923" t="s">
        <v>5966</v>
      </c>
    </row>
    <row r="4924" spans="1:12" x14ac:dyDescent="0.35">
      <c r="A4924" t="s">
        <v>3115</v>
      </c>
      <c r="B4924" s="1">
        <v>45725</v>
      </c>
      <c r="C4924" t="s">
        <v>9168</v>
      </c>
      <c r="D4924" t="s">
        <v>3910</v>
      </c>
      <c r="E4924" t="s">
        <v>9169</v>
      </c>
      <c r="F4924" t="s">
        <v>6802</v>
      </c>
      <c r="H4924" t="s">
        <v>3911</v>
      </c>
      <c r="K4924">
        <v>10757</v>
      </c>
      <c r="L4924" t="s">
        <v>6803</v>
      </c>
    </row>
    <row r="4925" spans="1:12" x14ac:dyDescent="0.35">
      <c r="A4925" t="s">
        <v>3115</v>
      </c>
      <c r="B4925" s="1">
        <v>45725</v>
      </c>
      <c r="C4925" t="s">
        <v>9168</v>
      </c>
      <c r="D4925" t="s">
        <v>3910</v>
      </c>
      <c r="E4925" t="s">
        <v>9169</v>
      </c>
      <c r="F4925" t="s">
        <v>8537</v>
      </c>
      <c r="G4925" t="s">
        <v>8538</v>
      </c>
      <c r="H4925" t="s">
        <v>3911</v>
      </c>
      <c r="J4925">
        <v>10757</v>
      </c>
      <c r="L4925" t="s">
        <v>5966</v>
      </c>
    </row>
    <row r="4926" spans="1:12" x14ac:dyDescent="0.35">
      <c r="A4926" t="s">
        <v>3115</v>
      </c>
      <c r="B4926" s="1">
        <v>45725</v>
      </c>
      <c r="C4926" t="s">
        <v>9170</v>
      </c>
      <c r="D4926" t="s">
        <v>3912</v>
      </c>
      <c r="E4926" t="s">
        <v>9171</v>
      </c>
      <c r="F4926" t="s">
        <v>6802</v>
      </c>
      <c r="H4926" t="s">
        <v>3913</v>
      </c>
      <c r="K4926">
        <v>22172</v>
      </c>
      <c r="L4926" t="s">
        <v>6803</v>
      </c>
    </row>
    <row r="4927" spans="1:12" x14ac:dyDescent="0.35">
      <c r="A4927" t="s">
        <v>3115</v>
      </c>
      <c r="B4927" s="1">
        <v>45725</v>
      </c>
      <c r="C4927" t="s">
        <v>9170</v>
      </c>
      <c r="D4927" t="s">
        <v>3912</v>
      </c>
      <c r="E4927" t="s">
        <v>9171</v>
      </c>
      <c r="F4927" t="s">
        <v>8537</v>
      </c>
      <c r="G4927" t="s">
        <v>8538</v>
      </c>
      <c r="H4927" t="s">
        <v>3913</v>
      </c>
      <c r="J4927">
        <v>22172</v>
      </c>
      <c r="L4927" t="s">
        <v>5966</v>
      </c>
    </row>
    <row r="4928" spans="1:12" x14ac:dyDescent="0.35">
      <c r="A4928" t="s">
        <v>3115</v>
      </c>
      <c r="B4928" s="1">
        <v>45725</v>
      </c>
      <c r="C4928" t="s">
        <v>9172</v>
      </c>
      <c r="D4928" t="s">
        <v>3914</v>
      </c>
      <c r="E4928" t="s">
        <v>9173</v>
      </c>
      <c r="F4928" t="s">
        <v>6802</v>
      </c>
      <c r="H4928" t="s">
        <v>3915</v>
      </c>
      <c r="K4928">
        <v>499</v>
      </c>
      <c r="L4928" t="s">
        <v>6803</v>
      </c>
    </row>
    <row r="4929" spans="1:12" x14ac:dyDescent="0.35">
      <c r="A4929" t="s">
        <v>3115</v>
      </c>
      <c r="B4929" s="1">
        <v>45725</v>
      </c>
      <c r="C4929" t="s">
        <v>9172</v>
      </c>
      <c r="D4929" t="s">
        <v>3914</v>
      </c>
      <c r="E4929" t="s">
        <v>9173</v>
      </c>
      <c r="F4929" t="s">
        <v>8557</v>
      </c>
      <c r="G4929" t="s">
        <v>8558</v>
      </c>
      <c r="H4929" t="s">
        <v>3915</v>
      </c>
      <c r="J4929">
        <v>499</v>
      </c>
      <c r="L4929" t="s">
        <v>5966</v>
      </c>
    </row>
    <row r="4930" spans="1:12" x14ac:dyDescent="0.35">
      <c r="A4930" t="s">
        <v>3115</v>
      </c>
      <c r="B4930" s="1">
        <v>45725</v>
      </c>
      <c r="C4930" t="s">
        <v>9174</v>
      </c>
      <c r="D4930" t="s">
        <v>3916</v>
      </c>
      <c r="E4930" t="s">
        <v>9175</v>
      </c>
      <c r="F4930" t="s">
        <v>6802</v>
      </c>
      <c r="H4930" t="s">
        <v>3917</v>
      </c>
      <c r="K4930">
        <v>919</v>
      </c>
      <c r="L4930" t="s">
        <v>6803</v>
      </c>
    </row>
    <row r="4931" spans="1:12" x14ac:dyDescent="0.35">
      <c r="A4931" t="s">
        <v>3115</v>
      </c>
      <c r="B4931" s="1">
        <v>45725</v>
      </c>
      <c r="C4931" t="s">
        <v>9174</v>
      </c>
      <c r="D4931" t="s">
        <v>3916</v>
      </c>
      <c r="E4931" t="s">
        <v>9175</v>
      </c>
      <c r="F4931" t="s">
        <v>8537</v>
      </c>
      <c r="G4931" t="s">
        <v>8538</v>
      </c>
      <c r="H4931" t="s">
        <v>3917</v>
      </c>
      <c r="J4931">
        <v>919</v>
      </c>
      <c r="L4931" t="s">
        <v>5966</v>
      </c>
    </row>
    <row r="4932" spans="1:12" x14ac:dyDescent="0.35">
      <c r="A4932" t="s">
        <v>3115</v>
      </c>
      <c r="B4932" s="1">
        <v>45725</v>
      </c>
      <c r="C4932" t="s">
        <v>9176</v>
      </c>
      <c r="D4932" t="s">
        <v>3918</v>
      </c>
      <c r="E4932" t="s">
        <v>9177</v>
      </c>
      <c r="F4932" t="s">
        <v>6802</v>
      </c>
      <c r="H4932" t="s">
        <v>3919</v>
      </c>
      <c r="K4932">
        <v>2500</v>
      </c>
      <c r="L4932" t="s">
        <v>6803</v>
      </c>
    </row>
    <row r="4933" spans="1:12" x14ac:dyDescent="0.35">
      <c r="A4933" t="s">
        <v>3115</v>
      </c>
      <c r="B4933" s="1">
        <v>45725</v>
      </c>
      <c r="C4933" t="s">
        <v>9176</v>
      </c>
      <c r="D4933" t="s">
        <v>3918</v>
      </c>
      <c r="E4933" t="s">
        <v>9177</v>
      </c>
      <c r="F4933" t="s">
        <v>8557</v>
      </c>
      <c r="G4933" t="s">
        <v>8558</v>
      </c>
      <c r="H4933" t="s">
        <v>3919</v>
      </c>
      <c r="J4933">
        <v>2500</v>
      </c>
      <c r="L4933" t="s">
        <v>5966</v>
      </c>
    </row>
    <row r="4934" spans="1:12" x14ac:dyDescent="0.35">
      <c r="A4934" t="s">
        <v>3115</v>
      </c>
      <c r="B4934" s="1">
        <v>45725</v>
      </c>
      <c r="C4934" t="s">
        <v>9178</v>
      </c>
      <c r="D4934" t="s">
        <v>3920</v>
      </c>
      <c r="E4934" t="s">
        <v>9179</v>
      </c>
      <c r="F4934" t="s">
        <v>6915</v>
      </c>
      <c r="H4934" t="s">
        <v>3921</v>
      </c>
      <c r="K4934">
        <v>66825</v>
      </c>
      <c r="L4934" t="s">
        <v>6803</v>
      </c>
    </row>
    <row r="4935" spans="1:12" x14ac:dyDescent="0.35">
      <c r="A4935" t="s">
        <v>3115</v>
      </c>
      <c r="B4935" s="1">
        <v>45725</v>
      </c>
      <c r="C4935" t="s">
        <v>9178</v>
      </c>
      <c r="D4935" t="s">
        <v>3920</v>
      </c>
      <c r="E4935" t="s">
        <v>9179</v>
      </c>
      <c r="F4935" t="s">
        <v>8569</v>
      </c>
      <c r="G4935" t="s">
        <v>8570</v>
      </c>
      <c r="H4935" t="s">
        <v>3921</v>
      </c>
      <c r="J4935">
        <v>66825</v>
      </c>
      <c r="L4935" t="s">
        <v>5966</v>
      </c>
    </row>
    <row r="4936" spans="1:12" x14ac:dyDescent="0.35">
      <c r="A4936" t="s">
        <v>3115</v>
      </c>
      <c r="B4936" s="1">
        <v>45725</v>
      </c>
      <c r="C4936" t="s">
        <v>9180</v>
      </c>
      <c r="D4936" t="s">
        <v>3922</v>
      </c>
      <c r="E4936" t="s">
        <v>9181</v>
      </c>
      <c r="F4936" t="s">
        <v>6802</v>
      </c>
      <c r="H4936" t="s">
        <v>3923</v>
      </c>
      <c r="K4936">
        <v>3477</v>
      </c>
      <c r="L4936" t="s">
        <v>6803</v>
      </c>
    </row>
    <row r="4937" spans="1:12" x14ac:dyDescent="0.35">
      <c r="A4937" t="s">
        <v>3115</v>
      </c>
      <c r="B4937" s="1">
        <v>45725</v>
      </c>
      <c r="C4937" t="s">
        <v>9180</v>
      </c>
      <c r="D4937" t="s">
        <v>3922</v>
      </c>
      <c r="E4937" t="s">
        <v>9181</v>
      </c>
      <c r="F4937" t="s">
        <v>8537</v>
      </c>
      <c r="G4937" t="s">
        <v>8538</v>
      </c>
      <c r="H4937" t="s">
        <v>3923</v>
      </c>
      <c r="J4937">
        <v>3477</v>
      </c>
      <c r="L4937" t="s">
        <v>5966</v>
      </c>
    </row>
    <row r="4938" spans="1:12" x14ac:dyDescent="0.35">
      <c r="A4938" t="s">
        <v>3115</v>
      </c>
      <c r="B4938" s="1">
        <v>45725</v>
      </c>
      <c r="C4938" t="s">
        <v>9182</v>
      </c>
      <c r="D4938" t="s">
        <v>3924</v>
      </c>
      <c r="E4938" t="s">
        <v>9181</v>
      </c>
      <c r="F4938" t="s">
        <v>6802</v>
      </c>
      <c r="H4938" t="s">
        <v>3925</v>
      </c>
      <c r="K4938">
        <v>499</v>
      </c>
      <c r="L4938" t="s">
        <v>6803</v>
      </c>
    </row>
    <row r="4939" spans="1:12" x14ac:dyDescent="0.35">
      <c r="A4939" t="s">
        <v>3115</v>
      </c>
      <c r="B4939" s="1">
        <v>45725</v>
      </c>
      <c r="C4939" t="s">
        <v>9182</v>
      </c>
      <c r="D4939" t="s">
        <v>3924</v>
      </c>
      <c r="E4939" t="s">
        <v>9181</v>
      </c>
      <c r="F4939" t="s">
        <v>8557</v>
      </c>
      <c r="G4939" t="s">
        <v>8558</v>
      </c>
      <c r="H4939" t="s">
        <v>3925</v>
      </c>
      <c r="J4939">
        <v>499</v>
      </c>
      <c r="L4939" t="s">
        <v>5966</v>
      </c>
    </row>
    <row r="4940" spans="1:12" x14ac:dyDescent="0.35">
      <c r="A4940" t="s">
        <v>3115</v>
      </c>
      <c r="B4940" s="1">
        <v>45725</v>
      </c>
      <c r="C4940" t="s">
        <v>9183</v>
      </c>
      <c r="D4940" t="s">
        <v>3926</v>
      </c>
      <c r="E4940" t="s">
        <v>9184</v>
      </c>
      <c r="F4940" t="s">
        <v>6808</v>
      </c>
      <c r="H4940" t="s">
        <v>3927</v>
      </c>
      <c r="K4940">
        <v>3889</v>
      </c>
      <c r="L4940" t="s">
        <v>6803</v>
      </c>
    </row>
    <row r="4941" spans="1:12" x14ac:dyDescent="0.35">
      <c r="A4941" t="s">
        <v>3115</v>
      </c>
      <c r="B4941" s="1">
        <v>45725</v>
      </c>
      <c r="C4941" t="s">
        <v>9183</v>
      </c>
      <c r="D4941" t="s">
        <v>3926</v>
      </c>
      <c r="E4941" t="s">
        <v>9184</v>
      </c>
      <c r="F4941" t="s">
        <v>8467</v>
      </c>
      <c r="G4941" t="s">
        <v>8567</v>
      </c>
      <c r="H4941" t="s">
        <v>3927</v>
      </c>
      <c r="J4941">
        <v>3889</v>
      </c>
      <c r="L4941" t="s">
        <v>5966</v>
      </c>
    </row>
    <row r="4942" spans="1:12" x14ac:dyDescent="0.35">
      <c r="A4942" t="s">
        <v>3115</v>
      </c>
      <c r="B4942" s="1">
        <v>45725</v>
      </c>
      <c r="C4942" t="s">
        <v>9185</v>
      </c>
      <c r="D4942" t="s">
        <v>3928</v>
      </c>
      <c r="E4942" t="s">
        <v>9186</v>
      </c>
      <c r="F4942" t="s">
        <v>6808</v>
      </c>
      <c r="H4942" t="s">
        <v>3929</v>
      </c>
      <c r="K4942">
        <v>3298</v>
      </c>
      <c r="L4942" t="s">
        <v>6803</v>
      </c>
    </row>
    <row r="4943" spans="1:12" x14ac:dyDescent="0.35">
      <c r="A4943" t="s">
        <v>3115</v>
      </c>
      <c r="B4943" s="1">
        <v>45725</v>
      </c>
      <c r="C4943" t="s">
        <v>9185</v>
      </c>
      <c r="D4943" t="s">
        <v>3928</v>
      </c>
      <c r="E4943" t="s">
        <v>9186</v>
      </c>
      <c r="F4943" t="s">
        <v>8467</v>
      </c>
      <c r="G4943" t="s">
        <v>8567</v>
      </c>
      <c r="H4943" t="s">
        <v>3929</v>
      </c>
      <c r="J4943">
        <v>3298</v>
      </c>
      <c r="L4943" t="s">
        <v>5966</v>
      </c>
    </row>
    <row r="4944" spans="1:12" x14ac:dyDescent="0.35">
      <c r="A4944" t="s">
        <v>3115</v>
      </c>
      <c r="B4944" s="1">
        <v>45725</v>
      </c>
      <c r="C4944" t="s">
        <v>9187</v>
      </c>
      <c r="D4944" t="s">
        <v>3930</v>
      </c>
      <c r="E4944" t="s">
        <v>9188</v>
      </c>
      <c r="F4944" t="s">
        <v>6802</v>
      </c>
      <c r="H4944" t="s">
        <v>3931</v>
      </c>
      <c r="K4944">
        <v>12712</v>
      </c>
      <c r="L4944" t="s">
        <v>6803</v>
      </c>
    </row>
    <row r="4945" spans="1:12" x14ac:dyDescent="0.35">
      <c r="A4945" t="s">
        <v>3115</v>
      </c>
      <c r="B4945" s="1">
        <v>45725</v>
      </c>
      <c r="C4945" t="s">
        <v>9187</v>
      </c>
      <c r="D4945" t="s">
        <v>3930</v>
      </c>
      <c r="E4945" t="s">
        <v>9188</v>
      </c>
      <c r="F4945" t="s">
        <v>8467</v>
      </c>
      <c r="G4945" t="s">
        <v>8567</v>
      </c>
      <c r="H4945" t="s">
        <v>3931</v>
      </c>
      <c r="J4945">
        <v>12712</v>
      </c>
      <c r="L4945" t="s">
        <v>5966</v>
      </c>
    </row>
    <row r="4946" spans="1:12" x14ac:dyDescent="0.35">
      <c r="A4946" t="s">
        <v>3115</v>
      </c>
      <c r="B4946" s="1">
        <v>45725</v>
      </c>
      <c r="C4946" t="s">
        <v>9189</v>
      </c>
      <c r="D4946" t="s">
        <v>3932</v>
      </c>
      <c r="E4946" t="s">
        <v>9190</v>
      </c>
      <c r="F4946" t="s">
        <v>6802</v>
      </c>
      <c r="H4946" t="s">
        <v>3933</v>
      </c>
      <c r="K4946">
        <v>2857</v>
      </c>
      <c r="L4946" t="s">
        <v>6803</v>
      </c>
    </row>
    <row r="4947" spans="1:12" x14ac:dyDescent="0.35">
      <c r="A4947" t="s">
        <v>3115</v>
      </c>
      <c r="B4947" s="1">
        <v>45725</v>
      </c>
      <c r="C4947" t="s">
        <v>9189</v>
      </c>
      <c r="D4947" t="s">
        <v>3932</v>
      </c>
      <c r="E4947" t="s">
        <v>9190</v>
      </c>
      <c r="F4947" t="s">
        <v>8467</v>
      </c>
      <c r="G4947" t="s">
        <v>8567</v>
      </c>
      <c r="H4947" t="s">
        <v>3933</v>
      </c>
      <c r="J4947">
        <v>2857</v>
      </c>
      <c r="L4947" t="s">
        <v>5966</v>
      </c>
    </row>
    <row r="4948" spans="1:12" x14ac:dyDescent="0.35">
      <c r="A4948" t="s">
        <v>3115</v>
      </c>
      <c r="B4948" s="1">
        <v>45726</v>
      </c>
      <c r="C4948" t="s">
        <v>6841</v>
      </c>
      <c r="D4948" t="s">
        <v>3934</v>
      </c>
      <c r="E4948" t="s">
        <v>9191</v>
      </c>
      <c r="F4948" t="s">
        <v>6808</v>
      </c>
      <c r="H4948" t="s">
        <v>3935</v>
      </c>
      <c r="K4948">
        <v>7650</v>
      </c>
      <c r="L4948" t="s">
        <v>6803</v>
      </c>
    </row>
    <row r="4949" spans="1:12" x14ac:dyDescent="0.35">
      <c r="A4949" t="s">
        <v>3115</v>
      </c>
      <c r="B4949" s="1">
        <v>45726</v>
      </c>
      <c r="C4949" t="s">
        <v>6841</v>
      </c>
      <c r="D4949" t="s">
        <v>3934</v>
      </c>
      <c r="E4949" t="s">
        <v>9191</v>
      </c>
      <c r="F4949" t="s">
        <v>8467</v>
      </c>
      <c r="G4949" t="s">
        <v>8567</v>
      </c>
      <c r="H4949" t="s">
        <v>3935</v>
      </c>
      <c r="J4949">
        <v>7650</v>
      </c>
      <c r="L4949" t="s">
        <v>5958</v>
      </c>
    </row>
    <row r="4950" spans="1:12" x14ac:dyDescent="0.35">
      <c r="A4950" t="s">
        <v>3115</v>
      </c>
      <c r="B4950" s="1">
        <v>45726</v>
      </c>
      <c r="C4950" t="s">
        <v>6842</v>
      </c>
      <c r="D4950" t="s">
        <v>3936</v>
      </c>
      <c r="E4950" t="s">
        <v>9192</v>
      </c>
      <c r="F4950" t="s">
        <v>6802</v>
      </c>
      <c r="H4950" t="s">
        <v>3937</v>
      </c>
      <c r="K4950">
        <v>328</v>
      </c>
      <c r="L4950" t="s">
        <v>6803</v>
      </c>
    </row>
    <row r="4951" spans="1:12" x14ac:dyDescent="0.35">
      <c r="A4951" t="s">
        <v>3115</v>
      </c>
      <c r="B4951" s="1">
        <v>45726</v>
      </c>
      <c r="C4951" t="s">
        <v>6842</v>
      </c>
      <c r="D4951" t="s">
        <v>3936</v>
      </c>
      <c r="E4951" t="s">
        <v>9192</v>
      </c>
      <c r="F4951" t="s">
        <v>8537</v>
      </c>
      <c r="G4951" t="s">
        <v>8538</v>
      </c>
      <c r="H4951" t="s">
        <v>3937</v>
      </c>
      <c r="J4951">
        <v>328</v>
      </c>
      <c r="L4951" t="s">
        <v>5958</v>
      </c>
    </row>
    <row r="4952" spans="1:12" x14ac:dyDescent="0.35">
      <c r="A4952" t="s">
        <v>3115</v>
      </c>
      <c r="B4952" s="1">
        <v>45726</v>
      </c>
      <c r="C4952" t="s">
        <v>6844</v>
      </c>
      <c r="D4952" t="s">
        <v>3938</v>
      </c>
      <c r="E4952" t="s">
        <v>9193</v>
      </c>
      <c r="F4952" t="s">
        <v>6802</v>
      </c>
      <c r="H4952" t="s">
        <v>3939</v>
      </c>
      <c r="K4952">
        <v>4723</v>
      </c>
      <c r="L4952" t="s">
        <v>6803</v>
      </c>
    </row>
    <row r="4953" spans="1:12" x14ac:dyDescent="0.35">
      <c r="A4953" t="s">
        <v>3115</v>
      </c>
      <c r="B4953" s="1">
        <v>45726</v>
      </c>
      <c r="C4953" t="s">
        <v>6844</v>
      </c>
      <c r="D4953" t="s">
        <v>3938</v>
      </c>
      <c r="E4953" t="s">
        <v>9193</v>
      </c>
      <c r="F4953" t="s">
        <v>8537</v>
      </c>
      <c r="G4953" t="s">
        <v>8538</v>
      </c>
      <c r="H4953" t="s">
        <v>3939</v>
      </c>
      <c r="J4953">
        <v>4723</v>
      </c>
      <c r="L4953" t="s">
        <v>5958</v>
      </c>
    </row>
    <row r="4954" spans="1:12" x14ac:dyDescent="0.35">
      <c r="A4954" t="s">
        <v>3115</v>
      </c>
      <c r="B4954" s="1">
        <v>45726</v>
      </c>
      <c r="C4954" t="s">
        <v>6845</v>
      </c>
      <c r="D4954" t="s">
        <v>3940</v>
      </c>
      <c r="E4954" t="s">
        <v>9194</v>
      </c>
      <c r="F4954" t="s">
        <v>6802</v>
      </c>
      <c r="H4954" t="s">
        <v>3941</v>
      </c>
      <c r="K4954">
        <v>2492</v>
      </c>
      <c r="L4954" t="s">
        <v>6803</v>
      </c>
    </row>
    <row r="4955" spans="1:12" x14ac:dyDescent="0.35">
      <c r="A4955" t="s">
        <v>3115</v>
      </c>
      <c r="B4955" s="1">
        <v>45726</v>
      </c>
      <c r="C4955" t="s">
        <v>6845</v>
      </c>
      <c r="D4955" t="s">
        <v>3940</v>
      </c>
      <c r="E4955" t="s">
        <v>9194</v>
      </c>
      <c r="F4955" t="s">
        <v>8537</v>
      </c>
      <c r="G4955" t="s">
        <v>8538</v>
      </c>
      <c r="H4955" t="s">
        <v>3941</v>
      </c>
      <c r="J4955">
        <v>2492</v>
      </c>
      <c r="L4955" t="s">
        <v>5958</v>
      </c>
    </row>
    <row r="4956" spans="1:12" x14ac:dyDescent="0.35">
      <c r="A4956" t="s">
        <v>3115</v>
      </c>
      <c r="B4956" s="1">
        <v>45726</v>
      </c>
      <c r="C4956" t="s">
        <v>6846</v>
      </c>
      <c r="D4956" t="s">
        <v>3942</v>
      </c>
      <c r="E4956" t="s">
        <v>9195</v>
      </c>
      <c r="F4956" t="s">
        <v>6802</v>
      </c>
      <c r="H4956" t="s">
        <v>3943</v>
      </c>
      <c r="K4956">
        <v>220000</v>
      </c>
      <c r="L4956" t="s">
        <v>6803</v>
      </c>
    </row>
    <row r="4957" spans="1:12" x14ac:dyDescent="0.35">
      <c r="A4957" t="s">
        <v>3115</v>
      </c>
      <c r="B4957" s="1">
        <v>45726</v>
      </c>
      <c r="C4957" t="s">
        <v>6846</v>
      </c>
      <c r="D4957" t="s">
        <v>3942</v>
      </c>
      <c r="E4957" t="s">
        <v>9195</v>
      </c>
      <c r="F4957" t="s">
        <v>8557</v>
      </c>
      <c r="G4957" t="s">
        <v>8558</v>
      </c>
      <c r="H4957" t="s">
        <v>3943</v>
      </c>
      <c r="J4957">
        <v>220000</v>
      </c>
      <c r="L4957" t="s">
        <v>5880</v>
      </c>
    </row>
    <row r="4958" spans="1:12" x14ac:dyDescent="0.35">
      <c r="A4958" t="s">
        <v>3115</v>
      </c>
      <c r="B4958" s="1">
        <v>45726</v>
      </c>
      <c r="C4958" t="s">
        <v>6847</v>
      </c>
      <c r="D4958" t="s">
        <v>3944</v>
      </c>
      <c r="E4958" t="s">
        <v>9196</v>
      </c>
      <c r="F4958" t="s">
        <v>6811</v>
      </c>
      <c r="H4958" t="s">
        <v>3945</v>
      </c>
      <c r="K4958">
        <v>3564</v>
      </c>
      <c r="L4958" t="s">
        <v>6803</v>
      </c>
    </row>
    <row r="4959" spans="1:12" x14ac:dyDescent="0.35">
      <c r="A4959" t="s">
        <v>3115</v>
      </c>
      <c r="B4959" s="1">
        <v>45726</v>
      </c>
      <c r="C4959" t="s">
        <v>6847</v>
      </c>
      <c r="D4959" t="s">
        <v>3944</v>
      </c>
      <c r="E4959" t="s">
        <v>9196</v>
      </c>
      <c r="F4959" t="s">
        <v>8557</v>
      </c>
      <c r="G4959" t="s">
        <v>8558</v>
      </c>
      <c r="H4959" t="s">
        <v>3945</v>
      </c>
      <c r="J4959">
        <v>3564</v>
      </c>
      <c r="L4959" t="s">
        <v>5958</v>
      </c>
    </row>
    <row r="4960" spans="1:12" x14ac:dyDescent="0.35">
      <c r="A4960" t="s">
        <v>3115</v>
      </c>
      <c r="B4960" s="1">
        <v>45726</v>
      </c>
      <c r="C4960" t="s">
        <v>6848</v>
      </c>
      <c r="D4960" t="s">
        <v>3946</v>
      </c>
      <c r="E4960" t="s">
        <v>9197</v>
      </c>
      <c r="F4960" t="s">
        <v>6802</v>
      </c>
      <c r="H4960" t="s">
        <v>3947</v>
      </c>
      <c r="K4960">
        <v>394</v>
      </c>
      <c r="L4960" t="s">
        <v>6803</v>
      </c>
    </row>
    <row r="4961" spans="1:12" x14ac:dyDescent="0.35">
      <c r="A4961" t="s">
        <v>3115</v>
      </c>
      <c r="B4961" s="1">
        <v>45726</v>
      </c>
      <c r="C4961" t="s">
        <v>6848</v>
      </c>
      <c r="D4961" t="s">
        <v>3946</v>
      </c>
      <c r="E4961" t="s">
        <v>9197</v>
      </c>
      <c r="F4961" t="s">
        <v>8537</v>
      </c>
      <c r="G4961" t="s">
        <v>8538</v>
      </c>
      <c r="H4961" t="s">
        <v>3947</v>
      </c>
      <c r="J4961">
        <v>394</v>
      </c>
      <c r="L4961" t="s">
        <v>5928</v>
      </c>
    </row>
    <row r="4962" spans="1:12" x14ac:dyDescent="0.35">
      <c r="A4962" t="s">
        <v>3115</v>
      </c>
      <c r="B4962" s="1">
        <v>45726</v>
      </c>
      <c r="C4962" t="s">
        <v>6849</v>
      </c>
      <c r="D4962" t="s">
        <v>3948</v>
      </c>
      <c r="E4962" t="s">
        <v>9198</v>
      </c>
      <c r="F4962" t="s">
        <v>6802</v>
      </c>
      <c r="H4962" t="s">
        <v>3949</v>
      </c>
      <c r="K4962">
        <v>11376</v>
      </c>
      <c r="L4962" t="s">
        <v>6803</v>
      </c>
    </row>
    <row r="4963" spans="1:12" x14ac:dyDescent="0.35">
      <c r="A4963" t="s">
        <v>3115</v>
      </c>
      <c r="B4963" s="1">
        <v>45726</v>
      </c>
      <c r="C4963" t="s">
        <v>6849</v>
      </c>
      <c r="D4963" t="s">
        <v>3948</v>
      </c>
      <c r="E4963" t="s">
        <v>9198</v>
      </c>
      <c r="F4963" t="s">
        <v>8537</v>
      </c>
      <c r="G4963" t="s">
        <v>8538</v>
      </c>
      <c r="H4963" t="s">
        <v>3949</v>
      </c>
      <c r="J4963">
        <v>11376</v>
      </c>
      <c r="L4963" t="s">
        <v>5880</v>
      </c>
    </row>
    <row r="4964" spans="1:12" x14ac:dyDescent="0.35">
      <c r="A4964" t="s">
        <v>3115</v>
      </c>
      <c r="B4964" s="1">
        <v>45726</v>
      </c>
      <c r="C4964" t="s">
        <v>6850</v>
      </c>
      <c r="D4964" t="s">
        <v>3950</v>
      </c>
      <c r="E4964" t="s">
        <v>9199</v>
      </c>
      <c r="F4964" t="s">
        <v>6802</v>
      </c>
      <c r="H4964" t="s">
        <v>3951</v>
      </c>
      <c r="K4964">
        <v>50180</v>
      </c>
      <c r="L4964" t="s">
        <v>6803</v>
      </c>
    </row>
    <row r="4965" spans="1:12" x14ac:dyDescent="0.35">
      <c r="A4965" t="s">
        <v>3115</v>
      </c>
      <c r="B4965" s="1">
        <v>45726</v>
      </c>
      <c r="C4965" t="s">
        <v>6850</v>
      </c>
      <c r="D4965" t="s">
        <v>3950</v>
      </c>
      <c r="E4965" t="s">
        <v>9199</v>
      </c>
      <c r="F4965" t="s">
        <v>8537</v>
      </c>
      <c r="G4965" t="s">
        <v>8538</v>
      </c>
      <c r="H4965" t="s">
        <v>3951</v>
      </c>
      <c r="J4965">
        <v>50180</v>
      </c>
      <c r="L4965" t="s">
        <v>5875</v>
      </c>
    </row>
    <row r="4966" spans="1:12" x14ac:dyDescent="0.35">
      <c r="A4966" t="s">
        <v>3115</v>
      </c>
      <c r="B4966" s="1">
        <v>45726</v>
      </c>
      <c r="C4966" t="s">
        <v>6851</v>
      </c>
      <c r="D4966" t="s">
        <v>3952</v>
      </c>
      <c r="F4966" t="s">
        <v>6802</v>
      </c>
      <c r="H4966" t="s">
        <v>3953</v>
      </c>
      <c r="K4966">
        <v>56700</v>
      </c>
      <c r="L4966" t="s">
        <v>6803</v>
      </c>
    </row>
    <row r="4967" spans="1:12" x14ac:dyDescent="0.35">
      <c r="A4967" t="s">
        <v>3115</v>
      </c>
      <c r="B4967" s="1">
        <v>45726</v>
      </c>
      <c r="C4967" t="s">
        <v>6851</v>
      </c>
      <c r="D4967" t="s">
        <v>3952</v>
      </c>
      <c r="F4967" t="s">
        <v>8537</v>
      </c>
      <c r="G4967" t="s">
        <v>8538</v>
      </c>
      <c r="H4967" t="s">
        <v>3953</v>
      </c>
      <c r="J4967">
        <v>56700</v>
      </c>
      <c r="L4967" t="s">
        <v>5949</v>
      </c>
    </row>
    <row r="4968" spans="1:12" x14ac:dyDescent="0.35">
      <c r="A4968" t="s">
        <v>3115</v>
      </c>
      <c r="B4968" s="1">
        <v>45726</v>
      </c>
      <c r="C4968" t="s">
        <v>6852</v>
      </c>
      <c r="D4968" t="s">
        <v>3954</v>
      </c>
      <c r="E4968" t="s">
        <v>9200</v>
      </c>
      <c r="F4968" t="s">
        <v>6802</v>
      </c>
      <c r="H4968" t="s">
        <v>3955</v>
      </c>
      <c r="K4968">
        <v>405999</v>
      </c>
      <c r="L4968" t="s">
        <v>6803</v>
      </c>
    </row>
    <row r="4969" spans="1:12" x14ac:dyDescent="0.35">
      <c r="A4969" t="s">
        <v>3115</v>
      </c>
      <c r="B4969" s="1">
        <v>45726</v>
      </c>
      <c r="C4969" t="s">
        <v>6852</v>
      </c>
      <c r="D4969" t="s">
        <v>3954</v>
      </c>
      <c r="E4969" t="s">
        <v>9200</v>
      </c>
      <c r="F4969" t="s">
        <v>8537</v>
      </c>
      <c r="G4969" t="s">
        <v>8538</v>
      </c>
      <c r="H4969" t="s">
        <v>3955</v>
      </c>
      <c r="J4969">
        <v>405999</v>
      </c>
      <c r="L4969" t="s">
        <v>5880</v>
      </c>
    </row>
    <row r="4970" spans="1:12" x14ac:dyDescent="0.35">
      <c r="A4970" t="s">
        <v>3115</v>
      </c>
      <c r="B4970" s="1">
        <v>45726</v>
      </c>
      <c r="C4970" t="s">
        <v>6853</v>
      </c>
      <c r="D4970" t="s">
        <v>3956</v>
      </c>
      <c r="E4970" t="s">
        <v>9201</v>
      </c>
      <c r="F4970" t="s">
        <v>6802</v>
      </c>
      <c r="H4970" t="s">
        <v>3957</v>
      </c>
      <c r="K4970">
        <v>18900</v>
      </c>
      <c r="L4970" t="s">
        <v>6803</v>
      </c>
    </row>
    <row r="4971" spans="1:12" x14ac:dyDescent="0.35">
      <c r="A4971" t="s">
        <v>3115</v>
      </c>
      <c r="B4971" s="1">
        <v>45726</v>
      </c>
      <c r="C4971" t="s">
        <v>6853</v>
      </c>
      <c r="D4971" t="s">
        <v>3956</v>
      </c>
      <c r="E4971" t="s">
        <v>9201</v>
      </c>
      <c r="F4971" t="s">
        <v>8537</v>
      </c>
      <c r="G4971" t="s">
        <v>8538</v>
      </c>
      <c r="H4971" t="s">
        <v>3957</v>
      </c>
      <c r="J4971">
        <v>18900</v>
      </c>
      <c r="L4971" t="s">
        <v>5880</v>
      </c>
    </row>
    <row r="4972" spans="1:12" x14ac:dyDescent="0.35">
      <c r="A4972" t="s">
        <v>3115</v>
      </c>
      <c r="B4972" s="1">
        <v>45726</v>
      </c>
      <c r="C4972" t="s">
        <v>6854</v>
      </c>
      <c r="D4972" t="s">
        <v>3958</v>
      </c>
      <c r="E4972" t="s">
        <v>9202</v>
      </c>
      <c r="F4972" t="s">
        <v>6802</v>
      </c>
      <c r="H4972" t="s">
        <v>3959</v>
      </c>
      <c r="K4972">
        <v>2361</v>
      </c>
      <c r="L4972" t="s">
        <v>6803</v>
      </c>
    </row>
    <row r="4973" spans="1:12" x14ac:dyDescent="0.35">
      <c r="A4973" t="s">
        <v>3115</v>
      </c>
      <c r="B4973" s="1">
        <v>45726</v>
      </c>
      <c r="C4973" t="s">
        <v>6854</v>
      </c>
      <c r="D4973" t="s">
        <v>3958</v>
      </c>
      <c r="E4973" t="s">
        <v>9202</v>
      </c>
      <c r="F4973" t="s">
        <v>8537</v>
      </c>
      <c r="G4973" t="s">
        <v>8538</v>
      </c>
      <c r="H4973" t="s">
        <v>3959</v>
      </c>
      <c r="J4973">
        <v>2361</v>
      </c>
      <c r="L4973" t="s">
        <v>5875</v>
      </c>
    </row>
    <row r="4974" spans="1:12" x14ac:dyDescent="0.35">
      <c r="A4974" t="s">
        <v>3115</v>
      </c>
      <c r="B4974" s="1">
        <v>45726</v>
      </c>
      <c r="C4974" t="s">
        <v>6855</v>
      </c>
      <c r="D4974" t="s">
        <v>3960</v>
      </c>
      <c r="E4974" t="s">
        <v>9202</v>
      </c>
      <c r="F4974" t="s">
        <v>6811</v>
      </c>
      <c r="H4974" t="s">
        <v>3961</v>
      </c>
      <c r="K4974">
        <v>1050</v>
      </c>
      <c r="L4974" t="s">
        <v>6803</v>
      </c>
    </row>
    <row r="4975" spans="1:12" x14ac:dyDescent="0.35">
      <c r="A4975" t="s">
        <v>3115</v>
      </c>
      <c r="B4975" s="1">
        <v>45726</v>
      </c>
      <c r="C4975" t="s">
        <v>6855</v>
      </c>
      <c r="D4975" t="s">
        <v>3960</v>
      </c>
      <c r="E4975" t="s">
        <v>9202</v>
      </c>
      <c r="F4975" t="s">
        <v>6802</v>
      </c>
      <c r="H4975" t="s">
        <v>3961</v>
      </c>
      <c r="K4975">
        <v>162</v>
      </c>
      <c r="L4975" t="s">
        <v>6803</v>
      </c>
    </row>
    <row r="4976" spans="1:12" x14ac:dyDescent="0.35">
      <c r="A4976" t="s">
        <v>3115</v>
      </c>
      <c r="B4976" s="1">
        <v>45726</v>
      </c>
      <c r="C4976" t="s">
        <v>6855</v>
      </c>
      <c r="D4976" t="s">
        <v>3960</v>
      </c>
      <c r="E4976" t="s">
        <v>9202</v>
      </c>
      <c r="F4976" t="s">
        <v>8557</v>
      </c>
      <c r="G4976" t="s">
        <v>8558</v>
      </c>
      <c r="H4976" t="s">
        <v>3961</v>
      </c>
      <c r="J4976">
        <v>1212</v>
      </c>
      <c r="L4976" t="s">
        <v>5875</v>
      </c>
    </row>
    <row r="4977" spans="1:12" x14ac:dyDescent="0.35">
      <c r="A4977" t="s">
        <v>3115</v>
      </c>
      <c r="B4977" s="1">
        <v>45726</v>
      </c>
      <c r="C4977" t="s">
        <v>6856</v>
      </c>
      <c r="D4977" t="s">
        <v>3962</v>
      </c>
      <c r="E4977" t="s">
        <v>9203</v>
      </c>
      <c r="F4977" t="s">
        <v>6802</v>
      </c>
      <c r="H4977" t="s">
        <v>3963</v>
      </c>
      <c r="K4977">
        <v>1049</v>
      </c>
      <c r="L4977" t="s">
        <v>6803</v>
      </c>
    </row>
    <row r="4978" spans="1:12" x14ac:dyDescent="0.35">
      <c r="A4978" t="s">
        <v>3115</v>
      </c>
      <c r="B4978" s="1">
        <v>45726</v>
      </c>
      <c r="C4978" t="s">
        <v>6856</v>
      </c>
      <c r="D4978" t="s">
        <v>3962</v>
      </c>
      <c r="E4978" t="s">
        <v>9203</v>
      </c>
      <c r="F4978" t="s">
        <v>8537</v>
      </c>
      <c r="G4978" t="s">
        <v>8538</v>
      </c>
      <c r="H4978" t="s">
        <v>3963</v>
      </c>
      <c r="J4978">
        <v>1049</v>
      </c>
      <c r="L4978" t="s">
        <v>6010</v>
      </c>
    </row>
    <row r="4979" spans="1:12" x14ac:dyDescent="0.35">
      <c r="A4979" t="s">
        <v>3115</v>
      </c>
      <c r="B4979" s="1">
        <v>45726</v>
      </c>
      <c r="C4979" t="s">
        <v>6857</v>
      </c>
      <c r="D4979" t="s">
        <v>3964</v>
      </c>
      <c r="E4979" t="s">
        <v>9204</v>
      </c>
      <c r="F4979" t="s">
        <v>6811</v>
      </c>
      <c r="H4979" t="s">
        <v>3965</v>
      </c>
      <c r="K4979">
        <v>328</v>
      </c>
      <c r="L4979" t="s">
        <v>6803</v>
      </c>
    </row>
    <row r="4980" spans="1:12" x14ac:dyDescent="0.35">
      <c r="A4980" t="s">
        <v>3115</v>
      </c>
      <c r="B4980" s="1">
        <v>45726</v>
      </c>
      <c r="C4980" t="s">
        <v>6857</v>
      </c>
      <c r="D4980" t="s">
        <v>3964</v>
      </c>
      <c r="E4980" t="s">
        <v>9204</v>
      </c>
      <c r="F4980" t="s">
        <v>6802</v>
      </c>
      <c r="H4980" t="s">
        <v>3965</v>
      </c>
      <c r="K4980">
        <v>262</v>
      </c>
      <c r="L4980" t="s">
        <v>6803</v>
      </c>
    </row>
    <row r="4981" spans="1:12" x14ac:dyDescent="0.35">
      <c r="A4981" t="s">
        <v>3115</v>
      </c>
      <c r="B4981" s="1">
        <v>45726</v>
      </c>
      <c r="C4981" t="s">
        <v>6857</v>
      </c>
      <c r="D4981" t="s">
        <v>3964</v>
      </c>
      <c r="E4981" t="s">
        <v>9204</v>
      </c>
      <c r="F4981" t="s">
        <v>8537</v>
      </c>
      <c r="G4981" t="s">
        <v>8538</v>
      </c>
      <c r="H4981" t="s">
        <v>3965</v>
      </c>
      <c r="J4981">
        <v>590</v>
      </c>
      <c r="L4981" t="s">
        <v>5875</v>
      </c>
    </row>
    <row r="4982" spans="1:12" x14ac:dyDescent="0.35">
      <c r="A4982" t="s">
        <v>3115</v>
      </c>
      <c r="B4982" s="1">
        <v>45726</v>
      </c>
      <c r="C4982" t="s">
        <v>6858</v>
      </c>
      <c r="D4982" t="s">
        <v>3966</v>
      </c>
      <c r="E4982" t="s">
        <v>9204</v>
      </c>
      <c r="F4982" t="s">
        <v>6802</v>
      </c>
      <c r="H4982" t="s">
        <v>3967</v>
      </c>
      <c r="K4982">
        <v>2099</v>
      </c>
      <c r="L4982" t="s">
        <v>6803</v>
      </c>
    </row>
    <row r="4983" spans="1:12" x14ac:dyDescent="0.35">
      <c r="A4983" t="s">
        <v>3115</v>
      </c>
      <c r="B4983" s="1">
        <v>45726</v>
      </c>
      <c r="C4983" t="s">
        <v>6858</v>
      </c>
      <c r="D4983" t="s">
        <v>3966</v>
      </c>
      <c r="E4983" t="s">
        <v>9204</v>
      </c>
      <c r="F4983" t="s">
        <v>8537</v>
      </c>
      <c r="G4983" t="s">
        <v>8538</v>
      </c>
      <c r="H4983" t="s">
        <v>3967</v>
      </c>
      <c r="J4983">
        <v>2099</v>
      </c>
      <c r="L4983" t="s">
        <v>5875</v>
      </c>
    </row>
    <row r="4984" spans="1:12" x14ac:dyDescent="0.35">
      <c r="A4984" t="s">
        <v>3115</v>
      </c>
      <c r="B4984" s="1">
        <v>45726</v>
      </c>
      <c r="C4984" t="s">
        <v>6859</v>
      </c>
      <c r="D4984" t="s">
        <v>3968</v>
      </c>
      <c r="E4984" t="s">
        <v>9205</v>
      </c>
      <c r="F4984" t="s">
        <v>6802</v>
      </c>
      <c r="H4984" t="s">
        <v>3969</v>
      </c>
      <c r="K4984">
        <v>8265</v>
      </c>
      <c r="L4984" t="s">
        <v>6803</v>
      </c>
    </row>
    <row r="4985" spans="1:12" x14ac:dyDescent="0.35">
      <c r="A4985" t="s">
        <v>3115</v>
      </c>
      <c r="B4985" s="1">
        <v>45726</v>
      </c>
      <c r="C4985" t="s">
        <v>6859</v>
      </c>
      <c r="D4985" t="s">
        <v>3968</v>
      </c>
      <c r="E4985" t="s">
        <v>9205</v>
      </c>
      <c r="F4985" t="s">
        <v>8537</v>
      </c>
      <c r="G4985" t="s">
        <v>8538</v>
      </c>
      <c r="H4985" t="s">
        <v>3969</v>
      </c>
      <c r="J4985">
        <v>8265</v>
      </c>
      <c r="L4985" t="s">
        <v>5966</v>
      </c>
    </row>
    <row r="4986" spans="1:12" x14ac:dyDescent="0.35">
      <c r="A4986" t="s">
        <v>3115</v>
      </c>
      <c r="B4986" s="1">
        <v>45726</v>
      </c>
      <c r="C4986" t="s">
        <v>6860</v>
      </c>
      <c r="D4986" t="s">
        <v>3970</v>
      </c>
      <c r="E4986" t="s">
        <v>9206</v>
      </c>
      <c r="F4986" t="s">
        <v>6802</v>
      </c>
      <c r="H4986" t="s">
        <v>3971</v>
      </c>
      <c r="K4986">
        <v>3149</v>
      </c>
      <c r="L4986" t="s">
        <v>6803</v>
      </c>
    </row>
    <row r="4987" spans="1:12" x14ac:dyDescent="0.35">
      <c r="A4987" t="s">
        <v>3115</v>
      </c>
      <c r="B4987" s="1">
        <v>45726</v>
      </c>
      <c r="C4987" t="s">
        <v>6860</v>
      </c>
      <c r="D4987" t="s">
        <v>3970</v>
      </c>
      <c r="E4987" t="s">
        <v>9206</v>
      </c>
      <c r="F4987" t="s">
        <v>8537</v>
      </c>
      <c r="G4987" t="s">
        <v>8538</v>
      </c>
      <c r="H4987" t="s">
        <v>3971</v>
      </c>
      <c r="J4987">
        <v>3149</v>
      </c>
      <c r="L4987" t="s">
        <v>5966</v>
      </c>
    </row>
    <row r="4988" spans="1:12" x14ac:dyDescent="0.35">
      <c r="A4988" t="s">
        <v>3115</v>
      </c>
      <c r="B4988" s="1">
        <v>45726</v>
      </c>
      <c r="C4988" t="s">
        <v>6861</v>
      </c>
      <c r="D4988" t="s">
        <v>3972</v>
      </c>
      <c r="E4988" t="s">
        <v>9179</v>
      </c>
      <c r="F4988" t="s">
        <v>6802</v>
      </c>
      <c r="H4988" t="s">
        <v>3973</v>
      </c>
      <c r="K4988">
        <v>122270</v>
      </c>
      <c r="L4988" t="s">
        <v>6803</v>
      </c>
    </row>
    <row r="4989" spans="1:12" x14ac:dyDescent="0.35">
      <c r="A4989" t="s">
        <v>3115</v>
      </c>
      <c r="B4989" s="1">
        <v>45726</v>
      </c>
      <c r="C4989" t="s">
        <v>6861</v>
      </c>
      <c r="D4989" t="s">
        <v>3972</v>
      </c>
      <c r="E4989" t="s">
        <v>9179</v>
      </c>
      <c r="F4989" t="s">
        <v>8537</v>
      </c>
      <c r="G4989" t="s">
        <v>8538</v>
      </c>
      <c r="H4989" t="s">
        <v>3973</v>
      </c>
      <c r="J4989">
        <v>122270</v>
      </c>
      <c r="L4989" t="s">
        <v>5966</v>
      </c>
    </row>
    <row r="4990" spans="1:12" x14ac:dyDescent="0.35">
      <c r="A4990" t="s">
        <v>3115</v>
      </c>
      <c r="B4990" s="1">
        <v>45726</v>
      </c>
      <c r="C4990" t="s">
        <v>6862</v>
      </c>
      <c r="D4990" t="s">
        <v>3974</v>
      </c>
      <c r="E4990" t="s">
        <v>9207</v>
      </c>
      <c r="F4990" t="s">
        <v>6915</v>
      </c>
      <c r="H4990" t="s">
        <v>3975</v>
      </c>
      <c r="K4990">
        <v>96320</v>
      </c>
      <c r="L4990" t="s">
        <v>6803</v>
      </c>
    </row>
    <row r="4991" spans="1:12" x14ac:dyDescent="0.35">
      <c r="A4991" t="s">
        <v>3115</v>
      </c>
      <c r="B4991" s="1">
        <v>45726</v>
      </c>
      <c r="C4991" t="s">
        <v>6862</v>
      </c>
      <c r="D4991" t="s">
        <v>3974</v>
      </c>
      <c r="E4991" t="s">
        <v>9207</v>
      </c>
      <c r="F4991" t="s">
        <v>8569</v>
      </c>
      <c r="G4991" t="s">
        <v>8570</v>
      </c>
      <c r="H4991" t="s">
        <v>3975</v>
      </c>
      <c r="J4991">
        <v>96320</v>
      </c>
      <c r="L4991" t="s">
        <v>5874</v>
      </c>
    </row>
    <row r="4992" spans="1:12" x14ac:dyDescent="0.35">
      <c r="A4992" t="s">
        <v>3115</v>
      </c>
      <c r="B4992" s="1">
        <v>45726</v>
      </c>
      <c r="C4992" t="s">
        <v>6863</v>
      </c>
      <c r="D4992" t="s">
        <v>3976</v>
      </c>
      <c r="E4992" t="s">
        <v>9208</v>
      </c>
      <c r="F4992" t="s">
        <v>6802</v>
      </c>
      <c r="H4992" t="s">
        <v>3977</v>
      </c>
      <c r="K4992">
        <v>262</v>
      </c>
      <c r="L4992" t="s">
        <v>6803</v>
      </c>
    </row>
    <row r="4993" spans="1:12" x14ac:dyDescent="0.35">
      <c r="A4993" t="s">
        <v>3115</v>
      </c>
      <c r="B4993" s="1">
        <v>45726</v>
      </c>
      <c r="C4993" t="s">
        <v>6863</v>
      </c>
      <c r="D4993" t="s">
        <v>3976</v>
      </c>
      <c r="E4993" t="s">
        <v>9208</v>
      </c>
      <c r="F4993" t="s">
        <v>8537</v>
      </c>
      <c r="G4993" t="s">
        <v>8538</v>
      </c>
      <c r="H4993" t="s">
        <v>3977</v>
      </c>
      <c r="J4993">
        <v>262</v>
      </c>
      <c r="L4993" t="s">
        <v>5966</v>
      </c>
    </row>
    <row r="4994" spans="1:12" x14ac:dyDescent="0.35">
      <c r="A4994" t="s">
        <v>3115</v>
      </c>
      <c r="B4994" s="1">
        <v>45726</v>
      </c>
      <c r="C4994" t="s">
        <v>6864</v>
      </c>
      <c r="D4994" t="s">
        <v>3978</v>
      </c>
      <c r="E4994" t="s">
        <v>9209</v>
      </c>
      <c r="F4994" t="s">
        <v>6802</v>
      </c>
      <c r="H4994" t="s">
        <v>3979</v>
      </c>
      <c r="K4994">
        <v>7544</v>
      </c>
      <c r="L4994" t="s">
        <v>6803</v>
      </c>
    </row>
    <row r="4995" spans="1:12" x14ac:dyDescent="0.35">
      <c r="A4995" t="s">
        <v>3115</v>
      </c>
      <c r="B4995" s="1">
        <v>45726</v>
      </c>
      <c r="C4995" t="s">
        <v>6864</v>
      </c>
      <c r="D4995" t="s">
        <v>3978</v>
      </c>
      <c r="E4995" t="s">
        <v>9209</v>
      </c>
      <c r="F4995" t="s">
        <v>8537</v>
      </c>
      <c r="G4995" t="s">
        <v>8538</v>
      </c>
      <c r="H4995" t="s">
        <v>3979</v>
      </c>
      <c r="J4995">
        <v>7544</v>
      </c>
      <c r="L4995" t="s">
        <v>5890</v>
      </c>
    </row>
    <row r="4996" spans="1:12" x14ac:dyDescent="0.35">
      <c r="A4996" t="s">
        <v>3115</v>
      </c>
      <c r="B4996" s="1">
        <v>45726</v>
      </c>
      <c r="C4996" t="s">
        <v>6865</v>
      </c>
      <c r="D4996" t="s">
        <v>3980</v>
      </c>
      <c r="E4996" t="s">
        <v>9210</v>
      </c>
      <c r="F4996" t="s">
        <v>6802</v>
      </c>
      <c r="H4996" t="s">
        <v>3981</v>
      </c>
      <c r="K4996">
        <v>250000</v>
      </c>
      <c r="L4996" t="s">
        <v>6803</v>
      </c>
    </row>
    <row r="4997" spans="1:12" x14ac:dyDescent="0.35">
      <c r="A4997" t="s">
        <v>3115</v>
      </c>
      <c r="B4997" s="1">
        <v>45726</v>
      </c>
      <c r="C4997" t="s">
        <v>6865</v>
      </c>
      <c r="D4997" t="s">
        <v>3980</v>
      </c>
      <c r="E4997" t="s">
        <v>9210</v>
      </c>
      <c r="F4997" t="s">
        <v>8537</v>
      </c>
      <c r="G4997" t="s">
        <v>8538</v>
      </c>
      <c r="H4997" t="s">
        <v>3981</v>
      </c>
      <c r="J4997">
        <v>250000</v>
      </c>
      <c r="L4997" t="s">
        <v>5966</v>
      </c>
    </row>
    <row r="4998" spans="1:12" x14ac:dyDescent="0.35">
      <c r="A4998" t="s">
        <v>3115</v>
      </c>
      <c r="B4998" s="1">
        <v>45726</v>
      </c>
      <c r="C4998" t="s">
        <v>6866</v>
      </c>
      <c r="D4998" t="s">
        <v>3982</v>
      </c>
      <c r="E4998" t="s">
        <v>9211</v>
      </c>
      <c r="F4998" t="s">
        <v>6802</v>
      </c>
      <c r="H4998" t="s">
        <v>3983</v>
      </c>
      <c r="K4998">
        <v>787</v>
      </c>
      <c r="L4998" t="s">
        <v>6803</v>
      </c>
    </row>
    <row r="4999" spans="1:12" x14ac:dyDescent="0.35">
      <c r="A4999" t="s">
        <v>3115</v>
      </c>
      <c r="B4999" s="1">
        <v>45726</v>
      </c>
      <c r="C4999" t="s">
        <v>6866</v>
      </c>
      <c r="D4999" t="s">
        <v>3982</v>
      </c>
      <c r="E4999" t="s">
        <v>9211</v>
      </c>
      <c r="F4999" t="s">
        <v>8537</v>
      </c>
      <c r="G4999" t="s">
        <v>8538</v>
      </c>
      <c r="H4999" t="s">
        <v>3983</v>
      </c>
      <c r="J4999">
        <v>787</v>
      </c>
      <c r="L4999" t="s">
        <v>5966</v>
      </c>
    </row>
    <row r="5000" spans="1:12" x14ac:dyDescent="0.35">
      <c r="A5000" t="s">
        <v>3115</v>
      </c>
      <c r="B5000" s="1">
        <v>45726</v>
      </c>
      <c r="C5000" t="s">
        <v>6867</v>
      </c>
      <c r="D5000" t="s">
        <v>3984</v>
      </c>
      <c r="E5000" t="s">
        <v>9212</v>
      </c>
      <c r="F5000" t="s">
        <v>6802</v>
      </c>
      <c r="H5000" t="s">
        <v>3985</v>
      </c>
      <c r="K5000">
        <v>122373</v>
      </c>
      <c r="L5000" t="s">
        <v>6803</v>
      </c>
    </row>
    <row r="5001" spans="1:12" x14ac:dyDescent="0.35">
      <c r="A5001" t="s">
        <v>3115</v>
      </c>
      <c r="B5001" s="1">
        <v>45726</v>
      </c>
      <c r="C5001" t="s">
        <v>6867</v>
      </c>
      <c r="D5001" t="s">
        <v>3984</v>
      </c>
      <c r="E5001" t="s">
        <v>9212</v>
      </c>
      <c r="F5001" t="s">
        <v>8557</v>
      </c>
      <c r="G5001" t="s">
        <v>8558</v>
      </c>
      <c r="H5001" t="s">
        <v>3985</v>
      </c>
      <c r="J5001">
        <v>122373</v>
      </c>
      <c r="L5001" t="s">
        <v>5966</v>
      </c>
    </row>
    <row r="5002" spans="1:12" x14ac:dyDescent="0.35">
      <c r="A5002" t="s">
        <v>3115</v>
      </c>
      <c r="B5002" s="1">
        <v>45726</v>
      </c>
      <c r="C5002" t="s">
        <v>6868</v>
      </c>
      <c r="D5002" t="s">
        <v>3986</v>
      </c>
      <c r="E5002" t="s">
        <v>9212</v>
      </c>
      <c r="F5002" t="s">
        <v>6915</v>
      </c>
      <c r="H5002" t="s">
        <v>3987</v>
      </c>
      <c r="K5002">
        <v>66825</v>
      </c>
      <c r="L5002" t="s">
        <v>6803</v>
      </c>
    </row>
    <row r="5003" spans="1:12" x14ac:dyDescent="0.35">
      <c r="A5003" t="s">
        <v>3115</v>
      </c>
      <c r="B5003" s="1">
        <v>45726</v>
      </c>
      <c r="C5003" t="s">
        <v>6868</v>
      </c>
      <c r="D5003" t="s">
        <v>3986</v>
      </c>
      <c r="E5003" t="s">
        <v>9212</v>
      </c>
      <c r="F5003" t="s">
        <v>8569</v>
      </c>
      <c r="G5003" t="s">
        <v>8570</v>
      </c>
      <c r="H5003" t="s">
        <v>3987</v>
      </c>
      <c r="J5003">
        <v>66825</v>
      </c>
      <c r="L5003" t="s">
        <v>5966</v>
      </c>
    </row>
    <row r="5004" spans="1:12" x14ac:dyDescent="0.35">
      <c r="A5004" t="s">
        <v>3115</v>
      </c>
      <c r="B5004" s="1">
        <v>45726</v>
      </c>
      <c r="C5004" t="s">
        <v>6869</v>
      </c>
      <c r="D5004" t="s">
        <v>3988</v>
      </c>
      <c r="E5004" t="s">
        <v>9213</v>
      </c>
      <c r="F5004" t="s">
        <v>6802</v>
      </c>
      <c r="H5004" t="s">
        <v>3989</v>
      </c>
      <c r="K5004">
        <v>1900</v>
      </c>
      <c r="L5004" t="s">
        <v>6803</v>
      </c>
    </row>
    <row r="5005" spans="1:12" x14ac:dyDescent="0.35">
      <c r="A5005" t="s">
        <v>3115</v>
      </c>
      <c r="B5005" s="1">
        <v>45726</v>
      </c>
      <c r="C5005" t="s">
        <v>6869</v>
      </c>
      <c r="D5005" t="s">
        <v>3988</v>
      </c>
      <c r="E5005" t="s">
        <v>9213</v>
      </c>
      <c r="F5005" t="s">
        <v>8557</v>
      </c>
      <c r="G5005" t="s">
        <v>8558</v>
      </c>
      <c r="H5005" t="s">
        <v>3989</v>
      </c>
      <c r="J5005">
        <v>1900</v>
      </c>
      <c r="L5005" t="s">
        <v>5966</v>
      </c>
    </row>
    <row r="5006" spans="1:12" x14ac:dyDescent="0.35">
      <c r="A5006" t="s">
        <v>3115</v>
      </c>
      <c r="B5006" s="1">
        <v>45726</v>
      </c>
      <c r="C5006" t="s">
        <v>6900</v>
      </c>
      <c r="D5006" t="s">
        <v>3990</v>
      </c>
      <c r="E5006" t="s">
        <v>9214</v>
      </c>
      <c r="F5006" t="s">
        <v>6802</v>
      </c>
      <c r="H5006" t="s">
        <v>3991</v>
      </c>
      <c r="K5006">
        <v>114006</v>
      </c>
      <c r="L5006" t="s">
        <v>6803</v>
      </c>
    </row>
    <row r="5007" spans="1:12" x14ac:dyDescent="0.35">
      <c r="A5007" t="s">
        <v>3115</v>
      </c>
      <c r="B5007" s="1">
        <v>45726</v>
      </c>
      <c r="C5007" t="s">
        <v>6900</v>
      </c>
      <c r="D5007" t="s">
        <v>3990</v>
      </c>
      <c r="E5007" t="s">
        <v>9214</v>
      </c>
      <c r="F5007" t="s">
        <v>8537</v>
      </c>
      <c r="G5007" t="s">
        <v>8538</v>
      </c>
      <c r="H5007" t="s">
        <v>3991</v>
      </c>
      <c r="J5007">
        <v>114006</v>
      </c>
      <c r="L5007" t="s">
        <v>5946</v>
      </c>
    </row>
    <row r="5008" spans="1:12" x14ac:dyDescent="0.35">
      <c r="A5008" t="s">
        <v>3115</v>
      </c>
      <c r="B5008" s="1">
        <v>45726</v>
      </c>
      <c r="C5008" t="s">
        <v>6903</v>
      </c>
      <c r="D5008" t="s">
        <v>3992</v>
      </c>
      <c r="E5008" t="s">
        <v>9215</v>
      </c>
      <c r="F5008" t="s">
        <v>6811</v>
      </c>
      <c r="H5008" t="s">
        <v>3993</v>
      </c>
      <c r="K5008">
        <v>404</v>
      </c>
      <c r="L5008" t="s">
        <v>6803</v>
      </c>
    </row>
    <row r="5009" spans="1:12" x14ac:dyDescent="0.35">
      <c r="A5009" t="s">
        <v>3115</v>
      </c>
      <c r="B5009" s="1">
        <v>45726</v>
      </c>
      <c r="C5009" t="s">
        <v>6903</v>
      </c>
      <c r="D5009" t="s">
        <v>3992</v>
      </c>
      <c r="E5009" t="s">
        <v>9215</v>
      </c>
      <c r="F5009" t="s">
        <v>8557</v>
      </c>
      <c r="G5009" t="s">
        <v>8558</v>
      </c>
      <c r="H5009" t="s">
        <v>3993</v>
      </c>
      <c r="J5009">
        <v>404</v>
      </c>
      <c r="L5009" t="s">
        <v>5966</v>
      </c>
    </row>
    <row r="5010" spans="1:12" x14ac:dyDescent="0.35">
      <c r="A5010" t="s">
        <v>3115</v>
      </c>
      <c r="B5010" s="1">
        <v>45726</v>
      </c>
      <c r="C5010" t="s">
        <v>6986</v>
      </c>
      <c r="D5010" t="s">
        <v>3994</v>
      </c>
      <c r="E5010" t="s">
        <v>9216</v>
      </c>
      <c r="F5010" t="s">
        <v>6811</v>
      </c>
      <c r="H5010" t="s">
        <v>3995</v>
      </c>
      <c r="K5010">
        <v>2273</v>
      </c>
      <c r="L5010" t="s">
        <v>6803</v>
      </c>
    </row>
    <row r="5011" spans="1:12" x14ac:dyDescent="0.35">
      <c r="A5011" t="s">
        <v>3115</v>
      </c>
      <c r="B5011" s="1">
        <v>45726</v>
      </c>
      <c r="C5011" t="s">
        <v>6986</v>
      </c>
      <c r="D5011" t="s">
        <v>3994</v>
      </c>
      <c r="E5011" t="s">
        <v>9216</v>
      </c>
      <c r="F5011" t="s">
        <v>8557</v>
      </c>
      <c r="G5011" t="s">
        <v>8558</v>
      </c>
      <c r="H5011" t="s">
        <v>3995</v>
      </c>
      <c r="J5011">
        <v>2273</v>
      </c>
      <c r="L5011" t="s">
        <v>5966</v>
      </c>
    </row>
    <row r="5012" spans="1:12" x14ac:dyDescent="0.35">
      <c r="A5012" t="s">
        <v>3115</v>
      </c>
      <c r="B5012" s="1">
        <v>45726</v>
      </c>
      <c r="C5012" t="s">
        <v>6870</v>
      </c>
      <c r="D5012" t="s">
        <v>3996</v>
      </c>
      <c r="E5012" t="s">
        <v>9217</v>
      </c>
      <c r="F5012" t="s">
        <v>6811</v>
      </c>
      <c r="H5012" t="s">
        <v>3997</v>
      </c>
      <c r="K5012">
        <v>336</v>
      </c>
      <c r="L5012" t="s">
        <v>6803</v>
      </c>
    </row>
    <row r="5013" spans="1:12" x14ac:dyDescent="0.35">
      <c r="A5013" t="s">
        <v>3115</v>
      </c>
      <c r="B5013" s="1">
        <v>45726</v>
      </c>
      <c r="C5013" t="s">
        <v>6870</v>
      </c>
      <c r="D5013" t="s">
        <v>3996</v>
      </c>
      <c r="E5013" t="s">
        <v>9217</v>
      </c>
      <c r="F5013" t="s">
        <v>8557</v>
      </c>
      <c r="G5013" t="s">
        <v>8558</v>
      </c>
      <c r="H5013" t="s">
        <v>3997</v>
      </c>
      <c r="J5013">
        <v>336</v>
      </c>
      <c r="L5013" t="s">
        <v>5966</v>
      </c>
    </row>
    <row r="5014" spans="1:12" x14ac:dyDescent="0.35">
      <c r="A5014" t="s">
        <v>3115</v>
      </c>
      <c r="B5014" s="1">
        <v>45726</v>
      </c>
      <c r="C5014" t="s">
        <v>6988</v>
      </c>
      <c r="D5014" t="s">
        <v>3998</v>
      </c>
      <c r="E5014" t="s">
        <v>9218</v>
      </c>
      <c r="F5014" t="s">
        <v>6811</v>
      </c>
      <c r="H5014" t="s">
        <v>3999</v>
      </c>
      <c r="K5014">
        <v>1136</v>
      </c>
      <c r="L5014" t="s">
        <v>6803</v>
      </c>
    </row>
    <row r="5015" spans="1:12" x14ac:dyDescent="0.35">
      <c r="A5015" t="s">
        <v>3115</v>
      </c>
      <c r="B5015" s="1">
        <v>45726</v>
      </c>
      <c r="C5015" t="s">
        <v>6988</v>
      </c>
      <c r="D5015" t="s">
        <v>3998</v>
      </c>
      <c r="E5015" t="s">
        <v>9218</v>
      </c>
      <c r="F5015" t="s">
        <v>8557</v>
      </c>
      <c r="G5015" t="s">
        <v>8558</v>
      </c>
      <c r="H5015" t="s">
        <v>3999</v>
      </c>
      <c r="J5015">
        <v>1136</v>
      </c>
      <c r="L5015" t="s">
        <v>5966</v>
      </c>
    </row>
    <row r="5016" spans="1:12" x14ac:dyDescent="0.35">
      <c r="A5016" t="s">
        <v>3115</v>
      </c>
      <c r="B5016" s="1">
        <v>45726</v>
      </c>
      <c r="C5016" t="s">
        <v>6990</v>
      </c>
      <c r="D5016" t="s">
        <v>4000</v>
      </c>
      <c r="E5016" t="s">
        <v>9219</v>
      </c>
      <c r="F5016" t="s">
        <v>6811</v>
      </c>
      <c r="H5016" t="s">
        <v>4001</v>
      </c>
      <c r="K5016">
        <v>1906</v>
      </c>
      <c r="L5016" t="s">
        <v>6803</v>
      </c>
    </row>
    <row r="5017" spans="1:12" x14ac:dyDescent="0.35">
      <c r="A5017" t="s">
        <v>3115</v>
      </c>
      <c r="B5017" s="1">
        <v>45726</v>
      </c>
      <c r="C5017" t="s">
        <v>6990</v>
      </c>
      <c r="D5017" t="s">
        <v>4000</v>
      </c>
      <c r="E5017" t="s">
        <v>9219</v>
      </c>
      <c r="F5017" t="s">
        <v>8557</v>
      </c>
      <c r="G5017" t="s">
        <v>8558</v>
      </c>
      <c r="H5017" t="s">
        <v>4001</v>
      </c>
      <c r="J5017">
        <v>1906</v>
      </c>
      <c r="L5017" t="s">
        <v>5966</v>
      </c>
    </row>
    <row r="5018" spans="1:12" x14ac:dyDescent="0.35">
      <c r="A5018" t="s">
        <v>3115</v>
      </c>
      <c r="B5018" s="1">
        <v>45726</v>
      </c>
      <c r="C5018" t="s">
        <v>6993</v>
      </c>
      <c r="D5018" t="s">
        <v>4002</v>
      </c>
      <c r="E5018" t="s">
        <v>9220</v>
      </c>
      <c r="F5018" t="s">
        <v>6811</v>
      </c>
      <c r="H5018" t="s">
        <v>4003</v>
      </c>
      <c r="K5018">
        <v>3659</v>
      </c>
      <c r="L5018" t="s">
        <v>6803</v>
      </c>
    </row>
    <row r="5019" spans="1:12" x14ac:dyDescent="0.35">
      <c r="A5019" t="s">
        <v>3115</v>
      </c>
      <c r="B5019" s="1">
        <v>45726</v>
      </c>
      <c r="C5019" t="s">
        <v>6993</v>
      </c>
      <c r="D5019" t="s">
        <v>4002</v>
      </c>
      <c r="E5019" t="s">
        <v>9220</v>
      </c>
      <c r="F5019" t="s">
        <v>8557</v>
      </c>
      <c r="G5019" t="s">
        <v>8558</v>
      </c>
      <c r="H5019" t="s">
        <v>4003</v>
      </c>
      <c r="J5019">
        <v>3659</v>
      </c>
      <c r="L5019" t="s">
        <v>5966</v>
      </c>
    </row>
    <row r="5020" spans="1:12" x14ac:dyDescent="0.35">
      <c r="A5020" t="s">
        <v>3115</v>
      </c>
      <c r="B5020" s="1">
        <v>45726</v>
      </c>
      <c r="C5020" t="s">
        <v>6995</v>
      </c>
      <c r="D5020" t="s">
        <v>4004</v>
      </c>
      <c r="E5020" t="s">
        <v>9221</v>
      </c>
      <c r="F5020" t="s">
        <v>6808</v>
      </c>
      <c r="H5020" t="s">
        <v>4005</v>
      </c>
      <c r="K5020">
        <v>6597</v>
      </c>
      <c r="L5020" t="s">
        <v>6803</v>
      </c>
    </row>
    <row r="5021" spans="1:12" x14ac:dyDescent="0.35">
      <c r="A5021" t="s">
        <v>3115</v>
      </c>
      <c r="B5021" s="1">
        <v>45726</v>
      </c>
      <c r="C5021" t="s">
        <v>6995</v>
      </c>
      <c r="D5021" t="s">
        <v>4004</v>
      </c>
      <c r="E5021" t="s">
        <v>9221</v>
      </c>
      <c r="F5021" t="s">
        <v>8467</v>
      </c>
      <c r="G5021" t="s">
        <v>8567</v>
      </c>
      <c r="H5021" t="s">
        <v>4005</v>
      </c>
      <c r="J5021">
        <v>6597</v>
      </c>
      <c r="L5021" t="s">
        <v>5966</v>
      </c>
    </row>
    <row r="5022" spans="1:12" x14ac:dyDescent="0.35">
      <c r="A5022" t="s">
        <v>3115</v>
      </c>
      <c r="B5022" s="1">
        <v>45726</v>
      </c>
      <c r="C5022" t="s">
        <v>6997</v>
      </c>
      <c r="D5022" t="s">
        <v>4006</v>
      </c>
      <c r="E5022" t="s">
        <v>9222</v>
      </c>
      <c r="F5022" t="s">
        <v>6915</v>
      </c>
      <c r="H5022" t="s">
        <v>4007</v>
      </c>
      <c r="K5022">
        <v>45034</v>
      </c>
      <c r="L5022" t="s">
        <v>6803</v>
      </c>
    </row>
    <row r="5023" spans="1:12" x14ac:dyDescent="0.35">
      <c r="A5023" t="s">
        <v>3115</v>
      </c>
      <c r="B5023" s="1">
        <v>45726</v>
      </c>
      <c r="C5023" t="s">
        <v>6997</v>
      </c>
      <c r="D5023" t="s">
        <v>4006</v>
      </c>
      <c r="E5023" t="s">
        <v>9222</v>
      </c>
      <c r="F5023" t="s">
        <v>8569</v>
      </c>
      <c r="G5023" t="s">
        <v>8570</v>
      </c>
      <c r="H5023" t="s">
        <v>4007</v>
      </c>
      <c r="J5023">
        <v>45034</v>
      </c>
      <c r="L5023" t="s">
        <v>5880</v>
      </c>
    </row>
    <row r="5024" spans="1:12" x14ac:dyDescent="0.35">
      <c r="A5024" t="s">
        <v>3115</v>
      </c>
      <c r="B5024" s="1">
        <v>45726</v>
      </c>
      <c r="C5024" t="s">
        <v>6905</v>
      </c>
      <c r="D5024" t="s">
        <v>4008</v>
      </c>
      <c r="E5024" t="s">
        <v>9223</v>
      </c>
      <c r="F5024" t="s">
        <v>6802</v>
      </c>
      <c r="H5024" t="s">
        <v>4009</v>
      </c>
      <c r="K5024">
        <v>93015</v>
      </c>
      <c r="L5024" t="s">
        <v>6803</v>
      </c>
    </row>
    <row r="5025" spans="1:12" x14ac:dyDescent="0.35">
      <c r="A5025" t="s">
        <v>3115</v>
      </c>
      <c r="B5025" s="1">
        <v>45726</v>
      </c>
      <c r="C5025" t="s">
        <v>6905</v>
      </c>
      <c r="D5025" t="s">
        <v>4008</v>
      </c>
      <c r="E5025" t="s">
        <v>9223</v>
      </c>
      <c r="F5025" t="s">
        <v>8537</v>
      </c>
      <c r="G5025" t="s">
        <v>8538</v>
      </c>
      <c r="H5025" t="s">
        <v>4009</v>
      </c>
      <c r="J5025">
        <v>93015</v>
      </c>
      <c r="L5025" t="s">
        <v>5949</v>
      </c>
    </row>
    <row r="5026" spans="1:12" x14ac:dyDescent="0.35">
      <c r="A5026" t="s">
        <v>3115</v>
      </c>
      <c r="B5026" s="1">
        <v>45726</v>
      </c>
      <c r="C5026" t="s">
        <v>6907</v>
      </c>
      <c r="D5026" t="s">
        <v>4010</v>
      </c>
      <c r="E5026" t="s">
        <v>9224</v>
      </c>
      <c r="F5026" t="s">
        <v>6802</v>
      </c>
      <c r="H5026" t="s">
        <v>4011</v>
      </c>
      <c r="K5026">
        <v>21050</v>
      </c>
      <c r="L5026" t="s">
        <v>6803</v>
      </c>
    </row>
    <row r="5027" spans="1:12" x14ac:dyDescent="0.35">
      <c r="A5027" t="s">
        <v>3115</v>
      </c>
      <c r="B5027" s="1">
        <v>45726</v>
      </c>
      <c r="C5027" t="s">
        <v>6907</v>
      </c>
      <c r="D5027" t="s">
        <v>4010</v>
      </c>
      <c r="E5027" t="s">
        <v>9224</v>
      </c>
      <c r="F5027" t="s">
        <v>8557</v>
      </c>
      <c r="G5027" t="s">
        <v>8558</v>
      </c>
      <c r="H5027" t="s">
        <v>4011</v>
      </c>
      <c r="J5027">
        <v>21050</v>
      </c>
      <c r="L5027" t="s">
        <v>5880</v>
      </c>
    </row>
    <row r="5028" spans="1:12" x14ac:dyDescent="0.35">
      <c r="A5028" t="s">
        <v>3115</v>
      </c>
      <c r="B5028" s="1">
        <v>45726</v>
      </c>
      <c r="C5028" t="s">
        <v>6908</v>
      </c>
      <c r="D5028" t="s">
        <v>4012</v>
      </c>
      <c r="E5028" t="s">
        <v>9225</v>
      </c>
      <c r="F5028" t="s">
        <v>6811</v>
      </c>
      <c r="H5028" t="s">
        <v>4013</v>
      </c>
      <c r="K5028">
        <v>294</v>
      </c>
      <c r="L5028" t="s">
        <v>6803</v>
      </c>
    </row>
    <row r="5029" spans="1:12" x14ac:dyDescent="0.35">
      <c r="A5029" t="s">
        <v>3115</v>
      </c>
      <c r="B5029" s="1">
        <v>45726</v>
      </c>
      <c r="C5029" t="s">
        <v>6908</v>
      </c>
      <c r="D5029" t="s">
        <v>4012</v>
      </c>
      <c r="E5029" t="s">
        <v>9225</v>
      </c>
      <c r="F5029" t="s">
        <v>6802</v>
      </c>
      <c r="H5029" t="s">
        <v>4013</v>
      </c>
      <c r="K5029">
        <v>3306</v>
      </c>
      <c r="L5029" t="s">
        <v>6803</v>
      </c>
    </row>
    <row r="5030" spans="1:12" x14ac:dyDescent="0.35">
      <c r="A5030" t="s">
        <v>3115</v>
      </c>
      <c r="B5030" s="1">
        <v>45726</v>
      </c>
      <c r="C5030" t="s">
        <v>6908</v>
      </c>
      <c r="D5030" t="s">
        <v>4012</v>
      </c>
      <c r="E5030" t="s">
        <v>9225</v>
      </c>
      <c r="F5030" t="s">
        <v>8557</v>
      </c>
      <c r="G5030" t="s">
        <v>8558</v>
      </c>
      <c r="H5030" t="s">
        <v>4013</v>
      </c>
      <c r="J5030">
        <v>3600</v>
      </c>
      <c r="L5030" t="s">
        <v>5874</v>
      </c>
    </row>
    <row r="5031" spans="1:12" x14ac:dyDescent="0.35">
      <c r="A5031" t="s">
        <v>3115</v>
      </c>
      <c r="B5031" s="1">
        <v>45726</v>
      </c>
      <c r="C5031" t="s">
        <v>6909</v>
      </c>
      <c r="D5031" t="s">
        <v>4014</v>
      </c>
      <c r="E5031" t="s">
        <v>9226</v>
      </c>
      <c r="F5031" t="s">
        <v>6802</v>
      </c>
      <c r="H5031" t="s">
        <v>4015</v>
      </c>
      <c r="K5031">
        <v>1450</v>
      </c>
      <c r="L5031" t="s">
        <v>6803</v>
      </c>
    </row>
    <row r="5032" spans="1:12" x14ac:dyDescent="0.35">
      <c r="A5032" t="s">
        <v>3115</v>
      </c>
      <c r="B5032" s="1">
        <v>45726</v>
      </c>
      <c r="C5032" t="s">
        <v>6909</v>
      </c>
      <c r="D5032" t="s">
        <v>4014</v>
      </c>
      <c r="E5032" t="s">
        <v>9226</v>
      </c>
      <c r="F5032" t="s">
        <v>8569</v>
      </c>
      <c r="G5032" t="s">
        <v>8570</v>
      </c>
      <c r="H5032" t="s">
        <v>4015</v>
      </c>
      <c r="J5032">
        <v>1450</v>
      </c>
      <c r="L5032" t="s">
        <v>5875</v>
      </c>
    </row>
    <row r="5033" spans="1:12" x14ac:dyDescent="0.35">
      <c r="A5033" t="s">
        <v>3115</v>
      </c>
      <c r="B5033" s="1">
        <v>45726</v>
      </c>
      <c r="C5033" t="s">
        <v>6910</v>
      </c>
      <c r="D5033" t="s">
        <v>4016</v>
      </c>
      <c r="E5033" t="s">
        <v>9227</v>
      </c>
      <c r="F5033" t="s">
        <v>6802</v>
      </c>
      <c r="H5033" t="s">
        <v>4017</v>
      </c>
      <c r="K5033">
        <v>4264</v>
      </c>
      <c r="L5033" t="s">
        <v>6803</v>
      </c>
    </row>
    <row r="5034" spans="1:12" x14ac:dyDescent="0.35">
      <c r="A5034" t="s">
        <v>3115</v>
      </c>
      <c r="B5034" s="1">
        <v>45726</v>
      </c>
      <c r="C5034" t="s">
        <v>6910</v>
      </c>
      <c r="D5034" t="s">
        <v>4016</v>
      </c>
      <c r="E5034" t="s">
        <v>9227</v>
      </c>
      <c r="F5034" t="s">
        <v>8537</v>
      </c>
      <c r="G5034" t="s">
        <v>8538</v>
      </c>
      <c r="H5034" t="s">
        <v>4017</v>
      </c>
      <c r="J5034">
        <v>4264</v>
      </c>
      <c r="L5034" t="s">
        <v>5876</v>
      </c>
    </row>
    <row r="5035" spans="1:12" x14ac:dyDescent="0.35">
      <c r="A5035" t="s">
        <v>3115</v>
      </c>
      <c r="B5035" s="1">
        <v>45726</v>
      </c>
      <c r="C5035" t="s">
        <v>6911</v>
      </c>
      <c r="D5035" t="s">
        <v>4018</v>
      </c>
      <c r="E5035" t="s">
        <v>9228</v>
      </c>
      <c r="F5035" t="s">
        <v>6802</v>
      </c>
      <c r="H5035" t="s">
        <v>4019</v>
      </c>
      <c r="K5035">
        <v>20139</v>
      </c>
      <c r="L5035" t="s">
        <v>6803</v>
      </c>
    </row>
    <row r="5036" spans="1:12" x14ac:dyDescent="0.35">
      <c r="A5036" t="s">
        <v>3115</v>
      </c>
      <c r="B5036" s="1">
        <v>45726</v>
      </c>
      <c r="C5036" t="s">
        <v>6911</v>
      </c>
      <c r="D5036" t="s">
        <v>4018</v>
      </c>
      <c r="E5036" t="s">
        <v>9228</v>
      </c>
      <c r="F5036" t="s">
        <v>8537</v>
      </c>
      <c r="G5036" t="s">
        <v>8538</v>
      </c>
      <c r="H5036" t="s">
        <v>4019</v>
      </c>
      <c r="J5036">
        <v>20139</v>
      </c>
      <c r="L5036" t="s">
        <v>5876</v>
      </c>
    </row>
    <row r="5037" spans="1:12" x14ac:dyDescent="0.35">
      <c r="A5037" t="s">
        <v>3115</v>
      </c>
      <c r="B5037" s="1">
        <v>45726</v>
      </c>
      <c r="C5037" t="s">
        <v>6912</v>
      </c>
      <c r="D5037" t="s">
        <v>4020</v>
      </c>
      <c r="E5037" t="s">
        <v>9229</v>
      </c>
      <c r="F5037" t="s">
        <v>6802</v>
      </c>
      <c r="H5037" t="s">
        <v>4021</v>
      </c>
      <c r="K5037">
        <v>3477</v>
      </c>
      <c r="L5037" t="s">
        <v>6803</v>
      </c>
    </row>
    <row r="5038" spans="1:12" x14ac:dyDescent="0.35">
      <c r="A5038" t="s">
        <v>3115</v>
      </c>
      <c r="B5038" s="1">
        <v>45726</v>
      </c>
      <c r="C5038" t="s">
        <v>6912</v>
      </c>
      <c r="D5038" t="s">
        <v>4020</v>
      </c>
      <c r="E5038" t="s">
        <v>9229</v>
      </c>
      <c r="F5038" t="s">
        <v>8537</v>
      </c>
      <c r="G5038" t="s">
        <v>8538</v>
      </c>
      <c r="H5038" t="s">
        <v>4021</v>
      </c>
      <c r="J5038">
        <v>3477</v>
      </c>
      <c r="L5038" t="s">
        <v>5876</v>
      </c>
    </row>
    <row r="5039" spans="1:12" x14ac:dyDescent="0.35">
      <c r="A5039" t="s">
        <v>3115</v>
      </c>
      <c r="B5039" s="1">
        <v>45726</v>
      </c>
      <c r="C5039" t="s">
        <v>6913</v>
      </c>
      <c r="D5039" t="s">
        <v>4022</v>
      </c>
      <c r="E5039" t="s">
        <v>9230</v>
      </c>
      <c r="F5039" t="s">
        <v>6802</v>
      </c>
      <c r="H5039" t="s">
        <v>4023</v>
      </c>
      <c r="K5039">
        <v>6035</v>
      </c>
      <c r="L5039" t="s">
        <v>6803</v>
      </c>
    </row>
    <row r="5040" spans="1:12" x14ac:dyDescent="0.35">
      <c r="A5040" t="s">
        <v>3115</v>
      </c>
      <c r="B5040" s="1">
        <v>45726</v>
      </c>
      <c r="C5040" t="s">
        <v>6913</v>
      </c>
      <c r="D5040" t="s">
        <v>4022</v>
      </c>
      <c r="E5040" t="s">
        <v>9230</v>
      </c>
      <c r="F5040" t="s">
        <v>8537</v>
      </c>
      <c r="G5040" t="s">
        <v>8538</v>
      </c>
      <c r="H5040" t="s">
        <v>4023</v>
      </c>
      <c r="J5040">
        <v>6035</v>
      </c>
      <c r="L5040" t="s">
        <v>5875</v>
      </c>
    </row>
    <row r="5041" spans="1:12" x14ac:dyDescent="0.35">
      <c r="A5041" t="s">
        <v>3115</v>
      </c>
      <c r="B5041" s="1">
        <v>45726</v>
      </c>
      <c r="C5041" t="s">
        <v>6914</v>
      </c>
      <c r="D5041" t="s">
        <v>4024</v>
      </c>
      <c r="E5041" t="s">
        <v>9207</v>
      </c>
      <c r="F5041" t="s">
        <v>6802</v>
      </c>
      <c r="H5041" t="s">
        <v>4025</v>
      </c>
      <c r="K5041">
        <v>93802</v>
      </c>
      <c r="L5041" t="s">
        <v>6803</v>
      </c>
    </row>
    <row r="5042" spans="1:12" x14ac:dyDescent="0.35">
      <c r="A5042" t="s">
        <v>3115</v>
      </c>
      <c r="B5042" s="1">
        <v>45726</v>
      </c>
      <c r="C5042" t="s">
        <v>6914</v>
      </c>
      <c r="D5042" t="s">
        <v>4024</v>
      </c>
      <c r="E5042" t="s">
        <v>9207</v>
      </c>
      <c r="F5042" t="s">
        <v>8537</v>
      </c>
      <c r="G5042" t="s">
        <v>8538</v>
      </c>
      <c r="H5042" t="s">
        <v>4025</v>
      </c>
      <c r="J5042">
        <v>93802</v>
      </c>
      <c r="L5042" t="s">
        <v>5874</v>
      </c>
    </row>
    <row r="5043" spans="1:12" x14ac:dyDescent="0.35">
      <c r="A5043" t="s">
        <v>3115</v>
      </c>
      <c r="B5043" s="1">
        <v>45726</v>
      </c>
      <c r="C5043" t="s">
        <v>6801</v>
      </c>
      <c r="D5043" t="s">
        <v>4026</v>
      </c>
      <c r="E5043" t="s">
        <v>9231</v>
      </c>
      <c r="F5043" t="s">
        <v>6802</v>
      </c>
      <c r="H5043" t="s">
        <v>4027</v>
      </c>
      <c r="K5043">
        <v>1365</v>
      </c>
      <c r="L5043" t="s">
        <v>6803</v>
      </c>
    </row>
    <row r="5044" spans="1:12" x14ac:dyDescent="0.35">
      <c r="A5044" t="s">
        <v>3115</v>
      </c>
      <c r="B5044" s="1">
        <v>45726</v>
      </c>
      <c r="C5044" t="s">
        <v>6801</v>
      </c>
      <c r="D5044" t="s">
        <v>4026</v>
      </c>
      <c r="E5044" t="s">
        <v>9231</v>
      </c>
      <c r="F5044" t="s">
        <v>8557</v>
      </c>
      <c r="G5044" t="s">
        <v>8558</v>
      </c>
      <c r="H5044" t="s">
        <v>4027</v>
      </c>
      <c r="J5044">
        <v>1365</v>
      </c>
      <c r="L5044" t="s">
        <v>5958</v>
      </c>
    </row>
    <row r="5045" spans="1:12" x14ac:dyDescent="0.35">
      <c r="A5045" t="s">
        <v>3115</v>
      </c>
      <c r="B5045" s="1">
        <v>45726</v>
      </c>
      <c r="C5045" t="s">
        <v>6999</v>
      </c>
      <c r="D5045" t="s">
        <v>4028</v>
      </c>
      <c r="E5045" t="s">
        <v>9232</v>
      </c>
      <c r="F5045" t="s">
        <v>6811</v>
      </c>
      <c r="H5045" t="s">
        <v>4029</v>
      </c>
      <c r="K5045">
        <v>673</v>
      </c>
      <c r="L5045" t="s">
        <v>6803</v>
      </c>
    </row>
    <row r="5046" spans="1:12" x14ac:dyDescent="0.35">
      <c r="A5046" t="s">
        <v>3115</v>
      </c>
      <c r="B5046" s="1">
        <v>45726</v>
      </c>
      <c r="C5046" t="s">
        <v>6999</v>
      </c>
      <c r="D5046" t="s">
        <v>4028</v>
      </c>
      <c r="E5046" t="s">
        <v>9232</v>
      </c>
      <c r="F5046" t="s">
        <v>6802</v>
      </c>
      <c r="H5046" t="s">
        <v>4029</v>
      </c>
      <c r="K5046">
        <v>773</v>
      </c>
      <c r="L5046" t="s">
        <v>6803</v>
      </c>
    </row>
    <row r="5047" spans="1:12" x14ac:dyDescent="0.35">
      <c r="A5047" t="s">
        <v>3115</v>
      </c>
      <c r="B5047" s="1">
        <v>45726</v>
      </c>
      <c r="C5047" t="s">
        <v>6999</v>
      </c>
      <c r="D5047" t="s">
        <v>4028</v>
      </c>
      <c r="E5047" t="s">
        <v>9232</v>
      </c>
      <c r="F5047" t="s">
        <v>8557</v>
      </c>
      <c r="G5047" t="s">
        <v>8558</v>
      </c>
      <c r="H5047" t="s">
        <v>4029</v>
      </c>
      <c r="J5047">
        <v>1446</v>
      </c>
      <c r="L5047" t="s">
        <v>5958</v>
      </c>
    </row>
    <row r="5048" spans="1:12" x14ac:dyDescent="0.35">
      <c r="A5048" t="s">
        <v>3115</v>
      </c>
      <c r="B5048" s="1">
        <v>45726</v>
      </c>
      <c r="C5048" t="s">
        <v>7000</v>
      </c>
      <c r="D5048" t="s">
        <v>4030</v>
      </c>
      <c r="F5048" t="s">
        <v>6811</v>
      </c>
      <c r="H5048" t="s">
        <v>4031</v>
      </c>
      <c r="K5048">
        <v>61766</v>
      </c>
      <c r="L5048" t="s">
        <v>6803</v>
      </c>
    </row>
    <row r="5049" spans="1:12" x14ac:dyDescent="0.35">
      <c r="A5049" t="s">
        <v>3115</v>
      </c>
      <c r="B5049" s="1">
        <v>45726</v>
      </c>
      <c r="C5049" t="s">
        <v>7000</v>
      </c>
      <c r="D5049" t="s">
        <v>4030</v>
      </c>
      <c r="F5049" t="s">
        <v>8557</v>
      </c>
      <c r="G5049" t="s">
        <v>8558</v>
      </c>
      <c r="H5049" t="s">
        <v>4031</v>
      </c>
      <c r="J5049">
        <v>61766</v>
      </c>
      <c r="L5049" t="s">
        <v>5949</v>
      </c>
    </row>
    <row r="5050" spans="1:12" x14ac:dyDescent="0.35">
      <c r="A5050" t="s">
        <v>3115</v>
      </c>
      <c r="B5050" s="1">
        <v>45726</v>
      </c>
      <c r="C5050" t="s">
        <v>7001</v>
      </c>
      <c r="D5050" t="s">
        <v>4032</v>
      </c>
      <c r="E5050" t="s">
        <v>9233</v>
      </c>
      <c r="F5050" t="s">
        <v>6802</v>
      </c>
      <c r="H5050" t="s">
        <v>4033</v>
      </c>
      <c r="K5050">
        <v>1312</v>
      </c>
      <c r="L5050" t="s">
        <v>6803</v>
      </c>
    </row>
    <row r="5051" spans="1:12" x14ac:dyDescent="0.35">
      <c r="A5051" t="s">
        <v>3115</v>
      </c>
      <c r="B5051" s="1">
        <v>45726</v>
      </c>
      <c r="C5051" t="s">
        <v>7001</v>
      </c>
      <c r="D5051" t="s">
        <v>4032</v>
      </c>
      <c r="E5051" t="s">
        <v>9233</v>
      </c>
      <c r="F5051" t="s">
        <v>8537</v>
      </c>
      <c r="G5051" t="s">
        <v>8538</v>
      </c>
      <c r="H5051" t="s">
        <v>4033</v>
      </c>
      <c r="J5051">
        <v>1312</v>
      </c>
      <c r="L5051" t="s">
        <v>5875</v>
      </c>
    </row>
    <row r="5052" spans="1:12" x14ac:dyDescent="0.35">
      <c r="A5052" t="s">
        <v>3115</v>
      </c>
      <c r="B5052" s="1">
        <v>45726</v>
      </c>
      <c r="C5052" t="s">
        <v>7002</v>
      </c>
      <c r="D5052" t="s">
        <v>4034</v>
      </c>
      <c r="E5052" t="s">
        <v>9234</v>
      </c>
      <c r="F5052" t="s">
        <v>6802</v>
      </c>
      <c r="H5052" t="s">
        <v>4035</v>
      </c>
      <c r="K5052">
        <v>1574</v>
      </c>
      <c r="L5052" t="s">
        <v>6803</v>
      </c>
    </row>
    <row r="5053" spans="1:12" x14ac:dyDescent="0.35">
      <c r="A5053" t="s">
        <v>3115</v>
      </c>
      <c r="B5053" s="1">
        <v>45726</v>
      </c>
      <c r="C5053" t="s">
        <v>7002</v>
      </c>
      <c r="D5053" t="s">
        <v>4034</v>
      </c>
      <c r="E5053" t="s">
        <v>9234</v>
      </c>
      <c r="F5053" t="s">
        <v>8537</v>
      </c>
      <c r="G5053" t="s">
        <v>8538</v>
      </c>
      <c r="H5053" t="s">
        <v>4035</v>
      </c>
      <c r="J5053">
        <v>1574</v>
      </c>
      <c r="L5053" t="s">
        <v>5876</v>
      </c>
    </row>
    <row r="5054" spans="1:12" x14ac:dyDescent="0.35">
      <c r="A5054" t="s">
        <v>3115</v>
      </c>
      <c r="B5054" s="1">
        <v>45726</v>
      </c>
      <c r="C5054" t="s">
        <v>7003</v>
      </c>
      <c r="D5054" t="s">
        <v>4036</v>
      </c>
      <c r="E5054" t="s">
        <v>9235</v>
      </c>
      <c r="F5054" t="s">
        <v>6808</v>
      </c>
      <c r="H5054" t="s">
        <v>4037</v>
      </c>
      <c r="K5054">
        <v>6596</v>
      </c>
      <c r="L5054" t="s">
        <v>6803</v>
      </c>
    </row>
    <row r="5055" spans="1:12" x14ac:dyDescent="0.35">
      <c r="A5055" t="s">
        <v>3115</v>
      </c>
      <c r="B5055" s="1">
        <v>45726</v>
      </c>
      <c r="C5055" t="s">
        <v>7003</v>
      </c>
      <c r="D5055" t="s">
        <v>4036</v>
      </c>
      <c r="E5055" t="s">
        <v>9235</v>
      </c>
      <c r="F5055" t="s">
        <v>8467</v>
      </c>
      <c r="G5055" t="s">
        <v>8567</v>
      </c>
      <c r="H5055" t="s">
        <v>4037</v>
      </c>
      <c r="J5055">
        <v>6596</v>
      </c>
      <c r="L5055" t="s">
        <v>5880</v>
      </c>
    </row>
    <row r="5056" spans="1:12" x14ac:dyDescent="0.35">
      <c r="A5056" t="s">
        <v>3115</v>
      </c>
      <c r="B5056" s="1">
        <v>45727</v>
      </c>
      <c r="C5056" t="s">
        <v>7004</v>
      </c>
      <c r="D5056" t="s">
        <v>4038</v>
      </c>
      <c r="E5056" t="s">
        <v>9236</v>
      </c>
      <c r="F5056" t="s">
        <v>6811</v>
      </c>
      <c r="H5056" t="s">
        <v>4039</v>
      </c>
      <c r="K5056">
        <v>294</v>
      </c>
      <c r="L5056" t="s">
        <v>6803</v>
      </c>
    </row>
    <row r="5057" spans="1:12" x14ac:dyDescent="0.35">
      <c r="A5057" t="s">
        <v>3115</v>
      </c>
      <c r="B5057" s="1">
        <v>45727</v>
      </c>
      <c r="C5057" t="s">
        <v>7004</v>
      </c>
      <c r="D5057" t="s">
        <v>4038</v>
      </c>
      <c r="E5057" t="s">
        <v>9236</v>
      </c>
      <c r="F5057" t="s">
        <v>8557</v>
      </c>
      <c r="G5057" t="s">
        <v>8558</v>
      </c>
      <c r="H5057" t="s">
        <v>4039</v>
      </c>
      <c r="J5057">
        <v>294</v>
      </c>
      <c r="L5057" t="s">
        <v>5958</v>
      </c>
    </row>
    <row r="5058" spans="1:12" x14ac:dyDescent="0.35">
      <c r="A5058" t="s">
        <v>3115</v>
      </c>
      <c r="B5058" s="1">
        <v>45727</v>
      </c>
      <c r="C5058" t="s">
        <v>6881</v>
      </c>
      <c r="D5058" t="s">
        <v>4040</v>
      </c>
      <c r="E5058" t="s">
        <v>9237</v>
      </c>
      <c r="F5058" t="s">
        <v>6802</v>
      </c>
      <c r="H5058" t="s">
        <v>4041</v>
      </c>
      <c r="K5058">
        <v>168000</v>
      </c>
      <c r="L5058" t="s">
        <v>6803</v>
      </c>
    </row>
    <row r="5059" spans="1:12" x14ac:dyDescent="0.35">
      <c r="A5059" t="s">
        <v>3115</v>
      </c>
      <c r="B5059" s="1">
        <v>45727</v>
      </c>
      <c r="C5059" t="s">
        <v>6881</v>
      </c>
      <c r="D5059" t="s">
        <v>4040</v>
      </c>
      <c r="E5059" t="s">
        <v>9237</v>
      </c>
      <c r="F5059" t="s">
        <v>8537</v>
      </c>
      <c r="G5059" t="s">
        <v>8538</v>
      </c>
      <c r="H5059" t="s">
        <v>4041</v>
      </c>
      <c r="J5059">
        <v>168000</v>
      </c>
      <c r="L5059" t="s">
        <v>5881</v>
      </c>
    </row>
    <row r="5060" spans="1:12" x14ac:dyDescent="0.35">
      <c r="A5060" t="s">
        <v>3115</v>
      </c>
      <c r="B5060" s="1">
        <v>45727</v>
      </c>
      <c r="C5060" t="s">
        <v>6882</v>
      </c>
      <c r="D5060" t="s">
        <v>4042</v>
      </c>
      <c r="E5060" t="s">
        <v>9238</v>
      </c>
      <c r="F5060" t="s">
        <v>6802</v>
      </c>
      <c r="H5060" t="s">
        <v>4043</v>
      </c>
      <c r="K5060">
        <v>58800</v>
      </c>
      <c r="L5060" t="s">
        <v>6803</v>
      </c>
    </row>
    <row r="5061" spans="1:12" x14ac:dyDescent="0.35">
      <c r="A5061" t="s">
        <v>3115</v>
      </c>
      <c r="B5061" s="1">
        <v>45727</v>
      </c>
      <c r="C5061" t="s">
        <v>6882</v>
      </c>
      <c r="D5061" t="s">
        <v>4042</v>
      </c>
      <c r="E5061" t="s">
        <v>9238</v>
      </c>
      <c r="F5061" t="s">
        <v>8537</v>
      </c>
      <c r="G5061" t="s">
        <v>8538</v>
      </c>
      <c r="H5061" t="s">
        <v>4043</v>
      </c>
      <c r="J5061">
        <v>58800</v>
      </c>
      <c r="L5061" t="s">
        <v>5881</v>
      </c>
    </row>
    <row r="5062" spans="1:12" x14ac:dyDescent="0.35">
      <c r="A5062" t="s">
        <v>3115</v>
      </c>
      <c r="B5062" s="1">
        <v>45727</v>
      </c>
      <c r="C5062" t="s">
        <v>6916</v>
      </c>
      <c r="D5062" t="s">
        <v>4044</v>
      </c>
      <c r="E5062" t="s">
        <v>9239</v>
      </c>
      <c r="F5062" t="s">
        <v>6802</v>
      </c>
      <c r="H5062" t="s">
        <v>4045</v>
      </c>
      <c r="K5062">
        <v>44498</v>
      </c>
      <c r="L5062" t="s">
        <v>6803</v>
      </c>
    </row>
    <row r="5063" spans="1:12" x14ac:dyDescent="0.35">
      <c r="A5063" t="s">
        <v>3115</v>
      </c>
      <c r="B5063" s="1">
        <v>45727</v>
      </c>
      <c r="C5063" t="s">
        <v>6916</v>
      </c>
      <c r="D5063" t="s">
        <v>4044</v>
      </c>
      <c r="E5063" t="s">
        <v>9239</v>
      </c>
      <c r="F5063" t="s">
        <v>8537</v>
      </c>
      <c r="G5063" t="s">
        <v>8538</v>
      </c>
      <c r="H5063" t="s">
        <v>4045</v>
      </c>
      <c r="J5063">
        <v>44498</v>
      </c>
      <c r="L5063" t="s">
        <v>5873</v>
      </c>
    </row>
    <row r="5064" spans="1:12" x14ac:dyDescent="0.35">
      <c r="A5064" t="s">
        <v>3115</v>
      </c>
      <c r="B5064" s="1">
        <v>45727</v>
      </c>
      <c r="C5064" t="s">
        <v>6917</v>
      </c>
      <c r="D5064" t="s">
        <v>4046</v>
      </c>
      <c r="E5064" t="s">
        <v>9236</v>
      </c>
      <c r="F5064" t="s">
        <v>6802</v>
      </c>
      <c r="H5064" t="s">
        <v>4047</v>
      </c>
      <c r="K5064">
        <v>3870</v>
      </c>
      <c r="L5064" t="s">
        <v>6803</v>
      </c>
    </row>
    <row r="5065" spans="1:12" x14ac:dyDescent="0.35">
      <c r="A5065" t="s">
        <v>3115</v>
      </c>
      <c r="B5065" s="1">
        <v>45727</v>
      </c>
      <c r="C5065" t="s">
        <v>6917</v>
      </c>
      <c r="D5065" t="s">
        <v>4046</v>
      </c>
      <c r="E5065" t="s">
        <v>9236</v>
      </c>
      <c r="F5065" t="s">
        <v>8537</v>
      </c>
      <c r="G5065" t="s">
        <v>8538</v>
      </c>
      <c r="H5065" t="s">
        <v>4047</v>
      </c>
      <c r="J5065">
        <v>3870</v>
      </c>
      <c r="L5065" t="s">
        <v>5958</v>
      </c>
    </row>
    <row r="5066" spans="1:12" x14ac:dyDescent="0.35">
      <c r="A5066" t="s">
        <v>3115</v>
      </c>
      <c r="B5066" s="1">
        <v>45727</v>
      </c>
      <c r="C5066" t="s">
        <v>7005</v>
      </c>
      <c r="D5066" t="s">
        <v>4048</v>
      </c>
      <c r="E5066" t="s">
        <v>9240</v>
      </c>
      <c r="F5066" t="s">
        <v>6808</v>
      </c>
      <c r="H5066" t="s">
        <v>4049</v>
      </c>
      <c r="K5066">
        <v>3360</v>
      </c>
      <c r="L5066" t="s">
        <v>6803</v>
      </c>
    </row>
    <row r="5067" spans="1:12" x14ac:dyDescent="0.35">
      <c r="A5067" t="s">
        <v>3115</v>
      </c>
      <c r="B5067" s="1">
        <v>45727</v>
      </c>
      <c r="C5067" t="s">
        <v>7005</v>
      </c>
      <c r="D5067" t="s">
        <v>4048</v>
      </c>
      <c r="E5067" t="s">
        <v>9240</v>
      </c>
      <c r="F5067" t="s">
        <v>8467</v>
      </c>
      <c r="G5067" t="s">
        <v>8567</v>
      </c>
      <c r="H5067" t="s">
        <v>4049</v>
      </c>
      <c r="J5067">
        <v>3360</v>
      </c>
      <c r="L5067" t="s">
        <v>5958</v>
      </c>
    </row>
    <row r="5068" spans="1:12" x14ac:dyDescent="0.35">
      <c r="A5068" t="s">
        <v>3115</v>
      </c>
      <c r="B5068" s="1">
        <v>45727</v>
      </c>
      <c r="C5068" t="s">
        <v>6918</v>
      </c>
      <c r="D5068" t="s">
        <v>4050</v>
      </c>
      <c r="E5068" t="s">
        <v>9241</v>
      </c>
      <c r="F5068" t="s">
        <v>6802</v>
      </c>
      <c r="H5068" t="s">
        <v>4051</v>
      </c>
      <c r="K5068">
        <v>3017</v>
      </c>
      <c r="L5068" t="s">
        <v>6803</v>
      </c>
    </row>
    <row r="5069" spans="1:12" x14ac:dyDescent="0.35">
      <c r="A5069" t="s">
        <v>3115</v>
      </c>
      <c r="B5069" s="1">
        <v>45727</v>
      </c>
      <c r="C5069" t="s">
        <v>6918</v>
      </c>
      <c r="D5069" t="s">
        <v>4050</v>
      </c>
      <c r="E5069" t="s">
        <v>9241</v>
      </c>
      <c r="F5069" t="s">
        <v>8537</v>
      </c>
      <c r="G5069" t="s">
        <v>8538</v>
      </c>
      <c r="H5069" t="s">
        <v>4051</v>
      </c>
      <c r="J5069">
        <v>3017</v>
      </c>
      <c r="L5069" t="s">
        <v>5955</v>
      </c>
    </row>
    <row r="5070" spans="1:12" x14ac:dyDescent="0.35">
      <c r="A5070" t="s">
        <v>3115</v>
      </c>
      <c r="B5070" s="1">
        <v>45727</v>
      </c>
      <c r="C5070" t="s">
        <v>6920</v>
      </c>
      <c r="D5070" t="s">
        <v>4052</v>
      </c>
      <c r="E5070" t="s">
        <v>9242</v>
      </c>
      <c r="F5070" t="s">
        <v>6811</v>
      </c>
      <c r="H5070" t="s">
        <v>4053</v>
      </c>
      <c r="K5070">
        <v>125000</v>
      </c>
      <c r="L5070" t="s">
        <v>6803</v>
      </c>
    </row>
    <row r="5071" spans="1:12" x14ac:dyDescent="0.35">
      <c r="A5071" t="s">
        <v>3115</v>
      </c>
      <c r="B5071" s="1">
        <v>45727</v>
      </c>
      <c r="C5071" t="s">
        <v>6920</v>
      </c>
      <c r="D5071" t="s">
        <v>4052</v>
      </c>
      <c r="E5071" t="s">
        <v>9242</v>
      </c>
      <c r="F5071" t="s">
        <v>8557</v>
      </c>
      <c r="G5071" t="s">
        <v>8558</v>
      </c>
      <c r="H5071" t="s">
        <v>4053</v>
      </c>
      <c r="J5071">
        <v>125000</v>
      </c>
      <c r="L5071" t="s">
        <v>5949</v>
      </c>
    </row>
    <row r="5072" spans="1:12" x14ac:dyDescent="0.35">
      <c r="A5072" t="s">
        <v>3115</v>
      </c>
      <c r="B5072" s="1">
        <v>45727</v>
      </c>
      <c r="C5072" t="s">
        <v>6921</v>
      </c>
      <c r="D5072" t="s">
        <v>4054</v>
      </c>
      <c r="E5072" t="s">
        <v>9243</v>
      </c>
      <c r="F5072" t="s">
        <v>6811</v>
      </c>
      <c r="H5072" t="s">
        <v>4055</v>
      </c>
      <c r="K5072">
        <v>65000</v>
      </c>
      <c r="L5072" t="s">
        <v>6803</v>
      </c>
    </row>
    <row r="5073" spans="1:12" x14ac:dyDescent="0.35">
      <c r="A5073" t="s">
        <v>3115</v>
      </c>
      <c r="B5073" s="1">
        <v>45727</v>
      </c>
      <c r="C5073" t="s">
        <v>6921</v>
      </c>
      <c r="D5073" t="s">
        <v>4054</v>
      </c>
      <c r="E5073" t="s">
        <v>9243</v>
      </c>
      <c r="F5073" t="s">
        <v>8557</v>
      </c>
      <c r="G5073" t="s">
        <v>8558</v>
      </c>
      <c r="H5073" t="s">
        <v>4055</v>
      </c>
      <c r="J5073">
        <v>65000</v>
      </c>
      <c r="L5073" t="s">
        <v>5949</v>
      </c>
    </row>
    <row r="5074" spans="1:12" x14ac:dyDescent="0.35">
      <c r="A5074" t="s">
        <v>3115</v>
      </c>
      <c r="B5074" s="1">
        <v>45727</v>
      </c>
      <c r="C5074" t="s">
        <v>6922</v>
      </c>
      <c r="D5074" t="s">
        <v>4056</v>
      </c>
      <c r="E5074" t="s">
        <v>9244</v>
      </c>
      <c r="F5074" t="s">
        <v>6802</v>
      </c>
      <c r="H5074" t="s">
        <v>4057</v>
      </c>
      <c r="K5074">
        <v>122270</v>
      </c>
      <c r="L5074" t="s">
        <v>6803</v>
      </c>
    </row>
    <row r="5075" spans="1:12" x14ac:dyDescent="0.35">
      <c r="A5075" t="s">
        <v>3115</v>
      </c>
      <c r="B5075" s="1">
        <v>45727</v>
      </c>
      <c r="C5075" t="s">
        <v>6922</v>
      </c>
      <c r="D5075" t="s">
        <v>4056</v>
      </c>
      <c r="E5075" t="s">
        <v>9244</v>
      </c>
      <c r="F5075" t="s">
        <v>8537</v>
      </c>
      <c r="G5075" t="s">
        <v>8538</v>
      </c>
      <c r="H5075" t="s">
        <v>4057</v>
      </c>
      <c r="J5075">
        <v>122270</v>
      </c>
      <c r="L5075" t="s">
        <v>5966</v>
      </c>
    </row>
    <row r="5076" spans="1:12" x14ac:dyDescent="0.35">
      <c r="A5076" t="s">
        <v>3115</v>
      </c>
      <c r="B5076" s="1">
        <v>45727</v>
      </c>
      <c r="C5076" t="s">
        <v>6923</v>
      </c>
      <c r="D5076" t="s">
        <v>4058</v>
      </c>
      <c r="E5076" t="s">
        <v>9244</v>
      </c>
      <c r="F5076" t="s">
        <v>6915</v>
      </c>
      <c r="H5076" t="s">
        <v>4059</v>
      </c>
      <c r="K5076">
        <v>66825</v>
      </c>
      <c r="L5076" t="s">
        <v>6803</v>
      </c>
    </row>
    <row r="5077" spans="1:12" x14ac:dyDescent="0.35">
      <c r="A5077" t="s">
        <v>3115</v>
      </c>
      <c r="B5077" s="1">
        <v>45727</v>
      </c>
      <c r="C5077" t="s">
        <v>6923</v>
      </c>
      <c r="D5077" t="s">
        <v>4058</v>
      </c>
      <c r="E5077" t="s">
        <v>9244</v>
      </c>
      <c r="F5077" t="s">
        <v>8569</v>
      </c>
      <c r="G5077" t="s">
        <v>8570</v>
      </c>
      <c r="H5077" t="s">
        <v>4059</v>
      </c>
      <c r="J5077">
        <v>66825</v>
      </c>
      <c r="L5077" t="s">
        <v>5966</v>
      </c>
    </row>
    <row r="5078" spans="1:12" x14ac:dyDescent="0.35">
      <c r="A5078" t="s">
        <v>3115</v>
      </c>
      <c r="B5078" s="1">
        <v>45727</v>
      </c>
      <c r="C5078" t="s">
        <v>6924</v>
      </c>
      <c r="D5078" t="s">
        <v>4060</v>
      </c>
      <c r="E5078" t="s">
        <v>9245</v>
      </c>
      <c r="F5078" t="s">
        <v>6802</v>
      </c>
      <c r="H5078" t="s">
        <v>4061</v>
      </c>
      <c r="K5078">
        <v>3083</v>
      </c>
      <c r="L5078" t="s">
        <v>6803</v>
      </c>
    </row>
    <row r="5079" spans="1:12" x14ac:dyDescent="0.35">
      <c r="A5079" t="s">
        <v>3115</v>
      </c>
      <c r="B5079" s="1">
        <v>45727</v>
      </c>
      <c r="C5079" t="s">
        <v>6924</v>
      </c>
      <c r="D5079" t="s">
        <v>4060</v>
      </c>
      <c r="E5079" t="s">
        <v>9245</v>
      </c>
      <c r="F5079" t="s">
        <v>8537</v>
      </c>
      <c r="G5079" t="s">
        <v>8538</v>
      </c>
      <c r="H5079" t="s">
        <v>4061</v>
      </c>
      <c r="J5079">
        <v>3083</v>
      </c>
      <c r="L5079" t="s">
        <v>5966</v>
      </c>
    </row>
    <row r="5080" spans="1:12" x14ac:dyDescent="0.35">
      <c r="A5080" t="s">
        <v>3115</v>
      </c>
      <c r="B5080" s="1">
        <v>45727</v>
      </c>
      <c r="C5080" t="s">
        <v>6925</v>
      </c>
      <c r="D5080" t="s">
        <v>4062</v>
      </c>
      <c r="E5080" t="s">
        <v>9246</v>
      </c>
      <c r="F5080" t="s">
        <v>6802</v>
      </c>
      <c r="H5080" t="s">
        <v>4063</v>
      </c>
      <c r="K5080">
        <v>15547</v>
      </c>
      <c r="L5080" t="s">
        <v>6803</v>
      </c>
    </row>
    <row r="5081" spans="1:12" x14ac:dyDescent="0.35">
      <c r="A5081" t="s">
        <v>3115</v>
      </c>
      <c r="B5081" s="1">
        <v>45727</v>
      </c>
      <c r="C5081" t="s">
        <v>6925</v>
      </c>
      <c r="D5081" t="s">
        <v>4062</v>
      </c>
      <c r="E5081" t="s">
        <v>9246</v>
      </c>
      <c r="F5081" t="s">
        <v>8537</v>
      </c>
      <c r="G5081" t="s">
        <v>8538</v>
      </c>
      <c r="H5081" t="s">
        <v>4063</v>
      </c>
      <c r="J5081">
        <v>15547</v>
      </c>
      <c r="L5081" t="s">
        <v>5876</v>
      </c>
    </row>
    <row r="5082" spans="1:12" x14ac:dyDescent="0.35">
      <c r="A5082" t="s">
        <v>3115</v>
      </c>
      <c r="B5082" s="1">
        <v>45727</v>
      </c>
      <c r="C5082" t="s">
        <v>6926</v>
      </c>
      <c r="D5082" t="s">
        <v>4064</v>
      </c>
      <c r="E5082" t="s">
        <v>9247</v>
      </c>
      <c r="F5082" t="s">
        <v>6802</v>
      </c>
      <c r="H5082" t="s">
        <v>4065</v>
      </c>
      <c r="K5082">
        <v>2500</v>
      </c>
      <c r="L5082" t="s">
        <v>6803</v>
      </c>
    </row>
    <row r="5083" spans="1:12" x14ac:dyDescent="0.35">
      <c r="A5083" t="s">
        <v>3115</v>
      </c>
      <c r="B5083" s="1">
        <v>45727</v>
      </c>
      <c r="C5083" t="s">
        <v>6926</v>
      </c>
      <c r="D5083" t="s">
        <v>4064</v>
      </c>
      <c r="E5083" t="s">
        <v>9247</v>
      </c>
      <c r="F5083" t="s">
        <v>8557</v>
      </c>
      <c r="G5083" t="s">
        <v>8558</v>
      </c>
      <c r="H5083" t="s">
        <v>4065</v>
      </c>
      <c r="J5083">
        <v>2500</v>
      </c>
      <c r="L5083" t="s">
        <v>5966</v>
      </c>
    </row>
    <row r="5084" spans="1:12" x14ac:dyDescent="0.35">
      <c r="A5084" t="s">
        <v>3115</v>
      </c>
      <c r="B5084" s="1">
        <v>45727</v>
      </c>
      <c r="C5084" t="s">
        <v>6927</v>
      </c>
      <c r="D5084" t="s">
        <v>4066</v>
      </c>
      <c r="E5084" t="s">
        <v>9248</v>
      </c>
      <c r="F5084" t="s">
        <v>6802</v>
      </c>
      <c r="H5084" t="s">
        <v>4067</v>
      </c>
      <c r="K5084">
        <v>7861</v>
      </c>
      <c r="L5084" t="s">
        <v>6803</v>
      </c>
    </row>
    <row r="5085" spans="1:12" x14ac:dyDescent="0.35">
      <c r="A5085" t="s">
        <v>3115</v>
      </c>
      <c r="B5085" s="1">
        <v>45727</v>
      </c>
      <c r="C5085" t="s">
        <v>6927</v>
      </c>
      <c r="D5085" t="s">
        <v>4066</v>
      </c>
      <c r="E5085" t="s">
        <v>9248</v>
      </c>
      <c r="F5085" t="s">
        <v>8557</v>
      </c>
      <c r="G5085" t="s">
        <v>8558</v>
      </c>
      <c r="H5085" t="s">
        <v>4067</v>
      </c>
      <c r="J5085">
        <v>7861</v>
      </c>
      <c r="L5085" t="s">
        <v>5875</v>
      </c>
    </row>
    <row r="5086" spans="1:12" x14ac:dyDescent="0.35">
      <c r="A5086" t="s">
        <v>3115</v>
      </c>
      <c r="B5086" s="1">
        <v>45727</v>
      </c>
      <c r="C5086" t="s">
        <v>6928</v>
      </c>
      <c r="D5086" t="s">
        <v>4068</v>
      </c>
      <c r="E5086" t="s">
        <v>9249</v>
      </c>
      <c r="F5086" t="s">
        <v>6808</v>
      </c>
      <c r="H5086" t="s">
        <v>4069</v>
      </c>
      <c r="K5086">
        <v>5242</v>
      </c>
      <c r="L5086" t="s">
        <v>6803</v>
      </c>
    </row>
    <row r="5087" spans="1:12" x14ac:dyDescent="0.35">
      <c r="A5087" t="s">
        <v>3115</v>
      </c>
      <c r="B5087" s="1">
        <v>45727</v>
      </c>
      <c r="C5087" t="s">
        <v>6928</v>
      </c>
      <c r="D5087" t="s">
        <v>4068</v>
      </c>
      <c r="E5087" t="s">
        <v>9249</v>
      </c>
      <c r="F5087" t="s">
        <v>8467</v>
      </c>
      <c r="G5087" t="s">
        <v>8567</v>
      </c>
      <c r="H5087" t="s">
        <v>4069</v>
      </c>
      <c r="J5087">
        <v>5242</v>
      </c>
      <c r="L5087" t="s">
        <v>5875</v>
      </c>
    </row>
    <row r="5088" spans="1:12" x14ac:dyDescent="0.35">
      <c r="A5088" t="s">
        <v>3115</v>
      </c>
      <c r="B5088" s="1">
        <v>45727</v>
      </c>
      <c r="C5088" t="s">
        <v>6929</v>
      </c>
      <c r="D5088" t="s">
        <v>4070</v>
      </c>
      <c r="E5088" t="s">
        <v>9250</v>
      </c>
      <c r="F5088" t="s">
        <v>6802</v>
      </c>
      <c r="H5088" t="s">
        <v>4071</v>
      </c>
      <c r="K5088">
        <v>10675</v>
      </c>
      <c r="L5088" t="s">
        <v>6803</v>
      </c>
    </row>
    <row r="5089" spans="1:12" x14ac:dyDescent="0.35">
      <c r="A5089" t="s">
        <v>3115</v>
      </c>
      <c r="B5089" s="1">
        <v>45727</v>
      </c>
      <c r="C5089" t="s">
        <v>6929</v>
      </c>
      <c r="D5089" t="s">
        <v>4070</v>
      </c>
      <c r="E5089" t="s">
        <v>9250</v>
      </c>
      <c r="F5089" t="s">
        <v>8557</v>
      </c>
      <c r="G5089" t="s">
        <v>8558</v>
      </c>
      <c r="H5089" t="s">
        <v>4071</v>
      </c>
      <c r="J5089">
        <v>10675</v>
      </c>
      <c r="L5089" t="s">
        <v>5876</v>
      </c>
    </row>
    <row r="5090" spans="1:12" x14ac:dyDescent="0.35">
      <c r="A5090" t="s">
        <v>3115</v>
      </c>
      <c r="B5090" s="1">
        <v>45727</v>
      </c>
      <c r="C5090" t="s">
        <v>6930</v>
      </c>
      <c r="D5090" t="s">
        <v>4072</v>
      </c>
      <c r="E5090" t="s">
        <v>9250</v>
      </c>
      <c r="F5090" t="s">
        <v>6802</v>
      </c>
      <c r="H5090" t="s">
        <v>4073</v>
      </c>
      <c r="K5090">
        <v>939</v>
      </c>
      <c r="L5090" t="s">
        <v>6803</v>
      </c>
    </row>
    <row r="5091" spans="1:12" x14ac:dyDescent="0.35">
      <c r="A5091" t="s">
        <v>3115</v>
      </c>
      <c r="B5091" s="1">
        <v>45727</v>
      </c>
      <c r="C5091" t="s">
        <v>6930</v>
      </c>
      <c r="D5091" t="s">
        <v>4072</v>
      </c>
      <c r="E5091" t="s">
        <v>9250</v>
      </c>
      <c r="F5091" t="s">
        <v>8557</v>
      </c>
      <c r="G5091" t="s">
        <v>8558</v>
      </c>
      <c r="H5091" t="s">
        <v>4073</v>
      </c>
      <c r="J5091">
        <v>939</v>
      </c>
      <c r="L5091" t="s">
        <v>5876</v>
      </c>
    </row>
    <row r="5092" spans="1:12" x14ac:dyDescent="0.35">
      <c r="A5092" t="s">
        <v>3115</v>
      </c>
      <c r="B5092" s="1">
        <v>45727</v>
      </c>
      <c r="C5092" t="s">
        <v>6931</v>
      </c>
      <c r="D5092" t="s">
        <v>4074</v>
      </c>
      <c r="E5092" t="s">
        <v>9251</v>
      </c>
      <c r="F5092" t="s">
        <v>6802</v>
      </c>
      <c r="H5092" t="s">
        <v>4075</v>
      </c>
      <c r="K5092">
        <v>3017</v>
      </c>
      <c r="L5092" t="s">
        <v>6803</v>
      </c>
    </row>
    <row r="5093" spans="1:12" x14ac:dyDescent="0.35">
      <c r="A5093" t="s">
        <v>3115</v>
      </c>
      <c r="B5093" s="1">
        <v>45727</v>
      </c>
      <c r="C5093" t="s">
        <v>6931</v>
      </c>
      <c r="D5093" t="s">
        <v>4074</v>
      </c>
      <c r="E5093" t="s">
        <v>9251</v>
      </c>
      <c r="F5093" t="s">
        <v>8537</v>
      </c>
      <c r="G5093" t="s">
        <v>8538</v>
      </c>
      <c r="H5093" t="s">
        <v>4075</v>
      </c>
      <c r="J5093">
        <v>3017</v>
      </c>
      <c r="L5093" t="s">
        <v>5874</v>
      </c>
    </row>
    <row r="5094" spans="1:12" x14ac:dyDescent="0.35">
      <c r="A5094" t="s">
        <v>3115</v>
      </c>
      <c r="B5094" s="1">
        <v>45727</v>
      </c>
      <c r="C5094" t="s">
        <v>6878</v>
      </c>
      <c r="D5094" t="s">
        <v>4076</v>
      </c>
      <c r="E5094" t="s">
        <v>9252</v>
      </c>
      <c r="F5094" t="s">
        <v>6811</v>
      </c>
      <c r="H5094" t="s">
        <v>4077</v>
      </c>
      <c r="K5094">
        <v>39000</v>
      </c>
      <c r="L5094" t="s">
        <v>6803</v>
      </c>
    </row>
    <row r="5095" spans="1:12" x14ac:dyDescent="0.35">
      <c r="A5095" t="s">
        <v>3115</v>
      </c>
      <c r="B5095" s="1">
        <v>45727</v>
      </c>
      <c r="C5095" t="s">
        <v>6878</v>
      </c>
      <c r="D5095" t="s">
        <v>4076</v>
      </c>
      <c r="E5095" t="s">
        <v>9252</v>
      </c>
      <c r="F5095" t="s">
        <v>8557</v>
      </c>
      <c r="G5095" t="s">
        <v>8558</v>
      </c>
      <c r="H5095" t="s">
        <v>4077</v>
      </c>
      <c r="J5095">
        <v>39000</v>
      </c>
      <c r="L5095" t="s">
        <v>5949</v>
      </c>
    </row>
    <row r="5096" spans="1:12" x14ac:dyDescent="0.35">
      <c r="A5096" t="s">
        <v>3115</v>
      </c>
      <c r="B5096" s="1">
        <v>45727</v>
      </c>
      <c r="C5096" t="s">
        <v>6872</v>
      </c>
      <c r="D5096" t="s">
        <v>4078</v>
      </c>
      <c r="E5096" t="s">
        <v>9253</v>
      </c>
      <c r="F5096" t="s">
        <v>6802</v>
      </c>
      <c r="H5096" t="s">
        <v>4079</v>
      </c>
      <c r="K5096">
        <v>6035</v>
      </c>
      <c r="L5096" t="s">
        <v>6803</v>
      </c>
    </row>
    <row r="5097" spans="1:12" x14ac:dyDescent="0.35">
      <c r="A5097" t="s">
        <v>3115</v>
      </c>
      <c r="B5097" s="1">
        <v>45727</v>
      </c>
      <c r="C5097" t="s">
        <v>6872</v>
      </c>
      <c r="D5097" t="s">
        <v>4078</v>
      </c>
      <c r="E5097" t="s">
        <v>9253</v>
      </c>
      <c r="F5097" t="s">
        <v>8537</v>
      </c>
      <c r="G5097" t="s">
        <v>8538</v>
      </c>
      <c r="H5097" t="s">
        <v>4079</v>
      </c>
      <c r="J5097">
        <v>6035</v>
      </c>
      <c r="L5097" t="s">
        <v>5966</v>
      </c>
    </row>
    <row r="5098" spans="1:12" x14ac:dyDescent="0.35">
      <c r="A5098" t="s">
        <v>3115</v>
      </c>
      <c r="B5098" s="1">
        <v>45727</v>
      </c>
      <c r="C5098" t="s">
        <v>7006</v>
      </c>
      <c r="D5098" t="s">
        <v>4080</v>
      </c>
      <c r="E5098" t="s">
        <v>9254</v>
      </c>
      <c r="F5098" t="s">
        <v>6802</v>
      </c>
      <c r="H5098" t="s">
        <v>4081</v>
      </c>
      <c r="K5098">
        <v>298</v>
      </c>
      <c r="L5098" t="s">
        <v>6803</v>
      </c>
    </row>
    <row r="5099" spans="1:12" x14ac:dyDescent="0.35">
      <c r="A5099" t="s">
        <v>3115</v>
      </c>
      <c r="B5099" s="1">
        <v>45727</v>
      </c>
      <c r="C5099" t="s">
        <v>7006</v>
      </c>
      <c r="D5099" t="s">
        <v>4080</v>
      </c>
      <c r="E5099" t="s">
        <v>9254</v>
      </c>
      <c r="F5099" t="s">
        <v>8537</v>
      </c>
      <c r="G5099" t="s">
        <v>8538</v>
      </c>
      <c r="H5099" t="s">
        <v>4081</v>
      </c>
      <c r="J5099">
        <v>298</v>
      </c>
      <c r="L5099" t="s">
        <v>5966</v>
      </c>
    </row>
    <row r="5100" spans="1:12" x14ac:dyDescent="0.35">
      <c r="A5100" t="s">
        <v>3115</v>
      </c>
      <c r="B5100" s="1">
        <v>45727</v>
      </c>
      <c r="C5100" t="s">
        <v>6883</v>
      </c>
      <c r="D5100" t="s">
        <v>4082</v>
      </c>
      <c r="E5100" t="s">
        <v>9254</v>
      </c>
      <c r="F5100" t="s">
        <v>6811</v>
      </c>
      <c r="H5100" t="s">
        <v>4083</v>
      </c>
      <c r="K5100">
        <v>6900</v>
      </c>
      <c r="L5100" t="s">
        <v>6803</v>
      </c>
    </row>
    <row r="5101" spans="1:12" x14ac:dyDescent="0.35">
      <c r="A5101" t="s">
        <v>3115</v>
      </c>
      <c r="B5101" s="1">
        <v>45727</v>
      </c>
      <c r="C5101" t="s">
        <v>6883</v>
      </c>
      <c r="D5101" t="s">
        <v>4082</v>
      </c>
      <c r="E5101" t="s">
        <v>9254</v>
      </c>
      <c r="F5101" t="s">
        <v>6802</v>
      </c>
      <c r="H5101" t="s">
        <v>4083</v>
      </c>
      <c r="K5101">
        <v>804</v>
      </c>
      <c r="L5101" t="s">
        <v>6803</v>
      </c>
    </row>
    <row r="5102" spans="1:12" x14ac:dyDescent="0.35">
      <c r="A5102" t="s">
        <v>3115</v>
      </c>
      <c r="B5102" s="1">
        <v>45727</v>
      </c>
      <c r="C5102" t="s">
        <v>6883</v>
      </c>
      <c r="D5102" t="s">
        <v>4082</v>
      </c>
      <c r="E5102" t="s">
        <v>9254</v>
      </c>
      <c r="F5102" t="s">
        <v>8557</v>
      </c>
      <c r="G5102" t="s">
        <v>8558</v>
      </c>
      <c r="H5102" t="s">
        <v>4083</v>
      </c>
      <c r="J5102">
        <v>7704</v>
      </c>
      <c r="L5102" t="s">
        <v>5966</v>
      </c>
    </row>
    <row r="5103" spans="1:12" x14ac:dyDescent="0.35">
      <c r="A5103" t="s">
        <v>3115</v>
      </c>
      <c r="B5103" s="1">
        <v>45727</v>
      </c>
      <c r="C5103" t="s">
        <v>6886</v>
      </c>
      <c r="D5103" t="s">
        <v>4084</v>
      </c>
      <c r="E5103" t="s">
        <v>9255</v>
      </c>
      <c r="F5103" t="s">
        <v>6811</v>
      </c>
      <c r="H5103" t="s">
        <v>4085</v>
      </c>
      <c r="K5103">
        <v>7683</v>
      </c>
      <c r="L5103" t="s">
        <v>6803</v>
      </c>
    </row>
    <row r="5104" spans="1:12" x14ac:dyDescent="0.35">
      <c r="A5104" t="s">
        <v>3115</v>
      </c>
      <c r="B5104" s="1">
        <v>45727</v>
      </c>
      <c r="C5104" t="s">
        <v>6886</v>
      </c>
      <c r="D5104" t="s">
        <v>4084</v>
      </c>
      <c r="E5104" t="s">
        <v>9255</v>
      </c>
      <c r="F5104" t="s">
        <v>8557</v>
      </c>
      <c r="G5104" t="s">
        <v>8558</v>
      </c>
      <c r="H5104" t="s">
        <v>4085</v>
      </c>
      <c r="J5104">
        <v>7683</v>
      </c>
      <c r="L5104" t="s">
        <v>6012</v>
      </c>
    </row>
    <row r="5105" spans="1:12" x14ac:dyDescent="0.35">
      <c r="A5105" t="s">
        <v>3115</v>
      </c>
      <c r="B5105" s="1">
        <v>45727</v>
      </c>
      <c r="C5105" t="s">
        <v>6888</v>
      </c>
      <c r="D5105" t="s">
        <v>4086</v>
      </c>
      <c r="E5105" t="s">
        <v>9256</v>
      </c>
      <c r="F5105" t="s">
        <v>6802</v>
      </c>
      <c r="H5105" t="s">
        <v>4087</v>
      </c>
      <c r="K5105">
        <v>1443</v>
      </c>
      <c r="L5105" t="s">
        <v>6803</v>
      </c>
    </row>
    <row r="5106" spans="1:12" x14ac:dyDescent="0.35">
      <c r="A5106" t="s">
        <v>3115</v>
      </c>
      <c r="B5106" s="1">
        <v>45727</v>
      </c>
      <c r="C5106" t="s">
        <v>6888</v>
      </c>
      <c r="D5106" t="s">
        <v>4086</v>
      </c>
      <c r="E5106" t="s">
        <v>9256</v>
      </c>
      <c r="F5106" t="s">
        <v>8537</v>
      </c>
      <c r="G5106" t="s">
        <v>8538</v>
      </c>
      <c r="H5106" t="s">
        <v>4087</v>
      </c>
      <c r="J5106">
        <v>1443</v>
      </c>
      <c r="L5106" t="s">
        <v>5875</v>
      </c>
    </row>
    <row r="5107" spans="1:12" x14ac:dyDescent="0.35">
      <c r="A5107" t="s">
        <v>3115</v>
      </c>
      <c r="B5107" s="1">
        <v>45727</v>
      </c>
      <c r="C5107" t="s">
        <v>6890</v>
      </c>
      <c r="D5107" t="s">
        <v>4088</v>
      </c>
      <c r="E5107" t="s">
        <v>9257</v>
      </c>
      <c r="F5107" t="s">
        <v>6802</v>
      </c>
      <c r="H5107" t="s">
        <v>4089</v>
      </c>
      <c r="K5107">
        <v>11021</v>
      </c>
      <c r="L5107" t="s">
        <v>6803</v>
      </c>
    </row>
    <row r="5108" spans="1:12" x14ac:dyDescent="0.35">
      <c r="A5108" t="s">
        <v>3115</v>
      </c>
      <c r="B5108" s="1">
        <v>45727</v>
      </c>
      <c r="C5108" t="s">
        <v>6890</v>
      </c>
      <c r="D5108" t="s">
        <v>4088</v>
      </c>
      <c r="E5108" t="s">
        <v>9257</v>
      </c>
      <c r="F5108" t="s">
        <v>8537</v>
      </c>
      <c r="G5108" t="s">
        <v>8538</v>
      </c>
      <c r="H5108" t="s">
        <v>4089</v>
      </c>
      <c r="J5108">
        <v>11021</v>
      </c>
      <c r="L5108" t="s">
        <v>5876</v>
      </c>
    </row>
    <row r="5109" spans="1:12" x14ac:dyDescent="0.35">
      <c r="A5109" t="s">
        <v>3115</v>
      </c>
      <c r="B5109" s="1">
        <v>45727</v>
      </c>
      <c r="C5109" t="s">
        <v>6892</v>
      </c>
      <c r="D5109" t="s">
        <v>4090</v>
      </c>
      <c r="E5109" t="s">
        <v>9258</v>
      </c>
      <c r="F5109" t="s">
        <v>6915</v>
      </c>
      <c r="H5109" t="s">
        <v>4091</v>
      </c>
      <c r="K5109">
        <v>20250</v>
      </c>
      <c r="L5109" t="s">
        <v>6803</v>
      </c>
    </row>
    <row r="5110" spans="1:12" x14ac:dyDescent="0.35">
      <c r="A5110" t="s">
        <v>3115</v>
      </c>
      <c r="B5110" s="1">
        <v>45727</v>
      </c>
      <c r="C5110" t="s">
        <v>6892</v>
      </c>
      <c r="D5110" t="s">
        <v>4090</v>
      </c>
      <c r="E5110" t="s">
        <v>9258</v>
      </c>
      <c r="F5110" t="s">
        <v>8569</v>
      </c>
      <c r="G5110" t="s">
        <v>8570</v>
      </c>
      <c r="H5110" t="s">
        <v>4091</v>
      </c>
      <c r="J5110">
        <v>20250</v>
      </c>
      <c r="L5110" t="s">
        <v>5905</v>
      </c>
    </row>
    <row r="5111" spans="1:12" x14ac:dyDescent="0.35">
      <c r="A5111" t="s">
        <v>3115</v>
      </c>
      <c r="B5111" s="1">
        <v>45727</v>
      </c>
      <c r="C5111" t="s">
        <v>7008</v>
      </c>
      <c r="D5111" t="s">
        <v>4092</v>
      </c>
      <c r="E5111" t="s">
        <v>9259</v>
      </c>
      <c r="F5111" t="s">
        <v>6915</v>
      </c>
      <c r="H5111" t="s">
        <v>4093</v>
      </c>
      <c r="K5111">
        <v>40500</v>
      </c>
      <c r="L5111" t="s">
        <v>6803</v>
      </c>
    </row>
    <row r="5112" spans="1:12" x14ac:dyDescent="0.35">
      <c r="A5112" t="s">
        <v>3115</v>
      </c>
      <c r="B5112" s="1">
        <v>45727</v>
      </c>
      <c r="C5112" t="s">
        <v>7008</v>
      </c>
      <c r="D5112" t="s">
        <v>4092</v>
      </c>
      <c r="E5112" t="s">
        <v>9259</v>
      </c>
      <c r="F5112" t="s">
        <v>8569</v>
      </c>
      <c r="G5112" t="s">
        <v>8570</v>
      </c>
      <c r="H5112" t="s">
        <v>4093</v>
      </c>
      <c r="J5112">
        <v>40500</v>
      </c>
      <c r="L5112" t="s">
        <v>5905</v>
      </c>
    </row>
    <row r="5113" spans="1:12" x14ac:dyDescent="0.35">
      <c r="A5113" t="s">
        <v>3115</v>
      </c>
      <c r="B5113" s="1">
        <v>45727</v>
      </c>
      <c r="C5113" t="s">
        <v>6894</v>
      </c>
      <c r="D5113" t="s">
        <v>4094</v>
      </c>
      <c r="E5113" t="s">
        <v>9257</v>
      </c>
      <c r="F5113" t="s">
        <v>6802</v>
      </c>
      <c r="H5113" t="s">
        <v>4095</v>
      </c>
      <c r="K5113">
        <v>1314</v>
      </c>
      <c r="L5113" t="s">
        <v>6803</v>
      </c>
    </row>
    <row r="5114" spans="1:12" x14ac:dyDescent="0.35">
      <c r="A5114" t="s">
        <v>3115</v>
      </c>
      <c r="B5114" s="1">
        <v>45727</v>
      </c>
      <c r="C5114" t="s">
        <v>6894</v>
      </c>
      <c r="D5114" t="s">
        <v>4094</v>
      </c>
      <c r="E5114" t="s">
        <v>9257</v>
      </c>
      <c r="F5114" t="s">
        <v>8557</v>
      </c>
      <c r="G5114" t="s">
        <v>8558</v>
      </c>
      <c r="H5114" t="s">
        <v>4095</v>
      </c>
      <c r="J5114">
        <v>1314</v>
      </c>
      <c r="L5114" t="s">
        <v>5876</v>
      </c>
    </row>
    <row r="5115" spans="1:12" x14ac:dyDescent="0.35">
      <c r="A5115" t="s">
        <v>3115</v>
      </c>
      <c r="B5115" s="1">
        <v>45727</v>
      </c>
      <c r="C5115" t="s">
        <v>6896</v>
      </c>
      <c r="D5115" t="s">
        <v>4096</v>
      </c>
      <c r="E5115" t="s">
        <v>9260</v>
      </c>
      <c r="F5115" t="s">
        <v>6802</v>
      </c>
      <c r="H5115" t="s">
        <v>4097</v>
      </c>
      <c r="K5115">
        <v>1837</v>
      </c>
      <c r="L5115" t="s">
        <v>6803</v>
      </c>
    </row>
    <row r="5116" spans="1:12" x14ac:dyDescent="0.35">
      <c r="A5116" t="s">
        <v>3115</v>
      </c>
      <c r="B5116" s="1">
        <v>45727</v>
      </c>
      <c r="C5116" t="s">
        <v>6896</v>
      </c>
      <c r="D5116" t="s">
        <v>4096</v>
      </c>
      <c r="E5116" t="s">
        <v>9260</v>
      </c>
      <c r="F5116" t="s">
        <v>8537</v>
      </c>
      <c r="G5116" t="s">
        <v>8538</v>
      </c>
      <c r="H5116" t="s">
        <v>4097</v>
      </c>
      <c r="J5116">
        <v>1837</v>
      </c>
      <c r="L5116" t="s">
        <v>5875</v>
      </c>
    </row>
    <row r="5117" spans="1:12" x14ac:dyDescent="0.35">
      <c r="A5117" t="s">
        <v>3115</v>
      </c>
      <c r="B5117" s="1">
        <v>45727</v>
      </c>
      <c r="C5117" t="s">
        <v>7010</v>
      </c>
      <c r="D5117" t="s">
        <v>4098</v>
      </c>
      <c r="E5117" t="s">
        <v>9261</v>
      </c>
      <c r="F5117" t="s">
        <v>6802</v>
      </c>
      <c r="H5117" t="s">
        <v>4099</v>
      </c>
      <c r="K5117">
        <v>7741</v>
      </c>
      <c r="L5117" t="s">
        <v>6803</v>
      </c>
    </row>
    <row r="5118" spans="1:12" x14ac:dyDescent="0.35">
      <c r="A5118" t="s">
        <v>3115</v>
      </c>
      <c r="B5118" s="1">
        <v>45727</v>
      </c>
      <c r="C5118" t="s">
        <v>7010</v>
      </c>
      <c r="D5118" t="s">
        <v>4098</v>
      </c>
      <c r="E5118" t="s">
        <v>9261</v>
      </c>
      <c r="F5118" t="s">
        <v>8537</v>
      </c>
      <c r="G5118" t="s">
        <v>8538</v>
      </c>
      <c r="H5118" t="s">
        <v>4099</v>
      </c>
      <c r="J5118">
        <v>7741</v>
      </c>
      <c r="L5118" t="s">
        <v>5876</v>
      </c>
    </row>
    <row r="5119" spans="1:12" x14ac:dyDescent="0.35">
      <c r="A5119" t="s">
        <v>3115</v>
      </c>
      <c r="B5119" s="1">
        <v>45727</v>
      </c>
      <c r="C5119" t="s">
        <v>7012</v>
      </c>
      <c r="D5119" t="s">
        <v>4100</v>
      </c>
      <c r="E5119" t="s">
        <v>9262</v>
      </c>
      <c r="F5119" t="s">
        <v>6811</v>
      </c>
      <c r="H5119" t="s">
        <v>4101</v>
      </c>
      <c r="K5119">
        <v>4500</v>
      </c>
      <c r="L5119" t="s">
        <v>6803</v>
      </c>
    </row>
    <row r="5120" spans="1:12" x14ac:dyDescent="0.35">
      <c r="A5120" t="s">
        <v>3115</v>
      </c>
      <c r="B5120" s="1">
        <v>45727</v>
      </c>
      <c r="C5120" t="s">
        <v>7012</v>
      </c>
      <c r="D5120" t="s">
        <v>4100</v>
      </c>
      <c r="E5120" t="s">
        <v>9262</v>
      </c>
      <c r="F5120" t="s">
        <v>8557</v>
      </c>
      <c r="G5120" t="s">
        <v>8558</v>
      </c>
      <c r="H5120" t="s">
        <v>4101</v>
      </c>
      <c r="J5120">
        <v>4500</v>
      </c>
      <c r="L5120" t="s">
        <v>5881</v>
      </c>
    </row>
    <row r="5121" spans="1:12" x14ac:dyDescent="0.35">
      <c r="A5121" t="s">
        <v>3115</v>
      </c>
      <c r="B5121" s="1">
        <v>45727</v>
      </c>
      <c r="C5121" t="s">
        <v>6932</v>
      </c>
      <c r="D5121" t="s">
        <v>4102</v>
      </c>
      <c r="E5121" t="s">
        <v>9263</v>
      </c>
      <c r="F5121" t="s">
        <v>6802</v>
      </c>
      <c r="H5121" t="s">
        <v>4103</v>
      </c>
      <c r="K5121">
        <v>1798</v>
      </c>
      <c r="L5121" t="s">
        <v>6803</v>
      </c>
    </row>
    <row r="5122" spans="1:12" x14ac:dyDescent="0.35">
      <c r="A5122" t="s">
        <v>3115</v>
      </c>
      <c r="B5122" s="1">
        <v>45727</v>
      </c>
      <c r="C5122" t="s">
        <v>6932</v>
      </c>
      <c r="D5122" t="s">
        <v>4102</v>
      </c>
      <c r="E5122" t="s">
        <v>9263</v>
      </c>
      <c r="F5122" t="s">
        <v>8557</v>
      </c>
      <c r="G5122" t="s">
        <v>8558</v>
      </c>
      <c r="H5122" t="s">
        <v>4103</v>
      </c>
      <c r="J5122">
        <v>1798</v>
      </c>
      <c r="L5122" t="s">
        <v>5876</v>
      </c>
    </row>
    <row r="5123" spans="1:12" x14ac:dyDescent="0.35">
      <c r="A5123" t="s">
        <v>3115</v>
      </c>
      <c r="B5123" s="1">
        <v>45727</v>
      </c>
      <c r="C5123" t="s">
        <v>6935</v>
      </c>
      <c r="D5123" t="s">
        <v>4104</v>
      </c>
      <c r="E5123" t="s">
        <v>9224</v>
      </c>
      <c r="F5123" t="s">
        <v>6802</v>
      </c>
      <c r="H5123" t="s">
        <v>4105</v>
      </c>
      <c r="K5123">
        <v>5715</v>
      </c>
      <c r="L5123" t="s">
        <v>6803</v>
      </c>
    </row>
    <row r="5124" spans="1:12" x14ac:dyDescent="0.35">
      <c r="A5124" t="s">
        <v>3115</v>
      </c>
      <c r="B5124" s="1">
        <v>45727</v>
      </c>
      <c r="C5124" t="s">
        <v>6935</v>
      </c>
      <c r="D5124" t="s">
        <v>4104</v>
      </c>
      <c r="E5124" t="s">
        <v>9224</v>
      </c>
      <c r="F5124" t="s">
        <v>8467</v>
      </c>
      <c r="G5124" t="s">
        <v>8567</v>
      </c>
      <c r="H5124" t="s">
        <v>4105</v>
      </c>
      <c r="J5124">
        <v>5715</v>
      </c>
      <c r="L5124" t="s">
        <v>5875</v>
      </c>
    </row>
    <row r="5125" spans="1:12" x14ac:dyDescent="0.35">
      <c r="A5125" t="s">
        <v>3115</v>
      </c>
      <c r="B5125" s="1">
        <v>45727</v>
      </c>
      <c r="C5125" t="s">
        <v>6937</v>
      </c>
      <c r="D5125" t="s">
        <v>4106</v>
      </c>
      <c r="E5125" t="s">
        <v>9264</v>
      </c>
      <c r="F5125" t="s">
        <v>6802</v>
      </c>
      <c r="H5125" t="s">
        <v>4107</v>
      </c>
      <c r="K5125">
        <v>6356</v>
      </c>
      <c r="L5125" t="s">
        <v>6803</v>
      </c>
    </row>
    <row r="5126" spans="1:12" x14ac:dyDescent="0.35">
      <c r="A5126" t="s">
        <v>3115</v>
      </c>
      <c r="B5126" s="1">
        <v>45727</v>
      </c>
      <c r="C5126" t="s">
        <v>6937</v>
      </c>
      <c r="D5126" t="s">
        <v>4106</v>
      </c>
      <c r="E5126" t="s">
        <v>9264</v>
      </c>
      <c r="F5126" t="s">
        <v>8467</v>
      </c>
      <c r="G5126" t="s">
        <v>8567</v>
      </c>
      <c r="H5126" t="s">
        <v>4107</v>
      </c>
      <c r="J5126">
        <v>6356</v>
      </c>
      <c r="L5126" t="s">
        <v>5881</v>
      </c>
    </row>
    <row r="5127" spans="1:12" x14ac:dyDescent="0.35">
      <c r="A5127" t="s">
        <v>3115</v>
      </c>
      <c r="B5127" s="1">
        <v>45727</v>
      </c>
      <c r="C5127" t="s">
        <v>6939</v>
      </c>
      <c r="D5127" t="s">
        <v>4108</v>
      </c>
      <c r="E5127" t="s">
        <v>9265</v>
      </c>
      <c r="F5127" t="s">
        <v>6808</v>
      </c>
      <c r="H5127" t="s">
        <v>4109</v>
      </c>
      <c r="K5127">
        <v>3298</v>
      </c>
      <c r="L5127" t="s">
        <v>6803</v>
      </c>
    </row>
    <row r="5128" spans="1:12" x14ac:dyDescent="0.35">
      <c r="A5128" t="s">
        <v>3115</v>
      </c>
      <c r="B5128" s="1">
        <v>45727</v>
      </c>
      <c r="C5128" t="s">
        <v>6939</v>
      </c>
      <c r="D5128" t="s">
        <v>4108</v>
      </c>
      <c r="E5128" t="s">
        <v>9265</v>
      </c>
      <c r="F5128" t="s">
        <v>8467</v>
      </c>
      <c r="G5128" t="s">
        <v>8567</v>
      </c>
      <c r="H5128" t="s">
        <v>4109</v>
      </c>
      <c r="J5128">
        <v>3298</v>
      </c>
      <c r="L5128" t="s">
        <v>5881</v>
      </c>
    </row>
    <row r="5129" spans="1:12" x14ac:dyDescent="0.35">
      <c r="A5129" t="s">
        <v>3115</v>
      </c>
      <c r="B5129" s="1">
        <v>45727</v>
      </c>
      <c r="C5129" t="s">
        <v>6941</v>
      </c>
      <c r="D5129" t="s">
        <v>4110</v>
      </c>
      <c r="E5129" t="s">
        <v>9266</v>
      </c>
      <c r="F5129" t="s">
        <v>6808</v>
      </c>
      <c r="H5129" t="s">
        <v>4111</v>
      </c>
      <c r="K5129">
        <v>2936</v>
      </c>
      <c r="L5129" t="s">
        <v>6803</v>
      </c>
    </row>
    <row r="5130" spans="1:12" x14ac:dyDescent="0.35">
      <c r="A5130" t="s">
        <v>3115</v>
      </c>
      <c r="B5130" s="1">
        <v>45727</v>
      </c>
      <c r="C5130" t="s">
        <v>6941</v>
      </c>
      <c r="D5130" t="s">
        <v>4110</v>
      </c>
      <c r="E5130" t="s">
        <v>9266</v>
      </c>
      <c r="F5130" t="s">
        <v>8467</v>
      </c>
      <c r="G5130" t="s">
        <v>8567</v>
      </c>
      <c r="H5130" t="s">
        <v>4111</v>
      </c>
      <c r="J5130">
        <v>2936</v>
      </c>
      <c r="L5130" t="s">
        <v>6013</v>
      </c>
    </row>
    <row r="5131" spans="1:12" x14ac:dyDescent="0.35">
      <c r="A5131" t="s">
        <v>3115</v>
      </c>
      <c r="B5131" s="1">
        <v>45727</v>
      </c>
      <c r="C5131" t="s">
        <v>6943</v>
      </c>
      <c r="D5131" t="s">
        <v>4112</v>
      </c>
      <c r="E5131" t="s">
        <v>9267</v>
      </c>
      <c r="F5131" t="s">
        <v>6811</v>
      </c>
      <c r="H5131" t="s">
        <v>4113</v>
      </c>
      <c r="K5131">
        <v>13583</v>
      </c>
      <c r="L5131" t="s">
        <v>6803</v>
      </c>
    </row>
    <row r="5132" spans="1:12" x14ac:dyDescent="0.35">
      <c r="A5132" t="s">
        <v>3115</v>
      </c>
      <c r="B5132" s="1">
        <v>45727</v>
      </c>
      <c r="C5132" t="s">
        <v>6943</v>
      </c>
      <c r="D5132" t="s">
        <v>4112</v>
      </c>
      <c r="E5132" t="s">
        <v>9267</v>
      </c>
      <c r="F5132" t="s">
        <v>8557</v>
      </c>
      <c r="G5132" t="s">
        <v>8558</v>
      </c>
      <c r="H5132" t="s">
        <v>4113</v>
      </c>
      <c r="J5132">
        <v>13583</v>
      </c>
      <c r="L5132" t="s">
        <v>5876</v>
      </c>
    </row>
    <row r="5133" spans="1:12" x14ac:dyDescent="0.35">
      <c r="A5133" t="s">
        <v>3115</v>
      </c>
      <c r="B5133" s="1">
        <v>45727</v>
      </c>
      <c r="C5133" t="s">
        <v>6945</v>
      </c>
      <c r="D5133" t="s">
        <v>4114</v>
      </c>
      <c r="E5133" t="s">
        <v>9268</v>
      </c>
      <c r="F5133" t="s">
        <v>6811</v>
      </c>
      <c r="H5133" t="s">
        <v>4115</v>
      </c>
      <c r="K5133">
        <v>3270</v>
      </c>
      <c r="L5133" t="s">
        <v>6803</v>
      </c>
    </row>
    <row r="5134" spans="1:12" x14ac:dyDescent="0.35">
      <c r="A5134" t="s">
        <v>3115</v>
      </c>
      <c r="B5134" s="1">
        <v>45727</v>
      </c>
      <c r="C5134" t="s">
        <v>6945</v>
      </c>
      <c r="D5134" t="s">
        <v>4114</v>
      </c>
      <c r="E5134" t="s">
        <v>9268</v>
      </c>
      <c r="F5134" t="s">
        <v>6802</v>
      </c>
      <c r="H5134" t="s">
        <v>4115</v>
      </c>
      <c r="K5134">
        <v>646</v>
      </c>
      <c r="L5134" t="s">
        <v>6803</v>
      </c>
    </row>
    <row r="5135" spans="1:12" x14ac:dyDescent="0.35">
      <c r="A5135" t="s">
        <v>3115</v>
      </c>
      <c r="B5135" s="1">
        <v>45727</v>
      </c>
      <c r="C5135" t="s">
        <v>6945</v>
      </c>
      <c r="D5135" t="s">
        <v>4114</v>
      </c>
      <c r="E5135" t="s">
        <v>9268</v>
      </c>
      <c r="F5135" t="s">
        <v>8557</v>
      </c>
      <c r="G5135" t="s">
        <v>8558</v>
      </c>
      <c r="H5135" t="s">
        <v>4115</v>
      </c>
      <c r="J5135">
        <v>3916</v>
      </c>
      <c r="L5135" t="s">
        <v>5876</v>
      </c>
    </row>
    <row r="5136" spans="1:12" x14ac:dyDescent="0.35">
      <c r="A5136" t="s">
        <v>3115</v>
      </c>
      <c r="B5136" s="1">
        <v>45728</v>
      </c>
      <c r="C5136" t="s">
        <v>6947</v>
      </c>
      <c r="D5136" t="s">
        <v>4116</v>
      </c>
      <c r="E5136" t="s">
        <v>9269</v>
      </c>
      <c r="F5136" t="s">
        <v>6808</v>
      </c>
      <c r="H5136" t="s">
        <v>4117</v>
      </c>
      <c r="K5136">
        <v>3360</v>
      </c>
      <c r="L5136" t="s">
        <v>6803</v>
      </c>
    </row>
    <row r="5137" spans="1:12" x14ac:dyDescent="0.35">
      <c r="A5137" t="s">
        <v>3115</v>
      </c>
      <c r="B5137" s="1">
        <v>45728</v>
      </c>
      <c r="C5137" t="s">
        <v>6947</v>
      </c>
      <c r="D5137" t="s">
        <v>4116</v>
      </c>
      <c r="E5137" t="s">
        <v>9269</v>
      </c>
      <c r="F5137" t="s">
        <v>8467</v>
      </c>
      <c r="G5137" t="s">
        <v>8567</v>
      </c>
      <c r="H5137" t="s">
        <v>4117</v>
      </c>
      <c r="J5137">
        <v>3360</v>
      </c>
      <c r="L5137" t="s">
        <v>5958</v>
      </c>
    </row>
    <row r="5138" spans="1:12" x14ac:dyDescent="0.35">
      <c r="A5138" t="s">
        <v>3115</v>
      </c>
      <c r="B5138" s="1">
        <v>45728</v>
      </c>
      <c r="C5138" t="s">
        <v>6949</v>
      </c>
      <c r="D5138" t="s">
        <v>4118</v>
      </c>
      <c r="E5138" t="s">
        <v>9270</v>
      </c>
      <c r="F5138" t="s">
        <v>6802</v>
      </c>
      <c r="H5138" t="s">
        <v>4119</v>
      </c>
      <c r="K5138">
        <v>1000</v>
      </c>
      <c r="L5138" t="s">
        <v>6803</v>
      </c>
    </row>
    <row r="5139" spans="1:12" x14ac:dyDescent="0.35">
      <c r="A5139" t="s">
        <v>3115</v>
      </c>
      <c r="B5139" s="1">
        <v>45728</v>
      </c>
      <c r="C5139" t="s">
        <v>6949</v>
      </c>
      <c r="D5139" t="s">
        <v>4118</v>
      </c>
      <c r="E5139" t="s">
        <v>9270</v>
      </c>
      <c r="F5139" t="s">
        <v>8557</v>
      </c>
      <c r="G5139" t="s">
        <v>8558</v>
      </c>
      <c r="H5139" t="s">
        <v>4119</v>
      </c>
      <c r="J5139">
        <v>1000</v>
      </c>
      <c r="L5139" t="s">
        <v>5958</v>
      </c>
    </row>
    <row r="5140" spans="1:12" x14ac:dyDescent="0.35">
      <c r="A5140" t="s">
        <v>3115</v>
      </c>
      <c r="B5140" s="1">
        <v>45728</v>
      </c>
      <c r="C5140" t="s">
        <v>6951</v>
      </c>
      <c r="D5140" t="s">
        <v>4120</v>
      </c>
      <c r="E5140" t="s">
        <v>9271</v>
      </c>
      <c r="F5140" t="s">
        <v>6802</v>
      </c>
      <c r="H5140" t="s">
        <v>4121</v>
      </c>
      <c r="K5140">
        <v>9250</v>
      </c>
      <c r="L5140" t="s">
        <v>6803</v>
      </c>
    </row>
    <row r="5141" spans="1:12" x14ac:dyDescent="0.35">
      <c r="A5141" t="s">
        <v>3115</v>
      </c>
      <c r="B5141" s="1">
        <v>45728</v>
      </c>
      <c r="C5141" t="s">
        <v>6951</v>
      </c>
      <c r="D5141" t="s">
        <v>4120</v>
      </c>
      <c r="E5141" t="s">
        <v>9271</v>
      </c>
      <c r="F5141" t="s">
        <v>8557</v>
      </c>
      <c r="G5141" t="s">
        <v>8558</v>
      </c>
      <c r="H5141" t="s">
        <v>4121</v>
      </c>
      <c r="J5141">
        <v>9250</v>
      </c>
      <c r="L5141" t="s">
        <v>5958</v>
      </c>
    </row>
    <row r="5142" spans="1:12" x14ac:dyDescent="0.35">
      <c r="A5142" t="s">
        <v>3115</v>
      </c>
      <c r="B5142" s="1">
        <v>45728</v>
      </c>
      <c r="C5142" t="s">
        <v>6953</v>
      </c>
      <c r="D5142" t="s">
        <v>4122</v>
      </c>
      <c r="E5142" t="s">
        <v>9272</v>
      </c>
      <c r="F5142" t="s">
        <v>6811</v>
      </c>
      <c r="H5142" t="s">
        <v>4123</v>
      </c>
      <c r="K5142">
        <v>53966</v>
      </c>
      <c r="L5142" t="s">
        <v>6803</v>
      </c>
    </row>
    <row r="5143" spans="1:12" x14ac:dyDescent="0.35">
      <c r="A5143" t="s">
        <v>3115</v>
      </c>
      <c r="B5143" s="1">
        <v>45728</v>
      </c>
      <c r="C5143" t="s">
        <v>6953</v>
      </c>
      <c r="D5143" t="s">
        <v>4122</v>
      </c>
      <c r="E5143" t="s">
        <v>9272</v>
      </c>
      <c r="F5143" t="s">
        <v>8557</v>
      </c>
      <c r="G5143" t="s">
        <v>8558</v>
      </c>
      <c r="H5143" t="s">
        <v>4123</v>
      </c>
      <c r="J5143">
        <v>53966</v>
      </c>
      <c r="L5143" t="s">
        <v>5949</v>
      </c>
    </row>
    <row r="5144" spans="1:12" x14ac:dyDescent="0.35">
      <c r="A5144" t="s">
        <v>3115</v>
      </c>
      <c r="B5144" s="1">
        <v>45728</v>
      </c>
      <c r="C5144" t="s">
        <v>6955</v>
      </c>
      <c r="D5144" t="s">
        <v>4124</v>
      </c>
      <c r="E5144" t="s">
        <v>9273</v>
      </c>
      <c r="F5144" t="s">
        <v>6811</v>
      </c>
      <c r="H5144" t="s">
        <v>4125</v>
      </c>
      <c r="K5144">
        <v>13583</v>
      </c>
      <c r="L5144" t="s">
        <v>6803</v>
      </c>
    </row>
    <row r="5145" spans="1:12" x14ac:dyDescent="0.35">
      <c r="A5145" t="s">
        <v>3115</v>
      </c>
      <c r="B5145" s="1">
        <v>45728</v>
      </c>
      <c r="C5145" t="s">
        <v>6955</v>
      </c>
      <c r="D5145" t="s">
        <v>4124</v>
      </c>
      <c r="E5145" t="s">
        <v>9273</v>
      </c>
      <c r="F5145" t="s">
        <v>8557</v>
      </c>
      <c r="G5145" t="s">
        <v>8558</v>
      </c>
      <c r="H5145" t="s">
        <v>4125</v>
      </c>
      <c r="J5145">
        <v>13583</v>
      </c>
      <c r="L5145" t="s">
        <v>5876</v>
      </c>
    </row>
    <row r="5146" spans="1:12" x14ac:dyDescent="0.35">
      <c r="A5146" t="s">
        <v>3115</v>
      </c>
      <c r="B5146" s="1">
        <v>45728</v>
      </c>
      <c r="C5146" t="s">
        <v>6957</v>
      </c>
      <c r="D5146" t="s">
        <v>4126</v>
      </c>
      <c r="E5146" t="s">
        <v>9274</v>
      </c>
      <c r="F5146" t="s">
        <v>6811</v>
      </c>
      <c r="H5146" t="s">
        <v>4127</v>
      </c>
      <c r="K5146">
        <v>8400</v>
      </c>
      <c r="L5146" t="s">
        <v>6803</v>
      </c>
    </row>
    <row r="5147" spans="1:12" x14ac:dyDescent="0.35">
      <c r="A5147" t="s">
        <v>3115</v>
      </c>
      <c r="B5147" s="1">
        <v>45728</v>
      </c>
      <c r="C5147" t="s">
        <v>6957</v>
      </c>
      <c r="D5147" t="s">
        <v>4126</v>
      </c>
      <c r="E5147" t="s">
        <v>9274</v>
      </c>
      <c r="F5147" t="s">
        <v>8557</v>
      </c>
      <c r="G5147" t="s">
        <v>8558</v>
      </c>
      <c r="H5147" t="s">
        <v>4127</v>
      </c>
      <c r="J5147">
        <v>8400</v>
      </c>
      <c r="L5147" t="s">
        <v>5880</v>
      </c>
    </row>
    <row r="5148" spans="1:12" x14ac:dyDescent="0.35">
      <c r="A5148" t="s">
        <v>3115</v>
      </c>
      <c r="B5148" s="1">
        <v>45728</v>
      </c>
      <c r="C5148" t="s">
        <v>6959</v>
      </c>
      <c r="D5148" t="s">
        <v>4128</v>
      </c>
      <c r="E5148" t="s">
        <v>9275</v>
      </c>
      <c r="F5148" t="s">
        <v>6802</v>
      </c>
      <c r="H5148" t="s">
        <v>4129</v>
      </c>
      <c r="K5148">
        <v>2493</v>
      </c>
      <c r="L5148" t="s">
        <v>6803</v>
      </c>
    </row>
    <row r="5149" spans="1:12" x14ac:dyDescent="0.35">
      <c r="A5149" t="s">
        <v>3115</v>
      </c>
      <c r="B5149" s="1">
        <v>45728</v>
      </c>
      <c r="C5149" t="s">
        <v>6959</v>
      </c>
      <c r="D5149" t="s">
        <v>4128</v>
      </c>
      <c r="E5149" t="s">
        <v>9275</v>
      </c>
      <c r="F5149" t="s">
        <v>8537</v>
      </c>
      <c r="G5149" t="s">
        <v>8538</v>
      </c>
      <c r="H5149" t="s">
        <v>4129</v>
      </c>
      <c r="J5149">
        <v>2493</v>
      </c>
      <c r="L5149" t="s">
        <v>5875</v>
      </c>
    </row>
    <row r="5150" spans="1:12" x14ac:dyDescent="0.35">
      <c r="A5150" t="s">
        <v>3115</v>
      </c>
      <c r="B5150" s="1">
        <v>45728</v>
      </c>
      <c r="C5150" t="s">
        <v>6961</v>
      </c>
      <c r="D5150" t="s">
        <v>4130</v>
      </c>
      <c r="E5150" t="s">
        <v>9276</v>
      </c>
      <c r="F5150" t="s">
        <v>6802</v>
      </c>
      <c r="H5150" t="s">
        <v>4131</v>
      </c>
      <c r="K5150">
        <v>1181</v>
      </c>
      <c r="L5150" t="s">
        <v>6803</v>
      </c>
    </row>
    <row r="5151" spans="1:12" x14ac:dyDescent="0.35">
      <c r="A5151" t="s">
        <v>3115</v>
      </c>
      <c r="B5151" s="1">
        <v>45728</v>
      </c>
      <c r="C5151" t="s">
        <v>6961</v>
      </c>
      <c r="D5151" t="s">
        <v>4130</v>
      </c>
      <c r="E5151" t="s">
        <v>9276</v>
      </c>
      <c r="F5151" t="s">
        <v>8537</v>
      </c>
      <c r="G5151" t="s">
        <v>8538</v>
      </c>
      <c r="H5151" t="s">
        <v>4131</v>
      </c>
      <c r="J5151">
        <v>1181</v>
      </c>
      <c r="L5151" t="s">
        <v>5881</v>
      </c>
    </row>
    <row r="5152" spans="1:12" x14ac:dyDescent="0.35">
      <c r="A5152" t="s">
        <v>3115</v>
      </c>
      <c r="B5152" s="1">
        <v>45728</v>
      </c>
      <c r="C5152" t="s">
        <v>6963</v>
      </c>
      <c r="D5152" t="s">
        <v>4132</v>
      </c>
      <c r="E5152" t="s">
        <v>9277</v>
      </c>
      <c r="F5152" t="s">
        <v>6802</v>
      </c>
      <c r="H5152" t="s">
        <v>4133</v>
      </c>
      <c r="K5152">
        <v>525</v>
      </c>
      <c r="L5152" t="s">
        <v>6803</v>
      </c>
    </row>
    <row r="5153" spans="1:12" x14ac:dyDescent="0.35">
      <c r="A5153" t="s">
        <v>3115</v>
      </c>
      <c r="B5153" s="1">
        <v>45728</v>
      </c>
      <c r="C5153" t="s">
        <v>6963</v>
      </c>
      <c r="D5153" t="s">
        <v>4132</v>
      </c>
      <c r="E5153" t="s">
        <v>9277</v>
      </c>
      <c r="F5153" t="s">
        <v>8537</v>
      </c>
      <c r="G5153" t="s">
        <v>8538</v>
      </c>
      <c r="H5153" t="s">
        <v>4133</v>
      </c>
      <c r="J5153">
        <v>525</v>
      </c>
      <c r="L5153" t="s">
        <v>5875</v>
      </c>
    </row>
    <row r="5154" spans="1:12" x14ac:dyDescent="0.35">
      <c r="A5154" t="s">
        <v>3115</v>
      </c>
      <c r="B5154" s="1">
        <v>45728</v>
      </c>
      <c r="C5154" t="s">
        <v>6965</v>
      </c>
      <c r="D5154" t="s">
        <v>4134</v>
      </c>
      <c r="E5154" t="s">
        <v>9278</v>
      </c>
      <c r="F5154" t="s">
        <v>6811</v>
      </c>
      <c r="H5154" t="s">
        <v>4135</v>
      </c>
      <c r="K5154">
        <v>4500</v>
      </c>
      <c r="L5154" t="s">
        <v>6803</v>
      </c>
    </row>
    <row r="5155" spans="1:12" x14ac:dyDescent="0.35">
      <c r="A5155" t="s">
        <v>3115</v>
      </c>
      <c r="B5155" s="1">
        <v>45728</v>
      </c>
      <c r="C5155" t="s">
        <v>6965</v>
      </c>
      <c r="D5155" t="s">
        <v>4134</v>
      </c>
      <c r="E5155" t="s">
        <v>9278</v>
      </c>
      <c r="F5155" t="s">
        <v>8557</v>
      </c>
      <c r="G5155" t="s">
        <v>8558</v>
      </c>
      <c r="H5155" t="s">
        <v>4135</v>
      </c>
      <c r="J5155">
        <v>4500</v>
      </c>
      <c r="L5155" t="s">
        <v>5949</v>
      </c>
    </row>
    <row r="5156" spans="1:12" x14ac:dyDescent="0.35">
      <c r="A5156" t="s">
        <v>3115</v>
      </c>
      <c r="B5156" s="1">
        <v>45728</v>
      </c>
      <c r="C5156" t="s">
        <v>6967</v>
      </c>
      <c r="D5156" t="s">
        <v>4136</v>
      </c>
      <c r="E5156" t="s">
        <v>9279</v>
      </c>
      <c r="F5156" t="s">
        <v>6802</v>
      </c>
      <c r="H5156" t="s">
        <v>4137</v>
      </c>
      <c r="K5156">
        <v>6500</v>
      </c>
      <c r="L5156" t="s">
        <v>6803</v>
      </c>
    </row>
    <row r="5157" spans="1:12" x14ac:dyDescent="0.35">
      <c r="A5157" t="s">
        <v>3115</v>
      </c>
      <c r="B5157" s="1">
        <v>45728</v>
      </c>
      <c r="C5157" t="s">
        <v>6967</v>
      </c>
      <c r="D5157" t="s">
        <v>4136</v>
      </c>
      <c r="E5157" t="s">
        <v>9279</v>
      </c>
      <c r="F5157" t="s">
        <v>8557</v>
      </c>
      <c r="G5157" t="s">
        <v>8558</v>
      </c>
      <c r="H5157" t="s">
        <v>4137</v>
      </c>
      <c r="J5157">
        <v>6500</v>
      </c>
      <c r="L5157" t="s">
        <v>5880</v>
      </c>
    </row>
    <row r="5158" spans="1:12" x14ac:dyDescent="0.35">
      <c r="A5158" t="s">
        <v>3115</v>
      </c>
      <c r="B5158" s="1">
        <v>45728</v>
      </c>
      <c r="C5158" t="s">
        <v>6969</v>
      </c>
      <c r="D5158" t="s">
        <v>4138</v>
      </c>
      <c r="E5158" t="s">
        <v>9280</v>
      </c>
      <c r="F5158" t="s">
        <v>6802</v>
      </c>
      <c r="H5158" t="s">
        <v>4139</v>
      </c>
      <c r="K5158">
        <v>6166</v>
      </c>
      <c r="L5158" t="s">
        <v>6803</v>
      </c>
    </row>
    <row r="5159" spans="1:12" x14ac:dyDescent="0.35">
      <c r="A5159" t="s">
        <v>3115</v>
      </c>
      <c r="B5159" s="1">
        <v>45728</v>
      </c>
      <c r="C5159" t="s">
        <v>6969</v>
      </c>
      <c r="D5159" t="s">
        <v>4138</v>
      </c>
      <c r="E5159" t="s">
        <v>9280</v>
      </c>
      <c r="F5159" t="s">
        <v>8537</v>
      </c>
      <c r="G5159" t="s">
        <v>8538</v>
      </c>
      <c r="H5159" t="s">
        <v>4139</v>
      </c>
      <c r="J5159">
        <v>6166</v>
      </c>
      <c r="L5159" t="s">
        <v>5874</v>
      </c>
    </row>
    <row r="5160" spans="1:12" x14ac:dyDescent="0.35">
      <c r="A5160" t="s">
        <v>3115</v>
      </c>
      <c r="B5160" s="1">
        <v>45728</v>
      </c>
      <c r="C5160" t="s">
        <v>6971</v>
      </c>
      <c r="D5160" t="s">
        <v>4140</v>
      </c>
      <c r="E5160" t="s">
        <v>9281</v>
      </c>
      <c r="F5160" t="s">
        <v>6811</v>
      </c>
      <c r="H5160" t="s">
        <v>4141</v>
      </c>
      <c r="K5160">
        <v>196</v>
      </c>
      <c r="L5160" t="s">
        <v>6803</v>
      </c>
    </row>
    <row r="5161" spans="1:12" x14ac:dyDescent="0.35">
      <c r="A5161" t="s">
        <v>3115</v>
      </c>
      <c r="B5161" s="1">
        <v>45728</v>
      </c>
      <c r="C5161" t="s">
        <v>6971</v>
      </c>
      <c r="D5161" t="s">
        <v>4140</v>
      </c>
      <c r="E5161" t="s">
        <v>9281</v>
      </c>
      <c r="F5161" t="s">
        <v>8557</v>
      </c>
      <c r="G5161" t="s">
        <v>8558</v>
      </c>
      <c r="H5161" t="s">
        <v>4141</v>
      </c>
      <c r="J5161">
        <v>196</v>
      </c>
      <c r="L5161" t="s">
        <v>5874</v>
      </c>
    </row>
    <row r="5162" spans="1:12" x14ac:dyDescent="0.35">
      <c r="A5162" t="s">
        <v>3115</v>
      </c>
      <c r="B5162" s="1">
        <v>45728</v>
      </c>
      <c r="C5162" t="s">
        <v>6973</v>
      </c>
      <c r="D5162" t="s">
        <v>4142</v>
      </c>
      <c r="E5162" t="s">
        <v>9282</v>
      </c>
      <c r="F5162" t="s">
        <v>6811</v>
      </c>
      <c r="H5162" t="s">
        <v>4143</v>
      </c>
      <c r="K5162">
        <v>1500</v>
      </c>
      <c r="L5162" t="s">
        <v>6803</v>
      </c>
    </row>
    <row r="5163" spans="1:12" x14ac:dyDescent="0.35">
      <c r="A5163" t="s">
        <v>3115</v>
      </c>
      <c r="B5163" s="1">
        <v>45728</v>
      </c>
      <c r="C5163" t="s">
        <v>6973</v>
      </c>
      <c r="D5163" t="s">
        <v>4142</v>
      </c>
      <c r="E5163" t="s">
        <v>9282</v>
      </c>
      <c r="F5163" t="s">
        <v>8557</v>
      </c>
      <c r="G5163" t="s">
        <v>8558</v>
      </c>
      <c r="H5163" t="s">
        <v>4143</v>
      </c>
      <c r="J5163">
        <v>1500</v>
      </c>
      <c r="L5163" t="s">
        <v>5876</v>
      </c>
    </row>
    <row r="5164" spans="1:12" x14ac:dyDescent="0.35">
      <c r="A5164" t="s">
        <v>3115</v>
      </c>
      <c r="B5164" s="1">
        <v>45728</v>
      </c>
      <c r="C5164" t="s">
        <v>6975</v>
      </c>
      <c r="D5164" t="s">
        <v>4144</v>
      </c>
      <c r="E5164" t="s">
        <v>9283</v>
      </c>
      <c r="F5164" t="s">
        <v>6808</v>
      </c>
      <c r="H5164" t="s">
        <v>4145</v>
      </c>
      <c r="K5164">
        <v>39200</v>
      </c>
      <c r="L5164" t="s">
        <v>6803</v>
      </c>
    </row>
    <row r="5165" spans="1:12" x14ac:dyDescent="0.35">
      <c r="A5165" t="s">
        <v>3115</v>
      </c>
      <c r="B5165" s="1">
        <v>45728</v>
      </c>
      <c r="C5165" t="s">
        <v>6975</v>
      </c>
      <c r="D5165" t="s">
        <v>4144</v>
      </c>
      <c r="E5165" t="s">
        <v>9283</v>
      </c>
      <c r="F5165" t="s">
        <v>8557</v>
      </c>
      <c r="G5165" t="s">
        <v>8558</v>
      </c>
      <c r="H5165" t="s">
        <v>4145</v>
      </c>
      <c r="J5165">
        <v>39200</v>
      </c>
      <c r="L5165" t="s">
        <v>5880</v>
      </c>
    </row>
    <row r="5166" spans="1:12" x14ac:dyDescent="0.35">
      <c r="A5166" t="s">
        <v>3115</v>
      </c>
      <c r="B5166" s="1">
        <v>45728</v>
      </c>
      <c r="C5166" t="s">
        <v>6977</v>
      </c>
      <c r="D5166" t="s">
        <v>4146</v>
      </c>
      <c r="E5166" t="s">
        <v>9284</v>
      </c>
      <c r="F5166" t="s">
        <v>6802</v>
      </c>
      <c r="H5166" t="s">
        <v>4147</v>
      </c>
      <c r="K5166">
        <v>1640</v>
      </c>
      <c r="L5166" t="s">
        <v>6803</v>
      </c>
    </row>
    <row r="5167" spans="1:12" x14ac:dyDescent="0.35">
      <c r="A5167" t="s">
        <v>3115</v>
      </c>
      <c r="B5167" s="1">
        <v>45728</v>
      </c>
      <c r="C5167" t="s">
        <v>6977</v>
      </c>
      <c r="D5167" t="s">
        <v>4146</v>
      </c>
      <c r="E5167" t="s">
        <v>9284</v>
      </c>
      <c r="F5167" t="s">
        <v>8537</v>
      </c>
      <c r="G5167" t="s">
        <v>8538</v>
      </c>
      <c r="H5167" t="s">
        <v>4147</v>
      </c>
      <c r="J5167">
        <v>1640</v>
      </c>
      <c r="L5167" t="s">
        <v>5875</v>
      </c>
    </row>
    <row r="5168" spans="1:12" x14ac:dyDescent="0.35">
      <c r="A5168" t="s">
        <v>3115</v>
      </c>
      <c r="B5168" s="1">
        <v>45728</v>
      </c>
      <c r="C5168" t="s">
        <v>7014</v>
      </c>
      <c r="D5168" t="s">
        <v>4148</v>
      </c>
      <c r="E5168" t="s">
        <v>9284</v>
      </c>
      <c r="F5168" t="s">
        <v>6802</v>
      </c>
      <c r="H5168" t="s">
        <v>4149</v>
      </c>
      <c r="K5168">
        <v>263</v>
      </c>
      <c r="L5168" t="s">
        <v>6803</v>
      </c>
    </row>
    <row r="5169" spans="1:12" x14ac:dyDescent="0.35">
      <c r="A5169" t="s">
        <v>3115</v>
      </c>
      <c r="B5169" s="1">
        <v>45728</v>
      </c>
      <c r="C5169" t="s">
        <v>7014</v>
      </c>
      <c r="D5169" t="s">
        <v>4148</v>
      </c>
      <c r="E5169" t="s">
        <v>9284</v>
      </c>
      <c r="F5169" t="s">
        <v>8557</v>
      </c>
      <c r="G5169" t="s">
        <v>8558</v>
      </c>
      <c r="H5169" t="s">
        <v>4149</v>
      </c>
      <c r="J5169">
        <v>263</v>
      </c>
      <c r="L5169" t="s">
        <v>5875</v>
      </c>
    </row>
    <row r="5170" spans="1:12" x14ac:dyDescent="0.35">
      <c r="A5170" t="s">
        <v>3115</v>
      </c>
      <c r="B5170" s="1">
        <v>45728</v>
      </c>
      <c r="C5170" t="s">
        <v>7016</v>
      </c>
      <c r="D5170" t="s">
        <v>4150</v>
      </c>
      <c r="E5170" t="s">
        <v>9285</v>
      </c>
      <c r="F5170" t="s">
        <v>6802</v>
      </c>
      <c r="H5170" t="s">
        <v>4151</v>
      </c>
      <c r="K5170">
        <v>22050</v>
      </c>
      <c r="L5170" t="s">
        <v>6803</v>
      </c>
    </row>
    <row r="5171" spans="1:12" x14ac:dyDescent="0.35">
      <c r="A5171" t="s">
        <v>3115</v>
      </c>
      <c r="B5171" s="1">
        <v>45728</v>
      </c>
      <c r="C5171" t="s">
        <v>7016</v>
      </c>
      <c r="D5171" t="s">
        <v>4150</v>
      </c>
      <c r="E5171" t="s">
        <v>9285</v>
      </c>
      <c r="F5171" t="s">
        <v>8557</v>
      </c>
      <c r="G5171" t="s">
        <v>8558</v>
      </c>
      <c r="H5171" t="s">
        <v>4151</v>
      </c>
      <c r="J5171">
        <v>22050</v>
      </c>
      <c r="L5171" t="s">
        <v>5880</v>
      </c>
    </row>
    <row r="5172" spans="1:12" x14ac:dyDescent="0.35">
      <c r="A5172" t="s">
        <v>3115</v>
      </c>
      <c r="B5172" s="1">
        <v>45728</v>
      </c>
      <c r="C5172" t="s">
        <v>7018</v>
      </c>
      <c r="D5172" t="s">
        <v>4152</v>
      </c>
      <c r="E5172" t="s">
        <v>9286</v>
      </c>
      <c r="F5172" t="s">
        <v>6802</v>
      </c>
      <c r="H5172" t="s">
        <v>4153</v>
      </c>
      <c r="K5172">
        <v>19941</v>
      </c>
      <c r="L5172" t="s">
        <v>6803</v>
      </c>
    </row>
    <row r="5173" spans="1:12" x14ac:dyDescent="0.35">
      <c r="A5173" t="s">
        <v>3115</v>
      </c>
      <c r="B5173" s="1">
        <v>45728</v>
      </c>
      <c r="C5173" t="s">
        <v>7018</v>
      </c>
      <c r="D5173" t="s">
        <v>4152</v>
      </c>
      <c r="E5173" t="s">
        <v>9286</v>
      </c>
      <c r="F5173" t="s">
        <v>8537</v>
      </c>
      <c r="G5173" t="s">
        <v>8538</v>
      </c>
      <c r="H5173" t="s">
        <v>4153</v>
      </c>
      <c r="J5173">
        <v>19941</v>
      </c>
      <c r="L5173" t="s">
        <v>5880</v>
      </c>
    </row>
    <row r="5174" spans="1:12" x14ac:dyDescent="0.35">
      <c r="A5174" t="s">
        <v>3115</v>
      </c>
      <c r="B5174" s="1">
        <v>45728</v>
      </c>
      <c r="C5174" t="s">
        <v>7020</v>
      </c>
      <c r="D5174" t="s">
        <v>4154</v>
      </c>
      <c r="E5174" t="s">
        <v>9287</v>
      </c>
      <c r="F5174" t="s">
        <v>6802</v>
      </c>
      <c r="H5174" t="s">
        <v>4155</v>
      </c>
      <c r="K5174">
        <v>1968</v>
      </c>
      <c r="L5174" t="s">
        <v>6803</v>
      </c>
    </row>
    <row r="5175" spans="1:12" x14ac:dyDescent="0.35">
      <c r="A5175" t="s">
        <v>3115</v>
      </c>
      <c r="B5175" s="1">
        <v>45728</v>
      </c>
      <c r="C5175" t="s">
        <v>7020</v>
      </c>
      <c r="D5175" t="s">
        <v>4154</v>
      </c>
      <c r="E5175" t="s">
        <v>9287</v>
      </c>
      <c r="F5175" t="s">
        <v>8537</v>
      </c>
      <c r="G5175" t="s">
        <v>8538</v>
      </c>
      <c r="H5175" t="s">
        <v>4155</v>
      </c>
      <c r="J5175">
        <v>1968</v>
      </c>
      <c r="L5175" t="s">
        <v>5874</v>
      </c>
    </row>
    <row r="5176" spans="1:12" x14ac:dyDescent="0.35">
      <c r="A5176" t="s">
        <v>3115</v>
      </c>
      <c r="B5176" s="1">
        <v>45728</v>
      </c>
      <c r="C5176" t="s">
        <v>7022</v>
      </c>
      <c r="D5176" t="s">
        <v>4156</v>
      </c>
      <c r="E5176" t="s">
        <v>9288</v>
      </c>
      <c r="F5176" t="s">
        <v>6802</v>
      </c>
      <c r="H5176" t="s">
        <v>4157</v>
      </c>
      <c r="K5176">
        <v>2500</v>
      </c>
      <c r="L5176" t="s">
        <v>6803</v>
      </c>
    </row>
    <row r="5177" spans="1:12" x14ac:dyDescent="0.35">
      <c r="A5177" t="s">
        <v>3115</v>
      </c>
      <c r="B5177" s="1">
        <v>45728</v>
      </c>
      <c r="C5177" t="s">
        <v>7022</v>
      </c>
      <c r="D5177" t="s">
        <v>4156</v>
      </c>
      <c r="E5177" t="s">
        <v>9288</v>
      </c>
      <c r="F5177" t="s">
        <v>8557</v>
      </c>
      <c r="G5177" t="s">
        <v>8558</v>
      </c>
      <c r="H5177" t="s">
        <v>4157</v>
      </c>
      <c r="J5177">
        <v>2500</v>
      </c>
      <c r="L5177" t="s">
        <v>5966</v>
      </c>
    </row>
    <row r="5178" spans="1:12" x14ac:dyDescent="0.35">
      <c r="A5178" t="s">
        <v>3115</v>
      </c>
      <c r="B5178" s="1">
        <v>45728</v>
      </c>
      <c r="C5178" t="s">
        <v>7024</v>
      </c>
      <c r="D5178" t="s">
        <v>4158</v>
      </c>
      <c r="E5178" t="s">
        <v>9289</v>
      </c>
      <c r="F5178" t="s">
        <v>6802</v>
      </c>
      <c r="H5178" t="s">
        <v>4159</v>
      </c>
      <c r="K5178">
        <v>93015</v>
      </c>
      <c r="L5178" t="s">
        <v>6803</v>
      </c>
    </row>
    <row r="5179" spans="1:12" x14ac:dyDescent="0.35">
      <c r="A5179" t="s">
        <v>3115</v>
      </c>
      <c r="B5179" s="1">
        <v>45728</v>
      </c>
      <c r="C5179" t="s">
        <v>7024</v>
      </c>
      <c r="D5179" t="s">
        <v>4158</v>
      </c>
      <c r="E5179" t="s">
        <v>9289</v>
      </c>
      <c r="F5179" t="s">
        <v>8537</v>
      </c>
      <c r="G5179" t="s">
        <v>8538</v>
      </c>
      <c r="H5179" t="s">
        <v>4159</v>
      </c>
      <c r="J5179">
        <v>93015</v>
      </c>
      <c r="L5179" t="s">
        <v>5873</v>
      </c>
    </row>
    <row r="5180" spans="1:12" x14ac:dyDescent="0.35">
      <c r="A5180" t="s">
        <v>3115</v>
      </c>
      <c r="B5180" s="1">
        <v>45728</v>
      </c>
      <c r="C5180" t="s">
        <v>7026</v>
      </c>
      <c r="D5180" t="s">
        <v>4160</v>
      </c>
      <c r="E5180" t="s">
        <v>9290</v>
      </c>
      <c r="F5180" t="s">
        <v>6802</v>
      </c>
      <c r="H5180" t="s">
        <v>4161</v>
      </c>
      <c r="K5180">
        <v>300</v>
      </c>
      <c r="L5180" t="s">
        <v>6803</v>
      </c>
    </row>
    <row r="5181" spans="1:12" x14ac:dyDescent="0.35">
      <c r="A5181" t="s">
        <v>3115</v>
      </c>
      <c r="B5181" s="1">
        <v>45728</v>
      </c>
      <c r="C5181" t="s">
        <v>7026</v>
      </c>
      <c r="D5181" t="s">
        <v>4160</v>
      </c>
      <c r="E5181" t="s">
        <v>9290</v>
      </c>
      <c r="F5181" t="s">
        <v>8557</v>
      </c>
      <c r="G5181" t="s">
        <v>8558</v>
      </c>
      <c r="H5181" t="s">
        <v>4161</v>
      </c>
      <c r="J5181">
        <v>300</v>
      </c>
      <c r="L5181" t="s">
        <v>5966</v>
      </c>
    </row>
    <row r="5182" spans="1:12" x14ac:dyDescent="0.35">
      <c r="A5182" t="s">
        <v>3115</v>
      </c>
      <c r="B5182" s="1">
        <v>45728</v>
      </c>
      <c r="C5182" t="s">
        <v>7028</v>
      </c>
      <c r="D5182" t="s">
        <v>4162</v>
      </c>
      <c r="E5182" t="s">
        <v>8573</v>
      </c>
      <c r="F5182" t="s">
        <v>6915</v>
      </c>
      <c r="H5182" t="s">
        <v>4163</v>
      </c>
      <c r="K5182">
        <v>114662</v>
      </c>
      <c r="L5182" t="s">
        <v>6803</v>
      </c>
    </row>
    <row r="5183" spans="1:12" x14ac:dyDescent="0.35">
      <c r="A5183" t="s">
        <v>3115</v>
      </c>
      <c r="B5183" s="1">
        <v>45728</v>
      </c>
      <c r="C5183" t="s">
        <v>7028</v>
      </c>
      <c r="D5183" t="s">
        <v>4162</v>
      </c>
      <c r="E5183" t="s">
        <v>8573</v>
      </c>
      <c r="F5183" t="s">
        <v>8537</v>
      </c>
      <c r="G5183" t="s">
        <v>8538</v>
      </c>
      <c r="H5183" t="s">
        <v>4163</v>
      </c>
      <c r="J5183">
        <v>114662</v>
      </c>
      <c r="L5183" t="s">
        <v>5875</v>
      </c>
    </row>
    <row r="5184" spans="1:12" x14ac:dyDescent="0.35">
      <c r="A5184" t="s">
        <v>3115</v>
      </c>
      <c r="B5184" s="1">
        <v>45728</v>
      </c>
      <c r="C5184" t="s">
        <v>7030</v>
      </c>
      <c r="D5184" t="s">
        <v>4164</v>
      </c>
      <c r="E5184" t="s">
        <v>9291</v>
      </c>
      <c r="F5184" t="s">
        <v>6802</v>
      </c>
      <c r="H5184" t="s">
        <v>4165</v>
      </c>
      <c r="K5184">
        <v>328</v>
      </c>
      <c r="L5184" t="s">
        <v>6803</v>
      </c>
    </row>
    <row r="5185" spans="1:12" x14ac:dyDescent="0.35">
      <c r="A5185" t="s">
        <v>3115</v>
      </c>
      <c r="B5185" s="1">
        <v>45728</v>
      </c>
      <c r="C5185" t="s">
        <v>7030</v>
      </c>
      <c r="D5185" t="s">
        <v>4164</v>
      </c>
      <c r="E5185" t="s">
        <v>9291</v>
      </c>
      <c r="F5185" t="s">
        <v>8537</v>
      </c>
      <c r="G5185" t="s">
        <v>8538</v>
      </c>
      <c r="H5185" t="s">
        <v>4165</v>
      </c>
      <c r="J5185">
        <v>328</v>
      </c>
      <c r="L5185" t="s">
        <v>5966</v>
      </c>
    </row>
    <row r="5186" spans="1:12" x14ac:dyDescent="0.35">
      <c r="A5186" t="s">
        <v>3115</v>
      </c>
      <c r="B5186" s="1">
        <v>45728</v>
      </c>
      <c r="C5186" t="s">
        <v>7032</v>
      </c>
      <c r="D5186" t="s">
        <v>4166</v>
      </c>
      <c r="E5186" t="s">
        <v>9292</v>
      </c>
      <c r="F5186" t="s">
        <v>6811</v>
      </c>
      <c r="H5186" t="s">
        <v>4167</v>
      </c>
      <c r="K5186">
        <v>1136</v>
      </c>
      <c r="L5186" t="s">
        <v>6803</v>
      </c>
    </row>
    <row r="5187" spans="1:12" x14ac:dyDescent="0.35">
      <c r="A5187" t="s">
        <v>3115</v>
      </c>
      <c r="B5187" s="1">
        <v>45728</v>
      </c>
      <c r="C5187" t="s">
        <v>7032</v>
      </c>
      <c r="D5187" t="s">
        <v>4166</v>
      </c>
      <c r="E5187" t="s">
        <v>9292</v>
      </c>
      <c r="F5187" t="s">
        <v>8557</v>
      </c>
      <c r="G5187" t="s">
        <v>8558</v>
      </c>
      <c r="H5187" t="s">
        <v>4167</v>
      </c>
      <c r="J5187">
        <v>1136</v>
      </c>
      <c r="L5187" t="s">
        <v>5966</v>
      </c>
    </row>
    <row r="5188" spans="1:12" x14ac:dyDescent="0.35">
      <c r="A5188" t="s">
        <v>3115</v>
      </c>
      <c r="B5188" s="1">
        <v>45728</v>
      </c>
      <c r="C5188" t="s">
        <v>7034</v>
      </c>
      <c r="D5188" t="s">
        <v>4168</v>
      </c>
      <c r="E5188" t="s">
        <v>9293</v>
      </c>
      <c r="F5188" t="s">
        <v>6811</v>
      </c>
      <c r="H5188" t="s">
        <v>4169</v>
      </c>
      <c r="K5188">
        <v>336</v>
      </c>
      <c r="L5188" t="s">
        <v>6803</v>
      </c>
    </row>
    <row r="5189" spans="1:12" x14ac:dyDescent="0.35">
      <c r="A5189" t="s">
        <v>3115</v>
      </c>
      <c r="B5189" s="1">
        <v>45728</v>
      </c>
      <c r="C5189" t="s">
        <v>7034</v>
      </c>
      <c r="D5189" t="s">
        <v>4168</v>
      </c>
      <c r="E5189" t="s">
        <v>9293</v>
      </c>
      <c r="F5189" t="s">
        <v>8557</v>
      </c>
      <c r="G5189" t="s">
        <v>8558</v>
      </c>
      <c r="H5189" t="s">
        <v>4169</v>
      </c>
      <c r="J5189">
        <v>336</v>
      </c>
      <c r="L5189" t="s">
        <v>5966</v>
      </c>
    </row>
    <row r="5190" spans="1:12" x14ac:dyDescent="0.35">
      <c r="A5190" t="s">
        <v>3115</v>
      </c>
      <c r="B5190" s="1">
        <v>45728</v>
      </c>
      <c r="C5190" t="s">
        <v>7036</v>
      </c>
      <c r="D5190" t="s">
        <v>4170</v>
      </c>
      <c r="E5190" t="s">
        <v>9294</v>
      </c>
      <c r="F5190" t="s">
        <v>6811</v>
      </c>
      <c r="H5190" t="s">
        <v>4171</v>
      </c>
      <c r="K5190">
        <v>1150</v>
      </c>
      <c r="L5190" t="s">
        <v>6803</v>
      </c>
    </row>
    <row r="5191" spans="1:12" x14ac:dyDescent="0.35">
      <c r="A5191" t="s">
        <v>3115</v>
      </c>
      <c r="B5191" s="1">
        <v>45728</v>
      </c>
      <c r="C5191" t="s">
        <v>7036</v>
      </c>
      <c r="D5191" t="s">
        <v>4170</v>
      </c>
      <c r="E5191" t="s">
        <v>9294</v>
      </c>
      <c r="F5191" t="s">
        <v>8557</v>
      </c>
      <c r="G5191" t="s">
        <v>8558</v>
      </c>
      <c r="H5191" t="s">
        <v>4171</v>
      </c>
      <c r="J5191">
        <v>1150</v>
      </c>
      <c r="L5191" t="s">
        <v>5966</v>
      </c>
    </row>
    <row r="5192" spans="1:12" x14ac:dyDescent="0.35">
      <c r="A5192" t="s">
        <v>3115</v>
      </c>
      <c r="B5192" s="1">
        <v>45728</v>
      </c>
      <c r="C5192" t="s">
        <v>7038</v>
      </c>
      <c r="D5192" t="s">
        <v>4172</v>
      </c>
      <c r="E5192" t="s">
        <v>9295</v>
      </c>
      <c r="F5192" t="s">
        <v>6811</v>
      </c>
      <c r="H5192" t="s">
        <v>4173</v>
      </c>
      <c r="K5192">
        <v>4754</v>
      </c>
      <c r="L5192" t="s">
        <v>6803</v>
      </c>
    </row>
    <row r="5193" spans="1:12" x14ac:dyDescent="0.35">
      <c r="A5193" t="s">
        <v>3115</v>
      </c>
      <c r="B5193" s="1">
        <v>45728</v>
      </c>
      <c r="C5193" t="s">
        <v>7038</v>
      </c>
      <c r="D5193" t="s">
        <v>4172</v>
      </c>
      <c r="E5193" t="s">
        <v>9295</v>
      </c>
      <c r="F5193" t="s">
        <v>8557</v>
      </c>
      <c r="G5193" t="s">
        <v>8558</v>
      </c>
      <c r="H5193" t="s">
        <v>4173</v>
      </c>
      <c r="J5193">
        <v>4754</v>
      </c>
      <c r="L5193" t="s">
        <v>6012</v>
      </c>
    </row>
    <row r="5194" spans="1:12" x14ac:dyDescent="0.35">
      <c r="A5194" t="s">
        <v>3115</v>
      </c>
      <c r="B5194" s="1">
        <v>45728</v>
      </c>
      <c r="C5194" t="s">
        <v>7040</v>
      </c>
      <c r="D5194" t="s">
        <v>4174</v>
      </c>
      <c r="E5194" t="s">
        <v>9296</v>
      </c>
      <c r="F5194" t="s">
        <v>6802</v>
      </c>
      <c r="H5194" t="s">
        <v>4175</v>
      </c>
      <c r="K5194">
        <v>181701</v>
      </c>
      <c r="L5194" t="s">
        <v>6803</v>
      </c>
    </row>
    <row r="5195" spans="1:12" x14ac:dyDescent="0.35">
      <c r="A5195" t="s">
        <v>3115</v>
      </c>
      <c r="B5195" s="1">
        <v>45728</v>
      </c>
      <c r="C5195" t="s">
        <v>7040</v>
      </c>
      <c r="D5195" t="s">
        <v>4174</v>
      </c>
      <c r="E5195" t="s">
        <v>9296</v>
      </c>
      <c r="F5195" t="s">
        <v>8537</v>
      </c>
      <c r="G5195" t="s">
        <v>8538</v>
      </c>
      <c r="H5195" t="s">
        <v>4175</v>
      </c>
      <c r="J5195">
        <v>181701</v>
      </c>
      <c r="L5195" t="s">
        <v>5875</v>
      </c>
    </row>
    <row r="5196" spans="1:12" x14ac:dyDescent="0.35">
      <c r="A5196" t="s">
        <v>3115</v>
      </c>
      <c r="B5196" s="1">
        <v>45728</v>
      </c>
      <c r="C5196" t="s">
        <v>6898</v>
      </c>
      <c r="D5196" t="s">
        <v>4176</v>
      </c>
      <c r="E5196" t="s">
        <v>9296</v>
      </c>
      <c r="F5196" t="s">
        <v>6915</v>
      </c>
      <c r="H5196" t="s">
        <v>4177</v>
      </c>
      <c r="K5196">
        <v>114380</v>
      </c>
      <c r="L5196" t="s">
        <v>6803</v>
      </c>
    </row>
    <row r="5197" spans="1:12" x14ac:dyDescent="0.35">
      <c r="A5197" t="s">
        <v>3115</v>
      </c>
      <c r="B5197" s="1">
        <v>45728</v>
      </c>
      <c r="C5197" t="s">
        <v>6898</v>
      </c>
      <c r="D5197" t="s">
        <v>4176</v>
      </c>
      <c r="E5197" t="s">
        <v>9296</v>
      </c>
      <c r="F5197" t="s">
        <v>8569</v>
      </c>
      <c r="G5197" t="s">
        <v>8570</v>
      </c>
      <c r="H5197" t="s">
        <v>4177</v>
      </c>
      <c r="J5197">
        <v>114380</v>
      </c>
      <c r="L5197" t="s">
        <v>5875</v>
      </c>
    </row>
    <row r="5198" spans="1:12" x14ac:dyDescent="0.35">
      <c r="A5198" t="s">
        <v>3115</v>
      </c>
      <c r="B5198" s="1">
        <v>45728</v>
      </c>
      <c r="C5198" t="s">
        <v>7053</v>
      </c>
      <c r="D5198" t="s">
        <v>4178</v>
      </c>
      <c r="E5198" t="s">
        <v>9297</v>
      </c>
      <c r="F5198" t="s">
        <v>6802</v>
      </c>
      <c r="H5198" t="s">
        <v>4179</v>
      </c>
      <c r="K5198">
        <v>5117</v>
      </c>
      <c r="L5198" t="s">
        <v>6803</v>
      </c>
    </row>
    <row r="5199" spans="1:12" x14ac:dyDescent="0.35">
      <c r="A5199" t="s">
        <v>3115</v>
      </c>
      <c r="B5199" s="1">
        <v>45728</v>
      </c>
      <c r="C5199" t="s">
        <v>7053</v>
      </c>
      <c r="D5199" t="s">
        <v>4178</v>
      </c>
      <c r="E5199" t="s">
        <v>9297</v>
      </c>
      <c r="F5199" t="s">
        <v>8537</v>
      </c>
      <c r="G5199" t="s">
        <v>8538</v>
      </c>
      <c r="H5199" t="s">
        <v>4179</v>
      </c>
      <c r="J5199">
        <v>5117</v>
      </c>
      <c r="L5199" t="s">
        <v>5874</v>
      </c>
    </row>
    <row r="5200" spans="1:12" x14ac:dyDescent="0.35">
      <c r="A5200" t="s">
        <v>3115</v>
      </c>
      <c r="B5200" s="1">
        <v>45728</v>
      </c>
      <c r="C5200" t="s">
        <v>7055</v>
      </c>
      <c r="D5200" t="s">
        <v>4180</v>
      </c>
      <c r="E5200" t="s">
        <v>9298</v>
      </c>
      <c r="F5200" t="s">
        <v>6811</v>
      </c>
      <c r="H5200" t="s">
        <v>4181</v>
      </c>
      <c r="K5200">
        <v>233</v>
      </c>
      <c r="L5200" t="s">
        <v>6803</v>
      </c>
    </row>
    <row r="5201" spans="1:12" x14ac:dyDescent="0.35">
      <c r="A5201" t="s">
        <v>3115</v>
      </c>
      <c r="B5201" s="1">
        <v>45728</v>
      </c>
      <c r="C5201" t="s">
        <v>7055</v>
      </c>
      <c r="D5201" t="s">
        <v>4180</v>
      </c>
      <c r="E5201" t="s">
        <v>9298</v>
      </c>
      <c r="F5201" t="s">
        <v>8557</v>
      </c>
      <c r="G5201" t="s">
        <v>8558</v>
      </c>
      <c r="H5201" t="s">
        <v>4181</v>
      </c>
      <c r="J5201">
        <v>233</v>
      </c>
      <c r="L5201" t="s">
        <v>5966</v>
      </c>
    </row>
    <row r="5202" spans="1:12" x14ac:dyDescent="0.35">
      <c r="A5202" t="s">
        <v>3115</v>
      </c>
      <c r="B5202" s="1">
        <v>45728</v>
      </c>
      <c r="C5202" t="s">
        <v>7057</v>
      </c>
      <c r="D5202" t="s">
        <v>4182</v>
      </c>
      <c r="E5202" t="s">
        <v>9299</v>
      </c>
      <c r="F5202" t="s">
        <v>6808</v>
      </c>
      <c r="H5202" t="s">
        <v>4183</v>
      </c>
      <c r="K5202">
        <v>3298</v>
      </c>
      <c r="L5202" t="s">
        <v>6803</v>
      </c>
    </row>
    <row r="5203" spans="1:12" x14ac:dyDescent="0.35">
      <c r="A5203" t="s">
        <v>3115</v>
      </c>
      <c r="B5203" s="1">
        <v>45728</v>
      </c>
      <c r="C5203" t="s">
        <v>7057</v>
      </c>
      <c r="D5203" t="s">
        <v>4182</v>
      </c>
      <c r="E5203" t="s">
        <v>9299</v>
      </c>
      <c r="F5203" t="s">
        <v>8467</v>
      </c>
      <c r="G5203" t="s">
        <v>8567</v>
      </c>
      <c r="H5203" t="s">
        <v>4183</v>
      </c>
      <c r="J5203">
        <v>3298</v>
      </c>
      <c r="L5203" t="s">
        <v>5874</v>
      </c>
    </row>
    <row r="5204" spans="1:12" x14ac:dyDescent="0.35">
      <c r="A5204" t="s">
        <v>3115</v>
      </c>
      <c r="B5204" s="1">
        <v>45728</v>
      </c>
      <c r="C5204" t="s">
        <v>7059</v>
      </c>
      <c r="D5204" t="s">
        <v>4184</v>
      </c>
      <c r="E5204" t="s">
        <v>9300</v>
      </c>
      <c r="F5204" t="s">
        <v>6808</v>
      </c>
      <c r="H5204" t="s">
        <v>4185</v>
      </c>
      <c r="K5204">
        <v>1649</v>
      </c>
      <c r="L5204" t="s">
        <v>6803</v>
      </c>
    </row>
    <row r="5205" spans="1:12" x14ac:dyDescent="0.35">
      <c r="A5205" t="s">
        <v>3115</v>
      </c>
      <c r="B5205" s="1">
        <v>45728</v>
      </c>
      <c r="C5205" t="s">
        <v>7059</v>
      </c>
      <c r="D5205" t="s">
        <v>4184</v>
      </c>
      <c r="E5205" t="s">
        <v>9300</v>
      </c>
      <c r="F5205" t="s">
        <v>8467</v>
      </c>
      <c r="G5205" t="s">
        <v>8567</v>
      </c>
      <c r="H5205" t="s">
        <v>4185</v>
      </c>
      <c r="J5205">
        <v>1649</v>
      </c>
      <c r="L5205" t="s">
        <v>5874</v>
      </c>
    </row>
    <row r="5206" spans="1:12" x14ac:dyDescent="0.35">
      <c r="A5206" t="s">
        <v>3115</v>
      </c>
      <c r="B5206" s="1">
        <v>45728</v>
      </c>
      <c r="C5206" t="s">
        <v>7061</v>
      </c>
      <c r="D5206" t="s">
        <v>4186</v>
      </c>
      <c r="E5206" t="s">
        <v>9301</v>
      </c>
      <c r="F5206" t="s">
        <v>6802</v>
      </c>
      <c r="H5206" t="s">
        <v>4187</v>
      </c>
      <c r="K5206">
        <v>6356</v>
      </c>
      <c r="L5206" t="s">
        <v>6803</v>
      </c>
    </row>
    <row r="5207" spans="1:12" x14ac:dyDescent="0.35">
      <c r="A5207" t="s">
        <v>3115</v>
      </c>
      <c r="B5207" s="1">
        <v>45728</v>
      </c>
      <c r="C5207" t="s">
        <v>7061</v>
      </c>
      <c r="D5207" t="s">
        <v>4186</v>
      </c>
      <c r="E5207" t="s">
        <v>9301</v>
      </c>
      <c r="F5207" t="s">
        <v>8467</v>
      </c>
      <c r="G5207" t="s">
        <v>8567</v>
      </c>
      <c r="H5207" t="s">
        <v>4187</v>
      </c>
      <c r="J5207">
        <v>6356</v>
      </c>
      <c r="L5207" t="s">
        <v>5875</v>
      </c>
    </row>
    <row r="5208" spans="1:12" x14ac:dyDescent="0.35">
      <c r="A5208" t="s">
        <v>3115</v>
      </c>
      <c r="B5208" s="1">
        <v>45728</v>
      </c>
      <c r="C5208" t="s">
        <v>7063</v>
      </c>
      <c r="D5208" t="s">
        <v>4188</v>
      </c>
      <c r="E5208" t="s">
        <v>9302</v>
      </c>
      <c r="F5208" t="s">
        <v>6808</v>
      </c>
      <c r="H5208" t="s">
        <v>4189</v>
      </c>
      <c r="K5208">
        <v>5242</v>
      </c>
      <c r="L5208" t="s">
        <v>6803</v>
      </c>
    </row>
    <row r="5209" spans="1:12" x14ac:dyDescent="0.35">
      <c r="A5209" t="s">
        <v>3115</v>
      </c>
      <c r="B5209" s="1">
        <v>45728</v>
      </c>
      <c r="C5209" t="s">
        <v>7063</v>
      </c>
      <c r="D5209" t="s">
        <v>4188</v>
      </c>
      <c r="E5209" t="s">
        <v>9302</v>
      </c>
      <c r="F5209" t="s">
        <v>8467</v>
      </c>
      <c r="G5209" t="s">
        <v>8567</v>
      </c>
      <c r="H5209" t="s">
        <v>4189</v>
      </c>
      <c r="J5209">
        <v>5242</v>
      </c>
      <c r="L5209" t="s">
        <v>5966</v>
      </c>
    </row>
    <row r="5210" spans="1:12" x14ac:dyDescent="0.35">
      <c r="A5210" t="s">
        <v>3115</v>
      </c>
      <c r="B5210" s="1">
        <v>45728</v>
      </c>
      <c r="C5210" t="s">
        <v>7065</v>
      </c>
      <c r="D5210" t="s">
        <v>4190</v>
      </c>
      <c r="E5210" t="s">
        <v>9303</v>
      </c>
      <c r="F5210" t="s">
        <v>6808</v>
      </c>
      <c r="H5210" t="s">
        <v>4191</v>
      </c>
      <c r="K5210">
        <v>2917</v>
      </c>
      <c r="L5210" t="s">
        <v>6803</v>
      </c>
    </row>
    <row r="5211" spans="1:12" x14ac:dyDescent="0.35">
      <c r="A5211" t="s">
        <v>3115</v>
      </c>
      <c r="B5211" s="1">
        <v>45728</v>
      </c>
      <c r="C5211" t="s">
        <v>7065</v>
      </c>
      <c r="D5211" t="s">
        <v>4190</v>
      </c>
      <c r="E5211" t="s">
        <v>9303</v>
      </c>
      <c r="F5211" t="s">
        <v>8467</v>
      </c>
      <c r="G5211" t="s">
        <v>8567</v>
      </c>
      <c r="H5211" t="s">
        <v>4191</v>
      </c>
      <c r="J5211">
        <v>2917</v>
      </c>
      <c r="L5211" t="s">
        <v>5966</v>
      </c>
    </row>
    <row r="5212" spans="1:12" x14ac:dyDescent="0.35">
      <c r="A5212" t="s">
        <v>3115</v>
      </c>
      <c r="B5212" s="1">
        <v>45728</v>
      </c>
      <c r="C5212" t="s">
        <v>7067</v>
      </c>
      <c r="D5212" t="s">
        <v>4192</v>
      </c>
      <c r="E5212" t="s">
        <v>9304</v>
      </c>
      <c r="F5212" t="s">
        <v>6802</v>
      </c>
      <c r="H5212" t="s">
        <v>4193</v>
      </c>
      <c r="K5212">
        <v>1050</v>
      </c>
      <c r="L5212" t="s">
        <v>6803</v>
      </c>
    </row>
    <row r="5213" spans="1:12" x14ac:dyDescent="0.35">
      <c r="A5213" t="s">
        <v>3115</v>
      </c>
      <c r="B5213" s="1">
        <v>45728</v>
      </c>
      <c r="C5213" t="s">
        <v>7067</v>
      </c>
      <c r="D5213" t="s">
        <v>4192</v>
      </c>
      <c r="E5213" t="s">
        <v>9304</v>
      </c>
      <c r="F5213" t="s">
        <v>8537</v>
      </c>
      <c r="G5213" t="s">
        <v>8538</v>
      </c>
      <c r="H5213" t="s">
        <v>4193</v>
      </c>
      <c r="J5213">
        <v>1050</v>
      </c>
      <c r="L5213" t="s">
        <v>5875</v>
      </c>
    </row>
    <row r="5214" spans="1:12" x14ac:dyDescent="0.35">
      <c r="A5214" t="s">
        <v>3115</v>
      </c>
      <c r="B5214" s="1">
        <v>45728</v>
      </c>
      <c r="C5214" t="s">
        <v>7069</v>
      </c>
      <c r="D5214" t="s">
        <v>4194</v>
      </c>
      <c r="E5214" t="s">
        <v>9305</v>
      </c>
      <c r="F5214" t="s">
        <v>6802</v>
      </c>
      <c r="H5214" t="s">
        <v>4195</v>
      </c>
      <c r="K5214">
        <v>1050</v>
      </c>
      <c r="L5214" t="s">
        <v>6803</v>
      </c>
    </row>
    <row r="5215" spans="1:12" x14ac:dyDescent="0.35">
      <c r="A5215" t="s">
        <v>3115</v>
      </c>
      <c r="B5215" s="1">
        <v>45728</v>
      </c>
      <c r="C5215" t="s">
        <v>7069</v>
      </c>
      <c r="D5215" t="s">
        <v>4194</v>
      </c>
      <c r="E5215" t="s">
        <v>9305</v>
      </c>
      <c r="F5215" t="s">
        <v>8537</v>
      </c>
      <c r="G5215" t="s">
        <v>8538</v>
      </c>
      <c r="H5215" t="s">
        <v>4195</v>
      </c>
      <c r="J5215">
        <v>1050</v>
      </c>
      <c r="L5215" t="s">
        <v>5875</v>
      </c>
    </row>
    <row r="5216" spans="1:12" x14ac:dyDescent="0.35">
      <c r="A5216" t="s">
        <v>3115</v>
      </c>
      <c r="B5216" s="1">
        <v>45729</v>
      </c>
      <c r="C5216" t="s">
        <v>7071</v>
      </c>
      <c r="D5216" t="s">
        <v>4196</v>
      </c>
      <c r="E5216" t="s">
        <v>9306</v>
      </c>
      <c r="F5216" t="s">
        <v>6802</v>
      </c>
      <c r="H5216" t="s">
        <v>4197</v>
      </c>
      <c r="K5216">
        <v>65137</v>
      </c>
      <c r="L5216" t="s">
        <v>6803</v>
      </c>
    </row>
    <row r="5217" spans="1:12" x14ac:dyDescent="0.35">
      <c r="A5217" t="s">
        <v>3115</v>
      </c>
      <c r="B5217" s="1">
        <v>45729</v>
      </c>
      <c r="C5217" t="s">
        <v>7071</v>
      </c>
      <c r="D5217" t="s">
        <v>4196</v>
      </c>
      <c r="E5217" t="s">
        <v>9306</v>
      </c>
      <c r="F5217" t="s">
        <v>8537</v>
      </c>
      <c r="G5217" t="s">
        <v>8538</v>
      </c>
      <c r="H5217" t="s">
        <v>4197</v>
      </c>
      <c r="J5217">
        <v>65137</v>
      </c>
      <c r="L5217" t="s">
        <v>5958</v>
      </c>
    </row>
    <row r="5218" spans="1:12" x14ac:dyDescent="0.35">
      <c r="A5218" t="s">
        <v>3115</v>
      </c>
      <c r="B5218" s="1">
        <v>45729</v>
      </c>
      <c r="C5218" t="s">
        <v>7073</v>
      </c>
      <c r="D5218" t="s">
        <v>4198</v>
      </c>
      <c r="E5218" t="s">
        <v>9307</v>
      </c>
      <c r="F5218" t="s">
        <v>6802</v>
      </c>
      <c r="H5218" t="s">
        <v>4199</v>
      </c>
      <c r="K5218">
        <v>65137</v>
      </c>
      <c r="L5218" t="s">
        <v>6803</v>
      </c>
    </row>
    <row r="5219" spans="1:12" x14ac:dyDescent="0.35">
      <c r="A5219" t="s">
        <v>3115</v>
      </c>
      <c r="B5219" s="1">
        <v>45729</v>
      </c>
      <c r="C5219" t="s">
        <v>7073</v>
      </c>
      <c r="D5219" t="s">
        <v>4198</v>
      </c>
      <c r="E5219" t="s">
        <v>9307</v>
      </c>
      <c r="F5219" t="s">
        <v>8537</v>
      </c>
      <c r="G5219" t="s">
        <v>8538</v>
      </c>
      <c r="H5219" t="s">
        <v>4199</v>
      </c>
      <c r="J5219">
        <v>65137</v>
      </c>
      <c r="L5219" t="s">
        <v>5958</v>
      </c>
    </row>
    <row r="5220" spans="1:12" x14ac:dyDescent="0.35">
      <c r="A5220" t="s">
        <v>3115</v>
      </c>
      <c r="B5220" s="1">
        <v>45729</v>
      </c>
      <c r="C5220" t="s">
        <v>7075</v>
      </c>
      <c r="D5220" t="s">
        <v>4200</v>
      </c>
      <c r="E5220" t="s">
        <v>9308</v>
      </c>
      <c r="F5220" t="s">
        <v>6802</v>
      </c>
      <c r="H5220" t="s">
        <v>4201</v>
      </c>
      <c r="K5220">
        <v>89604</v>
      </c>
      <c r="L5220" t="s">
        <v>6803</v>
      </c>
    </row>
    <row r="5221" spans="1:12" x14ac:dyDescent="0.35">
      <c r="A5221" t="s">
        <v>3115</v>
      </c>
      <c r="B5221" s="1">
        <v>45729</v>
      </c>
      <c r="C5221" t="s">
        <v>7075</v>
      </c>
      <c r="D5221" t="s">
        <v>4200</v>
      </c>
      <c r="E5221" t="s">
        <v>9308</v>
      </c>
      <c r="F5221" t="s">
        <v>8537</v>
      </c>
      <c r="G5221" t="s">
        <v>8538</v>
      </c>
      <c r="H5221" t="s">
        <v>4201</v>
      </c>
      <c r="J5221">
        <v>89604</v>
      </c>
      <c r="L5221" t="s">
        <v>5958</v>
      </c>
    </row>
    <row r="5222" spans="1:12" x14ac:dyDescent="0.35">
      <c r="A5222" t="s">
        <v>3115</v>
      </c>
      <c r="B5222" s="1">
        <v>45729</v>
      </c>
      <c r="C5222" t="s">
        <v>7077</v>
      </c>
      <c r="D5222" t="s">
        <v>4202</v>
      </c>
      <c r="E5222" t="s">
        <v>9309</v>
      </c>
      <c r="F5222" t="s">
        <v>6915</v>
      </c>
      <c r="H5222" t="s">
        <v>4203</v>
      </c>
      <c r="K5222">
        <v>114380</v>
      </c>
      <c r="L5222" t="s">
        <v>6803</v>
      </c>
    </row>
    <row r="5223" spans="1:12" x14ac:dyDescent="0.35">
      <c r="A5223" t="s">
        <v>3115</v>
      </c>
      <c r="B5223" s="1">
        <v>45729</v>
      </c>
      <c r="C5223" t="s">
        <v>7077</v>
      </c>
      <c r="D5223" t="s">
        <v>4202</v>
      </c>
      <c r="E5223" t="s">
        <v>9309</v>
      </c>
      <c r="F5223" t="s">
        <v>8569</v>
      </c>
      <c r="G5223" t="s">
        <v>8570</v>
      </c>
      <c r="H5223" t="s">
        <v>4203</v>
      </c>
      <c r="J5223">
        <v>114380</v>
      </c>
      <c r="L5223" t="s">
        <v>5875</v>
      </c>
    </row>
    <row r="5224" spans="1:12" x14ac:dyDescent="0.35">
      <c r="A5224" t="s">
        <v>3115</v>
      </c>
      <c r="B5224" s="1">
        <v>45729</v>
      </c>
      <c r="C5224" t="s">
        <v>7079</v>
      </c>
      <c r="D5224" t="s">
        <v>4204</v>
      </c>
      <c r="E5224" t="s">
        <v>9310</v>
      </c>
      <c r="F5224" t="s">
        <v>6802</v>
      </c>
      <c r="H5224" t="s">
        <v>4205</v>
      </c>
      <c r="K5224">
        <v>86390</v>
      </c>
      <c r="L5224" t="s">
        <v>6803</v>
      </c>
    </row>
    <row r="5225" spans="1:12" x14ac:dyDescent="0.35">
      <c r="A5225" t="s">
        <v>3115</v>
      </c>
      <c r="B5225" s="1">
        <v>45729</v>
      </c>
      <c r="C5225" t="s">
        <v>7079</v>
      </c>
      <c r="D5225" t="s">
        <v>4204</v>
      </c>
      <c r="E5225" t="s">
        <v>9310</v>
      </c>
      <c r="F5225" t="s">
        <v>8537</v>
      </c>
      <c r="G5225" t="s">
        <v>8538</v>
      </c>
      <c r="H5225" t="s">
        <v>4205</v>
      </c>
      <c r="J5225">
        <v>86390</v>
      </c>
      <c r="L5225" t="s">
        <v>5958</v>
      </c>
    </row>
    <row r="5226" spans="1:12" x14ac:dyDescent="0.35">
      <c r="A5226" t="s">
        <v>3115</v>
      </c>
      <c r="B5226" s="1">
        <v>45729</v>
      </c>
      <c r="C5226" t="s">
        <v>7081</v>
      </c>
      <c r="D5226" t="s">
        <v>4206</v>
      </c>
      <c r="E5226" t="s">
        <v>9311</v>
      </c>
      <c r="F5226" t="s">
        <v>6802</v>
      </c>
      <c r="H5226" t="s">
        <v>4207</v>
      </c>
      <c r="K5226">
        <v>86390</v>
      </c>
      <c r="L5226" t="s">
        <v>6803</v>
      </c>
    </row>
    <row r="5227" spans="1:12" x14ac:dyDescent="0.35">
      <c r="A5227" t="s">
        <v>3115</v>
      </c>
      <c r="B5227" s="1">
        <v>45729</v>
      </c>
      <c r="C5227" t="s">
        <v>7081</v>
      </c>
      <c r="D5227" t="s">
        <v>4206</v>
      </c>
      <c r="E5227" t="s">
        <v>9311</v>
      </c>
      <c r="F5227" t="s">
        <v>8537</v>
      </c>
      <c r="G5227" t="s">
        <v>8538</v>
      </c>
      <c r="H5227" t="s">
        <v>4207</v>
      </c>
      <c r="J5227">
        <v>86390</v>
      </c>
      <c r="L5227" t="s">
        <v>5958</v>
      </c>
    </row>
    <row r="5228" spans="1:12" x14ac:dyDescent="0.35">
      <c r="A5228" t="s">
        <v>3115</v>
      </c>
      <c r="B5228" s="1">
        <v>45729</v>
      </c>
      <c r="C5228" t="s">
        <v>7083</v>
      </c>
      <c r="D5228" t="s">
        <v>4208</v>
      </c>
      <c r="E5228" t="s">
        <v>9312</v>
      </c>
      <c r="F5228" t="s">
        <v>6802</v>
      </c>
      <c r="H5228" t="s">
        <v>4209</v>
      </c>
      <c r="K5228">
        <v>86390</v>
      </c>
      <c r="L5228" t="s">
        <v>6803</v>
      </c>
    </row>
    <row r="5229" spans="1:12" x14ac:dyDescent="0.35">
      <c r="A5229" t="s">
        <v>3115</v>
      </c>
      <c r="B5229" s="1">
        <v>45729</v>
      </c>
      <c r="C5229" t="s">
        <v>7083</v>
      </c>
      <c r="D5229" t="s">
        <v>4208</v>
      </c>
      <c r="E5229" t="s">
        <v>9312</v>
      </c>
      <c r="F5229" t="s">
        <v>8537</v>
      </c>
      <c r="G5229" t="s">
        <v>8538</v>
      </c>
      <c r="H5229" t="s">
        <v>4209</v>
      </c>
      <c r="J5229">
        <v>86390</v>
      </c>
      <c r="L5229" t="s">
        <v>5958</v>
      </c>
    </row>
    <row r="5230" spans="1:12" x14ac:dyDescent="0.35">
      <c r="A5230" t="s">
        <v>3115</v>
      </c>
      <c r="B5230" s="1">
        <v>45729</v>
      </c>
      <c r="C5230" t="s">
        <v>7085</v>
      </c>
      <c r="D5230" t="s">
        <v>4210</v>
      </c>
      <c r="E5230" t="s">
        <v>9313</v>
      </c>
      <c r="F5230" t="s">
        <v>6802</v>
      </c>
      <c r="H5230" t="s">
        <v>4211</v>
      </c>
      <c r="K5230">
        <v>86390</v>
      </c>
      <c r="L5230" t="s">
        <v>6803</v>
      </c>
    </row>
    <row r="5231" spans="1:12" x14ac:dyDescent="0.35">
      <c r="A5231" t="s">
        <v>3115</v>
      </c>
      <c r="B5231" s="1">
        <v>45729</v>
      </c>
      <c r="C5231" t="s">
        <v>7085</v>
      </c>
      <c r="D5231" t="s">
        <v>4210</v>
      </c>
      <c r="E5231" t="s">
        <v>9313</v>
      </c>
      <c r="F5231" t="s">
        <v>8537</v>
      </c>
      <c r="G5231" t="s">
        <v>8538</v>
      </c>
      <c r="H5231" t="s">
        <v>4211</v>
      </c>
      <c r="J5231">
        <v>86390</v>
      </c>
      <c r="L5231" t="s">
        <v>5958</v>
      </c>
    </row>
    <row r="5232" spans="1:12" x14ac:dyDescent="0.35">
      <c r="A5232" t="s">
        <v>3115</v>
      </c>
      <c r="B5232" s="1">
        <v>45729</v>
      </c>
      <c r="C5232" t="s">
        <v>7087</v>
      </c>
      <c r="D5232" t="s">
        <v>4212</v>
      </c>
      <c r="E5232" t="s">
        <v>9314</v>
      </c>
      <c r="F5232" t="s">
        <v>6802</v>
      </c>
      <c r="H5232" t="s">
        <v>4213</v>
      </c>
      <c r="K5232">
        <v>2793</v>
      </c>
      <c r="L5232" t="s">
        <v>6803</v>
      </c>
    </row>
    <row r="5233" spans="1:12" x14ac:dyDescent="0.35">
      <c r="A5233" t="s">
        <v>3115</v>
      </c>
      <c r="B5233" s="1">
        <v>45729</v>
      </c>
      <c r="C5233" t="s">
        <v>7087</v>
      </c>
      <c r="D5233" t="s">
        <v>4212</v>
      </c>
      <c r="E5233" t="s">
        <v>9314</v>
      </c>
      <c r="F5233" t="s">
        <v>8557</v>
      </c>
      <c r="G5233" t="s">
        <v>8558</v>
      </c>
      <c r="H5233" t="s">
        <v>4213</v>
      </c>
      <c r="J5233">
        <v>2793</v>
      </c>
      <c r="L5233" t="s">
        <v>5949</v>
      </c>
    </row>
    <row r="5234" spans="1:12" x14ac:dyDescent="0.35">
      <c r="A5234" t="s">
        <v>3115</v>
      </c>
      <c r="B5234" s="1">
        <v>45729</v>
      </c>
      <c r="C5234" t="s">
        <v>7089</v>
      </c>
      <c r="D5234" t="s">
        <v>4214</v>
      </c>
      <c r="E5234" t="s">
        <v>9315</v>
      </c>
      <c r="F5234" t="s">
        <v>6808</v>
      </c>
      <c r="H5234" t="s">
        <v>4215</v>
      </c>
      <c r="K5234">
        <v>3360</v>
      </c>
      <c r="L5234" t="s">
        <v>6803</v>
      </c>
    </row>
    <row r="5235" spans="1:12" x14ac:dyDescent="0.35">
      <c r="A5235" t="s">
        <v>3115</v>
      </c>
      <c r="B5235" s="1">
        <v>45729</v>
      </c>
      <c r="C5235" t="s">
        <v>7089</v>
      </c>
      <c r="D5235" t="s">
        <v>4214</v>
      </c>
      <c r="E5235" t="s">
        <v>9315</v>
      </c>
      <c r="F5235" t="s">
        <v>8467</v>
      </c>
      <c r="G5235" t="s">
        <v>8567</v>
      </c>
      <c r="H5235" t="s">
        <v>4215</v>
      </c>
      <c r="J5235">
        <v>3360</v>
      </c>
      <c r="L5235" t="s">
        <v>5958</v>
      </c>
    </row>
    <row r="5236" spans="1:12" x14ac:dyDescent="0.35">
      <c r="A5236" t="s">
        <v>3115</v>
      </c>
      <c r="B5236" s="1">
        <v>45729</v>
      </c>
      <c r="C5236" t="s">
        <v>7091</v>
      </c>
      <c r="D5236" t="s">
        <v>4216</v>
      </c>
      <c r="E5236" t="s">
        <v>9316</v>
      </c>
      <c r="F5236" t="s">
        <v>6811</v>
      </c>
      <c r="H5236" t="s">
        <v>4217</v>
      </c>
      <c r="K5236">
        <v>328</v>
      </c>
      <c r="L5236" t="s">
        <v>6803</v>
      </c>
    </row>
    <row r="5237" spans="1:12" x14ac:dyDescent="0.35">
      <c r="A5237" t="s">
        <v>3115</v>
      </c>
      <c r="B5237" s="1">
        <v>45729</v>
      </c>
      <c r="C5237" t="s">
        <v>7091</v>
      </c>
      <c r="D5237" t="s">
        <v>4216</v>
      </c>
      <c r="E5237" t="s">
        <v>9316</v>
      </c>
      <c r="F5237" t="s">
        <v>6802</v>
      </c>
      <c r="H5237" t="s">
        <v>4217</v>
      </c>
      <c r="K5237">
        <v>8987</v>
      </c>
      <c r="L5237" t="s">
        <v>6803</v>
      </c>
    </row>
    <row r="5238" spans="1:12" x14ac:dyDescent="0.35">
      <c r="A5238" t="s">
        <v>3115</v>
      </c>
      <c r="B5238" s="1">
        <v>45729</v>
      </c>
      <c r="C5238" t="s">
        <v>7091</v>
      </c>
      <c r="D5238" t="s">
        <v>4216</v>
      </c>
      <c r="E5238" t="s">
        <v>9316</v>
      </c>
      <c r="F5238" t="s">
        <v>8537</v>
      </c>
      <c r="G5238" t="s">
        <v>8538</v>
      </c>
      <c r="H5238" t="s">
        <v>4217</v>
      </c>
      <c r="J5238">
        <v>9315</v>
      </c>
      <c r="L5238" t="s">
        <v>5958</v>
      </c>
    </row>
    <row r="5239" spans="1:12" x14ac:dyDescent="0.35">
      <c r="A5239" t="s">
        <v>3115</v>
      </c>
      <c r="B5239" s="1">
        <v>45729</v>
      </c>
      <c r="C5239" t="s">
        <v>7093</v>
      </c>
      <c r="D5239" t="s">
        <v>4218</v>
      </c>
      <c r="E5239" t="s">
        <v>9317</v>
      </c>
      <c r="F5239" t="s">
        <v>6802</v>
      </c>
      <c r="H5239" t="s">
        <v>4219</v>
      </c>
      <c r="K5239">
        <v>656</v>
      </c>
      <c r="L5239" t="s">
        <v>6803</v>
      </c>
    </row>
    <row r="5240" spans="1:12" x14ac:dyDescent="0.35">
      <c r="A5240" t="s">
        <v>3115</v>
      </c>
      <c r="B5240" s="1">
        <v>45729</v>
      </c>
      <c r="C5240" t="s">
        <v>7093</v>
      </c>
      <c r="D5240" t="s">
        <v>4218</v>
      </c>
      <c r="E5240" t="s">
        <v>9317</v>
      </c>
      <c r="F5240" t="s">
        <v>8537</v>
      </c>
      <c r="G5240" t="s">
        <v>8538</v>
      </c>
      <c r="H5240" t="s">
        <v>4219</v>
      </c>
      <c r="J5240">
        <v>656</v>
      </c>
      <c r="L5240" t="s">
        <v>5958</v>
      </c>
    </row>
    <row r="5241" spans="1:12" x14ac:dyDescent="0.35">
      <c r="A5241" t="s">
        <v>3115</v>
      </c>
      <c r="B5241" s="1">
        <v>45729</v>
      </c>
      <c r="C5241" t="s">
        <v>6979</v>
      </c>
      <c r="D5241" t="s">
        <v>4220</v>
      </c>
      <c r="E5241" t="s">
        <v>9318</v>
      </c>
      <c r="F5241" t="s">
        <v>6802</v>
      </c>
      <c r="H5241" t="s">
        <v>4221</v>
      </c>
      <c r="K5241">
        <v>29387</v>
      </c>
      <c r="L5241" t="s">
        <v>6803</v>
      </c>
    </row>
    <row r="5242" spans="1:12" x14ac:dyDescent="0.35">
      <c r="A5242" t="s">
        <v>3115</v>
      </c>
      <c r="B5242" s="1">
        <v>45729</v>
      </c>
      <c r="C5242" t="s">
        <v>6979</v>
      </c>
      <c r="D5242" t="s">
        <v>4220</v>
      </c>
      <c r="E5242" t="s">
        <v>9318</v>
      </c>
      <c r="F5242" t="s">
        <v>8537</v>
      </c>
      <c r="G5242" t="s">
        <v>8538</v>
      </c>
      <c r="H5242" t="s">
        <v>4221</v>
      </c>
      <c r="J5242">
        <v>29387</v>
      </c>
      <c r="L5242" t="s">
        <v>5958</v>
      </c>
    </row>
    <row r="5243" spans="1:12" x14ac:dyDescent="0.35">
      <c r="A5243" t="s">
        <v>3115</v>
      </c>
      <c r="B5243" s="1">
        <v>45729</v>
      </c>
      <c r="C5243" t="s">
        <v>7100</v>
      </c>
      <c r="D5243" t="s">
        <v>4222</v>
      </c>
      <c r="E5243" t="s">
        <v>9319</v>
      </c>
      <c r="F5243" t="s">
        <v>6802</v>
      </c>
      <c r="H5243" t="s">
        <v>4223</v>
      </c>
      <c r="K5243">
        <v>29387</v>
      </c>
      <c r="L5243" t="s">
        <v>6803</v>
      </c>
    </row>
    <row r="5244" spans="1:12" x14ac:dyDescent="0.35">
      <c r="A5244" t="s">
        <v>3115</v>
      </c>
      <c r="B5244" s="1">
        <v>45729</v>
      </c>
      <c r="C5244" t="s">
        <v>7100</v>
      </c>
      <c r="D5244" t="s">
        <v>4222</v>
      </c>
      <c r="E5244" t="s">
        <v>9319</v>
      </c>
      <c r="F5244" t="s">
        <v>8537</v>
      </c>
      <c r="G5244" t="s">
        <v>8538</v>
      </c>
      <c r="H5244" t="s">
        <v>4223</v>
      </c>
      <c r="J5244">
        <v>29387</v>
      </c>
      <c r="L5244" t="s">
        <v>5958</v>
      </c>
    </row>
    <row r="5245" spans="1:12" x14ac:dyDescent="0.35">
      <c r="A5245" t="s">
        <v>3115</v>
      </c>
      <c r="B5245" s="1">
        <v>45729</v>
      </c>
      <c r="C5245" t="s">
        <v>7102</v>
      </c>
      <c r="D5245" t="s">
        <v>4224</v>
      </c>
      <c r="E5245" t="s">
        <v>9320</v>
      </c>
      <c r="F5245" t="s">
        <v>6802</v>
      </c>
      <c r="H5245" t="s">
        <v>4225</v>
      </c>
      <c r="K5245">
        <v>29387</v>
      </c>
      <c r="L5245" t="s">
        <v>6803</v>
      </c>
    </row>
    <row r="5246" spans="1:12" x14ac:dyDescent="0.35">
      <c r="A5246" t="s">
        <v>3115</v>
      </c>
      <c r="B5246" s="1">
        <v>45729</v>
      </c>
      <c r="C5246" t="s">
        <v>7102</v>
      </c>
      <c r="D5246" t="s">
        <v>4224</v>
      </c>
      <c r="E5246" t="s">
        <v>9320</v>
      </c>
      <c r="F5246" t="s">
        <v>8537</v>
      </c>
      <c r="G5246" t="s">
        <v>8538</v>
      </c>
      <c r="H5246" t="s">
        <v>4225</v>
      </c>
      <c r="J5246">
        <v>29387</v>
      </c>
      <c r="L5246" t="s">
        <v>5958</v>
      </c>
    </row>
    <row r="5247" spans="1:12" x14ac:dyDescent="0.35">
      <c r="A5247" t="s">
        <v>3115</v>
      </c>
      <c r="B5247" s="1">
        <v>45729</v>
      </c>
      <c r="C5247" t="s">
        <v>7095</v>
      </c>
      <c r="D5247" t="s">
        <v>4226</v>
      </c>
      <c r="E5247" t="s">
        <v>9321</v>
      </c>
      <c r="F5247" t="s">
        <v>6802</v>
      </c>
      <c r="H5247" t="s">
        <v>4227</v>
      </c>
      <c r="K5247">
        <v>29387</v>
      </c>
      <c r="L5247" t="s">
        <v>6803</v>
      </c>
    </row>
    <row r="5248" spans="1:12" x14ac:dyDescent="0.35">
      <c r="A5248" t="s">
        <v>3115</v>
      </c>
      <c r="B5248" s="1">
        <v>45729</v>
      </c>
      <c r="C5248" t="s">
        <v>7095</v>
      </c>
      <c r="D5248" t="s">
        <v>4226</v>
      </c>
      <c r="E5248" t="s">
        <v>9321</v>
      </c>
      <c r="F5248" t="s">
        <v>8537</v>
      </c>
      <c r="G5248" t="s">
        <v>8538</v>
      </c>
      <c r="H5248" t="s">
        <v>4227</v>
      </c>
      <c r="J5248">
        <v>29387</v>
      </c>
      <c r="L5248" t="s">
        <v>5958</v>
      </c>
    </row>
    <row r="5249" spans="1:12" x14ac:dyDescent="0.35">
      <c r="A5249" t="s">
        <v>3115</v>
      </c>
      <c r="B5249" s="1">
        <v>45729</v>
      </c>
      <c r="C5249" t="s">
        <v>6982</v>
      </c>
      <c r="D5249" t="s">
        <v>4228</v>
      </c>
      <c r="E5249" t="s">
        <v>9312</v>
      </c>
      <c r="F5249" t="s">
        <v>6802</v>
      </c>
      <c r="H5249" t="s">
        <v>4229</v>
      </c>
      <c r="K5249">
        <v>13775</v>
      </c>
      <c r="L5249" t="s">
        <v>6803</v>
      </c>
    </row>
    <row r="5250" spans="1:12" x14ac:dyDescent="0.35">
      <c r="A5250" t="s">
        <v>3115</v>
      </c>
      <c r="B5250" s="1">
        <v>45729</v>
      </c>
      <c r="C5250" t="s">
        <v>6982</v>
      </c>
      <c r="D5250" t="s">
        <v>4228</v>
      </c>
      <c r="E5250" t="s">
        <v>9312</v>
      </c>
      <c r="F5250" t="s">
        <v>8537</v>
      </c>
      <c r="G5250" t="s">
        <v>8538</v>
      </c>
      <c r="H5250" t="s">
        <v>4229</v>
      </c>
      <c r="J5250">
        <v>13775</v>
      </c>
      <c r="L5250" t="s">
        <v>5958</v>
      </c>
    </row>
    <row r="5251" spans="1:12" x14ac:dyDescent="0.35">
      <c r="A5251" t="s">
        <v>3115</v>
      </c>
      <c r="B5251" s="1">
        <v>45729</v>
      </c>
      <c r="C5251" t="s">
        <v>6984</v>
      </c>
      <c r="D5251" t="s">
        <v>4230</v>
      </c>
      <c r="E5251" t="s">
        <v>9322</v>
      </c>
      <c r="F5251" t="s">
        <v>6802</v>
      </c>
      <c r="H5251" t="s">
        <v>4231</v>
      </c>
      <c r="K5251">
        <v>337951</v>
      </c>
      <c r="L5251" t="s">
        <v>6803</v>
      </c>
    </row>
    <row r="5252" spans="1:12" x14ac:dyDescent="0.35">
      <c r="A5252" t="s">
        <v>3115</v>
      </c>
      <c r="B5252" s="1">
        <v>45729</v>
      </c>
      <c r="C5252" t="s">
        <v>6984</v>
      </c>
      <c r="D5252" t="s">
        <v>4230</v>
      </c>
      <c r="E5252" t="s">
        <v>9322</v>
      </c>
      <c r="F5252" t="s">
        <v>8537</v>
      </c>
      <c r="G5252" t="s">
        <v>8538</v>
      </c>
      <c r="H5252" t="s">
        <v>4231</v>
      </c>
      <c r="J5252">
        <v>337951</v>
      </c>
      <c r="L5252" t="s">
        <v>5958</v>
      </c>
    </row>
    <row r="5253" spans="1:12" x14ac:dyDescent="0.35">
      <c r="A5253" t="s">
        <v>3115</v>
      </c>
      <c r="B5253" s="1">
        <v>45729</v>
      </c>
      <c r="C5253" t="s">
        <v>7107</v>
      </c>
      <c r="D5253" t="s">
        <v>4232</v>
      </c>
      <c r="E5253" t="s">
        <v>9323</v>
      </c>
      <c r="F5253" t="s">
        <v>6802</v>
      </c>
      <c r="H5253" t="s">
        <v>4233</v>
      </c>
      <c r="K5253">
        <v>85012</v>
      </c>
      <c r="L5253" t="s">
        <v>6803</v>
      </c>
    </row>
    <row r="5254" spans="1:12" x14ac:dyDescent="0.35">
      <c r="A5254" t="s">
        <v>3115</v>
      </c>
      <c r="B5254" s="1">
        <v>45729</v>
      </c>
      <c r="C5254" t="s">
        <v>7107</v>
      </c>
      <c r="D5254" t="s">
        <v>4232</v>
      </c>
      <c r="E5254" t="s">
        <v>9323</v>
      </c>
      <c r="F5254" t="s">
        <v>8537</v>
      </c>
      <c r="G5254" t="s">
        <v>8538</v>
      </c>
      <c r="H5254" t="s">
        <v>4233</v>
      </c>
      <c r="J5254">
        <v>85012</v>
      </c>
      <c r="L5254" t="s">
        <v>5958</v>
      </c>
    </row>
    <row r="5255" spans="1:12" x14ac:dyDescent="0.35">
      <c r="A5255" t="s">
        <v>3115</v>
      </c>
      <c r="B5255" s="1">
        <v>45729</v>
      </c>
      <c r="C5255" t="s">
        <v>6985</v>
      </c>
      <c r="D5255" t="s">
        <v>4234</v>
      </c>
      <c r="E5255" t="s">
        <v>9324</v>
      </c>
      <c r="F5255" t="s">
        <v>6802</v>
      </c>
      <c r="H5255" t="s">
        <v>4235</v>
      </c>
      <c r="K5255">
        <v>85012</v>
      </c>
      <c r="L5255" t="s">
        <v>6803</v>
      </c>
    </row>
    <row r="5256" spans="1:12" x14ac:dyDescent="0.35">
      <c r="A5256" t="s">
        <v>3115</v>
      </c>
      <c r="B5256" s="1">
        <v>45729</v>
      </c>
      <c r="C5256" t="s">
        <v>6985</v>
      </c>
      <c r="D5256" t="s">
        <v>4234</v>
      </c>
      <c r="E5256" t="s">
        <v>9324</v>
      </c>
      <c r="F5256" t="s">
        <v>8537</v>
      </c>
      <c r="G5256" t="s">
        <v>8538</v>
      </c>
      <c r="H5256" t="s">
        <v>4235</v>
      </c>
      <c r="J5256">
        <v>85012</v>
      </c>
      <c r="L5256" t="s">
        <v>5958</v>
      </c>
    </row>
    <row r="5257" spans="1:12" x14ac:dyDescent="0.35">
      <c r="A5257" t="s">
        <v>3115</v>
      </c>
      <c r="B5257" s="1">
        <v>45729</v>
      </c>
      <c r="C5257" t="s">
        <v>7046</v>
      </c>
      <c r="D5257" t="s">
        <v>4236</v>
      </c>
      <c r="E5257" t="s">
        <v>9325</v>
      </c>
      <c r="F5257" t="s">
        <v>6811</v>
      </c>
      <c r="H5257" t="s">
        <v>4237</v>
      </c>
      <c r="K5257">
        <v>673</v>
      </c>
      <c r="L5257" t="s">
        <v>6803</v>
      </c>
    </row>
    <row r="5258" spans="1:12" x14ac:dyDescent="0.35">
      <c r="A5258" t="s">
        <v>3115</v>
      </c>
      <c r="B5258" s="1">
        <v>45729</v>
      </c>
      <c r="C5258" t="s">
        <v>7046</v>
      </c>
      <c r="D5258" t="s">
        <v>4236</v>
      </c>
      <c r="E5258" t="s">
        <v>9325</v>
      </c>
      <c r="F5258" t="s">
        <v>8557</v>
      </c>
      <c r="G5258" t="s">
        <v>8558</v>
      </c>
      <c r="H5258" t="s">
        <v>4237</v>
      </c>
      <c r="J5258">
        <v>673</v>
      </c>
      <c r="L5258" t="s">
        <v>5949</v>
      </c>
    </row>
    <row r="5259" spans="1:12" x14ac:dyDescent="0.35">
      <c r="A5259" t="s">
        <v>3115</v>
      </c>
      <c r="B5259" s="1">
        <v>45729</v>
      </c>
      <c r="C5259" t="s">
        <v>7047</v>
      </c>
      <c r="D5259" t="s">
        <v>4238</v>
      </c>
      <c r="E5259" t="s">
        <v>9326</v>
      </c>
      <c r="F5259" t="s">
        <v>6802</v>
      </c>
      <c r="H5259" t="s">
        <v>4239</v>
      </c>
      <c r="K5259">
        <v>93802</v>
      </c>
      <c r="L5259" t="s">
        <v>6803</v>
      </c>
    </row>
    <row r="5260" spans="1:12" x14ac:dyDescent="0.35">
      <c r="A5260" t="s">
        <v>3115</v>
      </c>
      <c r="B5260" s="1">
        <v>45729</v>
      </c>
      <c r="C5260" t="s">
        <v>7047</v>
      </c>
      <c r="D5260" t="s">
        <v>4238</v>
      </c>
      <c r="E5260" t="s">
        <v>9326</v>
      </c>
      <c r="F5260" t="s">
        <v>8537</v>
      </c>
      <c r="G5260" t="s">
        <v>8538</v>
      </c>
      <c r="H5260" t="s">
        <v>4239</v>
      </c>
      <c r="J5260">
        <v>93802</v>
      </c>
      <c r="L5260" t="s">
        <v>5874</v>
      </c>
    </row>
    <row r="5261" spans="1:12" x14ac:dyDescent="0.35">
      <c r="A5261" t="s">
        <v>3115</v>
      </c>
      <c r="B5261" s="1">
        <v>45729</v>
      </c>
      <c r="C5261" t="s">
        <v>7048</v>
      </c>
      <c r="D5261" t="s">
        <v>4240</v>
      </c>
      <c r="E5261" t="s">
        <v>9327</v>
      </c>
      <c r="F5261" t="s">
        <v>6802</v>
      </c>
      <c r="H5261" t="s">
        <v>4241</v>
      </c>
      <c r="K5261">
        <v>8397</v>
      </c>
      <c r="L5261" t="s">
        <v>6803</v>
      </c>
    </row>
    <row r="5262" spans="1:12" x14ac:dyDescent="0.35">
      <c r="A5262" t="s">
        <v>3115</v>
      </c>
      <c r="B5262" s="1">
        <v>45729</v>
      </c>
      <c r="C5262" t="s">
        <v>7048</v>
      </c>
      <c r="D5262" t="s">
        <v>4240</v>
      </c>
      <c r="E5262" t="s">
        <v>9327</v>
      </c>
      <c r="F5262" t="s">
        <v>8537</v>
      </c>
      <c r="G5262" t="s">
        <v>8538</v>
      </c>
      <c r="H5262" t="s">
        <v>4241</v>
      </c>
      <c r="J5262">
        <v>8397</v>
      </c>
      <c r="L5262" t="s">
        <v>5880</v>
      </c>
    </row>
    <row r="5263" spans="1:12" x14ac:dyDescent="0.35">
      <c r="A5263" t="s">
        <v>3115</v>
      </c>
      <c r="B5263" s="1">
        <v>45729</v>
      </c>
      <c r="C5263" t="s">
        <v>7050</v>
      </c>
      <c r="D5263" t="s">
        <v>4242</v>
      </c>
      <c r="E5263" t="s">
        <v>9327</v>
      </c>
      <c r="F5263" t="s">
        <v>6802</v>
      </c>
      <c r="H5263" t="s">
        <v>4243</v>
      </c>
      <c r="K5263">
        <v>1051</v>
      </c>
      <c r="L5263" t="s">
        <v>6803</v>
      </c>
    </row>
    <row r="5264" spans="1:12" x14ac:dyDescent="0.35">
      <c r="A5264" t="s">
        <v>3115</v>
      </c>
      <c r="B5264" s="1">
        <v>45729</v>
      </c>
      <c r="C5264" t="s">
        <v>7050</v>
      </c>
      <c r="D5264" t="s">
        <v>4242</v>
      </c>
      <c r="E5264" t="s">
        <v>9327</v>
      </c>
      <c r="F5264" t="s">
        <v>8557</v>
      </c>
      <c r="G5264" t="s">
        <v>8558</v>
      </c>
      <c r="H5264" t="s">
        <v>4243</v>
      </c>
      <c r="J5264">
        <v>1051</v>
      </c>
      <c r="L5264" t="s">
        <v>5880</v>
      </c>
    </row>
    <row r="5265" spans="1:12" x14ac:dyDescent="0.35">
      <c r="A5265" t="s">
        <v>3115</v>
      </c>
      <c r="B5265" s="1">
        <v>45729</v>
      </c>
      <c r="C5265" t="s">
        <v>7051</v>
      </c>
      <c r="D5265" t="s">
        <v>4244</v>
      </c>
      <c r="E5265" t="s">
        <v>9328</v>
      </c>
      <c r="F5265" t="s">
        <v>6915</v>
      </c>
      <c r="H5265" t="s">
        <v>4245</v>
      </c>
      <c r="K5265">
        <v>37375</v>
      </c>
      <c r="L5265" t="s">
        <v>6803</v>
      </c>
    </row>
    <row r="5266" spans="1:12" x14ac:dyDescent="0.35">
      <c r="A5266" t="s">
        <v>3115</v>
      </c>
      <c r="B5266" s="1">
        <v>45729</v>
      </c>
      <c r="C5266" t="s">
        <v>7051</v>
      </c>
      <c r="D5266" t="s">
        <v>4244</v>
      </c>
      <c r="E5266" t="s">
        <v>9328</v>
      </c>
      <c r="F5266" t="s">
        <v>8569</v>
      </c>
      <c r="G5266" t="s">
        <v>8570</v>
      </c>
      <c r="H5266" t="s">
        <v>4245</v>
      </c>
      <c r="J5266">
        <v>37375</v>
      </c>
      <c r="L5266" t="s">
        <v>5876</v>
      </c>
    </row>
    <row r="5267" spans="1:12" x14ac:dyDescent="0.35">
      <c r="A5267" t="s">
        <v>3115</v>
      </c>
      <c r="B5267" s="1">
        <v>45729</v>
      </c>
      <c r="C5267" t="s">
        <v>7104</v>
      </c>
      <c r="D5267" t="s">
        <v>4246</v>
      </c>
      <c r="E5267" t="s">
        <v>9329</v>
      </c>
      <c r="F5267" t="s">
        <v>6811</v>
      </c>
      <c r="H5267" t="s">
        <v>4247</v>
      </c>
      <c r="K5267">
        <v>588</v>
      </c>
      <c r="L5267" t="s">
        <v>6803</v>
      </c>
    </row>
    <row r="5268" spans="1:12" x14ac:dyDescent="0.35">
      <c r="A5268" t="s">
        <v>3115</v>
      </c>
      <c r="B5268" s="1">
        <v>45729</v>
      </c>
      <c r="C5268" t="s">
        <v>7104</v>
      </c>
      <c r="D5268" t="s">
        <v>4246</v>
      </c>
      <c r="E5268" t="s">
        <v>9329</v>
      </c>
      <c r="F5268" t="s">
        <v>6802</v>
      </c>
      <c r="H5268" t="s">
        <v>4247</v>
      </c>
      <c r="K5268">
        <v>9764</v>
      </c>
      <c r="L5268" t="s">
        <v>6803</v>
      </c>
    </row>
    <row r="5269" spans="1:12" x14ac:dyDescent="0.35">
      <c r="A5269" t="s">
        <v>3115</v>
      </c>
      <c r="B5269" s="1">
        <v>45729</v>
      </c>
      <c r="C5269" t="s">
        <v>7104</v>
      </c>
      <c r="D5269" t="s">
        <v>4246</v>
      </c>
      <c r="E5269" t="s">
        <v>9329</v>
      </c>
      <c r="F5269" t="s">
        <v>8557</v>
      </c>
      <c r="G5269" t="s">
        <v>8558</v>
      </c>
      <c r="H5269" t="s">
        <v>4247</v>
      </c>
      <c r="J5269">
        <v>10352</v>
      </c>
      <c r="L5269" t="s">
        <v>5876</v>
      </c>
    </row>
    <row r="5270" spans="1:12" x14ac:dyDescent="0.35">
      <c r="A5270" t="s">
        <v>3115</v>
      </c>
      <c r="B5270" s="1">
        <v>45729</v>
      </c>
      <c r="C5270" t="s">
        <v>7105</v>
      </c>
      <c r="D5270" t="s">
        <v>4248</v>
      </c>
      <c r="E5270" t="s">
        <v>9330</v>
      </c>
      <c r="F5270" t="s">
        <v>6811</v>
      </c>
      <c r="H5270" t="s">
        <v>4249</v>
      </c>
      <c r="K5270">
        <v>17820</v>
      </c>
      <c r="L5270" t="s">
        <v>6803</v>
      </c>
    </row>
    <row r="5271" spans="1:12" x14ac:dyDescent="0.35">
      <c r="A5271" t="s">
        <v>3115</v>
      </c>
      <c r="B5271" s="1">
        <v>45729</v>
      </c>
      <c r="C5271" t="s">
        <v>7105</v>
      </c>
      <c r="D5271" t="s">
        <v>4248</v>
      </c>
      <c r="E5271" t="s">
        <v>9330</v>
      </c>
      <c r="F5271" t="s">
        <v>8557</v>
      </c>
      <c r="G5271" t="s">
        <v>8558</v>
      </c>
      <c r="H5271" t="s">
        <v>4249</v>
      </c>
      <c r="J5271">
        <v>17820</v>
      </c>
      <c r="L5271" t="s">
        <v>5874</v>
      </c>
    </row>
    <row r="5272" spans="1:12" x14ac:dyDescent="0.35">
      <c r="A5272" t="s">
        <v>3115</v>
      </c>
      <c r="B5272" s="1">
        <v>45729</v>
      </c>
      <c r="C5272" t="s">
        <v>7106</v>
      </c>
      <c r="D5272" t="s">
        <v>4250</v>
      </c>
      <c r="E5272" t="s">
        <v>9331</v>
      </c>
      <c r="F5272" t="s">
        <v>6802</v>
      </c>
      <c r="H5272" t="s">
        <v>4251</v>
      </c>
      <c r="K5272">
        <v>1050</v>
      </c>
      <c r="L5272" t="s">
        <v>6803</v>
      </c>
    </row>
    <row r="5273" spans="1:12" x14ac:dyDescent="0.35">
      <c r="A5273" t="s">
        <v>3115</v>
      </c>
      <c r="B5273" s="1">
        <v>45729</v>
      </c>
      <c r="C5273" t="s">
        <v>7106</v>
      </c>
      <c r="D5273" t="s">
        <v>4250</v>
      </c>
      <c r="E5273" t="s">
        <v>9331</v>
      </c>
      <c r="F5273" t="s">
        <v>8537</v>
      </c>
      <c r="G5273" t="s">
        <v>8538</v>
      </c>
      <c r="H5273" t="s">
        <v>4251</v>
      </c>
      <c r="J5273">
        <v>1050</v>
      </c>
      <c r="L5273" t="s">
        <v>5875</v>
      </c>
    </row>
    <row r="5274" spans="1:12" x14ac:dyDescent="0.35">
      <c r="A5274" t="s">
        <v>3115</v>
      </c>
      <c r="B5274" s="1">
        <v>45729</v>
      </c>
      <c r="C5274" t="s">
        <v>7267</v>
      </c>
      <c r="D5274" t="s">
        <v>4252</v>
      </c>
      <c r="E5274" t="s">
        <v>9332</v>
      </c>
      <c r="F5274" t="s">
        <v>6802</v>
      </c>
      <c r="H5274" t="s">
        <v>4253</v>
      </c>
      <c r="K5274">
        <v>6691</v>
      </c>
      <c r="L5274" t="s">
        <v>6803</v>
      </c>
    </row>
    <row r="5275" spans="1:12" x14ac:dyDescent="0.35">
      <c r="A5275" t="s">
        <v>3115</v>
      </c>
      <c r="B5275" s="1">
        <v>45729</v>
      </c>
      <c r="C5275" t="s">
        <v>7267</v>
      </c>
      <c r="D5275" t="s">
        <v>4252</v>
      </c>
      <c r="E5275" t="s">
        <v>9332</v>
      </c>
      <c r="F5275" t="s">
        <v>8537</v>
      </c>
      <c r="G5275" t="s">
        <v>8538</v>
      </c>
      <c r="H5275" t="s">
        <v>4253</v>
      </c>
      <c r="J5275">
        <v>6691</v>
      </c>
      <c r="L5275" t="s">
        <v>5874</v>
      </c>
    </row>
    <row r="5276" spans="1:12" x14ac:dyDescent="0.35">
      <c r="A5276" t="s">
        <v>3115</v>
      </c>
      <c r="B5276" s="1">
        <v>45729</v>
      </c>
      <c r="C5276" t="s">
        <v>7142</v>
      </c>
      <c r="D5276" t="s">
        <v>4254</v>
      </c>
      <c r="E5276" t="s">
        <v>9333</v>
      </c>
      <c r="F5276" t="s">
        <v>6811</v>
      </c>
      <c r="H5276" t="s">
        <v>4255</v>
      </c>
      <c r="K5276">
        <v>17500</v>
      </c>
      <c r="L5276" t="s">
        <v>6803</v>
      </c>
    </row>
    <row r="5277" spans="1:12" x14ac:dyDescent="0.35">
      <c r="A5277" t="s">
        <v>3115</v>
      </c>
      <c r="B5277" s="1">
        <v>45729</v>
      </c>
      <c r="C5277" t="s">
        <v>7142</v>
      </c>
      <c r="D5277" t="s">
        <v>4254</v>
      </c>
      <c r="E5277" t="s">
        <v>9333</v>
      </c>
      <c r="F5277" t="s">
        <v>8557</v>
      </c>
      <c r="G5277" t="s">
        <v>8558</v>
      </c>
      <c r="H5277" t="s">
        <v>4255</v>
      </c>
      <c r="J5277">
        <v>17500</v>
      </c>
      <c r="L5277" t="s">
        <v>5949</v>
      </c>
    </row>
    <row r="5278" spans="1:12" x14ac:dyDescent="0.35">
      <c r="A5278" t="s">
        <v>3115</v>
      </c>
      <c r="B5278" s="1">
        <v>45729</v>
      </c>
      <c r="C5278" t="s">
        <v>7268</v>
      </c>
      <c r="D5278" t="s">
        <v>4256</v>
      </c>
      <c r="E5278" t="s">
        <v>9334</v>
      </c>
      <c r="F5278" t="s">
        <v>6802</v>
      </c>
      <c r="H5278" t="s">
        <v>4257</v>
      </c>
      <c r="K5278">
        <v>11021</v>
      </c>
      <c r="L5278" t="s">
        <v>6803</v>
      </c>
    </row>
    <row r="5279" spans="1:12" x14ac:dyDescent="0.35">
      <c r="A5279" t="s">
        <v>3115</v>
      </c>
      <c r="B5279" s="1">
        <v>45729</v>
      </c>
      <c r="C5279" t="s">
        <v>7268</v>
      </c>
      <c r="D5279" t="s">
        <v>4256</v>
      </c>
      <c r="E5279" t="s">
        <v>9334</v>
      </c>
      <c r="F5279" t="s">
        <v>8537</v>
      </c>
      <c r="G5279" t="s">
        <v>8538</v>
      </c>
      <c r="H5279" t="s">
        <v>4257</v>
      </c>
      <c r="J5279">
        <v>11021</v>
      </c>
      <c r="L5279" t="s">
        <v>5875</v>
      </c>
    </row>
    <row r="5280" spans="1:12" x14ac:dyDescent="0.35">
      <c r="A5280" t="s">
        <v>3115</v>
      </c>
      <c r="B5280" s="1">
        <v>45729</v>
      </c>
      <c r="C5280" t="s">
        <v>7172</v>
      </c>
      <c r="D5280" t="s">
        <v>4258</v>
      </c>
      <c r="E5280" t="s">
        <v>9334</v>
      </c>
      <c r="F5280" t="s">
        <v>6802</v>
      </c>
      <c r="H5280" t="s">
        <v>4259</v>
      </c>
      <c r="K5280">
        <v>1314</v>
      </c>
      <c r="L5280" t="s">
        <v>6803</v>
      </c>
    </row>
    <row r="5281" spans="1:12" x14ac:dyDescent="0.35">
      <c r="A5281" t="s">
        <v>3115</v>
      </c>
      <c r="B5281" s="1">
        <v>45729</v>
      </c>
      <c r="C5281" t="s">
        <v>7172</v>
      </c>
      <c r="D5281" t="s">
        <v>4258</v>
      </c>
      <c r="E5281" t="s">
        <v>9334</v>
      </c>
      <c r="F5281" t="s">
        <v>8557</v>
      </c>
      <c r="G5281" t="s">
        <v>8558</v>
      </c>
      <c r="H5281" t="s">
        <v>4259</v>
      </c>
      <c r="J5281">
        <v>1314</v>
      </c>
      <c r="L5281" t="s">
        <v>5875</v>
      </c>
    </row>
    <row r="5282" spans="1:12" x14ac:dyDescent="0.35">
      <c r="A5282" t="s">
        <v>3115</v>
      </c>
      <c r="B5282" s="1">
        <v>45729</v>
      </c>
      <c r="C5282" t="s">
        <v>7270</v>
      </c>
      <c r="D5282" t="s">
        <v>4260</v>
      </c>
      <c r="E5282" t="s">
        <v>9335</v>
      </c>
      <c r="F5282" t="s">
        <v>6802</v>
      </c>
      <c r="H5282" t="s">
        <v>4261</v>
      </c>
      <c r="K5282">
        <v>181701</v>
      </c>
      <c r="L5282" t="s">
        <v>6803</v>
      </c>
    </row>
    <row r="5283" spans="1:12" x14ac:dyDescent="0.35">
      <c r="A5283" t="s">
        <v>3115</v>
      </c>
      <c r="B5283" s="1">
        <v>45729</v>
      </c>
      <c r="C5283" t="s">
        <v>7270</v>
      </c>
      <c r="D5283" t="s">
        <v>4260</v>
      </c>
      <c r="E5283" t="s">
        <v>9335</v>
      </c>
      <c r="F5283" t="s">
        <v>8537</v>
      </c>
      <c r="G5283" t="s">
        <v>8538</v>
      </c>
      <c r="H5283" t="s">
        <v>4261</v>
      </c>
      <c r="J5283">
        <v>181701</v>
      </c>
      <c r="L5283" t="s">
        <v>5880</v>
      </c>
    </row>
    <row r="5284" spans="1:12" x14ac:dyDescent="0.35">
      <c r="A5284" t="s">
        <v>3115</v>
      </c>
      <c r="B5284" s="1">
        <v>45729</v>
      </c>
      <c r="C5284" t="s">
        <v>7135</v>
      </c>
      <c r="D5284" t="s">
        <v>4262</v>
      </c>
      <c r="E5284" t="s">
        <v>9335</v>
      </c>
      <c r="F5284" t="s">
        <v>6915</v>
      </c>
      <c r="H5284" t="s">
        <v>4263</v>
      </c>
      <c r="K5284">
        <v>114380</v>
      </c>
      <c r="L5284" t="s">
        <v>6803</v>
      </c>
    </row>
    <row r="5285" spans="1:12" x14ac:dyDescent="0.35">
      <c r="A5285" t="s">
        <v>3115</v>
      </c>
      <c r="B5285" s="1">
        <v>45729</v>
      </c>
      <c r="C5285" t="s">
        <v>7135</v>
      </c>
      <c r="D5285" t="s">
        <v>4262</v>
      </c>
      <c r="E5285" t="s">
        <v>9335</v>
      </c>
      <c r="F5285" t="s">
        <v>8569</v>
      </c>
      <c r="G5285" t="s">
        <v>8570</v>
      </c>
      <c r="H5285" t="s">
        <v>4263</v>
      </c>
      <c r="J5285">
        <v>114380</v>
      </c>
      <c r="L5285" t="s">
        <v>5880</v>
      </c>
    </row>
    <row r="5286" spans="1:12" x14ac:dyDescent="0.35">
      <c r="A5286" t="s">
        <v>3115</v>
      </c>
      <c r="B5286" s="1">
        <v>45729</v>
      </c>
      <c r="C5286" t="s">
        <v>7175</v>
      </c>
      <c r="D5286" t="s">
        <v>4264</v>
      </c>
      <c r="E5286" t="s">
        <v>9336</v>
      </c>
      <c r="F5286" t="s">
        <v>6811</v>
      </c>
      <c r="H5286" t="s">
        <v>4265</v>
      </c>
      <c r="K5286">
        <v>1150</v>
      </c>
      <c r="L5286" t="s">
        <v>6803</v>
      </c>
    </row>
    <row r="5287" spans="1:12" x14ac:dyDescent="0.35">
      <c r="A5287" t="s">
        <v>3115</v>
      </c>
      <c r="B5287" s="1">
        <v>45729</v>
      </c>
      <c r="C5287" t="s">
        <v>7175</v>
      </c>
      <c r="D5287" t="s">
        <v>4264</v>
      </c>
      <c r="E5287" t="s">
        <v>9336</v>
      </c>
      <c r="F5287" t="s">
        <v>8557</v>
      </c>
      <c r="G5287" t="s">
        <v>8558</v>
      </c>
      <c r="H5287" t="s">
        <v>4265</v>
      </c>
      <c r="J5287">
        <v>1150</v>
      </c>
      <c r="L5287" t="s">
        <v>5949</v>
      </c>
    </row>
    <row r="5288" spans="1:12" x14ac:dyDescent="0.35">
      <c r="A5288" t="s">
        <v>3115</v>
      </c>
      <c r="B5288" s="1">
        <v>45729</v>
      </c>
      <c r="C5288" t="s">
        <v>7178</v>
      </c>
      <c r="D5288" t="s">
        <v>4266</v>
      </c>
      <c r="E5288" t="s">
        <v>9337</v>
      </c>
      <c r="F5288" t="s">
        <v>6802</v>
      </c>
      <c r="H5288" t="s">
        <v>4267</v>
      </c>
      <c r="K5288">
        <v>3739</v>
      </c>
      <c r="L5288" t="s">
        <v>6803</v>
      </c>
    </row>
    <row r="5289" spans="1:12" x14ac:dyDescent="0.35">
      <c r="A5289" t="s">
        <v>3115</v>
      </c>
      <c r="B5289" s="1">
        <v>45729</v>
      </c>
      <c r="C5289" t="s">
        <v>7178</v>
      </c>
      <c r="D5289" t="s">
        <v>4266</v>
      </c>
      <c r="E5289" t="s">
        <v>9337</v>
      </c>
      <c r="F5289" t="s">
        <v>8537</v>
      </c>
      <c r="G5289" t="s">
        <v>8538</v>
      </c>
      <c r="H5289" t="s">
        <v>4267</v>
      </c>
      <c r="J5289">
        <v>3739</v>
      </c>
      <c r="L5289" t="s">
        <v>5880</v>
      </c>
    </row>
    <row r="5290" spans="1:12" x14ac:dyDescent="0.35">
      <c r="A5290" t="s">
        <v>3115</v>
      </c>
      <c r="B5290" s="1">
        <v>45729</v>
      </c>
      <c r="C5290" t="s">
        <v>7143</v>
      </c>
      <c r="D5290" t="s">
        <v>4268</v>
      </c>
      <c r="E5290" t="s">
        <v>9309</v>
      </c>
      <c r="F5290" t="s">
        <v>6802</v>
      </c>
      <c r="H5290" t="s">
        <v>4269</v>
      </c>
      <c r="K5290">
        <v>181701</v>
      </c>
      <c r="L5290" t="s">
        <v>6803</v>
      </c>
    </row>
    <row r="5291" spans="1:12" x14ac:dyDescent="0.35">
      <c r="A5291" t="s">
        <v>3115</v>
      </c>
      <c r="B5291" s="1">
        <v>45729</v>
      </c>
      <c r="C5291" t="s">
        <v>7143</v>
      </c>
      <c r="D5291" t="s">
        <v>4268</v>
      </c>
      <c r="E5291" t="s">
        <v>9309</v>
      </c>
      <c r="F5291" t="s">
        <v>8537</v>
      </c>
      <c r="G5291" t="s">
        <v>8538</v>
      </c>
      <c r="H5291" t="s">
        <v>4269</v>
      </c>
      <c r="J5291">
        <v>181701</v>
      </c>
      <c r="L5291" t="s">
        <v>5875</v>
      </c>
    </row>
    <row r="5292" spans="1:12" x14ac:dyDescent="0.35">
      <c r="A5292" t="s">
        <v>3115</v>
      </c>
      <c r="B5292" s="1">
        <v>45729</v>
      </c>
      <c r="C5292" t="s">
        <v>7145</v>
      </c>
      <c r="D5292" t="s">
        <v>4270</v>
      </c>
      <c r="E5292" t="s">
        <v>9338</v>
      </c>
      <c r="F5292" t="s">
        <v>6802</v>
      </c>
      <c r="H5292" t="s">
        <v>4271</v>
      </c>
      <c r="K5292">
        <v>277996</v>
      </c>
      <c r="L5292" t="s">
        <v>6803</v>
      </c>
    </row>
    <row r="5293" spans="1:12" x14ac:dyDescent="0.35">
      <c r="A5293" t="s">
        <v>3115</v>
      </c>
      <c r="B5293" s="1">
        <v>45729</v>
      </c>
      <c r="C5293" t="s">
        <v>7145</v>
      </c>
      <c r="D5293" t="s">
        <v>4270</v>
      </c>
      <c r="E5293" t="s">
        <v>9338</v>
      </c>
      <c r="F5293" t="s">
        <v>8537</v>
      </c>
      <c r="G5293" t="s">
        <v>8538</v>
      </c>
      <c r="H5293" t="s">
        <v>4271</v>
      </c>
      <c r="J5293">
        <v>277996</v>
      </c>
      <c r="L5293" t="s">
        <v>5875</v>
      </c>
    </row>
    <row r="5294" spans="1:12" x14ac:dyDescent="0.35">
      <c r="A5294" t="s">
        <v>3115</v>
      </c>
      <c r="B5294" s="1">
        <v>45729</v>
      </c>
      <c r="C5294" t="s">
        <v>7042</v>
      </c>
      <c r="D5294" t="s">
        <v>4272</v>
      </c>
      <c r="E5294" t="s">
        <v>9339</v>
      </c>
      <c r="F5294" t="s">
        <v>6802</v>
      </c>
      <c r="H5294" t="s">
        <v>4273</v>
      </c>
      <c r="K5294">
        <v>3477</v>
      </c>
      <c r="L5294" t="s">
        <v>6803</v>
      </c>
    </row>
    <row r="5295" spans="1:12" x14ac:dyDescent="0.35">
      <c r="A5295" t="s">
        <v>3115</v>
      </c>
      <c r="B5295" s="1">
        <v>45729</v>
      </c>
      <c r="C5295" t="s">
        <v>7042</v>
      </c>
      <c r="D5295" t="s">
        <v>4272</v>
      </c>
      <c r="E5295" t="s">
        <v>9339</v>
      </c>
      <c r="F5295" t="s">
        <v>8537</v>
      </c>
      <c r="G5295" t="s">
        <v>8538</v>
      </c>
      <c r="H5295" t="s">
        <v>4273</v>
      </c>
      <c r="J5295">
        <v>3477</v>
      </c>
      <c r="L5295" t="s">
        <v>5876</v>
      </c>
    </row>
    <row r="5296" spans="1:12" x14ac:dyDescent="0.35">
      <c r="A5296" t="s">
        <v>3115</v>
      </c>
      <c r="B5296" s="1">
        <v>45729</v>
      </c>
      <c r="C5296" t="s">
        <v>7260</v>
      </c>
      <c r="D5296" t="s">
        <v>4274</v>
      </c>
      <c r="E5296" t="s">
        <v>9340</v>
      </c>
      <c r="F5296" t="s">
        <v>6802</v>
      </c>
      <c r="H5296" t="s">
        <v>4275</v>
      </c>
      <c r="K5296">
        <v>1360</v>
      </c>
      <c r="L5296" t="s">
        <v>6803</v>
      </c>
    </row>
    <row r="5297" spans="1:12" x14ac:dyDescent="0.35">
      <c r="A5297" t="s">
        <v>3115</v>
      </c>
      <c r="B5297" s="1">
        <v>45729</v>
      </c>
      <c r="C5297" t="s">
        <v>7260</v>
      </c>
      <c r="D5297" t="s">
        <v>4274</v>
      </c>
      <c r="E5297" t="s">
        <v>9340</v>
      </c>
      <c r="F5297" t="s">
        <v>8557</v>
      </c>
      <c r="G5297" t="s">
        <v>8558</v>
      </c>
      <c r="H5297" t="s">
        <v>4275</v>
      </c>
      <c r="J5297">
        <v>1360</v>
      </c>
      <c r="L5297" t="s">
        <v>5966</v>
      </c>
    </row>
    <row r="5298" spans="1:12" x14ac:dyDescent="0.35">
      <c r="A5298" t="s">
        <v>3115</v>
      </c>
      <c r="B5298" s="1">
        <v>45729</v>
      </c>
      <c r="C5298" t="s">
        <v>7147</v>
      </c>
      <c r="D5298" t="s">
        <v>4276</v>
      </c>
      <c r="E5298" t="s">
        <v>9341</v>
      </c>
      <c r="F5298" t="s">
        <v>6802</v>
      </c>
      <c r="H5298" t="s">
        <v>4277</v>
      </c>
      <c r="K5298">
        <v>787</v>
      </c>
      <c r="L5298" t="s">
        <v>6803</v>
      </c>
    </row>
    <row r="5299" spans="1:12" x14ac:dyDescent="0.35">
      <c r="A5299" t="s">
        <v>3115</v>
      </c>
      <c r="B5299" s="1">
        <v>45729</v>
      </c>
      <c r="C5299" t="s">
        <v>7147</v>
      </c>
      <c r="D5299" t="s">
        <v>4276</v>
      </c>
      <c r="E5299" t="s">
        <v>9341</v>
      </c>
      <c r="F5299" t="s">
        <v>8537</v>
      </c>
      <c r="G5299" t="s">
        <v>8538</v>
      </c>
      <c r="H5299" t="s">
        <v>4277</v>
      </c>
      <c r="J5299">
        <v>787</v>
      </c>
      <c r="L5299" t="s">
        <v>6010</v>
      </c>
    </row>
    <row r="5300" spans="1:12" x14ac:dyDescent="0.35">
      <c r="A5300" t="s">
        <v>3115</v>
      </c>
      <c r="B5300" s="1">
        <v>45729</v>
      </c>
      <c r="C5300" t="s">
        <v>7148</v>
      </c>
      <c r="D5300" t="s">
        <v>4278</v>
      </c>
      <c r="E5300" t="s">
        <v>9342</v>
      </c>
      <c r="F5300" t="s">
        <v>6802</v>
      </c>
      <c r="H5300" t="s">
        <v>4279</v>
      </c>
      <c r="K5300">
        <v>181701</v>
      </c>
      <c r="L5300" t="s">
        <v>6803</v>
      </c>
    </row>
    <row r="5301" spans="1:12" x14ac:dyDescent="0.35">
      <c r="A5301" t="s">
        <v>3115</v>
      </c>
      <c r="B5301" s="1">
        <v>45729</v>
      </c>
      <c r="C5301" t="s">
        <v>7148</v>
      </c>
      <c r="D5301" t="s">
        <v>4278</v>
      </c>
      <c r="E5301" t="s">
        <v>9342</v>
      </c>
      <c r="F5301" t="s">
        <v>8537</v>
      </c>
      <c r="G5301" t="s">
        <v>8538</v>
      </c>
      <c r="H5301" t="s">
        <v>4279</v>
      </c>
      <c r="J5301">
        <v>181701</v>
      </c>
      <c r="L5301" t="s">
        <v>5875</v>
      </c>
    </row>
    <row r="5302" spans="1:12" x14ac:dyDescent="0.35">
      <c r="A5302" t="s">
        <v>3115</v>
      </c>
      <c r="B5302" s="1">
        <v>45729</v>
      </c>
      <c r="C5302" t="s">
        <v>7149</v>
      </c>
      <c r="D5302" t="s">
        <v>4280</v>
      </c>
      <c r="E5302" t="s">
        <v>9342</v>
      </c>
      <c r="F5302" t="s">
        <v>6915</v>
      </c>
      <c r="H5302" t="s">
        <v>4281</v>
      </c>
      <c r="K5302">
        <v>114380</v>
      </c>
      <c r="L5302" t="s">
        <v>6803</v>
      </c>
    </row>
    <row r="5303" spans="1:12" x14ac:dyDescent="0.35">
      <c r="A5303" t="s">
        <v>3115</v>
      </c>
      <c r="B5303" s="1">
        <v>45729</v>
      </c>
      <c r="C5303" t="s">
        <v>7149</v>
      </c>
      <c r="D5303" t="s">
        <v>4280</v>
      </c>
      <c r="E5303" t="s">
        <v>9342</v>
      </c>
      <c r="F5303" t="s">
        <v>8569</v>
      </c>
      <c r="G5303" t="s">
        <v>8570</v>
      </c>
      <c r="H5303" t="s">
        <v>4281</v>
      </c>
      <c r="J5303">
        <v>114380</v>
      </c>
      <c r="L5303" t="s">
        <v>5875</v>
      </c>
    </row>
    <row r="5304" spans="1:12" x14ac:dyDescent="0.35">
      <c r="A5304" t="s">
        <v>3115</v>
      </c>
      <c r="B5304" s="1">
        <v>45729</v>
      </c>
      <c r="C5304" t="s">
        <v>7150</v>
      </c>
      <c r="D5304" t="s">
        <v>4282</v>
      </c>
      <c r="E5304" t="s">
        <v>9343</v>
      </c>
      <c r="F5304" t="s">
        <v>6802</v>
      </c>
      <c r="H5304" t="s">
        <v>4283</v>
      </c>
      <c r="K5304">
        <v>5248</v>
      </c>
      <c r="L5304" t="s">
        <v>6803</v>
      </c>
    </row>
    <row r="5305" spans="1:12" x14ac:dyDescent="0.35">
      <c r="A5305" t="s">
        <v>3115</v>
      </c>
      <c r="B5305" s="1">
        <v>45729</v>
      </c>
      <c r="C5305" t="s">
        <v>7150</v>
      </c>
      <c r="D5305" t="s">
        <v>4282</v>
      </c>
      <c r="E5305" t="s">
        <v>9343</v>
      </c>
      <c r="F5305" t="s">
        <v>8537</v>
      </c>
      <c r="G5305" t="s">
        <v>8538</v>
      </c>
      <c r="H5305" t="s">
        <v>4283</v>
      </c>
      <c r="J5305">
        <v>5248</v>
      </c>
      <c r="L5305" t="s">
        <v>5966</v>
      </c>
    </row>
    <row r="5306" spans="1:12" x14ac:dyDescent="0.35">
      <c r="A5306" t="s">
        <v>3115</v>
      </c>
      <c r="B5306" s="1">
        <v>45729</v>
      </c>
      <c r="C5306" t="s">
        <v>7180</v>
      </c>
      <c r="D5306" t="s">
        <v>4284</v>
      </c>
      <c r="E5306" t="s">
        <v>9343</v>
      </c>
      <c r="F5306" t="s">
        <v>6802</v>
      </c>
      <c r="H5306" t="s">
        <v>4285</v>
      </c>
      <c r="K5306">
        <v>300</v>
      </c>
      <c r="L5306" t="s">
        <v>6803</v>
      </c>
    </row>
    <row r="5307" spans="1:12" x14ac:dyDescent="0.35">
      <c r="A5307" t="s">
        <v>3115</v>
      </c>
      <c r="B5307" s="1">
        <v>45729</v>
      </c>
      <c r="C5307" t="s">
        <v>7180</v>
      </c>
      <c r="D5307" t="s">
        <v>4284</v>
      </c>
      <c r="E5307" t="s">
        <v>9343</v>
      </c>
      <c r="F5307" t="s">
        <v>8557</v>
      </c>
      <c r="G5307" t="s">
        <v>8558</v>
      </c>
      <c r="H5307" t="s">
        <v>4285</v>
      </c>
      <c r="J5307">
        <v>300</v>
      </c>
      <c r="L5307" t="s">
        <v>5966</v>
      </c>
    </row>
    <row r="5308" spans="1:12" x14ac:dyDescent="0.35">
      <c r="A5308" t="s">
        <v>3115</v>
      </c>
      <c r="B5308" s="1">
        <v>45729</v>
      </c>
      <c r="C5308" t="s">
        <v>7182</v>
      </c>
      <c r="D5308" t="s">
        <v>4286</v>
      </c>
      <c r="E5308" t="s">
        <v>9344</v>
      </c>
      <c r="F5308" t="s">
        <v>6802</v>
      </c>
      <c r="H5308" t="s">
        <v>4287</v>
      </c>
      <c r="K5308">
        <v>656</v>
      </c>
      <c r="L5308" t="s">
        <v>6803</v>
      </c>
    </row>
    <row r="5309" spans="1:12" x14ac:dyDescent="0.35">
      <c r="A5309" t="s">
        <v>3115</v>
      </c>
      <c r="B5309" s="1">
        <v>45729</v>
      </c>
      <c r="C5309" t="s">
        <v>7182</v>
      </c>
      <c r="D5309" t="s">
        <v>4286</v>
      </c>
      <c r="E5309" t="s">
        <v>9344</v>
      </c>
      <c r="F5309" t="s">
        <v>8537</v>
      </c>
      <c r="G5309" t="s">
        <v>8538</v>
      </c>
      <c r="H5309" t="s">
        <v>4287</v>
      </c>
      <c r="J5309">
        <v>656</v>
      </c>
      <c r="L5309" t="s">
        <v>5890</v>
      </c>
    </row>
    <row r="5310" spans="1:12" x14ac:dyDescent="0.35">
      <c r="A5310" t="s">
        <v>3115</v>
      </c>
      <c r="B5310" s="1">
        <v>45729</v>
      </c>
      <c r="C5310" t="s">
        <v>7196</v>
      </c>
      <c r="D5310" t="s">
        <v>4288</v>
      </c>
      <c r="E5310" t="s">
        <v>9345</v>
      </c>
      <c r="F5310" t="s">
        <v>6808</v>
      </c>
      <c r="H5310" t="s">
        <v>4289</v>
      </c>
      <c r="K5310">
        <v>5242</v>
      </c>
      <c r="L5310" t="s">
        <v>6803</v>
      </c>
    </row>
    <row r="5311" spans="1:12" x14ac:dyDescent="0.35">
      <c r="A5311" t="s">
        <v>3115</v>
      </c>
      <c r="B5311" s="1">
        <v>45729</v>
      </c>
      <c r="C5311" t="s">
        <v>7196</v>
      </c>
      <c r="D5311" t="s">
        <v>4288</v>
      </c>
      <c r="E5311" t="s">
        <v>9345</v>
      </c>
      <c r="F5311" t="s">
        <v>8467</v>
      </c>
      <c r="G5311" t="s">
        <v>8567</v>
      </c>
      <c r="H5311" t="s">
        <v>4289</v>
      </c>
      <c r="J5311">
        <v>5242</v>
      </c>
      <c r="L5311" t="s">
        <v>5966</v>
      </c>
    </row>
    <row r="5312" spans="1:12" x14ac:dyDescent="0.35">
      <c r="A5312" t="s">
        <v>3115</v>
      </c>
      <c r="B5312" s="1">
        <v>45729</v>
      </c>
      <c r="C5312" t="s">
        <v>7184</v>
      </c>
      <c r="D5312" t="s">
        <v>4290</v>
      </c>
      <c r="E5312" t="s">
        <v>9346</v>
      </c>
      <c r="F5312" t="s">
        <v>6808</v>
      </c>
      <c r="H5312" t="s">
        <v>4291</v>
      </c>
      <c r="K5312">
        <v>5304</v>
      </c>
      <c r="L5312" t="s">
        <v>6803</v>
      </c>
    </row>
    <row r="5313" spans="1:12" x14ac:dyDescent="0.35">
      <c r="A5313" t="s">
        <v>3115</v>
      </c>
      <c r="B5313" s="1">
        <v>45729</v>
      </c>
      <c r="C5313" t="s">
        <v>7184</v>
      </c>
      <c r="D5313" t="s">
        <v>4290</v>
      </c>
      <c r="E5313" t="s">
        <v>9346</v>
      </c>
      <c r="F5313" t="s">
        <v>8569</v>
      </c>
      <c r="G5313" t="s">
        <v>8570</v>
      </c>
      <c r="H5313" t="s">
        <v>4291</v>
      </c>
      <c r="J5313">
        <v>5304</v>
      </c>
      <c r="L5313" t="s">
        <v>5966</v>
      </c>
    </row>
    <row r="5314" spans="1:12" x14ac:dyDescent="0.35">
      <c r="A5314" t="s">
        <v>3115</v>
      </c>
      <c r="B5314" s="1">
        <v>45729</v>
      </c>
      <c r="C5314" t="s">
        <v>7185</v>
      </c>
      <c r="D5314" t="s">
        <v>4292</v>
      </c>
      <c r="E5314" t="s">
        <v>9347</v>
      </c>
      <c r="F5314" t="s">
        <v>6802</v>
      </c>
      <c r="H5314" t="s">
        <v>4293</v>
      </c>
      <c r="K5314">
        <v>984</v>
      </c>
      <c r="L5314" t="s">
        <v>6803</v>
      </c>
    </row>
    <row r="5315" spans="1:12" x14ac:dyDescent="0.35">
      <c r="A5315" t="s">
        <v>3115</v>
      </c>
      <c r="B5315" s="1">
        <v>45729</v>
      </c>
      <c r="C5315" t="s">
        <v>7185</v>
      </c>
      <c r="D5315" t="s">
        <v>4292</v>
      </c>
      <c r="E5315" t="s">
        <v>9347</v>
      </c>
      <c r="F5315" t="s">
        <v>8537</v>
      </c>
      <c r="G5315" t="s">
        <v>8538</v>
      </c>
      <c r="H5315" t="s">
        <v>4293</v>
      </c>
      <c r="J5315">
        <v>984</v>
      </c>
      <c r="L5315" t="s">
        <v>5966</v>
      </c>
    </row>
    <row r="5316" spans="1:12" x14ac:dyDescent="0.35">
      <c r="A5316" t="s">
        <v>3115</v>
      </c>
      <c r="B5316" s="1">
        <v>45729</v>
      </c>
      <c r="C5316" t="s">
        <v>7186</v>
      </c>
      <c r="D5316" t="s">
        <v>4294</v>
      </c>
      <c r="E5316" t="s">
        <v>9348</v>
      </c>
      <c r="F5316" t="s">
        <v>6802</v>
      </c>
      <c r="H5316" t="s">
        <v>4295</v>
      </c>
      <c r="K5316">
        <v>614</v>
      </c>
      <c r="L5316" t="s">
        <v>6803</v>
      </c>
    </row>
    <row r="5317" spans="1:12" x14ac:dyDescent="0.35">
      <c r="A5317" t="s">
        <v>3115</v>
      </c>
      <c r="B5317" s="1">
        <v>45729</v>
      </c>
      <c r="C5317" t="s">
        <v>7186</v>
      </c>
      <c r="D5317" t="s">
        <v>4294</v>
      </c>
      <c r="E5317" t="s">
        <v>9348</v>
      </c>
      <c r="F5317" t="s">
        <v>8557</v>
      </c>
      <c r="G5317" t="s">
        <v>8558</v>
      </c>
      <c r="H5317" t="s">
        <v>4295</v>
      </c>
      <c r="J5317">
        <v>614</v>
      </c>
      <c r="L5317" t="s">
        <v>5966</v>
      </c>
    </row>
    <row r="5318" spans="1:12" x14ac:dyDescent="0.35">
      <c r="A5318" t="s">
        <v>3115</v>
      </c>
      <c r="B5318" s="1">
        <v>45729</v>
      </c>
      <c r="C5318" t="s">
        <v>7187</v>
      </c>
      <c r="D5318" t="s">
        <v>4296</v>
      </c>
      <c r="E5318" t="s">
        <v>9349</v>
      </c>
      <c r="F5318" t="s">
        <v>6811</v>
      </c>
      <c r="H5318" t="s">
        <v>4297</v>
      </c>
      <c r="K5318">
        <v>673</v>
      </c>
      <c r="L5318" t="s">
        <v>6803</v>
      </c>
    </row>
    <row r="5319" spans="1:12" x14ac:dyDescent="0.35">
      <c r="A5319" t="s">
        <v>3115</v>
      </c>
      <c r="B5319" s="1">
        <v>45729</v>
      </c>
      <c r="C5319" t="s">
        <v>7187</v>
      </c>
      <c r="D5319" t="s">
        <v>4296</v>
      </c>
      <c r="E5319" t="s">
        <v>9349</v>
      </c>
      <c r="F5319" t="s">
        <v>8557</v>
      </c>
      <c r="G5319" t="s">
        <v>8558</v>
      </c>
      <c r="H5319" t="s">
        <v>4297</v>
      </c>
      <c r="J5319">
        <v>673</v>
      </c>
      <c r="L5319" t="s">
        <v>5966</v>
      </c>
    </row>
    <row r="5320" spans="1:12" x14ac:dyDescent="0.35">
      <c r="A5320" t="s">
        <v>3115</v>
      </c>
      <c r="B5320" s="1">
        <v>45729</v>
      </c>
      <c r="C5320" t="s">
        <v>7188</v>
      </c>
      <c r="D5320" t="s">
        <v>4298</v>
      </c>
      <c r="E5320" t="s">
        <v>9350</v>
      </c>
      <c r="F5320" t="s">
        <v>6802</v>
      </c>
      <c r="H5320" t="s">
        <v>4299</v>
      </c>
      <c r="K5320">
        <v>2500</v>
      </c>
      <c r="L5320" t="s">
        <v>6803</v>
      </c>
    </row>
    <row r="5321" spans="1:12" x14ac:dyDescent="0.35">
      <c r="A5321" t="s">
        <v>3115</v>
      </c>
      <c r="B5321" s="1">
        <v>45729</v>
      </c>
      <c r="C5321" t="s">
        <v>7188</v>
      </c>
      <c r="D5321" t="s">
        <v>4298</v>
      </c>
      <c r="E5321" t="s">
        <v>9350</v>
      </c>
      <c r="F5321" t="s">
        <v>8557</v>
      </c>
      <c r="G5321" t="s">
        <v>8558</v>
      </c>
      <c r="H5321" t="s">
        <v>4299</v>
      </c>
      <c r="J5321">
        <v>2500</v>
      </c>
      <c r="L5321" t="s">
        <v>5966</v>
      </c>
    </row>
    <row r="5322" spans="1:12" x14ac:dyDescent="0.35">
      <c r="A5322" t="s">
        <v>3115</v>
      </c>
      <c r="B5322" s="1">
        <v>45729</v>
      </c>
      <c r="C5322" t="s">
        <v>7189</v>
      </c>
      <c r="D5322" t="s">
        <v>4300</v>
      </c>
      <c r="E5322" t="s">
        <v>9351</v>
      </c>
      <c r="F5322" t="s">
        <v>6802</v>
      </c>
      <c r="H5322" t="s">
        <v>4301</v>
      </c>
      <c r="K5322">
        <v>1798</v>
      </c>
      <c r="L5322" t="s">
        <v>6803</v>
      </c>
    </row>
    <row r="5323" spans="1:12" x14ac:dyDescent="0.35">
      <c r="A5323" t="s">
        <v>3115</v>
      </c>
      <c r="B5323" s="1">
        <v>45729</v>
      </c>
      <c r="C5323" t="s">
        <v>7189</v>
      </c>
      <c r="D5323" t="s">
        <v>4300</v>
      </c>
      <c r="E5323" t="s">
        <v>9351</v>
      </c>
      <c r="F5323" t="s">
        <v>8557</v>
      </c>
      <c r="G5323" t="s">
        <v>8558</v>
      </c>
      <c r="H5323" t="s">
        <v>4301</v>
      </c>
      <c r="J5323">
        <v>1798</v>
      </c>
      <c r="L5323" t="s">
        <v>5966</v>
      </c>
    </row>
    <row r="5324" spans="1:12" x14ac:dyDescent="0.35">
      <c r="A5324" t="s">
        <v>3115</v>
      </c>
      <c r="B5324" s="1">
        <v>45730</v>
      </c>
      <c r="C5324" t="s">
        <v>7773</v>
      </c>
      <c r="D5324" t="s">
        <v>4302</v>
      </c>
      <c r="E5324" t="s">
        <v>9352</v>
      </c>
      <c r="F5324" t="s">
        <v>6802</v>
      </c>
      <c r="H5324" t="s">
        <v>4303</v>
      </c>
      <c r="K5324">
        <v>49246</v>
      </c>
      <c r="L5324" t="s">
        <v>6803</v>
      </c>
    </row>
    <row r="5325" spans="1:12" x14ac:dyDescent="0.35">
      <c r="A5325" t="s">
        <v>3115</v>
      </c>
      <c r="B5325" s="1">
        <v>45730</v>
      </c>
      <c r="C5325" t="s">
        <v>7773</v>
      </c>
      <c r="D5325" t="s">
        <v>4302</v>
      </c>
      <c r="E5325" t="s">
        <v>9352</v>
      </c>
      <c r="F5325" t="s">
        <v>8537</v>
      </c>
      <c r="G5325" t="s">
        <v>8538</v>
      </c>
      <c r="H5325" t="s">
        <v>4303</v>
      </c>
      <c r="J5325">
        <v>49246</v>
      </c>
      <c r="L5325" t="s">
        <v>5946</v>
      </c>
    </row>
    <row r="5326" spans="1:12" x14ac:dyDescent="0.35">
      <c r="A5326" t="s">
        <v>3115</v>
      </c>
      <c r="B5326" s="1">
        <v>45730</v>
      </c>
      <c r="C5326" t="s">
        <v>7689</v>
      </c>
      <c r="D5326" t="s">
        <v>4304</v>
      </c>
      <c r="E5326" t="s">
        <v>9353</v>
      </c>
      <c r="F5326" t="s">
        <v>6802</v>
      </c>
      <c r="H5326" t="s">
        <v>4305</v>
      </c>
      <c r="K5326">
        <v>40600</v>
      </c>
      <c r="L5326" t="s">
        <v>6803</v>
      </c>
    </row>
    <row r="5327" spans="1:12" x14ac:dyDescent="0.35">
      <c r="A5327" t="s">
        <v>3115</v>
      </c>
      <c r="B5327" s="1">
        <v>45730</v>
      </c>
      <c r="C5327" t="s">
        <v>7689</v>
      </c>
      <c r="D5327" t="s">
        <v>4304</v>
      </c>
      <c r="E5327" t="s">
        <v>9353</v>
      </c>
      <c r="F5327" t="s">
        <v>8537</v>
      </c>
      <c r="G5327" t="s">
        <v>8538</v>
      </c>
      <c r="H5327" t="s">
        <v>4305</v>
      </c>
      <c r="J5327">
        <v>40600</v>
      </c>
      <c r="L5327" t="s">
        <v>5958</v>
      </c>
    </row>
    <row r="5328" spans="1:12" x14ac:dyDescent="0.35">
      <c r="A5328" t="s">
        <v>3115</v>
      </c>
      <c r="B5328" s="1">
        <v>45730</v>
      </c>
      <c r="C5328" t="s">
        <v>7706</v>
      </c>
      <c r="D5328" t="s">
        <v>4306</v>
      </c>
      <c r="E5328" t="s">
        <v>8542</v>
      </c>
      <c r="F5328" t="s">
        <v>6802</v>
      </c>
      <c r="H5328" t="s">
        <v>4307</v>
      </c>
      <c r="K5328">
        <v>30947</v>
      </c>
      <c r="L5328" t="s">
        <v>6803</v>
      </c>
    </row>
    <row r="5329" spans="1:12" x14ac:dyDescent="0.35">
      <c r="A5329" t="s">
        <v>3115</v>
      </c>
      <c r="B5329" s="1">
        <v>45730</v>
      </c>
      <c r="C5329" t="s">
        <v>7706</v>
      </c>
      <c r="D5329" t="s">
        <v>4306</v>
      </c>
      <c r="E5329" t="s">
        <v>8542</v>
      </c>
      <c r="F5329" t="s">
        <v>8537</v>
      </c>
      <c r="G5329" t="s">
        <v>8538</v>
      </c>
      <c r="H5329" t="s">
        <v>4307</v>
      </c>
      <c r="J5329">
        <v>30947</v>
      </c>
      <c r="L5329" t="s">
        <v>5880</v>
      </c>
    </row>
    <row r="5330" spans="1:12" x14ac:dyDescent="0.35">
      <c r="A5330" t="s">
        <v>3115</v>
      </c>
      <c r="B5330" s="1">
        <v>45730</v>
      </c>
      <c r="C5330" t="s">
        <v>7707</v>
      </c>
      <c r="D5330" t="s">
        <v>4308</v>
      </c>
      <c r="E5330" t="s">
        <v>9354</v>
      </c>
      <c r="F5330" t="s">
        <v>6802</v>
      </c>
      <c r="H5330" t="s">
        <v>4309</v>
      </c>
      <c r="K5330">
        <v>85000</v>
      </c>
      <c r="L5330" t="s">
        <v>6803</v>
      </c>
    </row>
    <row r="5331" spans="1:12" x14ac:dyDescent="0.35">
      <c r="A5331" t="s">
        <v>3115</v>
      </c>
      <c r="B5331" s="1">
        <v>45730</v>
      </c>
      <c r="C5331" t="s">
        <v>7707</v>
      </c>
      <c r="D5331" t="s">
        <v>4308</v>
      </c>
      <c r="E5331" t="s">
        <v>9354</v>
      </c>
      <c r="F5331" t="s">
        <v>8537</v>
      </c>
      <c r="G5331" t="s">
        <v>8538</v>
      </c>
      <c r="H5331" t="s">
        <v>4309</v>
      </c>
      <c r="J5331">
        <v>85000</v>
      </c>
      <c r="L5331" t="s">
        <v>5905</v>
      </c>
    </row>
    <row r="5332" spans="1:12" x14ac:dyDescent="0.35">
      <c r="A5332" t="s">
        <v>3115</v>
      </c>
      <c r="B5332" s="1">
        <v>45730</v>
      </c>
      <c r="C5332" t="s">
        <v>7708</v>
      </c>
      <c r="D5332" t="s">
        <v>4310</v>
      </c>
      <c r="E5332" t="s">
        <v>9355</v>
      </c>
      <c r="F5332" t="s">
        <v>6802</v>
      </c>
      <c r="H5332" t="s">
        <v>4311</v>
      </c>
      <c r="K5332">
        <v>85000</v>
      </c>
      <c r="L5332" t="s">
        <v>6803</v>
      </c>
    </row>
    <row r="5333" spans="1:12" x14ac:dyDescent="0.35">
      <c r="A5333" t="s">
        <v>3115</v>
      </c>
      <c r="B5333" s="1">
        <v>45730</v>
      </c>
      <c r="C5333" t="s">
        <v>7708</v>
      </c>
      <c r="D5333" t="s">
        <v>4310</v>
      </c>
      <c r="E5333" t="s">
        <v>9355</v>
      </c>
      <c r="F5333" t="s">
        <v>8537</v>
      </c>
      <c r="G5333" t="s">
        <v>8538</v>
      </c>
      <c r="H5333" t="s">
        <v>4311</v>
      </c>
      <c r="J5333">
        <v>85000</v>
      </c>
      <c r="L5333" t="s">
        <v>5905</v>
      </c>
    </row>
    <row r="5334" spans="1:12" x14ac:dyDescent="0.35">
      <c r="A5334" t="s">
        <v>3115</v>
      </c>
      <c r="B5334" s="1">
        <v>45730</v>
      </c>
      <c r="C5334" t="s">
        <v>7709</v>
      </c>
      <c r="D5334" t="s">
        <v>4312</v>
      </c>
      <c r="E5334" t="s">
        <v>9356</v>
      </c>
      <c r="F5334" t="s">
        <v>6802</v>
      </c>
      <c r="H5334" t="s">
        <v>4313</v>
      </c>
      <c r="K5334">
        <v>456801</v>
      </c>
      <c r="L5334" t="s">
        <v>6803</v>
      </c>
    </row>
    <row r="5335" spans="1:12" x14ac:dyDescent="0.35">
      <c r="A5335" t="s">
        <v>3115</v>
      </c>
      <c r="B5335" s="1">
        <v>45730</v>
      </c>
      <c r="C5335" t="s">
        <v>7709</v>
      </c>
      <c r="D5335" t="s">
        <v>4312</v>
      </c>
      <c r="E5335" t="s">
        <v>9356</v>
      </c>
      <c r="F5335" t="s">
        <v>8537</v>
      </c>
      <c r="G5335" t="s">
        <v>8538</v>
      </c>
      <c r="H5335" t="s">
        <v>4313</v>
      </c>
      <c r="J5335">
        <v>456801</v>
      </c>
      <c r="L5335" t="s">
        <v>5875</v>
      </c>
    </row>
    <row r="5336" spans="1:12" x14ac:dyDescent="0.35">
      <c r="A5336" t="s">
        <v>3115</v>
      </c>
      <c r="B5336" s="1">
        <v>45730</v>
      </c>
      <c r="C5336" t="s">
        <v>7710</v>
      </c>
      <c r="D5336" t="s">
        <v>4314</v>
      </c>
      <c r="E5336" t="s">
        <v>9357</v>
      </c>
      <c r="F5336" t="s">
        <v>6802</v>
      </c>
      <c r="H5336" t="s">
        <v>4315</v>
      </c>
      <c r="K5336">
        <v>1706</v>
      </c>
      <c r="L5336" t="s">
        <v>6803</v>
      </c>
    </row>
    <row r="5337" spans="1:12" x14ac:dyDescent="0.35">
      <c r="A5337" t="s">
        <v>3115</v>
      </c>
      <c r="B5337" s="1">
        <v>45730</v>
      </c>
      <c r="C5337" t="s">
        <v>7710</v>
      </c>
      <c r="D5337" t="s">
        <v>4314</v>
      </c>
      <c r="E5337" t="s">
        <v>9357</v>
      </c>
      <c r="F5337" t="s">
        <v>8537</v>
      </c>
      <c r="G5337" t="s">
        <v>8538</v>
      </c>
      <c r="H5337" t="s">
        <v>4315</v>
      </c>
      <c r="J5337">
        <v>1706</v>
      </c>
      <c r="L5337" t="s">
        <v>5875</v>
      </c>
    </row>
    <row r="5338" spans="1:12" x14ac:dyDescent="0.35">
      <c r="A5338" t="s">
        <v>3115</v>
      </c>
      <c r="B5338" s="1">
        <v>45730</v>
      </c>
      <c r="C5338" t="s">
        <v>7711</v>
      </c>
      <c r="D5338" t="s">
        <v>4316</v>
      </c>
      <c r="E5338" t="s">
        <v>9358</v>
      </c>
      <c r="F5338" t="s">
        <v>6802</v>
      </c>
      <c r="H5338" t="s">
        <v>4317</v>
      </c>
      <c r="K5338">
        <v>6429</v>
      </c>
      <c r="L5338" t="s">
        <v>6803</v>
      </c>
    </row>
    <row r="5339" spans="1:12" x14ac:dyDescent="0.35">
      <c r="A5339" t="s">
        <v>3115</v>
      </c>
      <c r="B5339" s="1">
        <v>45730</v>
      </c>
      <c r="C5339" t="s">
        <v>7711</v>
      </c>
      <c r="D5339" t="s">
        <v>4316</v>
      </c>
      <c r="E5339" t="s">
        <v>9358</v>
      </c>
      <c r="F5339" t="s">
        <v>8537</v>
      </c>
      <c r="G5339" t="s">
        <v>8538</v>
      </c>
      <c r="H5339" t="s">
        <v>4317</v>
      </c>
      <c r="J5339">
        <v>6429</v>
      </c>
      <c r="L5339" t="s">
        <v>5874</v>
      </c>
    </row>
    <row r="5340" spans="1:12" x14ac:dyDescent="0.35">
      <c r="A5340" t="s">
        <v>3115</v>
      </c>
      <c r="B5340" s="1">
        <v>45730</v>
      </c>
      <c r="C5340" t="s">
        <v>7712</v>
      </c>
      <c r="D5340" t="s">
        <v>4318</v>
      </c>
      <c r="E5340" t="s">
        <v>9359</v>
      </c>
      <c r="F5340" t="s">
        <v>6802</v>
      </c>
      <c r="H5340" t="s">
        <v>4319</v>
      </c>
      <c r="K5340">
        <v>1574</v>
      </c>
      <c r="L5340" t="s">
        <v>6803</v>
      </c>
    </row>
    <row r="5341" spans="1:12" x14ac:dyDescent="0.35">
      <c r="A5341" t="s">
        <v>3115</v>
      </c>
      <c r="B5341" s="1">
        <v>45730</v>
      </c>
      <c r="C5341" t="s">
        <v>7712</v>
      </c>
      <c r="D5341" t="s">
        <v>4318</v>
      </c>
      <c r="E5341" t="s">
        <v>9359</v>
      </c>
      <c r="F5341" t="s">
        <v>8537</v>
      </c>
      <c r="G5341" t="s">
        <v>8538</v>
      </c>
      <c r="H5341" t="s">
        <v>4319</v>
      </c>
      <c r="J5341">
        <v>1574</v>
      </c>
      <c r="L5341" t="s">
        <v>5875</v>
      </c>
    </row>
    <row r="5342" spans="1:12" x14ac:dyDescent="0.35">
      <c r="A5342" t="s">
        <v>3115</v>
      </c>
      <c r="B5342" s="1">
        <v>45730</v>
      </c>
      <c r="C5342" t="s">
        <v>7713</v>
      </c>
      <c r="D5342" t="s">
        <v>4320</v>
      </c>
      <c r="E5342" t="s">
        <v>9360</v>
      </c>
      <c r="F5342" t="s">
        <v>6802</v>
      </c>
      <c r="H5342" t="s">
        <v>4321</v>
      </c>
      <c r="K5342">
        <v>2230</v>
      </c>
      <c r="L5342" t="s">
        <v>6803</v>
      </c>
    </row>
    <row r="5343" spans="1:12" x14ac:dyDescent="0.35">
      <c r="A5343" t="s">
        <v>3115</v>
      </c>
      <c r="B5343" s="1">
        <v>45730</v>
      </c>
      <c r="C5343" t="s">
        <v>7713</v>
      </c>
      <c r="D5343" t="s">
        <v>4320</v>
      </c>
      <c r="E5343" t="s">
        <v>9360</v>
      </c>
      <c r="F5343" t="s">
        <v>8537</v>
      </c>
      <c r="G5343" t="s">
        <v>8538</v>
      </c>
      <c r="H5343" t="s">
        <v>4321</v>
      </c>
      <c r="J5343">
        <v>2230</v>
      </c>
      <c r="L5343" t="s">
        <v>5875</v>
      </c>
    </row>
    <row r="5344" spans="1:12" x14ac:dyDescent="0.35">
      <c r="A5344" t="s">
        <v>3115</v>
      </c>
      <c r="B5344" s="1">
        <v>45730</v>
      </c>
      <c r="C5344" t="s">
        <v>7726</v>
      </c>
      <c r="D5344" t="s">
        <v>4322</v>
      </c>
      <c r="E5344" t="s">
        <v>9361</v>
      </c>
      <c r="F5344" t="s">
        <v>6802</v>
      </c>
      <c r="H5344" t="s">
        <v>4323</v>
      </c>
      <c r="K5344">
        <v>125</v>
      </c>
      <c r="L5344" t="s">
        <v>6803</v>
      </c>
    </row>
    <row r="5345" spans="1:12" x14ac:dyDescent="0.35">
      <c r="A5345" t="s">
        <v>3115</v>
      </c>
      <c r="B5345" s="1">
        <v>45730</v>
      </c>
      <c r="C5345" t="s">
        <v>7726</v>
      </c>
      <c r="D5345" t="s">
        <v>4322</v>
      </c>
      <c r="E5345" t="s">
        <v>9361</v>
      </c>
      <c r="F5345" t="s">
        <v>8557</v>
      </c>
      <c r="G5345" t="s">
        <v>8558</v>
      </c>
      <c r="H5345" t="s">
        <v>4323</v>
      </c>
      <c r="J5345">
        <v>125</v>
      </c>
      <c r="L5345" t="s">
        <v>5966</v>
      </c>
    </row>
    <row r="5346" spans="1:12" x14ac:dyDescent="0.35">
      <c r="A5346" t="s">
        <v>3115</v>
      </c>
      <c r="B5346" s="1">
        <v>45730</v>
      </c>
      <c r="C5346" t="s">
        <v>7792</v>
      </c>
      <c r="D5346" t="s">
        <v>4324</v>
      </c>
      <c r="E5346" t="s">
        <v>9362</v>
      </c>
      <c r="F5346" t="s">
        <v>6802</v>
      </c>
      <c r="H5346" t="s">
        <v>4325</v>
      </c>
      <c r="K5346">
        <v>309</v>
      </c>
      <c r="L5346" t="s">
        <v>6803</v>
      </c>
    </row>
    <row r="5347" spans="1:12" x14ac:dyDescent="0.35">
      <c r="A5347" t="s">
        <v>3115</v>
      </c>
      <c r="B5347" s="1">
        <v>45730</v>
      </c>
      <c r="C5347" t="s">
        <v>7792</v>
      </c>
      <c r="D5347" t="s">
        <v>4324</v>
      </c>
      <c r="E5347" t="s">
        <v>9362</v>
      </c>
      <c r="F5347" t="s">
        <v>8557</v>
      </c>
      <c r="G5347" t="s">
        <v>8558</v>
      </c>
      <c r="H5347" t="s">
        <v>4325</v>
      </c>
      <c r="J5347">
        <v>309</v>
      </c>
      <c r="L5347" t="s">
        <v>5966</v>
      </c>
    </row>
    <row r="5348" spans="1:12" x14ac:dyDescent="0.35">
      <c r="A5348" t="s">
        <v>3115</v>
      </c>
      <c r="B5348" s="1">
        <v>45730</v>
      </c>
      <c r="C5348" t="s">
        <v>7822</v>
      </c>
      <c r="D5348" t="s">
        <v>4326</v>
      </c>
      <c r="E5348" t="s">
        <v>9363</v>
      </c>
      <c r="F5348" t="s">
        <v>6811</v>
      </c>
      <c r="H5348" t="s">
        <v>4327</v>
      </c>
      <c r="K5348">
        <v>1718</v>
      </c>
      <c r="L5348" t="s">
        <v>6803</v>
      </c>
    </row>
    <row r="5349" spans="1:12" x14ac:dyDescent="0.35">
      <c r="A5349" t="s">
        <v>3115</v>
      </c>
      <c r="B5349" s="1">
        <v>45730</v>
      </c>
      <c r="C5349" t="s">
        <v>7822</v>
      </c>
      <c r="D5349" t="s">
        <v>4326</v>
      </c>
      <c r="E5349" t="s">
        <v>9363</v>
      </c>
      <c r="F5349" t="s">
        <v>8557</v>
      </c>
      <c r="G5349" t="s">
        <v>8558</v>
      </c>
      <c r="H5349" t="s">
        <v>4327</v>
      </c>
      <c r="J5349">
        <v>1718</v>
      </c>
      <c r="L5349" t="s">
        <v>5966</v>
      </c>
    </row>
    <row r="5350" spans="1:12" x14ac:dyDescent="0.35">
      <c r="A5350" t="s">
        <v>3115</v>
      </c>
      <c r="B5350" s="1">
        <v>45730</v>
      </c>
      <c r="C5350" t="s">
        <v>7533</v>
      </c>
      <c r="D5350" t="s">
        <v>4328</v>
      </c>
      <c r="E5350" t="s">
        <v>9364</v>
      </c>
      <c r="F5350" t="s">
        <v>6808</v>
      </c>
      <c r="H5350" t="s">
        <v>4329</v>
      </c>
      <c r="K5350">
        <v>4947</v>
      </c>
      <c r="L5350" t="s">
        <v>6803</v>
      </c>
    </row>
    <row r="5351" spans="1:12" x14ac:dyDescent="0.35">
      <c r="A5351" t="s">
        <v>3115</v>
      </c>
      <c r="B5351" s="1">
        <v>45730</v>
      </c>
      <c r="C5351" t="s">
        <v>7533</v>
      </c>
      <c r="D5351" t="s">
        <v>4328</v>
      </c>
      <c r="E5351" t="s">
        <v>9364</v>
      </c>
      <c r="F5351" t="s">
        <v>8467</v>
      </c>
      <c r="G5351" t="s">
        <v>8567</v>
      </c>
      <c r="H5351" t="s">
        <v>4329</v>
      </c>
      <c r="J5351">
        <v>4947</v>
      </c>
      <c r="L5351" t="s">
        <v>5966</v>
      </c>
    </row>
    <row r="5352" spans="1:12" x14ac:dyDescent="0.35">
      <c r="A5352" t="s">
        <v>3115</v>
      </c>
      <c r="B5352" s="1">
        <v>45730</v>
      </c>
      <c r="C5352" t="s">
        <v>7537</v>
      </c>
      <c r="D5352" t="s">
        <v>4330</v>
      </c>
      <c r="E5352" t="s">
        <v>9365</v>
      </c>
      <c r="F5352" t="s">
        <v>6811</v>
      </c>
      <c r="H5352" t="s">
        <v>4331</v>
      </c>
      <c r="K5352">
        <v>35000</v>
      </c>
      <c r="L5352" t="s">
        <v>6803</v>
      </c>
    </row>
    <row r="5353" spans="1:12" x14ac:dyDescent="0.35">
      <c r="A5353" t="s">
        <v>3115</v>
      </c>
      <c r="B5353" s="1">
        <v>45730</v>
      </c>
      <c r="C5353" t="s">
        <v>7537</v>
      </c>
      <c r="D5353" t="s">
        <v>4330</v>
      </c>
      <c r="E5353" t="s">
        <v>9365</v>
      </c>
      <c r="F5353" t="s">
        <v>8467</v>
      </c>
      <c r="G5353" t="s">
        <v>8567</v>
      </c>
      <c r="H5353" t="s">
        <v>4331</v>
      </c>
      <c r="J5353">
        <v>35000</v>
      </c>
      <c r="L5353" t="s">
        <v>5949</v>
      </c>
    </row>
    <row r="5354" spans="1:12" x14ac:dyDescent="0.35">
      <c r="A5354" t="s">
        <v>3115</v>
      </c>
      <c r="B5354" s="1">
        <v>45730</v>
      </c>
      <c r="C5354" t="s">
        <v>7539</v>
      </c>
      <c r="D5354" t="s">
        <v>4332</v>
      </c>
      <c r="E5354" t="s">
        <v>9366</v>
      </c>
      <c r="F5354" t="s">
        <v>6811</v>
      </c>
      <c r="H5354" t="s">
        <v>4333</v>
      </c>
      <c r="K5354">
        <v>35000</v>
      </c>
      <c r="L5354" t="s">
        <v>6803</v>
      </c>
    </row>
    <row r="5355" spans="1:12" x14ac:dyDescent="0.35">
      <c r="A5355" t="s">
        <v>3115</v>
      </c>
      <c r="B5355" s="1">
        <v>45730</v>
      </c>
      <c r="C5355" t="s">
        <v>7539</v>
      </c>
      <c r="D5355" t="s">
        <v>4332</v>
      </c>
      <c r="E5355" t="s">
        <v>9366</v>
      </c>
      <c r="F5355" t="s">
        <v>8467</v>
      </c>
      <c r="G5355" t="s">
        <v>8567</v>
      </c>
      <c r="H5355" t="s">
        <v>4333</v>
      </c>
      <c r="J5355">
        <v>35000</v>
      </c>
      <c r="L5355" t="s">
        <v>5949</v>
      </c>
    </row>
    <row r="5356" spans="1:12" x14ac:dyDescent="0.35">
      <c r="A5356" t="s">
        <v>3115</v>
      </c>
      <c r="B5356" s="1">
        <v>45730</v>
      </c>
      <c r="C5356" t="s">
        <v>7541</v>
      </c>
      <c r="D5356" t="s">
        <v>4334</v>
      </c>
      <c r="E5356" t="s">
        <v>9367</v>
      </c>
      <c r="F5356" t="s">
        <v>6802</v>
      </c>
      <c r="H5356" t="s">
        <v>4335</v>
      </c>
      <c r="K5356">
        <v>656</v>
      </c>
      <c r="L5356" t="s">
        <v>6803</v>
      </c>
    </row>
    <row r="5357" spans="1:12" x14ac:dyDescent="0.35">
      <c r="A5357" t="s">
        <v>3115</v>
      </c>
      <c r="B5357" s="1">
        <v>45730</v>
      </c>
      <c r="C5357" t="s">
        <v>7541</v>
      </c>
      <c r="D5357" t="s">
        <v>4334</v>
      </c>
      <c r="E5357" t="s">
        <v>9367</v>
      </c>
      <c r="F5357" t="s">
        <v>8537</v>
      </c>
      <c r="G5357" t="s">
        <v>8538</v>
      </c>
      <c r="H5357" t="s">
        <v>4335</v>
      </c>
      <c r="J5357">
        <v>656</v>
      </c>
      <c r="L5357" t="s">
        <v>5880</v>
      </c>
    </row>
    <row r="5358" spans="1:12" x14ac:dyDescent="0.35">
      <c r="A5358" t="s">
        <v>3115</v>
      </c>
      <c r="B5358" s="1">
        <v>45730</v>
      </c>
      <c r="C5358" t="s">
        <v>7543</v>
      </c>
      <c r="D5358" t="s">
        <v>4336</v>
      </c>
      <c r="E5358" t="s">
        <v>9367</v>
      </c>
      <c r="F5358" t="s">
        <v>6802</v>
      </c>
      <c r="H5358" t="s">
        <v>4337</v>
      </c>
      <c r="K5358">
        <v>230</v>
      </c>
      <c r="L5358" t="s">
        <v>6803</v>
      </c>
    </row>
    <row r="5359" spans="1:12" x14ac:dyDescent="0.35">
      <c r="A5359" t="s">
        <v>3115</v>
      </c>
      <c r="B5359" s="1">
        <v>45730</v>
      </c>
      <c r="C5359" t="s">
        <v>7543</v>
      </c>
      <c r="D5359" t="s">
        <v>4336</v>
      </c>
      <c r="E5359" t="s">
        <v>9367</v>
      </c>
      <c r="F5359" t="s">
        <v>8557</v>
      </c>
      <c r="G5359" t="s">
        <v>8558</v>
      </c>
      <c r="H5359" t="s">
        <v>4337</v>
      </c>
      <c r="J5359">
        <v>230</v>
      </c>
      <c r="L5359" t="s">
        <v>5880</v>
      </c>
    </row>
    <row r="5360" spans="1:12" x14ac:dyDescent="0.35">
      <c r="A5360" t="s">
        <v>3115</v>
      </c>
      <c r="B5360" s="1">
        <v>45730</v>
      </c>
      <c r="C5360" t="s">
        <v>7545</v>
      </c>
      <c r="D5360" t="s">
        <v>4338</v>
      </c>
      <c r="E5360" t="s">
        <v>9368</v>
      </c>
      <c r="F5360" t="s">
        <v>6915</v>
      </c>
      <c r="H5360" t="s">
        <v>4339</v>
      </c>
      <c r="K5360">
        <v>115375</v>
      </c>
      <c r="L5360" t="s">
        <v>6803</v>
      </c>
    </row>
    <row r="5361" spans="1:12" x14ac:dyDescent="0.35">
      <c r="A5361" t="s">
        <v>3115</v>
      </c>
      <c r="B5361" s="1">
        <v>45730</v>
      </c>
      <c r="C5361" t="s">
        <v>7545</v>
      </c>
      <c r="D5361" t="s">
        <v>4338</v>
      </c>
      <c r="E5361" t="s">
        <v>9368</v>
      </c>
      <c r="F5361" t="s">
        <v>8569</v>
      </c>
      <c r="G5361" t="s">
        <v>8570</v>
      </c>
      <c r="H5361" t="s">
        <v>4339</v>
      </c>
      <c r="J5361">
        <v>115375</v>
      </c>
      <c r="L5361" t="s">
        <v>5875</v>
      </c>
    </row>
    <row r="5362" spans="1:12" x14ac:dyDescent="0.35">
      <c r="A5362" t="s">
        <v>3115</v>
      </c>
      <c r="B5362" s="1">
        <v>45730</v>
      </c>
      <c r="C5362" t="s">
        <v>7547</v>
      </c>
      <c r="D5362" t="s">
        <v>4340</v>
      </c>
      <c r="E5362" t="s">
        <v>9369</v>
      </c>
      <c r="F5362" t="s">
        <v>6811</v>
      </c>
      <c r="H5362" t="s">
        <v>4341</v>
      </c>
      <c r="K5362">
        <v>350</v>
      </c>
      <c r="L5362" t="s">
        <v>6803</v>
      </c>
    </row>
    <row r="5363" spans="1:12" x14ac:dyDescent="0.35">
      <c r="A5363" t="s">
        <v>3115</v>
      </c>
      <c r="B5363" s="1">
        <v>45730</v>
      </c>
      <c r="C5363" t="s">
        <v>7547</v>
      </c>
      <c r="D5363" t="s">
        <v>4340</v>
      </c>
      <c r="E5363" t="s">
        <v>9369</v>
      </c>
      <c r="F5363" t="s">
        <v>8557</v>
      </c>
      <c r="G5363" t="s">
        <v>8558</v>
      </c>
      <c r="H5363" t="s">
        <v>4341</v>
      </c>
      <c r="J5363">
        <v>350</v>
      </c>
      <c r="L5363" t="s">
        <v>5874</v>
      </c>
    </row>
    <row r="5364" spans="1:12" x14ac:dyDescent="0.35">
      <c r="A5364" t="s">
        <v>3115</v>
      </c>
      <c r="B5364" s="1">
        <v>45730</v>
      </c>
      <c r="C5364" t="s">
        <v>7673</v>
      </c>
      <c r="D5364" t="s">
        <v>4342</v>
      </c>
      <c r="E5364" t="s">
        <v>9370</v>
      </c>
      <c r="F5364" t="s">
        <v>6802</v>
      </c>
      <c r="H5364" t="s">
        <v>4343</v>
      </c>
      <c r="K5364">
        <v>1181</v>
      </c>
      <c r="L5364" t="s">
        <v>6803</v>
      </c>
    </row>
    <row r="5365" spans="1:12" x14ac:dyDescent="0.35">
      <c r="A5365" t="s">
        <v>3115</v>
      </c>
      <c r="B5365" s="1">
        <v>45730</v>
      </c>
      <c r="C5365" t="s">
        <v>7673</v>
      </c>
      <c r="D5365" t="s">
        <v>4342</v>
      </c>
      <c r="E5365" t="s">
        <v>9370</v>
      </c>
      <c r="F5365" t="s">
        <v>8537</v>
      </c>
      <c r="G5365" t="s">
        <v>8538</v>
      </c>
      <c r="H5365" t="s">
        <v>4343</v>
      </c>
      <c r="J5365">
        <v>1181</v>
      </c>
      <c r="L5365" t="s">
        <v>5875</v>
      </c>
    </row>
    <row r="5366" spans="1:12" x14ac:dyDescent="0.35">
      <c r="A5366" t="s">
        <v>3115</v>
      </c>
      <c r="B5366" s="1">
        <v>45730</v>
      </c>
      <c r="C5366" t="s">
        <v>7793</v>
      </c>
      <c r="D5366" t="s">
        <v>4344</v>
      </c>
      <c r="E5366" t="s">
        <v>9371</v>
      </c>
      <c r="F5366" t="s">
        <v>6811</v>
      </c>
      <c r="H5366" t="s">
        <v>4345</v>
      </c>
      <c r="K5366">
        <v>1500</v>
      </c>
      <c r="L5366" t="s">
        <v>6803</v>
      </c>
    </row>
    <row r="5367" spans="1:12" x14ac:dyDescent="0.35">
      <c r="A5367" t="s">
        <v>3115</v>
      </c>
      <c r="B5367" s="1">
        <v>45730</v>
      </c>
      <c r="C5367" t="s">
        <v>7793</v>
      </c>
      <c r="D5367" t="s">
        <v>4344</v>
      </c>
      <c r="E5367" t="s">
        <v>9371</v>
      </c>
      <c r="F5367" t="s">
        <v>8557</v>
      </c>
      <c r="G5367" t="s">
        <v>8558</v>
      </c>
      <c r="H5367" t="s">
        <v>4345</v>
      </c>
      <c r="J5367">
        <v>1500</v>
      </c>
      <c r="L5367" t="s">
        <v>5880</v>
      </c>
    </row>
    <row r="5368" spans="1:12" x14ac:dyDescent="0.35">
      <c r="A5368" t="s">
        <v>3115</v>
      </c>
      <c r="B5368" s="1">
        <v>45730</v>
      </c>
      <c r="C5368" t="s">
        <v>7838</v>
      </c>
      <c r="D5368" t="s">
        <v>4346</v>
      </c>
      <c r="E5368" t="s">
        <v>9372</v>
      </c>
      <c r="F5368" t="s">
        <v>6811</v>
      </c>
      <c r="H5368" t="s">
        <v>4347</v>
      </c>
      <c r="K5368">
        <v>72900</v>
      </c>
      <c r="L5368" t="s">
        <v>6803</v>
      </c>
    </row>
    <row r="5369" spans="1:12" x14ac:dyDescent="0.35">
      <c r="A5369" t="s">
        <v>3115</v>
      </c>
      <c r="B5369" s="1">
        <v>45730</v>
      </c>
      <c r="C5369" t="s">
        <v>7838</v>
      </c>
      <c r="D5369" t="s">
        <v>4346</v>
      </c>
      <c r="E5369" t="s">
        <v>9372</v>
      </c>
      <c r="F5369" t="s">
        <v>8557</v>
      </c>
      <c r="G5369" t="s">
        <v>8558</v>
      </c>
      <c r="H5369" t="s">
        <v>4347</v>
      </c>
      <c r="J5369">
        <v>72900</v>
      </c>
      <c r="L5369" t="s">
        <v>5874</v>
      </c>
    </row>
    <row r="5370" spans="1:12" x14ac:dyDescent="0.35">
      <c r="A5370" t="s">
        <v>3115</v>
      </c>
      <c r="B5370" s="1">
        <v>45730</v>
      </c>
      <c r="C5370" t="s">
        <v>7839</v>
      </c>
      <c r="D5370" t="s">
        <v>4348</v>
      </c>
      <c r="E5370" t="s">
        <v>9373</v>
      </c>
      <c r="F5370" t="s">
        <v>6802</v>
      </c>
      <c r="H5370" t="s">
        <v>4349</v>
      </c>
      <c r="K5370">
        <v>3017</v>
      </c>
      <c r="L5370" t="s">
        <v>6803</v>
      </c>
    </row>
    <row r="5371" spans="1:12" x14ac:dyDescent="0.35">
      <c r="A5371" t="s">
        <v>3115</v>
      </c>
      <c r="B5371" s="1">
        <v>45730</v>
      </c>
      <c r="C5371" t="s">
        <v>7839</v>
      </c>
      <c r="D5371" t="s">
        <v>4348</v>
      </c>
      <c r="E5371" t="s">
        <v>9373</v>
      </c>
      <c r="F5371" t="s">
        <v>8537</v>
      </c>
      <c r="G5371" t="s">
        <v>8538</v>
      </c>
      <c r="H5371" t="s">
        <v>4349</v>
      </c>
      <c r="J5371">
        <v>3017</v>
      </c>
      <c r="L5371" t="s">
        <v>5875</v>
      </c>
    </row>
    <row r="5372" spans="1:12" x14ac:dyDescent="0.35">
      <c r="A5372" t="s">
        <v>3115</v>
      </c>
      <c r="B5372" s="1">
        <v>45730</v>
      </c>
      <c r="C5372" t="s">
        <v>7846</v>
      </c>
      <c r="D5372" t="s">
        <v>4350</v>
      </c>
      <c r="E5372" t="s">
        <v>9374</v>
      </c>
      <c r="F5372" t="s">
        <v>6802</v>
      </c>
      <c r="H5372" t="s">
        <v>4351</v>
      </c>
      <c r="K5372">
        <v>1181</v>
      </c>
      <c r="L5372" t="s">
        <v>6803</v>
      </c>
    </row>
    <row r="5373" spans="1:12" x14ac:dyDescent="0.35">
      <c r="A5373" t="s">
        <v>3115</v>
      </c>
      <c r="B5373" s="1">
        <v>45730</v>
      </c>
      <c r="C5373" t="s">
        <v>7846</v>
      </c>
      <c r="D5373" t="s">
        <v>4350</v>
      </c>
      <c r="E5373" t="s">
        <v>9374</v>
      </c>
      <c r="F5373" t="s">
        <v>8537</v>
      </c>
      <c r="G5373" t="s">
        <v>8538</v>
      </c>
      <c r="H5373" t="s">
        <v>4351</v>
      </c>
      <c r="J5373">
        <v>1181</v>
      </c>
      <c r="L5373" t="s">
        <v>5875</v>
      </c>
    </row>
    <row r="5374" spans="1:12" x14ac:dyDescent="0.35">
      <c r="A5374" t="s">
        <v>3115</v>
      </c>
      <c r="B5374" s="1">
        <v>45730</v>
      </c>
      <c r="C5374" t="s">
        <v>7850</v>
      </c>
      <c r="D5374" t="s">
        <v>4352</v>
      </c>
      <c r="E5374" t="s">
        <v>9375</v>
      </c>
      <c r="F5374" t="s">
        <v>6811</v>
      </c>
      <c r="H5374" t="s">
        <v>4353</v>
      </c>
      <c r="K5374">
        <v>673</v>
      </c>
      <c r="L5374" t="s">
        <v>6803</v>
      </c>
    </row>
    <row r="5375" spans="1:12" x14ac:dyDescent="0.35">
      <c r="A5375" t="s">
        <v>3115</v>
      </c>
      <c r="B5375" s="1">
        <v>45730</v>
      </c>
      <c r="C5375" t="s">
        <v>7850</v>
      </c>
      <c r="D5375" t="s">
        <v>4352</v>
      </c>
      <c r="E5375" t="s">
        <v>9375</v>
      </c>
      <c r="F5375" t="s">
        <v>8557</v>
      </c>
      <c r="G5375" t="s">
        <v>8558</v>
      </c>
      <c r="H5375" t="s">
        <v>4353</v>
      </c>
      <c r="J5375">
        <v>673</v>
      </c>
      <c r="L5375" t="s">
        <v>5949</v>
      </c>
    </row>
    <row r="5376" spans="1:12" x14ac:dyDescent="0.35">
      <c r="A5376" t="s">
        <v>3115</v>
      </c>
      <c r="B5376" s="1">
        <v>45730</v>
      </c>
      <c r="C5376" t="s">
        <v>7848</v>
      </c>
      <c r="D5376" t="s">
        <v>4354</v>
      </c>
      <c r="E5376" t="s">
        <v>9376</v>
      </c>
      <c r="F5376" t="s">
        <v>6811</v>
      </c>
      <c r="H5376" t="s">
        <v>4355</v>
      </c>
      <c r="K5376">
        <v>9168</v>
      </c>
      <c r="L5376" t="s">
        <v>6803</v>
      </c>
    </row>
    <row r="5377" spans="1:12" x14ac:dyDescent="0.35">
      <c r="A5377" t="s">
        <v>3115</v>
      </c>
      <c r="B5377" s="1">
        <v>45730</v>
      </c>
      <c r="C5377" t="s">
        <v>7848</v>
      </c>
      <c r="D5377" t="s">
        <v>4354</v>
      </c>
      <c r="E5377" t="s">
        <v>9376</v>
      </c>
      <c r="F5377" t="s">
        <v>6802</v>
      </c>
      <c r="H5377" t="s">
        <v>4355</v>
      </c>
      <c r="K5377">
        <v>56860</v>
      </c>
      <c r="L5377" t="s">
        <v>6803</v>
      </c>
    </row>
    <row r="5378" spans="1:12" x14ac:dyDescent="0.35">
      <c r="A5378" t="s">
        <v>3115</v>
      </c>
      <c r="B5378" s="1">
        <v>45730</v>
      </c>
      <c r="C5378" t="s">
        <v>7848</v>
      </c>
      <c r="D5378" t="s">
        <v>4354</v>
      </c>
      <c r="E5378" t="s">
        <v>9376</v>
      </c>
      <c r="F5378" t="s">
        <v>8557</v>
      </c>
      <c r="G5378" t="s">
        <v>8558</v>
      </c>
      <c r="H5378" t="s">
        <v>4355</v>
      </c>
      <c r="J5378">
        <v>66028</v>
      </c>
      <c r="L5378" t="s">
        <v>5880</v>
      </c>
    </row>
    <row r="5379" spans="1:12" x14ac:dyDescent="0.35">
      <c r="A5379" t="s">
        <v>3115</v>
      </c>
      <c r="B5379" s="1">
        <v>45730</v>
      </c>
      <c r="C5379" t="s">
        <v>7849</v>
      </c>
      <c r="D5379" t="s">
        <v>4356</v>
      </c>
      <c r="E5379" t="s">
        <v>9377</v>
      </c>
      <c r="F5379" t="s">
        <v>6811</v>
      </c>
      <c r="H5379" t="s">
        <v>4357</v>
      </c>
      <c r="K5379">
        <v>18336</v>
      </c>
      <c r="L5379" t="s">
        <v>6803</v>
      </c>
    </row>
    <row r="5380" spans="1:12" x14ac:dyDescent="0.35">
      <c r="A5380" t="s">
        <v>3115</v>
      </c>
      <c r="B5380" s="1">
        <v>45730</v>
      </c>
      <c r="C5380" t="s">
        <v>7849</v>
      </c>
      <c r="D5380" t="s">
        <v>4356</v>
      </c>
      <c r="E5380" t="s">
        <v>9377</v>
      </c>
      <c r="F5380" t="s">
        <v>6802</v>
      </c>
      <c r="H5380" t="s">
        <v>4357</v>
      </c>
      <c r="K5380">
        <v>7600</v>
      </c>
      <c r="L5380" t="s">
        <v>6803</v>
      </c>
    </row>
    <row r="5381" spans="1:12" x14ac:dyDescent="0.35">
      <c r="A5381" t="s">
        <v>3115</v>
      </c>
      <c r="B5381" s="1">
        <v>45730</v>
      </c>
      <c r="C5381" t="s">
        <v>7849</v>
      </c>
      <c r="D5381" t="s">
        <v>4356</v>
      </c>
      <c r="E5381" t="s">
        <v>9377</v>
      </c>
      <c r="F5381" t="s">
        <v>8557</v>
      </c>
      <c r="G5381" t="s">
        <v>8558</v>
      </c>
      <c r="H5381" t="s">
        <v>4357</v>
      </c>
      <c r="J5381">
        <v>25936</v>
      </c>
      <c r="L5381" t="s">
        <v>5875</v>
      </c>
    </row>
    <row r="5382" spans="1:12" x14ac:dyDescent="0.35">
      <c r="A5382" t="s">
        <v>3115</v>
      </c>
      <c r="B5382" s="1">
        <v>45730</v>
      </c>
      <c r="C5382" t="s">
        <v>7851</v>
      </c>
      <c r="D5382" t="s">
        <v>4358</v>
      </c>
      <c r="E5382" t="s">
        <v>9378</v>
      </c>
      <c r="F5382" t="s">
        <v>6811</v>
      </c>
      <c r="H5382" t="s">
        <v>4359</v>
      </c>
      <c r="K5382">
        <v>328</v>
      </c>
      <c r="L5382" t="s">
        <v>6803</v>
      </c>
    </row>
    <row r="5383" spans="1:12" x14ac:dyDescent="0.35">
      <c r="A5383" t="s">
        <v>3115</v>
      </c>
      <c r="B5383" s="1">
        <v>45730</v>
      </c>
      <c r="C5383" t="s">
        <v>7851</v>
      </c>
      <c r="D5383" t="s">
        <v>4358</v>
      </c>
      <c r="E5383" t="s">
        <v>9378</v>
      </c>
      <c r="F5383" t="s">
        <v>6802</v>
      </c>
      <c r="H5383" t="s">
        <v>4359</v>
      </c>
      <c r="K5383">
        <v>12464</v>
      </c>
      <c r="L5383" t="s">
        <v>6803</v>
      </c>
    </row>
    <row r="5384" spans="1:12" x14ac:dyDescent="0.35">
      <c r="A5384" t="s">
        <v>3115</v>
      </c>
      <c r="B5384" s="1">
        <v>45730</v>
      </c>
      <c r="C5384" t="s">
        <v>7851</v>
      </c>
      <c r="D5384" t="s">
        <v>4358</v>
      </c>
      <c r="E5384" t="s">
        <v>9378</v>
      </c>
      <c r="F5384" t="s">
        <v>8537</v>
      </c>
      <c r="G5384" t="s">
        <v>8538</v>
      </c>
      <c r="H5384" t="s">
        <v>4359</v>
      </c>
      <c r="J5384">
        <v>12792</v>
      </c>
      <c r="L5384" t="s">
        <v>5875</v>
      </c>
    </row>
    <row r="5385" spans="1:12" x14ac:dyDescent="0.35">
      <c r="A5385" t="s">
        <v>3115</v>
      </c>
      <c r="B5385" s="1">
        <v>45730</v>
      </c>
      <c r="C5385" t="s">
        <v>7852</v>
      </c>
      <c r="D5385" t="s">
        <v>4360</v>
      </c>
      <c r="E5385" t="s">
        <v>9379</v>
      </c>
      <c r="F5385" t="s">
        <v>6802</v>
      </c>
      <c r="H5385" t="s">
        <v>4361</v>
      </c>
      <c r="K5385">
        <v>6297</v>
      </c>
      <c r="L5385" t="s">
        <v>6803</v>
      </c>
    </row>
    <row r="5386" spans="1:12" x14ac:dyDescent="0.35">
      <c r="A5386" t="s">
        <v>3115</v>
      </c>
      <c r="B5386" s="1">
        <v>45730</v>
      </c>
      <c r="C5386" t="s">
        <v>7852</v>
      </c>
      <c r="D5386" t="s">
        <v>4360</v>
      </c>
      <c r="E5386" t="s">
        <v>9379</v>
      </c>
      <c r="F5386" t="s">
        <v>8537</v>
      </c>
      <c r="G5386" t="s">
        <v>8538</v>
      </c>
      <c r="H5386" t="s">
        <v>4361</v>
      </c>
      <c r="J5386">
        <v>6297</v>
      </c>
      <c r="L5386" t="s">
        <v>5966</v>
      </c>
    </row>
    <row r="5387" spans="1:12" x14ac:dyDescent="0.35">
      <c r="A5387" t="s">
        <v>3115</v>
      </c>
      <c r="B5387" s="1">
        <v>45730</v>
      </c>
      <c r="C5387" t="s">
        <v>7841</v>
      </c>
      <c r="D5387" t="s">
        <v>4362</v>
      </c>
      <c r="E5387" t="s">
        <v>9380</v>
      </c>
      <c r="F5387" t="s">
        <v>6802</v>
      </c>
      <c r="H5387" t="s">
        <v>4363</v>
      </c>
      <c r="K5387">
        <v>3178</v>
      </c>
      <c r="L5387" t="s">
        <v>6803</v>
      </c>
    </row>
    <row r="5388" spans="1:12" x14ac:dyDescent="0.35">
      <c r="A5388" t="s">
        <v>3115</v>
      </c>
      <c r="B5388" s="1">
        <v>45730</v>
      </c>
      <c r="C5388" t="s">
        <v>7841</v>
      </c>
      <c r="D5388" t="s">
        <v>4362</v>
      </c>
      <c r="E5388" t="s">
        <v>9380</v>
      </c>
      <c r="F5388" t="s">
        <v>8467</v>
      </c>
      <c r="G5388" t="s">
        <v>8567</v>
      </c>
      <c r="H5388" t="s">
        <v>4363</v>
      </c>
      <c r="J5388">
        <v>3178</v>
      </c>
      <c r="L5388" t="s">
        <v>6010</v>
      </c>
    </row>
    <row r="5389" spans="1:12" x14ac:dyDescent="0.35">
      <c r="A5389" t="s">
        <v>3115</v>
      </c>
      <c r="B5389" s="1">
        <v>45730</v>
      </c>
      <c r="C5389" t="s">
        <v>7842</v>
      </c>
      <c r="D5389" t="s">
        <v>4364</v>
      </c>
      <c r="E5389" t="s">
        <v>9381</v>
      </c>
      <c r="F5389" t="s">
        <v>6811</v>
      </c>
      <c r="H5389" t="s">
        <v>4365</v>
      </c>
      <c r="K5389">
        <v>1346</v>
      </c>
      <c r="L5389" t="s">
        <v>6803</v>
      </c>
    </row>
    <row r="5390" spans="1:12" x14ac:dyDescent="0.35">
      <c r="A5390" t="s">
        <v>3115</v>
      </c>
      <c r="B5390" s="1">
        <v>45730</v>
      </c>
      <c r="C5390" t="s">
        <v>7842</v>
      </c>
      <c r="D5390" t="s">
        <v>4364</v>
      </c>
      <c r="E5390" t="s">
        <v>9381</v>
      </c>
      <c r="F5390" t="s">
        <v>8557</v>
      </c>
      <c r="G5390" t="s">
        <v>8558</v>
      </c>
      <c r="H5390" t="s">
        <v>4365</v>
      </c>
      <c r="J5390">
        <v>1346</v>
      </c>
      <c r="L5390" t="s">
        <v>5874</v>
      </c>
    </row>
    <row r="5391" spans="1:12" x14ac:dyDescent="0.35">
      <c r="A5391" t="s">
        <v>3115</v>
      </c>
      <c r="B5391" s="1">
        <v>45730</v>
      </c>
      <c r="C5391" t="s">
        <v>7843</v>
      </c>
      <c r="D5391" t="s">
        <v>4366</v>
      </c>
      <c r="E5391" t="s">
        <v>9380</v>
      </c>
      <c r="F5391" t="s">
        <v>6811</v>
      </c>
      <c r="H5391" t="s">
        <v>4367</v>
      </c>
      <c r="K5391">
        <v>900</v>
      </c>
      <c r="L5391" t="s">
        <v>6803</v>
      </c>
    </row>
    <row r="5392" spans="1:12" x14ac:dyDescent="0.35">
      <c r="A5392" t="s">
        <v>3115</v>
      </c>
      <c r="B5392" s="1">
        <v>45730</v>
      </c>
      <c r="C5392" t="s">
        <v>7843</v>
      </c>
      <c r="D5392" t="s">
        <v>4366</v>
      </c>
      <c r="E5392" t="s">
        <v>9380</v>
      </c>
      <c r="F5392" t="s">
        <v>8557</v>
      </c>
      <c r="G5392" t="s">
        <v>8558</v>
      </c>
      <c r="H5392" t="s">
        <v>4367</v>
      </c>
      <c r="J5392">
        <v>900</v>
      </c>
      <c r="L5392" t="s">
        <v>6010</v>
      </c>
    </row>
    <row r="5393" spans="1:12" x14ac:dyDescent="0.35">
      <c r="A5393" t="s">
        <v>3115</v>
      </c>
      <c r="B5393" s="1">
        <v>45730</v>
      </c>
      <c r="C5393" t="s">
        <v>7844</v>
      </c>
      <c r="D5393" t="s">
        <v>4368</v>
      </c>
      <c r="E5393" t="s">
        <v>9382</v>
      </c>
      <c r="F5393" t="s">
        <v>6811</v>
      </c>
      <c r="H5393" t="s">
        <v>4369</v>
      </c>
      <c r="K5393">
        <v>14966</v>
      </c>
      <c r="L5393" t="s">
        <v>6803</v>
      </c>
    </row>
    <row r="5394" spans="1:12" x14ac:dyDescent="0.35">
      <c r="A5394" t="s">
        <v>3115</v>
      </c>
      <c r="B5394" s="1">
        <v>45730</v>
      </c>
      <c r="C5394" t="s">
        <v>7844</v>
      </c>
      <c r="D5394" t="s">
        <v>4368</v>
      </c>
      <c r="E5394" t="s">
        <v>9382</v>
      </c>
      <c r="F5394" t="s">
        <v>8557</v>
      </c>
      <c r="G5394" t="s">
        <v>8558</v>
      </c>
      <c r="H5394" t="s">
        <v>4369</v>
      </c>
      <c r="J5394">
        <v>14966</v>
      </c>
      <c r="L5394" t="s">
        <v>5949</v>
      </c>
    </row>
    <row r="5395" spans="1:12" x14ac:dyDescent="0.35">
      <c r="A5395" t="s">
        <v>3115</v>
      </c>
      <c r="B5395" s="1">
        <v>45730</v>
      </c>
      <c r="C5395" t="s">
        <v>7321</v>
      </c>
      <c r="D5395" t="s">
        <v>4370</v>
      </c>
      <c r="E5395" t="s">
        <v>9383</v>
      </c>
      <c r="F5395" t="s">
        <v>6802</v>
      </c>
      <c r="H5395" t="s">
        <v>4371</v>
      </c>
      <c r="K5395">
        <v>15021</v>
      </c>
      <c r="L5395" t="s">
        <v>6803</v>
      </c>
    </row>
    <row r="5396" spans="1:12" x14ac:dyDescent="0.35">
      <c r="A5396" t="s">
        <v>3115</v>
      </c>
      <c r="B5396" s="1">
        <v>45730</v>
      </c>
      <c r="C5396" t="s">
        <v>7321</v>
      </c>
      <c r="D5396" t="s">
        <v>4370</v>
      </c>
      <c r="E5396" t="s">
        <v>9383</v>
      </c>
      <c r="F5396" t="s">
        <v>8537</v>
      </c>
      <c r="G5396" t="s">
        <v>8538</v>
      </c>
      <c r="H5396" t="s">
        <v>4371</v>
      </c>
      <c r="J5396">
        <v>15021</v>
      </c>
      <c r="L5396" t="s">
        <v>5966</v>
      </c>
    </row>
    <row r="5397" spans="1:12" x14ac:dyDescent="0.35">
      <c r="A5397" t="s">
        <v>3115</v>
      </c>
      <c r="B5397" s="1">
        <v>45730</v>
      </c>
      <c r="C5397" t="s">
        <v>7322</v>
      </c>
      <c r="D5397" t="s">
        <v>4372</v>
      </c>
      <c r="E5397" t="s">
        <v>9384</v>
      </c>
      <c r="F5397" t="s">
        <v>6802</v>
      </c>
      <c r="H5397" t="s">
        <v>4373</v>
      </c>
      <c r="K5397">
        <v>9971</v>
      </c>
      <c r="L5397" t="s">
        <v>6803</v>
      </c>
    </row>
    <row r="5398" spans="1:12" x14ac:dyDescent="0.35">
      <c r="A5398" t="s">
        <v>3115</v>
      </c>
      <c r="B5398" s="1">
        <v>45730</v>
      </c>
      <c r="C5398" t="s">
        <v>7322</v>
      </c>
      <c r="D5398" t="s">
        <v>4372</v>
      </c>
      <c r="E5398" t="s">
        <v>9384</v>
      </c>
      <c r="F5398" t="s">
        <v>8537</v>
      </c>
      <c r="G5398" t="s">
        <v>8538</v>
      </c>
      <c r="H5398" t="s">
        <v>4373</v>
      </c>
      <c r="J5398">
        <v>9971</v>
      </c>
      <c r="L5398" t="s">
        <v>5966</v>
      </c>
    </row>
    <row r="5399" spans="1:12" x14ac:dyDescent="0.35">
      <c r="A5399" t="s">
        <v>3115</v>
      </c>
      <c r="B5399" s="1">
        <v>45730</v>
      </c>
      <c r="C5399" t="s">
        <v>7325</v>
      </c>
      <c r="D5399" t="s">
        <v>4374</v>
      </c>
      <c r="E5399" t="s">
        <v>9385</v>
      </c>
      <c r="F5399" t="s">
        <v>6811</v>
      </c>
      <c r="H5399" t="s">
        <v>4375</v>
      </c>
      <c r="K5399">
        <v>43650</v>
      </c>
      <c r="L5399" t="s">
        <v>6803</v>
      </c>
    </row>
    <row r="5400" spans="1:12" x14ac:dyDescent="0.35">
      <c r="A5400" t="s">
        <v>3115</v>
      </c>
      <c r="B5400" s="1">
        <v>45730</v>
      </c>
      <c r="C5400" t="s">
        <v>7325</v>
      </c>
      <c r="D5400" t="s">
        <v>4374</v>
      </c>
      <c r="E5400" t="s">
        <v>9385</v>
      </c>
      <c r="F5400" t="s">
        <v>8557</v>
      </c>
      <c r="G5400" t="s">
        <v>8558</v>
      </c>
      <c r="H5400" t="s">
        <v>4375</v>
      </c>
      <c r="J5400">
        <v>43650</v>
      </c>
      <c r="L5400" t="s">
        <v>5949</v>
      </c>
    </row>
    <row r="5401" spans="1:12" x14ac:dyDescent="0.35">
      <c r="A5401" t="s">
        <v>3115</v>
      </c>
      <c r="B5401" s="1">
        <v>45730</v>
      </c>
      <c r="C5401" t="s">
        <v>7328</v>
      </c>
      <c r="D5401" t="s">
        <v>4376</v>
      </c>
      <c r="E5401" t="s">
        <v>9386</v>
      </c>
      <c r="F5401" t="s">
        <v>6811</v>
      </c>
      <c r="H5401" t="s">
        <v>4377</v>
      </c>
      <c r="K5401">
        <v>700</v>
      </c>
      <c r="L5401" t="s">
        <v>6803</v>
      </c>
    </row>
    <row r="5402" spans="1:12" x14ac:dyDescent="0.35">
      <c r="A5402" t="s">
        <v>3115</v>
      </c>
      <c r="B5402" s="1">
        <v>45730</v>
      </c>
      <c r="C5402" t="s">
        <v>7328</v>
      </c>
      <c r="D5402" t="s">
        <v>4376</v>
      </c>
      <c r="E5402" t="s">
        <v>9386</v>
      </c>
      <c r="F5402" t="s">
        <v>8557</v>
      </c>
      <c r="G5402" t="s">
        <v>8558</v>
      </c>
      <c r="H5402" t="s">
        <v>4377</v>
      </c>
      <c r="J5402">
        <v>700</v>
      </c>
      <c r="L5402" t="s">
        <v>5966</v>
      </c>
    </row>
    <row r="5403" spans="1:12" x14ac:dyDescent="0.35">
      <c r="A5403" t="s">
        <v>3115</v>
      </c>
      <c r="B5403" s="1">
        <v>45730</v>
      </c>
      <c r="C5403" t="s">
        <v>7329</v>
      </c>
      <c r="D5403" t="s">
        <v>4378</v>
      </c>
      <c r="E5403" t="s">
        <v>9387</v>
      </c>
      <c r="F5403" t="s">
        <v>6915</v>
      </c>
      <c r="H5403" t="s">
        <v>4379</v>
      </c>
      <c r="K5403">
        <v>6075</v>
      </c>
      <c r="L5403" t="s">
        <v>6803</v>
      </c>
    </row>
    <row r="5404" spans="1:12" x14ac:dyDescent="0.35">
      <c r="A5404" t="s">
        <v>3115</v>
      </c>
      <c r="B5404" s="1">
        <v>45730</v>
      </c>
      <c r="C5404" t="s">
        <v>7329</v>
      </c>
      <c r="D5404" t="s">
        <v>4378</v>
      </c>
      <c r="E5404" t="s">
        <v>9387</v>
      </c>
      <c r="F5404" t="s">
        <v>8569</v>
      </c>
      <c r="G5404" t="s">
        <v>8570</v>
      </c>
      <c r="H5404" t="s">
        <v>4379</v>
      </c>
      <c r="J5404">
        <v>6075</v>
      </c>
      <c r="L5404" t="s">
        <v>5966</v>
      </c>
    </row>
    <row r="5405" spans="1:12" x14ac:dyDescent="0.35">
      <c r="A5405" t="s">
        <v>3115</v>
      </c>
      <c r="B5405" s="1">
        <v>45730</v>
      </c>
      <c r="C5405" t="s">
        <v>7332</v>
      </c>
      <c r="D5405" t="s">
        <v>4380</v>
      </c>
      <c r="E5405" t="s">
        <v>9388</v>
      </c>
      <c r="F5405" t="s">
        <v>6915</v>
      </c>
      <c r="H5405" t="s">
        <v>4381</v>
      </c>
      <c r="K5405">
        <v>66406</v>
      </c>
      <c r="L5405" t="s">
        <v>6803</v>
      </c>
    </row>
    <row r="5406" spans="1:12" x14ac:dyDescent="0.35">
      <c r="A5406" t="s">
        <v>3115</v>
      </c>
      <c r="B5406" s="1">
        <v>45730</v>
      </c>
      <c r="C5406" t="s">
        <v>7332</v>
      </c>
      <c r="D5406" t="s">
        <v>4380</v>
      </c>
      <c r="E5406" t="s">
        <v>9388</v>
      </c>
      <c r="F5406" t="s">
        <v>8569</v>
      </c>
      <c r="G5406" t="s">
        <v>8570</v>
      </c>
      <c r="H5406" t="s">
        <v>4381</v>
      </c>
      <c r="J5406">
        <v>66406</v>
      </c>
      <c r="L5406" t="s">
        <v>5946</v>
      </c>
    </row>
    <row r="5407" spans="1:12" x14ac:dyDescent="0.35">
      <c r="A5407" t="s">
        <v>3115</v>
      </c>
      <c r="B5407" s="1">
        <v>45730</v>
      </c>
      <c r="C5407" t="s">
        <v>9389</v>
      </c>
      <c r="D5407" t="s">
        <v>4382</v>
      </c>
      <c r="E5407" t="s">
        <v>9390</v>
      </c>
      <c r="F5407" t="s">
        <v>6811</v>
      </c>
      <c r="H5407" t="s">
        <v>4383</v>
      </c>
      <c r="K5407">
        <v>3000</v>
      </c>
      <c r="L5407" t="s">
        <v>6803</v>
      </c>
    </row>
    <row r="5408" spans="1:12" x14ac:dyDescent="0.35">
      <c r="A5408" t="s">
        <v>3115</v>
      </c>
      <c r="B5408" s="1">
        <v>45730</v>
      </c>
      <c r="C5408" t="s">
        <v>9389</v>
      </c>
      <c r="D5408" t="s">
        <v>4382</v>
      </c>
      <c r="E5408" t="s">
        <v>9390</v>
      </c>
      <c r="F5408" t="s">
        <v>6802</v>
      </c>
      <c r="H5408" t="s">
        <v>4383</v>
      </c>
      <c r="K5408">
        <v>1062</v>
      </c>
      <c r="L5408" t="s">
        <v>6803</v>
      </c>
    </row>
    <row r="5409" spans="1:12" x14ac:dyDescent="0.35">
      <c r="A5409" t="s">
        <v>3115</v>
      </c>
      <c r="B5409" s="1">
        <v>45730</v>
      </c>
      <c r="C5409" t="s">
        <v>9389</v>
      </c>
      <c r="D5409" t="s">
        <v>4382</v>
      </c>
      <c r="E5409" t="s">
        <v>9390</v>
      </c>
      <c r="F5409" t="s">
        <v>8557</v>
      </c>
      <c r="G5409" t="s">
        <v>8558</v>
      </c>
      <c r="H5409" t="s">
        <v>4383</v>
      </c>
      <c r="J5409">
        <v>4062</v>
      </c>
      <c r="L5409" t="s">
        <v>5875</v>
      </c>
    </row>
    <row r="5410" spans="1:12" x14ac:dyDescent="0.35">
      <c r="A5410" t="s">
        <v>3115</v>
      </c>
      <c r="B5410" s="1">
        <v>45730</v>
      </c>
      <c r="C5410" t="s">
        <v>9391</v>
      </c>
      <c r="D5410" t="s">
        <v>4384</v>
      </c>
      <c r="E5410" t="s">
        <v>9392</v>
      </c>
      <c r="F5410" t="s">
        <v>6802</v>
      </c>
      <c r="H5410" t="s">
        <v>4385</v>
      </c>
      <c r="K5410">
        <v>34500</v>
      </c>
      <c r="L5410" t="s">
        <v>6803</v>
      </c>
    </row>
    <row r="5411" spans="1:12" x14ac:dyDescent="0.35">
      <c r="A5411" t="s">
        <v>3115</v>
      </c>
      <c r="B5411" s="1">
        <v>45730</v>
      </c>
      <c r="C5411" t="s">
        <v>9391</v>
      </c>
      <c r="D5411" t="s">
        <v>4384</v>
      </c>
      <c r="E5411" t="s">
        <v>9392</v>
      </c>
      <c r="F5411" t="s">
        <v>8557</v>
      </c>
      <c r="G5411" t="s">
        <v>8558</v>
      </c>
      <c r="H5411" t="s">
        <v>4385</v>
      </c>
      <c r="J5411">
        <v>34500</v>
      </c>
      <c r="L5411" t="s">
        <v>5949</v>
      </c>
    </row>
    <row r="5412" spans="1:12" x14ac:dyDescent="0.35">
      <c r="A5412" t="s">
        <v>3115</v>
      </c>
      <c r="B5412" s="1">
        <v>45730</v>
      </c>
      <c r="C5412" t="s">
        <v>9393</v>
      </c>
      <c r="D5412" t="s">
        <v>4386</v>
      </c>
      <c r="E5412" t="s">
        <v>9394</v>
      </c>
      <c r="F5412" t="s">
        <v>6811</v>
      </c>
      <c r="H5412" t="s">
        <v>4387</v>
      </c>
      <c r="K5412">
        <v>294</v>
      </c>
      <c r="L5412" t="s">
        <v>6803</v>
      </c>
    </row>
    <row r="5413" spans="1:12" x14ac:dyDescent="0.35">
      <c r="A5413" t="s">
        <v>3115</v>
      </c>
      <c r="B5413" s="1">
        <v>45730</v>
      </c>
      <c r="C5413" t="s">
        <v>9393</v>
      </c>
      <c r="D5413" t="s">
        <v>4386</v>
      </c>
      <c r="E5413" t="s">
        <v>9394</v>
      </c>
      <c r="F5413" t="s">
        <v>8557</v>
      </c>
      <c r="G5413" t="s">
        <v>8558</v>
      </c>
      <c r="H5413" t="s">
        <v>4387</v>
      </c>
      <c r="J5413">
        <v>294</v>
      </c>
      <c r="L5413" t="s">
        <v>5875</v>
      </c>
    </row>
    <row r="5414" spans="1:12" x14ac:dyDescent="0.35">
      <c r="A5414" t="s">
        <v>3115</v>
      </c>
      <c r="B5414" s="1">
        <v>45730</v>
      </c>
      <c r="C5414" t="s">
        <v>9395</v>
      </c>
      <c r="D5414" t="s">
        <v>4388</v>
      </c>
      <c r="E5414" t="s">
        <v>9390</v>
      </c>
      <c r="F5414" t="s">
        <v>6802</v>
      </c>
      <c r="H5414" t="s">
        <v>4389</v>
      </c>
      <c r="K5414">
        <v>8967</v>
      </c>
      <c r="L5414" t="s">
        <v>6803</v>
      </c>
    </row>
    <row r="5415" spans="1:12" x14ac:dyDescent="0.35">
      <c r="A5415" t="s">
        <v>3115</v>
      </c>
      <c r="B5415" s="1">
        <v>45730</v>
      </c>
      <c r="C5415" t="s">
        <v>9395</v>
      </c>
      <c r="D5415" t="s">
        <v>4388</v>
      </c>
      <c r="E5415" t="s">
        <v>9390</v>
      </c>
      <c r="F5415" t="s">
        <v>8557</v>
      </c>
      <c r="G5415" t="s">
        <v>8558</v>
      </c>
      <c r="H5415" t="s">
        <v>4389</v>
      </c>
      <c r="J5415">
        <v>8967</v>
      </c>
      <c r="L5415" t="s">
        <v>5875</v>
      </c>
    </row>
    <row r="5416" spans="1:12" x14ac:dyDescent="0.35">
      <c r="A5416" t="s">
        <v>3115</v>
      </c>
      <c r="B5416" s="1">
        <v>45730</v>
      </c>
      <c r="C5416" t="s">
        <v>9396</v>
      </c>
      <c r="D5416" t="s">
        <v>4390</v>
      </c>
      <c r="E5416" t="s">
        <v>9397</v>
      </c>
      <c r="F5416" t="s">
        <v>6808</v>
      </c>
      <c r="H5416" t="s">
        <v>4391</v>
      </c>
      <c r="K5416">
        <v>3298</v>
      </c>
      <c r="L5416" t="s">
        <v>6803</v>
      </c>
    </row>
    <row r="5417" spans="1:12" x14ac:dyDescent="0.35">
      <c r="A5417" t="s">
        <v>3115</v>
      </c>
      <c r="B5417" s="1">
        <v>45730</v>
      </c>
      <c r="C5417" t="s">
        <v>9396</v>
      </c>
      <c r="D5417" t="s">
        <v>4390</v>
      </c>
      <c r="E5417" t="s">
        <v>9397</v>
      </c>
      <c r="F5417" t="s">
        <v>8467</v>
      </c>
      <c r="G5417" t="s">
        <v>8567</v>
      </c>
      <c r="H5417" t="s">
        <v>4391</v>
      </c>
      <c r="J5417">
        <v>3298</v>
      </c>
      <c r="L5417" t="s">
        <v>5880</v>
      </c>
    </row>
    <row r="5418" spans="1:12" x14ac:dyDescent="0.35">
      <c r="A5418" t="s">
        <v>3115</v>
      </c>
      <c r="B5418" s="1">
        <v>45730</v>
      </c>
      <c r="C5418" t="s">
        <v>9398</v>
      </c>
      <c r="D5418" t="s">
        <v>4392</v>
      </c>
      <c r="E5418" t="s">
        <v>9399</v>
      </c>
      <c r="F5418" t="s">
        <v>6802</v>
      </c>
      <c r="H5418" t="s">
        <v>4393</v>
      </c>
      <c r="K5418">
        <v>6356</v>
      </c>
      <c r="L5418" t="s">
        <v>6803</v>
      </c>
    </row>
    <row r="5419" spans="1:12" x14ac:dyDescent="0.35">
      <c r="A5419" t="s">
        <v>3115</v>
      </c>
      <c r="B5419" s="1">
        <v>45730</v>
      </c>
      <c r="C5419" t="s">
        <v>9398</v>
      </c>
      <c r="D5419" t="s">
        <v>4392</v>
      </c>
      <c r="E5419" t="s">
        <v>9399</v>
      </c>
      <c r="F5419" t="s">
        <v>8467</v>
      </c>
      <c r="G5419" t="s">
        <v>8567</v>
      </c>
      <c r="H5419" t="s">
        <v>4393</v>
      </c>
      <c r="J5419">
        <v>6356</v>
      </c>
      <c r="L5419" t="s">
        <v>6013</v>
      </c>
    </row>
    <row r="5420" spans="1:12" x14ac:dyDescent="0.35">
      <c r="A5420" t="s">
        <v>3115</v>
      </c>
      <c r="B5420" s="1">
        <v>45730</v>
      </c>
      <c r="C5420" t="s">
        <v>9400</v>
      </c>
      <c r="D5420" t="s">
        <v>4394</v>
      </c>
      <c r="E5420" t="s">
        <v>9401</v>
      </c>
      <c r="F5420" t="s">
        <v>6808</v>
      </c>
      <c r="H5420" t="s">
        <v>4395</v>
      </c>
      <c r="K5420">
        <v>5242</v>
      </c>
      <c r="L5420" t="s">
        <v>6803</v>
      </c>
    </row>
    <row r="5421" spans="1:12" x14ac:dyDescent="0.35">
      <c r="A5421" t="s">
        <v>3115</v>
      </c>
      <c r="B5421" s="1">
        <v>45730</v>
      </c>
      <c r="C5421" t="s">
        <v>9400</v>
      </c>
      <c r="D5421" t="s">
        <v>4394</v>
      </c>
      <c r="E5421" t="s">
        <v>9401</v>
      </c>
      <c r="F5421" t="s">
        <v>8467</v>
      </c>
      <c r="G5421" t="s">
        <v>8567</v>
      </c>
      <c r="H5421" t="s">
        <v>4395</v>
      </c>
      <c r="J5421">
        <v>5242</v>
      </c>
      <c r="L5421" t="s">
        <v>5966</v>
      </c>
    </row>
    <row r="5422" spans="1:12" x14ac:dyDescent="0.35">
      <c r="A5422" t="s">
        <v>3115</v>
      </c>
      <c r="B5422" s="1">
        <v>45730</v>
      </c>
      <c r="C5422" t="s">
        <v>9402</v>
      </c>
      <c r="D5422" t="s">
        <v>4396</v>
      </c>
      <c r="E5422" t="s">
        <v>9403</v>
      </c>
      <c r="F5422" t="s">
        <v>6808</v>
      </c>
      <c r="H5422" t="s">
        <v>4397</v>
      </c>
      <c r="K5422">
        <v>10018</v>
      </c>
      <c r="L5422" t="s">
        <v>6803</v>
      </c>
    </row>
    <row r="5423" spans="1:12" x14ac:dyDescent="0.35">
      <c r="A5423" t="s">
        <v>3115</v>
      </c>
      <c r="B5423" s="1">
        <v>45730</v>
      </c>
      <c r="C5423" t="s">
        <v>9402</v>
      </c>
      <c r="D5423" t="s">
        <v>4396</v>
      </c>
      <c r="E5423" t="s">
        <v>9403</v>
      </c>
      <c r="F5423" t="s">
        <v>8467</v>
      </c>
      <c r="G5423" t="s">
        <v>8567</v>
      </c>
      <c r="H5423" t="s">
        <v>4397</v>
      </c>
      <c r="J5423">
        <v>10018</v>
      </c>
      <c r="L5423" t="s">
        <v>5966</v>
      </c>
    </row>
    <row r="5424" spans="1:12" x14ac:dyDescent="0.35">
      <c r="A5424" t="s">
        <v>3115</v>
      </c>
      <c r="B5424" s="1">
        <v>45730</v>
      </c>
      <c r="C5424" t="s">
        <v>9404</v>
      </c>
      <c r="D5424" t="s">
        <v>4398</v>
      </c>
      <c r="E5424" t="s">
        <v>9405</v>
      </c>
      <c r="F5424" t="s">
        <v>6802</v>
      </c>
      <c r="H5424" t="s">
        <v>4399</v>
      </c>
      <c r="K5424">
        <v>39882</v>
      </c>
      <c r="L5424" t="s">
        <v>6803</v>
      </c>
    </row>
    <row r="5425" spans="1:12" x14ac:dyDescent="0.35">
      <c r="A5425" t="s">
        <v>3115</v>
      </c>
      <c r="B5425" s="1">
        <v>45730</v>
      </c>
      <c r="C5425" t="s">
        <v>9404</v>
      </c>
      <c r="D5425" t="s">
        <v>4398</v>
      </c>
      <c r="E5425" t="s">
        <v>9405</v>
      </c>
      <c r="F5425" t="s">
        <v>8537</v>
      </c>
      <c r="G5425" t="s">
        <v>8538</v>
      </c>
      <c r="H5425" t="s">
        <v>4399</v>
      </c>
      <c r="J5425">
        <v>39882</v>
      </c>
      <c r="L5425" t="s">
        <v>5880</v>
      </c>
    </row>
    <row r="5426" spans="1:12" x14ac:dyDescent="0.35">
      <c r="A5426" t="s">
        <v>3115</v>
      </c>
      <c r="B5426" s="1">
        <v>45730</v>
      </c>
      <c r="C5426" t="s">
        <v>9406</v>
      </c>
      <c r="D5426" t="s">
        <v>4400</v>
      </c>
      <c r="E5426" t="s">
        <v>9407</v>
      </c>
      <c r="F5426" t="s">
        <v>6802</v>
      </c>
      <c r="H5426" t="s">
        <v>4401</v>
      </c>
      <c r="K5426">
        <v>4198</v>
      </c>
      <c r="L5426" t="s">
        <v>6803</v>
      </c>
    </row>
    <row r="5427" spans="1:12" x14ac:dyDescent="0.35">
      <c r="A5427" t="s">
        <v>3115</v>
      </c>
      <c r="B5427" s="1">
        <v>45730</v>
      </c>
      <c r="C5427" t="s">
        <v>9406</v>
      </c>
      <c r="D5427" t="s">
        <v>4400</v>
      </c>
      <c r="E5427" t="s">
        <v>9407</v>
      </c>
      <c r="F5427" t="s">
        <v>8537</v>
      </c>
      <c r="G5427" t="s">
        <v>8538</v>
      </c>
      <c r="H5427" t="s">
        <v>4401</v>
      </c>
      <c r="J5427">
        <v>4198</v>
      </c>
      <c r="L5427" t="s">
        <v>5874</v>
      </c>
    </row>
    <row r="5428" spans="1:12" x14ac:dyDescent="0.35">
      <c r="A5428" t="s">
        <v>3115</v>
      </c>
      <c r="B5428" s="1">
        <v>45730</v>
      </c>
      <c r="C5428" t="s">
        <v>9408</v>
      </c>
      <c r="D5428" t="s">
        <v>4402</v>
      </c>
      <c r="E5428" t="s">
        <v>9409</v>
      </c>
      <c r="F5428" t="s">
        <v>6802</v>
      </c>
      <c r="H5428" t="s">
        <v>4403</v>
      </c>
      <c r="K5428">
        <v>1968</v>
      </c>
      <c r="L5428" t="s">
        <v>6803</v>
      </c>
    </row>
    <row r="5429" spans="1:12" x14ac:dyDescent="0.35">
      <c r="A5429" t="s">
        <v>3115</v>
      </c>
      <c r="B5429" s="1">
        <v>45730</v>
      </c>
      <c r="C5429" t="s">
        <v>9408</v>
      </c>
      <c r="D5429" t="s">
        <v>4402</v>
      </c>
      <c r="E5429" t="s">
        <v>9409</v>
      </c>
      <c r="F5429" t="s">
        <v>8537</v>
      </c>
      <c r="G5429" t="s">
        <v>8538</v>
      </c>
      <c r="H5429" t="s">
        <v>4403</v>
      </c>
      <c r="J5429">
        <v>1968</v>
      </c>
      <c r="L5429" t="s">
        <v>5874</v>
      </c>
    </row>
    <row r="5430" spans="1:12" x14ac:dyDescent="0.35">
      <c r="A5430" t="s">
        <v>3115</v>
      </c>
      <c r="B5430" s="1">
        <v>45730</v>
      </c>
      <c r="C5430" t="s">
        <v>9410</v>
      </c>
      <c r="D5430" t="s">
        <v>4404</v>
      </c>
      <c r="E5430" t="s">
        <v>9411</v>
      </c>
      <c r="F5430" t="s">
        <v>6811</v>
      </c>
      <c r="H5430" t="s">
        <v>4405</v>
      </c>
      <c r="K5430">
        <v>6888</v>
      </c>
      <c r="L5430" t="s">
        <v>6803</v>
      </c>
    </row>
    <row r="5431" spans="1:12" x14ac:dyDescent="0.35">
      <c r="A5431" t="s">
        <v>3115</v>
      </c>
      <c r="B5431" s="1">
        <v>45730</v>
      </c>
      <c r="C5431" t="s">
        <v>9410</v>
      </c>
      <c r="D5431" t="s">
        <v>4404</v>
      </c>
      <c r="E5431" t="s">
        <v>9411</v>
      </c>
      <c r="F5431" t="s">
        <v>6802</v>
      </c>
      <c r="H5431" t="s">
        <v>4405</v>
      </c>
      <c r="K5431">
        <v>195017</v>
      </c>
      <c r="L5431" t="s">
        <v>6803</v>
      </c>
    </row>
    <row r="5432" spans="1:12" x14ac:dyDescent="0.35">
      <c r="A5432" t="s">
        <v>3115</v>
      </c>
      <c r="B5432" s="1">
        <v>45730</v>
      </c>
      <c r="C5432" t="s">
        <v>9410</v>
      </c>
      <c r="D5432" t="s">
        <v>4404</v>
      </c>
      <c r="E5432" t="s">
        <v>9411</v>
      </c>
      <c r="F5432" t="s">
        <v>8537</v>
      </c>
      <c r="G5432" t="s">
        <v>8538</v>
      </c>
      <c r="H5432" t="s">
        <v>4405</v>
      </c>
      <c r="J5432">
        <v>201905</v>
      </c>
      <c r="L5432" t="s">
        <v>5958</v>
      </c>
    </row>
    <row r="5433" spans="1:12" x14ac:dyDescent="0.35">
      <c r="A5433" t="s">
        <v>3115</v>
      </c>
      <c r="B5433" s="1">
        <v>45731</v>
      </c>
      <c r="C5433" t="s">
        <v>7170</v>
      </c>
      <c r="D5433" t="s">
        <v>4406</v>
      </c>
      <c r="E5433" t="s">
        <v>9412</v>
      </c>
      <c r="F5433" t="s">
        <v>6802</v>
      </c>
      <c r="H5433" t="s">
        <v>4407</v>
      </c>
      <c r="K5433">
        <v>4067</v>
      </c>
      <c r="L5433" t="s">
        <v>6803</v>
      </c>
    </row>
    <row r="5434" spans="1:12" x14ac:dyDescent="0.35">
      <c r="A5434" t="s">
        <v>3115</v>
      </c>
      <c r="B5434" s="1">
        <v>45731</v>
      </c>
      <c r="C5434" t="s">
        <v>7170</v>
      </c>
      <c r="D5434" t="s">
        <v>4406</v>
      </c>
      <c r="E5434" t="s">
        <v>9412</v>
      </c>
      <c r="F5434" t="s">
        <v>8537</v>
      </c>
      <c r="G5434" t="s">
        <v>8538</v>
      </c>
      <c r="H5434" t="s">
        <v>4407</v>
      </c>
      <c r="J5434">
        <v>4067</v>
      </c>
      <c r="L5434" t="s">
        <v>5966</v>
      </c>
    </row>
    <row r="5435" spans="1:12" x14ac:dyDescent="0.35">
      <c r="A5435" t="s">
        <v>3115</v>
      </c>
      <c r="B5435" s="1">
        <v>45731</v>
      </c>
      <c r="C5435" t="s">
        <v>7140</v>
      </c>
      <c r="D5435" t="s">
        <v>4408</v>
      </c>
      <c r="E5435" t="s">
        <v>9413</v>
      </c>
      <c r="F5435" t="s">
        <v>6802</v>
      </c>
      <c r="H5435" t="s">
        <v>4409</v>
      </c>
      <c r="K5435">
        <v>984</v>
      </c>
      <c r="L5435" t="s">
        <v>6803</v>
      </c>
    </row>
    <row r="5436" spans="1:12" x14ac:dyDescent="0.35">
      <c r="A5436" t="s">
        <v>3115</v>
      </c>
      <c r="B5436" s="1">
        <v>45731</v>
      </c>
      <c r="C5436" t="s">
        <v>7140</v>
      </c>
      <c r="D5436" t="s">
        <v>4408</v>
      </c>
      <c r="E5436" t="s">
        <v>9413</v>
      </c>
      <c r="F5436" t="s">
        <v>8537</v>
      </c>
      <c r="G5436" t="s">
        <v>8538</v>
      </c>
      <c r="H5436" t="s">
        <v>4409</v>
      </c>
      <c r="J5436">
        <v>984</v>
      </c>
      <c r="L5436" t="s">
        <v>5966</v>
      </c>
    </row>
    <row r="5437" spans="1:12" x14ac:dyDescent="0.35">
      <c r="A5437" t="s">
        <v>3115</v>
      </c>
      <c r="B5437" s="1">
        <v>45731</v>
      </c>
      <c r="C5437" t="s">
        <v>7152</v>
      </c>
      <c r="D5437" t="s">
        <v>4410</v>
      </c>
      <c r="E5437" t="s">
        <v>9414</v>
      </c>
      <c r="F5437" t="s">
        <v>6802</v>
      </c>
      <c r="H5437" t="s">
        <v>4411</v>
      </c>
      <c r="K5437">
        <v>656</v>
      </c>
      <c r="L5437" t="s">
        <v>6803</v>
      </c>
    </row>
    <row r="5438" spans="1:12" x14ac:dyDescent="0.35">
      <c r="A5438" t="s">
        <v>3115</v>
      </c>
      <c r="B5438" s="1">
        <v>45731</v>
      </c>
      <c r="C5438" t="s">
        <v>7152</v>
      </c>
      <c r="D5438" t="s">
        <v>4410</v>
      </c>
      <c r="E5438" t="s">
        <v>9414</v>
      </c>
      <c r="F5438" t="s">
        <v>8537</v>
      </c>
      <c r="G5438" t="s">
        <v>8538</v>
      </c>
      <c r="H5438" t="s">
        <v>4411</v>
      </c>
      <c r="J5438">
        <v>656</v>
      </c>
      <c r="L5438" t="s">
        <v>5966</v>
      </c>
    </row>
    <row r="5439" spans="1:12" x14ac:dyDescent="0.35">
      <c r="A5439" t="s">
        <v>3115</v>
      </c>
      <c r="B5439" s="1">
        <v>45731</v>
      </c>
      <c r="C5439" t="s">
        <v>7155</v>
      </c>
      <c r="D5439" t="s">
        <v>4412</v>
      </c>
      <c r="E5439" t="s">
        <v>9415</v>
      </c>
      <c r="F5439" t="s">
        <v>6802</v>
      </c>
      <c r="H5439" t="s">
        <v>4413</v>
      </c>
      <c r="K5439">
        <v>22172</v>
      </c>
      <c r="L5439" t="s">
        <v>6803</v>
      </c>
    </row>
    <row r="5440" spans="1:12" x14ac:dyDescent="0.35">
      <c r="A5440" t="s">
        <v>3115</v>
      </c>
      <c r="B5440" s="1">
        <v>45731</v>
      </c>
      <c r="C5440" t="s">
        <v>7155</v>
      </c>
      <c r="D5440" t="s">
        <v>4412</v>
      </c>
      <c r="E5440" t="s">
        <v>9415</v>
      </c>
      <c r="F5440" t="s">
        <v>8537</v>
      </c>
      <c r="G5440" t="s">
        <v>8538</v>
      </c>
      <c r="H5440" t="s">
        <v>4413</v>
      </c>
      <c r="J5440">
        <v>22172</v>
      </c>
      <c r="L5440" t="s">
        <v>5966</v>
      </c>
    </row>
    <row r="5441" spans="1:12" x14ac:dyDescent="0.35">
      <c r="A5441" t="s">
        <v>3115</v>
      </c>
      <c r="B5441" s="1">
        <v>45731</v>
      </c>
      <c r="C5441" t="s">
        <v>7190</v>
      </c>
      <c r="D5441" t="s">
        <v>4414</v>
      </c>
      <c r="E5441" t="s">
        <v>9416</v>
      </c>
      <c r="F5441" t="s">
        <v>6802</v>
      </c>
      <c r="H5441" t="s">
        <v>4415</v>
      </c>
      <c r="K5441">
        <v>656</v>
      </c>
      <c r="L5441" t="s">
        <v>6803</v>
      </c>
    </row>
    <row r="5442" spans="1:12" x14ac:dyDescent="0.35">
      <c r="A5442" t="s">
        <v>3115</v>
      </c>
      <c r="B5442" s="1">
        <v>45731</v>
      </c>
      <c r="C5442" t="s">
        <v>7190</v>
      </c>
      <c r="D5442" t="s">
        <v>4414</v>
      </c>
      <c r="E5442" t="s">
        <v>9416</v>
      </c>
      <c r="F5442" t="s">
        <v>8537</v>
      </c>
      <c r="G5442" t="s">
        <v>8538</v>
      </c>
      <c r="H5442" t="s">
        <v>4415</v>
      </c>
      <c r="J5442">
        <v>656</v>
      </c>
      <c r="L5442" t="s">
        <v>5966</v>
      </c>
    </row>
    <row r="5443" spans="1:12" x14ac:dyDescent="0.35">
      <c r="A5443" t="s">
        <v>3115</v>
      </c>
      <c r="B5443" s="1">
        <v>45731</v>
      </c>
      <c r="C5443" t="s">
        <v>7279</v>
      </c>
      <c r="D5443" t="s">
        <v>4416</v>
      </c>
      <c r="E5443" t="s">
        <v>9417</v>
      </c>
      <c r="F5443" t="s">
        <v>6802</v>
      </c>
      <c r="H5443" t="s">
        <v>4417</v>
      </c>
      <c r="K5443">
        <v>3017</v>
      </c>
      <c r="L5443" t="s">
        <v>6803</v>
      </c>
    </row>
    <row r="5444" spans="1:12" x14ac:dyDescent="0.35">
      <c r="A5444" t="s">
        <v>3115</v>
      </c>
      <c r="B5444" s="1">
        <v>45731</v>
      </c>
      <c r="C5444" t="s">
        <v>7279</v>
      </c>
      <c r="D5444" t="s">
        <v>4416</v>
      </c>
      <c r="E5444" t="s">
        <v>9417</v>
      </c>
      <c r="F5444" t="s">
        <v>8537</v>
      </c>
      <c r="G5444" t="s">
        <v>8538</v>
      </c>
      <c r="H5444" t="s">
        <v>4417</v>
      </c>
      <c r="J5444">
        <v>3017</v>
      </c>
      <c r="L5444" t="s">
        <v>5966</v>
      </c>
    </row>
    <row r="5445" spans="1:12" x14ac:dyDescent="0.35">
      <c r="A5445" t="s">
        <v>3115</v>
      </c>
      <c r="B5445" s="1">
        <v>45731</v>
      </c>
      <c r="C5445" t="s">
        <v>7281</v>
      </c>
      <c r="D5445" t="s">
        <v>4418</v>
      </c>
      <c r="E5445" t="s">
        <v>9418</v>
      </c>
      <c r="F5445" t="s">
        <v>6802</v>
      </c>
      <c r="H5445" t="s">
        <v>4419</v>
      </c>
      <c r="K5445">
        <v>3149</v>
      </c>
      <c r="L5445" t="s">
        <v>6803</v>
      </c>
    </row>
    <row r="5446" spans="1:12" x14ac:dyDescent="0.35">
      <c r="A5446" t="s">
        <v>3115</v>
      </c>
      <c r="B5446" s="1">
        <v>45731</v>
      </c>
      <c r="C5446" t="s">
        <v>7281</v>
      </c>
      <c r="D5446" t="s">
        <v>4418</v>
      </c>
      <c r="E5446" t="s">
        <v>9418</v>
      </c>
      <c r="F5446" t="s">
        <v>8537</v>
      </c>
      <c r="G5446" t="s">
        <v>8538</v>
      </c>
      <c r="H5446" t="s">
        <v>4419</v>
      </c>
      <c r="J5446">
        <v>3149</v>
      </c>
      <c r="L5446" t="s">
        <v>5966</v>
      </c>
    </row>
    <row r="5447" spans="1:12" x14ac:dyDescent="0.35">
      <c r="A5447" t="s">
        <v>3115</v>
      </c>
      <c r="B5447" s="1">
        <v>45731</v>
      </c>
      <c r="C5447" t="s">
        <v>7210</v>
      </c>
      <c r="D5447" t="s">
        <v>4420</v>
      </c>
      <c r="E5447" t="s">
        <v>9419</v>
      </c>
      <c r="F5447" t="s">
        <v>6811</v>
      </c>
      <c r="H5447" t="s">
        <v>4421</v>
      </c>
      <c r="K5447">
        <v>6900</v>
      </c>
      <c r="L5447" t="s">
        <v>6803</v>
      </c>
    </row>
    <row r="5448" spans="1:12" x14ac:dyDescent="0.35">
      <c r="A5448" t="s">
        <v>3115</v>
      </c>
      <c r="B5448" s="1">
        <v>45731</v>
      </c>
      <c r="C5448" t="s">
        <v>7210</v>
      </c>
      <c r="D5448" t="s">
        <v>4420</v>
      </c>
      <c r="E5448" t="s">
        <v>9419</v>
      </c>
      <c r="F5448" t="s">
        <v>8557</v>
      </c>
      <c r="G5448" t="s">
        <v>8558</v>
      </c>
      <c r="H5448" t="s">
        <v>4421</v>
      </c>
      <c r="J5448">
        <v>6900</v>
      </c>
      <c r="L5448" t="s">
        <v>5880</v>
      </c>
    </row>
    <row r="5449" spans="1:12" x14ac:dyDescent="0.35">
      <c r="A5449" t="s">
        <v>3115</v>
      </c>
      <c r="B5449" s="1">
        <v>45731</v>
      </c>
      <c r="C5449" t="s">
        <v>7212</v>
      </c>
      <c r="D5449" t="s">
        <v>4422</v>
      </c>
      <c r="E5449" t="s">
        <v>9420</v>
      </c>
      <c r="F5449" t="s">
        <v>6802</v>
      </c>
      <c r="H5449" t="s">
        <v>4423</v>
      </c>
      <c r="K5449">
        <v>107</v>
      </c>
      <c r="L5449" t="s">
        <v>6803</v>
      </c>
    </row>
    <row r="5450" spans="1:12" x14ac:dyDescent="0.35">
      <c r="A5450" t="s">
        <v>3115</v>
      </c>
      <c r="B5450" s="1">
        <v>45731</v>
      </c>
      <c r="C5450" t="s">
        <v>7212</v>
      </c>
      <c r="D5450" t="s">
        <v>4422</v>
      </c>
      <c r="E5450" t="s">
        <v>9420</v>
      </c>
      <c r="F5450" t="s">
        <v>8557</v>
      </c>
      <c r="G5450" t="s">
        <v>8558</v>
      </c>
      <c r="H5450" t="s">
        <v>4423</v>
      </c>
      <c r="J5450">
        <v>107</v>
      </c>
      <c r="L5450" t="s">
        <v>5966</v>
      </c>
    </row>
    <row r="5451" spans="1:12" x14ac:dyDescent="0.35">
      <c r="A5451" t="s">
        <v>3115</v>
      </c>
      <c r="B5451" s="1">
        <v>45731</v>
      </c>
      <c r="C5451" t="s">
        <v>7214</v>
      </c>
      <c r="D5451" t="s">
        <v>4424</v>
      </c>
      <c r="E5451" t="s">
        <v>9420</v>
      </c>
      <c r="F5451" t="s">
        <v>6802</v>
      </c>
      <c r="H5451" t="s">
        <v>4425</v>
      </c>
      <c r="K5451">
        <v>2886</v>
      </c>
      <c r="L5451" t="s">
        <v>6803</v>
      </c>
    </row>
    <row r="5452" spans="1:12" x14ac:dyDescent="0.35">
      <c r="A5452" t="s">
        <v>3115</v>
      </c>
      <c r="B5452" s="1">
        <v>45731</v>
      </c>
      <c r="C5452" t="s">
        <v>7214</v>
      </c>
      <c r="D5452" t="s">
        <v>4424</v>
      </c>
      <c r="E5452" t="s">
        <v>9420</v>
      </c>
      <c r="F5452" t="s">
        <v>8537</v>
      </c>
      <c r="G5452" t="s">
        <v>8538</v>
      </c>
      <c r="H5452" t="s">
        <v>4425</v>
      </c>
      <c r="J5452">
        <v>2886</v>
      </c>
      <c r="L5452" t="s">
        <v>5966</v>
      </c>
    </row>
    <row r="5453" spans="1:12" x14ac:dyDescent="0.35">
      <c r="A5453" t="s">
        <v>3115</v>
      </c>
      <c r="B5453" s="1">
        <v>45731</v>
      </c>
      <c r="C5453" t="s">
        <v>7216</v>
      </c>
      <c r="D5453" t="s">
        <v>4426</v>
      </c>
      <c r="E5453" t="s">
        <v>9326</v>
      </c>
      <c r="F5453" t="s">
        <v>6915</v>
      </c>
      <c r="H5453" t="s">
        <v>4427</v>
      </c>
      <c r="K5453">
        <v>96320</v>
      </c>
      <c r="L5453" t="s">
        <v>6803</v>
      </c>
    </row>
    <row r="5454" spans="1:12" x14ac:dyDescent="0.35">
      <c r="A5454" t="s">
        <v>3115</v>
      </c>
      <c r="B5454" s="1">
        <v>45731</v>
      </c>
      <c r="C5454" t="s">
        <v>7216</v>
      </c>
      <c r="D5454" t="s">
        <v>4426</v>
      </c>
      <c r="E5454" t="s">
        <v>9326</v>
      </c>
      <c r="F5454" t="s">
        <v>8569</v>
      </c>
      <c r="G5454" t="s">
        <v>8570</v>
      </c>
      <c r="H5454" t="s">
        <v>4427</v>
      </c>
      <c r="J5454">
        <v>96320</v>
      </c>
      <c r="L5454" t="s">
        <v>5874</v>
      </c>
    </row>
    <row r="5455" spans="1:12" x14ac:dyDescent="0.35">
      <c r="A5455" t="s">
        <v>3115</v>
      </c>
      <c r="B5455" s="1">
        <v>45731</v>
      </c>
      <c r="C5455" t="s">
        <v>7218</v>
      </c>
      <c r="D5455" t="s">
        <v>4428</v>
      </c>
      <c r="E5455" t="s">
        <v>9421</v>
      </c>
      <c r="F5455" t="s">
        <v>6808</v>
      </c>
      <c r="H5455" t="s">
        <v>4429</v>
      </c>
      <c r="K5455">
        <v>1649</v>
      </c>
      <c r="L5455" t="s">
        <v>6803</v>
      </c>
    </row>
    <row r="5456" spans="1:12" x14ac:dyDescent="0.35">
      <c r="A5456" t="s">
        <v>3115</v>
      </c>
      <c r="B5456" s="1">
        <v>45731</v>
      </c>
      <c r="C5456" t="s">
        <v>7218</v>
      </c>
      <c r="D5456" t="s">
        <v>4428</v>
      </c>
      <c r="E5456" t="s">
        <v>9421</v>
      </c>
      <c r="F5456" t="s">
        <v>8467</v>
      </c>
      <c r="G5456" t="s">
        <v>8567</v>
      </c>
      <c r="H5456" t="s">
        <v>4429</v>
      </c>
      <c r="J5456">
        <v>1649</v>
      </c>
      <c r="L5456" t="s">
        <v>6010</v>
      </c>
    </row>
    <row r="5457" spans="1:12" x14ac:dyDescent="0.35">
      <c r="A5457" t="s">
        <v>3115</v>
      </c>
      <c r="B5457" s="1">
        <v>45731</v>
      </c>
      <c r="C5457" t="s">
        <v>7220</v>
      </c>
      <c r="D5457" t="s">
        <v>4430</v>
      </c>
      <c r="E5457" t="s">
        <v>9421</v>
      </c>
      <c r="F5457" t="s">
        <v>6811</v>
      </c>
      <c r="H5457" t="s">
        <v>4431</v>
      </c>
      <c r="K5457">
        <v>147</v>
      </c>
      <c r="L5457" t="s">
        <v>6803</v>
      </c>
    </row>
    <row r="5458" spans="1:12" x14ac:dyDescent="0.35">
      <c r="A5458" t="s">
        <v>3115</v>
      </c>
      <c r="B5458" s="1">
        <v>45731</v>
      </c>
      <c r="C5458" t="s">
        <v>7220</v>
      </c>
      <c r="D5458" t="s">
        <v>4430</v>
      </c>
      <c r="E5458" t="s">
        <v>9421</v>
      </c>
      <c r="F5458" t="s">
        <v>8557</v>
      </c>
      <c r="G5458" t="s">
        <v>8558</v>
      </c>
      <c r="H5458" t="s">
        <v>4431</v>
      </c>
      <c r="J5458">
        <v>147</v>
      </c>
      <c r="L5458" t="s">
        <v>6010</v>
      </c>
    </row>
    <row r="5459" spans="1:12" x14ac:dyDescent="0.35">
      <c r="A5459" t="s">
        <v>3115</v>
      </c>
      <c r="B5459" s="1">
        <v>45732</v>
      </c>
      <c r="C5459" t="s">
        <v>7166</v>
      </c>
      <c r="D5459" t="s">
        <v>4432</v>
      </c>
      <c r="E5459" t="s">
        <v>9422</v>
      </c>
      <c r="F5459" t="s">
        <v>6802</v>
      </c>
      <c r="H5459" t="s">
        <v>4433</v>
      </c>
      <c r="K5459">
        <v>24336</v>
      </c>
      <c r="L5459" t="s">
        <v>6803</v>
      </c>
    </row>
    <row r="5460" spans="1:12" x14ac:dyDescent="0.35">
      <c r="A5460" t="s">
        <v>3115</v>
      </c>
      <c r="B5460" s="1">
        <v>45732</v>
      </c>
      <c r="C5460" t="s">
        <v>7166</v>
      </c>
      <c r="D5460" t="s">
        <v>4432</v>
      </c>
      <c r="E5460" t="s">
        <v>9422</v>
      </c>
      <c r="F5460" t="s">
        <v>8537</v>
      </c>
      <c r="G5460" t="s">
        <v>8538</v>
      </c>
      <c r="H5460" t="s">
        <v>4433</v>
      </c>
      <c r="J5460">
        <v>24336</v>
      </c>
      <c r="L5460" t="s">
        <v>5966</v>
      </c>
    </row>
    <row r="5461" spans="1:12" x14ac:dyDescent="0.35">
      <c r="A5461" t="s">
        <v>3115</v>
      </c>
      <c r="B5461" s="1">
        <v>45732</v>
      </c>
      <c r="C5461" t="s">
        <v>7043</v>
      </c>
      <c r="D5461" t="s">
        <v>4434</v>
      </c>
      <c r="E5461" t="s">
        <v>9423</v>
      </c>
      <c r="F5461" t="s">
        <v>6802</v>
      </c>
      <c r="H5461" t="s">
        <v>4435</v>
      </c>
      <c r="K5461">
        <v>262</v>
      </c>
      <c r="L5461" t="s">
        <v>6803</v>
      </c>
    </row>
    <row r="5462" spans="1:12" x14ac:dyDescent="0.35">
      <c r="A5462" t="s">
        <v>3115</v>
      </c>
      <c r="B5462" s="1">
        <v>45732</v>
      </c>
      <c r="C5462" t="s">
        <v>7043</v>
      </c>
      <c r="D5462" t="s">
        <v>4434</v>
      </c>
      <c r="E5462" t="s">
        <v>9423</v>
      </c>
      <c r="F5462" t="s">
        <v>8537</v>
      </c>
      <c r="G5462" t="s">
        <v>8538</v>
      </c>
      <c r="H5462" t="s">
        <v>4435</v>
      </c>
      <c r="J5462">
        <v>262</v>
      </c>
      <c r="L5462" t="s">
        <v>5966</v>
      </c>
    </row>
    <row r="5463" spans="1:12" x14ac:dyDescent="0.35">
      <c r="A5463" t="s">
        <v>3115</v>
      </c>
      <c r="B5463" s="1">
        <v>45732</v>
      </c>
      <c r="C5463" t="s">
        <v>7167</v>
      </c>
      <c r="D5463" t="s">
        <v>4436</v>
      </c>
      <c r="E5463" t="s">
        <v>9424</v>
      </c>
      <c r="F5463" t="s">
        <v>6811</v>
      </c>
      <c r="H5463" t="s">
        <v>4437</v>
      </c>
      <c r="K5463">
        <v>700</v>
      </c>
      <c r="L5463" t="s">
        <v>6803</v>
      </c>
    </row>
    <row r="5464" spans="1:12" x14ac:dyDescent="0.35">
      <c r="A5464" t="s">
        <v>3115</v>
      </c>
      <c r="B5464" s="1">
        <v>45732</v>
      </c>
      <c r="C5464" t="s">
        <v>7167</v>
      </c>
      <c r="D5464" t="s">
        <v>4436</v>
      </c>
      <c r="E5464" t="s">
        <v>9424</v>
      </c>
      <c r="F5464" t="s">
        <v>8557</v>
      </c>
      <c r="G5464" t="s">
        <v>8558</v>
      </c>
      <c r="H5464" t="s">
        <v>4437</v>
      </c>
      <c r="J5464">
        <v>700</v>
      </c>
      <c r="L5464" t="s">
        <v>5966</v>
      </c>
    </row>
    <row r="5465" spans="1:12" x14ac:dyDescent="0.35">
      <c r="A5465" t="s">
        <v>3115</v>
      </c>
      <c r="B5465" s="1">
        <v>45732</v>
      </c>
      <c r="C5465" t="s">
        <v>7277</v>
      </c>
      <c r="D5465" t="s">
        <v>4438</v>
      </c>
      <c r="E5465" t="s">
        <v>9425</v>
      </c>
      <c r="F5465" t="s">
        <v>6811</v>
      </c>
      <c r="H5465" t="s">
        <v>4439</v>
      </c>
      <c r="K5465">
        <v>13583</v>
      </c>
      <c r="L5465" t="s">
        <v>6803</v>
      </c>
    </row>
    <row r="5466" spans="1:12" x14ac:dyDescent="0.35">
      <c r="A5466" t="s">
        <v>3115</v>
      </c>
      <c r="B5466" s="1">
        <v>45732</v>
      </c>
      <c r="C5466" t="s">
        <v>7277</v>
      </c>
      <c r="D5466" t="s">
        <v>4438</v>
      </c>
      <c r="E5466" t="s">
        <v>9425</v>
      </c>
      <c r="F5466" t="s">
        <v>8557</v>
      </c>
      <c r="G5466" t="s">
        <v>8558</v>
      </c>
      <c r="H5466" t="s">
        <v>4439</v>
      </c>
      <c r="J5466">
        <v>13583</v>
      </c>
      <c r="L5466" t="s">
        <v>5966</v>
      </c>
    </row>
    <row r="5467" spans="1:12" x14ac:dyDescent="0.35">
      <c r="A5467" t="s">
        <v>3115</v>
      </c>
      <c r="B5467" s="1">
        <v>45732</v>
      </c>
      <c r="C5467" t="s">
        <v>7138</v>
      </c>
      <c r="D5467" t="s">
        <v>4440</v>
      </c>
      <c r="E5467" t="s">
        <v>9426</v>
      </c>
      <c r="F5467" t="s">
        <v>6811</v>
      </c>
      <c r="H5467" t="s">
        <v>4441</v>
      </c>
      <c r="K5467">
        <v>435</v>
      </c>
      <c r="L5467" t="s">
        <v>6803</v>
      </c>
    </row>
    <row r="5468" spans="1:12" x14ac:dyDescent="0.35">
      <c r="A5468" t="s">
        <v>3115</v>
      </c>
      <c r="B5468" s="1">
        <v>45732</v>
      </c>
      <c r="C5468" t="s">
        <v>7138</v>
      </c>
      <c r="D5468" t="s">
        <v>4440</v>
      </c>
      <c r="E5468" t="s">
        <v>9426</v>
      </c>
      <c r="F5468" t="s">
        <v>8557</v>
      </c>
      <c r="G5468" t="s">
        <v>8558</v>
      </c>
      <c r="H5468" t="s">
        <v>4441</v>
      </c>
      <c r="J5468">
        <v>435</v>
      </c>
      <c r="L5468" t="s">
        <v>6012</v>
      </c>
    </row>
    <row r="5469" spans="1:12" x14ac:dyDescent="0.35">
      <c r="A5469" t="s">
        <v>3115</v>
      </c>
      <c r="B5469" s="1">
        <v>45732</v>
      </c>
      <c r="C5469" t="s">
        <v>7139</v>
      </c>
      <c r="D5469" t="s">
        <v>4442</v>
      </c>
      <c r="E5469" t="s">
        <v>9427</v>
      </c>
      <c r="F5469" t="s">
        <v>6808</v>
      </c>
      <c r="H5469" t="s">
        <v>4443</v>
      </c>
      <c r="K5469">
        <v>3889</v>
      </c>
      <c r="L5469" t="s">
        <v>6803</v>
      </c>
    </row>
    <row r="5470" spans="1:12" x14ac:dyDescent="0.35">
      <c r="A5470" t="s">
        <v>3115</v>
      </c>
      <c r="B5470" s="1">
        <v>45732</v>
      </c>
      <c r="C5470" t="s">
        <v>7139</v>
      </c>
      <c r="D5470" t="s">
        <v>4442</v>
      </c>
      <c r="E5470" t="s">
        <v>9427</v>
      </c>
      <c r="F5470" t="s">
        <v>8467</v>
      </c>
      <c r="G5470" t="s">
        <v>8567</v>
      </c>
      <c r="H5470" t="s">
        <v>4443</v>
      </c>
      <c r="J5470">
        <v>3889</v>
      </c>
      <c r="L5470" t="s">
        <v>5966</v>
      </c>
    </row>
    <row r="5471" spans="1:12" x14ac:dyDescent="0.35">
      <c r="A5471" t="s">
        <v>3115</v>
      </c>
      <c r="B5471" s="1">
        <v>45733</v>
      </c>
      <c r="C5471" t="s">
        <v>7108</v>
      </c>
      <c r="D5471" t="s">
        <v>4444</v>
      </c>
      <c r="E5471" t="s">
        <v>9428</v>
      </c>
      <c r="F5471" t="s">
        <v>6802</v>
      </c>
      <c r="H5471" t="s">
        <v>4445</v>
      </c>
      <c r="K5471">
        <v>95347</v>
      </c>
      <c r="L5471" t="s">
        <v>6803</v>
      </c>
    </row>
    <row r="5472" spans="1:12" x14ac:dyDescent="0.35">
      <c r="A5472" t="s">
        <v>3115</v>
      </c>
      <c r="B5472" s="1">
        <v>45733</v>
      </c>
      <c r="C5472" t="s">
        <v>7108</v>
      </c>
      <c r="D5472" t="s">
        <v>4444</v>
      </c>
      <c r="E5472" t="s">
        <v>9428</v>
      </c>
      <c r="F5472" t="s">
        <v>8557</v>
      </c>
      <c r="G5472" t="s">
        <v>8558</v>
      </c>
      <c r="H5472" t="s">
        <v>4445</v>
      </c>
      <c r="J5472">
        <v>95347</v>
      </c>
      <c r="L5472" t="s">
        <v>5874</v>
      </c>
    </row>
    <row r="5473" spans="1:12" x14ac:dyDescent="0.35">
      <c r="A5473" t="s">
        <v>3115</v>
      </c>
      <c r="B5473" s="1">
        <v>45733</v>
      </c>
      <c r="C5473" t="s">
        <v>7109</v>
      </c>
      <c r="D5473" t="s">
        <v>4446</v>
      </c>
      <c r="E5473" t="s">
        <v>9429</v>
      </c>
      <c r="F5473" t="s">
        <v>6802</v>
      </c>
      <c r="H5473" t="s">
        <v>4447</v>
      </c>
      <c r="K5473">
        <v>30006</v>
      </c>
      <c r="L5473" t="s">
        <v>6803</v>
      </c>
    </row>
    <row r="5474" spans="1:12" x14ac:dyDescent="0.35">
      <c r="A5474" t="s">
        <v>3115</v>
      </c>
      <c r="B5474" s="1">
        <v>45733</v>
      </c>
      <c r="C5474" t="s">
        <v>7109</v>
      </c>
      <c r="D5474" t="s">
        <v>4446</v>
      </c>
      <c r="E5474" t="s">
        <v>9429</v>
      </c>
      <c r="F5474" t="s">
        <v>8557</v>
      </c>
      <c r="G5474" t="s">
        <v>8558</v>
      </c>
      <c r="H5474" t="s">
        <v>4447</v>
      </c>
      <c r="J5474">
        <v>30006</v>
      </c>
      <c r="L5474" t="s">
        <v>5875</v>
      </c>
    </row>
    <row r="5475" spans="1:12" x14ac:dyDescent="0.35">
      <c r="A5475" t="s">
        <v>3115</v>
      </c>
      <c r="B5475" s="1">
        <v>45733</v>
      </c>
      <c r="C5475" t="s">
        <v>7110</v>
      </c>
      <c r="D5475" t="s">
        <v>4448</v>
      </c>
      <c r="E5475" t="s">
        <v>9430</v>
      </c>
      <c r="F5475" t="s">
        <v>6802</v>
      </c>
      <c r="H5475" t="s">
        <v>4449</v>
      </c>
      <c r="K5475">
        <v>2500</v>
      </c>
      <c r="L5475" t="s">
        <v>6803</v>
      </c>
    </row>
    <row r="5476" spans="1:12" x14ac:dyDescent="0.35">
      <c r="A5476" t="s">
        <v>3115</v>
      </c>
      <c r="B5476" s="1">
        <v>45733</v>
      </c>
      <c r="C5476" t="s">
        <v>7110</v>
      </c>
      <c r="D5476" t="s">
        <v>4448</v>
      </c>
      <c r="E5476" t="s">
        <v>9430</v>
      </c>
      <c r="F5476" t="s">
        <v>8557</v>
      </c>
      <c r="G5476" t="s">
        <v>8558</v>
      </c>
      <c r="H5476" t="s">
        <v>4449</v>
      </c>
      <c r="J5476">
        <v>2500</v>
      </c>
      <c r="L5476" t="s">
        <v>5966</v>
      </c>
    </row>
    <row r="5477" spans="1:12" x14ac:dyDescent="0.35">
      <c r="A5477" t="s">
        <v>3115</v>
      </c>
      <c r="B5477" s="1">
        <v>45733</v>
      </c>
      <c r="C5477" t="s">
        <v>7111</v>
      </c>
      <c r="D5477" t="s">
        <v>4450</v>
      </c>
      <c r="E5477" t="s">
        <v>9431</v>
      </c>
      <c r="F5477" t="s">
        <v>6802</v>
      </c>
      <c r="H5477" t="s">
        <v>4451</v>
      </c>
      <c r="K5477">
        <v>4500</v>
      </c>
      <c r="L5477" t="s">
        <v>6803</v>
      </c>
    </row>
    <row r="5478" spans="1:12" x14ac:dyDescent="0.35">
      <c r="A5478" t="s">
        <v>3115</v>
      </c>
      <c r="B5478" s="1">
        <v>45733</v>
      </c>
      <c r="C5478" t="s">
        <v>7111</v>
      </c>
      <c r="D5478" t="s">
        <v>4450</v>
      </c>
      <c r="E5478" t="s">
        <v>9431</v>
      </c>
      <c r="F5478" t="s">
        <v>8557</v>
      </c>
      <c r="G5478" t="s">
        <v>8558</v>
      </c>
      <c r="H5478" t="s">
        <v>4451</v>
      </c>
      <c r="J5478">
        <v>4500</v>
      </c>
      <c r="L5478" t="s">
        <v>5966</v>
      </c>
    </row>
    <row r="5479" spans="1:12" x14ac:dyDescent="0.35">
      <c r="A5479" t="s">
        <v>3115</v>
      </c>
      <c r="B5479" s="1">
        <v>45733</v>
      </c>
      <c r="C5479" t="s">
        <v>7112</v>
      </c>
      <c r="D5479" t="s">
        <v>4452</v>
      </c>
      <c r="E5479" t="s">
        <v>9432</v>
      </c>
      <c r="F5479" t="s">
        <v>6802</v>
      </c>
      <c r="H5479" t="s">
        <v>4453</v>
      </c>
      <c r="K5479">
        <v>1525</v>
      </c>
      <c r="L5479" t="s">
        <v>6803</v>
      </c>
    </row>
    <row r="5480" spans="1:12" x14ac:dyDescent="0.35">
      <c r="A5480" t="s">
        <v>3115</v>
      </c>
      <c r="B5480" s="1">
        <v>45733</v>
      </c>
      <c r="C5480" t="s">
        <v>7112</v>
      </c>
      <c r="D5480" t="s">
        <v>4452</v>
      </c>
      <c r="E5480" t="s">
        <v>9432</v>
      </c>
      <c r="F5480" t="s">
        <v>8557</v>
      </c>
      <c r="G5480" t="s">
        <v>8558</v>
      </c>
      <c r="H5480" t="s">
        <v>4453</v>
      </c>
      <c r="J5480">
        <v>1525</v>
      </c>
      <c r="L5480" t="s">
        <v>5875</v>
      </c>
    </row>
    <row r="5481" spans="1:12" x14ac:dyDescent="0.35">
      <c r="A5481" t="s">
        <v>3115</v>
      </c>
      <c r="B5481" s="1">
        <v>45733</v>
      </c>
      <c r="C5481" t="s">
        <v>7113</v>
      </c>
      <c r="D5481" t="s">
        <v>4454</v>
      </c>
      <c r="E5481" t="s">
        <v>9432</v>
      </c>
      <c r="F5481" t="s">
        <v>6811</v>
      </c>
      <c r="H5481" t="s">
        <v>4455</v>
      </c>
      <c r="K5481">
        <v>300</v>
      </c>
      <c r="L5481" t="s">
        <v>6803</v>
      </c>
    </row>
    <row r="5482" spans="1:12" x14ac:dyDescent="0.35">
      <c r="A5482" t="s">
        <v>3115</v>
      </c>
      <c r="B5482" s="1">
        <v>45733</v>
      </c>
      <c r="C5482" t="s">
        <v>7113</v>
      </c>
      <c r="D5482" t="s">
        <v>4454</v>
      </c>
      <c r="E5482" t="s">
        <v>9432</v>
      </c>
      <c r="F5482" t="s">
        <v>8557</v>
      </c>
      <c r="G5482" t="s">
        <v>8558</v>
      </c>
      <c r="H5482" t="s">
        <v>4455</v>
      </c>
      <c r="J5482">
        <v>300</v>
      </c>
      <c r="L5482" t="s">
        <v>5875</v>
      </c>
    </row>
    <row r="5483" spans="1:12" x14ac:dyDescent="0.35">
      <c r="A5483" t="s">
        <v>3115</v>
      </c>
      <c r="B5483" s="1">
        <v>45733</v>
      </c>
      <c r="C5483" t="s">
        <v>7261</v>
      </c>
      <c r="D5483" t="s">
        <v>4456</v>
      </c>
      <c r="E5483" t="s">
        <v>9433</v>
      </c>
      <c r="F5483" t="s">
        <v>6811</v>
      </c>
      <c r="H5483" t="s">
        <v>4457</v>
      </c>
      <c r="K5483">
        <v>39465</v>
      </c>
      <c r="L5483" t="s">
        <v>6803</v>
      </c>
    </row>
    <row r="5484" spans="1:12" x14ac:dyDescent="0.35">
      <c r="A5484" t="s">
        <v>3115</v>
      </c>
      <c r="B5484" s="1">
        <v>45733</v>
      </c>
      <c r="C5484" t="s">
        <v>7261</v>
      </c>
      <c r="D5484" t="s">
        <v>4456</v>
      </c>
      <c r="E5484" t="s">
        <v>9433</v>
      </c>
      <c r="F5484" t="s">
        <v>8557</v>
      </c>
      <c r="G5484" t="s">
        <v>8558</v>
      </c>
      <c r="H5484" t="s">
        <v>4457</v>
      </c>
      <c r="J5484">
        <v>39465</v>
      </c>
      <c r="L5484" t="s">
        <v>6012</v>
      </c>
    </row>
    <row r="5485" spans="1:12" x14ac:dyDescent="0.35">
      <c r="A5485" t="s">
        <v>3115</v>
      </c>
      <c r="B5485" s="1">
        <v>45733</v>
      </c>
      <c r="C5485" t="s">
        <v>7262</v>
      </c>
      <c r="D5485" t="s">
        <v>4458</v>
      </c>
      <c r="E5485" t="s">
        <v>9434</v>
      </c>
      <c r="F5485" t="s">
        <v>6811</v>
      </c>
      <c r="H5485" t="s">
        <v>4459</v>
      </c>
      <c r="K5485">
        <v>2019</v>
      </c>
      <c r="L5485" t="s">
        <v>6803</v>
      </c>
    </row>
    <row r="5486" spans="1:12" x14ac:dyDescent="0.35">
      <c r="A5486" t="s">
        <v>3115</v>
      </c>
      <c r="B5486" s="1">
        <v>45733</v>
      </c>
      <c r="C5486" t="s">
        <v>7262</v>
      </c>
      <c r="D5486" t="s">
        <v>4458</v>
      </c>
      <c r="E5486" t="s">
        <v>9434</v>
      </c>
      <c r="F5486" t="s">
        <v>8557</v>
      </c>
      <c r="G5486" t="s">
        <v>8558</v>
      </c>
      <c r="H5486" t="s">
        <v>4459</v>
      </c>
      <c r="J5486">
        <v>2019</v>
      </c>
      <c r="L5486" t="s">
        <v>5966</v>
      </c>
    </row>
    <row r="5487" spans="1:12" x14ac:dyDescent="0.35">
      <c r="A5487" t="s">
        <v>3115</v>
      </c>
      <c r="B5487" s="1">
        <v>45733</v>
      </c>
      <c r="C5487" t="s">
        <v>7114</v>
      </c>
      <c r="D5487" t="s">
        <v>4460</v>
      </c>
      <c r="E5487" t="s">
        <v>9435</v>
      </c>
      <c r="F5487" t="s">
        <v>6811</v>
      </c>
      <c r="H5487" t="s">
        <v>4461</v>
      </c>
      <c r="K5487">
        <v>356</v>
      </c>
      <c r="L5487" t="s">
        <v>6803</v>
      </c>
    </row>
    <row r="5488" spans="1:12" x14ac:dyDescent="0.35">
      <c r="A5488" t="s">
        <v>3115</v>
      </c>
      <c r="B5488" s="1">
        <v>45733</v>
      </c>
      <c r="C5488" t="s">
        <v>7114</v>
      </c>
      <c r="D5488" t="s">
        <v>4460</v>
      </c>
      <c r="E5488" t="s">
        <v>9435</v>
      </c>
      <c r="F5488" t="s">
        <v>8557</v>
      </c>
      <c r="G5488" t="s">
        <v>8558</v>
      </c>
      <c r="H5488" t="s">
        <v>4461</v>
      </c>
      <c r="J5488">
        <v>356</v>
      </c>
      <c r="L5488" t="s">
        <v>5966</v>
      </c>
    </row>
    <row r="5489" spans="1:12" x14ac:dyDescent="0.35">
      <c r="A5489" t="s">
        <v>3115</v>
      </c>
      <c r="B5489" s="1">
        <v>45733</v>
      </c>
      <c r="C5489" t="s">
        <v>7115</v>
      </c>
      <c r="D5489" t="s">
        <v>4462</v>
      </c>
      <c r="E5489" t="s">
        <v>9435</v>
      </c>
      <c r="F5489" t="s">
        <v>6802</v>
      </c>
      <c r="H5489" t="s">
        <v>4463</v>
      </c>
      <c r="K5489">
        <v>279</v>
      </c>
      <c r="L5489" t="s">
        <v>6803</v>
      </c>
    </row>
    <row r="5490" spans="1:12" x14ac:dyDescent="0.35">
      <c r="A5490" t="s">
        <v>3115</v>
      </c>
      <c r="B5490" s="1">
        <v>45733</v>
      </c>
      <c r="C5490" t="s">
        <v>7115</v>
      </c>
      <c r="D5490" t="s">
        <v>4462</v>
      </c>
      <c r="E5490" t="s">
        <v>9435</v>
      </c>
      <c r="F5490" t="s">
        <v>8557</v>
      </c>
      <c r="G5490" t="s">
        <v>8558</v>
      </c>
      <c r="H5490" t="s">
        <v>4463</v>
      </c>
      <c r="J5490">
        <v>279</v>
      </c>
      <c r="L5490" t="s">
        <v>5966</v>
      </c>
    </row>
    <row r="5491" spans="1:12" x14ac:dyDescent="0.35">
      <c r="A5491" t="s">
        <v>3115</v>
      </c>
      <c r="B5491" s="1">
        <v>45733</v>
      </c>
      <c r="C5491" t="s">
        <v>7116</v>
      </c>
      <c r="D5491" t="s">
        <v>4464</v>
      </c>
      <c r="E5491" t="s">
        <v>9436</v>
      </c>
      <c r="F5491" t="s">
        <v>6802</v>
      </c>
      <c r="H5491" t="s">
        <v>4465</v>
      </c>
      <c r="K5491">
        <v>11500</v>
      </c>
      <c r="L5491" t="s">
        <v>6803</v>
      </c>
    </row>
    <row r="5492" spans="1:12" x14ac:dyDescent="0.35">
      <c r="A5492" t="s">
        <v>3115</v>
      </c>
      <c r="B5492" s="1">
        <v>45733</v>
      </c>
      <c r="C5492" t="s">
        <v>7116</v>
      </c>
      <c r="D5492" t="s">
        <v>4464</v>
      </c>
      <c r="E5492" t="s">
        <v>9436</v>
      </c>
      <c r="F5492" t="s">
        <v>8557</v>
      </c>
      <c r="G5492" t="s">
        <v>8558</v>
      </c>
      <c r="H5492" t="s">
        <v>4465</v>
      </c>
      <c r="J5492">
        <v>11500</v>
      </c>
      <c r="L5492" t="s">
        <v>5949</v>
      </c>
    </row>
    <row r="5493" spans="1:12" x14ac:dyDescent="0.35">
      <c r="A5493" t="s">
        <v>3115</v>
      </c>
      <c r="B5493" s="1">
        <v>45733</v>
      </c>
      <c r="C5493" t="s">
        <v>7117</v>
      </c>
      <c r="D5493" t="s">
        <v>4466</v>
      </c>
      <c r="E5493" t="s">
        <v>9437</v>
      </c>
      <c r="F5493" t="s">
        <v>6915</v>
      </c>
      <c r="H5493" t="s">
        <v>4467</v>
      </c>
      <c r="K5493">
        <v>207400</v>
      </c>
      <c r="L5493" t="s">
        <v>6803</v>
      </c>
    </row>
    <row r="5494" spans="1:12" x14ac:dyDescent="0.35">
      <c r="A5494" t="s">
        <v>3115</v>
      </c>
      <c r="B5494" s="1">
        <v>45733</v>
      </c>
      <c r="C5494" t="s">
        <v>7117</v>
      </c>
      <c r="D5494" t="s">
        <v>4466</v>
      </c>
      <c r="E5494" t="s">
        <v>9437</v>
      </c>
      <c r="F5494" t="s">
        <v>8569</v>
      </c>
      <c r="G5494" t="s">
        <v>8570</v>
      </c>
      <c r="H5494" t="s">
        <v>4467</v>
      </c>
      <c r="J5494">
        <v>207400</v>
      </c>
      <c r="L5494" t="s">
        <v>5958</v>
      </c>
    </row>
    <row r="5495" spans="1:12" x14ac:dyDescent="0.35">
      <c r="A5495" t="s">
        <v>3115</v>
      </c>
      <c r="B5495" s="1">
        <v>45733</v>
      </c>
      <c r="C5495" t="s">
        <v>7263</v>
      </c>
      <c r="D5495" t="s">
        <v>4468</v>
      </c>
      <c r="E5495" t="s">
        <v>9438</v>
      </c>
      <c r="F5495" t="s">
        <v>6915</v>
      </c>
      <c r="H5495" t="s">
        <v>4469</v>
      </c>
      <c r="K5495">
        <v>250900</v>
      </c>
      <c r="L5495" t="s">
        <v>6803</v>
      </c>
    </row>
    <row r="5496" spans="1:12" x14ac:dyDescent="0.35">
      <c r="A5496" t="s">
        <v>3115</v>
      </c>
      <c r="B5496" s="1">
        <v>45733</v>
      </c>
      <c r="C5496" t="s">
        <v>7263</v>
      </c>
      <c r="D5496" t="s">
        <v>4468</v>
      </c>
      <c r="E5496" t="s">
        <v>9438</v>
      </c>
      <c r="F5496" t="s">
        <v>8569</v>
      </c>
      <c r="G5496" t="s">
        <v>8570</v>
      </c>
      <c r="H5496" t="s">
        <v>4469</v>
      </c>
      <c r="J5496">
        <v>250900</v>
      </c>
      <c r="L5496" t="s">
        <v>5958</v>
      </c>
    </row>
    <row r="5497" spans="1:12" x14ac:dyDescent="0.35">
      <c r="A5497" t="s">
        <v>3115</v>
      </c>
      <c r="B5497" s="1">
        <v>45733</v>
      </c>
      <c r="C5497" t="s">
        <v>7264</v>
      </c>
      <c r="D5497" t="s">
        <v>4470</v>
      </c>
      <c r="E5497" t="s">
        <v>9439</v>
      </c>
      <c r="F5497" t="s">
        <v>6811</v>
      </c>
      <c r="H5497" t="s">
        <v>4471</v>
      </c>
      <c r="K5497">
        <v>1346</v>
      </c>
      <c r="L5497" t="s">
        <v>6803</v>
      </c>
    </row>
    <row r="5498" spans="1:12" x14ac:dyDescent="0.35">
      <c r="A5498" t="s">
        <v>3115</v>
      </c>
      <c r="B5498" s="1">
        <v>45733</v>
      </c>
      <c r="C5498" t="s">
        <v>7264</v>
      </c>
      <c r="D5498" t="s">
        <v>4470</v>
      </c>
      <c r="E5498" t="s">
        <v>9439</v>
      </c>
      <c r="F5498" t="s">
        <v>8557</v>
      </c>
      <c r="G5498" t="s">
        <v>8558</v>
      </c>
      <c r="H5498" t="s">
        <v>4471</v>
      </c>
      <c r="J5498">
        <v>1346</v>
      </c>
      <c r="L5498" t="s">
        <v>5875</v>
      </c>
    </row>
    <row r="5499" spans="1:12" x14ac:dyDescent="0.35">
      <c r="A5499" t="s">
        <v>3115</v>
      </c>
      <c r="B5499" s="1">
        <v>45733</v>
      </c>
      <c r="C5499" t="s">
        <v>7265</v>
      </c>
      <c r="D5499" t="s">
        <v>4472</v>
      </c>
      <c r="E5499" t="s">
        <v>9440</v>
      </c>
      <c r="F5499" t="s">
        <v>6808</v>
      </c>
      <c r="H5499" t="s">
        <v>4473</v>
      </c>
      <c r="K5499">
        <v>992</v>
      </c>
      <c r="L5499" t="s">
        <v>6803</v>
      </c>
    </row>
    <row r="5500" spans="1:12" x14ac:dyDescent="0.35">
      <c r="A5500" t="s">
        <v>3115</v>
      </c>
      <c r="B5500" s="1">
        <v>45733</v>
      </c>
      <c r="C5500" t="s">
        <v>7265</v>
      </c>
      <c r="D5500" t="s">
        <v>4472</v>
      </c>
      <c r="E5500" t="s">
        <v>9440</v>
      </c>
      <c r="F5500" t="s">
        <v>8467</v>
      </c>
      <c r="G5500" t="s">
        <v>8567</v>
      </c>
      <c r="H5500" t="s">
        <v>4473</v>
      </c>
      <c r="J5500">
        <v>992</v>
      </c>
      <c r="L5500" t="s">
        <v>5941</v>
      </c>
    </row>
    <row r="5501" spans="1:12" x14ac:dyDescent="0.35">
      <c r="A5501" t="s">
        <v>3115</v>
      </c>
      <c r="B5501" s="1">
        <v>45733</v>
      </c>
      <c r="C5501" t="s">
        <v>7266</v>
      </c>
      <c r="D5501" t="s">
        <v>4474</v>
      </c>
      <c r="E5501" t="s">
        <v>9441</v>
      </c>
      <c r="F5501" t="s">
        <v>6802</v>
      </c>
      <c r="H5501" t="s">
        <v>4475</v>
      </c>
      <c r="K5501">
        <v>6356</v>
      </c>
      <c r="L5501" t="s">
        <v>6803</v>
      </c>
    </row>
    <row r="5502" spans="1:12" x14ac:dyDescent="0.35">
      <c r="A5502" t="s">
        <v>3115</v>
      </c>
      <c r="B5502" s="1">
        <v>45733</v>
      </c>
      <c r="C5502" t="s">
        <v>7266</v>
      </c>
      <c r="D5502" t="s">
        <v>4474</v>
      </c>
      <c r="E5502" t="s">
        <v>9441</v>
      </c>
      <c r="F5502" t="s">
        <v>8557</v>
      </c>
      <c r="G5502" t="s">
        <v>8558</v>
      </c>
      <c r="H5502" t="s">
        <v>4475</v>
      </c>
      <c r="J5502">
        <v>6356</v>
      </c>
      <c r="L5502" t="s">
        <v>5874</v>
      </c>
    </row>
    <row r="5503" spans="1:12" x14ac:dyDescent="0.35">
      <c r="A5503" t="s">
        <v>3115</v>
      </c>
      <c r="B5503" s="1">
        <v>45733</v>
      </c>
      <c r="C5503" t="s">
        <v>6875</v>
      </c>
      <c r="D5503" t="s">
        <v>4476</v>
      </c>
      <c r="E5503" t="s">
        <v>9442</v>
      </c>
      <c r="F5503" t="s">
        <v>6802</v>
      </c>
      <c r="H5503" t="s">
        <v>4477</v>
      </c>
      <c r="K5503">
        <v>17000</v>
      </c>
      <c r="L5503" t="s">
        <v>6803</v>
      </c>
    </row>
    <row r="5504" spans="1:12" x14ac:dyDescent="0.35">
      <c r="A5504" t="s">
        <v>3115</v>
      </c>
      <c r="B5504" s="1">
        <v>45733</v>
      </c>
      <c r="C5504" t="s">
        <v>6875</v>
      </c>
      <c r="D5504" t="s">
        <v>4476</v>
      </c>
      <c r="E5504" t="s">
        <v>9442</v>
      </c>
      <c r="F5504" t="s">
        <v>8557</v>
      </c>
      <c r="G5504" t="s">
        <v>8558</v>
      </c>
      <c r="H5504" t="s">
        <v>4477</v>
      </c>
      <c r="J5504">
        <v>17000</v>
      </c>
      <c r="L5504" t="s">
        <v>6012</v>
      </c>
    </row>
    <row r="5505" spans="1:12" x14ac:dyDescent="0.35">
      <c r="A5505" t="s">
        <v>3115</v>
      </c>
      <c r="B5505" s="1">
        <v>45733</v>
      </c>
      <c r="C5505" t="s">
        <v>7198</v>
      </c>
      <c r="D5505" t="s">
        <v>4478</v>
      </c>
      <c r="E5505" t="s">
        <v>9443</v>
      </c>
      <c r="F5505" t="s">
        <v>6811</v>
      </c>
      <c r="H5505" t="s">
        <v>4479</v>
      </c>
      <c r="K5505">
        <v>600</v>
      </c>
      <c r="L5505" t="s">
        <v>6803</v>
      </c>
    </row>
    <row r="5506" spans="1:12" x14ac:dyDescent="0.35">
      <c r="A5506" t="s">
        <v>3115</v>
      </c>
      <c r="B5506" s="1">
        <v>45733</v>
      </c>
      <c r="C5506" t="s">
        <v>7198</v>
      </c>
      <c r="D5506" t="s">
        <v>4478</v>
      </c>
      <c r="E5506" t="s">
        <v>9443</v>
      </c>
      <c r="F5506" t="s">
        <v>8557</v>
      </c>
      <c r="G5506" t="s">
        <v>8558</v>
      </c>
      <c r="H5506" t="s">
        <v>4479</v>
      </c>
      <c r="J5506">
        <v>600</v>
      </c>
      <c r="L5506" t="s">
        <v>5876</v>
      </c>
    </row>
    <row r="5507" spans="1:12" x14ac:dyDescent="0.35">
      <c r="A5507" t="s">
        <v>3115</v>
      </c>
      <c r="B5507" s="1">
        <v>45733</v>
      </c>
      <c r="C5507" t="s">
        <v>7199</v>
      </c>
      <c r="D5507" t="s">
        <v>4480</v>
      </c>
      <c r="E5507" t="s">
        <v>9444</v>
      </c>
      <c r="F5507" t="s">
        <v>6802</v>
      </c>
      <c r="H5507" t="s">
        <v>4481</v>
      </c>
      <c r="K5507">
        <v>2793</v>
      </c>
      <c r="L5507" t="s">
        <v>6803</v>
      </c>
    </row>
    <row r="5508" spans="1:12" x14ac:dyDescent="0.35">
      <c r="A5508" t="s">
        <v>3115</v>
      </c>
      <c r="B5508" s="1">
        <v>45733</v>
      </c>
      <c r="C5508" t="s">
        <v>7199</v>
      </c>
      <c r="D5508" t="s">
        <v>4480</v>
      </c>
      <c r="E5508" t="s">
        <v>9444</v>
      </c>
      <c r="F5508" t="s">
        <v>8557</v>
      </c>
      <c r="G5508" t="s">
        <v>8558</v>
      </c>
      <c r="H5508" t="s">
        <v>4481</v>
      </c>
      <c r="J5508">
        <v>2793</v>
      </c>
      <c r="L5508" t="s">
        <v>5874</v>
      </c>
    </row>
    <row r="5509" spans="1:12" x14ac:dyDescent="0.35">
      <c r="A5509" t="s">
        <v>3115</v>
      </c>
      <c r="B5509" s="1">
        <v>45733</v>
      </c>
      <c r="C5509" t="s">
        <v>7200</v>
      </c>
      <c r="D5509" t="s">
        <v>4482</v>
      </c>
      <c r="E5509" t="s">
        <v>9445</v>
      </c>
      <c r="F5509" t="s">
        <v>6915</v>
      </c>
      <c r="H5509" t="s">
        <v>4483</v>
      </c>
      <c r="K5509">
        <v>41110</v>
      </c>
      <c r="L5509" t="s">
        <v>6803</v>
      </c>
    </row>
    <row r="5510" spans="1:12" x14ac:dyDescent="0.35">
      <c r="A5510" t="s">
        <v>3115</v>
      </c>
      <c r="B5510" s="1">
        <v>45733</v>
      </c>
      <c r="C5510" t="s">
        <v>7200</v>
      </c>
      <c r="D5510" t="s">
        <v>4482</v>
      </c>
      <c r="E5510" t="s">
        <v>9445</v>
      </c>
      <c r="F5510" t="s">
        <v>8569</v>
      </c>
      <c r="G5510" t="s">
        <v>8570</v>
      </c>
      <c r="H5510" t="s">
        <v>4483</v>
      </c>
      <c r="J5510">
        <v>41110</v>
      </c>
      <c r="L5510" t="s">
        <v>5946</v>
      </c>
    </row>
    <row r="5511" spans="1:12" x14ac:dyDescent="0.35">
      <c r="A5511" t="s">
        <v>3115</v>
      </c>
      <c r="B5511" s="1">
        <v>45733</v>
      </c>
      <c r="C5511" t="s">
        <v>7201</v>
      </c>
      <c r="D5511" t="s">
        <v>4484</v>
      </c>
      <c r="E5511" t="s">
        <v>9446</v>
      </c>
      <c r="F5511" t="s">
        <v>6811</v>
      </c>
      <c r="H5511" t="s">
        <v>4485</v>
      </c>
      <c r="K5511">
        <v>1500</v>
      </c>
      <c r="L5511" t="s">
        <v>6803</v>
      </c>
    </row>
    <row r="5512" spans="1:12" x14ac:dyDescent="0.35">
      <c r="A5512" t="s">
        <v>3115</v>
      </c>
      <c r="B5512" s="1">
        <v>45733</v>
      </c>
      <c r="C5512" t="s">
        <v>7201</v>
      </c>
      <c r="D5512" t="s">
        <v>4484</v>
      </c>
      <c r="E5512" t="s">
        <v>9446</v>
      </c>
      <c r="F5512" t="s">
        <v>8557</v>
      </c>
      <c r="G5512" t="s">
        <v>8558</v>
      </c>
      <c r="H5512" t="s">
        <v>4485</v>
      </c>
      <c r="J5512">
        <v>1500</v>
      </c>
      <c r="L5512" t="s">
        <v>6014</v>
      </c>
    </row>
    <row r="5513" spans="1:12" x14ac:dyDescent="0.35">
      <c r="A5513" t="s">
        <v>3115</v>
      </c>
      <c r="B5513" s="1">
        <v>45733</v>
      </c>
      <c r="C5513" t="s">
        <v>7202</v>
      </c>
      <c r="D5513" t="s">
        <v>4486</v>
      </c>
      <c r="E5513" t="s">
        <v>9447</v>
      </c>
      <c r="F5513" t="s">
        <v>6808</v>
      </c>
      <c r="H5513" t="s">
        <v>4487</v>
      </c>
      <c r="K5513">
        <v>1649</v>
      </c>
      <c r="L5513" t="s">
        <v>6803</v>
      </c>
    </row>
    <row r="5514" spans="1:12" x14ac:dyDescent="0.35">
      <c r="A5514" t="s">
        <v>3115</v>
      </c>
      <c r="B5514" s="1">
        <v>45733</v>
      </c>
      <c r="C5514" t="s">
        <v>7202</v>
      </c>
      <c r="D5514" t="s">
        <v>4486</v>
      </c>
      <c r="E5514" t="s">
        <v>9447</v>
      </c>
      <c r="F5514" t="s">
        <v>8467</v>
      </c>
      <c r="G5514" t="s">
        <v>8567</v>
      </c>
      <c r="H5514" t="s">
        <v>4487</v>
      </c>
      <c r="J5514">
        <v>1649</v>
      </c>
      <c r="L5514" t="s">
        <v>5875</v>
      </c>
    </row>
    <row r="5515" spans="1:12" x14ac:dyDescent="0.35">
      <c r="A5515" t="s">
        <v>3115</v>
      </c>
      <c r="B5515" s="1">
        <v>45733</v>
      </c>
      <c r="C5515" t="s">
        <v>7203</v>
      </c>
      <c r="D5515" t="s">
        <v>4488</v>
      </c>
      <c r="E5515" t="s">
        <v>9448</v>
      </c>
      <c r="F5515" t="s">
        <v>6808</v>
      </c>
      <c r="H5515" t="s">
        <v>4489</v>
      </c>
      <c r="K5515">
        <v>2917</v>
      </c>
      <c r="L5515" t="s">
        <v>6803</v>
      </c>
    </row>
    <row r="5516" spans="1:12" x14ac:dyDescent="0.35">
      <c r="A5516" t="s">
        <v>3115</v>
      </c>
      <c r="B5516" s="1">
        <v>45733</v>
      </c>
      <c r="C5516" t="s">
        <v>7203</v>
      </c>
      <c r="D5516" t="s">
        <v>4488</v>
      </c>
      <c r="E5516" t="s">
        <v>9448</v>
      </c>
      <c r="F5516" t="s">
        <v>8467</v>
      </c>
      <c r="G5516" t="s">
        <v>8567</v>
      </c>
      <c r="H5516" t="s">
        <v>4489</v>
      </c>
      <c r="J5516">
        <v>2917</v>
      </c>
      <c r="L5516" t="s">
        <v>5966</v>
      </c>
    </row>
    <row r="5517" spans="1:12" x14ac:dyDescent="0.35">
      <c r="A5517" t="s">
        <v>3115</v>
      </c>
      <c r="B5517" s="1">
        <v>45733</v>
      </c>
      <c r="C5517" t="s">
        <v>7204</v>
      </c>
      <c r="D5517" t="s">
        <v>4490</v>
      </c>
      <c r="E5517" t="s">
        <v>9449</v>
      </c>
      <c r="F5517" t="s">
        <v>6808</v>
      </c>
      <c r="H5517" t="s">
        <v>4491</v>
      </c>
      <c r="K5517">
        <v>4947</v>
      </c>
      <c r="L5517" t="s">
        <v>6803</v>
      </c>
    </row>
    <row r="5518" spans="1:12" x14ac:dyDescent="0.35">
      <c r="A5518" t="s">
        <v>3115</v>
      </c>
      <c r="B5518" s="1">
        <v>45733</v>
      </c>
      <c r="C5518" t="s">
        <v>7204</v>
      </c>
      <c r="D5518" t="s">
        <v>4490</v>
      </c>
      <c r="E5518" t="s">
        <v>9449</v>
      </c>
      <c r="F5518" t="s">
        <v>8467</v>
      </c>
      <c r="G5518" t="s">
        <v>8567</v>
      </c>
      <c r="H5518" t="s">
        <v>4491</v>
      </c>
      <c r="J5518">
        <v>4947</v>
      </c>
      <c r="L5518" t="s">
        <v>5966</v>
      </c>
    </row>
    <row r="5519" spans="1:12" x14ac:dyDescent="0.35">
      <c r="A5519" t="s">
        <v>3115</v>
      </c>
      <c r="B5519" s="1">
        <v>45733</v>
      </c>
      <c r="C5519" t="s">
        <v>7205</v>
      </c>
      <c r="D5519" t="s">
        <v>4492</v>
      </c>
      <c r="E5519" t="s">
        <v>9450</v>
      </c>
      <c r="F5519" t="s">
        <v>6808</v>
      </c>
      <c r="H5519" t="s">
        <v>4493</v>
      </c>
      <c r="K5519">
        <v>1649</v>
      </c>
      <c r="L5519" t="s">
        <v>6803</v>
      </c>
    </row>
    <row r="5520" spans="1:12" x14ac:dyDescent="0.35">
      <c r="A5520" t="s">
        <v>3115</v>
      </c>
      <c r="B5520" s="1">
        <v>45733</v>
      </c>
      <c r="C5520" t="s">
        <v>7205</v>
      </c>
      <c r="D5520" t="s">
        <v>4492</v>
      </c>
      <c r="E5520" t="s">
        <v>9450</v>
      </c>
      <c r="F5520" t="s">
        <v>8467</v>
      </c>
      <c r="G5520" t="s">
        <v>8567</v>
      </c>
      <c r="H5520" t="s">
        <v>4493</v>
      </c>
      <c r="J5520">
        <v>1649</v>
      </c>
      <c r="L5520" t="s">
        <v>6010</v>
      </c>
    </row>
    <row r="5521" spans="1:12" x14ac:dyDescent="0.35">
      <c r="A5521" t="s">
        <v>3115</v>
      </c>
      <c r="B5521" s="1">
        <v>45733</v>
      </c>
      <c r="C5521" t="s">
        <v>7272</v>
      </c>
      <c r="D5521" t="s">
        <v>4494</v>
      </c>
      <c r="E5521" t="s">
        <v>9451</v>
      </c>
      <c r="F5521" t="s">
        <v>6808</v>
      </c>
      <c r="H5521" t="s">
        <v>4495</v>
      </c>
      <c r="K5521">
        <v>2917</v>
      </c>
      <c r="L5521" t="s">
        <v>6803</v>
      </c>
    </row>
    <row r="5522" spans="1:12" x14ac:dyDescent="0.35">
      <c r="A5522" t="s">
        <v>3115</v>
      </c>
      <c r="B5522" s="1">
        <v>45733</v>
      </c>
      <c r="C5522" t="s">
        <v>7272</v>
      </c>
      <c r="D5522" t="s">
        <v>4494</v>
      </c>
      <c r="E5522" t="s">
        <v>9451</v>
      </c>
      <c r="F5522" t="s">
        <v>8467</v>
      </c>
      <c r="G5522" t="s">
        <v>8567</v>
      </c>
      <c r="H5522" t="s">
        <v>4495</v>
      </c>
      <c r="J5522">
        <v>2917</v>
      </c>
      <c r="L5522" t="s">
        <v>5966</v>
      </c>
    </row>
    <row r="5523" spans="1:12" x14ac:dyDescent="0.35">
      <c r="A5523" t="s">
        <v>3115</v>
      </c>
      <c r="B5523" s="1">
        <v>45733</v>
      </c>
      <c r="C5523" t="s">
        <v>7273</v>
      </c>
      <c r="D5523" t="s">
        <v>4496</v>
      </c>
      <c r="E5523" t="s">
        <v>9452</v>
      </c>
      <c r="F5523" t="s">
        <v>6811</v>
      </c>
      <c r="H5523" t="s">
        <v>4497</v>
      </c>
      <c r="K5523">
        <v>35000</v>
      </c>
      <c r="L5523" t="s">
        <v>6803</v>
      </c>
    </row>
    <row r="5524" spans="1:12" x14ac:dyDescent="0.35">
      <c r="A5524" t="s">
        <v>3115</v>
      </c>
      <c r="B5524" s="1">
        <v>45733</v>
      </c>
      <c r="C5524" t="s">
        <v>7273</v>
      </c>
      <c r="D5524" t="s">
        <v>4496</v>
      </c>
      <c r="E5524" t="s">
        <v>9452</v>
      </c>
      <c r="F5524" t="s">
        <v>8467</v>
      </c>
      <c r="G5524" t="s">
        <v>8567</v>
      </c>
      <c r="H5524" t="s">
        <v>4497</v>
      </c>
      <c r="J5524">
        <v>35000</v>
      </c>
      <c r="L5524" t="s">
        <v>5949</v>
      </c>
    </row>
    <row r="5525" spans="1:12" x14ac:dyDescent="0.35">
      <c r="A5525" t="s">
        <v>3115</v>
      </c>
      <c r="B5525" s="1">
        <v>45733</v>
      </c>
      <c r="C5525" t="s">
        <v>7274</v>
      </c>
      <c r="D5525" t="s">
        <v>4498</v>
      </c>
      <c r="E5525" t="s">
        <v>9453</v>
      </c>
      <c r="F5525" t="s">
        <v>6802</v>
      </c>
      <c r="H5525" t="s">
        <v>4499</v>
      </c>
      <c r="K5525">
        <v>174616</v>
      </c>
      <c r="L5525" t="s">
        <v>6803</v>
      </c>
    </row>
    <row r="5526" spans="1:12" x14ac:dyDescent="0.35">
      <c r="A5526" t="s">
        <v>3115</v>
      </c>
      <c r="B5526" s="1">
        <v>45733</v>
      </c>
      <c r="C5526" t="s">
        <v>7274</v>
      </c>
      <c r="D5526" t="s">
        <v>4498</v>
      </c>
      <c r="E5526" t="s">
        <v>9453</v>
      </c>
      <c r="F5526" t="s">
        <v>8537</v>
      </c>
      <c r="G5526" t="s">
        <v>8538</v>
      </c>
      <c r="H5526" t="s">
        <v>4499</v>
      </c>
      <c r="J5526">
        <v>174616</v>
      </c>
      <c r="L5526" t="s">
        <v>5958</v>
      </c>
    </row>
    <row r="5527" spans="1:12" x14ac:dyDescent="0.35">
      <c r="A5527" t="s">
        <v>3115</v>
      </c>
      <c r="B5527" s="1">
        <v>45733</v>
      </c>
      <c r="C5527" t="s">
        <v>7275</v>
      </c>
      <c r="D5527" t="s">
        <v>4500</v>
      </c>
      <c r="E5527" t="s">
        <v>9454</v>
      </c>
      <c r="F5527" t="s">
        <v>6802</v>
      </c>
      <c r="H5527" t="s">
        <v>4501</v>
      </c>
      <c r="K5527">
        <v>50640</v>
      </c>
      <c r="L5527" t="s">
        <v>6803</v>
      </c>
    </row>
    <row r="5528" spans="1:12" x14ac:dyDescent="0.35">
      <c r="A5528" t="s">
        <v>3115</v>
      </c>
      <c r="B5528" s="1">
        <v>45733</v>
      </c>
      <c r="C5528" t="s">
        <v>7275</v>
      </c>
      <c r="D5528" t="s">
        <v>4500</v>
      </c>
      <c r="E5528" t="s">
        <v>9454</v>
      </c>
      <c r="F5528" t="s">
        <v>8537</v>
      </c>
      <c r="G5528" t="s">
        <v>8538</v>
      </c>
      <c r="H5528" t="s">
        <v>4501</v>
      </c>
      <c r="J5528">
        <v>50640</v>
      </c>
      <c r="L5528" t="s">
        <v>5958</v>
      </c>
    </row>
    <row r="5529" spans="1:12" x14ac:dyDescent="0.35">
      <c r="A5529" t="s">
        <v>3115</v>
      </c>
      <c r="B5529" s="1">
        <v>45733</v>
      </c>
      <c r="C5529" t="s">
        <v>7276</v>
      </c>
      <c r="D5529" t="s">
        <v>4502</v>
      </c>
      <c r="E5529" t="s">
        <v>9455</v>
      </c>
      <c r="F5529" t="s">
        <v>6802</v>
      </c>
      <c r="H5529" t="s">
        <v>4503</v>
      </c>
      <c r="K5529">
        <v>74976</v>
      </c>
      <c r="L5529" t="s">
        <v>6803</v>
      </c>
    </row>
    <row r="5530" spans="1:12" x14ac:dyDescent="0.35">
      <c r="A5530" t="s">
        <v>3115</v>
      </c>
      <c r="B5530" s="1">
        <v>45733</v>
      </c>
      <c r="C5530" t="s">
        <v>7276</v>
      </c>
      <c r="D5530" t="s">
        <v>4502</v>
      </c>
      <c r="E5530" t="s">
        <v>9455</v>
      </c>
      <c r="F5530" t="s">
        <v>8537</v>
      </c>
      <c r="G5530" t="s">
        <v>8538</v>
      </c>
      <c r="H5530" t="s">
        <v>4503</v>
      </c>
      <c r="J5530">
        <v>74976</v>
      </c>
      <c r="L5530" t="s">
        <v>5958</v>
      </c>
    </row>
    <row r="5531" spans="1:12" x14ac:dyDescent="0.35">
      <c r="A5531" t="s">
        <v>3115</v>
      </c>
      <c r="B5531" s="1">
        <v>45733</v>
      </c>
      <c r="C5531" t="s">
        <v>7206</v>
      </c>
      <c r="D5531" t="s">
        <v>4504</v>
      </c>
      <c r="E5531" t="s">
        <v>9456</v>
      </c>
      <c r="F5531" t="s">
        <v>6802</v>
      </c>
      <c r="H5531" t="s">
        <v>4505</v>
      </c>
      <c r="K5531">
        <v>181701</v>
      </c>
      <c r="L5531" t="s">
        <v>6803</v>
      </c>
    </row>
    <row r="5532" spans="1:12" x14ac:dyDescent="0.35">
      <c r="A5532" t="s">
        <v>3115</v>
      </c>
      <c r="B5532" s="1">
        <v>45733</v>
      </c>
      <c r="C5532" t="s">
        <v>7206</v>
      </c>
      <c r="D5532" t="s">
        <v>4504</v>
      </c>
      <c r="E5532" t="s">
        <v>9456</v>
      </c>
      <c r="F5532" t="s">
        <v>8537</v>
      </c>
      <c r="G5532" t="s">
        <v>8538</v>
      </c>
      <c r="H5532" t="s">
        <v>4505</v>
      </c>
      <c r="J5532">
        <v>181701</v>
      </c>
      <c r="L5532" t="s">
        <v>5875</v>
      </c>
    </row>
    <row r="5533" spans="1:12" x14ac:dyDescent="0.35">
      <c r="A5533" t="s">
        <v>3115</v>
      </c>
      <c r="B5533" s="1">
        <v>45733</v>
      </c>
      <c r="C5533" t="s">
        <v>7207</v>
      </c>
      <c r="D5533" t="s">
        <v>4506</v>
      </c>
      <c r="E5533" t="s">
        <v>9457</v>
      </c>
      <c r="F5533" t="s">
        <v>6808</v>
      </c>
      <c r="H5533" t="s">
        <v>4507</v>
      </c>
      <c r="K5533">
        <v>3298</v>
      </c>
      <c r="L5533" t="s">
        <v>6803</v>
      </c>
    </row>
    <row r="5534" spans="1:12" x14ac:dyDescent="0.35">
      <c r="A5534" t="s">
        <v>3115</v>
      </c>
      <c r="B5534" s="1">
        <v>45733</v>
      </c>
      <c r="C5534" t="s">
        <v>7207</v>
      </c>
      <c r="D5534" t="s">
        <v>4506</v>
      </c>
      <c r="E5534" t="s">
        <v>9457</v>
      </c>
      <c r="F5534" t="s">
        <v>8467</v>
      </c>
      <c r="G5534" t="s">
        <v>8567</v>
      </c>
      <c r="H5534" t="s">
        <v>4507</v>
      </c>
      <c r="J5534">
        <v>3298</v>
      </c>
      <c r="L5534" t="s">
        <v>5875</v>
      </c>
    </row>
    <row r="5535" spans="1:12" x14ac:dyDescent="0.35">
      <c r="A5535" t="s">
        <v>3115</v>
      </c>
      <c r="B5535" s="1">
        <v>45733</v>
      </c>
      <c r="C5535" t="s">
        <v>7208</v>
      </c>
      <c r="D5535" t="s">
        <v>4508</v>
      </c>
      <c r="E5535" t="s">
        <v>9458</v>
      </c>
      <c r="F5535" t="s">
        <v>6808</v>
      </c>
      <c r="H5535" t="s">
        <v>4509</v>
      </c>
      <c r="K5535">
        <v>3298</v>
      </c>
      <c r="L5535" t="s">
        <v>6803</v>
      </c>
    </row>
    <row r="5536" spans="1:12" x14ac:dyDescent="0.35">
      <c r="A5536" t="s">
        <v>3115</v>
      </c>
      <c r="B5536" s="1">
        <v>45733</v>
      </c>
      <c r="C5536" t="s">
        <v>7208</v>
      </c>
      <c r="D5536" t="s">
        <v>4508</v>
      </c>
      <c r="E5536" t="s">
        <v>9458</v>
      </c>
      <c r="F5536" t="s">
        <v>8467</v>
      </c>
      <c r="G5536" t="s">
        <v>8567</v>
      </c>
      <c r="H5536" t="s">
        <v>4509</v>
      </c>
      <c r="J5536">
        <v>3298</v>
      </c>
      <c r="L5536" t="s">
        <v>5874</v>
      </c>
    </row>
    <row r="5537" spans="1:12" x14ac:dyDescent="0.35">
      <c r="A5537" t="s">
        <v>3115</v>
      </c>
      <c r="B5537" s="1">
        <v>45733</v>
      </c>
      <c r="C5537" t="s">
        <v>7209</v>
      </c>
      <c r="D5537" t="s">
        <v>4510</v>
      </c>
      <c r="E5537" t="s">
        <v>9459</v>
      </c>
      <c r="F5537" t="s">
        <v>6802</v>
      </c>
      <c r="H5537" t="s">
        <v>4511</v>
      </c>
      <c r="K5537">
        <v>1968</v>
      </c>
      <c r="L5537" t="s">
        <v>6803</v>
      </c>
    </row>
    <row r="5538" spans="1:12" x14ac:dyDescent="0.35">
      <c r="A5538" t="s">
        <v>3115</v>
      </c>
      <c r="B5538" s="1">
        <v>45733</v>
      </c>
      <c r="C5538" t="s">
        <v>7209</v>
      </c>
      <c r="D5538" t="s">
        <v>4510</v>
      </c>
      <c r="E5538" t="s">
        <v>9459</v>
      </c>
      <c r="F5538" t="s">
        <v>8537</v>
      </c>
      <c r="G5538" t="s">
        <v>8538</v>
      </c>
      <c r="H5538" t="s">
        <v>4511</v>
      </c>
      <c r="J5538">
        <v>1968</v>
      </c>
      <c r="L5538" t="s">
        <v>5876</v>
      </c>
    </row>
    <row r="5539" spans="1:12" x14ac:dyDescent="0.35">
      <c r="A5539" t="s">
        <v>3115</v>
      </c>
      <c r="B5539" s="1">
        <v>45733</v>
      </c>
      <c r="C5539" t="s">
        <v>7118</v>
      </c>
      <c r="D5539" t="s">
        <v>4512</v>
      </c>
      <c r="E5539" t="s">
        <v>9443</v>
      </c>
      <c r="F5539" t="s">
        <v>6802</v>
      </c>
      <c r="H5539" t="s">
        <v>4513</v>
      </c>
      <c r="K5539">
        <v>2361</v>
      </c>
      <c r="L5539" t="s">
        <v>6803</v>
      </c>
    </row>
    <row r="5540" spans="1:12" x14ac:dyDescent="0.35">
      <c r="A5540" t="s">
        <v>3115</v>
      </c>
      <c r="B5540" s="1">
        <v>45733</v>
      </c>
      <c r="C5540" t="s">
        <v>7118</v>
      </c>
      <c r="D5540" t="s">
        <v>4512</v>
      </c>
      <c r="E5540" t="s">
        <v>9443</v>
      </c>
      <c r="F5540" t="s">
        <v>8537</v>
      </c>
      <c r="G5540" t="s">
        <v>8538</v>
      </c>
      <c r="H5540" t="s">
        <v>4513</v>
      </c>
      <c r="J5540">
        <v>2361</v>
      </c>
      <c r="L5540" t="s">
        <v>5876</v>
      </c>
    </row>
    <row r="5541" spans="1:12" x14ac:dyDescent="0.35">
      <c r="A5541" t="s">
        <v>3115</v>
      </c>
      <c r="B5541" s="1">
        <v>45733</v>
      </c>
      <c r="C5541" t="s">
        <v>7120</v>
      </c>
      <c r="D5541" t="s">
        <v>4514</v>
      </c>
      <c r="E5541" t="s">
        <v>9460</v>
      </c>
      <c r="F5541" t="s">
        <v>6802</v>
      </c>
      <c r="H5541" t="s">
        <v>4515</v>
      </c>
      <c r="K5541">
        <v>20139</v>
      </c>
      <c r="L5541" t="s">
        <v>6803</v>
      </c>
    </row>
    <row r="5542" spans="1:12" x14ac:dyDescent="0.35">
      <c r="A5542" t="s">
        <v>3115</v>
      </c>
      <c r="B5542" s="1">
        <v>45733</v>
      </c>
      <c r="C5542" t="s">
        <v>7120</v>
      </c>
      <c r="D5542" t="s">
        <v>4514</v>
      </c>
      <c r="E5542" t="s">
        <v>9460</v>
      </c>
      <c r="F5542" t="s">
        <v>8537</v>
      </c>
      <c r="G5542" t="s">
        <v>8538</v>
      </c>
      <c r="H5542" t="s">
        <v>4515</v>
      </c>
      <c r="J5542">
        <v>20139</v>
      </c>
      <c r="L5542" t="s">
        <v>5876</v>
      </c>
    </row>
    <row r="5543" spans="1:12" x14ac:dyDescent="0.35">
      <c r="A5543" t="s">
        <v>3115</v>
      </c>
      <c r="B5543" s="1">
        <v>45733</v>
      </c>
      <c r="C5543" t="s">
        <v>7121</v>
      </c>
      <c r="D5543" t="s">
        <v>4516</v>
      </c>
      <c r="E5543" t="s">
        <v>9461</v>
      </c>
      <c r="F5543" t="s">
        <v>6802</v>
      </c>
      <c r="H5543" t="s">
        <v>4517</v>
      </c>
      <c r="K5543">
        <v>5969</v>
      </c>
      <c r="L5543" t="s">
        <v>6803</v>
      </c>
    </row>
    <row r="5544" spans="1:12" x14ac:dyDescent="0.35">
      <c r="A5544" t="s">
        <v>3115</v>
      </c>
      <c r="B5544" s="1">
        <v>45733</v>
      </c>
      <c r="C5544" t="s">
        <v>7121</v>
      </c>
      <c r="D5544" t="s">
        <v>4516</v>
      </c>
      <c r="E5544" t="s">
        <v>9461</v>
      </c>
      <c r="F5544" t="s">
        <v>8537</v>
      </c>
      <c r="G5544" t="s">
        <v>8538</v>
      </c>
      <c r="H5544" t="s">
        <v>4517</v>
      </c>
      <c r="J5544">
        <v>5969</v>
      </c>
      <c r="L5544" t="s">
        <v>5876</v>
      </c>
    </row>
    <row r="5545" spans="1:12" x14ac:dyDescent="0.35">
      <c r="A5545" t="s">
        <v>3115</v>
      </c>
      <c r="B5545" s="1">
        <v>45733</v>
      </c>
      <c r="C5545" t="s">
        <v>7122</v>
      </c>
      <c r="D5545" t="s">
        <v>4518</v>
      </c>
      <c r="E5545" t="s">
        <v>9462</v>
      </c>
      <c r="F5545" t="s">
        <v>6802</v>
      </c>
      <c r="H5545" t="s">
        <v>4519</v>
      </c>
      <c r="K5545">
        <v>4067</v>
      </c>
      <c r="L5545" t="s">
        <v>6803</v>
      </c>
    </row>
    <row r="5546" spans="1:12" x14ac:dyDescent="0.35">
      <c r="A5546" t="s">
        <v>3115</v>
      </c>
      <c r="B5546" s="1">
        <v>45733</v>
      </c>
      <c r="C5546" t="s">
        <v>7122</v>
      </c>
      <c r="D5546" t="s">
        <v>4518</v>
      </c>
      <c r="E5546" t="s">
        <v>9462</v>
      </c>
      <c r="F5546" t="s">
        <v>8537</v>
      </c>
      <c r="G5546" t="s">
        <v>8538</v>
      </c>
      <c r="H5546" t="s">
        <v>4519</v>
      </c>
      <c r="J5546">
        <v>4067</v>
      </c>
      <c r="L5546" t="s">
        <v>5874</v>
      </c>
    </row>
    <row r="5547" spans="1:12" x14ac:dyDescent="0.35">
      <c r="A5547" t="s">
        <v>3115</v>
      </c>
      <c r="B5547" s="1">
        <v>45733</v>
      </c>
      <c r="C5547" t="s">
        <v>7123</v>
      </c>
      <c r="D5547" t="s">
        <v>4520</v>
      </c>
      <c r="E5547" t="s">
        <v>9463</v>
      </c>
      <c r="F5547" t="s">
        <v>6802</v>
      </c>
      <c r="H5547" t="s">
        <v>4521</v>
      </c>
      <c r="K5547">
        <v>98875</v>
      </c>
      <c r="L5547" t="s">
        <v>6803</v>
      </c>
    </row>
    <row r="5548" spans="1:12" x14ac:dyDescent="0.35">
      <c r="A5548" t="s">
        <v>3115</v>
      </c>
      <c r="B5548" s="1">
        <v>45733</v>
      </c>
      <c r="C5548" t="s">
        <v>7123</v>
      </c>
      <c r="D5548" t="s">
        <v>4520</v>
      </c>
      <c r="E5548" t="s">
        <v>9463</v>
      </c>
      <c r="F5548" t="s">
        <v>8537</v>
      </c>
      <c r="G5548" t="s">
        <v>8538</v>
      </c>
      <c r="H5548" t="s">
        <v>4521</v>
      </c>
      <c r="J5548">
        <v>98875</v>
      </c>
      <c r="L5548" t="s">
        <v>5880</v>
      </c>
    </row>
    <row r="5549" spans="1:12" x14ac:dyDescent="0.35">
      <c r="A5549" t="s">
        <v>3115</v>
      </c>
      <c r="B5549" s="1">
        <v>45733</v>
      </c>
      <c r="C5549" t="s">
        <v>7124</v>
      </c>
      <c r="D5549" t="s">
        <v>4522</v>
      </c>
      <c r="E5549" t="s">
        <v>9464</v>
      </c>
      <c r="F5549" t="s">
        <v>6802</v>
      </c>
      <c r="H5549" t="s">
        <v>4523</v>
      </c>
      <c r="K5549">
        <v>24928</v>
      </c>
      <c r="L5549" t="s">
        <v>6803</v>
      </c>
    </row>
    <row r="5550" spans="1:12" x14ac:dyDescent="0.35">
      <c r="A5550" t="s">
        <v>3115</v>
      </c>
      <c r="B5550" s="1">
        <v>45733</v>
      </c>
      <c r="C5550" t="s">
        <v>7124</v>
      </c>
      <c r="D5550" t="s">
        <v>4522</v>
      </c>
      <c r="E5550" t="s">
        <v>9464</v>
      </c>
      <c r="F5550" t="s">
        <v>8537</v>
      </c>
      <c r="G5550" t="s">
        <v>8538</v>
      </c>
      <c r="H5550" t="s">
        <v>4523</v>
      </c>
      <c r="J5550">
        <v>24928</v>
      </c>
      <c r="L5550" t="s">
        <v>5876</v>
      </c>
    </row>
    <row r="5551" spans="1:12" x14ac:dyDescent="0.35">
      <c r="A5551" t="s">
        <v>3115</v>
      </c>
      <c r="B5551" s="1">
        <v>45733</v>
      </c>
      <c r="C5551" t="s">
        <v>7125</v>
      </c>
      <c r="D5551" t="s">
        <v>4524</v>
      </c>
      <c r="E5551" t="s">
        <v>9465</v>
      </c>
      <c r="F5551" t="s">
        <v>6802</v>
      </c>
      <c r="H5551" t="s">
        <v>4525</v>
      </c>
      <c r="K5551">
        <v>6954</v>
      </c>
      <c r="L5551" t="s">
        <v>6803</v>
      </c>
    </row>
    <row r="5552" spans="1:12" x14ac:dyDescent="0.35">
      <c r="A5552" t="s">
        <v>3115</v>
      </c>
      <c r="B5552" s="1">
        <v>45733</v>
      </c>
      <c r="C5552" t="s">
        <v>7125</v>
      </c>
      <c r="D5552" t="s">
        <v>4524</v>
      </c>
      <c r="E5552" t="s">
        <v>9465</v>
      </c>
      <c r="F5552" t="s">
        <v>8537</v>
      </c>
      <c r="G5552" t="s">
        <v>8538</v>
      </c>
      <c r="H5552" t="s">
        <v>4525</v>
      </c>
      <c r="J5552">
        <v>6954</v>
      </c>
      <c r="L5552" t="s">
        <v>5876</v>
      </c>
    </row>
    <row r="5553" spans="1:12" x14ac:dyDescent="0.35">
      <c r="A5553" t="s">
        <v>3115</v>
      </c>
      <c r="B5553" s="1">
        <v>45733</v>
      </c>
      <c r="C5553" t="s">
        <v>7126</v>
      </c>
      <c r="D5553" t="s">
        <v>4526</v>
      </c>
      <c r="E5553" t="s">
        <v>9466</v>
      </c>
      <c r="F5553" t="s">
        <v>6802</v>
      </c>
      <c r="H5553" t="s">
        <v>4527</v>
      </c>
      <c r="K5553">
        <v>787</v>
      </c>
      <c r="L5553" t="s">
        <v>6803</v>
      </c>
    </row>
    <row r="5554" spans="1:12" x14ac:dyDescent="0.35">
      <c r="A5554" t="s">
        <v>3115</v>
      </c>
      <c r="B5554" s="1">
        <v>45733</v>
      </c>
      <c r="C5554" t="s">
        <v>7126</v>
      </c>
      <c r="D5554" t="s">
        <v>4526</v>
      </c>
      <c r="E5554" t="s">
        <v>9466</v>
      </c>
      <c r="F5554" t="s">
        <v>8537</v>
      </c>
      <c r="G5554" t="s">
        <v>8538</v>
      </c>
      <c r="H5554" t="s">
        <v>4527</v>
      </c>
      <c r="J5554">
        <v>787</v>
      </c>
      <c r="L5554" t="s">
        <v>5876</v>
      </c>
    </row>
    <row r="5555" spans="1:12" x14ac:dyDescent="0.35">
      <c r="A5555" t="s">
        <v>3115</v>
      </c>
      <c r="B5555" s="1">
        <v>45733</v>
      </c>
      <c r="C5555" t="s">
        <v>7127</v>
      </c>
      <c r="D5555" t="s">
        <v>4528</v>
      </c>
      <c r="E5555" t="s">
        <v>9467</v>
      </c>
      <c r="F5555" t="s">
        <v>6802</v>
      </c>
      <c r="H5555" t="s">
        <v>4529</v>
      </c>
      <c r="K5555">
        <v>51776</v>
      </c>
      <c r="L5555" t="s">
        <v>6803</v>
      </c>
    </row>
    <row r="5556" spans="1:12" x14ac:dyDescent="0.35">
      <c r="A5556" t="s">
        <v>3115</v>
      </c>
      <c r="B5556" s="1">
        <v>45733</v>
      </c>
      <c r="C5556" t="s">
        <v>7127</v>
      </c>
      <c r="D5556" t="s">
        <v>4528</v>
      </c>
      <c r="E5556" t="s">
        <v>9467</v>
      </c>
      <c r="F5556" t="s">
        <v>8537</v>
      </c>
      <c r="G5556" t="s">
        <v>8538</v>
      </c>
      <c r="H5556" t="s">
        <v>4529</v>
      </c>
      <c r="J5556">
        <v>51776</v>
      </c>
      <c r="L5556" t="s">
        <v>5874</v>
      </c>
    </row>
    <row r="5557" spans="1:12" x14ac:dyDescent="0.35">
      <c r="A5557" t="s">
        <v>3115</v>
      </c>
      <c r="B5557" s="1">
        <v>45733</v>
      </c>
      <c r="C5557" t="s">
        <v>7128</v>
      </c>
      <c r="D5557" t="s">
        <v>4530</v>
      </c>
      <c r="E5557" t="s">
        <v>8867</v>
      </c>
      <c r="F5557" t="s">
        <v>6802</v>
      </c>
      <c r="H5557" t="s">
        <v>4531</v>
      </c>
      <c r="K5557">
        <v>35000</v>
      </c>
      <c r="L5557" t="s">
        <v>6803</v>
      </c>
    </row>
    <row r="5558" spans="1:12" x14ac:dyDescent="0.35">
      <c r="A5558" t="s">
        <v>3115</v>
      </c>
      <c r="B5558" s="1">
        <v>45733</v>
      </c>
      <c r="C5558" t="s">
        <v>7128</v>
      </c>
      <c r="D5558" t="s">
        <v>4530</v>
      </c>
      <c r="E5558" t="s">
        <v>8867</v>
      </c>
      <c r="F5558" t="s">
        <v>8537</v>
      </c>
      <c r="G5558" t="s">
        <v>8538</v>
      </c>
      <c r="H5558" t="s">
        <v>4531</v>
      </c>
      <c r="J5558">
        <v>35000</v>
      </c>
      <c r="L5558" t="s">
        <v>5874</v>
      </c>
    </row>
    <row r="5559" spans="1:12" x14ac:dyDescent="0.35">
      <c r="A5559" t="s">
        <v>3115</v>
      </c>
      <c r="B5559" s="1">
        <v>45733</v>
      </c>
      <c r="C5559" t="s">
        <v>7129</v>
      </c>
      <c r="D5559" t="s">
        <v>4532</v>
      </c>
      <c r="E5559" t="s">
        <v>9468</v>
      </c>
      <c r="F5559" t="s">
        <v>6802</v>
      </c>
      <c r="H5559" t="s">
        <v>4533</v>
      </c>
      <c r="K5559">
        <v>17500</v>
      </c>
      <c r="L5559" t="s">
        <v>6803</v>
      </c>
    </row>
    <row r="5560" spans="1:12" x14ac:dyDescent="0.35">
      <c r="A5560" t="s">
        <v>3115</v>
      </c>
      <c r="B5560" s="1">
        <v>45733</v>
      </c>
      <c r="C5560" t="s">
        <v>7129</v>
      </c>
      <c r="D5560" t="s">
        <v>4532</v>
      </c>
      <c r="E5560" t="s">
        <v>9468</v>
      </c>
      <c r="F5560" t="s">
        <v>8537</v>
      </c>
      <c r="G5560" t="s">
        <v>8538</v>
      </c>
      <c r="H5560" t="s">
        <v>4533</v>
      </c>
      <c r="J5560">
        <v>17500</v>
      </c>
      <c r="L5560" t="s">
        <v>5966</v>
      </c>
    </row>
    <row r="5561" spans="1:12" x14ac:dyDescent="0.35">
      <c r="A5561" t="s">
        <v>3115</v>
      </c>
      <c r="B5561" s="1">
        <v>45733</v>
      </c>
      <c r="C5561" t="s">
        <v>7130</v>
      </c>
      <c r="D5561" t="s">
        <v>4534</v>
      </c>
      <c r="E5561" t="s">
        <v>9469</v>
      </c>
      <c r="F5561" t="s">
        <v>6802</v>
      </c>
      <c r="H5561" t="s">
        <v>4535</v>
      </c>
      <c r="K5561">
        <v>17500</v>
      </c>
      <c r="L5561" t="s">
        <v>6803</v>
      </c>
    </row>
    <row r="5562" spans="1:12" x14ac:dyDescent="0.35">
      <c r="A5562" t="s">
        <v>3115</v>
      </c>
      <c r="B5562" s="1">
        <v>45733</v>
      </c>
      <c r="C5562" t="s">
        <v>7130</v>
      </c>
      <c r="D5562" t="s">
        <v>4534</v>
      </c>
      <c r="E5562" t="s">
        <v>9469</v>
      </c>
      <c r="F5562" t="s">
        <v>8537</v>
      </c>
      <c r="G5562" t="s">
        <v>8538</v>
      </c>
      <c r="H5562" t="s">
        <v>4535</v>
      </c>
      <c r="J5562">
        <v>17500</v>
      </c>
      <c r="L5562" t="s">
        <v>5966</v>
      </c>
    </row>
    <row r="5563" spans="1:12" x14ac:dyDescent="0.35">
      <c r="A5563" t="s">
        <v>3115</v>
      </c>
      <c r="B5563" s="1">
        <v>45733</v>
      </c>
      <c r="C5563" t="s">
        <v>7131</v>
      </c>
      <c r="D5563" t="s">
        <v>4536</v>
      </c>
      <c r="E5563" t="s">
        <v>9470</v>
      </c>
      <c r="F5563" t="s">
        <v>6802</v>
      </c>
      <c r="H5563" t="s">
        <v>4537</v>
      </c>
      <c r="K5563">
        <v>50180</v>
      </c>
      <c r="L5563" t="s">
        <v>6803</v>
      </c>
    </row>
    <row r="5564" spans="1:12" x14ac:dyDescent="0.35">
      <c r="A5564" t="s">
        <v>3115</v>
      </c>
      <c r="B5564" s="1">
        <v>45733</v>
      </c>
      <c r="C5564" t="s">
        <v>7131</v>
      </c>
      <c r="D5564" t="s">
        <v>4536</v>
      </c>
      <c r="E5564" t="s">
        <v>9470</v>
      </c>
      <c r="F5564" t="s">
        <v>8537</v>
      </c>
      <c r="G5564" t="s">
        <v>8538</v>
      </c>
      <c r="H5564" t="s">
        <v>4537</v>
      </c>
      <c r="J5564">
        <v>50180</v>
      </c>
      <c r="L5564" t="s">
        <v>5875</v>
      </c>
    </row>
    <row r="5565" spans="1:12" x14ac:dyDescent="0.35">
      <c r="A5565" t="s">
        <v>3115</v>
      </c>
      <c r="B5565" s="1">
        <v>45733</v>
      </c>
      <c r="C5565" t="s">
        <v>7132</v>
      </c>
      <c r="D5565" t="s">
        <v>4538</v>
      </c>
      <c r="E5565" t="s">
        <v>8613</v>
      </c>
      <c r="F5565" t="s">
        <v>6802</v>
      </c>
      <c r="H5565" t="s">
        <v>4539</v>
      </c>
      <c r="K5565">
        <v>66185</v>
      </c>
      <c r="L5565" t="s">
        <v>6803</v>
      </c>
    </row>
    <row r="5566" spans="1:12" x14ac:dyDescent="0.35">
      <c r="A5566" t="s">
        <v>3115</v>
      </c>
      <c r="B5566" s="1">
        <v>45733</v>
      </c>
      <c r="C5566" t="s">
        <v>7132</v>
      </c>
      <c r="D5566" t="s">
        <v>4538</v>
      </c>
      <c r="E5566" t="s">
        <v>8613</v>
      </c>
      <c r="F5566" t="s">
        <v>8537</v>
      </c>
      <c r="G5566" t="s">
        <v>8538</v>
      </c>
      <c r="H5566" t="s">
        <v>4539</v>
      </c>
      <c r="J5566">
        <v>66185</v>
      </c>
      <c r="L5566" t="s">
        <v>5949</v>
      </c>
    </row>
    <row r="5567" spans="1:12" x14ac:dyDescent="0.35">
      <c r="A5567" t="s">
        <v>3115</v>
      </c>
      <c r="B5567" s="1">
        <v>45733</v>
      </c>
      <c r="C5567" t="s">
        <v>7157</v>
      </c>
      <c r="D5567" t="s">
        <v>4540</v>
      </c>
      <c r="E5567" t="s">
        <v>8654</v>
      </c>
      <c r="F5567" t="s">
        <v>6802</v>
      </c>
      <c r="H5567" t="s">
        <v>4541</v>
      </c>
      <c r="K5567">
        <v>66185</v>
      </c>
      <c r="L5567" t="s">
        <v>6803</v>
      </c>
    </row>
    <row r="5568" spans="1:12" x14ac:dyDescent="0.35">
      <c r="A5568" t="s">
        <v>3115</v>
      </c>
      <c r="B5568" s="1">
        <v>45733</v>
      </c>
      <c r="C5568" t="s">
        <v>7157</v>
      </c>
      <c r="D5568" t="s">
        <v>4540</v>
      </c>
      <c r="E5568" t="s">
        <v>8654</v>
      </c>
      <c r="F5568" t="s">
        <v>8537</v>
      </c>
      <c r="G5568" t="s">
        <v>8538</v>
      </c>
      <c r="H5568" t="s">
        <v>4541</v>
      </c>
      <c r="J5568">
        <v>66185</v>
      </c>
      <c r="L5568" t="s">
        <v>5880</v>
      </c>
    </row>
    <row r="5569" spans="1:12" x14ac:dyDescent="0.35">
      <c r="A5569" t="s">
        <v>3115</v>
      </c>
      <c r="B5569" s="1">
        <v>45733</v>
      </c>
      <c r="C5569" t="s">
        <v>7133</v>
      </c>
      <c r="D5569" t="s">
        <v>4542</v>
      </c>
      <c r="E5569" t="s">
        <v>9471</v>
      </c>
      <c r="F5569" t="s">
        <v>6802</v>
      </c>
      <c r="H5569" t="s">
        <v>4543</v>
      </c>
      <c r="K5569">
        <v>66185</v>
      </c>
      <c r="L5569" t="s">
        <v>6803</v>
      </c>
    </row>
    <row r="5570" spans="1:12" x14ac:dyDescent="0.35">
      <c r="A5570" t="s">
        <v>3115</v>
      </c>
      <c r="B5570" s="1">
        <v>45733</v>
      </c>
      <c r="C5570" t="s">
        <v>7133</v>
      </c>
      <c r="D5570" t="s">
        <v>4542</v>
      </c>
      <c r="E5570" t="s">
        <v>9471</v>
      </c>
      <c r="F5570" t="s">
        <v>8537</v>
      </c>
      <c r="G5570" t="s">
        <v>8538</v>
      </c>
      <c r="H5570" t="s">
        <v>4543</v>
      </c>
      <c r="J5570">
        <v>66185</v>
      </c>
      <c r="L5570" t="s">
        <v>5876</v>
      </c>
    </row>
    <row r="5571" spans="1:12" x14ac:dyDescent="0.35">
      <c r="A5571" t="s">
        <v>3115</v>
      </c>
      <c r="B5571" s="1">
        <v>45733</v>
      </c>
      <c r="C5571" t="s">
        <v>7134</v>
      </c>
      <c r="D5571" t="s">
        <v>4544</v>
      </c>
      <c r="E5571" t="s">
        <v>9472</v>
      </c>
      <c r="F5571" t="s">
        <v>6802</v>
      </c>
      <c r="H5571" t="s">
        <v>4545</v>
      </c>
      <c r="K5571">
        <v>3149</v>
      </c>
      <c r="L5571" t="s">
        <v>6803</v>
      </c>
    </row>
    <row r="5572" spans="1:12" x14ac:dyDescent="0.35">
      <c r="A5572" t="s">
        <v>3115</v>
      </c>
      <c r="B5572" s="1">
        <v>45733</v>
      </c>
      <c r="C5572" t="s">
        <v>7134</v>
      </c>
      <c r="D5572" t="s">
        <v>4544</v>
      </c>
      <c r="E5572" t="s">
        <v>9472</v>
      </c>
      <c r="F5572" t="s">
        <v>8537</v>
      </c>
      <c r="G5572" t="s">
        <v>8538</v>
      </c>
      <c r="H5572" t="s">
        <v>4545</v>
      </c>
      <c r="J5572">
        <v>3149</v>
      </c>
      <c r="L5572" t="s">
        <v>5966</v>
      </c>
    </row>
    <row r="5573" spans="1:12" x14ac:dyDescent="0.35">
      <c r="A5573" t="s">
        <v>3115</v>
      </c>
      <c r="B5573" s="1">
        <v>45733</v>
      </c>
      <c r="C5573" t="s">
        <v>7158</v>
      </c>
      <c r="D5573" t="s">
        <v>4546</v>
      </c>
      <c r="E5573" t="s">
        <v>9473</v>
      </c>
      <c r="F5573" t="s">
        <v>6802</v>
      </c>
      <c r="H5573" t="s">
        <v>4547</v>
      </c>
      <c r="K5573">
        <v>20391</v>
      </c>
      <c r="L5573" t="s">
        <v>6803</v>
      </c>
    </row>
    <row r="5574" spans="1:12" x14ac:dyDescent="0.35">
      <c r="A5574" t="s">
        <v>3115</v>
      </c>
      <c r="B5574" s="1">
        <v>45733</v>
      </c>
      <c r="C5574" t="s">
        <v>7158</v>
      </c>
      <c r="D5574" t="s">
        <v>4546</v>
      </c>
      <c r="E5574" t="s">
        <v>9473</v>
      </c>
      <c r="F5574" t="s">
        <v>8537</v>
      </c>
      <c r="G5574" t="s">
        <v>8538</v>
      </c>
      <c r="H5574" t="s">
        <v>4547</v>
      </c>
      <c r="J5574">
        <v>20391</v>
      </c>
      <c r="L5574" t="s">
        <v>5875</v>
      </c>
    </row>
    <row r="5575" spans="1:12" x14ac:dyDescent="0.35">
      <c r="A5575" t="s">
        <v>3115</v>
      </c>
      <c r="B5575" s="1">
        <v>45733</v>
      </c>
      <c r="C5575" t="s">
        <v>7159</v>
      </c>
      <c r="D5575" t="s">
        <v>4548</v>
      </c>
      <c r="E5575" t="s">
        <v>9474</v>
      </c>
      <c r="F5575" t="s">
        <v>6802</v>
      </c>
      <c r="H5575" t="s">
        <v>4549</v>
      </c>
      <c r="K5575">
        <v>20391</v>
      </c>
      <c r="L5575" t="s">
        <v>6803</v>
      </c>
    </row>
    <row r="5576" spans="1:12" x14ac:dyDescent="0.35">
      <c r="A5576" t="s">
        <v>3115</v>
      </c>
      <c r="B5576" s="1">
        <v>45733</v>
      </c>
      <c r="C5576" t="s">
        <v>7159</v>
      </c>
      <c r="D5576" t="s">
        <v>4548</v>
      </c>
      <c r="E5576" t="s">
        <v>9474</v>
      </c>
      <c r="F5576" t="s">
        <v>8537</v>
      </c>
      <c r="G5576" t="s">
        <v>8538</v>
      </c>
      <c r="H5576" t="s">
        <v>4549</v>
      </c>
      <c r="J5576">
        <v>20391</v>
      </c>
      <c r="L5576" t="s">
        <v>5875</v>
      </c>
    </row>
    <row r="5577" spans="1:12" x14ac:dyDescent="0.35">
      <c r="A5577" t="s">
        <v>3115</v>
      </c>
      <c r="B5577" s="1">
        <v>45733</v>
      </c>
      <c r="C5577" t="s">
        <v>7160</v>
      </c>
      <c r="D5577" t="s">
        <v>4550</v>
      </c>
      <c r="E5577" t="s">
        <v>9475</v>
      </c>
      <c r="F5577" t="s">
        <v>6802</v>
      </c>
      <c r="H5577" t="s">
        <v>4551</v>
      </c>
      <c r="K5577">
        <v>61173</v>
      </c>
      <c r="L5577" t="s">
        <v>6803</v>
      </c>
    </row>
    <row r="5578" spans="1:12" x14ac:dyDescent="0.35">
      <c r="A5578" t="s">
        <v>3115</v>
      </c>
      <c r="B5578" s="1">
        <v>45733</v>
      </c>
      <c r="C5578" t="s">
        <v>7160</v>
      </c>
      <c r="D5578" t="s">
        <v>4550</v>
      </c>
      <c r="E5578" t="s">
        <v>9475</v>
      </c>
      <c r="F5578" t="s">
        <v>8537</v>
      </c>
      <c r="G5578" t="s">
        <v>8538</v>
      </c>
      <c r="H5578" t="s">
        <v>4551</v>
      </c>
      <c r="J5578">
        <v>61173</v>
      </c>
      <c r="L5578" t="s">
        <v>5875</v>
      </c>
    </row>
    <row r="5579" spans="1:12" x14ac:dyDescent="0.35">
      <c r="A5579" t="s">
        <v>3115</v>
      </c>
      <c r="B5579" s="1">
        <v>45733</v>
      </c>
      <c r="C5579" t="s">
        <v>7161</v>
      </c>
      <c r="D5579" t="s">
        <v>4552</v>
      </c>
      <c r="E5579" t="s">
        <v>9476</v>
      </c>
      <c r="F5579" t="s">
        <v>6802</v>
      </c>
      <c r="H5579" t="s">
        <v>4553</v>
      </c>
      <c r="K5579">
        <v>61173</v>
      </c>
      <c r="L5579" t="s">
        <v>6803</v>
      </c>
    </row>
    <row r="5580" spans="1:12" x14ac:dyDescent="0.35">
      <c r="A5580" t="s">
        <v>3115</v>
      </c>
      <c r="B5580" s="1">
        <v>45733</v>
      </c>
      <c r="C5580" t="s">
        <v>7161</v>
      </c>
      <c r="D5580" t="s">
        <v>4552</v>
      </c>
      <c r="E5580" t="s">
        <v>9476</v>
      </c>
      <c r="F5580" t="s">
        <v>8537</v>
      </c>
      <c r="G5580" t="s">
        <v>8538</v>
      </c>
      <c r="H5580" t="s">
        <v>4553</v>
      </c>
      <c r="J5580">
        <v>61173</v>
      </c>
      <c r="L5580" t="s">
        <v>5876</v>
      </c>
    </row>
    <row r="5581" spans="1:12" x14ac:dyDescent="0.35">
      <c r="A5581" t="s">
        <v>3115</v>
      </c>
      <c r="B5581" s="1">
        <v>45733</v>
      </c>
      <c r="C5581" t="s">
        <v>7162</v>
      </c>
      <c r="D5581" t="s">
        <v>4554</v>
      </c>
      <c r="E5581" t="s">
        <v>9477</v>
      </c>
      <c r="F5581" t="s">
        <v>6802</v>
      </c>
      <c r="H5581" t="s">
        <v>4555</v>
      </c>
      <c r="K5581">
        <v>20391</v>
      </c>
      <c r="L5581" t="s">
        <v>6803</v>
      </c>
    </row>
    <row r="5582" spans="1:12" x14ac:dyDescent="0.35">
      <c r="A5582" t="s">
        <v>3115</v>
      </c>
      <c r="B5582" s="1">
        <v>45733</v>
      </c>
      <c r="C5582" t="s">
        <v>7162</v>
      </c>
      <c r="D5582" t="s">
        <v>4554</v>
      </c>
      <c r="E5582" t="s">
        <v>9477</v>
      </c>
      <c r="F5582" t="s">
        <v>8537</v>
      </c>
      <c r="G5582" t="s">
        <v>8538</v>
      </c>
      <c r="H5582" t="s">
        <v>4555</v>
      </c>
      <c r="J5582">
        <v>20391</v>
      </c>
      <c r="L5582" t="s">
        <v>5876</v>
      </c>
    </row>
    <row r="5583" spans="1:12" x14ac:dyDescent="0.35">
      <c r="A5583" t="s">
        <v>3115</v>
      </c>
      <c r="B5583" s="1">
        <v>45733</v>
      </c>
      <c r="C5583" t="s">
        <v>7163</v>
      </c>
      <c r="D5583" t="s">
        <v>4556</v>
      </c>
      <c r="E5583" t="s">
        <v>9478</v>
      </c>
      <c r="F5583" t="s">
        <v>6802</v>
      </c>
      <c r="H5583" t="s">
        <v>4557</v>
      </c>
      <c r="K5583">
        <v>40782</v>
      </c>
      <c r="L5583" t="s">
        <v>6803</v>
      </c>
    </row>
    <row r="5584" spans="1:12" x14ac:dyDescent="0.35">
      <c r="A5584" t="s">
        <v>3115</v>
      </c>
      <c r="B5584" s="1">
        <v>45733</v>
      </c>
      <c r="C5584" t="s">
        <v>7163</v>
      </c>
      <c r="D5584" t="s">
        <v>4556</v>
      </c>
      <c r="E5584" t="s">
        <v>9478</v>
      </c>
      <c r="F5584" t="s">
        <v>8537</v>
      </c>
      <c r="G5584" t="s">
        <v>8538</v>
      </c>
      <c r="H5584" t="s">
        <v>4557</v>
      </c>
      <c r="J5584">
        <v>40782</v>
      </c>
      <c r="L5584" t="s">
        <v>5876</v>
      </c>
    </row>
    <row r="5585" spans="1:12" x14ac:dyDescent="0.35">
      <c r="A5585" t="s">
        <v>3115</v>
      </c>
      <c r="B5585" s="1">
        <v>45733</v>
      </c>
      <c r="C5585" t="s">
        <v>7164</v>
      </c>
      <c r="D5585" t="s">
        <v>4558</v>
      </c>
      <c r="E5585" t="s">
        <v>9479</v>
      </c>
      <c r="F5585" t="s">
        <v>6802</v>
      </c>
      <c r="H5585" t="s">
        <v>4559</v>
      </c>
      <c r="K5585">
        <v>145250</v>
      </c>
      <c r="L5585" t="s">
        <v>6803</v>
      </c>
    </row>
    <row r="5586" spans="1:12" x14ac:dyDescent="0.35">
      <c r="A5586" t="s">
        <v>3115</v>
      </c>
      <c r="B5586" s="1">
        <v>45733</v>
      </c>
      <c r="C5586" t="s">
        <v>7164</v>
      </c>
      <c r="D5586" t="s">
        <v>4558</v>
      </c>
      <c r="E5586" t="s">
        <v>9479</v>
      </c>
      <c r="F5586" t="s">
        <v>8537</v>
      </c>
      <c r="G5586" t="s">
        <v>8538</v>
      </c>
      <c r="H5586" t="s">
        <v>4559</v>
      </c>
      <c r="J5586">
        <v>145250</v>
      </c>
      <c r="L5586" t="s">
        <v>5874</v>
      </c>
    </row>
    <row r="5587" spans="1:12" x14ac:dyDescent="0.35">
      <c r="A5587" t="s">
        <v>3115</v>
      </c>
      <c r="B5587" s="1">
        <v>45733</v>
      </c>
      <c r="C5587" t="s">
        <v>7165</v>
      </c>
      <c r="D5587" t="s">
        <v>4560</v>
      </c>
      <c r="E5587" t="s">
        <v>9480</v>
      </c>
      <c r="F5587" t="s">
        <v>6802</v>
      </c>
      <c r="H5587" t="s">
        <v>4561</v>
      </c>
      <c r="K5587">
        <v>262</v>
      </c>
      <c r="L5587" t="s">
        <v>6803</v>
      </c>
    </row>
    <row r="5588" spans="1:12" x14ac:dyDescent="0.35">
      <c r="A5588" t="s">
        <v>3115</v>
      </c>
      <c r="B5588" s="1">
        <v>45733</v>
      </c>
      <c r="C5588" t="s">
        <v>7165</v>
      </c>
      <c r="D5588" t="s">
        <v>4560</v>
      </c>
      <c r="E5588" t="s">
        <v>9480</v>
      </c>
      <c r="F5588" t="s">
        <v>8537</v>
      </c>
      <c r="G5588" t="s">
        <v>8538</v>
      </c>
      <c r="H5588" t="s">
        <v>4561</v>
      </c>
      <c r="J5588">
        <v>262</v>
      </c>
      <c r="L5588" t="s">
        <v>5966</v>
      </c>
    </row>
    <row r="5589" spans="1:12" x14ac:dyDescent="0.35">
      <c r="A5589" t="s">
        <v>3115</v>
      </c>
      <c r="B5589" s="1">
        <v>45734</v>
      </c>
      <c r="C5589" t="s">
        <v>8011</v>
      </c>
      <c r="D5589" t="s">
        <v>4562</v>
      </c>
      <c r="E5589" t="s">
        <v>9481</v>
      </c>
      <c r="F5589" t="s">
        <v>6811</v>
      </c>
      <c r="H5589" t="s">
        <v>4563</v>
      </c>
      <c r="K5589">
        <v>918</v>
      </c>
      <c r="L5589" t="s">
        <v>6803</v>
      </c>
    </row>
    <row r="5590" spans="1:12" x14ac:dyDescent="0.35">
      <c r="A5590" t="s">
        <v>3115</v>
      </c>
      <c r="B5590" s="1">
        <v>45734</v>
      </c>
      <c r="C5590" t="s">
        <v>8011</v>
      </c>
      <c r="D5590" t="s">
        <v>4562</v>
      </c>
      <c r="E5590" t="s">
        <v>9481</v>
      </c>
      <c r="F5590" t="s">
        <v>6802</v>
      </c>
      <c r="H5590" t="s">
        <v>4563</v>
      </c>
      <c r="K5590">
        <v>525</v>
      </c>
      <c r="L5590" t="s">
        <v>6803</v>
      </c>
    </row>
    <row r="5591" spans="1:12" x14ac:dyDescent="0.35">
      <c r="A5591" t="s">
        <v>3115</v>
      </c>
      <c r="B5591" s="1">
        <v>45734</v>
      </c>
      <c r="C5591" t="s">
        <v>8011</v>
      </c>
      <c r="D5591" t="s">
        <v>4562</v>
      </c>
      <c r="E5591" t="s">
        <v>9481</v>
      </c>
      <c r="F5591" t="s">
        <v>8537</v>
      </c>
      <c r="G5591" t="s">
        <v>8538</v>
      </c>
      <c r="H5591" t="s">
        <v>4563</v>
      </c>
      <c r="J5591">
        <v>1443</v>
      </c>
      <c r="L5591" t="s">
        <v>5958</v>
      </c>
    </row>
    <row r="5592" spans="1:12" x14ac:dyDescent="0.35">
      <c r="A5592" t="s">
        <v>3115</v>
      </c>
      <c r="B5592" s="1">
        <v>45734</v>
      </c>
      <c r="C5592" t="s">
        <v>8012</v>
      </c>
      <c r="D5592" t="s">
        <v>4564</v>
      </c>
      <c r="E5592" t="s">
        <v>9482</v>
      </c>
      <c r="F5592" t="s">
        <v>6802</v>
      </c>
      <c r="H5592" t="s">
        <v>4565</v>
      </c>
      <c r="K5592">
        <v>29977</v>
      </c>
      <c r="L5592" t="s">
        <v>6803</v>
      </c>
    </row>
    <row r="5593" spans="1:12" x14ac:dyDescent="0.35">
      <c r="A5593" t="s">
        <v>3115</v>
      </c>
      <c r="B5593" s="1">
        <v>45734</v>
      </c>
      <c r="C5593" t="s">
        <v>8012</v>
      </c>
      <c r="D5593" t="s">
        <v>4564</v>
      </c>
      <c r="E5593" t="s">
        <v>9482</v>
      </c>
      <c r="F5593" t="s">
        <v>8537</v>
      </c>
      <c r="G5593" t="s">
        <v>8538</v>
      </c>
      <c r="H5593" t="s">
        <v>4565</v>
      </c>
      <c r="J5593">
        <v>29977</v>
      </c>
      <c r="L5593" t="s">
        <v>5958</v>
      </c>
    </row>
    <row r="5594" spans="1:12" x14ac:dyDescent="0.35">
      <c r="A5594" t="s">
        <v>3115</v>
      </c>
      <c r="B5594" s="1">
        <v>45734</v>
      </c>
      <c r="C5594" t="s">
        <v>8013</v>
      </c>
      <c r="D5594" t="s">
        <v>4566</v>
      </c>
      <c r="E5594" t="s">
        <v>9483</v>
      </c>
      <c r="F5594" t="s">
        <v>6802</v>
      </c>
      <c r="H5594" t="s">
        <v>4567</v>
      </c>
      <c r="K5594">
        <v>77082</v>
      </c>
      <c r="L5594" t="s">
        <v>6803</v>
      </c>
    </row>
    <row r="5595" spans="1:12" x14ac:dyDescent="0.35">
      <c r="A5595" t="s">
        <v>3115</v>
      </c>
      <c r="B5595" s="1">
        <v>45734</v>
      </c>
      <c r="C5595" t="s">
        <v>8013</v>
      </c>
      <c r="D5595" t="s">
        <v>4566</v>
      </c>
      <c r="E5595" t="s">
        <v>9483</v>
      </c>
      <c r="F5595" t="s">
        <v>8557</v>
      </c>
      <c r="G5595" t="s">
        <v>8558</v>
      </c>
      <c r="H5595" t="s">
        <v>4567</v>
      </c>
      <c r="J5595">
        <v>77082</v>
      </c>
      <c r="L5595" t="s">
        <v>5875</v>
      </c>
    </row>
    <row r="5596" spans="1:12" x14ac:dyDescent="0.35">
      <c r="A5596" t="s">
        <v>3115</v>
      </c>
      <c r="B5596" s="1">
        <v>45734</v>
      </c>
      <c r="C5596" t="s">
        <v>8014</v>
      </c>
      <c r="D5596" t="s">
        <v>4568</v>
      </c>
      <c r="E5596" t="s">
        <v>9484</v>
      </c>
      <c r="F5596" t="s">
        <v>6802</v>
      </c>
      <c r="H5596" t="s">
        <v>4569</v>
      </c>
      <c r="K5596">
        <v>52730</v>
      </c>
      <c r="L5596" t="s">
        <v>6803</v>
      </c>
    </row>
    <row r="5597" spans="1:12" x14ac:dyDescent="0.35">
      <c r="A5597" t="s">
        <v>3115</v>
      </c>
      <c r="B5597" s="1">
        <v>45734</v>
      </c>
      <c r="C5597" t="s">
        <v>8014</v>
      </c>
      <c r="D5597" t="s">
        <v>4568</v>
      </c>
      <c r="E5597" t="s">
        <v>9484</v>
      </c>
      <c r="F5597" t="s">
        <v>8557</v>
      </c>
      <c r="G5597" t="s">
        <v>8558</v>
      </c>
      <c r="H5597" t="s">
        <v>4569</v>
      </c>
      <c r="J5597">
        <v>52730</v>
      </c>
      <c r="L5597" t="s">
        <v>5874</v>
      </c>
    </row>
    <row r="5598" spans="1:12" x14ac:dyDescent="0.35">
      <c r="A5598" t="s">
        <v>3115</v>
      </c>
      <c r="B5598" s="1">
        <v>45734</v>
      </c>
      <c r="C5598" t="s">
        <v>8015</v>
      </c>
      <c r="D5598" t="s">
        <v>4570</v>
      </c>
      <c r="E5598" t="s">
        <v>9485</v>
      </c>
      <c r="F5598" t="s">
        <v>6811</v>
      </c>
      <c r="H5598" t="s">
        <v>4571</v>
      </c>
      <c r="K5598">
        <v>196</v>
      </c>
      <c r="L5598" t="s">
        <v>6803</v>
      </c>
    </row>
    <row r="5599" spans="1:12" x14ac:dyDescent="0.35">
      <c r="A5599" t="s">
        <v>3115</v>
      </c>
      <c r="B5599" s="1">
        <v>45734</v>
      </c>
      <c r="C5599" t="s">
        <v>8015</v>
      </c>
      <c r="D5599" t="s">
        <v>4570</v>
      </c>
      <c r="E5599" t="s">
        <v>9485</v>
      </c>
      <c r="F5599" t="s">
        <v>6802</v>
      </c>
      <c r="H5599" t="s">
        <v>4571</v>
      </c>
      <c r="K5599">
        <v>5012</v>
      </c>
      <c r="L5599" t="s">
        <v>6803</v>
      </c>
    </row>
    <row r="5600" spans="1:12" x14ac:dyDescent="0.35">
      <c r="A5600" t="s">
        <v>3115</v>
      </c>
      <c r="B5600" s="1">
        <v>45734</v>
      </c>
      <c r="C5600" t="s">
        <v>8015</v>
      </c>
      <c r="D5600" t="s">
        <v>4570</v>
      </c>
      <c r="E5600" t="s">
        <v>9485</v>
      </c>
      <c r="F5600" t="s">
        <v>8557</v>
      </c>
      <c r="G5600" t="s">
        <v>8558</v>
      </c>
      <c r="H5600" t="s">
        <v>4571</v>
      </c>
      <c r="J5600">
        <v>5208</v>
      </c>
      <c r="L5600" t="s">
        <v>5881</v>
      </c>
    </row>
    <row r="5601" spans="1:12" x14ac:dyDescent="0.35">
      <c r="A5601" t="s">
        <v>3115</v>
      </c>
      <c r="B5601" s="1">
        <v>45734</v>
      </c>
      <c r="C5601" t="s">
        <v>8016</v>
      </c>
      <c r="D5601" t="s">
        <v>4572</v>
      </c>
      <c r="E5601" t="s">
        <v>9486</v>
      </c>
      <c r="F5601" t="s">
        <v>6802</v>
      </c>
      <c r="H5601" t="s">
        <v>4573</v>
      </c>
      <c r="K5601">
        <v>181701</v>
      </c>
      <c r="L5601" t="s">
        <v>6803</v>
      </c>
    </row>
    <row r="5602" spans="1:12" x14ac:dyDescent="0.35">
      <c r="A5602" t="s">
        <v>3115</v>
      </c>
      <c r="B5602" s="1">
        <v>45734</v>
      </c>
      <c r="C5602" t="s">
        <v>8016</v>
      </c>
      <c r="D5602" t="s">
        <v>4572</v>
      </c>
      <c r="E5602" t="s">
        <v>9486</v>
      </c>
      <c r="F5602" t="s">
        <v>8537</v>
      </c>
      <c r="G5602" t="s">
        <v>8538</v>
      </c>
      <c r="H5602" t="s">
        <v>4573</v>
      </c>
      <c r="J5602">
        <v>181701</v>
      </c>
      <c r="L5602" t="s">
        <v>5875</v>
      </c>
    </row>
    <row r="5603" spans="1:12" x14ac:dyDescent="0.35">
      <c r="A5603" t="s">
        <v>3115</v>
      </c>
      <c r="B5603" s="1">
        <v>45734</v>
      </c>
      <c r="C5603" t="s">
        <v>8017</v>
      </c>
      <c r="D5603" t="s">
        <v>4574</v>
      </c>
      <c r="E5603" t="s">
        <v>9487</v>
      </c>
      <c r="F5603" t="s">
        <v>6915</v>
      </c>
      <c r="H5603" t="s">
        <v>4575</v>
      </c>
      <c r="K5603">
        <v>162121</v>
      </c>
      <c r="L5603" t="s">
        <v>6803</v>
      </c>
    </row>
    <row r="5604" spans="1:12" x14ac:dyDescent="0.35">
      <c r="A5604" t="s">
        <v>3115</v>
      </c>
      <c r="B5604" s="1">
        <v>45734</v>
      </c>
      <c r="C5604" t="s">
        <v>8017</v>
      </c>
      <c r="D5604" t="s">
        <v>4574</v>
      </c>
      <c r="E5604" t="s">
        <v>9487</v>
      </c>
      <c r="F5604" t="s">
        <v>8569</v>
      </c>
      <c r="G5604" t="s">
        <v>8570</v>
      </c>
      <c r="H5604" t="s">
        <v>4575</v>
      </c>
      <c r="J5604">
        <v>162121</v>
      </c>
      <c r="L5604" t="s">
        <v>5875</v>
      </c>
    </row>
    <row r="5605" spans="1:12" x14ac:dyDescent="0.35">
      <c r="A5605" t="s">
        <v>3115</v>
      </c>
      <c r="B5605" s="1">
        <v>45734</v>
      </c>
      <c r="C5605" t="s">
        <v>8018</v>
      </c>
      <c r="D5605" t="s">
        <v>4576</v>
      </c>
      <c r="E5605" t="s">
        <v>9488</v>
      </c>
      <c r="F5605" t="s">
        <v>6802</v>
      </c>
      <c r="H5605" t="s">
        <v>4577</v>
      </c>
      <c r="K5605">
        <v>3477</v>
      </c>
      <c r="L5605" t="s">
        <v>6803</v>
      </c>
    </row>
    <row r="5606" spans="1:12" x14ac:dyDescent="0.35">
      <c r="A5606" t="s">
        <v>3115</v>
      </c>
      <c r="B5606" s="1">
        <v>45734</v>
      </c>
      <c r="C5606" t="s">
        <v>8018</v>
      </c>
      <c r="D5606" t="s">
        <v>4576</v>
      </c>
      <c r="E5606" t="s">
        <v>9488</v>
      </c>
      <c r="F5606" t="s">
        <v>8537</v>
      </c>
      <c r="G5606" t="s">
        <v>8538</v>
      </c>
      <c r="H5606" t="s">
        <v>4577</v>
      </c>
      <c r="J5606">
        <v>3477</v>
      </c>
      <c r="L5606" t="s">
        <v>5876</v>
      </c>
    </row>
    <row r="5607" spans="1:12" x14ac:dyDescent="0.35">
      <c r="A5607" t="s">
        <v>3115</v>
      </c>
      <c r="B5607" s="1">
        <v>45734</v>
      </c>
      <c r="C5607" t="s">
        <v>8019</v>
      </c>
      <c r="D5607" t="s">
        <v>4578</v>
      </c>
      <c r="E5607" t="s">
        <v>9489</v>
      </c>
      <c r="F5607" t="s">
        <v>6811</v>
      </c>
      <c r="H5607" t="s">
        <v>4579</v>
      </c>
      <c r="K5607">
        <v>1350</v>
      </c>
      <c r="L5607" t="s">
        <v>6803</v>
      </c>
    </row>
    <row r="5608" spans="1:12" x14ac:dyDescent="0.35">
      <c r="A5608" t="s">
        <v>3115</v>
      </c>
      <c r="B5608" s="1">
        <v>45734</v>
      </c>
      <c r="C5608" t="s">
        <v>8019</v>
      </c>
      <c r="D5608" t="s">
        <v>4578</v>
      </c>
      <c r="E5608" t="s">
        <v>9489</v>
      </c>
      <c r="F5608" t="s">
        <v>8557</v>
      </c>
      <c r="G5608" t="s">
        <v>8558</v>
      </c>
      <c r="H5608" t="s">
        <v>4579</v>
      </c>
      <c r="J5608">
        <v>1350</v>
      </c>
      <c r="L5608" t="s">
        <v>5949</v>
      </c>
    </row>
    <row r="5609" spans="1:12" x14ac:dyDescent="0.35">
      <c r="A5609" t="s">
        <v>3115</v>
      </c>
      <c r="B5609" s="1">
        <v>45734</v>
      </c>
      <c r="C5609" t="s">
        <v>8020</v>
      </c>
      <c r="D5609" t="s">
        <v>4580</v>
      </c>
      <c r="E5609" t="s">
        <v>9490</v>
      </c>
      <c r="F5609" t="s">
        <v>6811</v>
      </c>
      <c r="H5609" t="s">
        <v>4581</v>
      </c>
      <c r="K5609">
        <v>1312</v>
      </c>
      <c r="L5609" t="s">
        <v>6803</v>
      </c>
    </row>
    <row r="5610" spans="1:12" x14ac:dyDescent="0.35">
      <c r="A5610" t="s">
        <v>3115</v>
      </c>
      <c r="B5610" s="1">
        <v>45734</v>
      </c>
      <c r="C5610" t="s">
        <v>8020</v>
      </c>
      <c r="D5610" t="s">
        <v>4580</v>
      </c>
      <c r="E5610" t="s">
        <v>9490</v>
      </c>
      <c r="F5610" t="s">
        <v>6802</v>
      </c>
      <c r="H5610" t="s">
        <v>4581</v>
      </c>
      <c r="K5610">
        <v>5117</v>
      </c>
      <c r="L5610" t="s">
        <v>6803</v>
      </c>
    </row>
    <row r="5611" spans="1:12" x14ac:dyDescent="0.35">
      <c r="A5611" t="s">
        <v>3115</v>
      </c>
      <c r="B5611" s="1">
        <v>45734</v>
      </c>
      <c r="C5611" t="s">
        <v>8020</v>
      </c>
      <c r="D5611" t="s">
        <v>4580</v>
      </c>
      <c r="E5611" t="s">
        <v>9490</v>
      </c>
      <c r="F5611" t="s">
        <v>8537</v>
      </c>
      <c r="G5611" t="s">
        <v>8538</v>
      </c>
      <c r="H5611" t="s">
        <v>4581</v>
      </c>
      <c r="J5611">
        <v>6429</v>
      </c>
      <c r="L5611" t="s">
        <v>5946</v>
      </c>
    </row>
    <row r="5612" spans="1:12" x14ac:dyDescent="0.35">
      <c r="A5612" t="s">
        <v>3115</v>
      </c>
      <c r="B5612" s="1">
        <v>45734</v>
      </c>
      <c r="C5612" t="s">
        <v>8021</v>
      </c>
      <c r="D5612" t="s">
        <v>4582</v>
      </c>
      <c r="E5612" t="s">
        <v>9491</v>
      </c>
      <c r="F5612" t="s">
        <v>6802</v>
      </c>
      <c r="H5612" t="s">
        <v>4583</v>
      </c>
      <c r="K5612">
        <v>2165</v>
      </c>
      <c r="L5612" t="s">
        <v>6803</v>
      </c>
    </row>
    <row r="5613" spans="1:12" x14ac:dyDescent="0.35">
      <c r="A5613" t="s">
        <v>3115</v>
      </c>
      <c r="B5613" s="1">
        <v>45734</v>
      </c>
      <c r="C5613" t="s">
        <v>8021</v>
      </c>
      <c r="D5613" t="s">
        <v>4582</v>
      </c>
      <c r="E5613" t="s">
        <v>9491</v>
      </c>
      <c r="F5613" t="s">
        <v>8537</v>
      </c>
      <c r="G5613" t="s">
        <v>8538</v>
      </c>
      <c r="H5613" t="s">
        <v>4583</v>
      </c>
      <c r="J5613">
        <v>2165</v>
      </c>
      <c r="L5613" t="s">
        <v>5875</v>
      </c>
    </row>
    <row r="5614" spans="1:12" x14ac:dyDescent="0.35">
      <c r="A5614" t="s">
        <v>3115</v>
      </c>
      <c r="B5614" s="1">
        <v>45734</v>
      </c>
      <c r="C5614" t="s">
        <v>8022</v>
      </c>
      <c r="D5614" t="s">
        <v>4584</v>
      </c>
      <c r="E5614" t="s">
        <v>9492</v>
      </c>
      <c r="F5614" t="s">
        <v>6811</v>
      </c>
      <c r="H5614" t="s">
        <v>4585</v>
      </c>
      <c r="K5614">
        <v>1346</v>
      </c>
      <c r="L5614" t="s">
        <v>6803</v>
      </c>
    </row>
    <row r="5615" spans="1:12" x14ac:dyDescent="0.35">
      <c r="A5615" t="s">
        <v>3115</v>
      </c>
      <c r="B5615" s="1">
        <v>45734</v>
      </c>
      <c r="C5615" t="s">
        <v>8022</v>
      </c>
      <c r="D5615" t="s">
        <v>4584</v>
      </c>
      <c r="E5615" t="s">
        <v>9492</v>
      </c>
      <c r="F5615" t="s">
        <v>8557</v>
      </c>
      <c r="G5615" t="s">
        <v>8558</v>
      </c>
      <c r="H5615" t="s">
        <v>4585</v>
      </c>
      <c r="J5615">
        <v>1346</v>
      </c>
      <c r="L5615" t="s">
        <v>5880</v>
      </c>
    </row>
    <row r="5616" spans="1:12" x14ac:dyDescent="0.35">
      <c r="A5616" t="s">
        <v>3115</v>
      </c>
      <c r="B5616" s="1">
        <v>45734</v>
      </c>
      <c r="C5616" t="s">
        <v>8023</v>
      </c>
      <c r="D5616" t="s">
        <v>4586</v>
      </c>
      <c r="E5616" t="s">
        <v>9493</v>
      </c>
      <c r="F5616" t="s">
        <v>6811</v>
      </c>
      <c r="H5616" t="s">
        <v>4587</v>
      </c>
      <c r="K5616">
        <v>294</v>
      </c>
      <c r="L5616" t="s">
        <v>6803</v>
      </c>
    </row>
    <row r="5617" spans="1:12" x14ac:dyDescent="0.35">
      <c r="A5617" t="s">
        <v>3115</v>
      </c>
      <c r="B5617" s="1">
        <v>45734</v>
      </c>
      <c r="C5617" t="s">
        <v>8023</v>
      </c>
      <c r="D5617" t="s">
        <v>4586</v>
      </c>
      <c r="E5617" t="s">
        <v>9493</v>
      </c>
      <c r="F5617" t="s">
        <v>6802</v>
      </c>
      <c r="H5617" t="s">
        <v>4587</v>
      </c>
      <c r="K5617">
        <v>800</v>
      </c>
      <c r="L5617" t="s">
        <v>6803</v>
      </c>
    </row>
    <row r="5618" spans="1:12" x14ac:dyDescent="0.35">
      <c r="A5618" t="s">
        <v>3115</v>
      </c>
      <c r="B5618" s="1">
        <v>45734</v>
      </c>
      <c r="C5618" t="s">
        <v>8023</v>
      </c>
      <c r="D5618" t="s">
        <v>4586</v>
      </c>
      <c r="E5618" t="s">
        <v>9493</v>
      </c>
      <c r="F5618" t="s">
        <v>8557</v>
      </c>
      <c r="G5618" t="s">
        <v>8558</v>
      </c>
      <c r="H5618" t="s">
        <v>4587</v>
      </c>
      <c r="J5618">
        <v>1094</v>
      </c>
      <c r="L5618" t="s">
        <v>5874</v>
      </c>
    </row>
    <row r="5619" spans="1:12" x14ac:dyDescent="0.35">
      <c r="A5619" t="s">
        <v>3115</v>
      </c>
      <c r="B5619" s="1">
        <v>45734</v>
      </c>
      <c r="C5619" t="s">
        <v>8024</v>
      </c>
      <c r="D5619" t="s">
        <v>4588</v>
      </c>
      <c r="E5619" t="s">
        <v>9494</v>
      </c>
      <c r="F5619" t="s">
        <v>6808</v>
      </c>
      <c r="H5619" t="s">
        <v>4589</v>
      </c>
      <c r="K5619">
        <v>3298</v>
      </c>
      <c r="L5619" t="s">
        <v>6803</v>
      </c>
    </row>
    <row r="5620" spans="1:12" x14ac:dyDescent="0.35">
      <c r="A5620" t="s">
        <v>3115</v>
      </c>
      <c r="B5620" s="1">
        <v>45734</v>
      </c>
      <c r="C5620" t="s">
        <v>8024</v>
      </c>
      <c r="D5620" t="s">
        <v>4588</v>
      </c>
      <c r="E5620" t="s">
        <v>9494</v>
      </c>
      <c r="F5620" t="s">
        <v>6802</v>
      </c>
      <c r="H5620" t="s">
        <v>4589</v>
      </c>
      <c r="K5620">
        <v>6356</v>
      </c>
      <c r="L5620" t="s">
        <v>6803</v>
      </c>
    </row>
    <row r="5621" spans="1:12" x14ac:dyDescent="0.35">
      <c r="A5621" t="s">
        <v>3115</v>
      </c>
      <c r="B5621" s="1">
        <v>45734</v>
      </c>
      <c r="C5621" t="s">
        <v>8024</v>
      </c>
      <c r="D5621" t="s">
        <v>4588</v>
      </c>
      <c r="E5621" t="s">
        <v>9494</v>
      </c>
      <c r="F5621" t="s">
        <v>8467</v>
      </c>
      <c r="G5621" t="s">
        <v>8567</v>
      </c>
      <c r="H5621" t="s">
        <v>4589</v>
      </c>
      <c r="J5621">
        <v>9654</v>
      </c>
      <c r="L5621" t="s">
        <v>5876</v>
      </c>
    </row>
    <row r="5622" spans="1:12" x14ac:dyDescent="0.35">
      <c r="A5622" t="s">
        <v>3115</v>
      </c>
      <c r="B5622" s="1">
        <v>45734</v>
      </c>
      <c r="C5622" t="s">
        <v>8025</v>
      </c>
      <c r="D5622" t="s">
        <v>4590</v>
      </c>
      <c r="E5622" t="s">
        <v>9495</v>
      </c>
      <c r="F5622" t="s">
        <v>6808</v>
      </c>
      <c r="H5622" t="s">
        <v>4591</v>
      </c>
      <c r="K5622">
        <v>3298</v>
      </c>
      <c r="L5622" t="s">
        <v>6803</v>
      </c>
    </row>
    <row r="5623" spans="1:12" x14ac:dyDescent="0.35">
      <c r="A5623" t="s">
        <v>3115</v>
      </c>
      <c r="B5623" s="1">
        <v>45734</v>
      </c>
      <c r="C5623" t="s">
        <v>8025</v>
      </c>
      <c r="D5623" t="s">
        <v>4590</v>
      </c>
      <c r="E5623" t="s">
        <v>9495</v>
      </c>
      <c r="F5623" t="s">
        <v>6802</v>
      </c>
      <c r="H5623" t="s">
        <v>4591</v>
      </c>
      <c r="K5623">
        <v>3178</v>
      </c>
      <c r="L5623" t="s">
        <v>6803</v>
      </c>
    </row>
    <row r="5624" spans="1:12" x14ac:dyDescent="0.35">
      <c r="A5624" t="s">
        <v>3115</v>
      </c>
      <c r="B5624" s="1">
        <v>45734</v>
      </c>
      <c r="C5624" t="s">
        <v>8025</v>
      </c>
      <c r="D5624" t="s">
        <v>4590</v>
      </c>
      <c r="E5624" t="s">
        <v>9495</v>
      </c>
      <c r="F5624" t="s">
        <v>8467</v>
      </c>
      <c r="G5624" t="s">
        <v>8567</v>
      </c>
      <c r="H5624" t="s">
        <v>4591</v>
      </c>
      <c r="J5624">
        <v>6476</v>
      </c>
      <c r="L5624" t="s">
        <v>5876</v>
      </c>
    </row>
    <row r="5625" spans="1:12" x14ac:dyDescent="0.35">
      <c r="A5625" t="s">
        <v>3115</v>
      </c>
      <c r="B5625" s="1">
        <v>45734</v>
      </c>
      <c r="C5625" t="s">
        <v>8026</v>
      </c>
      <c r="D5625" t="s">
        <v>4592</v>
      </c>
      <c r="E5625" t="s">
        <v>9496</v>
      </c>
      <c r="F5625" t="s">
        <v>6808</v>
      </c>
      <c r="H5625" t="s">
        <v>4593</v>
      </c>
      <c r="K5625">
        <v>33600</v>
      </c>
      <c r="L5625" t="s">
        <v>6803</v>
      </c>
    </row>
    <row r="5626" spans="1:12" x14ac:dyDescent="0.35">
      <c r="A5626" t="s">
        <v>3115</v>
      </c>
      <c r="B5626" s="1">
        <v>45734</v>
      </c>
      <c r="C5626" t="s">
        <v>8026</v>
      </c>
      <c r="D5626" t="s">
        <v>4592</v>
      </c>
      <c r="E5626" t="s">
        <v>9496</v>
      </c>
      <c r="F5626" t="s">
        <v>6811</v>
      </c>
      <c r="H5626" t="s">
        <v>4593</v>
      </c>
      <c r="K5626">
        <v>3000</v>
      </c>
      <c r="L5626" t="s">
        <v>6803</v>
      </c>
    </row>
    <row r="5627" spans="1:12" x14ac:dyDescent="0.35">
      <c r="A5627" t="s">
        <v>3115</v>
      </c>
      <c r="B5627" s="1">
        <v>45734</v>
      </c>
      <c r="C5627" t="s">
        <v>8026</v>
      </c>
      <c r="D5627" t="s">
        <v>4592</v>
      </c>
      <c r="E5627" t="s">
        <v>9496</v>
      </c>
      <c r="F5627" t="s">
        <v>8467</v>
      </c>
      <c r="G5627" t="s">
        <v>8567</v>
      </c>
      <c r="H5627" t="s">
        <v>4593</v>
      </c>
      <c r="J5627">
        <v>36600</v>
      </c>
      <c r="L5627" t="s">
        <v>5876</v>
      </c>
    </row>
    <row r="5628" spans="1:12" x14ac:dyDescent="0.35">
      <c r="A5628" t="s">
        <v>3115</v>
      </c>
      <c r="B5628" s="1">
        <v>45734</v>
      </c>
      <c r="C5628" t="s">
        <v>8027</v>
      </c>
      <c r="D5628" t="s">
        <v>4594</v>
      </c>
      <c r="E5628" t="s">
        <v>9497</v>
      </c>
      <c r="F5628" t="s">
        <v>6802</v>
      </c>
      <c r="H5628" t="s">
        <v>4595</v>
      </c>
      <c r="K5628">
        <v>39619</v>
      </c>
      <c r="L5628" t="s">
        <v>6803</v>
      </c>
    </row>
    <row r="5629" spans="1:12" x14ac:dyDescent="0.35">
      <c r="A5629" t="s">
        <v>3115</v>
      </c>
      <c r="B5629" s="1">
        <v>45734</v>
      </c>
      <c r="C5629" t="s">
        <v>8027</v>
      </c>
      <c r="D5629" t="s">
        <v>4594</v>
      </c>
      <c r="E5629" t="s">
        <v>9497</v>
      </c>
      <c r="F5629" t="s">
        <v>8537</v>
      </c>
      <c r="G5629" t="s">
        <v>8538</v>
      </c>
      <c r="H5629" t="s">
        <v>4595</v>
      </c>
      <c r="J5629">
        <v>39619</v>
      </c>
      <c r="L5629" t="s">
        <v>5875</v>
      </c>
    </row>
    <row r="5630" spans="1:12" x14ac:dyDescent="0.35">
      <c r="A5630" t="s">
        <v>3115</v>
      </c>
      <c r="B5630" s="1">
        <v>45734</v>
      </c>
      <c r="C5630" t="s">
        <v>8028</v>
      </c>
      <c r="D5630" t="s">
        <v>4596</v>
      </c>
      <c r="E5630" t="s">
        <v>9497</v>
      </c>
      <c r="F5630" t="s">
        <v>6811</v>
      </c>
      <c r="H5630" t="s">
        <v>4597</v>
      </c>
      <c r="K5630">
        <v>3000</v>
      </c>
      <c r="L5630" t="s">
        <v>6803</v>
      </c>
    </row>
    <row r="5631" spans="1:12" x14ac:dyDescent="0.35">
      <c r="A5631" t="s">
        <v>3115</v>
      </c>
      <c r="B5631" s="1">
        <v>45734</v>
      </c>
      <c r="C5631" t="s">
        <v>8028</v>
      </c>
      <c r="D5631" t="s">
        <v>4596</v>
      </c>
      <c r="E5631" t="s">
        <v>9497</v>
      </c>
      <c r="F5631" t="s">
        <v>8557</v>
      </c>
      <c r="G5631" t="s">
        <v>8558</v>
      </c>
      <c r="H5631" t="s">
        <v>4597</v>
      </c>
      <c r="J5631">
        <v>3000</v>
      </c>
      <c r="L5631" t="s">
        <v>5875</v>
      </c>
    </row>
    <row r="5632" spans="1:12" x14ac:dyDescent="0.35">
      <c r="A5632" t="s">
        <v>3115</v>
      </c>
      <c r="B5632" s="1">
        <v>45734</v>
      </c>
      <c r="C5632" t="s">
        <v>8029</v>
      </c>
      <c r="D5632" t="s">
        <v>4598</v>
      </c>
      <c r="E5632" t="s">
        <v>9498</v>
      </c>
      <c r="F5632" t="s">
        <v>6915</v>
      </c>
      <c r="H5632" t="s">
        <v>4599</v>
      </c>
      <c r="K5632">
        <v>2550</v>
      </c>
      <c r="L5632" t="s">
        <v>6803</v>
      </c>
    </row>
    <row r="5633" spans="1:12" x14ac:dyDescent="0.35">
      <c r="A5633" t="s">
        <v>3115</v>
      </c>
      <c r="B5633" s="1">
        <v>45734</v>
      </c>
      <c r="C5633" t="s">
        <v>8029</v>
      </c>
      <c r="D5633" t="s">
        <v>4598</v>
      </c>
      <c r="E5633" t="s">
        <v>9498</v>
      </c>
      <c r="F5633" t="s">
        <v>8569</v>
      </c>
      <c r="G5633" t="s">
        <v>8570</v>
      </c>
      <c r="H5633" t="s">
        <v>4599</v>
      </c>
      <c r="J5633">
        <v>2550</v>
      </c>
      <c r="L5633" t="s">
        <v>5966</v>
      </c>
    </row>
    <row r="5634" spans="1:12" x14ac:dyDescent="0.35">
      <c r="A5634" t="s">
        <v>3115</v>
      </c>
      <c r="B5634" s="1">
        <v>45734</v>
      </c>
      <c r="C5634" t="s">
        <v>8030</v>
      </c>
      <c r="D5634" t="s">
        <v>4600</v>
      </c>
      <c r="E5634" t="s">
        <v>9498</v>
      </c>
      <c r="F5634" t="s">
        <v>6811</v>
      </c>
      <c r="H5634" t="s">
        <v>4601</v>
      </c>
      <c r="K5634">
        <v>750</v>
      </c>
      <c r="L5634" t="s">
        <v>6803</v>
      </c>
    </row>
    <row r="5635" spans="1:12" x14ac:dyDescent="0.35">
      <c r="A5635" t="s">
        <v>3115</v>
      </c>
      <c r="B5635" s="1">
        <v>45734</v>
      </c>
      <c r="C5635" t="s">
        <v>8030</v>
      </c>
      <c r="D5635" t="s">
        <v>4600</v>
      </c>
      <c r="E5635" t="s">
        <v>9498</v>
      </c>
      <c r="F5635" t="s">
        <v>8557</v>
      </c>
      <c r="G5635" t="s">
        <v>8558</v>
      </c>
      <c r="H5635" t="s">
        <v>4601</v>
      </c>
      <c r="J5635">
        <v>750</v>
      </c>
      <c r="L5635" t="s">
        <v>5966</v>
      </c>
    </row>
    <row r="5636" spans="1:12" x14ac:dyDescent="0.35">
      <c r="A5636" t="s">
        <v>3115</v>
      </c>
      <c r="B5636" s="1">
        <v>45734</v>
      </c>
      <c r="C5636" t="s">
        <v>8031</v>
      </c>
      <c r="D5636" t="s">
        <v>4602</v>
      </c>
      <c r="E5636" t="s">
        <v>9499</v>
      </c>
      <c r="F5636" t="s">
        <v>6802</v>
      </c>
      <c r="H5636" t="s">
        <v>4603</v>
      </c>
      <c r="K5636">
        <v>3000</v>
      </c>
      <c r="L5636" t="s">
        <v>6803</v>
      </c>
    </row>
    <row r="5637" spans="1:12" x14ac:dyDescent="0.35">
      <c r="A5637" t="s">
        <v>3115</v>
      </c>
      <c r="B5637" s="1">
        <v>45734</v>
      </c>
      <c r="C5637" t="s">
        <v>8031</v>
      </c>
      <c r="D5637" t="s">
        <v>4602</v>
      </c>
      <c r="E5637" t="s">
        <v>9499</v>
      </c>
      <c r="F5637" t="s">
        <v>8557</v>
      </c>
      <c r="G5637" t="s">
        <v>8558</v>
      </c>
      <c r="H5637" t="s">
        <v>4603</v>
      </c>
      <c r="J5637">
        <v>3000</v>
      </c>
      <c r="L5637" t="s">
        <v>5966</v>
      </c>
    </row>
    <row r="5638" spans="1:12" x14ac:dyDescent="0.35">
      <c r="A5638" t="s">
        <v>3115</v>
      </c>
      <c r="B5638" s="1">
        <v>45734</v>
      </c>
      <c r="C5638" t="s">
        <v>8032</v>
      </c>
      <c r="D5638" t="s">
        <v>4604</v>
      </c>
      <c r="E5638" t="s">
        <v>9500</v>
      </c>
      <c r="F5638" t="s">
        <v>6802</v>
      </c>
      <c r="H5638" t="s">
        <v>4605</v>
      </c>
      <c r="K5638">
        <v>122270</v>
      </c>
      <c r="L5638" t="s">
        <v>6803</v>
      </c>
    </row>
    <row r="5639" spans="1:12" x14ac:dyDescent="0.35">
      <c r="A5639" t="s">
        <v>3115</v>
      </c>
      <c r="B5639" s="1">
        <v>45734</v>
      </c>
      <c r="C5639" t="s">
        <v>8032</v>
      </c>
      <c r="D5639" t="s">
        <v>4604</v>
      </c>
      <c r="E5639" t="s">
        <v>9500</v>
      </c>
      <c r="F5639" t="s">
        <v>8537</v>
      </c>
      <c r="G5639" t="s">
        <v>8538</v>
      </c>
      <c r="H5639" t="s">
        <v>4605</v>
      </c>
      <c r="J5639">
        <v>122270</v>
      </c>
      <c r="L5639" t="s">
        <v>5966</v>
      </c>
    </row>
    <row r="5640" spans="1:12" x14ac:dyDescent="0.35">
      <c r="A5640" t="s">
        <v>3115</v>
      </c>
      <c r="B5640" s="1">
        <v>45734</v>
      </c>
      <c r="C5640" t="s">
        <v>8033</v>
      </c>
      <c r="D5640" t="s">
        <v>4606</v>
      </c>
      <c r="E5640" t="s">
        <v>9500</v>
      </c>
      <c r="F5640" t="s">
        <v>6915</v>
      </c>
      <c r="H5640" t="s">
        <v>4607</v>
      </c>
      <c r="K5640">
        <v>66825</v>
      </c>
      <c r="L5640" t="s">
        <v>6803</v>
      </c>
    </row>
    <row r="5641" spans="1:12" x14ac:dyDescent="0.35">
      <c r="A5641" t="s">
        <v>3115</v>
      </c>
      <c r="B5641" s="1">
        <v>45734</v>
      </c>
      <c r="C5641" t="s">
        <v>8033</v>
      </c>
      <c r="D5641" t="s">
        <v>4606</v>
      </c>
      <c r="E5641" t="s">
        <v>9500</v>
      </c>
      <c r="F5641" t="s">
        <v>8569</v>
      </c>
      <c r="G5641" t="s">
        <v>8570</v>
      </c>
      <c r="H5641" t="s">
        <v>4607</v>
      </c>
      <c r="J5641">
        <v>66825</v>
      </c>
      <c r="L5641" t="s">
        <v>5966</v>
      </c>
    </row>
    <row r="5642" spans="1:12" x14ac:dyDescent="0.35">
      <c r="A5642" t="s">
        <v>3115</v>
      </c>
      <c r="B5642" s="1">
        <v>45734</v>
      </c>
      <c r="C5642" t="s">
        <v>8034</v>
      </c>
      <c r="D5642" t="s">
        <v>4608</v>
      </c>
      <c r="E5642" t="s">
        <v>9501</v>
      </c>
      <c r="F5642" t="s">
        <v>6802</v>
      </c>
      <c r="H5642" t="s">
        <v>4609</v>
      </c>
      <c r="K5642">
        <v>1100</v>
      </c>
      <c r="L5642" t="s">
        <v>6803</v>
      </c>
    </row>
    <row r="5643" spans="1:12" x14ac:dyDescent="0.35">
      <c r="A5643" t="s">
        <v>3115</v>
      </c>
      <c r="B5643" s="1">
        <v>45734</v>
      </c>
      <c r="C5643" t="s">
        <v>8034</v>
      </c>
      <c r="D5643" t="s">
        <v>4608</v>
      </c>
      <c r="E5643" t="s">
        <v>9501</v>
      </c>
      <c r="F5643" t="s">
        <v>8557</v>
      </c>
      <c r="G5643" t="s">
        <v>8558</v>
      </c>
      <c r="H5643" t="s">
        <v>4609</v>
      </c>
      <c r="J5643">
        <v>1100</v>
      </c>
      <c r="L5643" t="s">
        <v>6012</v>
      </c>
    </row>
    <row r="5644" spans="1:12" x14ac:dyDescent="0.35">
      <c r="A5644" t="s">
        <v>3115</v>
      </c>
      <c r="B5644" s="1">
        <v>45734</v>
      </c>
      <c r="C5644" t="s">
        <v>8035</v>
      </c>
      <c r="D5644" t="s">
        <v>4610</v>
      </c>
      <c r="E5644" t="s">
        <v>9502</v>
      </c>
      <c r="F5644" t="s">
        <v>6802</v>
      </c>
      <c r="H5644" t="s">
        <v>4611</v>
      </c>
      <c r="K5644">
        <v>7700</v>
      </c>
      <c r="L5644" t="s">
        <v>6803</v>
      </c>
    </row>
    <row r="5645" spans="1:12" x14ac:dyDescent="0.35">
      <c r="A5645" t="s">
        <v>3115</v>
      </c>
      <c r="B5645" s="1">
        <v>45734</v>
      </c>
      <c r="C5645" t="s">
        <v>8035</v>
      </c>
      <c r="D5645" t="s">
        <v>4610</v>
      </c>
      <c r="E5645" t="s">
        <v>9502</v>
      </c>
      <c r="F5645" t="s">
        <v>8557</v>
      </c>
      <c r="G5645" t="s">
        <v>8558</v>
      </c>
      <c r="H5645" t="s">
        <v>4611</v>
      </c>
      <c r="J5645">
        <v>7700</v>
      </c>
      <c r="L5645" t="s">
        <v>5966</v>
      </c>
    </row>
    <row r="5646" spans="1:12" x14ac:dyDescent="0.35">
      <c r="A5646" t="s">
        <v>3115</v>
      </c>
      <c r="B5646" s="1">
        <v>45734</v>
      </c>
      <c r="C5646" t="s">
        <v>8036</v>
      </c>
      <c r="D5646" t="s">
        <v>4612</v>
      </c>
      <c r="E5646" t="s">
        <v>9503</v>
      </c>
      <c r="F5646" t="s">
        <v>6802</v>
      </c>
      <c r="H5646" t="s">
        <v>4613</v>
      </c>
      <c r="K5646">
        <v>360</v>
      </c>
      <c r="L5646" t="s">
        <v>6803</v>
      </c>
    </row>
    <row r="5647" spans="1:12" x14ac:dyDescent="0.35">
      <c r="A5647" t="s">
        <v>3115</v>
      </c>
      <c r="B5647" s="1">
        <v>45734</v>
      </c>
      <c r="C5647" t="s">
        <v>8036</v>
      </c>
      <c r="D5647" t="s">
        <v>4612</v>
      </c>
      <c r="E5647" t="s">
        <v>9503</v>
      </c>
      <c r="F5647" t="s">
        <v>8557</v>
      </c>
      <c r="G5647" t="s">
        <v>8558</v>
      </c>
      <c r="H5647" t="s">
        <v>4613</v>
      </c>
      <c r="J5647">
        <v>360</v>
      </c>
      <c r="L5647" t="s">
        <v>5966</v>
      </c>
    </row>
    <row r="5648" spans="1:12" x14ac:dyDescent="0.35">
      <c r="A5648" t="s">
        <v>3115</v>
      </c>
      <c r="B5648" s="1">
        <v>45734</v>
      </c>
      <c r="C5648" t="s">
        <v>8037</v>
      </c>
      <c r="D5648" t="s">
        <v>4614</v>
      </c>
      <c r="E5648" t="s">
        <v>9504</v>
      </c>
      <c r="F5648" t="s">
        <v>6802</v>
      </c>
      <c r="H5648" t="s">
        <v>4615</v>
      </c>
      <c r="K5648">
        <v>5117</v>
      </c>
      <c r="L5648" t="s">
        <v>6803</v>
      </c>
    </row>
    <row r="5649" spans="1:12" x14ac:dyDescent="0.35">
      <c r="A5649" t="s">
        <v>3115</v>
      </c>
      <c r="B5649" s="1">
        <v>45734</v>
      </c>
      <c r="C5649" t="s">
        <v>8037</v>
      </c>
      <c r="D5649" t="s">
        <v>4614</v>
      </c>
      <c r="E5649" t="s">
        <v>9504</v>
      </c>
      <c r="F5649" t="s">
        <v>8537</v>
      </c>
      <c r="G5649" t="s">
        <v>8538</v>
      </c>
      <c r="H5649" t="s">
        <v>4615</v>
      </c>
      <c r="J5649">
        <v>5117</v>
      </c>
      <c r="L5649" t="s">
        <v>5966</v>
      </c>
    </row>
    <row r="5650" spans="1:12" x14ac:dyDescent="0.35">
      <c r="A5650" t="s">
        <v>3115</v>
      </c>
      <c r="B5650" s="1">
        <v>45734</v>
      </c>
      <c r="C5650" t="s">
        <v>8038</v>
      </c>
      <c r="D5650" t="s">
        <v>4616</v>
      </c>
      <c r="E5650" t="s">
        <v>9505</v>
      </c>
      <c r="F5650" t="s">
        <v>6802</v>
      </c>
      <c r="H5650" t="s">
        <v>4617</v>
      </c>
      <c r="K5650">
        <v>1181</v>
      </c>
      <c r="L5650" t="s">
        <v>6803</v>
      </c>
    </row>
    <row r="5651" spans="1:12" x14ac:dyDescent="0.35">
      <c r="A5651" t="s">
        <v>3115</v>
      </c>
      <c r="B5651" s="1">
        <v>45734</v>
      </c>
      <c r="C5651" t="s">
        <v>8038</v>
      </c>
      <c r="D5651" t="s">
        <v>4616</v>
      </c>
      <c r="E5651" t="s">
        <v>9505</v>
      </c>
      <c r="F5651" t="s">
        <v>8537</v>
      </c>
      <c r="G5651" t="s">
        <v>8538</v>
      </c>
      <c r="H5651" t="s">
        <v>4617</v>
      </c>
      <c r="J5651">
        <v>1181</v>
      </c>
      <c r="L5651" t="s">
        <v>5966</v>
      </c>
    </row>
    <row r="5652" spans="1:12" x14ac:dyDescent="0.35">
      <c r="A5652" t="s">
        <v>3115</v>
      </c>
      <c r="B5652" s="1">
        <v>45734</v>
      </c>
      <c r="C5652" t="s">
        <v>8039</v>
      </c>
      <c r="D5652" t="s">
        <v>4618</v>
      </c>
      <c r="E5652" t="s">
        <v>9506</v>
      </c>
      <c r="F5652" t="s">
        <v>6802</v>
      </c>
      <c r="H5652" t="s">
        <v>4619</v>
      </c>
      <c r="K5652">
        <v>787</v>
      </c>
      <c r="L5652" t="s">
        <v>6803</v>
      </c>
    </row>
    <row r="5653" spans="1:12" x14ac:dyDescent="0.35">
      <c r="A5653" t="s">
        <v>3115</v>
      </c>
      <c r="B5653" s="1">
        <v>45734</v>
      </c>
      <c r="C5653" t="s">
        <v>8039</v>
      </c>
      <c r="D5653" t="s">
        <v>4618</v>
      </c>
      <c r="E5653" t="s">
        <v>9506</v>
      </c>
      <c r="F5653" t="s">
        <v>8537</v>
      </c>
      <c r="G5653" t="s">
        <v>8538</v>
      </c>
      <c r="H5653" t="s">
        <v>4619</v>
      </c>
      <c r="J5653">
        <v>787</v>
      </c>
      <c r="L5653" t="s">
        <v>5966</v>
      </c>
    </row>
    <row r="5654" spans="1:12" x14ac:dyDescent="0.35">
      <c r="A5654" t="s">
        <v>3115</v>
      </c>
      <c r="B5654" s="1">
        <v>45734</v>
      </c>
      <c r="C5654" t="s">
        <v>8040</v>
      </c>
      <c r="D5654" t="s">
        <v>4620</v>
      </c>
      <c r="E5654" t="s">
        <v>9507</v>
      </c>
      <c r="F5654" t="s">
        <v>6802</v>
      </c>
      <c r="H5654" t="s">
        <v>4621</v>
      </c>
      <c r="K5654">
        <v>279</v>
      </c>
      <c r="L5654" t="s">
        <v>6803</v>
      </c>
    </row>
    <row r="5655" spans="1:12" x14ac:dyDescent="0.35">
      <c r="A5655" t="s">
        <v>3115</v>
      </c>
      <c r="B5655" s="1">
        <v>45734</v>
      </c>
      <c r="C5655" t="s">
        <v>8040</v>
      </c>
      <c r="D5655" t="s">
        <v>4620</v>
      </c>
      <c r="E5655" t="s">
        <v>9507</v>
      </c>
      <c r="F5655" t="s">
        <v>8557</v>
      </c>
      <c r="G5655" t="s">
        <v>8558</v>
      </c>
      <c r="H5655" t="s">
        <v>4621</v>
      </c>
      <c r="J5655">
        <v>279</v>
      </c>
      <c r="L5655" t="s">
        <v>5966</v>
      </c>
    </row>
    <row r="5656" spans="1:12" x14ac:dyDescent="0.35">
      <c r="A5656" t="s">
        <v>3115</v>
      </c>
      <c r="B5656" s="1">
        <v>45734</v>
      </c>
      <c r="C5656" t="s">
        <v>8041</v>
      </c>
      <c r="D5656" t="s">
        <v>4622</v>
      </c>
      <c r="E5656" t="s">
        <v>9508</v>
      </c>
      <c r="F5656" t="s">
        <v>6802</v>
      </c>
      <c r="H5656" t="s">
        <v>4623</v>
      </c>
      <c r="K5656">
        <v>546</v>
      </c>
      <c r="L5656" t="s">
        <v>6803</v>
      </c>
    </row>
    <row r="5657" spans="1:12" x14ac:dyDescent="0.35">
      <c r="A5657" t="s">
        <v>3115</v>
      </c>
      <c r="B5657" s="1">
        <v>45734</v>
      </c>
      <c r="C5657" t="s">
        <v>8041</v>
      </c>
      <c r="D5657" t="s">
        <v>4622</v>
      </c>
      <c r="E5657" t="s">
        <v>9508</v>
      </c>
      <c r="F5657" t="s">
        <v>8557</v>
      </c>
      <c r="G5657" t="s">
        <v>8558</v>
      </c>
      <c r="H5657" t="s">
        <v>4623</v>
      </c>
      <c r="J5657">
        <v>546</v>
      </c>
      <c r="L5657" t="s">
        <v>5875</v>
      </c>
    </row>
    <row r="5658" spans="1:12" x14ac:dyDescent="0.35">
      <c r="A5658" t="s">
        <v>3115</v>
      </c>
      <c r="B5658" s="1">
        <v>45734</v>
      </c>
      <c r="C5658" t="s">
        <v>8042</v>
      </c>
      <c r="D5658" t="s">
        <v>4624</v>
      </c>
      <c r="E5658" t="s">
        <v>9509</v>
      </c>
      <c r="F5658" t="s">
        <v>6802</v>
      </c>
      <c r="H5658" t="s">
        <v>4625</v>
      </c>
      <c r="K5658">
        <v>2493</v>
      </c>
      <c r="L5658" t="s">
        <v>6803</v>
      </c>
    </row>
    <row r="5659" spans="1:12" x14ac:dyDescent="0.35">
      <c r="A5659" t="s">
        <v>3115</v>
      </c>
      <c r="B5659" s="1">
        <v>45734</v>
      </c>
      <c r="C5659" t="s">
        <v>8042</v>
      </c>
      <c r="D5659" t="s">
        <v>4624</v>
      </c>
      <c r="E5659" t="s">
        <v>9509</v>
      </c>
      <c r="F5659" t="s">
        <v>8537</v>
      </c>
      <c r="G5659" t="s">
        <v>8538</v>
      </c>
      <c r="H5659" t="s">
        <v>4625</v>
      </c>
      <c r="J5659">
        <v>2493</v>
      </c>
      <c r="L5659" t="s">
        <v>5875</v>
      </c>
    </row>
    <row r="5660" spans="1:12" x14ac:dyDescent="0.35">
      <c r="A5660" t="s">
        <v>3115</v>
      </c>
      <c r="B5660" s="1">
        <v>45734</v>
      </c>
      <c r="C5660" t="s">
        <v>8043</v>
      </c>
      <c r="D5660" t="s">
        <v>4626</v>
      </c>
      <c r="E5660" t="s">
        <v>9509</v>
      </c>
      <c r="F5660" t="s">
        <v>6811</v>
      </c>
      <c r="H5660" t="s">
        <v>4627</v>
      </c>
      <c r="K5660">
        <v>1200</v>
      </c>
      <c r="L5660" t="s">
        <v>6803</v>
      </c>
    </row>
    <row r="5661" spans="1:12" x14ac:dyDescent="0.35">
      <c r="A5661" t="s">
        <v>3115</v>
      </c>
      <c r="B5661" s="1">
        <v>45734</v>
      </c>
      <c r="C5661" t="s">
        <v>8043</v>
      </c>
      <c r="D5661" t="s">
        <v>4626</v>
      </c>
      <c r="E5661" t="s">
        <v>9509</v>
      </c>
      <c r="F5661" t="s">
        <v>8557</v>
      </c>
      <c r="G5661" t="s">
        <v>8558</v>
      </c>
      <c r="H5661" t="s">
        <v>4627</v>
      </c>
      <c r="J5661">
        <v>1200</v>
      </c>
      <c r="L5661" t="s">
        <v>5875</v>
      </c>
    </row>
    <row r="5662" spans="1:12" x14ac:dyDescent="0.35">
      <c r="A5662" t="s">
        <v>3115</v>
      </c>
      <c r="B5662" s="1">
        <v>45734</v>
      </c>
      <c r="C5662" t="s">
        <v>8044</v>
      </c>
      <c r="D5662" t="s">
        <v>4628</v>
      </c>
      <c r="E5662" t="s">
        <v>9510</v>
      </c>
      <c r="F5662" t="s">
        <v>6811</v>
      </c>
      <c r="H5662" t="s">
        <v>4629</v>
      </c>
      <c r="K5662">
        <v>19290</v>
      </c>
      <c r="L5662" t="s">
        <v>6803</v>
      </c>
    </row>
    <row r="5663" spans="1:12" x14ac:dyDescent="0.35">
      <c r="A5663" t="s">
        <v>3115</v>
      </c>
      <c r="B5663" s="1">
        <v>45734</v>
      </c>
      <c r="C5663" t="s">
        <v>8044</v>
      </c>
      <c r="D5663" t="s">
        <v>4628</v>
      </c>
      <c r="E5663" t="s">
        <v>9510</v>
      </c>
      <c r="F5663" t="s">
        <v>8557</v>
      </c>
      <c r="G5663" t="s">
        <v>8558</v>
      </c>
      <c r="H5663" t="s">
        <v>4629</v>
      </c>
      <c r="J5663">
        <v>19290</v>
      </c>
      <c r="L5663" t="s">
        <v>5874</v>
      </c>
    </row>
    <row r="5664" spans="1:12" x14ac:dyDescent="0.35">
      <c r="A5664" t="s">
        <v>3115</v>
      </c>
      <c r="B5664" s="1">
        <v>45734</v>
      </c>
      <c r="C5664" t="s">
        <v>8045</v>
      </c>
      <c r="D5664" t="s">
        <v>4630</v>
      </c>
      <c r="E5664" t="s">
        <v>9486</v>
      </c>
      <c r="F5664" t="s">
        <v>6915</v>
      </c>
      <c r="H5664" t="s">
        <v>4631</v>
      </c>
      <c r="K5664">
        <v>114380</v>
      </c>
      <c r="L5664" t="s">
        <v>6803</v>
      </c>
    </row>
    <row r="5665" spans="1:12" x14ac:dyDescent="0.35">
      <c r="A5665" t="s">
        <v>3115</v>
      </c>
      <c r="B5665" s="1">
        <v>45734</v>
      </c>
      <c r="C5665" t="s">
        <v>8045</v>
      </c>
      <c r="D5665" t="s">
        <v>4630</v>
      </c>
      <c r="E5665" t="s">
        <v>9486</v>
      </c>
      <c r="F5665" t="s">
        <v>8569</v>
      </c>
      <c r="G5665" t="s">
        <v>8570</v>
      </c>
      <c r="H5665" t="s">
        <v>4631</v>
      </c>
      <c r="J5665">
        <v>114380</v>
      </c>
      <c r="L5665" t="s">
        <v>5875</v>
      </c>
    </row>
    <row r="5666" spans="1:12" x14ac:dyDescent="0.35">
      <c r="A5666" t="s">
        <v>3115</v>
      </c>
      <c r="B5666" s="1">
        <v>45734</v>
      </c>
      <c r="C5666" t="s">
        <v>8046</v>
      </c>
      <c r="D5666" t="s">
        <v>4632</v>
      </c>
      <c r="E5666" t="s">
        <v>9511</v>
      </c>
      <c r="F5666" t="s">
        <v>6802</v>
      </c>
      <c r="H5666" t="s">
        <v>4633</v>
      </c>
      <c r="K5666">
        <v>7609</v>
      </c>
      <c r="L5666" t="s">
        <v>6803</v>
      </c>
    </row>
    <row r="5667" spans="1:12" x14ac:dyDescent="0.35">
      <c r="A5667" t="s">
        <v>3115</v>
      </c>
      <c r="B5667" s="1">
        <v>45734</v>
      </c>
      <c r="C5667" t="s">
        <v>8046</v>
      </c>
      <c r="D5667" t="s">
        <v>4632</v>
      </c>
      <c r="E5667" t="s">
        <v>9511</v>
      </c>
      <c r="F5667" t="s">
        <v>8537</v>
      </c>
      <c r="G5667" t="s">
        <v>8538</v>
      </c>
      <c r="H5667" t="s">
        <v>4633</v>
      </c>
      <c r="J5667">
        <v>7609</v>
      </c>
      <c r="L5667" t="s">
        <v>5875</v>
      </c>
    </row>
    <row r="5668" spans="1:12" x14ac:dyDescent="0.35">
      <c r="A5668" t="s">
        <v>3115</v>
      </c>
      <c r="B5668" s="1">
        <v>45734</v>
      </c>
      <c r="C5668" t="s">
        <v>8047</v>
      </c>
      <c r="D5668" t="s">
        <v>4634</v>
      </c>
      <c r="E5668" t="s">
        <v>9512</v>
      </c>
      <c r="F5668" t="s">
        <v>6811</v>
      </c>
      <c r="H5668" t="s">
        <v>4635</v>
      </c>
      <c r="K5668">
        <v>1809</v>
      </c>
      <c r="L5668" t="s">
        <v>6803</v>
      </c>
    </row>
    <row r="5669" spans="1:12" x14ac:dyDescent="0.35">
      <c r="A5669" t="s">
        <v>3115</v>
      </c>
      <c r="B5669" s="1">
        <v>45734</v>
      </c>
      <c r="C5669" t="s">
        <v>8047</v>
      </c>
      <c r="D5669" t="s">
        <v>4634</v>
      </c>
      <c r="E5669" t="s">
        <v>9512</v>
      </c>
      <c r="F5669" t="s">
        <v>8557</v>
      </c>
      <c r="G5669" t="s">
        <v>8558</v>
      </c>
      <c r="H5669" t="s">
        <v>4635</v>
      </c>
      <c r="J5669">
        <v>1809</v>
      </c>
      <c r="L5669" t="s">
        <v>5966</v>
      </c>
    </row>
    <row r="5670" spans="1:12" x14ac:dyDescent="0.35">
      <c r="A5670" t="s">
        <v>3115</v>
      </c>
      <c r="B5670" s="1">
        <v>45734</v>
      </c>
      <c r="C5670" t="s">
        <v>6876</v>
      </c>
      <c r="D5670" t="s">
        <v>4636</v>
      </c>
      <c r="E5670" t="s">
        <v>9513</v>
      </c>
      <c r="F5670" t="s">
        <v>6811</v>
      </c>
      <c r="H5670" t="s">
        <v>4637</v>
      </c>
      <c r="K5670">
        <v>3409</v>
      </c>
      <c r="L5670" t="s">
        <v>6803</v>
      </c>
    </row>
    <row r="5671" spans="1:12" x14ac:dyDescent="0.35">
      <c r="A5671" t="s">
        <v>3115</v>
      </c>
      <c r="B5671" s="1">
        <v>45734</v>
      </c>
      <c r="C5671" t="s">
        <v>6876</v>
      </c>
      <c r="D5671" t="s">
        <v>4636</v>
      </c>
      <c r="E5671" t="s">
        <v>9513</v>
      </c>
      <c r="F5671" t="s">
        <v>8557</v>
      </c>
      <c r="G5671" t="s">
        <v>8558</v>
      </c>
      <c r="H5671" t="s">
        <v>4637</v>
      </c>
      <c r="J5671">
        <v>3409</v>
      </c>
      <c r="L5671" t="s">
        <v>5966</v>
      </c>
    </row>
    <row r="5672" spans="1:12" x14ac:dyDescent="0.35">
      <c r="A5672" t="s">
        <v>3115</v>
      </c>
      <c r="B5672" s="1">
        <v>45735</v>
      </c>
      <c r="C5672" t="s">
        <v>9514</v>
      </c>
      <c r="D5672" t="s">
        <v>4638</v>
      </c>
      <c r="E5672" t="s">
        <v>9515</v>
      </c>
      <c r="F5672" t="s">
        <v>6802</v>
      </c>
      <c r="H5672" t="s">
        <v>4639</v>
      </c>
      <c r="K5672">
        <v>262</v>
      </c>
      <c r="L5672" t="s">
        <v>6803</v>
      </c>
    </row>
    <row r="5673" spans="1:12" x14ac:dyDescent="0.35">
      <c r="A5673" t="s">
        <v>3115</v>
      </c>
      <c r="B5673" s="1">
        <v>45735</v>
      </c>
      <c r="C5673" t="s">
        <v>9514</v>
      </c>
      <c r="D5673" t="s">
        <v>4638</v>
      </c>
      <c r="E5673" t="s">
        <v>9515</v>
      </c>
      <c r="F5673" t="s">
        <v>8537</v>
      </c>
      <c r="G5673" t="s">
        <v>8538</v>
      </c>
      <c r="H5673" t="s">
        <v>4639</v>
      </c>
      <c r="J5673">
        <v>262</v>
      </c>
      <c r="L5673" t="s">
        <v>5958</v>
      </c>
    </row>
    <row r="5674" spans="1:12" x14ac:dyDescent="0.35">
      <c r="A5674" t="s">
        <v>3115</v>
      </c>
      <c r="B5674" s="1">
        <v>45735</v>
      </c>
      <c r="C5674" t="s">
        <v>9516</v>
      </c>
      <c r="D5674" t="s">
        <v>4640</v>
      </c>
      <c r="E5674" t="s">
        <v>9517</v>
      </c>
      <c r="F5674" t="s">
        <v>6915</v>
      </c>
      <c r="H5674" t="s">
        <v>4641</v>
      </c>
      <c r="K5674">
        <v>250900</v>
      </c>
      <c r="L5674" t="s">
        <v>6803</v>
      </c>
    </row>
    <row r="5675" spans="1:12" x14ac:dyDescent="0.35">
      <c r="A5675" t="s">
        <v>3115</v>
      </c>
      <c r="B5675" s="1">
        <v>45735</v>
      </c>
      <c r="C5675" t="s">
        <v>9516</v>
      </c>
      <c r="D5675" t="s">
        <v>4640</v>
      </c>
      <c r="E5675" t="s">
        <v>9517</v>
      </c>
      <c r="F5675" t="s">
        <v>8569</v>
      </c>
      <c r="G5675" t="s">
        <v>8570</v>
      </c>
      <c r="H5675" t="s">
        <v>4641</v>
      </c>
      <c r="J5675">
        <v>250900</v>
      </c>
      <c r="L5675" t="s">
        <v>5958</v>
      </c>
    </row>
    <row r="5676" spans="1:12" x14ac:dyDescent="0.35">
      <c r="A5676" t="s">
        <v>3115</v>
      </c>
      <c r="B5676" s="1">
        <v>45735</v>
      </c>
      <c r="C5676" t="s">
        <v>9518</v>
      </c>
      <c r="D5676" t="s">
        <v>4642</v>
      </c>
      <c r="E5676" t="s">
        <v>9519</v>
      </c>
      <c r="F5676" t="s">
        <v>6802</v>
      </c>
      <c r="H5676" t="s">
        <v>4643</v>
      </c>
      <c r="K5676">
        <v>1299982</v>
      </c>
      <c r="L5676" t="s">
        <v>6803</v>
      </c>
    </row>
    <row r="5677" spans="1:12" x14ac:dyDescent="0.35">
      <c r="A5677" t="s">
        <v>3115</v>
      </c>
      <c r="B5677" s="1">
        <v>45735</v>
      </c>
      <c r="C5677" t="s">
        <v>9518</v>
      </c>
      <c r="D5677" t="s">
        <v>4642</v>
      </c>
      <c r="E5677" t="s">
        <v>9519</v>
      </c>
      <c r="F5677" t="s">
        <v>8537</v>
      </c>
      <c r="G5677" t="s">
        <v>8538</v>
      </c>
      <c r="H5677" t="s">
        <v>4643</v>
      </c>
      <c r="J5677">
        <v>1299982</v>
      </c>
      <c r="L5677" t="s">
        <v>5958</v>
      </c>
    </row>
    <row r="5678" spans="1:12" x14ac:dyDescent="0.35">
      <c r="A5678" t="s">
        <v>3115</v>
      </c>
      <c r="B5678" s="1">
        <v>45735</v>
      </c>
      <c r="C5678" t="s">
        <v>9520</v>
      </c>
      <c r="D5678" t="s">
        <v>4644</v>
      </c>
      <c r="E5678" t="s">
        <v>9521</v>
      </c>
      <c r="F5678" t="s">
        <v>6802</v>
      </c>
      <c r="H5678" t="s">
        <v>4645</v>
      </c>
      <c r="K5678">
        <v>6297</v>
      </c>
      <c r="L5678" t="s">
        <v>6803</v>
      </c>
    </row>
    <row r="5679" spans="1:12" x14ac:dyDescent="0.35">
      <c r="A5679" t="s">
        <v>3115</v>
      </c>
      <c r="B5679" s="1">
        <v>45735</v>
      </c>
      <c r="C5679" t="s">
        <v>9520</v>
      </c>
      <c r="D5679" t="s">
        <v>4644</v>
      </c>
      <c r="E5679" t="s">
        <v>9521</v>
      </c>
      <c r="F5679" t="s">
        <v>8537</v>
      </c>
      <c r="G5679" t="s">
        <v>8538</v>
      </c>
      <c r="H5679" t="s">
        <v>4645</v>
      </c>
      <c r="J5679">
        <v>6297</v>
      </c>
      <c r="L5679" t="s">
        <v>5875</v>
      </c>
    </row>
    <row r="5680" spans="1:12" x14ac:dyDescent="0.35">
      <c r="A5680" t="s">
        <v>3115</v>
      </c>
      <c r="B5680" s="1">
        <v>45735</v>
      </c>
      <c r="C5680" t="s">
        <v>9522</v>
      </c>
      <c r="D5680" t="s">
        <v>4646</v>
      </c>
      <c r="E5680" t="s">
        <v>9523</v>
      </c>
      <c r="F5680" t="s">
        <v>6811</v>
      </c>
      <c r="H5680" t="s">
        <v>4647</v>
      </c>
      <c r="K5680">
        <v>58500</v>
      </c>
      <c r="L5680" t="s">
        <v>6803</v>
      </c>
    </row>
    <row r="5681" spans="1:12" x14ac:dyDescent="0.35">
      <c r="A5681" t="s">
        <v>3115</v>
      </c>
      <c r="B5681" s="1">
        <v>45735</v>
      </c>
      <c r="C5681" t="s">
        <v>9522</v>
      </c>
      <c r="D5681" t="s">
        <v>4646</v>
      </c>
      <c r="E5681" t="s">
        <v>9523</v>
      </c>
      <c r="F5681" t="s">
        <v>8557</v>
      </c>
      <c r="G5681" t="s">
        <v>8558</v>
      </c>
      <c r="H5681" t="s">
        <v>4647</v>
      </c>
      <c r="J5681">
        <v>58500</v>
      </c>
      <c r="L5681" t="s">
        <v>5949</v>
      </c>
    </row>
    <row r="5682" spans="1:12" x14ac:dyDescent="0.35">
      <c r="A5682" t="s">
        <v>3115</v>
      </c>
      <c r="B5682" s="1">
        <v>45735</v>
      </c>
      <c r="C5682" t="s">
        <v>9524</v>
      </c>
      <c r="D5682" t="s">
        <v>4648</v>
      </c>
      <c r="E5682" t="s">
        <v>9525</v>
      </c>
      <c r="F5682" t="s">
        <v>6802</v>
      </c>
      <c r="H5682" t="s">
        <v>4649</v>
      </c>
      <c r="K5682">
        <v>19941</v>
      </c>
      <c r="L5682" t="s">
        <v>6803</v>
      </c>
    </row>
    <row r="5683" spans="1:12" x14ac:dyDescent="0.35">
      <c r="A5683" t="s">
        <v>3115</v>
      </c>
      <c r="B5683" s="1">
        <v>45735</v>
      </c>
      <c r="C5683" t="s">
        <v>9524</v>
      </c>
      <c r="D5683" t="s">
        <v>4648</v>
      </c>
      <c r="E5683" t="s">
        <v>9525</v>
      </c>
      <c r="F5683" t="s">
        <v>8537</v>
      </c>
      <c r="G5683" t="s">
        <v>8538</v>
      </c>
      <c r="H5683" t="s">
        <v>4649</v>
      </c>
      <c r="J5683">
        <v>19941</v>
      </c>
      <c r="L5683" t="s">
        <v>5946</v>
      </c>
    </row>
    <row r="5684" spans="1:12" x14ac:dyDescent="0.35">
      <c r="A5684" t="s">
        <v>3115</v>
      </c>
      <c r="B5684" s="1">
        <v>45735</v>
      </c>
      <c r="C5684" t="s">
        <v>7900</v>
      </c>
      <c r="D5684" t="s">
        <v>4650</v>
      </c>
      <c r="E5684" t="s">
        <v>9526</v>
      </c>
      <c r="F5684" t="s">
        <v>6802</v>
      </c>
      <c r="H5684" t="s">
        <v>4651</v>
      </c>
      <c r="K5684">
        <v>5838</v>
      </c>
      <c r="L5684" t="s">
        <v>6803</v>
      </c>
    </row>
    <row r="5685" spans="1:12" x14ac:dyDescent="0.35">
      <c r="A5685" t="s">
        <v>3115</v>
      </c>
      <c r="B5685" s="1">
        <v>45735</v>
      </c>
      <c r="C5685" t="s">
        <v>7900</v>
      </c>
      <c r="D5685" t="s">
        <v>4650</v>
      </c>
      <c r="E5685" t="s">
        <v>9526</v>
      </c>
      <c r="F5685" t="s">
        <v>8537</v>
      </c>
      <c r="G5685" t="s">
        <v>8538</v>
      </c>
      <c r="H5685" t="s">
        <v>4651</v>
      </c>
      <c r="J5685">
        <v>5838</v>
      </c>
      <c r="L5685" t="s">
        <v>5875</v>
      </c>
    </row>
    <row r="5686" spans="1:12" x14ac:dyDescent="0.35">
      <c r="A5686" t="s">
        <v>3115</v>
      </c>
      <c r="B5686" s="1">
        <v>45735</v>
      </c>
      <c r="C5686" t="s">
        <v>7903</v>
      </c>
      <c r="D5686" t="s">
        <v>4652</v>
      </c>
      <c r="E5686" t="s">
        <v>9527</v>
      </c>
      <c r="F5686" t="s">
        <v>6811</v>
      </c>
      <c r="H5686" t="s">
        <v>4653</v>
      </c>
      <c r="K5686">
        <v>600</v>
      </c>
      <c r="L5686" t="s">
        <v>6803</v>
      </c>
    </row>
    <row r="5687" spans="1:12" x14ac:dyDescent="0.35">
      <c r="A5687" t="s">
        <v>3115</v>
      </c>
      <c r="B5687" s="1">
        <v>45735</v>
      </c>
      <c r="C5687" t="s">
        <v>7903</v>
      </c>
      <c r="D5687" t="s">
        <v>4652</v>
      </c>
      <c r="E5687" t="s">
        <v>9527</v>
      </c>
      <c r="F5687" t="s">
        <v>8557</v>
      </c>
      <c r="G5687" t="s">
        <v>8558</v>
      </c>
      <c r="H5687" t="s">
        <v>4653</v>
      </c>
      <c r="J5687">
        <v>600</v>
      </c>
      <c r="L5687" t="s">
        <v>5875</v>
      </c>
    </row>
    <row r="5688" spans="1:12" x14ac:dyDescent="0.35">
      <c r="A5688" t="s">
        <v>3115</v>
      </c>
      <c r="B5688" s="1">
        <v>45735</v>
      </c>
      <c r="C5688" t="s">
        <v>7904</v>
      </c>
      <c r="D5688" t="s">
        <v>4654</v>
      </c>
      <c r="E5688" t="s">
        <v>9528</v>
      </c>
      <c r="F5688" t="s">
        <v>6802</v>
      </c>
      <c r="H5688" t="s">
        <v>4655</v>
      </c>
      <c r="K5688">
        <v>24500</v>
      </c>
      <c r="L5688" t="s">
        <v>6803</v>
      </c>
    </row>
    <row r="5689" spans="1:12" x14ac:dyDescent="0.35">
      <c r="A5689" t="s">
        <v>3115</v>
      </c>
      <c r="B5689" s="1">
        <v>45735</v>
      </c>
      <c r="C5689" t="s">
        <v>7904</v>
      </c>
      <c r="D5689" t="s">
        <v>4654</v>
      </c>
      <c r="E5689" t="s">
        <v>9528</v>
      </c>
      <c r="F5689" t="s">
        <v>8557</v>
      </c>
      <c r="G5689" t="s">
        <v>8558</v>
      </c>
      <c r="H5689" t="s">
        <v>4655</v>
      </c>
      <c r="J5689">
        <v>24500</v>
      </c>
      <c r="L5689" t="s">
        <v>5880</v>
      </c>
    </row>
    <row r="5690" spans="1:12" x14ac:dyDescent="0.35">
      <c r="A5690" t="s">
        <v>3115</v>
      </c>
      <c r="B5690" s="1">
        <v>45735</v>
      </c>
      <c r="C5690" t="s">
        <v>7906</v>
      </c>
      <c r="D5690" t="s">
        <v>4656</v>
      </c>
      <c r="E5690" t="s">
        <v>9529</v>
      </c>
      <c r="F5690" t="s">
        <v>6811</v>
      </c>
      <c r="H5690" t="s">
        <v>4657</v>
      </c>
      <c r="K5690">
        <v>490</v>
      </c>
      <c r="L5690" t="s">
        <v>6803</v>
      </c>
    </row>
    <row r="5691" spans="1:12" x14ac:dyDescent="0.35">
      <c r="A5691" t="s">
        <v>3115</v>
      </c>
      <c r="B5691" s="1">
        <v>45735</v>
      </c>
      <c r="C5691" t="s">
        <v>7906</v>
      </c>
      <c r="D5691" t="s">
        <v>4656</v>
      </c>
      <c r="E5691" t="s">
        <v>9529</v>
      </c>
      <c r="F5691" t="s">
        <v>6802</v>
      </c>
      <c r="H5691" t="s">
        <v>4657</v>
      </c>
      <c r="K5691">
        <v>5552</v>
      </c>
      <c r="L5691" t="s">
        <v>6803</v>
      </c>
    </row>
    <row r="5692" spans="1:12" x14ac:dyDescent="0.35">
      <c r="A5692" t="s">
        <v>3115</v>
      </c>
      <c r="B5692" s="1">
        <v>45735</v>
      </c>
      <c r="C5692" t="s">
        <v>7906</v>
      </c>
      <c r="D5692" t="s">
        <v>4656</v>
      </c>
      <c r="E5692" t="s">
        <v>9529</v>
      </c>
      <c r="F5692" t="s">
        <v>8557</v>
      </c>
      <c r="G5692" t="s">
        <v>8558</v>
      </c>
      <c r="H5692" t="s">
        <v>4657</v>
      </c>
      <c r="J5692">
        <v>6042</v>
      </c>
      <c r="L5692" t="s">
        <v>5876</v>
      </c>
    </row>
    <row r="5693" spans="1:12" x14ac:dyDescent="0.35">
      <c r="A5693" t="s">
        <v>3115</v>
      </c>
      <c r="B5693" s="1">
        <v>45735</v>
      </c>
      <c r="C5693" t="s">
        <v>7907</v>
      </c>
      <c r="D5693" t="s">
        <v>4658</v>
      </c>
      <c r="E5693" t="s">
        <v>9530</v>
      </c>
      <c r="F5693" t="s">
        <v>6811</v>
      </c>
      <c r="H5693" t="s">
        <v>4659</v>
      </c>
      <c r="K5693">
        <v>490</v>
      </c>
      <c r="L5693" t="s">
        <v>6803</v>
      </c>
    </row>
    <row r="5694" spans="1:12" x14ac:dyDescent="0.35">
      <c r="A5694" t="s">
        <v>3115</v>
      </c>
      <c r="B5694" s="1">
        <v>45735</v>
      </c>
      <c r="C5694" t="s">
        <v>7907</v>
      </c>
      <c r="D5694" t="s">
        <v>4658</v>
      </c>
      <c r="E5694" t="s">
        <v>9530</v>
      </c>
      <c r="F5694" t="s">
        <v>6802</v>
      </c>
      <c r="H5694" t="s">
        <v>4659</v>
      </c>
      <c r="K5694">
        <v>5552</v>
      </c>
      <c r="L5694" t="s">
        <v>6803</v>
      </c>
    </row>
    <row r="5695" spans="1:12" x14ac:dyDescent="0.35">
      <c r="A5695" t="s">
        <v>3115</v>
      </c>
      <c r="B5695" s="1">
        <v>45735</v>
      </c>
      <c r="C5695" t="s">
        <v>7907</v>
      </c>
      <c r="D5695" t="s">
        <v>4658</v>
      </c>
      <c r="E5695" t="s">
        <v>9530</v>
      </c>
      <c r="F5695" t="s">
        <v>8557</v>
      </c>
      <c r="G5695" t="s">
        <v>8558</v>
      </c>
      <c r="H5695" t="s">
        <v>4659</v>
      </c>
      <c r="J5695">
        <v>6042</v>
      </c>
      <c r="L5695" t="s">
        <v>5876</v>
      </c>
    </row>
    <row r="5696" spans="1:12" x14ac:dyDescent="0.35">
      <c r="A5696" t="s">
        <v>3115</v>
      </c>
      <c r="B5696" s="1">
        <v>45735</v>
      </c>
      <c r="C5696" t="s">
        <v>7909</v>
      </c>
      <c r="D5696" t="s">
        <v>4660</v>
      </c>
      <c r="E5696" t="s">
        <v>9531</v>
      </c>
      <c r="F5696" t="s">
        <v>6811</v>
      </c>
      <c r="H5696" t="s">
        <v>4661</v>
      </c>
      <c r="K5696">
        <v>980</v>
      </c>
      <c r="L5696" t="s">
        <v>6803</v>
      </c>
    </row>
    <row r="5697" spans="1:12" x14ac:dyDescent="0.35">
      <c r="A5697" t="s">
        <v>3115</v>
      </c>
      <c r="B5697" s="1">
        <v>45735</v>
      </c>
      <c r="C5697" t="s">
        <v>7909</v>
      </c>
      <c r="D5697" t="s">
        <v>4660</v>
      </c>
      <c r="E5697" t="s">
        <v>9531</v>
      </c>
      <c r="F5697" t="s">
        <v>6802</v>
      </c>
      <c r="H5697" t="s">
        <v>4661</v>
      </c>
      <c r="K5697">
        <v>10564</v>
      </c>
      <c r="L5697" t="s">
        <v>6803</v>
      </c>
    </row>
    <row r="5698" spans="1:12" x14ac:dyDescent="0.35">
      <c r="A5698" t="s">
        <v>3115</v>
      </c>
      <c r="B5698" s="1">
        <v>45735</v>
      </c>
      <c r="C5698" t="s">
        <v>7909</v>
      </c>
      <c r="D5698" t="s">
        <v>4660</v>
      </c>
      <c r="E5698" t="s">
        <v>9531</v>
      </c>
      <c r="F5698" t="s">
        <v>8557</v>
      </c>
      <c r="G5698" t="s">
        <v>8558</v>
      </c>
      <c r="H5698" t="s">
        <v>4661</v>
      </c>
      <c r="J5698">
        <v>11544</v>
      </c>
      <c r="L5698" t="s">
        <v>5874</v>
      </c>
    </row>
    <row r="5699" spans="1:12" x14ac:dyDescent="0.35">
      <c r="A5699" t="s">
        <v>3115</v>
      </c>
      <c r="B5699" s="1">
        <v>45735</v>
      </c>
      <c r="C5699" t="s">
        <v>7910</v>
      </c>
      <c r="D5699" t="s">
        <v>4662</v>
      </c>
      <c r="E5699" t="s">
        <v>9532</v>
      </c>
      <c r="F5699" t="s">
        <v>6808</v>
      </c>
      <c r="H5699" t="s">
        <v>4663</v>
      </c>
      <c r="K5699">
        <v>1944</v>
      </c>
      <c r="L5699" t="s">
        <v>6803</v>
      </c>
    </row>
    <row r="5700" spans="1:12" x14ac:dyDescent="0.35">
      <c r="A5700" t="s">
        <v>3115</v>
      </c>
      <c r="B5700" s="1">
        <v>45735</v>
      </c>
      <c r="C5700" t="s">
        <v>7910</v>
      </c>
      <c r="D5700" t="s">
        <v>4662</v>
      </c>
      <c r="E5700" t="s">
        <v>9532</v>
      </c>
      <c r="F5700" t="s">
        <v>8467</v>
      </c>
      <c r="G5700" t="s">
        <v>8567</v>
      </c>
      <c r="H5700" t="s">
        <v>4663</v>
      </c>
      <c r="J5700">
        <v>1944</v>
      </c>
      <c r="L5700" t="s">
        <v>5966</v>
      </c>
    </row>
    <row r="5701" spans="1:12" x14ac:dyDescent="0.35">
      <c r="A5701" t="s">
        <v>3115</v>
      </c>
      <c r="B5701" s="1">
        <v>45735</v>
      </c>
      <c r="C5701" t="s">
        <v>7911</v>
      </c>
      <c r="D5701" t="s">
        <v>4664</v>
      </c>
      <c r="E5701" t="s">
        <v>9533</v>
      </c>
      <c r="F5701" t="s">
        <v>6808</v>
      </c>
      <c r="H5701" t="s">
        <v>4665</v>
      </c>
      <c r="K5701">
        <v>1944</v>
      </c>
      <c r="L5701" t="s">
        <v>6803</v>
      </c>
    </row>
    <row r="5702" spans="1:12" x14ac:dyDescent="0.35">
      <c r="A5702" t="s">
        <v>3115</v>
      </c>
      <c r="B5702" s="1">
        <v>45735</v>
      </c>
      <c r="C5702" t="s">
        <v>7911</v>
      </c>
      <c r="D5702" t="s">
        <v>4664</v>
      </c>
      <c r="E5702" t="s">
        <v>9533</v>
      </c>
      <c r="F5702" t="s">
        <v>8467</v>
      </c>
      <c r="G5702" t="s">
        <v>8567</v>
      </c>
      <c r="H5702" t="s">
        <v>4665</v>
      </c>
      <c r="J5702">
        <v>1944</v>
      </c>
      <c r="L5702" t="s">
        <v>5966</v>
      </c>
    </row>
    <row r="5703" spans="1:12" x14ac:dyDescent="0.35">
      <c r="A5703" t="s">
        <v>3115</v>
      </c>
      <c r="B5703" s="1">
        <v>45735</v>
      </c>
      <c r="C5703" t="s">
        <v>7912</v>
      </c>
      <c r="D5703" t="s">
        <v>4666</v>
      </c>
      <c r="E5703" t="s">
        <v>9534</v>
      </c>
      <c r="F5703" t="s">
        <v>6811</v>
      </c>
      <c r="H5703" t="s">
        <v>4667</v>
      </c>
      <c r="K5703">
        <v>980</v>
      </c>
      <c r="L5703" t="s">
        <v>6803</v>
      </c>
    </row>
    <row r="5704" spans="1:12" x14ac:dyDescent="0.35">
      <c r="A5704" t="s">
        <v>3115</v>
      </c>
      <c r="B5704" s="1">
        <v>45735</v>
      </c>
      <c r="C5704" t="s">
        <v>7912</v>
      </c>
      <c r="D5704" t="s">
        <v>4666</v>
      </c>
      <c r="E5704" t="s">
        <v>9534</v>
      </c>
      <c r="F5704" t="s">
        <v>6802</v>
      </c>
      <c r="H5704" t="s">
        <v>4667</v>
      </c>
      <c r="K5704">
        <v>10564</v>
      </c>
      <c r="L5704" t="s">
        <v>6803</v>
      </c>
    </row>
    <row r="5705" spans="1:12" x14ac:dyDescent="0.35">
      <c r="A5705" t="s">
        <v>3115</v>
      </c>
      <c r="B5705" s="1">
        <v>45735</v>
      </c>
      <c r="C5705" t="s">
        <v>7912</v>
      </c>
      <c r="D5705" t="s">
        <v>4666</v>
      </c>
      <c r="E5705" t="s">
        <v>9534</v>
      </c>
      <c r="F5705" t="s">
        <v>8557</v>
      </c>
      <c r="G5705" t="s">
        <v>8558</v>
      </c>
      <c r="H5705" t="s">
        <v>4667</v>
      </c>
      <c r="J5705">
        <v>11544</v>
      </c>
      <c r="L5705" t="s">
        <v>5875</v>
      </c>
    </row>
    <row r="5706" spans="1:12" x14ac:dyDescent="0.35">
      <c r="A5706" t="s">
        <v>3115</v>
      </c>
      <c r="B5706" s="1">
        <v>45735</v>
      </c>
      <c r="C5706" t="s">
        <v>7913</v>
      </c>
      <c r="D5706" t="s">
        <v>4668</v>
      </c>
      <c r="E5706" t="s">
        <v>9535</v>
      </c>
      <c r="F5706" t="s">
        <v>6802</v>
      </c>
      <c r="H5706" t="s">
        <v>4669</v>
      </c>
      <c r="K5706">
        <v>3936</v>
      </c>
      <c r="L5706" t="s">
        <v>6803</v>
      </c>
    </row>
    <row r="5707" spans="1:12" x14ac:dyDescent="0.35">
      <c r="A5707" t="s">
        <v>3115</v>
      </c>
      <c r="B5707" s="1">
        <v>45735</v>
      </c>
      <c r="C5707" t="s">
        <v>7913</v>
      </c>
      <c r="D5707" t="s">
        <v>4668</v>
      </c>
      <c r="E5707" t="s">
        <v>9535</v>
      </c>
      <c r="F5707" t="s">
        <v>8537</v>
      </c>
      <c r="G5707" t="s">
        <v>8538</v>
      </c>
      <c r="H5707" t="s">
        <v>4669</v>
      </c>
      <c r="J5707">
        <v>3936</v>
      </c>
      <c r="L5707" t="s">
        <v>5875</v>
      </c>
    </row>
    <row r="5708" spans="1:12" x14ac:dyDescent="0.35">
      <c r="A5708" t="s">
        <v>3115</v>
      </c>
      <c r="B5708" s="1">
        <v>45735</v>
      </c>
      <c r="C5708" t="s">
        <v>7915</v>
      </c>
      <c r="D5708" t="s">
        <v>4670</v>
      </c>
      <c r="E5708" t="s">
        <v>9536</v>
      </c>
      <c r="F5708" t="s">
        <v>6802</v>
      </c>
      <c r="H5708" t="s">
        <v>4671</v>
      </c>
      <c r="K5708">
        <v>11348</v>
      </c>
      <c r="L5708" t="s">
        <v>6803</v>
      </c>
    </row>
    <row r="5709" spans="1:12" x14ac:dyDescent="0.35">
      <c r="A5709" t="s">
        <v>3115</v>
      </c>
      <c r="B5709" s="1">
        <v>45735</v>
      </c>
      <c r="C5709" t="s">
        <v>7915</v>
      </c>
      <c r="D5709" t="s">
        <v>4670</v>
      </c>
      <c r="E5709" t="s">
        <v>9536</v>
      </c>
      <c r="F5709" t="s">
        <v>8537</v>
      </c>
      <c r="G5709" t="s">
        <v>8538</v>
      </c>
      <c r="H5709" t="s">
        <v>4671</v>
      </c>
      <c r="J5709">
        <v>11348</v>
      </c>
      <c r="L5709" t="s">
        <v>5876</v>
      </c>
    </row>
    <row r="5710" spans="1:12" x14ac:dyDescent="0.35">
      <c r="A5710" t="s">
        <v>3115</v>
      </c>
      <c r="B5710" s="1">
        <v>45735</v>
      </c>
      <c r="C5710" t="s">
        <v>7916</v>
      </c>
      <c r="D5710" t="s">
        <v>4672</v>
      </c>
      <c r="E5710" t="s">
        <v>9536</v>
      </c>
      <c r="F5710" t="s">
        <v>6811</v>
      </c>
      <c r="H5710" t="s">
        <v>4673</v>
      </c>
      <c r="K5710">
        <v>1500</v>
      </c>
      <c r="L5710" t="s">
        <v>6803</v>
      </c>
    </row>
    <row r="5711" spans="1:12" x14ac:dyDescent="0.35">
      <c r="A5711" t="s">
        <v>3115</v>
      </c>
      <c r="B5711" s="1">
        <v>45735</v>
      </c>
      <c r="C5711" t="s">
        <v>7916</v>
      </c>
      <c r="D5711" t="s">
        <v>4672</v>
      </c>
      <c r="E5711" t="s">
        <v>9536</v>
      </c>
      <c r="F5711" t="s">
        <v>6802</v>
      </c>
      <c r="H5711" t="s">
        <v>4673</v>
      </c>
      <c r="K5711">
        <v>126</v>
      </c>
      <c r="L5711" t="s">
        <v>6803</v>
      </c>
    </row>
    <row r="5712" spans="1:12" x14ac:dyDescent="0.35">
      <c r="A5712" t="s">
        <v>3115</v>
      </c>
      <c r="B5712" s="1">
        <v>45735</v>
      </c>
      <c r="C5712" t="s">
        <v>7916</v>
      </c>
      <c r="D5712" t="s">
        <v>4672</v>
      </c>
      <c r="E5712" t="s">
        <v>9536</v>
      </c>
      <c r="F5712" t="s">
        <v>8557</v>
      </c>
      <c r="G5712" t="s">
        <v>8558</v>
      </c>
      <c r="H5712" t="s">
        <v>4673</v>
      </c>
      <c r="J5712">
        <v>1626</v>
      </c>
      <c r="L5712" t="s">
        <v>5876</v>
      </c>
    </row>
    <row r="5713" spans="1:12" x14ac:dyDescent="0.35">
      <c r="A5713" t="s">
        <v>3115</v>
      </c>
      <c r="B5713" s="1">
        <v>45735</v>
      </c>
      <c r="C5713" t="s">
        <v>7917</v>
      </c>
      <c r="D5713" t="s">
        <v>4674</v>
      </c>
      <c r="E5713" t="s">
        <v>9537</v>
      </c>
      <c r="F5713" t="s">
        <v>6808</v>
      </c>
      <c r="H5713" t="s">
        <v>4675</v>
      </c>
      <c r="K5713">
        <v>992</v>
      </c>
      <c r="L5713" t="s">
        <v>6803</v>
      </c>
    </row>
    <row r="5714" spans="1:12" x14ac:dyDescent="0.35">
      <c r="A5714" t="s">
        <v>3115</v>
      </c>
      <c r="B5714" s="1">
        <v>45735</v>
      </c>
      <c r="C5714" t="s">
        <v>7917</v>
      </c>
      <c r="D5714" t="s">
        <v>4674</v>
      </c>
      <c r="E5714" t="s">
        <v>9537</v>
      </c>
      <c r="F5714" t="s">
        <v>8467</v>
      </c>
      <c r="G5714" t="s">
        <v>8567</v>
      </c>
      <c r="H5714" t="s">
        <v>4675</v>
      </c>
      <c r="J5714">
        <v>992</v>
      </c>
      <c r="L5714" t="s">
        <v>5873</v>
      </c>
    </row>
    <row r="5715" spans="1:12" x14ac:dyDescent="0.35">
      <c r="A5715" t="s">
        <v>3115</v>
      </c>
      <c r="B5715" s="1">
        <v>45735</v>
      </c>
      <c r="C5715" t="s">
        <v>7918</v>
      </c>
      <c r="D5715" t="s">
        <v>4676</v>
      </c>
      <c r="E5715" t="s">
        <v>9538</v>
      </c>
      <c r="F5715" t="s">
        <v>6808</v>
      </c>
      <c r="H5715" t="s">
        <v>4677</v>
      </c>
      <c r="K5715">
        <v>1649</v>
      </c>
      <c r="L5715" t="s">
        <v>6803</v>
      </c>
    </row>
    <row r="5716" spans="1:12" x14ac:dyDescent="0.35">
      <c r="A5716" t="s">
        <v>3115</v>
      </c>
      <c r="B5716" s="1">
        <v>45735</v>
      </c>
      <c r="C5716" t="s">
        <v>7918</v>
      </c>
      <c r="D5716" t="s">
        <v>4676</v>
      </c>
      <c r="E5716" t="s">
        <v>9538</v>
      </c>
      <c r="F5716" t="s">
        <v>6802</v>
      </c>
      <c r="H5716" t="s">
        <v>4677</v>
      </c>
      <c r="K5716">
        <v>3178</v>
      </c>
      <c r="L5716" t="s">
        <v>6803</v>
      </c>
    </row>
    <row r="5717" spans="1:12" x14ac:dyDescent="0.35">
      <c r="A5717" t="s">
        <v>3115</v>
      </c>
      <c r="B5717" s="1">
        <v>45735</v>
      </c>
      <c r="C5717" t="s">
        <v>7918</v>
      </c>
      <c r="D5717" t="s">
        <v>4676</v>
      </c>
      <c r="E5717" t="s">
        <v>9538</v>
      </c>
      <c r="F5717" t="s">
        <v>8467</v>
      </c>
      <c r="G5717" t="s">
        <v>8567</v>
      </c>
      <c r="H5717" t="s">
        <v>4677</v>
      </c>
      <c r="J5717">
        <v>4827</v>
      </c>
      <c r="L5717" t="s">
        <v>5881</v>
      </c>
    </row>
    <row r="5718" spans="1:12" x14ac:dyDescent="0.35">
      <c r="A5718" t="s">
        <v>3115</v>
      </c>
      <c r="B5718" s="1">
        <v>45735</v>
      </c>
      <c r="C5718" t="s">
        <v>7919</v>
      </c>
      <c r="D5718" t="s">
        <v>4678</v>
      </c>
      <c r="E5718" t="s">
        <v>9539</v>
      </c>
      <c r="F5718" t="s">
        <v>6802</v>
      </c>
      <c r="H5718" t="s">
        <v>4679</v>
      </c>
      <c r="K5718">
        <v>74911</v>
      </c>
      <c r="L5718" t="s">
        <v>6803</v>
      </c>
    </row>
    <row r="5719" spans="1:12" x14ac:dyDescent="0.35">
      <c r="A5719" t="s">
        <v>3115</v>
      </c>
      <c r="B5719" s="1">
        <v>45735</v>
      </c>
      <c r="C5719" t="s">
        <v>7919</v>
      </c>
      <c r="D5719" t="s">
        <v>4678</v>
      </c>
      <c r="E5719" t="s">
        <v>9539</v>
      </c>
      <c r="F5719" t="s">
        <v>8537</v>
      </c>
      <c r="G5719" t="s">
        <v>8538</v>
      </c>
      <c r="H5719" t="s">
        <v>4679</v>
      </c>
      <c r="J5719">
        <v>74911</v>
      </c>
      <c r="L5719" t="s">
        <v>5875</v>
      </c>
    </row>
    <row r="5720" spans="1:12" x14ac:dyDescent="0.35">
      <c r="A5720" t="s">
        <v>3115</v>
      </c>
      <c r="B5720" s="1">
        <v>45735</v>
      </c>
      <c r="C5720" t="s">
        <v>7920</v>
      </c>
      <c r="D5720" t="s">
        <v>4680</v>
      </c>
      <c r="E5720" t="s">
        <v>9540</v>
      </c>
      <c r="F5720" t="s">
        <v>6915</v>
      </c>
      <c r="H5720" t="s">
        <v>4681</v>
      </c>
      <c r="K5720">
        <v>120400</v>
      </c>
      <c r="L5720" t="s">
        <v>6803</v>
      </c>
    </row>
    <row r="5721" spans="1:12" x14ac:dyDescent="0.35">
      <c r="A5721" t="s">
        <v>3115</v>
      </c>
      <c r="B5721" s="1">
        <v>45735</v>
      </c>
      <c r="C5721" t="s">
        <v>7920</v>
      </c>
      <c r="D5721" t="s">
        <v>4680</v>
      </c>
      <c r="E5721" t="s">
        <v>9540</v>
      </c>
      <c r="F5721" t="s">
        <v>8569</v>
      </c>
      <c r="G5721" t="s">
        <v>8570</v>
      </c>
      <c r="H5721" t="s">
        <v>4681</v>
      </c>
      <c r="J5721">
        <v>120400</v>
      </c>
      <c r="L5721" t="s">
        <v>5875</v>
      </c>
    </row>
    <row r="5722" spans="1:12" x14ac:dyDescent="0.35">
      <c r="A5722" t="s">
        <v>3115</v>
      </c>
      <c r="B5722" s="1">
        <v>45735</v>
      </c>
      <c r="C5722" t="s">
        <v>7921</v>
      </c>
      <c r="D5722" t="s">
        <v>4682</v>
      </c>
      <c r="E5722" t="s">
        <v>9540</v>
      </c>
      <c r="F5722" t="s">
        <v>6802</v>
      </c>
      <c r="H5722" t="s">
        <v>4683</v>
      </c>
      <c r="K5722">
        <v>252217</v>
      </c>
      <c r="L5722" t="s">
        <v>6803</v>
      </c>
    </row>
    <row r="5723" spans="1:12" x14ac:dyDescent="0.35">
      <c r="A5723" t="s">
        <v>3115</v>
      </c>
      <c r="B5723" s="1">
        <v>45735</v>
      </c>
      <c r="C5723" t="s">
        <v>7921</v>
      </c>
      <c r="D5723" t="s">
        <v>4682</v>
      </c>
      <c r="E5723" t="s">
        <v>9540</v>
      </c>
      <c r="F5723" t="s">
        <v>8537</v>
      </c>
      <c r="G5723" t="s">
        <v>8538</v>
      </c>
      <c r="H5723" t="s">
        <v>4683</v>
      </c>
      <c r="J5723">
        <v>252217</v>
      </c>
      <c r="L5723" t="s">
        <v>5875</v>
      </c>
    </row>
    <row r="5724" spans="1:12" x14ac:dyDescent="0.35">
      <c r="A5724" t="s">
        <v>3115</v>
      </c>
      <c r="B5724" s="1">
        <v>45735</v>
      </c>
      <c r="C5724" t="s">
        <v>7922</v>
      </c>
      <c r="D5724" t="s">
        <v>4684</v>
      </c>
      <c r="E5724" t="s">
        <v>9541</v>
      </c>
      <c r="F5724" t="s">
        <v>6802</v>
      </c>
      <c r="H5724" t="s">
        <v>4685</v>
      </c>
      <c r="K5724">
        <v>3214</v>
      </c>
      <c r="L5724" t="s">
        <v>6803</v>
      </c>
    </row>
    <row r="5725" spans="1:12" x14ac:dyDescent="0.35">
      <c r="A5725" t="s">
        <v>3115</v>
      </c>
      <c r="B5725" s="1">
        <v>45735</v>
      </c>
      <c r="C5725" t="s">
        <v>7922</v>
      </c>
      <c r="D5725" t="s">
        <v>4684</v>
      </c>
      <c r="E5725" t="s">
        <v>9541</v>
      </c>
      <c r="F5725" t="s">
        <v>6802</v>
      </c>
      <c r="H5725" t="s">
        <v>4685</v>
      </c>
      <c r="K5725">
        <v>181701</v>
      </c>
      <c r="L5725" t="s">
        <v>6803</v>
      </c>
    </row>
    <row r="5726" spans="1:12" x14ac:dyDescent="0.35">
      <c r="A5726" t="s">
        <v>3115</v>
      </c>
      <c r="B5726" s="1">
        <v>45735</v>
      </c>
      <c r="C5726" t="s">
        <v>7922</v>
      </c>
      <c r="D5726" t="s">
        <v>4684</v>
      </c>
      <c r="E5726" t="s">
        <v>9541</v>
      </c>
      <c r="F5726" t="s">
        <v>8537</v>
      </c>
      <c r="G5726" t="s">
        <v>8538</v>
      </c>
      <c r="H5726" t="s">
        <v>4685</v>
      </c>
      <c r="J5726">
        <v>184915</v>
      </c>
      <c r="L5726" t="s">
        <v>5875</v>
      </c>
    </row>
    <row r="5727" spans="1:12" x14ac:dyDescent="0.35">
      <c r="A5727" t="s">
        <v>3115</v>
      </c>
      <c r="B5727" s="1">
        <v>45735</v>
      </c>
      <c r="C5727" t="s">
        <v>7923</v>
      </c>
      <c r="D5727" t="s">
        <v>4686</v>
      </c>
      <c r="E5727" t="s">
        <v>9542</v>
      </c>
      <c r="F5727" t="s">
        <v>6802</v>
      </c>
      <c r="H5727" t="s">
        <v>4687</v>
      </c>
      <c r="K5727">
        <v>5040</v>
      </c>
      <c r="L5727" t="s">
        <v>6803</v>
      </c>
    </row>
    <row r="5728" spans="1:12" x14ac:dyDescent="0.35">
      <c r="A5728" t="s">
        <v>3115</v>
      </c>
      <c r="B5728" s="1">
        <v>45735</v>
      </c>
      <c r="C5728" t="s">
        <v>7923</v>
      </c>
      <c r="D5728" t="s">
        <v>4686</v>
      </c>
      <c r="E5728" t="s">
        <v>9542</v>
      </c>
      <c r="F5728" t="s">
        <v>8557</v>
      </c>
      <c r="G5728" t="s">
        <v>8558</v>
      </c>
      <c r="H5728" t="s">
        <v>4687</v>
      </c>
      <c r="J5728">
        <v>5040</v>
      </c>
      <c r="L5728" t="s">
        <v>5874</v>
      </c>
    </row>
    <row r="5729" spans="1:12" x14ac:dyDescent="0.35">
      <c r="A5729" t="s">
        <v>3115</v>
      </c>
      <c r="B5729" s="1">
        <v>45735</v>
      </c>
      <c r="C5729" t="s">
        <v>7924</v>
      </c>
      <c r="D5729" t="s">
        <v>4688</v>
      </c>
      <c r="E5729" t="s">
        <v>9543</v>
      </c>
      <c r="F5729" t="s">
        <v>6802</v>
      </c>
      <c r="H5729" t="s">
        <v>4689</v>
      </c>
      <c r="K5729">
        <v>5000</v>
      </c>
      <c r="L5729" t="s">
        <v>6803</v>
      </c>
    </row>
    <row r="5730" spans="1:12" x14ac:dyDescent="0.35">
      <c r="A5730" t="s">
        <v>3115</v>
      </c>
      <c r="B5730" s="1">
        <v>45735</v>
      </c>
      <c r="C5730" t="s">
        <v>7924</v>
      </c>
      <c r="D5730" t="s">
        <v>4688</v>
      </c>
      <c r="E5730" t="s">
        <v>9543</v>
      </c>
      <c r="F5730" t="s">
        <v>8557</v>
      </c>
      <c r="G5730" t="s">
        <v>8558</v>
      </c>
      <c r="H5730" t="s">
        <v>4689</v>
      </c>
      <c r="J5730">
        <v>5000</v>
      </c>
      <c r="L5730" t="s">
        <v>5958</v>
      </c>
    </row>
    <row r="5731" spans="1:12" x14ac:dyDescent="0.35">
      <c r="A5731" t="s">
        <v>3115</v>
      </c>
      <c r="B5731" s="1">
        <v>45735</v>
      </c>
      <c r="C5731" t="s">
        <v>7925</v>
      </c>
      <c r="D5731" t="s">
        <v>4690</v>
      </c>
      <c r="E5731" t="s">
        <v>8703</v>
      </c>
      <c r="F5731" t="s">
        <v>6802</v>
      </c>
      <c r="H5731" t="s">
        <v>4691</v>
      </c>
      <c r="K5731">
        <v>250000</v>
      </c>
      <c r="L5731" t="s">
        <v>6803</v>
      </c>
    </row>
    <row r="5732" spans="1:12" x14ac:dyDescent="0.35">
      <c r="A5732" t="s">
        <v>3115</v>
      </c>
      <c r="B5732" s="1">
        <v>45735</v>
      </c>
      <c r="C5732" t="s">
        <v>7925</v>
      </c>
      <c r="D5732" t="s">
        <v>4690</v>
      </c>
      <c r="E5732" t="s">
        <v>8703</v>
      </c>
      <c r="F5732" t="s">
        <v>8557</v>
      </c>
      <c r="G5732" t="s">
        <v>8558</v>
      </c>
      <c r="H5732" t="s">
        <v>4691</v>
      </c>
      <c r="J5732">
        <v>250000</v>
      </c>
      <c r="L5732" t="s">
        <v>5875</v>
      </c>
    </row>
    <row r="5733" spans="1:12" x14ac:dyDescent="0.35">
      <c r="A5733" t="s">
        <v>3115</v>
      </c>
      <c r="B5733" s="1">
        <v>45735</v>
      </c>
      <c r="C5733" t="s">
        <v>7926</v>
      </c>
      <c r="D5733" t="s">
        <v>4692</v>
      </c>
      <c r="E5733" t="s">
        <v>9544</v>
      </c>
      <c r="F5733" t="s">
        <v>6802</v>
      </c>
      <c r="H5733" t="s">
        <v>4693</v>
      </c>
      <c r="K5733">
        <v>180000</v>
      </c>
      <c r="L5733" t="s">
        <v>6803</v>
      </c>
    </row>
    <row r="5734" spans="1:12" x14ac:dyDescent="0.35">
      <c r="A5734" t="s">
        <v>3115</v>
      </c>
      <c r="B5734" s="1">
        <v>45735</v>
      </c>
      <c r="C5734" t="s">
        <v>7926</v>
      </c>
      <c r="D5734" t="s">
        <v>4692</v>
      </c>
      <c r="E5734" t="s">
        <v>9544</v>
      </c>
      <c r="F5734" t="s">
        <v>8557</v>
      </c>
      <c r="G5734" t="s">
        <v>8558</v>
      </c>
      <c r="H5734" t="s">
        <v>4693</v>
      </c>
      <c r="J5734">
        <v>180000</v>
      </c>
      <c r="L5734" t="s">
        <v>5946</v>
      </c>
    </row>
    <row r="5735" spans="1:12" x14ac:dyDescent="0.35">
      <c r="A5735" t="s">
        <v>3115</v>
      </c>
      <c r="B5735" s="1">
        <v>45735</v>
      </c>
      <c r="C5735" t="s">
        <v>7927</v>
      </c>
      <c r="D5735" t="s">
        <v>4694</v>
      </c>
      <c r="E5735" t="s">
        <v>9545</v>
      </c>
      <c r="F5735" t="s">
        <v>6802</v>
      </c>
      <c r="H5735" t="s">
        <v>4695</v>
      </c>
      <c r="K5735">
        <v>80000</v>
      </c>
      <c r="L5735" t="s">
        <v>6803</v>
      </c>
    </row>
    <row r="5736" spans="1:12" x14ac:dyDescent="0.35">
      <c r="A5736" t="s">
        <v>3115</v>
      </c>
      <c r="B5736" s="1">
        <v>45735</v>
      </c>
      <c r="C5736" t="s">
        <v>7927</v>
      </c>
      <c r="D5736" t="s">
        <v>4694</v>
      </c>
      <c r="E5736" t="s">
        <v>9545</v>
      </c>
      <c r="F5736" t="s">
        <v>8557</v>
      </c>
      <c r="G5736" t="s">
        <v>8558</v>
      </c>
      <c r="H5736" t="s">
        <v>4695</v>
      </c>
      <c r="J5736">
        <v>80000</v>
      </c>
      <c r="L5736" t="s">
        <v>5880</v>
      </c>
    </row>
    <row r="5737" spans="1:12" x14ac:dyDescent="0.35">
      <c r="A5737" t="s">
        <v>3115</v>
      </c>
      <c r="B5737" s="1">
        <v>45735</v>
      </c>
      <c r="C5737" t="s">
        <v>7929</v>
      </c>
      <c r="D5737" t="s">
        <v>4696</v>
      </c>
      <c r="E5737" t="s">
        <v>9546</v>
      </c>
      <c r="F5737" t="s">
        <v>6802</v>
      </c>
      <c r="H5737" t="s">
        <v>4697</v>
      </c>
      <c r="K5737">
        <v>5000</v>
      </c>
      <c r="L5737" t="s">
        <v>6803</v>
      </c>
    </row>
    <row r="5738" spans="1:12" x14ac:dyDescent="0.35">
      <c r="A5738" t="s">
        <v>3115</v>
      </c>
      <c r="B5738" s="1">
        <v>45735</v>
      </c>
      <c r="C5738" t="s">
        <v>7929</v>
      </c>
      <c r="D5738" t="s">
        <v>4696</v>
      </c>
      <c r="E5738" t="s">
        <v>9546</v>
      </c>
      <c r="F5738" t="s">
        <v>8557</v>
      </c>
      <c r="G5738" t="s">
        <v>8558</v>
      </c>
      <c r="H5738" t="s">
        <v>4697</v>
      </c>
      <c r="J5738">
        <v>5000</v>
      </c>
      <c r="L5738" t="s">
        <v>5876</v>
      </c>
    </row>
    <row r="5739" spans="1:12" x14ac:dyDescent="0.35">
      <c r="A5739" t="s">
        <v>3115</v>
      </c>
      <c r="B5739" s="1">
        <v>45735</v>
      </c>
      <c r="C5739" t="s">
        <v>7930</v>
      </c>
      <c r="D5739" t="s">
        <v>4698</v>
      </c>
      <c r="E5739" t="s">
        <v>9547</v>
      </c>
      <c r="F5739" t="s">
        <v>6802</v>
      </c>
      <c r="H5739" t="s">
        <v>4699</v>
      </c>
      <c r="K5739">
        <v>5000</v>
      </c>
      <c r="L5739" t="s">
        <v>6803</v>
      </c>
    </row>
    <row r="5740" spans="1:12" x14ac:dyDescent="0.35">
      <c r="A5740" t="s">
        <v>3115</v>
      </c>
      <c r="B5740" s="1">
        <v>45735</v>
      </c>
      <c r="C5740" t="s">
        <v>7930</v>
      </c>
      <c r="D5740" t="s">
        <v>4698</v>
      </c>
      <c r="E5740" t="s">
        <v>9547</v>
      </c>
      <c r="F5740" t="s">
        <v>8557</v>
      </c>
      <c r="G5740" t="s">
        <v>8558</v>
      </c>
      <c r="H5740" t="s">
        <v>4699</v>
      </c>
      <c r="J5740">
        <v>5000</v>
      </c>
      <c r="L5740" t="s">
        <v>5876</v>
      </c>
    </row>
    <row r="5741" spans="1:12" x14ac:dyDescent="0.35">
      <c r="A5741" t="s">
        <v>3115</v>
      </c>
      <c r="B5741" s="1">
        <v>45735</v>
      </c>
      <c r="C5741" t="s">
        <v>7931</v>
      </c>
      <c r="D5741" t="s">
        <v>4700</v>
      </c>
      <c r="E5741" t="s">
        <v>9548</v>
      </c>
      <c r="F5741" t="s">
        <v>6802</v>
      </c>
      <c r="H5741" t="s">
        <v>4701</v>
      </c>
      <c r="K5741">
        <v>5000</v>
      </c>
      <c r="L5741" t="s">
        <v>6803</v>
      </c>
    </row>
    <row r="5742" spans="1:12" x14ac:dyDescent="0.35">
      <c r="A5742" t="s">
        <v>3115</v>
      </c>
      <c r="B5742" s="1">
        <v>45735</v>
      </c>
      <c r="C5742" t="s">
        <v>7931</v>
      </c>
      <c r="D5742" t="s">
        <v>4700</v>
      </c>
      <c r="E5742" t="s">
        <v>9548</v>
      </c>
      <c r="F5742" t="s">
        <v>8557</v>
      </c>
      <c r="G5742" t="s">
        <v>8558</v>
      </c>
      <c r="H5742" t="s">
        <v>4701</v>
      </c>
      <c r="J5742">
        <v>5000</v>
      </c>
      <c r="L5742" t="s">
        <v>5876</v>
      </c>
    </row>
    <row r="5743" spans="1:12" x14ac:dyDescent="0.35">
      <c r="A5743" t="s">
        <v>3115</v>
      </c>
      <c r="B5743" s="1">
        <v>45735</v>
      </c>
      <c r="C5743" t="s">
        <v>7932</v>
      </c>
      <c r="D5743" t="s">
        <v>4702</v>
      </c>
      <c r="E5743" t="s">
        <v>9549</v>
      </c>
      <c r="F5743" t="s">
        <v>6811</v>
      </c>
      <c r="H5743" t="s">
        <v>4703</v>
      </c>
      <c r="K5743">
        <v>17820</v>
      </c>
      <c r="L5743" t="s">
        <v>6803</v>
      </c>
    </row>
    <row r="5744" spans="1:12" x14ac:dyDescent="0.35">
      <c r="A5744" t="s">
        <v>3115</v>
      </c>
      <c r="B5744" s="1">
        <v>45735</v>
      </c>
      <c r="C5744" t="s">
        <v>7932</v>
      </c>
      <c r="D5744" t="s">
        <v>4702</v>
      </c>
      <c r="E5744" t="s">
        <v>9549</v>
      </c>
      <c r="F5744" t="s">
        <v>6802</v>
      </c>
      <c r="H5744" t="s">
        <v>4703</v>
      </c>
      <c r="K5744">
        <v>546</v>
      </c>
      <c r="L5744" t="s">
        <v>6803</v>
      </c>
    </row>
    <row r="5745" spans="1:12" x14ac:dyDescent="0.35">
      <c r="A5745" t="s">
        <v>3115</v>
      </c>
      <c r="B5745" s="1">
        <v>45735</v>
      </c>
      <c r="C5745" t="s">
        <v>7932</v>
      </c>
      <c r="D5745" t="s">
        <v>4702</v>
      </c>
      <c r="E5745" t="s">
        <v>9549</v>
      </c>
      <c r="F5745" t="s">
        <v>8557</v>
      </c>
      <c r="G5745" t="s">
        <v>8558</v>
      </c>
      <c r="H5745" t="s">
        <v>4703</v>
      </c>
      <c r="J5745">
        <v>18366</v>
      </c>
      <c r="L5745" t="s">
        <v>5874</v>
      </c>
    </row>
    <row r="5746" spans="1:12" x14ac:dyDescent="0.35">
      <c r="A5746" t="s">
        <v>3115</v>
      </c>
      <c r="B5746" s="1">
        <v>45735</v>
      </c>
      <c r="C5746" t="s">
        <v>7933</v>
      </c>
      <c r="D5746" t="s">
        <v>4704</v>
      </c>
      <c r="E5746" t="s">
        <v>9550</v>
      </c>
      <c r="F5746" t="s">
        <v>6802</v>
      </c>
      <c r="H5746" t="s">
        <v>4705</v>
      </c>
      <c r="K5746">
        <v>5000</v>
      </c>
      <c r="L5746" t="s">
        <v>6803</v>
      </c>
    </row>
    <row r="5747" spans="1:12" x14ac:dyDescent="0.35">
      <c r="A5747" t="s">
        <v>3115</v>
      </c>
      <c r="B5747" s="1">
        <v>45735</v>
      </c>
      <c r="C5747" t="s">
        <v>7933</v>
      </c>
      <c r="D5747" t="s">
        <v>4704</v>
      </c>
      <c r="E5747" t="s">
        <v>9550</v>
      </c>
      <c r="F5747" t="s">
        <v>8557</v>
      </c>
      <c r="G5747" t="s">
        <v>8558</v>
      </c>
      <c r="H5747" t="s">
        <v>4705</v>
      </c>
      <c r="J5747">
        <v>5000</v>
      </c>
      <c r="L5747" t="s">
        <v>5876</v>
      </c>
    </row>
    <row r="5748" spans="1:12" x14ac:dyDescent="0.35">
      <c r="A5748" t="s">
        <v>3115</v>
      </c>
      <c r="B5748" s="1">
        <v>45735</v>
      </c>
      <c r="C5748" t="s">
        <v>7935</v>
      </c>
      <c r="D5748" t="s">
        <v>4706</v>
      </c>
      <c r="E5748" t="s">
        <v>9551</v>
      </c>
      <c r="F5748" t="s">
        <v>6811</v>
      </c>
      <c r="H5748" t="s">
        <v>4707</v>
      </c>
      <c r="K5748">
        <v>679</v>
      </c>
      <c r="L5748" t="s">
        <v>6803</v>
      </c>
    </row>
    <row r="5749" spans="1:12" x14ac:dyDescent="0.35">
      <c r="A5749" t="s">
        <v>3115</v>
      </c>
      <c r="B5749" s="1">
        <v>45735</v>
      </c>
      <c r="C5749" t="s">
        <v>7935</v>
      </c>
      <c r="D5749" t="s">
        <v>4706</v>
      </c>
      <c r="E5749" t="s">
        <v>9551</v>
      </c>
      <c r="F5749" t="s">
        <v>8557</v>
      </c>
      <c r="G5749" t="s">
        <v>8558</v>
      </c>
      <c r="H5749" t="s">
        <v>4707</v>
      </c>
      <c r="J5749">
        <v>679</v>
      </c>
      <c r="L5749" t="s">
        <v>5949</v>
      </c>
    </row>
    <row r="5750" spans="1:12" x14ac:dyDescent="0.35">
      <c r="A5750" t="s">
        <v>3115</v>
      </c>
      <c r="B5750" s="1">
        <v>45735</v>
      </c>
      <c r="C5750" t="s">
        <v>7936</v>
      </c>
      <c r="D5750" t="s">
        <v>4708</v>
      </c>
      <c r="E5750" t="s">
        <v>9552</v>
      </c>
      <c r="F5750" t="s">
        <v>6802</v>
      </c>
      <c r="H5750" t="s">
        <v>4709</v>
      </c>
      <c r="K5750">
        <v>6356</v>
      </c>
      <c r="L5750" t="s">
        <v>6803</v>
      </c>
    </row>
    <row r="5751" spans="1:12" x14ac:dyDescent="0.35">
      <c r="A5751" t="s">
        <v>3115</v>
      </c>
      <c r="B5751" s="1">
        <v>45735</v>
      </c>
      <c r="C5751" t="s">
        <v>7936</v>
      </c>
      <c r="D5751" t="s">
        <v>4708</v>
      </c>
      <c r="E5751" t="s">
        <v>9552</v>
      </c>
      <c r="F5751" t="s">
        <v>8467</v>
      </c>
      <c r="G5751" t="s">
        <v>8567</v>
      </c>
      <c r="H5751" t="s">
        <v>4709</v>
      </c>
      <c r="J5751">
        <v>6356</v>
      </c>
      <c r="L5751" t="s">
        <v>5874</v>
      </c>
    </row>
    <row r="5752" spans="1:12" x14ac:dyDescent="0.35">
      <c r="A5752" t="s">
        <v>3115</v>
      </c>
      <c r="B5752" s="1">
        <v>45735</v>
      </c>
      <c r="C5752" t="s">
        <v>7937</v>
      </c>
      <c r="D5752" t="s">
        <v>4710</v>
      </c>
      <c r="E5752" t="s">
        <v>9553</v>
      </c>
      <c r="F5752" t="s">
        <v>6811</v>
      </c>
      <c r="H5752" t="s">
        <v>4711</v>
      </c>
      <c r="K5752">
        <v>13583</v>
      </c>
      <c r="L5752" t="s">
        <v>6803</v>
      </c>
    </row>
    <row r="5753" spans="1:12" x14ac:dyDescent="0.35">
      <c r="A5753" t="s">
        <v>3115</v>
      </c>
      <c r="B5753" s="1">
        <v>45735</v>
      </c>
      <c r="C5753" t="s">
        <v>7937</v>
      </c>
      <c r="D5753" t="s">
        <v>4710</v>
      </c>
      <c r="E5753" t="s">
        <v>9553</v>
      </c>
      <c r="F5753" t="s">
        <v>8557</v>
      </c>
      <c r="G5753" t="s">
        <v>8558</v>
      </c>
      <c r="H5753" t="s">
        <v>4711</v>
      </c>
      <c r="J5753">
        <v>13583</v>
      </c>
      <c r="L5753" t="s">
        <v>5958</v>
      </c>
    </row>
    <row r="5754" spans="1:12" x14ac:dyDescent="0.35">
      <c r="A5754" t="s">
        <v>3115</v>
      </c>
      <c r="B5754" s="1">
        <v>45735</v>
      </c>
      <c r="C5754" t="s">
        <v>7938</v>
      </c>
      <c r="D5754" t="s">
        <v>4712</v>
      </c>
      <c r="E5754" t="s">
        <v>9554</v>
      </c>
      <c r="F5754" t="s">
        <v>6811</v>
      </c>
      <c r="H5754" t="s">
        <v>4713</v>
      </c>
      <c r="K5754">
        <v>9168</v>
      </c>
      <c r="L5754" t="s">
        <v>6803</v>
      </c>
    </row>
    <row r="5755" spans="1:12" x14ac:dyDescent="0.35">
      <c r="A5755" t="s">
        <v>3115</v>
      </c>
      <c r="B5755" s="1">
        <v>45735</v>
      </c>
      <c r="C5755" t="s">
        <v>7938</v>
      </c>
      <c r="D5755" t="s">
        <v>4712</v>
      </c>
      <c r="E5755" t="s">
        <v>9554</v>
      </c>
      <c r="F5755" t="s">
        <v>8557</v>
      </c>
      <c r="G5755" t="s">
        <v>8558</v>
      </c>
      <c r="H5755" t="s">
        <v>4713</v>
      </c>
      <c r="J5755">
        <v>9168</v>
      </c>
      <c r="L5755" t="s">
        <v>5931</v>
      </c>
    </row>
    <row r="5756" spans="1:12" x14ac:dyDescent="0.35">
      <c r="A5756" t="s">
        <v>3115</v>
      </c>
      <c r="B5756" s="1">
        <v>45735</v>
      </c>
      <c r="C5756" t="s">
        <v>7939</v>
      </c>
      <c r="D5756" t="s">
        <v>4714</v>
      </c>
      <c r="E5756" t="s">
        <v>9555</v>
      </c>
      <c r="F5756" t="s">
        <v>6802</v>
      </c>
      <c r="H5756" t="s">
        <v>4715</v>
      </c>
      <c r="K5756">
        <v>5000</v>
      </c>
      <c r="L5756" t="s">
        <v>6803</v>
      </c>
    </row>
    <row r="5757" spans="1:12" x14ac:dyDescent="0.35">
      <c r="A5757" t="s">
        <v>3115</v>
      </c>
      <c r="B5757" s="1">
        <v>45735</v>
      </c>
      <c r="C5757" t="s">
        <v>7939</v>
      </c>
      <c r="D5757" t="s">
        <v>4714</v>
      </c>
      <c r="E5757" t="s">
        <v>9555</v>
      </c>
      <c r="F5757" t="s">
        <v>8557</v>
      </c>
      <c r="G5757" t="s">
        <v>8558</v>
      </c>
      <c r="H5757" t="s">
        <v>4715</v>
      </c>
      <c r="J5757">
        <v>5000</v>
      </c>
      <c r="L5757" t="s">
        <v>5875</v>
      </c>
    </row>
    <row r="5758" spans="1:12" x14ac:dyDescent="0.35">
      <c r="A5758" t="s">
        <v>3115</v>
      </c>
      <c r="B5758" s="1">
        <v>45735</v>
      </c>
      <c r="C5758" t="s">
        <v>7940</v>
      </c>
      <c r="D5758" t="s">
        <v>4716</v>
      </c>
      <c r="E5758" t="s">
        <v>9556</v>
      </c>
      <c r="F5758" t="s">
        <v>6802</v>
      </c>
      <c r="H5758" t="s">
        <v>4717</v>
      </c>
      <c r="K5758">
        <v>70000</v>
      </c>
      <c r="L5758" t="s">
        <v>6803</v>
      </c>
    </row>
    <row r="5759" spans="1:12" x14ac:dyDescent="0.35">
      <c r="A5759" t="s">
        <v>3115</v>
      </c>
      <c r="B5759" s="1">
        <v>45735</v>
      </c>
      <c r="C5759" t="s">
        <v>7940</v>
      </c>
      <c r="D5759" t="s">
        <v>4716</v>
      </c>
      <c r="E5759" t="s">
        <v>9556</v>
      </c>
      <c r="F5759" t="s">
        <v>8557</v>
      </c>
      <c r="G5759" t="s">
        <v>8558</v>
      </c>
      <c r="H5759" t="s">
        <v>4717</v>
      </c>
      <c r="J5759">
        <v>70000</v>
      </c>
      <c r="L5759" t="s">
        <v>5881</v>
      </c>
    </row>
    <row r="5760" spans="1:12" x14ac:dyDescent="0.35">
      <c r="A5760" t="s">
        <v>3115</v>
      </c>
      <c r="B5760" s="1">
        <v>45735</v>
      </c>
      <c r="C5760" t="s">
        <v>7941</v>
      </c>
      <c r="D5760" t="s">
        <v>4718</v>
      </c>
      <c r="E5760" t="s">
        <v>8615</v>
      </c>
      <c r="F5760" t="s">
        <v>6802</v>
      </c>
      <c r="H5760" t="s">
        <v>4719</v>
      </c>
      <c r="K5760">
        <v>18000</v>
      </c>
      <c r="L5760" t="s">
        <v>6803</v>
      </c>
    </row>
    <row r="5761" spans="1:12" x14ac:dyDescent="0.35">
      <c r="A5761" t="s">
        <v>3115</v>
      </c>
      <c r="B5761" s="1">
        <v>45735</v>
      </c>
      <c r="C5761" t="s">
        <v>7941</v>
      </c>
      <c r="D5761" t="s">
        <v>4718</v>
      </c>
      <c r="E5761" t="s">
        <v>8615</v>
      </c>
      <c r="F5761" t="s">
        <v>8557</v>
      </c>
      <c r="G5761" t="s">
        <v>8558</v>
      </c>
      <c r="H5761" t="s">
        <v>4719</v>
      </c>
      <c r="J5761">
        <v>18000</v>
      </c>
      <c r="L5761" t="s">
        <v>5880</v>
      </c>
    </row>
    <row r="5762" spans="1:12" x14ac:dyDescent="0.35">
      <c r="A5762" t="s">
        <v>3115</v>
      </c>
      <c r="B5762" s="1">
        <v>45735</v>
      </c>
      <c r="C5762" t="s">
        <v>7942</v>
      </c>
      <c r="D5762" t="s">
        <v>4720</v>
      </c>
      <c r="E5762" t="s">
        <v>9557</v>
      </c>
      <c r="F5762" t="s">
        <v>6802</v>
      </c>
      <c r="H5762" t="s">
        <v>4721</v>
      </c>
      <c r="K5762">
        <v>18</v>
      </c>
      <c r="L5762" t="s">
        <v>6803</v>
      </c>
    </row>
    <row r="5763" spans="1:12" x14ac:dyDescent="0.35">
      <c r="A5763" t="s">
        <v>3115</v>
      </c>
      <c r="B5763" s="1">
        <v>45735</v>
      </c>
      <c r="C5763" t="s">
        <v>7942</v>
      </c>
      <c r="D5763" t="s">
        <v>4720</v>
      </c>
      <c r="E5763" t="s">
        <v>9557</v>
      </c>
      <c r="F5763" t="s">
        <v>8557</v>
      </c>
      <c r="G5763" t="s">
        <v>8558</v>
      </c>
      <c r="H5763" t="s">
        <v>4721</v>
      </c>
      <c r="J5763">
        <v>18</v>
      </c>
      <c r="L5763" t="s">
        <v>5966</v>
      </c>
    </row>
    <row r="5764" spans="1:12" x14ac:dyDescent="0.35">
      <c r="A5764" t="s">
        <v>3115</v>
      </c>
      <c r="B5764" s="1">
        <v>45735</v>
      </c>
      <c r="C5764" t="s">
        <v>7943</v>
      </c>
      <c r="D5764" t="s">
        <v>4722</v>
      </c>
      <c r="E5764" t="s">
        <v>9558</v>
      </c>
      <c r="F5764" t="s">
        <v>6802</v>
      </c>
      <c r="H5764" t="s">
        <v>4723</v>
      </c>
      <c r="K5764">
        <v>70000</v>
      </c>
      <c r="L5764" t="s">
        <v>6803</v>
      </c>
    </row>
    <row r="5765" spans="1:12" x14ac:dyDescent="0.35">
      <c r="A5765" t="s">
        <v>3115</v>
      </c>
      <c r="B5765" s="1">
        <v>45735</v>
      </c>
      <c r="C5765" t="s">
        <v>7943</v>
      </c>
      <c r="D5765" t="s">
        <v>4722</v>
      </c>
      <c r="E5765" t="s">
        <v>9558</v>
      </c>
      <c r="F5765" t="s">
        <v>8557</v>
      </c>
      <c r="G5765" t="s">
        <v>8558</v>
      </c>
      <c r="H5765" t="s">
        <v>4723</v>
      </c>
      <c r="J5765">
        <v>70000</v>
      </c>
      <c r="L5765" t="s">
        <v>5876</v>
      </c>
    </row>
    <row r="5766" spans="1:12" x14ac:dyDescent="0.35">
      <c r="A5766" t="s">
        <v>3115</v>
      </c>
      <c r="B5766" s="1">
        <v>45735</v>
      </c>
      <c r="C5766" t="s">
        <v>7944</v>
      </c>
      <c r="D5766" t="s">
        <v>4724</v>
      </c>
      <c r="E5766" t="s">
        <v>9559</v>
      </c>
      <c r="F5766" t="s">
        <v>6802</v>
      </c>
      <c r="H5766" t="s">
        <v>4725</v>
      </c>
      <c r="K5766">
        <v>2500</v>
      </c>
      <c r="L5766" t="s">
        <v>6803</v>
      </c>
    </row>
    <row r="5767" spans="1:12" x14ac:dyDescent="0.35">
      <c r="A5767" t="s">
        <v>3115</v>
      </c>
      <c r="B5767" s="1">
        <v>45735</v>
      </c>
      <c r="C5767" t="s">
        <v>7944</v>
      </c>
      <c r="D5767" t="s">
        <v>4724</v>
      </c>
      <c r="E5767" t="s">
        <v>9559</v>
      </c>
      <c r="F5767" t="s">
        <v>8557</v>
      </c>
      <c r="G5767" t="s">
        <v>8558</v>
      </c>
      <c r="H5767" t="s">
        <v>4725</v>
      </c>
      <c r="J5767">
        <v>2500</v>
      </c>
      <c r="L5767" t="s">
        <v>5966</v>
      </c>
    </row>
    <row r="5768" spans="1:12" x14ac:dyDescent="0.35">
      <c r="A5768" t="s">
        <v>3115</v>
      </c>
      <c r="B5768" s="1">
        <v>45735</v>
      </c>
      <c r="C5768" t="s">
        <v>7945</v>
      </c>
      <c r="D5768" t="s">
        <v>4726</v>
      </c>
      <c r="E5768" t="s">
        <v>8698</v>
      </c>
      <c r="F5768" t="s">
        <v>6802</v>
      </c>
      <c r="H5768" t="s">
        <v>4727</v>
      </c>
      <c r="K5768">
        <v>600</v>
      </c>
      <c r="L5768" t="s">
        <v>6803</v>
      </c>
    </row>
    <row r="5769" spans="1:12" x14ac:dyDescent="0.35">
      <c r="A5769" t="s">
        <v>3115</v>
      </c>
      <c r="B5769" s="1">
        <v>45735</v>
      </c>
      <c r="C5769" t="s">
        <v>7945</v>
      </c>
      <c r="D5769" t="s">
        <v>4726</v>
      </c>
      <c r="E5769" t="s">
        <v>8698</v>
      </c>
      <c r="F5769" t="s">
        <v>8557</v>
      </c>
      <c r="G5769" t="s">
        <v>8558</v>
      </c>
      <c r="H5769" t="s">
        <v>4727</v>
      </c>
      <c r="J5769">
        <v>600</v>
      </c>
      <c r="L5769" t="s">
        <v>5958</v>
      </c>
    </row>
    <row r="5770" spans="1:12" x14ac:dyDescent="0.35">
      <c r="A5770" t="s">
        <v>3115</v>
      </c>
      <c r="B5770" s="1">
        <v>45735</v>
      </c>
      <c r="C5770" t="s">
        <v>7946</v>
      </c>
      <c r="D5770" t="s">
        <v>4728</v>
      </c>
      <c r="E5770" t="s">
        <v>9560</v>
      </c>
      <c r="F5770" t="s">
        <v>6802</v>
      </c>
      <c r="H5770" t="s">
        <v>4729</v>
      </c>
      <c r="K5770">
        <v>51</v>
      </c>
      <c r="L5770" t="s">
        <v>6803</v>
      </c>
    </row>
    <row r="5771" spans="1:12" x14ac:dyDescent="0.35">
      <c r="A5771" t="s">
        <v>3115</v>
      </c>
      <c r="B5771" s="1">
        <v>45735</v>
      </c>
      <c r="C5771" t="s">
        <v>7946</v>
      </c>
      <c r="D5771" t="s">
        <v>4728</v>
      </c>
      <c r="E5771" t="s">
        <v>9560</v>
      </c>
      <c r="F5771" t="s">
        <v>8557</v>
      </c>
      <c r="G5771" t="s">
        <v>8558</v>
      </c>
      <c r="H5771" t="s">
        <v>4729</v>
      </c>
      <c r="J5771">
        <v>51</v>
      </c>
      <c r="L5771" t="s">
        <v>5966</v>
      </c>
    </row>
    <row r="5772" spans="1:12" x14ac:dyDescent="0.35">
      <c r="A5772" t="s">
        <v>3115</v>
      </c>
      <c r="B5772" s="1">
        <v>45735</v>
      </c>
      <c r="C5772" t="s">
        <v>7947</v>
      </c>
      <c r="D5772" t="s">
        <v>4730</v>
      </c>
      <c r="E5772" t="s">
        <v>9561</v>
      </c>
      <c r="F5772" t="s">
        <v>6802</v>
      </c>
      <c r="H5772" t="s">
        <v>4731</v>
      </c>
      <c r="K5772">
        <v>65000</v>
      </c>
      <c r="L5772" t="s">
        <v>6803</v>
      </c>
    </row>
    <row r="5773" spans="1:12" x14ac:dyDescent="0.35">
      <c r="A5773" t="s">
        <v>3115</v>
      </c>
      <c r="B5773" s="1">
        <v>45735</v>
      </c>
      <c r="C5773" t="s">
        <v>7947</v>
      </c>
      <c r="D5773" t="s">
        <v>4730</v>
      </c>
      <c r="E5773" t="s">
        <v>9561</v>
      </c>
      <c r="F5773" t="s">
        <v>8537</v>
      </c>
      <c r="G5773" t="s">
        <v>8538</v>
      </c>
      <c r="H5773" t="s">
        <v>4731</v>
      </c>
      <c r="J5773">
        <v>65000</v>
      </c>
      <c r="L5773" t="s">
        <v>5874</v>
      </c>
    </row>
    <row r="5774" spans="1:12" x14ac:dyDescent="0.35">
      <c r="A5774" t="s">
        <v>3115</v>
      </c>
      <c r="B5774" s="1">
        <v>45735</v>
      </c>
      <c r="C5774" t="s">
        <v>7948</v>
      </c>
      <c r="D5774" t="s">
        <v>4732</v>
      </c>
      <c r="E5774" t="s">
        <v>8695</v>
      </c>
      <c r="F5774" t="s">
        <v>6802</v>
      </c>
      <c r="H5774" t="s">
        <v>4733</v>
      </c>
      <c r="K5774">
        <v>30000</v>
      </c>
      <c r="L5774" t="s">
        <v>6803</v>
      </c>
    </row>
    <row r="5775" spans="1:12" x14ac:dyDescent="0.35">
      <c r="A5775" t="s">
        <v>3115</v>
      </c>
      <c r="B5775" s="1">
        <v>45735</v>
      </c>
      <c r="C5775" t="s">
        <v>7948</v>
      </c>
      <c r="D5775" t="s">
        <v>4732</v>
      </c>
      <c r="E5775" t="s">
        <v>8695</v>
      </c>
      <c r="F5775" t="s">
        <v>8537</v>
      </c>
      <c r="G5775" t="s">
        <v>8538</v>
      </c>
      <c r="H5775" t="s">
        <v>4733</v>
      </c>
      <c r="J5775">
        <v>30000</v>
      </c>
      <c r="L5775" t="s">
        <v>5876</v>
      </c>
    </row>
    <row r="5776" spans="1:12" x14ac:dyDescent="0.35">
      <c r="A5776" t="s">
        <v>3115</v>
      </c>
      <c r="B5776" s="1">
        <v>45735</v>
      </c>
      <c r="C5776" t="s">
        <v>7949</v>
      </c>
      <c r="D5776" t="s">
        <v>4734</v>
      </c>
      <c r="E5776" t="s">
        <v>9562</v>
      </c>
      <c r="F5776" t="s">
        <v>6802</v>
      </c>
      <c r="H5776" t="s">
        <v>4735</v>
      </c>
      <c r="K5776">
        <v>65000</v>
      </c>
      <c r="L5776" t="s">
        <v>6803</v>
      </c>
    </row>
    <row r="5777" spans="1:12" x14ac:dyDescent="0.35">
      <c r="A5777" t="s">
        <v>3115</v>
      </c>
      <c r="B5777" s="1">
        <v>45735</v>
      </c>
      <c r="C5777" t="s">
        <v>7949</v>
      </c>
      <c r="D5777" t="s">
        <v>4734</v>
      </c>
      <c r="E5777" t="s">
        <v>9562</v>
      </c>
      <c r="F5777" t="s">
        <v>8537</v>
      </c>
      <c r="G5777" t="s">
        <v>8538</v>
      </c>
      <c r="H5777" t="s">
        <v>4735</v>
      </c>
      <c r="J5777">
        <v>65000</v>
      </c>
      <c r="L5777" t="s">
        <v>5946</v>
      </c>
    </row>
    <row r="5778" spans="1:12" x14ac:dyDescent="0.35">
      <c r="A5778" t="s">
        <v>3115</v>
      </c>
      <c r="B5778" s="1">
        <v>45735</v>
      </c>
      <c r="C5778" t="s">
        <v>7950</v>
      </c>
      <c r="D5778" t="s">
        <v>4736</v>
      </c>
      <c r="E5778" t="s">
        <v>8647</v>
      </c>
      <c r="F5778" t="s">
        <v>6802</v>
      </c>
      <c r="H5778" t="s">
        <v>4737</v>
      </c>
      <c r="K5778">
        <v>600</v>
      </c>
      <c r="L5778" t="s">
        <v>6803</v>
      </c>
    </row>
    <row r="5779" spans="1:12" x14ac:dyDescent="0.35">
      <c r="A5779" t="s">
        <v>3115</v>
      </c>
      <c r="B5779" s="1">
        <v>45735</v>
      </c>
      <c r="C5779" t="s">
        <v>7950</v>
      </c>
      <c r="D5779" t="s">
        <v>4736</v>
      </c>
      <c r="E5779" t="s">
        <v>8647</v>
      </c>
      <c r="F5779" t="s">
        <v>8557</v>
      </c>
      <c r="G5779" t="s">
        <v>8558</v>
      </c>
      <c r="H5779" t="s">
        <v>4737</v>
      </c>
      <c r="J5779">
        <v>600</v>
      </c>
      <c r="L5779" t="s">
        <v>5875</v>
      </c>
    </row>
    <row r="5780" spans="1:12" x14ac:dyDescent="0.35">
      <c r="A5780" t="s">
        <v>3115</v>
      </c>
      <c r="B5780" s="1">
        <v>45735</v>
      </c>
      <c r="C5780" t="s">
        <v>7951</v>
      </c>
      <c r="D5780" t="s">
        <v>4738</v>
      </c>
      <c r="E5780" t="s">
        <v>9563</v>
      </c>
      <c r="F5780" t="s">
        <v>6808</v>
      </c>
      <c r="H5780" t="s">
        <v>4739</v>
      </c>
      <c r="K5780">
        <v>2917</v>
      </c>
      <c r="L5780" t="s">
        <v>6803</v>
      </c>
    </row>
    <row r="5781" spans="1:12" x14ac:dyDescent="0.35">
      <c r="A5781" t="s">
        <v>3115</v>
      </c>
      <c r="B5781" s="1">
        <v>45735</v>
      </c>
      <c r="C5781" t="s">
        <v>7951</v>
      </c>
      <c r="D5781" t="s">
        <v>4738</v>
      </c>
      <c r="E5781" t="s">
        <v>9563</v>
      </c>
      <c r="F5781" t="s">
        <v>8467</v>
      </c>
      <c r="G5781" t="s">
        <v>8567</v>
      </c>
      <c r="H5781" t="s">
        <v>4739</v>
      </c>
      <c r="J5781">
        <v>2917</v>
      </c>
      <c r="L5781" t="s">
        <v>5966</v>
      </c>
    </row>
    <row r="5782" spans="1:12" x14ac:dyDescent="0.35">
      <c r="A5782" t="s">
        <v>3115</v>
      </c>
      <c r="B5782" s="1">
        <v>45735</v>
      </c>
      <c r="C5782" t="s">
        <v>7952</v>
      </c>
      <c r="D5782" t="s">
        <v>4740</v>
      </c>
      <c r="E5782" t="s">
        <v>8701</v>
      </c>
      <c r="F5782" t="s">
        <v>6802</v>
      </c>
      <c r="H5782" t="s">
        <v>4741</v>
      </c>
      <c r="K5782">
        <v>45000</v>
      </c>
      <c r="L5782" t="s">
        <v>6803</v>
      </c>
    </row>
    <row r="5783" spans="1:12" x14ac:dyDescent="0.35">
      <c r="A5783" t="s">
        <v>3115</v>
      </c>
      <c r="B5783" s="1">
        <v>45735</v>
      </c>
      <c r="C5783" t="s">
        <v>7952</v>
      </c>
      <c r="D5783" t="s">
        <v>4740</v>
      </c>
      <c r="E5783" t="s">
        <v>8701</v>
      </c>
      <c r="F5783" t="s">
        <v>8557</v>
      </c>
      <c r="G5783" t="s">
        <v>8558</v>
      </c>
      <c r="H5783" t="s">
        <v>4741</v>
      </c>
      <c r="J5783">
        <v>45000</v>
      </c>
      <c r="L5783" t="s">
        <v>5876</v>
      </c>
    </row>
    <row r="5784" spans="1:12" x14ac:dyDescent="0.35">
      <c r="A5784" t="s">
        <v>3115</v>
      </c>
      <c r="B5784" s="1">
        <v>45735</v>
      </c>
      <c r="C5784" t="s">
        <v>7953</v>
      </c>
      <c r="D5784" t="s">
        <v>4742</v>
      </c>
      <c r="E5784" t="s">
        <v>9564</v>
      </c>
      <c r="F5784" t="s">
        <v>6808</v>
      </c>
      <c r="H5784" t="s">
        <v>4743</v>
      </c>
      <c r="K5784">
        <v>1944</v>
      </c>
      <c r="L5784" t="s">
        <v>6803</v>
      </c>
    </row>
    <row r="5785" spans="1:12" x14ac:dyDescent="0.35">
      <c r="A5785" t="s">
        <v>3115</v>
      </c>
      <c r="B5785" s="1">
        <v>45735</v>
      </c>
      <c r="C5785" t="s">
        <v>7953</v>
      </c>
      <c r="D5785" t="s">
        <v>4742</v>
      </c>
      <c r="E5785" t="s">
        <v>9564</v>
      </c>
      <c r="F5785" t="s">
        <v>6811</v>
      </c>
      <c r="H5785" t="s">
        <v>4743</v>
      </c>
      <c r="K5785">
        <v>35000</v>
      </c>
      <c r="L5785" t="s">
        <v>6803</v>
      </c>
    </row>
    <row r="5786" spans="1:12" x14ac:dyDescent="0.35">
      <c r="A5786" t="s">
        <v>3115</v>
      </c>
      <c r="B5786" s="1">
        <v>45735</v>
      </c>
      <c r="C5786" t="s">
        <v>7953</v>
      </c>
      <c r="D5786" t="s">
        <v>4742</v>
      </c>
      <c r="E5786" t="s">
        <v>9564</v>
      </c>
      <c r="F5786" t="s">
        <v>8467</v>
      </c>
      <c r="G5786" t="s">
        <v>8567</v>
      </c>
      <c r="H5786" t="s">
        <v>4743</v>
      </c>
      <c r="J5786">
        <v>36944</v>
      </c>
      <c r="L5786" t="s">
        <v>5966</v>
      </c>
    </row>
    <row r="5787" spans="1:12" x14ac:dyDescent="0.35">
      <c r="A5787" t="s">
        <v>3115</v>
      </c>
      <c r="B5787" s="1">
        <v>45735</v>
      </c>
      <c r="C5787" t="s">
        <v>7954</v>
      </c>
      <c r="D5787" t="s">
        <v>4744</v>
      </c>
      <c r="E5787" t="s">
        <v>9565</v>
      </c>
      <c r="F5787" t="s">
        <v>6808</v>
      </c>
      <c r="H5787" t="s">
        <v>4745</v>
      </c>
      <c r="K5787">
        <v>4947</v>
      </c>
      <c r="L5787" t="s">
        <v>6803</v>
      </c>
    </row>
    <row r="5788" spans="1:12" x14ac:dyDescent="0.35">
      <c r="A5788" t="s">
        <v>3115</v>
      </c>
      <c r="B5788" s="1">
        <v>45735</v>
      </c>
      <c r="C5788" t="s">
        <v>7954</v>
      </c>
      <c r="D5788" t="s">
        <v>4744</v>
      </c>
      <c r="E5788" t="s">
        <v>9565</v>
      </c>
      <c r="F5788" t="s">
        <v>8467</v>
      </c>
      <c r="G5788" t="s">
        <v>8567</v>
      </c>
      <c r="H5788" t="s">
        <v>4745</v>
      </c>
      <c r="J5788">
        <v>4947</v>
      </c>
      <c r="L5788" t="s">
        <v>5966</v>
      </c>
    </row>
    <row r="5789" spans="1:12" x14ac:dyDescent="0.35">
      <c r="A5789" t="s">
        <v>3115</v>
      </c>
      <c r="B5789" s="1">
        <v>45735</v>
      </c>
      <c r="C5789" t="s">
        <v>7955</v>
      </c>
      <c r="D5789" t="s">
        <v>4746</v>
      </c>
      <c r="E5789" t="s">
        <v>9566</v>
      </c>
      <c r="F5789" t="s">
        <v>6802</v>
      </c>
      <c r="H5789" t="s">
        <v>4747</v>
      </c>
      <c r="K5789">
        <v>330000</v>
      </c>
      <c r="L5789" t="s">
        <v>6803</v>
      </c>
    </row>
    <row r="5790" spans="1:12" x14ac:dyDescent="0.35">
      <c r="A5790" t="s">
        <v>3115</v>
      </c>
      <c r="B5790" s="1">
        <v>45735</v>
      </c>
      <c r="C5790" t="s">
        <v>7955</v>
      </c>
      <c r="D5790" t="s">
        <v>4746</v>
      </c>
      <c r="E5790" t="s">
        <v>9566</v>
      </c>
      <c r="F5790" t="s">
        <v>8537</v>
      </c>
      <c r="G5790" t="s">
        <v>8538</v>
      </c>
      <c r="H5790" t="s">
        <v>4747</v>
      </c>
      <c r="J5790">
        <v>330000</v>
      </c>
      <c r="L5790" t="s">
        <v>5875</v>
      </c>
    </row>
    <row r="5791" spans="1:12" x14ac:dyDescent="0.35">
      <c r="A5791" t="s">
        <v>3115</v>
      </c>
      <c r="B5791" s="1">
        <v>45735</v>
      </c>
      <c r="C5791" t="s">
        <v>7956</v>
      </c>
      <c r="D5791" t="s">
        <v>4748</v>
      </c>
      <c r="E5791" t="s">
        <v>9567</v>
      </c>
      <c r="F5791" t="s">
        <v>6808</v>
      </c>
      <c r="H5791" t="s">
        <v>4749</v>
      </c>
      <c r="K5791">
        <v>1944</v>
      </c>
      <c r="L5791" t="s">
        <v>6803</v>
      </c>
    </row>
    <row r="5792" spans="1:12" x14ac:dyDescent="0.35">
      <c r="A5792" t="s">
        <v>3115</v>
      </c>
      <c r="B5792" s="1">
        <v>45735</v>
      </c>
      <c r="C5792" t="s">
        <v>7956</v>
      </c>
      <c r="D5792" t="s">
        <v>4748</v>
      </c>
      <c r="E5792" t="s">
        <v>9567</v>
      </c>
      <c r="F5792" t="s">
        <v>8467</v>
      </c>
      <c r="G5792" t="s">
        <v>8567</v>
      </c>
      <c r="H5792" t="s">
        <v>4749</v>
      </c>
      <c r="J5792">
        <v>1944</v>
      </c>
      <c r="L5792" t="s">
        <v>5966</v>
      </c>
    </row>
    <row r="5793" spans="1:12" x14ac:dyDescent="0.35">
      <c r="A5793" t="s">
        <v>3115</v>
      </c>
      <c r="B5793" s="1">
        <v>45735</v>
      </c>
      <c r="C5793" t="s">
        <v>7957</v>
      </c>
      <c r="D5793" t="s">
        <v>4750</v>
      </c>
      <c r="E5793" t="s">
        <v>9568</v>
      </c>
      <c r="F5793" t="s">
        <v>6802</v>
      </c>
      <c r="H5793" t="s">
        <v>4751</v>
      </c>
      <c r="K5793">
        <v>3500</v>
      </c>
      <c r="L5793" t="s">
        <v>6803</v>
      </c>
    </row>
    <row r="5794" spans="1:12" x14ac:dyDescent="0.35">
      <c r="A5794" t="s">
        <v>3115</v>
      </c>
      <c r="B5794" s="1">
        <v>45735</v>
      </c>
      <c r="C5794" t="s">
        <v>7957</v>
      </c>
      <c r="D5794" t="s">
        <v>4750</v>
      </c>
      <c r="E5794" t="s">
        <v>9568</v>
      </c>
      <c r="F5794" t="s">
        <v>8537</v>
      </c>
      <c r="G5794" t="s">
        <v>8538</v>
      </c>
      <c r="H5794" t="s">
        <v>4751</v>
      </c>
      <c r="J5794">
        <v>3500</v>
      </c>
      <c r="L5794" t="s">
        <v>5946</v>
      </c>
    </row>
    <row r="5795" spans="1:12" x14ac:dyDescent="0.35">
      <c r="A5795" t="s">
        <v>3115</v>
      </c>
      <c r="B5795" s="1">
        <v>45735</v>
      </c>
      <c r="C5795" t="s">
        <v>7958</v>
      </c>
      <c r="D5795" t="s">
        <v>4752</v>
      </c>
      <c r="E5795" t="s">
        <v>9569</v>
      </c>
      <c r="F5795" t="s">
        <v>6811</v>
      </c>
      <c r="H5795" t="s">
        <v>4753</v>
      </c>
      <c r="K5795">
        <v>904</v>
      </c>
      <c r="L5795" t="s">
        <v>6803</v>
      </c>
    </row>
    <row r="5796" spans="1:12" x14ac:dyDescent="0.35">
      <c r="A5796" t="s">
        <v>3115</v>
      </c>
      <c r="B5796" s="1">
        <v>45735</v>
      </c>
      <c r="C5796" t="s">
        <v>7958</v>
      </c>
      <c r="D5796" t="s">
        <v>4752</v>
      </c>
      <c r="E5796" t="s">
        <v>9569</v>
      </c>
      <c r="F5796" t="s">
        <v>8557</v>
      </c>
      <c r="G5796" t="s">
        <v>8558</v>
      </c>
      <c r="H5796" t="s">
        <v>4753</v>
      </c>
      <c r="J5796">
        <v>904</v>
      </c>
      <c r="L5796" t="s">
        <v>5966</v>
      </c>
    </row>
    <row r="5797" spans="1:12" x14ac:dyDescent="0.35">
      <c r="A5797" t="s">
        <v>3115</v>
      </c>
      <c r="B5797" s="1">
        <v>45735</v>
      </c>
      <c r="C5797" t="s">
        <v>7959</v>
      </c>
      <c r="D5797" t="s">
        <v>4754</v>
      </c>
      <c r="E5797" t="s">
        <v>8955</v>
      </c>
      <c r="F5797" t="s">
        <v>6802</v>
      </c>
      <c r="H5797" t="s">
        <v>4755</v>
      </c>
      <c r="K5797">
        <v>300000</v>
      </c>
      <c r="L5797" t="s">
        <v>6803</v>
      </c>
    </row>
    <row r="5798" spans="1:12" x14ac:dyDescent="0.35">
      <c r="A5798" t="s">
        <v>3115</v>
      </c>
      <c r="B5798" s="1">
        <v>45735</v>
      </c>
      <c r="C5798" t="s">
        <v>7959</v>
      </c>
      <c r="D5798" t="s">
        <v>4754</v>
      </c>
      <c r="E5798" t="s">
        <v>8955</v>
      </c>
      <c r="F5798" t="s">
        <v>8537</v>
      </c>
      <c r="G5798" t="s">
        <v>8538</v>
      </c>
      <c r="H5798" t="s">
        <v>4755</v>
      </c>
      <c r="J5798">
        <v>300000</v>
      </c>
      <c r="L5798" t="s">
        <v>5874</v>
      </c>
    </row>
    <row r="5799" spans="1:12" x14ac:dyDescent="0.35">
      <c r="A5799" t="s">
        <v>3115</v>
      </c>
      <c r="B5799" s="1">
        <v>45735</v>
      </c>
      <c r="C5799" t="s">
        <v>7960</v>
      </c>
      <c r="D5799" t="s">
        <v>4756</v>
      </c>
      <c r="E5799" t="s">
        <v>8797</v>
      </c>
      <c r="F5799" t="s">
        <v>6802</v>
      </c>
      <c r="H5799" t="s">
        <v>4757</v>
      </c>
      <c r="K5799">
        <v>60000</v>
      </c>
      <c r="L5799" t="s">
        <v>6803</v>
      </c>
    </row>
    <row r="5800" spans="1:12" x14ac:dyDescent="0.35">
      <c r="A5800" t="s">
        <v>3115</v>
      </c>
      <c r="B5800" s="1">
        <v>45735</v>
      </c>
      <c r="C5800" t="s">
        <v>7960</v>
      </c>
      <c r="D5800" t="s">
        <v>4756</v>
      </c>
      <c r="E5800" t="s">
        <v>8797</v>
      </c>
      <c r="F5800" t="s">
        <v>8537</v>
      </c>
      <c r="G5800" t="s">
        <v>8538</v>
      </c>
      <c r="H5800" t="s">
        <v>4757</v>
      </c>
      <c r="J5800">
        <v>60000</v>
      </c>
      <c r="L5800" t="s">
        <v>5874</v>
      </c>
    </row>
    <row r="5801" spans="1:12" x14ac:dyDescent="0.35">
      <c r="A5801" t="s">
        <v>3115</v>
      </c>
      <c r="B5801" s="1">
        <v>45735</v>
      </c>
      <c r="C5801" t="s">
        <v>7961</v>
      </c>
      <c r="D5801" t="s">
        <v>4758</v>
      </c>
      <c r="E5801" t="s">
        <v>9570</v>
      </c>
      <c r="F5801" t="s">
        <v>6802</v>
      </c>
      <c r="H5801" t="s">
        <v>4759</v>
      </c>
      <c r="K5801">
        <v>80000</v>
      </c>
      <c r="L5801" t="s">
        <v>6803</v>
      </c>
    </row>
    <row r="5802" spans="1:12" x14ac:dyDescent="0.35">
      <c r="A5802" t="s">
        <v>3115</v>
      </c>
      <c r="B5802" s="1">
        <v>45735</v>
      </c>
      <c r="C5802" t="s">
        <v>7961</v>
      </c>
      <c r="D5802" t="s">
        <v>4758</v>
      </c>
      <c r="E5802" t="s">
        <v>9570</v>
      </c>
      <c r="F5802" t="s">
        <v>8537</v>
      </c>
      <c r="G5802" t="s">
        <v>8538</v>
      </c>
      <c r="H5802" t="s">
        <v>4759</v>
      </c>
      <c r="J5802">
        <v>80000</v>
      </c>
      <c r="L5802" t="s">
        <v>5874</v>
      </c>
    </row>
    <row r="5803" spans="1:12" x14ac:dyDescent="0.35">
      <c r="A5803" t="s">
        <v>3115</v>
      </c>
      <c r="B5803" s="1">
        <v>45735</v>
      </c>
      <c r="C5803" t="s">
        <v>7962</v>
      </c>
      <c r="D5803" t="s">
        <v>4760</v>
      </c>
      <c r="E5803" t="s">
        <v>9541</v>
      </c>
      <c r="F5803" t="s">
        <v>6802</v>
      </c>
      <c r="H5803" t="s">
        <v>4761</v>
      </c>
      <c r="K5803">
        <v>3214</v>
      </c>
      <c r="L5803" t="s">
        <v>6803</v>
      </c>
    </row>
    <row r="5804" spans="1:12" x14ac:dyDescent="0.35">
      <c r="A5804" t="s">
        <v>3115</v>
      </c>
      <c r="B5804" s="1">
        <v>45735</v>
      </c>
      <c r="C5804" t="s">
        <v>7962</v>
      </c>
      <c r="D5804" t="s">
        <v>4760</v>
      </c>
      <c r="E5804" t="s">
        <v>9541</v>
      </c>
      <c r="F5804" t="s">
        <v>6802</v>
      </c>
      <c r="H5804" t="s">
        <v>4761</v>
      </c>
      <c r="K5804">
        <v>38439</v>
      </c>
      <c r="L5804" t="s">
        <v>6803</v>
      </c>
    </row>
    <row r="5805" spans="1:12" x14ac:dyDescent="0.35">
      <c r="A5805" t="s">
        <v>3115</v>
      </c>
      <c r="B5805" s="1">
        <v>45735</v>
      </c>
      <c r="C5805" t="s">
        <v>7962</v>
      </c>
      <c r="D5805" t="s">
        <v>4760</v>
      </c>
      <c r="E5805" t="s">
        <v>9541</v>
      </c>
      <c r="F5805" t="s">
        <v>8537</v>
      </c>
      <c r="G5805" t="s">
        <v>8538</v>
      </c>
      <c r="H5805" t="s">
        <v>4761</v>
      </c>
      <c r="J5805">
        <v>41653</v>
      </c>
      <c r="L5805" t="s">
        <v>5875</v>
      </c>
    </row>
    <row r="5806" spans="1:12" x14ac:dyDescent="0.35">
      <c r="A5806" t="s">
        <v>3115</v>
      </c>
      <c r="B5806" s="1">
        <v>45735</v>
      </c>
      <c r="C5806" t="s">
        <v>7963</v>
      </c>
      <c r="D5806" t="s">
        <v>4762</v>
      </c>
      <c r="E5806" t="s">
        <v>8619</v>
      </c>
      <c r="F5806" t="s">
        <v>6802</v>
      </c>
      <c r="H5806" t="s">
        <v>4763</v>
      </c>
      <c r="K5806">
        <v>5000</v>
      </c>
      <c r="L5806" t="s">
        <v>6803</v>
      </c>
    </row>
    <row r="5807" spans="1:12" x14ac:dyDescent="0.35">
      <c r="A5807" t="s">
        <v>3115</v>
      </c>
      <c r="B5807" s="1">
        <v>45735</v>
      </c>
      <c r="C5807" t="s">
        <v>7963</v>
      </c>
      <c r="D5807" t="s">
        <v>4762</v>
      </c>
      <c r="E5807" t="s">
        <v>8619</v>
      </c>
      <c r="F5807" t="s">
        <v>8557</v>
      </c>
      <c r="G5807" t="s">
        <v>8558</v>
      </c>
      <c r="H5807" t="s">
        <v>4763</v>
      </c>
      <c r="J5807">
        <v>5000</v>
      </c>
      <c r="L5807" t="s">
        <v>5875</v>
      </c>
    </row>
    <row r="5808" spans="1:12" x14ac:dyDescent="0.35">
      <c r="A5808" t="s">
        <v>3115</v>
      </c>
      <c r="B5808" s="1">
        <v>45735</v>
      </c>
      <c r="C5808" t="s">
        <v>7964</v>
      </c>
      <c r="D5808" t="s">
        <v>4764</v>
      </c>
      <c r="E5808" t="s">
        <v>9571</v>
      </c>
      <c r="F5808" t="s">
        <v>6811</v>
      </c>
      <c r="H5808" t="s">
        <v>4765</v>
      </c>
      <c r="K5808">
        <v>568</v>
      </c>
      <c r="L5808" t="s">
        <v>6803</v>
      </c>
    </row>
    <row r="5809" spans="1:12" x14ac:dyDescent="0.35">
      <c r="A5809" t="s">
        <v>3115</v>
      </c>
      <c r="B5809" s="1">
        <v>45735</v>
      </c>
      <c r="C5809" t="s">
        <v>7964</v>
      </c>
      <c r="D5809" t="s">
        <v>4764</v>
      </c>
      <c r="E5809" t="s">
        <v>9571</v>
      </c>
      <c r="F5809" t="s">
        <v>8557</v>
      </c>
      <c r="G5809" t="s">
        <v>8558</v>
      </c>
      <c r="H5809" t="s">
        <v>4765</v>
      </c>
      <c r="J5809">
        <v>568</v>
      </c>
      <c r="L5809" t="s">
        <v>6012</v>
      </c>
    </row>
    <row r="5810" spans="1:12" x14ac:dyDescent="0.35">
      <c r="A5810" t="s">
        <v>3115</v>
      </c>
      <c r="B5810" s="1">
        <v>45735</v>
      </c>
      <c r="C5810" t="s">
        <v>7965</v>
      </c>
      <c r="D5810" t="s">
        <v>4766</v>
      </c>
      <c r="E5810" t="s">
        <v>9572</v>
      </c>
      <c r="F5810" t="s">
        <v>6802</v>
      </c>
      <c r="H5810" t="s">
        <v>4767</v>
      </c>
      <c r="K5810">
        <v>80000</v>
      </c>
      <c r="L5810" t="s">
        <v>6803</v>
      </c>
    </row>
    <row r="5811" spans="1:12" x14ac:dyDescent="0.35">
      <c r="A5811" t="s">
        <v>3115</v>
      </c>
      <c r="B5811" s="1">
        <v>45735</v>
      </c>
      <c r="C5811" t="s">
        <v>7965</v>
      </c>
      <c r="D5811" t="s">
        <v>4766</v>
      </c>
      <c r="E5811" t="s">
        <v>9572</v>
      </c>
      <c r="F5811" t="s">
        <v>8537</v>
      </c>
      <c r="G5811" t="s">
        <v>8538</v>
      </c>
      <c r="H5811" t="s">
        <v>4767</v>
      </c>
      <c r="J5811">
        <v>80000</v>
      </c>
      <c r="L5811" t="s">
        <v>5874</v>
      </c>
    </row>
    <row r="5812" spans="1:12" x14ac:dyDescent="0.35">
      <c r="A5812" t="s">
        <v>3115</v>
      </c>
      <c r="B5812" s="1">
        <v>45735</v>
      </c>
      <c r="C5812" t="s">
        <v>7966</v>
      </c>
      <c r="D5812" t="s">
        <v>4768</v>
      </c>
      <c r="E5812" t="s">
        <v>9573</v>
      </c>
      <c r="F5812" t="s">
        <v>6802</v>
      </c>
      <c r="H5812" t="s">
        <v>4769</v>
      </c>
      <c r="K5812">
        <v>130000</v>
      </c>
      <c r="L5812" t="s">
        <v>6803</v>
      </c>
    </row>
    <row r="5813" spans="1:12" x14ac:dyDescent="0.35">
      <c r="A5813" t="s">
        <v>3115</v>
      </c>
      <c r="B5813" s="1">
        <v>45735</v>
      </c>
      <c r="C5813" t="s">
        <v>7966</v>
      </c>
      <c r="D5813" t="s">
        <v>4768</v>
      </c>
      <c r="E5813" t="s">
        <v>9573</v>
      </c>
      <c r="F5813" t="s">
        <v>8537</v>
      </c>
      <c r="G5813" t="s">
        <v>8538</v>
      </c>
      <c r="H5813" t="s">
        <v>4769</v>
      </c>
      <c r="J5813">
        <v>130000</v>
      </c>
      <c r="L5813" t="s">
        <v>5875</v>
      </c>
    </row>
    <row r="5814" spans="1:12" x14ac:dyDescent="0.35">
      <c r="A5814" t="s">
        <v>3115</v>
      </c>
      <c r="B5814" s="1">
        <v>45735</v>
      </c>
      <c r="C5814" t="s">
        <v>7967</v>
      </c>
      <c r="D5814" t="s">
        <v>4770</v>
      </c>
      <c r="E5814" t="s">
        <v>9574</v>
      </c>
      <c r="F5814" t="s">
        <v>6802</v>
      </c>
      <c r="H5814" t="s">
        <v>4771</v>
      </c>
      <c r="K5814">
        <v>70000</v>
      </c>
      <c r="L5814" t="s">
        <v>6803</v>
      </c>
    </row>
    <row r="5815" spans="1:12" x14ac:dyDescent="0.35">
      <c r="A5815" t="s">
        <v>3115</v>
      </c>
      <c r="B5815" s="1">
        <v>45735</v>
      </c>
      <c r="C5815" t="s">
        <v>7967</v>
      </c>
      <c r="D5815" t="s">
        <v>4770</v>
      </c>
      <c r="E5815" t="s">
        <v>9574</v>
      </c>
      <c r="F5815" t="s">
        <v>8557</v>
      </c>
      <c r="G5815" t="s">
        <v>8558</v>
      </c>
      <c r="H5815" t="s">
        <v>4771</v>
      </c>
      <c r="J5815">
        <v>70000</v>
      </c>
      <c r="L5815" t="s">
        <v>5875</v>
      </c>
    </row>
    <row r="5816" spans="1:12" x14ac:dyDescent="0.35">
      <c r="A5816" t="s">
        <v>3115</v>
      </c>
      <c r="B5816" s="1">
        <v>45735</v>
      </c>
      <c r="C5816" t="s">
        <v>7968</v>
      </c>
      <c r="D5816" t="s">
        <v>4772</v>
      </c>
      <c r="E5816" t="s">
        <v>9575</v>
      </c>
      <c r="F5816" t="s">
        <v>6802</v>
      </c>
      <c r="H5816" t="s">
        <v>4773</v>
      </c>
      <c r="K5816">
        <v>70000</v>
      </c>
      <c r="L5816" t="s">
        <v>6803</v>
      </c>
    </row>
    <row r="5817" spans="1:12" x14ac:dyDescent="0.35">
      <c r="A5817" t="s">
        <v>3115</v>
      </c>
      <c r="B5817" s="1">
        <v>45735</v>
      </c>
      <c r="C5817" t="s">
        <v>7968</v>
      </c>
      <c r="D5817" t="s">
        <v>4772</v>
      </c>
      <c r="E5817" t="s">
        <v>9575</v>
      </c>
      <c r="F5817" t="s">
        <v>8557</v>
      </c>
      <c r="G5817" t="s">
        <v>8558</v>
      </c>
      <c r="H5817" t="s">
        <v>4773</v>
      </c>
      <c r="J5817">
        <v>70000</v>
      </c>
      <c r="L5817" t="s">
        <v>5875</v>
      </c>
    </row>
    <row r="5818" spans="1:12" x14ac:dyDescent="0.35">
      <c r="A5818" t="s">
        <v>3115</v>
      </c>
      <c r="B5818" s="1">
        <v>45735</v>
      </c>
      <c r="C5818" t="s">
        <v>6807</v>
      </c>
      <c r="D5818" t="s">
        <v>4774</v>
      </c>
      <c r="E5818" t="s">
        <v>9576</v>
      </c>
      <c r="F5818" t="s">
        <v>6802</v>
      </c>
      <c r="H5818" t="s">
        <v>4775</v>
      </c>
      <c r="K5818">
        <v>903000</v>
      </c>
      <c r="L5818" t="s">
        <v>6803</v>
      </c>
    </row>
    <row r="5819" spans="1:12" x14ac:dyDescent="0.35">
      <c r="A5819" t="s">
        <v>3115</v>
      </c>
      <c r="B5819" s="1">
        <v>45735</v>
      </c>
      <c r="C5819" t="s">
        <v>6807</v>
      </c>
      <c r="D5819" t="s">
        <v>4774</v>
      </c>
      <c r="E5819" t="s">
        <v>9576</v>
      </c>
      <c r="F5819" t="s">
        <v>8537</v>
      </c>
      <c r="G5819" t="s">
        <v>8538</v>
      </c>
      <c r="H5819" t="s">
        <v>4775</v>
      </c>
      <c r="J5819">
        <v>903000</v>
      </c>
      <c r="L5819" t="s">
        <v>5880</v>
      </c>
    </row>
    <row r="5820" spans="1:12" x14ac:dyDescent="0.35">
      <c r="A5820" t="s">
        <v>3115</v>
      </c>
      <c r="B5820" s="1">
        <v>45735</v>
      </c>
      <c r="C5820" t="s">
        <v>6810</v>
      </c>
      <c r="D5820" t="s">
        <v>4776</v>
      </c>
      <c r="E5820" t="s">
        <v>9577</v>
      </c>
      <c r="F5820" t="s">
        <v>6802</v>
      </c>
      <c r="H5820" t="s">
        <v>4777</v>
      </c>
      <c r="K5820">
        <v>1600000</v>
      </c>
      <c r="L5820" t="s">
        <v>6803</v>
      </c>
    </row>
    <row r="5821" spans="1:12" x14ac:dyDescent="0.35">
      <c r="A5821" t="s">
        <v>3115</v>
      </c>
      <c r="B5821" s="1">
        <v>45735</v>
      </c>
      <c r="C5821" t="s">
        <v>6810</v>
      </c>
      <c r="D5821" t="s">
        <v>4776</v>
      </c>
      <c r="E5821" t="s">
        <v>9577</v>
      </c>
      <c r="F5821" t="s">
        <v>8537</v>
      </c>
      <c r="G5821" t="s">
        <v>8538</v>
      </c>
      <c r="H5821" t="s">
        <v>4777</v>
      </c>
      <c r="J5821">
        <v>1600000</v>
      </c>
      <c r="L5821" t="s">
        <v>5876</v>
      </c>
    </row>
    <row r="5822" spans="1:12" x14ac:dyDescent="0.35">
      <c r="A5822" t="s">
        <v>3115</v>
      </c>
      <c r="B5822" s="1">
        <v>45735</v>
      </c>
      <c r="C5822" t="s">
        <v>6812</v>
      </c>
      <c r="D5822" t="s">
        <v>4778</v>
      </c>
      <c r="E5822" t="s">
        <v>9578</v>
      </c>
      <c r="F5822" t="s">
        <v>6802</v>
      </c>
      <c r="H5822" t="s">
        <v>4779</v>
      </c>
      <c r="K5822">
        <v>70000</v>
      </c>
      <c r="L5822" t="s">
        <v>6803</v>
      </c>
    </row>
    <row r="5823" spans="1:12" x14ac:dyDescent="0.35">
      <c r="A5823" t="s">
        <v>3115</v>
      </c>
      <c r="B5823" s="1">
        <v>45735</v>
      </c>
      <c r="C5823" t="s">
        <v>6812</v>
      </c>
      <c r="D5823" t="s">
        <v>4778</v>
      </c>
      <c r="E5823" t="s">
        <v>9578</v>
      </c>
      <c r="F5823" t="s">
        <v>8537</v>
      </c>
      <c r="G5823" t="s">
        <v>8538</v>
      </c>
      <c r="H5823" t="s">
        <v>4779</v>
      </c>
      <c r="J5823">
        <v>70000</v>
      </c>
      <c r="L5823" t="s">
        <v>5880</v>
      </c>
    </row>
    <row r="5824" spans="1:12" x14ac:dyDescent="0.35">
      <c r="A5824" t="s">
        <v>3115</v>
      </c>
      <c r="B5824" s="1">
        <v>45735</v>
      </c>
      <c r="C5824" t="s">
        <v>6815</v>
      </c>
      <c r="D5824" t="s">
        <v>4780</v>
      </c>
      <c r="E5824" t="s">
        <v>9579</v>
      </c>
      <c r="F5824" t="s">
        <v>6802</v>
      </c>
      <c r="H5824" t="s">
        <v>4781</v>
      </c>
      <c r="K5824">
        <v>20000</v>
      </c>
      <c r="L5824" t="s">
        <v>6803</v>
      </c>
    </row>
    <row r="5825" spans="1:12" x14ac:dyDescent="0.35">
      <c r="A5825" t="s">
        <v>3115</v>
      </c>
      <c r="B5825" s="1">
        <v>45735</v>
      </c>
      <c r="C5825" t="s">
        <v>6815</v>
      </c>
      <c r="D5825" t="s">
        <v>4780</v>
      </c>
      <c r="E5825" t="s">
        <v>9579</v>
      </c>
      <c r="F5825" t="s">
        <v>8537</v>
      </c>
      <c r="G5825" t="s">
        <v>8538</v>
      </c>
      <c r="H5825" t="s">
        <v>4781</v>
      </c>
      <c r="J5825">
        <v>20000</v>
      </c>
      <c r="L5825" t="s">
        <v>5876</v>
      </c>
    </row>
    <row r="5826" spans="1:12" x14ac:dyDescent="0.35">
      <c r="A5826" t="s">
        <v>3115</v>
      </c>
      <c r="B5826" s="1">
        <v>45735</v>
      </c>
      <c r="C5826" t="s">
        <v>6817</v>
      </c>
      <c r="D5826" t="s">
        <v>4782</v>
      </c>
      <c r="E5826" t="s">
        <v>9580</v>
      </c>
      <c r="F5826" t="s">
        <v>6802</v>
      </c>
      <c r="H5826" t="s">
        <v>4783</v>
      </c>
      <c r="K5826">
        <v>150000</v>
      </c>
      <c r="L5826" t="s">
        <v>6803</v>
      </c>
    </row>
    <row r="5827" spans="1:12" x14ac:dyDescent="0.35">
      <c r="A5827" t="s">
        <v>3115</v>
      </c>
      <c r="B5827" s="1">
        <v>45735</v>
      </c>
      <c r="C5827" t="s">
        <v>6817</v>
      </c>
      <c r="D5827" t="s">
        <v>4782</v>
      </c>
      <c r="E5827" t="s">
        <v>9580</v>
      </c>
      <c r="F5827" t="s">
        <v>8537</v>
      </c>
      <c r="G5827" t="s">
        <v>8538</v>
      </c>
      <c r="H5827" t="s">
        <v>4783</v>
      </c>
      <c r="J5827">
        <v>150000</v>
      </c>
      <c r="L5827" t="s">
        <v>5880</v>
      </c>
    </row>
    <row r="5828" spans="1:12" x14ac:dyDescent="0.35">
      <c r="A5828" t="s">
        <v>3115</v>
      </c>
      <c r="B5828" s="1">
        <v>45735</v>
      </c>
      <c r="C5828" t="s">
        <v>6821</v>
      </c>
      <c r="D5828" t="s">
        <v>4784</v>
      </c>
      <c r="E5828" t="s">
        <v>9581</v>
      </c>
      <c r="F5828" t="s">
        <v>6802</v>
      </c>
      <c r="H5828" t="s">
        <v>4785</v>
      </c>
      <c r="K5828">
        <v>140000</v>
      </c>
      <c r="L5828" t="s">
        <v>6803</v>
      </c>
    </row>
    <row r="5829" spans="1:12" x14ac:dyDescent="0.35">
      <c r="A5829" t="s">
        <v>3115</v>
      </c>
      <c r="B5829" s="1">
        <v>45735</v>
      </c>
      <c r="C5829" t="s">
        <v>6821</v>
      </c>
      <c r="D5829" t="s">
        <v>4784</v>
      </c>
      <c r="E5829" t="s">
        <v>9581</v>
      </c>
      <c r="F5829" t="s">
        <v>8537</v>
      </c>
      <c r="G5829" t="s">
        <v>8538</v>
      </c>
      <c r="H5829" t="s">
        <v>4785</v>
      </c>
      <c r="J5829">
        <v>140000</v>
      </c>
      <c r="L5829" t="s">
        <v>5875</v>
      </c>
    </row>
    <row r="5830" spans="1:12" x14ac:dyDescent="0.35">
      <c r="A5830" t="s">
        <v>3115</v>
      </c>
      <c r="B5830" s="1">
        <v>45735</v>
      </c>
      <c r="C5830" t="s">
        <v>6823</v>
      </c>
      <c r="D5830" t="s">
        <v>4786</v>
      </c>
      <c r="E5830" t="s">
        <v>9582</v>
      </c>
      <c r="F5830" t="s">
        <v>6802</v>
      </c>
      <c r="H5830" t="s">
        <v>4787</v>
      </c>
      <c r="K5830">
        <v>75000</v>
      </c>
      <c r="L5830" t="s">
        <v>6803</v>
      </c>
    </row>
    <row r="5831" spans="1:12" x14ac:dyDescent="0.35">
      <c r="A5831" t="s">
        <v>3115</v>
      </c>
      <c r="B5831" s="1">
        <v>45735</v>
      </c>
      <c r="C5831" t="s">
        <v>6823</v>
      </c>
      <c r="D5831" t="s">
        <v>4786</v>
      </c>
      <c r="E5831" t="s">
        <v>9582</v>
      </c>
      <c r="F5831" t="s">
        <v>8537</v>
      </c>
      <c r="G5831" t="s">
        <v>8538</v>
      </c>
      <c r="H5831" t="s">
        <v>4787</v>
      </c>
      <c r="J5831">
        <v>75000</v>
      </c>
      <c r="L5831" t="s">
        <v>5876</v>
      </c>
    </row>
    <row r="5832" spans="1:12" x14ac:dyDescent="0.35">
      <c r="A5832" t="s">
        <v>3115</v>
      </c>
      <c r="B5832" s="1">
        <v>45735</v>
      </c>
      <c r="C5832" t="s">
        <v>6824</v>
      </c>
      <c r="D5832" t="s">
        <v>4788</v>
      </c>
      <c r="E5832" t="s">
        <v>9583</v>
      </c>
      <c r="F5832" t="s">
        <v>6802</v>
      </c>
      <c r="H5832" t="s">
        <v>4789</v>
      </c>
      <c r="K5832">
        <v>80000</v>
      </c>
      <c r="L5832" t="s">
        <v>6803</v>
      </c>
    </row>
    <row r="5833" spans="1:12" x14ac:dyDescent="0.35">
      <c r="A5833" t="s">
        <v>3115</v>
      </c>
      <c r="B5833" s="1">
        <v>45735</v>
      </c>
      <c r="C5833" t="s">
        <v>6824</v>
      </c>
      <c r="D5833" t="s">
        <v>4788</v>
      </c>
      <c r="E5833" t="s">
        <v>9583</v>
      </c>
      <c r="F5833" t="s">
        <v>8537</v>
      </c>
      <c r="G5833" t="s">
        <v>8538</v>
      </c>
      <c r="H5833" t="s">
        <v>4789</v>
      </c>
      <c r="J5833">
        <v>80000</v>
      </c>
      <c r="L5833" t="s">
        <v>5874</v>
      </c>
    </row>
    <row r="5834" spans="1:12" x14ac:dyDescent="0.35">
      <c r="A5834" t="s">
        <v>3115</v>
      </c>
      <c r="B5834" s="1">
        <v>45735</v>
      </c>
      <c r="C5834" t="s">
        <v>6825</v>
      </c>
      <c r="D5834" t="s">
        <v>4790</v>
      </c>
      <c r="E5834" t="s">
        <v>9584</v>
      </c>
      <c r="F5834" t="s">
        <v>6802</v>
      </c>
      <c r="H5834" t="s">
        <v>4791</v>
      </c>
      <c r="K5834">
        <v>3500</v>
      </c>
      <c r="L5834" t="s">
        <v>6803</v>
      </c>
    </row>
    <row r="5835" spans="1:12" x14ac:dyDescent="0.35">
      <c r="A5835" t="s">
        <v>3115</v>
      </c>
      <c r="B5835" s="1">
        <v>45735</v>
      </c>
      <c r="C5835" t="s">
        <v>6825</v>
      </c>
      <c r="D5835" t="s">
        <v>4790</v>
      </c>
      <c r="E5835" t="s">
        <v>9584</v>
      </c>
      <c r="F5835" t="s">
        <v>8537</v>
      </c>
      <c r="G5835" t="s">
        <v>8538</v>
      </c>
      <c r="H5835" t="s">
        <v>4791</v>
      </c>
      <c r="J5835">
        <v>3500</v>
      </c>
      <c r="L5835" t="s">
        <v>5875</v>
      </c>
    </row>
    <row r="5836" spans="1:12" x14ac:dyDescent="0.35">
      <c r="A5836" t="s">
        <v>3115</v>
      </c>
      <c r="B5836" s="1">
        <v>45735</v>
      </c>
      <c r="C5836" t="s">
        <v>6827</v>
      </c>
      <c r="D5836" t="s">
        <v>4792</v>
      </c>
      <c r="E5836" t="s">
        <v>9585</v>
      </c>
      <c r="F5836" t="s">
        <v>6802</v>
      </c>
      <c r="H5836" t="s">
        <v>4793</v>
      </c>
      <c r="K5836">
        <v>750000</v>
      </c>
      <c r="L5836" t="s">
        <v>6803</v>
      </c>
    </row>
    <row r="5837" spans="1:12" x14ac:dyDescent="0.35">
      <c r="A5837" t="s">
        <v>3115</v>
      </c>
      <c r="B5837" s="1">
        <v>45735</v>
      </c>
      <c r="C5837" t="s">
        <v>6827</v>
      </c>
      <c r="D5837" t="s">
        <v>4792</v>
      </c>
      <c r="E5837" t="s">
        <v>9585</v>
      </c>
      <c r="F5837" t="s">
        <v>8537</v>
      </c>
      <c r="G5837" t="s">
        <v>8538</v>
      </c>
      <c r="H5837" t="s">
        <v>4793</v>
      </c>
      <c r="J5837">
        <v>750000</v>
      </c>
      <c r="L5837" t="s">
        <v>5881</v>
      </c>
    </row>
    <row r="5838" spans="1:12" x14ac:dyDescent="0.35">
      <c r="A5838" t="s">
        <v>3115</v>
      </c>
      <c r="B5838" s="1">
        <v>45735</v>
      </c>
      <c r="C5838" t="s">
        <v>6828</v>
      </c>
      <c r="D5838" t="s">
        <v>4794</v>
      </c>
      <c r="E5838" t="s">
        <v>9586</v>
      </c>
      <c r="F5838" t="s">
        <v>6802</v>
      </c>
      <c r="H5838" t="s">
        <v>4795</v>
      </c>
      <c r="K5838">
        <v>170000</v>
      </c>
      <c r="L5838" t="s">
        <v>6803</v>
      </c>
    </row>
    <row r="5839" spans="1:12" x14ac:dyDescent="0.35">
      <c r="A5839" t="s">
        <v>3115</v>
      </c>
      <c r="B5839" s="1">
        <v>45735</v>
      </c>
      <c r="C5839" t="s">
        <v>6828</v>
      </c>
      <c r="D5839" t="s">
        <v>4794</v>
      </c>
      <c r="E5839" t="s">
        <v>9586</v>
      </c>
      <c r="F5839" t="s">
        <v>8537</v>
      </c>
      <c r="G5839" t="s">
        <v>8538</v>
      </c>
      <c r="H5839" t="s">
        <v>4795</v>
      </c>
      <c r="J5839">
        <v>170000</v>
      </c>
      <c r="L5839" t="s">
        <v>5958</v>
      </c>
    </row>
    <row r="5840" spans="1:12" x14ac:dyDescent="0.35">
      <c r="A5840" t="s">
        <v>3115</v>
      </c>
      <c r="B5840" s="1">
        <v>45735</v>
      </c>
      <c r="C5840" t="s">
        <v>6829</v>
      </c>
      <c r="D5840" t="s">
        <v>4796</v>
      </c>
      <c r="E5840" t="s">
        <v>9587</v>
      </c>
      <c r="F5840" t="s">
        <v>6802</v>
      </c>
      <c r="H5840" t="s">
        <v>4797</v>
      </c>
      <c r="K5840">
        <v>70000</v>
      </c>
      <c r="L5840" t="s">
        <v>6803</v>
      </c>
    </row>
    <row r="5841" spans="1:12" x14ac:dyDescent="0.35">
      <c r="A5841" t="s">
        <v>3115</v>
      </c>
      <c r="B5841" s="1">
        <v>45735</v>
      </c>
      <c r="C5841" t="s">
        <v>6829</v>
      </c>
      <c r="D5841" t="s">
        <v>4796</v>
      </c>
      <c r="E5841" t="s">
        <v>9587</v>
      </c>
      <c r="F5841" t="s">
        <v>8537</v>
      </c>
      <c r="G5841" t="s">
        <v>8538</v>
      </c>
      <c r="H5841" t="s">
        <v>4797</v>
      </c>
      <c r="J5841">
        <v>70000</v>
      </c>
      <c r="L5841" t="s">
        <v>5875</v>
      </c>
    </row>
    <row r="5842" spans="1:12" x14ac:dyDescent="0.35">
      <c r="A5842" t="s">
        <v>3115</v>
      </c>
      <c r="B5842" s="1">
        <v>45735</v>
      </c>
      <c r="C5842" t="s">
        <v>6830</v>
      </c>
      <c r="D5842" t="s">
        <v>4798</v>
      </c>
      <c r="E5842" t="s">
        <v>9588</v>
      </c>
      <c r="F5842" t="s">
        <v>6802</v>
      </c>
      <c r="H5842" t="s">
        <v>4799</v>
      </c>
      <c r="K5842">
        <v>75000</v>
      </c>
      <c r="L5842" t="s">
        <v>6803</v>
      </c>
    </row>
    <row r="5843" spans="1:12" x14ac:dyDescent="0.35">
      <c r="A5843" t="s">
        <v>3115</v>
      </c>
      <c r="B5843" s="1">
        <v>45735</v>
      </c>
      <c r="C5843" t="s">
        <v>6830</v>
      </c>
      <c r="D5843" t="s">
        <v>4798</v>
      </c>
      <c r="E5843" t="s">
        <v>9588</v>
      </c>
      <c r="F5843" t="s">
        <v>8537</v>
      </c>
      <c r="G5843" t="s">
        <v>8538</v>
      </c>
      <c r="H5843" t="s">
        <v>4799</v>
      </c>
      <c r="J5843">
        <v>75000</v>
      </c>
      <c r="L5843" t="s">
        <v>5875</v>
      </c>
    </row>
    <row r="5844" spans="1:12" x14ac:dyDescent="0.35">
      <c r="A5844" t="s">
        <v>3115</v>
      </c>
      <c r="B5844" s="1">
        <v>45735</v>
      </c>
      <c r="C5844" t="s">
        <v>6831</v>
      </c>
      <c r="D5844" t="s">
        <v>4800</v>
      </c>
      <c r="E5844" t="s">
        <v>9589</v>
      </c>
      <c r="F5844" t="s">
        <v>6802</v>
      </c>
      <c r="H5844" t="s">
        <v>4801</v>
      </c>
      <c r="K5844">
        <v>15000</v>
      </c>
      <c r="L5844" t="s">
        <v>6803</v>
      </c>
    </row>
    <row r="5845" spans="1:12" x14ac:dyDescent="0.35">
      <c r="A5845" t="s">
        <v>3115</v>
      </c>
      <c r="B5845" s="1">
        <v>45735</v>
      </c>
      <c r="C5845" t="s">
        <v>6831</v>
      </c>
      <c r="D5845" t="s">
        <v>4800</v>
      </c>
      <c r="E5845" t="s">
        <v>9589</v>
      </c>
      <c r="F5845" t="s">
        <v>8537</v>
      </c>
      <c r="G5845" t="s">
        <v>8538</v>
      </c>
      <c r="H5845" t="s">
        <v>4801</v>
      </c>
      <c r="J5845">
        <v>15000</v>
      </c>
      <c r="L5845" t="s">
        <v>5875</v>
      </c>
    </row>
    <row r="5846" spans="1:12" x14ac:dyDescent="0.35">
      <c r="A5846" t="s">
        <v>3115</v>
      </c>
      <c r="B5846" s="1">
        <v>45735</v>
      </c>
      <c r="C5846" t="s">
        <v>6833</v>
      </c>
      <c r="D5846" t="s">
        <v>4802</v>
      </c>
      <c r="E5846" t="s">
        <v>9590</v>
      </c>
      <c r="F5846" t="s">
        <v>6802</v>
      </c>
      <c r="H5846" t="s">
        <v>4803</v>
      </c>
      <c r="K5846">
        <v>3673</v>
      </c>
      <c r="L5846" t="s">
        <v>6803</v>
      </c>
    </row>
    <row r="5847" spans="1:12" x14ac:dyDescent="0.35">
      <c r="A5847" t="s">
        <v>3115</v>
      </c>
      <c r="B5847" s="1">
        <v>45735</v>
      </c>
      <c r="C5847" t="s">
        <v>6833</v>
      </c>
      <c r="D5847" t="s">
        <v>4802</v>
      </c>
      <c r="E5847" t="s">
        <v>9590</v>
      </c>
      <c r="F5847" t="s">
        <v>8537</v>
      </c>
      <c r="G5847" t="s">
        <v>8538</v>
      </c>
      <c r="H5847" t="s">
        <v>4803</v>
      </c>
      <c r="J5847">
        <v>3673</v>
      </c>
      <c r="L5847" t="s">
        <v>5875</v>
      </c>
    </row>
    <row r="5848" spans="1:12" x14ac:dyDescent="0.35">
      <c r="A5848" t="s">
        <v>3115</v>
      </c>
      <c r="B5848" s="1">
        <v>45735</v>
      </c>
      <c r="C5848" t="s">
        <v>6834</v>
      </c>
      <c r="D5848" t="s">
        <v>4804</v>
      </c>
      <c r="E5848" t="s">
        <v>9557</v>
      </c>
      <c r="F5848" t="s">
        <v>6802</v>
      </c>
      <c r="H5848" t="s">
        <v>4805</v>
      </c>
      <c r="K5848">
        <v>3149</v>
      </c>
      <c r="L5848" t="s">
        <v>6803</v>
      </c>
    </row>
    <row r="5849" spans="1:12" x14ac:dyDescent="0.35">
      <c r="A5849" t="s">
        <v>3115</v>
      </c>
      <c r="B5849" s="1">
        <v>45735</v>
      </c>
      <c r="C5849" t="s">
        <v>6834</v>
      </c>
      <c r="D5849" t="s">
        <v>4804</v>
      </c>
      <c r="E5849" t="s">
        <v>9557</v>
      </c>
      <c r="F5849" t="s">
        <v>8537</v>
      </c>
      <c r="G5849" t="s">
        <v>8538</v>
      </c>
      <c r="H5849" t="s">
        <v>4805</v>
      </c>
      <c r="J5849">
        <v>3149</v>
      </c>
      <c r="L5849" t="s">
        <v>5966</v>
      </c>
    </row>
    <row r="5850" spans="1:12" x14ac:dyDescent="0.35">
      <c r="A5850" t="s">
        <v>3115</v>
      </c>
      <c r="B5850" s="1">
        <v>45735</v>
      </c>
      <c r="C5850" t="s">
        <v>6835</v>
      </c>
      <c r="D5850" t="s">
        <v>4806</v>
      </c>
      <c r="E5850" t="s">
        <v>9559</v>
      </c>
      <c r="F5850" t="s">
        <v>6802</v>
      </c>
      <c r="H5850" t="s">
        <v>4807</v>
      </c>
      <c r="K5850">
        <v>15941</v>
      </c>
      <c r="L5850" t="s">
        <v>6803</v>
      </c>
    </row>
    <row r="5851" spans="1:12" x14ac:dyDescent="0.35">
      <c r="A5851" t="s">
        <v>3115</v>
      </c>
      <c r="B5851" s="1">
        <v>45735</v>
      </c>
      <c r="C5851" t="s">
        <v>6835</v>
      </c>
      <c r="D5851" t="s">
        <v>4806</v>
      </c>
      <c r="E5851" t="s">
        <v>9559</v>
      </c>
      <c r="F5851" t="s">
        <v>8537</v>
      </c>
      <c r="G5851" t="s">
        <v>8538</v>
      </c>
      <c r="H5851" t="s">
        <v>4807</v>
      </c>
      <c r="J5851">
        <v>15941</v>
      </c>
      <c r="L5851" t="s">
        <v>5966</v>
      </c>
    </row>
    <row r="5852" spans="1:12" x14ac:dyDescent="0.35">
      <c r="A5852" t="s">
        <v>3115</v>
      </c>
      <c r="B5852" s="1">
        <v>45735</v>
      </c>
      <c r="C5852" t="s">
        <v>6836</v>
      </c>
      <c r="D5852" t="s">
        <v>4808</v>
      </c>
      <c r="E5852" t="s">
        <v>9591</v>
      </c>
      <c r="F5852" t="s">
        <v>6802</v>
      </c>
      <c r="H5852" t="s">
        <v>4809</v>
      </c>
      <c r="K5852">
        <v>20000</v>
      </c>
      <c r="L5852" t="s">
        <v>6803</v>
      </c>
    </row>
    <row r="5853" spans="1:12" x14ac:dyDescent="0.35">
      <c r="A5853" t="s">
        <v>3115</v>
      </c>
      <c r="B5853" s="1">
        <v>45735</v>
      </c>
      <c r="C5853" t="s">
        <v>6836</v>
      </c>
      <c r="D5853" t="s">
        <v>4808</v>
      </c>
      <c r="E5853" t="s">
        <v>9591</v>
      </c>
      <c r="F5853" t="s">
        <v>8537</v>
      </c>
      <c r="G5853" t="s">
        <v>8538</v>
      </c>
      <c r="H5853" t="s">
        <v>4809</v>
      </c>
      <c r="J5853">
        <v>20000</v>
      </c>
      <c r="L5853" t="s">
        <v>5875</v>
      </c>
    </row>
    <row r="5854" spans="1:12" x14ac:dyDescent="0.35">
      <c r="A5854" t="s">
        <v>3115</v>
      </c>
      <c r="B5854" s="1">
        <v>45735</v>
      </c>
      <c r="C5854" t="s">
        <v>6837</v>
      </c>
      <c r="D5854" t="s">
        <v>4810</v>
      </c>
      <c r="E5854" t="s">
        <v>8622</v>
      </c>
      <c r="F5854" t="s">
        <v>6802</v>
      </c>
      <c r="H5854" t="s">
        <v>4811</v>
      </c>
      <c r="K5854">
        <v>75000</v>
      </c>
      <c r="L5854" t="s">
        <v>6803</v>
      </c>
    </row>
    <row r="5855" spans="1:12" x14ac:dyDescent="0.35">
      <c r="A5855" t="s">
        <v>3115</v>
      </c>
      <c r="B5855" s="1">
        <v>45735</v>
      </c>
      <c r="C5855" t="s">
        <v>6837</v>
      </c>
      <c r="D5855" t="s">
        <v>4810</v>
      </c>
      <c r="E5855" t="s">
        <v>8622</v>
      </c>
      <c r="F5855" t="s">
        <v>8537</v>
      </c>
      <c r="G5855" t="s">
        <v>8538</v>
      </c>
      <c r="H5855" t="s">
        <v>4811</v>
      </c>
      <c r="J5855">
        <v>75000</v>
      </c>
      <c r="L5855" t="s">
        <v>5875</v>
      </c>
    </row>
    <row r="5856" spans="1:12" x14ac:dyDescent="0.35">
      <c r="A5856" t="s">
        <v>3115</v>
      </c>
      <c r="B5856" s="1">
        <v>45735</v>
      </c>
      <c r="C5856" t="s">
        <v>6838</v>
      </c>
      <c r="D5856" t="s">
        <v>4812</v>
      </c>
      <c r="E5856" t="s">
        <v>9592</v>
      </c>
      <c r="F5856" t="s">
        <v>6802</v>
      </c>
      <c r="H5856" t="s">
        <v>4813</v>
      </c>
      <c r="K5856">
        <v>500000</v>
      </c>
      <c r="L5856" t="s">
        <v>6803</v>
      </c>
    </row>
    <row r="5857" spans="1:12" x14ac:dyDescent="0.35">
      <c r="A5857" t="s">
        <v>3115</v>
      </c>
      <c r="B5857" s="1">
        <v>45735</v>
      </c>
      <c r="C5857" t="s">
        <v>6838</v>
      </c>
      <c r="D5857" t="s">
        <v>4812</v>
      </c>
      <c r="E5857" t="s">
        <v>9592</v>
      </c>
      <c r="F5857" t="s">
        <v>8537</v>
      </c>
      <c r="G5857" t="s">
        <v>8538</v>
      </c>
      <c r="H5857" t="s">
        <v>4813</v>
      </c>
      <c r="J5857">
        <v>500000</v>
      </c>
      <c r="L5857" t="s">
        <v>5875</v>
      </c>
    </row>
    <row r="5858" spans="1:12" x14ac:dyDescent="0.35">
      <c r="A5858" t="s">
        <v>3115</v>
      </c>
      <c r="B5858" s="1">
        <v>45735</v>
      </c>
      <c r="C5858" t="s">
        <v>6839</v>
      </c>
      <c r="D5858" t="s">
        <v>4814</v>
      </c>
      <c r="E5858" t="s">
        <v>8696</v>
      </c>
      <c r="F5858" t="s">
        <v>6802</v>
      </c>
      <c r="H5858" t="s">
        <v>4815</v>
      </c>
      <c r="K5858">
        <v>45000</v>
      </c>
      <c r="L5858" t="s">
        <v>6803</v>
      </c>
    </row>
    <row r="5859" spans="1:12" x14ac:dyDescent="0.35">
      <c r="A5859" t="s">
        <v>3115</v>
      </c>
      <c r="B5859" s="1">
        <v>45735</v>
      </c>
      <c r="C5859" t="s">
        <v>6839</v>
      </c>
      <c r="D5859" t="s">
        <v>4814</v>
      </c>
      <c r="E5859" t="s">
        <v>8696</v>
      </c>
      <c r="F5859" t="s">
        <v>8537</v>
      </c>
      <c r="G5859" t="s">
        <v>8538</v>
      </c>
      <c r="H5859" t="s">
        <v>4815</v>
      </c>
      <c r="J5859">
        <v>45000</v>
      </c>
      <c r="L5859" t="s">
        <v>5874</v>
      </c>
    </row>
    <row r="5860" spans="1:12" x14ac:dyDescent="0.35">
      <c r="A5860" t="s">
        <v>3115</v>
      </c>
      <c r="B5860" s="1">
        <v>45735</v>
      </c>
      <c r="C5860" t="s">
        <v>6840</v>
      </c>
      <c r="D5860" t="s">
        <v>4816</v>
      </c>
      <c r="E5860" t="s">
        <v>9593</v>
      </c>
      <c r="F5860" t="s">
        <v>6802</v>
      </c>
      <c r="H5860" t="s">
        <v>4817</v>
      </c>
      <c r="K5860">
        <v>90000</v>
      </c>
      <c r="L5860" t="s">
        <v>6803</v>
      </c>
    </row>
    <row r="5861" spans="1:12" x14ac:dyDescent="0.35">
      <c r="A5861" t="s">
        <v>3115</v>
      </c>
      <c r="B5861" s="1">
        <v>45735</v>
      </c>
      <c r="C5861" t="s">
        <v>6840</v>
      </c>
      <c r="D5861" t="s">
        <v>4816</v>
      </c>
      <c r="E5861" t="s">
        <v>9593</v>
      </c>
      <c r="F5861" t="s">
        <v>8537</v>
      </c>
      <c r="G5861" t="s">
        <v>8538</v>
      </c>
      <c r="H5861" t="s">
        <v>4817</v>
      </c>
      <c r="J5861">
        <v>90000</v>
      </c>
      <c r="L5861" t="s">
        <v>5875</v>
      </c>
    </row>
    <row r="5862" spans="1:12" x14ac:dyDescent="0.35">
      <c r="A5862" t="s">
        <v>3115</v>
      </c>
      <c r="B5862" s="1">
        <v>45736</v>
      </c>
      <c r="C5862" t="s">
        <v>9594</v>
      </c>
      <c r="D5862" t="s">
        <v>4818</v>
      </c>
      <c r="E5862" t="s">
        <v>9595</v>
      </c>
      <c r="F5862" t="s">
        <v>6802</v>
      </c>
      <c r="H5862" t="s">
        <v>4819</v>
      </c>
      <c r="K5862">
        <v>1100</v>
      </c>
      <c r="L5862" t="s">
        <v>6803</v>
      </c>
    </row>
    <row r="5863" spans="1:12" x14ac:dyDescent="0.35">
      <c r="A5863" t="s">
        <v>3115</v>
      </c>
      <c r="B5863" s="1">
        <v>45736</v>
      </c>
      <c r="C5863" t="s">
        <v>9594</v>
      </c>
      <c r="D5863" t="s">
        <v>4818</v>
      </c>
      <c r="E5863" t="s">
        <v>9595</v>
      </c>
      <c r="F5863" t="s">
        <v>8557</v>
      </c>
      <c r="G5863" t="s">
        <v>8558</v>
      </c>
      <c r="H5863" t="s">
        <v>4819</v>
      </c>
      <c r="J5863">
        <v>1100</v>
      </c>
      <c r="L5863" t="s">
        <v>5966</v>
      </c>
    </row>
    <row r="5864" spans="1:12" x14ac:dyDescent="0.35">
      <c r="A5864" t="s">
        <v>3115</v>
      </c>
      <c r="B5864" s="1">
        <v>45736</v>
      </c>
      <c r="C5864" t="s">
        <v>9596</v>
      </c>
      <c r="D5864" t="s">
        <v>4820</v>
      </c>
      <c r="E5864" t="s">
        <v>9597</v>
      </c>
      <c r="F5864" t="s">
        <v>6811</v>
      </c>
      <c r="H5864" t="s">
        <v>4821</v>
      </c>
      <c r="K5864">
        <v>88000</v>
      </c>
      <c r="L5864" t="s">
        <v>6803</v>
      </c>
    </row>
    <row r="5865" spans="1:12" x14ac:dyDescent="0.35">
      <c r="A5865" t="s">
        <v>3115</v>
      </c>
      <c r="B5865" s="1">
        <v>45736</v>
      </c>
      <c r="C5865" t="s">
        <v>9596</v>
      </c>
      <c r="D5865" t="s">
        <v>4820</v>
      </c>
      <c r="E5865" t="s">
        <v>9597</v>
      </c>
      <c r="F5865" t="s">
        <v>8557</v>
      </c>
      <c r="G5865" t="s">
        <v>8558</v>
      </c>
      <c r="H5865" t="s">
        <v>4821</v>
      </c>
      <c r="J5865">
        <v>88000</v>
      </c>
      <c r="L5865" t="s">
        <v>5949</v>
      </c>
    </row>
    <row r="5866" spans="1:12" x14ac:dyDescent="0.35">
      <c r="A5866" t="s">
        <v>3115</v>
      </c>
      <c r="B5866" s="1">
        <v>45736</v>
      </c>
      <c r="C5866" t="s">
        <v>9598</v>
      </c>
      <c r="D5866" t="s">
        <v>4822</v>
      </c>
      <c r="E5866" t="s">
        <v>9599</v>
      </c>
      <c r="F5866" t="s">
        <v>6811</v>
      </c>
      <c r="H5866" t="s">
        <v>4823</v>
      </c>
      <c r="K5866">
        <v>350</v>
      </c>
      <c r="L5866" t="s">
        <v>6803</v>
      </c>
    </row>
    <row r="5867" spans="1:12" x14ac:dyDescent="0.35">
      <c r="A5867" t="s">
        <v>3115</v>
      </c>
      <c r="B5867" s="1">
        <v>45736</v>
      </c>
      <c r="C5867" t="s">
        <v>9598</v>
      </c>
      <c r="D5867" t="s">
        <v>4822</v>
      </c>
      <c r="E5867" t="s">
        <v>9599</v>
      </c>
      <c r="F5867" t="s">
        <v>6802</v>
      </c>
      <c r="H5867" t="s">
        <v>4823</v>
      </c>
      <c r="K5867">
        <v>176</v>
      </c>
      <c r="L5867" t="s">
        <v>6803</v>
      </c>
    </row>
    <row r="5868" spans="1:12" x14ac:dyDescent="0.35">
      <c r="A5868" t="s">
        <v>3115</v>
      </c>
      <c r="B5868" s="1">
        <v>45736</v>
      </c>
      <c r="C5868" t="s">
        <v>9598</v>
      </c>
      <c r="D5868" t="s">
        <v>4822</v>
      </c>
      <c r="E5868" t="s">
        <v>9599</v>
      </c>
      <c r="F5868" t="s">
        <v>8557</v>
      </c>
      <c r="G5868" t="s">
        <v>8558</v>
      </c>
      <c r="H5868" t="s">
        <v>4823</v>
      </c>
      <c r="J5868">
        <v>526</v>
      </c>
      <c r="L5868" t="s">
        <v>5966</v>
      </c>
    </row>
    <row r="5869" spans="1:12" x14ac:dyDescent="0.35">
      <c r="A5869" t="s">
        <v>3115</v>
      </c>
      <c r="B5869" s="1">
        <v>45736</v>
      </c>
      <c r="C5869" t="s">
        <v>9600</v>
      </c>
      <c r="D5869" t="s">
        <v>4824</v>
      </c>
      <c r="E5869" t="s">
        <v>9601</v>
      </c>
      <c r="F5869" t="s">
        <v>6811</v>
      </c>
      <c r="H5869" t="s">
        <v>4825</v>
      </c>
      <c r="K5869">
        <v>300</v>
      </c>
      <c r="L5869" t="s">
        <v>6803</v>
      </c>
    </row>
    <row r="5870" spans="1:12" x14ac:dyDescent="0.35">
      <c r="A5870" t="s">
        <v>3115</v>
      </c>
      <c r="B5870" s="1">
        <v>45736</v>
      </c>
      <c r="C5870" t="s">
        <v>9600</v>
      </c>
      <c r="D5870" t="s">
        <v>4824</v>
      </c>
      <c r="E5870" t="s">
        <v>9601</v>
      </c>
      <c r="F5870" t="s">
        <v>8557</v>
      </c>
      <c r="G5870" t="s">
        <v>8558</v>
      </c>
      <c r="H5870" t="s">
        <v>4825</v>
      </c>
      <c r="J5870">
        <v>300</v>
      </c>
      <c r="L5870" t="s">
        <v>5966</v>
      </c>
    </row>
    <row r="5871" spans="1:12" x14ac:dyDescent="0.35">
      <c r="A5871" t="s">
        <v>3115</v>
      </c>
      <c r="B5871" s="1">
        <v>45736</v>
      </c>
      <c r="C5871" t="s">
        <v>9602</v>
      </c>
      <c r="D5871" t="s">
        <v>4826</v>
      </c>
      <c r="E5871" t="s">
        <v>9603</v>
      </c>
      <c r="F5871" t="s">
        <v>6811</v>
      </c>
      <c r="H5871" t="s">
        <v>4827</v>
      </c>
      <c r="K5871">
        <v>2717</v>
      </c>
      <c r="L5871" t="s">
        <v>6803</v>
      </c>
    </row>
    <row r="5872" spans="1:12" x14ac:dyDescent="0.35">
      <c r="A5872" t="s">
        <v>3115</v>
      </c>
      <c r="B5872" s="1">
        <v>45736</v>
      </c>
      <c r="C5872" t="s">
        <v>9602</v>
      </c>
      <c r="D5872" t="s">
        <v>4826</v>
      </c>
      <c r="E5872" t="s">
        <v>9603</v>
      </c>
      <c r="F5872" t="s">
        <v>8557</v>
      </c>
      <c r="G5872" t="s">
        <v>8558</v>
      </c>
      <c r="H5872" t="s">
        <v>4827</v>
      </c>
      <c r="J5872">
        <v>2717</v>
      </c>
      <c r="L5872" t="s">
        <v>5966</v>
      </c>
    </row>
    <row r="5873" spans="1:12" x14ac:dyDescent="0.35">
      <c r="A5873" t="s">
        <v>3115</v>
      </c>
      <c r="B5873" s="1">
        <v>45736</v>
      </c>
      <c r="C5873" t="s">
        <v>9604</v>
      </c>
      <c r="D5873" t="s">
        <v>4828</v>
      </c>
      <c r="E5873" t="s">
        <v>9605</v>
      </c>
      <c r="F5873" t="s">
        <v>6811</v>
      </c>
      <c r="H5873" t="s">
        <v>4829</v>
      </c>
      <c r="K5873">
        <v>202</v>
      </c>
      <c r="L5873" t="s">
        <v>6803</v>
      </c>
    </row>
    <row r="5874" spans="1:12" x14ac:dyDescent="0.35">
      <c r="A5874" t="s">
        <v>3115</v>
      </c>
      <c r="B5874" s="1">
        <v>45736</v>
      </c>
      <c r="C5874" t="s">
        <v>9604</v>
      </c>
      <c r="D5874" t="s">
        <v>4828</v>
      </c>
      <c r="E5874" t="s">
        <v>9605</v>
      </c>
      <c r="F5874" t="s">
        <v>8557</v>
      </c>
      <c r="G5874" t="s">
        <v>8558</v>
      </c>
      <c r="H5874" t="s">
        <v>4829</v>
      </c>
      <c r="J5874">
        <v>202</v>
      </c>
      <c r="L5874" t="s">
        <v>5966</v>
      </c>
    </row>
    <row r="5875" spans="1:12" x14ac:dyDescent="0.35">
      <c r="A5875" t="s">
        <v>3115</v>
      </c>
      <c r="B5875" s="1">
        <v>45736</v>
      </c>
      <c r="C5875" t="s">
        <v>9606</v>
      </c>
      <c r="D5875" t="s">
        <v>4830</v>
      </c>
      <c r="E5875" t="s">
        <v>9607</v>
      </c>
      <c r="F5875" t="s">
        <v>6811</v>
      </c>
      <c r="H5875" t="s">
        <v>4831</v>
      </c>
      <c r="K5875">
        <v>1718</v>
      </c>
      <c r="L5875" t="s">
        <v>6803</v>
      </c>
    </row>
    <row r="5876" spans="1:12" x14ac:dyDescent="0.35">
      <c r="A5876" t="s">
        <v>3115</v>
      </c>
      <c r="B5876" s="1">
        <v>45736</v>
      </c>
      <c r="C5876" t="s">
        <v>9606</v>
      </c>
      <c r="D5876" t="s">
        <v>4830</v>
      </c>
      <c r="E5876" t="s">
        <v>9607</v>
      </c>
      <c r="F5876" t="s">
        <v>6802</v>
      </c>
      <c r="H5876" t="s">
        <v>4831</v>
      </c>
      <c r="K5876">
        <v>1100</v>
      </c>
      <c r="L5876" t="s">
        <v>6803</v>
      </c>
    </row>
    <row r="5877" spans="1:12" x14ac:dyDescent="0.35">
      <c r="A5877" t="s">
        <v>3115</v>
      </c>
      <c r="B5877" s="1">
        <v>45736</v>
      </c>
      <c r="C5877" t="s">
        <v>9606</v>
      </c>
      <c r="D5877" t="s">
        <v>4830</v>
      </c>
      <c r="E5877" t="s">
        <v>9607</v>
      </c>
      <c r="F5877" t="s">
        <v>8557</v>
      </c>
      <c r="G5877" t="s">
        <v>8558</v>
      </c>
      <c r="H5877" t="s">
        <v>4831</v>
      </c>
      <c r="J5877">
        <v>2818</v>
      </c>
      <c r="L5877" t="s">
        <v>5966</v>
      </c>
    </row>
    <row r="5878" spans="1:12" x14ac:dyDescent="0.35">
      <c r="A5878" t="s">
        <v>3115</v>
      </c>
      <c r="B5878" s="1">
        <v>45736</v>
      </c>
      <c r="C5878" t="s">
        <v>7567</v>
      </c>
      <c r="D5878" t="s">
        <v>4832</v>
      </c>
      <c r="E5878" t="s">
        <v>9608</v>
      </c>
      <c r="F5878" t="s">
        <v>6811</v>
      </c>
      <c r="H5878" t="s">
        <v>4833</v>
      </c>
      <c r="K5878">
        <v>14966</v>
      </c>
      <c r="L5878" t="s">
        <v>6803</v>
      </c>
    </row>
    <row r="5879" spans="1:12" x14ac:dyDescent="0.35">
      <c r="A5879" t="s">
        <v>3115</v>
      </c>
      <c r="B5879" s="1">
        <v>45736</v>
      </c>
      <c r="C5879" t="s">
        <v>7567</v>
      </c>
      <c r="D5879" t="s">
        <v>4832</v>
      </c>
      <c r="E5879" t="s">
        <v>9608</v>
      </c>
      <c r="F5879" t="s">
        <v>8557</v>
      </c>
      <c r="G5879" t="s">
        <v>8558</v>
      </c>
      <c r="H5879" t="s">
        <v>4833</v>
      </c>
      <c r="J5879">
        <v>14966</v>
      </c>
      <c r="L5879" t="s">
        <v>5949</v>
      </c>
    </row>
    <row r="5880" spans="1:12" x14ac:dyDescent="0.35">
      <c r="A5880" t="s">
        <v>3115</v>
      </c>
      <c r="B5880" s="1">
        <v>45736</v>
      </c>
      <c r="C5880" t="s">
        <v>9609</v>
      </c>
      <c r="D5880" t="s">
        <v>4834</v>
      </c>
      <c r="E5880" t="s">
        <v>9610</v>
      </c>
      <c r="F5880" t="s">
        <v>6811</v>
      </c>
      <c r="H5880" t="s">
        <v>4835</v>
      </c>
      <c r="K5880">
        <v>294</v>
      </c>
      <c r="L5880" t="s">
        <v>6803</v>
      </c>
    </row>
    <row r="5881" spans="1:12" x14ac:dyDescent="0.35">
      <c r="A5881" t="s">
        <v>3115</v>
      </c>
      <c r="B5881" s="1">
        <v>45736</v>
      </c>
      <c r="C5881" t="s">
        <v>9609</v>
      </c>
      <c r="D5881" t="s">
        <v>4834</v>
      </c>
      <c r="E5881" t="s">
        <v>9610</v>
      </c>
      <c r="F5881" t="s">
        <v>6802</v>
      </c>
      <c r="H5881" t="s">
        <v>4835</v>
      </c>
      <c r="K5881">
        <v>800</v>
      </c>
      <c r="L5881" t="s">
        <v>6803</v>
      </c>
    </row>
    <row r="5882" spans="1:12" x14ac:dyDescent="0.35">
      <c r="A5882" t="s">
        <v>3115</v>
      </c>
      <c r="B5882" s="1">
        <v>45736</v>
      </c>
      <c r="C5882" t="s">
        <v>9609</v>
      </c>
      <c r="D5882" t="s">
        <v>4834</v>
      </c>
      <c r="E5882" t="s">
        <v>9610</v>
      </c>
      <c r="F5882" t="s">
        <v>8557</v>
      </c>
      <c r="G5882" t="s">
        <v>8558</v>
      </c>
      <c r="H5882" t="s">
        <v>4835</v>
      </c>
      <c r="J5882">
        <v>1094</v>
      </c>
      <c r="L5882" t="s">
        <v>5874</v>
      </c>
    </row>
    <row r="5883" spans="1:12" x14ac:dyDescent="0.35">
      <c r="A5883" t="s">
        <v>3115</v>
      </c>
      <c r="B5883" s="1">
        <v>45736</v>
      </c>
      <c r="C5883" t="s">
        <v>9611</v>
      </c>
      <c r="D5883" t="s">
        <v>4836</v>
      </c>
      <c r="E5883" t="s">
        <v>9612</v>
      </c>
      <c r="F5883" t="s">
        <v>6802</v>
      </c>
      <c r="H5883" t="s">
        <v>4837</v>
      </c>
      <c r="K5883">
        <v>15400</v>
      </c>
      <c r="L5883" t="s">
        <v>6803</v>
      </c>
    </row>
    <row r="5884" spans="1:12" x14ac:dyDescent="0.35">
      <c r="A5884" t="s">
        <v>3115</v>
      </c>
      <c r="B5884" s="1">
        <v>45736</v>
      </c>
      <c r="C5884" t="s">
        <v>9611</v>
      </c>
      <c r="D5884" t="s">
        <v>4836</v>
      </c>
      <c r="E5884" t="s">
        <v>9612</v>
      </c>
      <c r="F5884" t="s">
        <v>8557</v>
      </c>
      <c r="G5884" t="s">
        <v>8558</v>
      </c>
      <c r="H5884" t="s">
        <v>4837</v>
      </c>
      <c r="J5884">
        <v>15400</v>
      </c>
      <c r="L5884" t="s">
        <v>5875</v>
      </c>
    </row>
    <row r="5885" spans="1:12" x14ac:dyDescent="0.35">
      <c r="A5885" t="s">
        <v>3115</v>
      </c>
      <c r="B5885" s="1">
        <v>45736</v>
      </c>
      <c r="C5885" t="s">
        <v>9613</v>
      </c>
      <c r="D5885" t="s">
        <v>4838</v>
      </c>
      <c r="E5885" t="s">
        <v>9614</v>
      </c>
      <c r="F5885" t="s">
        <v>6811</v>
      </c>
      <c r="H5885" t="s">
        <v>4839</v>
      </c>
      <c r="K5885">
        <v>1346</v>
      </c>
      <c r="L5885" t="s">
        <v>6803</v>
      </c>
    </row>
    <row r="5886" spans="1:12" x14ac:dyDescent="0.35">
      <c r="A5886" t="s">
        <v>3115</v>
      </c>
      <c r="B5886" s="1">
        <v>45736</v>
      </c>
      <c r="C5886" t="s">
        <v>9613</v>
      </c>
      <c r="D5886" t="s">
        <v>4838</v>
      </c>
      <c r="E5886" t="s">
        <v>9614</v>
      </c>
      <c r="F5886" t="s">
        <v>8557</v>
      </c>
      <c r="G5886" t="s">
        <v>8558</v>
      </c>
      <c r="H5886" t="s">
        <v>4839</v>
      </c>
      <c r="J5886">
        <v>1346</v>
      </c>
      <c r="L5886" t="s">
        <v>5881</v>
      </c>
    </row>
    <row r="5887" spans="1:12" x14ac:dyDescent="0.35">
      <c r="A5887" t="s">
        <v>3115</v>
      </c>
      <c r="B5887" s="1">
        <v>45736</v>
      </c>
      <c r="C5887" t="s">
        <v>7602</v>
      </c>
      <c r="D5887" t="s">
        <v>4840</v>
      </c>
      <c r="E5887" t="s">
        <v>9615</v>
      </c>
      <c r="F5887" t="s">
        <v>6811</v>
      </c>
      <c r="H5887" t="s">
        <v>4841</v>
      </c>
      <c r="K5887">
        <v>980</v>
      </c>
      <c r="L5887" t="s">
        <v>6803</v>
      </c>
    </row>
    <row r="5888" spans="1:12" x14ac:dyDescent="0.35">
      <c r="A5888" t="s">
        <v>3115</v>
      </c>
      <c r="B5888" s="1">
        <v>45736</v>
      </c>
      <c r="C5888" t="s">
        <v>7602</v>
      </c>
      <c r="D5888" t="s">
        <v>4840</v>
      </c>
      <c r="E5888" t="s">
        <v>9615</v>
      </c>
      <c r="F5888" t="s">
        <v>6802</v>
      </c>
      <c r="H5888" t="s">
        <v>4841</v>
      </c>
      <c r="K5888">
        <v>10764</v>
      </c>
      <c r="L5888" t="s">
        <v>6803</v>
      </c>
    </row>
    <row r="5889" spans="1:12" x14ac:dyDescent="0.35">
      <c r="A5889" t="s">
        <v>3115</v>
      </c>
      <c r="B5889" s="1">
        <v>45736</v>
      </c>
      <c r="C5889" t="s">
        <v>7602</v>
      </c>
      <c r="D5889" t="s">
        <v>4840</v>
      </c>
      <c r="E5889" t="s">
        <v>9615</v>
      </c>
      <c r="F5889" t="s">
        <v>8557</v>
      </c>
      <c r="G5889" t="s">
        <v>8558</v>
      </c>
      <c r="H5889" t="s">
        <v>4841</v>
      </c>
      <c r="J5889">
        <v>11744</v>
      </c>
      <c r="L5889" t="s">
        <v>5874</v>
      </c>
    </row>
    <row r="5890" spans="1:12" x14ac:dyDescent="0.35">
      <c r="A5890" t="s">
        <v>3115</v>
      </c>
      <c r="B5890" s="1">
        <v>45736</v>
      </c>
      <c r="C5890" t="s">
        <v>9616</v>
      </c>
      <c r="D5890" t="s">
        <v>4842</v>
      </c>
      <c r="E5890" t="s">
        <v>9617</v>
      </c>
      <c r="F5890" t="s">
        <v>6811</v>
      </c>
      <c r="H5890" t="s">
        <v>4843</v>
      </c>
      <c r="K5890">
        <v>980</v>
      </c>
      <c r="L5890" t="s">
        <v>6803</v>
      </c>
    </row>
    <row r="5891" spans="1:12" x14ac:dyDescent="0.35">
      <c r="A5891" t="s">
        <v>3115</v>
      </c>
      <c r="B5891" s="1">
        <v>45736</v>
      </c>
      <c r="C5891" t="s">
        <v>9616</v>
      </c>
      <c r="D5891" t="s">
        <v>4842</v>
      </c>
      <c r="E5891" t="s">
        <v>9617</v>
      </c>
      <c r="F5891" t="s">
        <v>6802</v>
      </c>
      <c r="H5891" t="s">
        <v>4843</v>
      </c>
      <c r="K5891">
        <v>10764</v>
      </c>
      <c r="L5891" t="s">
        <v>6803</v>
      </c>
    </row>
    <row r="5892" spans="1:12" x14ac:dyDescent="0.35">
      <c r="A5892" t="s">
        <v>3115</v>
      </c>
      <c r="B5892" s="1">
        <v>45736</v>
      </c>
      <c r="C5892" t="s">
        <v>9616</v>
      </c>
      <c r="D5892" t="s">
        <v>4842</v>
      </c>
      <c r="E5892" t="s">
        <v>9617</v>
      </c>
      <c r="F5892" t="s">
        <v>8557</v>
      </c>
      <c r="G5892" t="s">
        <v>8558</v>
      </c>
      <c r="H5892" t="s">
        <v>4843</v>
      </c>
      <c r="J5892">
        <v>11744</v>
      </c>
      <c r="L5892" t="s">
        <v>5874</v>
      </c>
    </row>
    <row r="5893" spans="1:12" x14ac:dyDescent="0.35">
      <c r="A5893" t="s">
        <v>3115</v>
      </c>
      <c r="B5893" s="1">
        <v>45736</v>
      </c>
      <c r="C5893" t="s">
        <v>9618</v>
      </c>
      <c r="D5893" t="s">
        <v>4844</v>
      </c>
      <c r="E5893" t="s">
        <v>9619</v>
      </c>
      <c r="F5893" t="s">
        <v>6811</v>
      </c>
      <c r="H5893" t="s">
        <v>4845</v>
      </c>
      <c r="K5893">
        <v>980</v>
      </c>
      <c r="L5893" t="s">
        <v>6803</v>
      </c>
    </row>
    <row r="5894" spans="1:12" x14ac:dyDescent="0.35">
      <c r="A5894" t="s">
        <v>3115</v>
      </c>
      <c r="B5894" s="1">
        <v>45736</v>
      </c>
      <c r="C5894" t="s">
        <v>9618</v>
      </c>
      <c r="D5894" t="s">
        <v>4844</v>
      </c>
      <c r="E5894" t="s">
        <v>9619</v>
      </c>
      <c r="F5894" t="s">
        <v>6802</v>
      </c>
      <c r="H5894" t="s">
        <v>4845</v>
      </c>
      <c r="K5894">
        <v>8668</v>
      </c>
      <c r="L5894" t="s">
        <v>6803</v>
      </c>
    </row>
    <row r="5895" spans="1:12" x14ac:dyDescent="0.35">
      <c r="A5895" t="s">
        <v>3115</v>
      </c>
      <c r="B5895" s="1">
        <v>45736</v>
      </c>
      <c r="C5895" t="s">
        <v>9618</v>
      </c>
      <c r="D5895" t="s">
        <v>4844</v>
      </c>
      <c r="E5895" t="s">
        <v>9619</v>
      </c>
      <c r="F5895" t="s">
        <v>8557</v>
      </c>
      <c r="G5895" t="s">
        <v>8558</v>
      </c>
      <c r="H5895" t="s">
        <v>4845</v>
      </c>
      <c r="J5895">
        <v>9648</v>
      </c>
      <c r="L5895" t="s">
        <v>5875</v>
      </c>
    </row>
    <row r="5896" spans="1:12" x14ac:dyDescent="0.35">
      <c r="A5896" t="s">
        <v>3115</v>
      </c>
      <c r="B5896" s="1">
        <v>45736</v>
      </c>
      <c r="C5896" t="s">
        <v>9620</v>
      </c>
      <c r="D5896" t="s">
        <v>4846</v>
      </c>
      <c r="E5896" t="s">
        <v>9621</v>
      </c>
      <c r="F5896" t="s">
        <v>6802</v>
      </c>
      <c r="H5896" t="s">
        <v>4847</v>
      </c>
      <c r="K5896">
        <v>27262</v>
      </c>
      <c r="L5896" t="s">
        <v>6803</v>
      </c>
    </row>
    <row r="5897" spans="1:12" x14ac:dyDescent="0.35">
      <c r="A5897" t="s">
        <v>3115</v>
      </c>
      <c r="B5897" s="1">
        <v>45736</v>
      </c>
      <c r="C5897" t="s">
        <v>9620</v>
      </c>
      <c r="D5897" t="s">
        <v>4846</v>
      </c>
      <c r="E5897" t="s">
        <v>9621</v>
      </c>
      <c r="F5897" t="s">
        <v>8557</v>
      </c>
      <c r="G5897" t="s">
        <v>8558</v>
      </c>
      <c r="H5897" t="s">
        <v>4847</v>
      </c>
      <c r="J5897">
        <v>27262</v>
      </c>
      <c r="L5897" t="s">
        <v>5874</v>
      </c>
    </row>
    <row r="5898" spans="1:12" x14ac:dyDescent="0.35">
      <c r="A5898" t="s">
        <v>3115</v>
      </c>
      <c r="B5898" s="1">
        <v>45736</v>
      </c>
      <c r="C5898" t="s">
        <v>9622</v>
      </c>
      <c r="D5898" t="s">
        <v>4848</v>
      </c>
      <c r="E5898" t="s">
        <v>9623</v>
      </c>
      <c r="F5898" t="s">
        <v>6811</v>
      </c>
      <c r="H5898" t="s">
        <v>4849</v>
      </c>
      <c r="K5898">
        <v>41400</v>
      </c>
      <c r="L5898" t="s">
        <v>6803</v>
      </c>
    </row>
    <row r="5899" spans="1:12" x14ac:dyDescent="0.35">
      <c r="A5899" t="s">
        <v>3115</v>
      </c>
      <c r="B5899" s="1">
        <v>45736</v>
      </c>
      <c r="C5899" t="s">
        <v>9622</v>
      </c>
      <c r="D5899" t="s">
        <v>4848</v>
      </c>
      <c r="E5899" t="s">
        <v>9623</v>
      </c>
      <c r="F5899" t="s">
        <v>8557</v>
      </c>
      <c r="G5899" t="s">
        <v>8558</v>
      </c>
      <c r="H5899" t="s">
        <v>4849</v>
      </c>
      <c r="J5899">
        <v>41400</v>
      </c>
      <c r="L5899" t="s">
        <v>5949</v>
      </c>
    </row>
    <row r="5900" spans="1:12" x14ac:dyDescent="0.35">
      <c r="A5900" t="s">
        <v>3115</v>
      </c>
      <c r="B5900" s="1">
        <v>45736</v>
      </c>
      <c r="C5900" t="s">
        <v>9624</v>
      </c>
      <c r="D5900" t="s">
        <v>4850</v>
      </c>
      <c r="E5900" t="s">
        <v>9625</v>
      </c>
      <c r="F5900" t="s">
        <v>6802</v>
      </c>
      <c r="H5900" t="s">
        <v>4851</v>
      </c>
      <c r="K5900">
        <v>600</v>
      </c>
      <c r="L5900" t="s">
        <v>6803</v>
      </c>
    </row>
    <row r="5901" spans="1:12" x14ac:dyDescent="0.35">
      <c r="A5901" t="s">
        <v>3115</v>
      </c>
      <c r="B5901" s="1">
        <v>45736</v>
      </c>
      <c r="C5901" t="s">
        <v>9624</v>
      </c>
      <c r="D5901" t="s">
        <v>4850</v>
      </c>
      <c r="E5901" t="s">
        <v>9625</v>
      </c>
      <c r="F5901" t="s">
        <v>8557</v>
      </c>
      <c r="G5901" t="s">
        <v>8558</v>
      </c>
      <c r="H5901" t="s">
        <v>4851</v>
      </c>
      <c r="J5901">
        <v>600</v>
      </c>
      <c r="L5901" t="s">
        <v>5875</v>
      </c>
    </row>
    <row r="5902" spans="1:12" x14ac:dyDescent="0.35">
      <c r="A5902" t="s">
        <v>3115</v>
      </c>
      <c r="B5902" s="1">
        <v>45736</v>
      </c>
      <c r="C5902" t="s">
        <v>9626</v>
      </c>
      <c r="D5902" t="s">
        <v>4852</v>
      </c>
      <c r="E5902" t="s">
        <v>9627</v>
      </c>
      <c r="F5902" t="s">
        <v>6802</v>
      </c>
      <c r="H5902" t="s">
        <v>4853</v>
      </c>
      <c r="K5902">
        <v>40000</v>
      </c>
      <c r="L5902" t="s">
        <v>6803</v>
      </c>
    </row>
    <row r="5903" spans="1:12" x14ac:dyDescent="0.35">
      <c r="A5903" t="s">
        <v>3115</v>
      </c>
      <c r="B5903" s="1">
        <v>45736</v>
      </c>
      <c r="C5903" t="s">
        <v>9626</v>
      </c>
      <c r="D5903" t="s">
        <v>4852</v>
      </c>
      <c r="E5903" t="s">
        <v>9627</v>
      </c>
      <c r="F5903" t="s">
        <v>8557</v>
      </c>
      <c r="G5903" t="s">
        <v>8558</v>
      </c>
      <c r="H5903" t="s">
        <v>4853</v>
      </c>
      <c r="J5903">
        <v>40000</v>
      </c>
      <c r="L5903" t="s">
        <v>5875</v>
      </c>
    </row>
    <row r="5904" spans="1:12" x14ac:dyDescent="0.35">
      <c r="A5904" t="s">
        <v>3115</v>
      </c>
      <c r="B5904" s="1">
        <v>45736</v>
      </c>
      <c r="C5904" t="s">
        <v>9628</v>
      </c>
      <c r="D5904" t="s">
        <v>4854</v>
      </c>
      <c r="E5904" t="s">
        <v>9629</v>
      </c>
      <c r="F5904" t="s">
        <v>6802</v>
      </c>
      <c r="H5904" t="s">
        <v>4855</v>
      </c>
      <c r="K5904">
        <v>300</v>
      </c>
      <c r="L5904" t="s">
        <v>6803</v>
      </c>
    </row>
    <row r="5905" spans="1:12" x14ac:dyDescent="0.35">
      <c r="A5905" t="s">
        <v>3115</v>
      </c>
      <c r="B5905" s="1">
        <v>45736</v>
      </c>
      <c r="C5905" t="s">
        <v>9628</v>
      </c>
      <c r="D5905" t="s">
        <v>4854</v>
      </c>
      <c r="E5905" t="s">
        <v>9629</v>
      </c>
      <c r="F5905" t="s">
        <v>8557</v>
      </c>
      <c r="G5905" t="s">
        <v>8558</v>
      </c>
      <c r="H5905" t="s">
        <v>4855</v>
      </c>
      <c r="J5905">
        <v>300</v>
      </c>
      <c r="L5905" t="s">
        <v>5875</v>
      </c>
    </row>
    <row r="5906" spans="1:12" x14ac:dyDescent="0.35">
      <c r="A5906" t="s">
        <v>3115</v>
      </c>
      <c r="B5906" s="1">
        <v>45736</v>
      </c>
      <c r="C5906" t="s">
        <v>9630</v>
      </c>
      <c r="D5906" t="s">
        <v>4856</v>
      </c>
      <c r="E5906" t="s">
        <v>9631</v>
      </c>
      <c r="F5906" t="s">
        <v>6802</v>
      </c>
      <c r="H5906" t="s">
        <v>4857</v>
      </c>
      <c r="K5906">
        <v>1500</v>
      </c>
      <c r="L5906" t="s">
        <v>6803</v>
      </c>
    </row>
    <row r="5907" spans="1:12" x14ac:dyDescent="0.35">
      <c r="A5907" t="s">
        <v>3115</v>
      </c>
      <c r="B5907" s="1">
        <v>45736</v>
      </c>
      <c r="C5907" t="s">
        <v>9630</v>
      </c>
      <c r="D5907" t="s">
        <v>4856</v>
      </c>
      <c r="E5907" t="s">
        <v>9631</v>
      </c>
      <c r="F5907" t="s">
        <v>8557</v>
      </c>
      <c r="G5907" t="s">
        <v>8558</v>
      </c>
      <c r="H5907" t="s">
        <v>4857</v>
      </c>
      <c r="J5907">
        <v>1500</v>
      </c>
      <c r="L5907" t="s">
        <v>5880</v>
      </c>
    </row>
    <row r="5908" spans="1:12" x14ac:dyDescent="0.35">
      <c r="A5908" t="s">
        <v>3115</v>
      </c>
      <c r="B5908" s="1">
        <v>45736</v>
      </c>
      <c r="C5908" t="s">
        <v>9632</v>
      </c>
      <c r="D5908" t="s">
        <v>4858</v>
      </c>
      <c r="E5908" t="s">
        <v>9633</v>
      </c>
      <c r="F5908" t="s">
        <v>6808</v>
      </c>
      <c r="H5908" t="s">
        <v>4859</v>
      </c>
      <c r="K5908">
        <v>6597</v>
      </c>
      <c r="L5908" t="s">
        <v>6803</v>
      </c>
    </row>
    <row r="5909" spans="1:12" x14ac:dyDescent="0.35">
      <c r="A5909" t="s">
        <v>3115</v>
      </c>
      <c r="B5909" s="1">
        <v>45736</v>
      </c>
      <c r="C5909" t="s">
        <v>9632</v>
      </c>
      <c r="D5909" t="s">
        <v>4858</v>
      </c>
      <c r="E5909" t="s">
        <v>9633</v>
      </c>
      <c r="F5909" t="s">
        <v>8467</v>
      </c>
      <c r="G5909" t="s">
        <v>8567</v>
      </c>
      <c r="H5909" t="s">
        <v>4859</v>
      </c>
      <c r="J5909">
        <v>6597</v>
      </c>
      <c r="L5909" t="s">
        <v>5966</v>
      </c>
    </row>
    <row r="5910" spans="1:12" x14ac:dyDescent="0.35">
      <c r="A5910" t="s">
        <v>3115</v>
      </c>
      <c r="B5910" s="1">
        <v>45736</v>
      </c>
      <c r="C5910" t="s">
        <v>9634</v>
      </c>
      <c r="D5910" t="s">
        <v>4860</v>
      </c>
      <c r="E5910" t="s">
        <v>9635</v>
      </c>
      <c r="F5910" t="s">
        <v>6808</v>
      </c>
      <c r="H5910" t="s">
        <v>4861</v>
      </c>
      <c r="K5910">
        <v>3889</v>
      </c>
      <c r="L5910" t="s">
        <v>6803</v>
      </c>
    </row>
    <row r="5911" spans="1:12" x14ac:dyDescent="0.35">
      <c r="A5911" t="s">
        <v>3115</v>
      </c>
      <c r="B5911" s="1">
        <v>45736</v>
      </c>
      <c r="C5911" t="s">
        <v>9634</v>
      </c>
      <c r="D5911" t="s">
        <v>4860</v>
      </c>
      <c r="E5911" t="s">
        <v>9635</v>
      </c>
      <c r="F5911" t="s">
        <v>8467</v>
      </c>
      <c r="G5911" t="s">
        <v>8567</v>
      </c>
      <c r="H5911" t="s">
        <v>4861</v>
      </c>
      <c r="J5911">
        <v>3889</v>
      </c>
      <c r="L5911" t="s">
        <v>5966</v>
      </c>
    </row>
    <row r="5912" spans="1:12" x14ac:dyDescent="0.35">
      <c r="A5912" t="s">
        <v>3115</v>
      </c>
      <c r="B5912" s="1">
        <v>45736</v>
      </c>
      <c r="C5912" t="s">
        <v>9636</v>
      </c>
      <c r="D5912" t="s">
        <v>4862</v>
      </c>
      <c r="E5912" t="s">
        <v>9541</v>
      </c>
      <c r="F5912" t="s">
        <v>6915</v>
      </c>
      <c r="H5912" t="s">
        <v>4863</v>
      </c>
      <c r="K5912">
        <v>282521</v>
      </c>
      <c r="L5912" t="s">
        <v>6803</v>
      </c>
    </row>
    <row r="5913" spans="1:12" x14ac:dyDescent="0.35">
      <c r="A5913" t="s">
        <v>3115</v>
      </c>
      <c r="B5913" s="1">
        <v>45736</v>
      </c>
      <c r="C5913" t="s">
        <v>9636</v>
      </c>
      <c r="D5913" t="s">
        <v>4862</v>
      </c>
      <c r="E5913" t="s">
        <v>9541</v>
      </c>
      <c r="F5913" t="s">
        <v>8569</v>
      </c>
      <c r="G5913" t="s">
        <v>8570</v>
      </c>
      <c r="H5913" t="s">
        <v>4863</v>
      </c>
      <c r="J5913">
        <v>282521</v>
      </c>
      <c r="L5913" t="s">
        <v>5875</v>
      </c>
    </row>
    <row r="5914" spans="1:12" x14ac:dyDescent="0.35">
      <c r="A5914" t="s">
        <v>3115</v>
      </c>
      <c r="B5914" s="1">
        <v>45736</v>
      </c>
      <c r="C5914" t="s">
        <v>9637</v>
      </c>
      <c r="D5914" t="s">
        <v>4864</v>
      </c>
      <c r="E5914" t="s">
        <v>9638</v>
      </c>
      <c r="F5914" t="s">
        <v>6811</v>
      </c>
      <c r="H5914" t="s">
        <v>4865</v>
      </c>
      <c r="K5914">
        <v>1960</v>
      </c>
      <c r="L5914" t="s">
        <v>6803</v>
      </c>
    </row>
    <row r="5915" spans="1:12" x14ac:dyDescent="0.35">
      <c r="A5915" t="s">
        <v>3115</v>
      </c>
      <c r="B5915" s="1">
        <v>45736</v>
      </c>
      <c r="C5915" t="s">
        <v>9637</v>
      </c>
      <c r="D5915" t="s">
        <v>4864</v>
      </c>
      <c r="E5915" t="s">
        <v>9638</v>
      </c>
      <c r="F5915" t="s">
        <v>6802</v>
      </c>
      <c r="H5915" t="s">
        <v>4865</v>
      </c>
      <c r="K5915">
        <v>973</v>
      </c>
      <c r="L5915" t="s">
        <v>6803</v>
      </c>
    </row>
    <row r="5916" spans="1:12" x14ac:dyDescent="0.35">
      <c r="A5916" t="s">
        <v>3115</v>
      </c>
      <c r="B5916" s="1">
        <v>45736</v>
      </c>
      <c r="C5916" t="s">
        <v>9637</v>
      </c>
      <c r="D5916" t="s">
        <v>4864</v>
      </c>
      <c r="E5916" t="s">
        <v>9638</v>
      </c>
      <c r="F5916" t="s">
        <v>8557</v>
      </c>
      <c r="G5916" t="s">
        <v>8558</v>
      </c>
      <c r="H5916" t="s">
        <v>4865</v>
      </c>
      <c r="J5916">
        <v>2933</v>
      </c>
      <c r="L5916" t="s">
        <v>5876</v>
      </c>
    </row>
    <row r="5917" spans="1:12" x14ac:dyDescent="0.35">
      <c r="A5917" t="s">
        <v>3115</v>
      </c>
      <c r="B5917" s="1">
        <v>45736</v>
      </c>
      <c r="C5917" t="s">
        <v>9639</v>
      </c>
      <c r="D5917" t="s">
        <v>4866</v>
      </c>
      <c r="E5917" t="s">
        <v>9640</v>
      </c>
      <c r="F5917" t="s">
        <v>6811</v>
      </c>
      <c r="H5917" t="s">
        <v>4867</v>
      </c>
      <c r="K5917">
        <v>2546</v>
      </c>
      <c r="L5917" t="s">
        <v>6803</v>
      </c>
    </row>
    <row r="5918" spans="1:12" x14ac:dyDescent="0.35">
      <c r="A5918" t="s">
        <v>3115</v>
      </c>
      <c r="B5918" s="1">
        <v>45736</v>
      </c>
      <c r="C5918" t="s">
        <v>9639</v>
      </c>
      <c r="D5918" t="s">
        <v>4866</v>
      </c>
      <c r="E5918" t="s">
        <v>9640</v>
      </c>
      <c r="F5918" t="s">
        <v>8557</v>
      </c>
      <c r="G5918" t="s">
        <v>8558</v>
      </c>
      <c r="H5918" t="s">
        <v>4867</v>
      </c>
      <c r="J5918">
        <v>2546</v>
      </c>
      <c r="L5918" t="s">
        <v>5881</v>
      </c>
    </row>
    <row r="5919" spans="1:12" x14ac:dyDescent="0.35">
      <c r="A5919" t="s">
        <v>3115</v>
      </c>
      <c r="B5919" s="1">
        <v>45736</v>
      </c>
      <c r="C5919" t="s">
        <v>9641</v>
      </c>
      <c r="D5919" t="s">
        <v>4868</v>
      </c>
      <c r="E5919" t="s">
        <v>9642</v>
      </c>
      <c r="F5919" t="s">
        <v>6811</v>
      </c>
      <c r="H5919" t="s">
        <v>4869</v>
      </c>
      <c r="K5919">
        <v>1346</v>
      </c>
      <c r="L5919" t="s">
        <v>6803</v>
      </c>
    </row>
    <row r="5920" spans="1:12" x14ac:dyDescent="0.35">
      <c r="A5920" t="s">
        <v>3115</v>
      </c>
      <c r="B5920" s="1">
        <v>45736</v>
      </c>
      <c r="C5920" t="s">
        <v>9641</v>
      </c>
      <c r="D5920" t="s">
        <v>4868</v>
      </c>
      <c r="E5920" t="s">
        <v>9642</v>
      </c>
      <c r="F5920" t="s">
        <v>8557</v>
      </c>
      <c r="G5920" t="s">
        <v>8558</v>
      </c>
      <c r="H5920" t="s">
        <v>4869</v>
      </c>
      <c r="J5920">
        <v>1346</v>
      </c>
      <c r="L5920" t="s">
        <v>6010</v>
      </c>
    </row>
    <row r="5921" spans="1:12" x14ac:dyDescent="0.35">
      <c r="A5921" t="s">
        <v>3115</v>
      </c>
      <c r="B5921" s="1">
        <v>45736</v>
      </c>
      <c r="C5921" t="s">
        <v>9643</v>
      </c>
      <c r="D5921" t="s">
        <v>4870</v>
      </c>
      <c r="E5921" t="s">
        <v>9644</v>
      </c>
      <c r="F5921" t="s">
        <v>6808</v>
      </c>
      <c r="H5921" t="s">
        <v>4871</v>
      </c>
      <c r="K5921">
        <v>3298</v>
      </c>
      <c r="L5921" t="s">
        <v>6803</v>
      </c>
    </row>
    <row r="5922" spans="1:12" x14ac:dyDescent="0.35">
      <c r="A5922" t="s">
        <v>3115</v>
      </c>
      <c r="B5922" s="1">
        <v>45736</v>
      </c>
      <c r="C5922" t="s">
        <v>9643</v>
      </c>
      <c r="D5922" t="s">
        <v>4870</v>
      </c>
      <c r="E5922" t="s">
        <v>9644</v>
      </c>
      <c r="F5922" t="s">
        <v>8467</v>
      </c>
      <c r="G5922" t="s">
        <v>8567</v>
      </c>
      <c r="H5922" t="s">
        <v>4871</v>
      </c>
      <c r="J5922">
        <v>3298</v>
      </c>
      <c r="L5922" t="s">
        <v>5876</v>
      </c>
    </row>
    <row r="5923" spans="1:12" x14ac:dyDescent="0.35">
      <c r="A5923" t="s">
        <v>3115</v>
      </c>
      <c r="B5923" s="1">
        <v>45736</v>
      </c>
      <c r="C5923" t="s">
        <v>9645</v>
      </c>
      <c r="D5923" t="s">
        <v>4872</v>
      </c>
      <c r="E5923" t="s">
        <v>9646</v>
      </c>
      <c r="F5923" t="s">
        <v>6802</v>
      </c>
      <c r="H5923" t="s">
        <v>4873</v>
      </c>
      <c r="K5923">
        <v>5715</v>
      </c>
      <c r="L5923" t="s">
        <v>6803</v>
      </c>
    </row>
    <row r="5924" spans="1:12" x14ac:dyDescent="0.35">
      <c r="A5924" t="s">
        <v>3115</v>
      </c>
      <c r="B5924" s="1">
        <v>45736</v>
      </c>
      <c r="C5924" t="s">
        <v>9645</v>
      </c>
      <c r="D5924" t="s">
        <v>4872</v>
      </c>
      <c r="E5924" t="s">
        <v>9646</v>
      </c>
      <c r="F5924" t="s">
        <v>8467</v>
      </c>
      <c r="G5924" t="s">
        <v>8567</v>
      </c>
      <c r="H5924" t="s">
        <v>4873</v>
      </c>
      <c r="J5924">
        <v>5715</v>
      </c>
      <c r="L5924" t="s">
        <v>5876</v>
      </c>
    </row>
    <row r="5925" spans="1:12" x14ac:dyDescent="0.35">
      <c r="A5925" t="s">
        <v>3115</v>
      </c>
      <c r="B5925" s="1">
        <v>45736</v>
      </c>
      <c r="C5925" t="s">
        <v>9647</v>
      </c>
      <c r="D5925" t="s">
        <v>4874</v>
      </c>
      <c r="E5925" t="s">
        <v>9648</v>
      </c>
      <c r="F5925" t="s">
        <v>6811</v>
      </c>
      <c r="H5925" t="s">
        <v>4875</v>
      </c>
      <c r="K5925">
        <v>18500</v>
      </c>
      <c r="L5925" t="s">
        <v>6803</v>
      </c>
    </row>
    <row r="5926" spans="1:12" x14ac:dyDescent="0.35">
      <c r="A5926" t="s">
        <v>3115</v>
      </c>
      <c r="B5926" s="1">
        <v>45736</v>
      </c>
      <c r="C5926" t="s">
        <v>9647</v>
      </c>
      <c r="D5926" t="s">
        <v>4874</v>
      </c>
      <c r="E5926" t="s">
        <v>9648</v>
      </c>
      <c r="F5926" t="s">
        <v>8557</v>
      </c>
      <c r="G5926" t="s">
        <v>8558</v>
      </c>
      <c r="H5926" t="s">
        <v>4875</v>
      </c>
      <c r="J5926">
        <v>18500</v>
      </c>
      <c r="L5926" t="s">
        <v>5876</v>
      </c>
    </row>
    <row r="5927" spans="1:12" x14ac:dyDescent="0.35">
      <c r="A5927" t="s">
        <v>3115</v>
      </c>
      <c r="B5927" s="1">
        <v>45736</v>
      </c>
      <c r="C5927" t="s">
        <v>9649</v>
      </c>
      <c r="D5927" t="s">
        <v>4876</v>
      </c>
      <c r="E5927" t="s">
        <v>8674</v>
      </c>
      <c r="F5927" t="s">
        <v>6811</v>
      </c>
      <c r="H5927" t="s">
        <v>4877</v>
      </c>
      <c r="K5927">
        <v>1748</v>
      </c>
      <c r="L5927" t="s">
        <v>6803</v>
      </c>
    </row>
    <row r="5928" spans="1:12" x14ac:dyDescent="0.35">
      <c r="A5928" t="s">
        <v>3115</v>
      </c>
      <c r="B5928" s="1">
        <v>45736</v>
      </c>
      <c r="C5928" t="s">
        <v>9649</v>
      </c>
      <c r="D5928" t="s">
        <v>4876</v>
      </c>
      <c r="E5928" t="s">
        <v>8674</v>
      </c>
      <c r="F5928" t="s">
        <v>8557</v>
      </c>
      <c r="G5928" t="s">
        <v>8558</v>
      </c>
      <c r="H5928" t="s">
        <v>4877</v>
      </c>
      <c r="J5928">
        <v>1748</v>
      </c>
      <c r="L5928" t="s">
        <v>5880</v>
      </c>
    </row>
    <row r="5929" spans="1:12" x14ac:dyDescent="0.35">
      <c r="A5929" t="s">
        <v>3115</v>
      </c>
      <c r="B5929" s="1">
        <v>45736</v>
      </c>
      <c r="C5929" t="s">
        <v>9650</v>
      </c>
      <c r="D5929" t="s">
        <v>4878</v>
      </c>
      <c r="E5929" t="s">
        <v>9651</v>
      </c>
      <c r="F5929" t="s">
        <v>6811</v>
      </c>
      <c r="H5929" t="s">
        <v>4879</v>
      </c>
      <c r="K5929">
        <v>33500</v>
      </c>
      <c r="L5929" t="s">
        <v>6803</v>
      </c>
    </row>
    <row r="5930" spans="1:12" x14ac:dyDescent="0.35">
      <c r="A5930" t="s">
        <v>3115</v>
      </c>
      <c r="B5930" s="1">
        <v>45736</v>
      </c>
      <c r="C5930" t="s">
        <v>9650</v>
      </c>
      <c r="D5930" t="s">
        <v>4878</v>
      </c>
      <c r="E5930" t="s">
        <v>9651</v>
      </c>
      <c r="F5930" t="s">
        <v>8557</v>
      </c>
      <c r="G5930" t="s">
        <v>8558</v>
      </c>
      <c r="H5930" t="s">
        <v>4879</v>
      </c>
      <c r="J5930">
        <v>33500</v>
      </c>
      <c r="L5930" t="s">
        <v>5949</v>
      </c>
    </row>
    <row r="5931" spans="1:12" x14ac:dyDescent="0.35">
      <c r="A5931" t="s">
        <v>3115</v>
      </c>
      <c r="B5931" s="1">
        <v>45736</v>
      </c>
      <c r="C5931" t="s">
        <v>9652</v>
      </c>
      <c r="D5931" t="s">
        <v>4880</v>
      </c>
      <c r="E5931" t="s">
        <v>9653</v>
      </c>
      <c r="F5931" t="s">
        <v>6808</v>
      </c>
      <c r="H5931" t="s">
        <v>4881</v>
      </c>
      <c r="K5931">
        <v>11010</v>
      </c>
      <c r="L5931" t="s">
        <v>6803</v>
      </c>
    </row>
    <row r="5932" spans="1:12" x14ac:dyDescent="0.35">
      <c r="A5932" t="s">
        <v>3115</v>
      </c>
      <c r="B5932" s="1">
        <v>45736</v>
      </c>
      <c r="C5932" t="s">
        <v>9652</v>
      </c>
      <c r="D5932" t="s">
        <v>4880</v>
      </c>
      <c r="E5932" t="s">
        <v>9653</v>
      </c>
      <c r="F5932" t="s">
        <v>8467</v>
      </c>
      <c r="G5932" t="s">
        <v>8567</v>
      </c>
      <c r="H5932" t="s">
        <v>4881</v>
      </c>
      <c r="J5932">
        <v>11010</v>
      </c>
      <c r="L5932" t="s">
        <v>5958</v>
      </c>
    </row>
    <row r="5933" spans="1:12" x14ac:dyDescent="0.35">
      <c r="A5933" t="s">
        <v>3115</v>
      </c>
      <c r="B5933" s="1">
        <v>45736</v>
      </c>
      <c r="C5933" t="s">
        <v>7969</v>
      </c>
      <c r="D5933" t="s">
        <v>4882</v>
      </c>
      <c r="E5933" t="s">
        <v>9654</v>
      </c>
      <c r="F5933" t="s">
        <v>6802</v>
      </c>
      <c r="H5933" t="s">
        <v>4883</v>
      </c>
      <c r="K5933">
        <v>80027</v>
      </c>
      <c r="L5933" t="s">
        <v>6803</v>
      </c>
    </row>
    <row r="5934" spans="1:12" x14ac:dyDescent="0.35">
      <c r="A5934" t="s">
        <v>3115</v>
      </c>
      <c r="B5934" s="1">
        <v>45736</v>
      </c>
      <c r="C5934" t="s">
        <v>7969</v>
      </c>
      <c r="D5934" t="s">
        <v>4882</v>
      </c>
      <c r="E5934" t="s">
        <v>9654</v>
      </c>
      <c r="F5934" t="s">
        <v>8537</v>
      </c>
      <c r="G5934" t="s">
        <v>8538</v>
      </c>
      <c r="H5934" t="s">
        <v>4883</v>
      </c>
      <c r="J5934">
        <v>80027</v>
      </c>
      <c r="L5934" t="s">
        <v>5958</v>
      </c>
    </row>
    <row r="5935" spans="1:12" x14ac:dyDescent="0.35">
      <c r="A5935" t="s">
        <v>3115</v>
      </c>
      <c r="B5935" s="1">
        <v>45736</v>
      </c>
      <c r="C5935" t="s">
        <v>7970</v>
      </c>
      <c r="D5935" t="s">
        <v>4884</v>
      </c>
      <c r="E5935" t="s">
        <v>9655</v>
      </c>
      <c r="F5935" t="s">
        <v>6802</v>
      </c>
      <c r="H5935" t="s">
        <v>4885</v>
      </c>
      <c r="K5935">
        <v>140000</v>
      </c>
      <c r="L5935" t="s">
        <v>6803</v>
      </c>
    </row>
    <row r="5936" spans="1:12" x14ac:dyDescent="0.35">
      <c r="A5936" t="s">
        <v>3115</v>
      </c>
      <c r="B5936" s="1">
        <v>45736</v>
      </c>
      <c r="C5936" t="s">
        <v>7970</v>
      </c>
      <c r="D5936" t="s">
        <v>4884</v>
      </c>
      <c r="E5936" t="s">
        <v>9655</v>
      </c>
      <c r="F5936" t="s">
        <v>8537</v>
      </c>
      <c r="G5936" t="s">
        <v>8538</v>
      </c>
      <c r="H5936" t="s">
        <v>4885</v>
      </c>
      <c r="J5936">
        <v>140000</v>
      </c>
      <c r="L5936" t="s">
        <v>5880</v>
      </c>
    </row>
    <row r="5937" spans="1:12" x14ac:dyDescent="0.35">
      <c r="A5937" t="s">
        <v>3115</v>
      </c>
      <c r="B5937" s="1">
        <v>45736</v>
      </c>
      <c r="C5937" t="s">
        <v>7971</v>
      </c>
      <c r="D5937" t="s">
        <v>4886</v>
      </c>
      <c r="E5937" t="s">
        <v>9656</v>
      </c>
      <c r="F5937" t="s">
        <v>6802</v>
      </c>
      <c r="H5937" t="s">
        <v>4887</v>
      </c>
      <c r="K5937">
        <v>260000</v>
      </c>
      <c r="L5937" t="s">
        <v>6803</v>
      </c>
    </row>
    <row r="5938" spans="1:12" x14ac:dyDescent="0.35">
      <c r="A5938" t="s">
        <v>3115</v>
      </c>
      <c r="B5938" s="1">
        <v>45736</v>
      </c>
      <c r="C5938" t="s">
        <v>7971</v>
      </c>
      <c r="D5938" t="s">
        <v>4886</v>
      </c>
      <c r="E5938" t="s">
        <v>9656</v>
      </c>
      <c r="F5938" t="s">
        <v>8537</v>
      </c>
      <c r="G5938" t="s">
        <v>8538</v>
      </c>
      <c r="H5938" t="s">
        <v>4887</v>
      </c>
      <c r="J5938">
        <v>260000</v>
      </c>
      <c r="L5938" t="s">
        <v>5880</v>
      </c>
    </row>
    <row r="5939" spans="1:12" x14ac:dyDescent="0.35">
      <c r="A5939" t="s">
        <v>3115</v>
      </c>
      <c r="B5939" s="1">
        <v>45736</v>
      </c>
      <c r="C5939" t="s">
        <v>7972</v>
      </c>
      <c r="D5939" t="s">
        <v>4888</v>
      </c>
      <c r="E5939" t="s">
        <v>9657</v>
      </c>
      <c r="F5939" t="s">
        <v>6802</v>
      </c>
      <c r="H5939" t="s">
        <v>4889</v>
      </c>
      <c r="K5939">
        <v>30000</v>
      </c>
      <c r="L5939" t="s">
        <v>6803</v>
      </c>
    </row>
    <row r="5940" spans="1:12" x14ac:dyDescent="0.35">
      <c r="A5940" t="s">
        <v>3115</v>
      </c>
      <c r="B5940" s="1">
        <v>45736</v>
      </c>
      <c r="C5940" t="s">
        <v>7972</v>
      </c>
      <c r="D5940" t="s">
        <v>4888</v>
      </c>
      <c r="E5940" t="s">
        <v>9657</v>
      </c>
      <c r="F5940" t="s">
        <v>8537</v>
      </c>
      <c r="G5940" t="s">
        <v>8538</v>
      </c>
      <c r="H5940" t="s">
        <v>4889</v>
      </c>
      <c r="J5940">
        <v>30000</v>
      </c>
      <c r="L5940" t="s">
        <v>5874</v>
      </c>
    </row>
    <row r="5941" spans="1:12" x14ac:dyDescent="0.35">
      <c r="A5941" t="s">
        <v>3115</v>
      </c>
      <c r="B5941" s="1">
        <v>45736</v>
      </c>
      <c r="C5941" t="s">
        <v>7973</v>
      </c>
      <c r="D5941" t="s">
        <v>4890</v>
      </c>
      <c r="E5941" t="s">
        <v>9658</v>
      </c>
      <c r="F5941" t="s">
        <v>6802</v>
      </c>
      <c r="H5941" t="s">
        <v>4891</v>
      </c>
      <c r="K5941">
        <v>2200000</v>
      </c>
      <c r="L5941" t="s">
        <v>6803</v>
      </c>
    </row>
    <row r="5942" spans="1:12" x14ac:dyDescent="0.35">
      <c r="A5942" t="s">
        <v>3115</v>
      </c>
      <c r="B5942" s="1">
        <v>45736</v>
      </c>
      <c r="C5942" t="s">
        <v>7973</v>
      </c>
      <c r="D5942" t="s">
        <v>4890</v>
      </c>
      <c r="E5942" t="s">
        <v>9658</v>
      </c>
      <c r="F5942" t="s">
        <v>8537</v>
      </c>
      <c r="G5942" t="s">
        <v>8538</v>
      </c>
      <c r="H5942" t="s">
        <v>4891</v>
      </c>
      <c r="J5942">
        <v>2200000</v>
      </c>
      <c r="L5942" t="s">
        <v>5876</v>
      </c>
    </row>
    <row r="5943" spans="1:12" x14ac:dyDescent="0.35">
      <c r="A5943" t="s">
        <v>3115</v>
      </c>
      <c r="B5943" s="1">
        <v>45736</v>
      </c>
      <c r="C5943" t="s">
        <v>7974</v>
      </c>
      <c r="D5943" t="s">
        <v>4892</v>
      </c>
      <c r="E5943" t="s">
        <v>9659</v>
      </c>
      <c r="F5943" t="s">
        <v>6802</v>
      </c>
      <c r="H5943" t="s">
        <v>4893</v>
      </c>
      <c r="K5943">
        <v>480000</v>
      </c>
      <c r="L5943" t="s">
        <v>6803</v>
      </c>
    </row>
    <row r="5944" spans="1:12" x14ac:dyDescent="0.35">
      <c r="A5944" t="s">
        <v>3115</v>
      </c>
      <c r="B5944" s="1">
        <v>45736</v>
      </c>
      <c r="C5944" t="s">
        <v>7974</v>
      </c>
      <c r="D5944" t="s">
        <v>4892</v>
      </c>
      <c r="E5944" t="s">
        <v>9659</v>
      </c>
      <c r="F5944" t="s">
        <v>8537</v>
      </c>
      <c r="G5944" t="s">
        <v>8538</v>
      </c>
      <c r="H5944" t="s">
        <v>4893</v>
      </c>
      <c r="J5944">
        <v>480000</v>
      </c>
      <c r="L5944" t="s">
        <v>5880</v>
      </c>
    </row>
    <row r="5945" spans="1:12" x14ac:dyDescent="0.35">
      <c r="A5945" t="s">
        <v>3115</v>
      </c>
      <c r="B5945" s="1">
        <v>45736</v>
      </c>
      <c r="C5945" t="s">
        <v>7975</v>
      </c>
      <c r="D5945" t="s">
        <v>4894</v>
      </c>
      <c r="E5945" t="s">
        <v>9660</v>
      </c>
      <c r="F5945" t="s">
        <v>6802</v>
      </c>
      <c r="H5945" t="s">
        <v>4895</v>
      </c>
      <c r="K5945">
        <v>50000</v>
      </c>
      <c r="L5945" t="s">
        <v>6803</v>
      </c>
    </row>
    <row r="5946" spans="1:12" x14ac:dyDescent="0.35">
      <c r="A5946" t="s">
        <v>3115</v>
      </c>
      <c r="B5946" s="1">
        <v>45736</v>
      </c>
      <c r="C5946" t="s">
        <v>7975</v>
      </c>
      <c r="D5946" t="s">
        <v>4894</v>
      </c>
      <c r="E5946" t="s">
        <v>9660</v>
      </c>
      <c r="F5946" t="s">
        <v>8537</v>
      </c>
      <c r="G5946" t="s">
        <v>8538</v>
      </c>
      <c r="H5946" t="s">
        <v>4895</v>
      </c>
      <c r="J5946">
        <v>50000</v>
      </c>
      <c r="L5946" t="s">
        <v>5875</v>
      </c>
    </row>
    <row r="5947" spans="1:12" x14ac:dyDescent="0.35">
      <c r="A5947" t="s">
        <v>3115</v>
      </c>
      <c r="B5947" s="1">
        <v>45736</v>
      </c>
      <c r="C5947" t="s">
        <v>7976</v>
      </c>
      <c r="D5947" t="s">
        <v>4896</v>
      </c>
      <c r="E5947" t="s">
        <v>9661</v>
      </c>
      <c r="F5947" t="s">
        <v>6802</v>
      </c>
      <c r="H5947" t="s">
        <v>4897</v>
      </c>
      <c r="K5947">
        <v>45000</v>
      </c>
      <c r="L5947" t="s">
        <v>6803</v>
      </c>
    </row>
    <row r="5948" spans="1:12" x14ac:dyDescent="0.35">
      <c r="A5948" t="s">
        <v>3115</v>
      </c>
      <c r="B5948" s="1">
        <v>45736</v>
      </c>
      <c r="C5948" t="s">
        <v>7976</v>
      </c>
      <c r="D5948" t="s">
        <v>4896</v>
      </c>
      <c r="E5948" t="s">
        <v>9661</v>
      </c>
      <c r="F5948" t="s">
        <v>8537</v>
      </c>
      <c r="G5948" t="s">
        <v>8538</v>
      </c>
      <c r="H5948" t="s">
        <v>4897</v>
      </c>
      <c r="J5948">
        <v>45000</v>
      </c>
      <c r="L5948" t="s">
        <v>5875</v>
      </c>
    </row>
    <row r="5949" spans="1:12" x14ac:dyDescent="0.35">
      <c r="A5949" t="s">
        <v>3115</v>
      </c>
      <c r="B5949" s="1">
        <v>45736</v>
      </c>
      <c r="C5949" t="s">
        <v>7977</v>
      </c>
      <c r="D5949" t="s">
        <v>4898</v>
      </c>
      <c r="E5949" t="s">
        <v>9662</v>
      </c>
      <c r="F5949" t="s">
        <v>6802</v>
      </c>
      <c r="H5949" t="s">
        <v>4899</v>
      </c>
      <c r="K5949">
        <v>20000</v>
      </c>
      <c r="L5949" t="s">
        <v>6803</v>
      </c>
    </row>
    <row r="5950" spans="1:12" x14ac:dyDescent="0.35">
      <c r="A5950" t="s">
        <v>3115</v>
      </c>
      <c r="B5950" s="1">
        <v>45736</v>
      </c>
      <c r="C5950" t="s">
        <v>7977</v>
      </c>
      <c r="D5950" t="s">
        <v>4898</v>
      </c>
      <c r="E5950" t="s">
        <v>9662</v>
      </c>
      <c r="F5950" t="s">
        <v>8537</v>
      </c>
      <c r="G5950" t="s">
        <v>8538</v>
      </c>
      <c r="H5950" t="s">
        <v>4899</v>
      </c>
      <c r="J5950">
        <v>20000</v>
      </c>
      <c r="L5950" t="s">
        <v>5874</v>
      </c>
    </row>
    <row r="5951" spans="1:12" x14ac:dyDescent="0.35">
      <c r="A5951" t="s">
        <v>3115</v>
      </c>
      <c r="B5951" s="1">
        <v>45736</v>
      </c>
      <c r="C5951" t="s">
        <v>7978</v>
      </c>
      <c r="D5951" t="s">
        <v>4900</v>
      </c>
      <c r="E5951" t="s">
        <v>9663</v>
      </c>
      <c r="F5951" t="s">
        <v>6802</v>
      </c>
      <c r="H5951" t="s">
        <v>4901</v>
      </c>
      <c r="K5951">
        <v>84000</v>
      </c>
      <c r="L5951" t="s">
        <v>6803</v>
      </c>
    </row>
    <row r="5952" spans="1:12" x14ac:dyDescent="0.35">
      <c r="A5952" t="s">
        <v>3115</v>
      </c>
      <c r="B5952" s="1">
        <v>45736</v>
      </c>
      <c r="C5952" t="s">
        <v>7978</v>
      </c>
      <c r="D5952" t="s">
        <v>4900</v>
      </c>
      <c r="E5952" t="s">
        <v>9663</v>
      </c>
      <c r="F5952" t="s">
        <v>8537</v>
      </c>
      <c r="G5952" t="s">
        <v>8538</v>
      </c>
      <c r="H5952" t="s">
        <v>4901</v>
      </c>
      <c r="J5952">
        <v>84000</v>
      </c>
      <c r="L5952" t="s">
        <v>5881</v>
      </c>
    </row>
    <row r="5953" spans="1:12" x14ac:dyDescent="0.35">
      <c r="A5953" t="s">
        <v>3115</v>
      </c>
      <c r="B5953" s="1">
        <v>45736</v>
      </c>
      <c r="C5953" t="s">
        <v>7979</v>
      </c>
      <c r="D5953" t="s">
        <v>4902</v>
      </c>
      <c r="E5953" t="s">
        <v>9664</v>
      </c>
      <c r="F5953" t="s">
        <v>6802</v>
      </c>
      <c r="H5953" t="s">
        <v>4903</v>
      </c>
      <c r="K5953">
        <v>40000</v>
      </c>
      <c r="L5953" t="s">
        <v>6803</v>
      </c>
    </row>
    <row r="5954" spans="1:12" x14ac:dyDescent="0.35">
      <c r="A5954" t="s">
        <v>3115</v>
      </c>
      <c r="B5954" s="1">
        <v>45736</v>
      </c>
      <c r="C5954" t="s">
        <v>7979</v>
      </c>
      <c r="D5954" t="s">
        <v>4902</v>
      </c>
      <c r="E5954" t="s">
        <v>9664</v>
      </c>
      <c r="F5954" t="s">
        <v>8537</v>
      </c>
      <c r="G5954" t="s">
        <v>8538</v>
      </c>
      <c r="H5954" t="s">
        <v>4903</v>
      </c>
      <c r="J5954">
        <v>40000</v>
      </c>
      <c r="L5954" t="s">
        <v>5958</v>
      </c>
    </row>
    <row r="5955" spans="1:12" x14ac:dyDescent="0.35">
      <c r="A5955" t="s">
        <v>3115</v>
      </c>
      <c r="B5955" s="1">
        <v>45736</v>
      </c>
      <c r="C5955" t="s">
        <v>7980</v>
      </c>
      <c r="D5955" t="s">
        <v>4904</v>
      </c>
      <c r="E5955" t="s">
        <v>9665</v>
      </c>
      <c r="F5955" t="s">
        <v>6802</v>
      </c>
      <c r="H5955" t="s">
        <v>4905</v>
      </c>
      <c r="K5955">
        <v>500000</v>
      </c>
      <c r="L5955" t="s">
        <v>6803</v>
      </c>
    </row>
    <row r="5956" spans="1:12" x14ac:dyDescent="0.35">
      <c r="A5956" t="s">
        <v>3115</v>
      </c>
      <c r="B5956" s="1">
        <v>45736</v>
      </c>
      <c r="C5956" t="s">
        <v>7980</v>
      </c>
      <c r="D5956" t="s">
        <v>4904</v>
      </c>
      <c r="E5956" t="s">
        <v>9665</v>
      </c>
      <c r="F5956" t="s">
        <v>8537</v>
      </c>
      <c r="G5956" t="s">
        <v>8538</v>
      </c>
      <c r="H5956" t="s">
        <v>4905</v>
      </c>
      <c r="J5956">
        <v>500000</v>
      </c>
      <c r="L5956" t="s">
        <v>5875</v>
      </c>
    </row>
    <row r="5957" spans="1:12" x14ac:dyDescent="0.35">
      <c r="A5957" t="s">
        <v>3115</v>
      </c>
      <c r="B5957" s="1">
        <v>45736</v>
      </c>
      <c r="C5957" t="s">
        <v>7981</v>
      </c>
      <c r="D5957" t="s">
        <v>4906</v>
      </c>
      <c r="E5957" t="s">
        <v>9666</v>
      </c>
      <c r="F5957" t="s">
        <v>6802</v>
      </c>
      <c r="H5957" t="s">
        <v>4907</v>
      </c>
      <c r="K5957">
        <v>25000</v>
      </c>
      <c r="L5957" t="s">
        <v>6803</v>
      </c>
    </row>
    <row r="5958" spans="1:12" x14ac:dyDescent="0.35">
      <c r="A5958" t="s">
        <v>3115</v>
      </c>
      <c r="B5958" s="1">
        <v>45736</v>
      </c>
      <c r="C5958" t="s">
        <v>7981</v>
      </c>
      <c r="D5958" t="s">
        <v>4906</v>
      </c>
      <c r="E5958" t="s">
        <v>9666</v>
      </c>
      <c r="F5958" t="s">
        <v>8537</v>
      </c>
      <c r="G5958" t="s">
        <v>8538</v>
      </c>
      <c r="H5958" t="s">
        <v>4907</v>
      </c>
      <c r="J5958">
        <v>25000</v>
      </c>
      <c r="L5958" t="s">
        <v>5880</v>
      </c>
    </row>
    <row r="5959" spans="1:12" x14ac:dyDescent="0.35">
      <c r="A5959" t="s">
        <v>3115</v>
      </c>
      <c r="B5959" s="1">
        <v>45736</v>
      </c>
      <c r="C5959" t="s">
        <v>7982</v>
      </c>
      <c r="D5959" t="s">
        <v>4908</v>
      </c>
      <c r="E5959" t="s">
        <v>9667</v>
      </c>
      <c r="F5959" t="s">
        <v>6802</v>
      </c>
      <c r="H5959" t="s">
        <v>4909</v>
      </c>
      <c r="K5959">
        <v>30000</v>
      </c>
      <c r="L5959" t="s">
        <v>6803</v>
      </c>
    </row>
    <row r="5960" spans="1:12" x14ac:dyDescent="0.35">
      <c r="A5960" t="s">
        <v>3115</v>
      </c>
      <c r="B5960" s="1">
        <v>45736</v>
      </c>
      <c r="C5960" t="s">
        <v>7982</v>
      </c>
      <c r="D5960" t="s">
        <v>4908</v>
      </c>
      <c r="E5960" t="s">
        <v>9667</v>
      </c>
      <c r="F5960" t="s">
        <v>8537</v>
      </c>
      <c r="G5960" t="s">
        <v>8538</v>
      </c>
      <c r="H5960" t="s">
        <v>4909</v>
      </c>
      <c r="J5960">
        <v>30000</v>
      </c>
      <c r="L5960" t="s">
        <v>5880</v>
      </c>
    </row>
    <row r="5961" spans="1:12" x14ac:dyDescent="0.35">
      <c r="A5961" t="s">
        <v>3115</v>
      </c>
      <c r="B5961" s="1">
        <v>45736</v>
      </c>
      <c r="C5961" t="s">
        <v>7984</v>
      </c>
      <c r="D5961" t="s">
        <v>4910</v>
      </c>
      <c r="E5961" t="s">
        <v>9668</v>
      </c>
      <c r="F5961" t="s">
        <v>6802</v>
      </c>
      <c r="H5961" t="s">
        <v>4911</v>
      </c>
      <c r="K5961">
        <v>6691</v>
      </c>
      <c r="L5961" t="s">
        <v>6803</v>
      </c>
    </row>
    <row r="5962" spans="1:12" x14ac:dyDescent="0.35">
      <c r="A5962" t="s">
        <v>3115</v>
      </c>
      <c r="B5962" s="1">
        <v>45736</v>
      </c>
      <c r="C5962" t="s">
        <v>7984</v>
      </c>
      <c r="D5962" t="s">
        <v>4910</v>
      </c>
      <c r="E5962" t="s">
        <v>9668</v>
      </c>
      <c r="F5962" t="s">
        <v>8537</v>
      </c>
      <c r="G5962" t="s">
        <v>8538</v>
      </c>
      <c r="H5962" t="s">
        <v>4911</v>
      </c>
      <c r="J5962">
        <v>6691</v>
      </c>
      <c r="L5962" t="s">
        <v>5875</v>
      </c>
    </row>
    <row r="5963" spans="1:12" x14ac:dyDescent="0.35">
      <c r="A5963" t="s">
        <v>3115</v>
      </c>
      <c r="B5963" s="1">
        <v>45736</v>
      </c>
      <c r="C5963" t="s">
        <v>7985</v>
      </c>
      <c r="D5963" t="s">
        <v>4912</v>
      </c>
      <c r="E5963" t="s">
        <v>9669</v>
      </c>
      <c r="F5963" t="s">
        <v>6802</v>
      </c>
      <c r="H5963" t="s">
        <v>4913</v>
      </c>
      <c r="K5963">
        <v>200000</v>
      </c>
      <c r="L5963" t="s">
        <v>6803</v>
      </c>
    </row>
    <row r="5964" spans="1:12" x14ac:dyDescent="0.35">
      <c r="A5964" t="s">
        <v>3115</v>
      </c>
      <c r="B5964" s="1">
        <v>45736</v>
      </c>
      <c r="C5964" t="s">
        <v>7985</v>
      </c>
      <c r="D5964" t="s">
        <v>4912</v>
      </c>
      <c r="E5964" t="s">
        <v>9669</v>
      </c>
      <c r="F5964" t="s">
        <v>8537</v>
      </c>
      <c r="G5964" t="s">
        <v>8538</v>
      </c>
      <c r="H5964" t="s">
        <v>4913</v>
      </c>
      <c r="J5964">
        <v>200000</v>
      </c>
      <c r="L5964" t="s">
        <v>5876</v>
      </c>
    </row>
    <row r="5965" spans="1:12" x14ac:dyDescent="0.35">
      <c r="A5965" t="s">
        <v>3115</v>
      </c>
      <c r="B5965" s="1">
        <v>45736</v>
      </c>
      <c r="C5965" t="s">
        <v>7986</v>
      </c>
      <c r="D5965" t="s">
        <v>4914</v>
      </c>
      <c r="E5965" t="s">
        <v>9670</v>
      </c>
      <c r="F5965" t="s">
        <v>6802</v>
      </c>
      <c r="H5965" t="s">
        <v>4915</v>
      </c>
      <c r="K5965">
        <v>40000</v>
      </c>
      <c r="L5965" t="s">
        <v>6803</v>
      </c>
    </row>
    <row r="5966" spans="1:12" x14ac:dyDescent="0.35">
      <c r="A5966" t="s">
        <v>3115</v>
      </c>
      <c r="B5966" s="1">
        <v>45736</v>
      </c>
      <c r="C5966" t="s">
        <v>7986</v>
      </c>
      <c r="D5966" t="s">
        <v>4914</v>
      </c>
      <c r="E5966" t="s">
        <v>9670</v>
      </c>
      <c r="F5966" t="s">
        <v>8537</v>
      </c>
      <c r="G5966" t="s">
        <v>8538</v>
      </c>
      <c r="H5966" t="s">
        <v>4915</v>
      </c>
      <c r="J5966">
        <v>40000</v>
      </c>
      <c r="L5966" t="s">
        <v>5880</v>
      </c>
    </row>
    <row r="5967" spans="1:12" x14ac:dyDescent="0.35">
      <c r="A5967" t="s">
        <v>3115</v>
      </c>
      <c r="B5967" s="1">
        <v>45736</v>
      </c>
      <c r="C5967" t="s">
        <v>7987</v>
      </c>
      <c r="D5967" t="s">
        <v>4916</v>
      </c>
      <c r="E5967" t="s">
        <v>9108</v>
      </c>
      <c r="F5967" t="s">
        <v>6802</v>
      </c>
      <c r="H5967" t="s">
        <v>4917</v>
      </c>
      <c r="K5967">
        <v>65000</v>
      </c>
      <c r="L5967" t="s">
        <v>6803</v>
      </c>
    </row>
    <row r="5968" spans="1:12" x14ac:dyDescent="0.35">
      <c r="A5968" t="s">
        <v>3115</v>
      </c>
      <c r="B5968" s="1">
        <v>45736</v>
      </c>
      <c r="C5968" t="s">
        <v>7987</v>
      </c>
      <c r="D5968" t="s">
        <v>4916</v>
      </c>
      <c r="E5968" t="s">
        <v>9108</v>
      </c>
      <c r="F5968" t="s">
        <v>8537</v>
      </c>
      <c r="G5968" t="s">
        <v>8538</v>
      </c>
      <c r="H5968" t="s">
        <v>4917</v>
      </c>
      <c r="J5968">
        <v>65000</v>
      </c>
      <c r="L5968" t="s">
        <v>5880</v>
      </c>
    </row>
    <row r="5969" spans="1:12" x14ac:dyDescent="0.35">
      <c r="A5969" t="s">
        <v>3115</v>
      </c>
      <c r="B5969" s="1">
        <v>45736</v>
      </c>
      <c r="C5969" t="s">
        <v>7988</v>
      </c>
      <c r="D5969" t="s">
        <v>4918</v>
      </c>
      <c r="E5969" t="s">
        <v>9671</v>
      </c>
      <c r="F5969" t="s">
        <v>6802</v>
      </c>
      <c r="H5969" t="s">
        <v>4919</v>
      </c>
      <c r="K5969">
        <v>50000</v>
      </c>
      <c r="L5969" t="s">
        <v>6803</v>
      </c>
    </row>
    <row r="5970" spans="1:12" x14ac:dyDescent="0.35">
      <c r="A5970" t="s">
        <v>3115</v>
      </c>
      <c r="B5970" s="1">
        <v>45736</v>
      </c>
      <c r="C5970" t="s">
        <v>7988</v>
      </c>
      <c r="D5970" t="s">
        <v>4918</v>
      </c>
      <c r="E5970" t="s">
        <v>9671</v>
      </c>
      <c r="F5970" t="s">
        <v>8537</v>
      </c>
      <c r="G5970" t="s">
        <v>8538</v>
      </c>
      <c r="H5970" t="s">
        <v>4919</v>
      </c>
      <c r="J5970">
        <v>50000</v>
      </c>
      <c r="L5970" t="s">
        <v>5874</v>
      </c>
    </row>
    <row r="5971" spans="1:12" x14ac:dyDescent="0.35">
      <c r="A5971" t="s">
        <v>3115</v>
      </c>
      <c r="B5971" s="1">
        <v>45736</v>
      </c>
      <c r="C5971" t="s">
        <v>7989</v>
      </c>
      <c r="D5971" t="s">
        <v>4920</v>
      </c>
      <c r="E5971" t="s">
        <v>9672</v>
      </c>
      <c r="F5971" t="s">
        <v>6802</v>
      </c>
      <c r="H5971" t="s">
        <v>4921</v>
      </c>
      <c r="K5971">
        <v>90000</v>
      </c>
      <c r="L5971" t="s">
        <v>6803</v>
      </c>
    </row>
    <row r="5972" spans="1:12" x14ac:dyDescent="0.35">
      <c r="A5972" t="s">
        <v>3115</v>
      </c>
      <c r="B5972" s="1">
        <v>45736</v>
      </c>
      <c r="C5972" t="s">
        <v>7989</v>
      </c>
      <c r="D5972" t="s">
        <v>4920</v>
      </c>
      <c r="E5972" t="s">
        <v>9672</v>
      </c>
      <c r="F5972" t="s">
        <v>8537</v>
      </c>
      <c r="G5972" t="s">
        <v>8538</v>
      </c>
      <c r="H5972" t="s">
        <v>4921</v>
      </c>
      <c r="J5972">
        <v>90000</v>
      </c>
      <c r="L5972" t="s">
        <v>5880</v>
      </c>
    </row>
    <row r="5973" spans="1:12" x14ac:dyDescent="0.35">
      <c r="A5973" t="s">
        <v>3115</v>
      </c>
      <c r="B5973" s="1">
        <v>45736</v>
      </c>
      <c r="C5973" t="s">
        <v>7990</v>
      </c>
      <c r="D5973" t="s">
        <v>4922</v>
      </c>
      <c r="E5973" t="s">
        <v>9673</v>
      </c>
      <c r="F5973" t="s">
        <v>6802</v>
      </c>
      <c r="H5973" t="s">
        <v>4923</v>
      </c>
      <c r="K5973">
        <v>90000</v>
      </c>
      <c r="L5973" t="s">
        <v>6803</v>
      </c>
    </row>
    <row r="5974" spans="1:12" x14ac:dyDescent="0.35">
      <c r="A5974" t="s">
        <v>3115</v>
      </c>
      <c r="B5974" s="1">
        <v>45736</v>
      </c>
      <c r="C5974" t="s">
        <v>7990</v>
      </c>
      <c r="D5974" t="s">
        <v>4922</v>
      </c>
      <c r="E5974" t="s">
        <v>9673</v>
      </c>
      <c r="F5974" t="s">
        <v>8537</v>
      </c>
      <c r="G5974" t="s">
        <v>8538</v>
      </c>
      <c r="H5974" t="s">
        <v>4923</v>
      </c>
      <c r="J5974">
        <v>90000</v>
      </c>
      <c r="L5974" t="s">
        <v>5880</v>
      </c>
    </row>
    <row r="5975" spans="1:12" x14ac:dyDescent="0.35">
      <c r="A5975" t="s">
        <v>3115</v>
      </c>
      <c r="B5975" s="1">
        <v>45736</v>
      </c>
      <c r="C5975" t="s">
        <v>7991</v>
      </c>
      <c r="D5975" t="s">
        <v>4924</v>
      </c>
      <c r="E5975" t="s">
        <v>9674</v>
      </c>
      <c r="F5975" t="s">
        <v>6802</v>
      </c>
      <c r="H5975" t="s">
        <v>4925</v>
      </c>
      <c r="K5975">
        <v>130000</v>
      </c>
      <c r="L5975" t="s">
        <v>6803</v>
      </c>
    </row>
    <row r="5976" spans="1:12" x14ac:dyDescent="0.35">
      <c r="A5976" t="s">
        <v>3115</v>
      </c>
      <c r="B5976" s="1">
        <v>45736</v>
      </c>
      <c r="C5976" t="s">
        <v>7991</v>
      </c>
      <c r="D5976" t="s">
        <v>4924</v>
      </c>
      <c r="E5976" t="s">
        <v>9674</v>
      </c>
      <c r="F5976" t="s">
        <v>8537</v>
      </c>
      <c r="G5976" t="s">
        <v>8538</v>
      </c>
      <c r="H5976" t="s">
        <v>4925</v>
      </c>
      <c r="J5976">
        <v>130000</v>
      </c>
      <c r="L5976" t="s">
        <v>5876</v>
      </c>
    </row>
    <row r="5977" spans="1:12" x14ac:dyDescent="0.35">
      <c r="A5977" t="s">
        <v>3115</v>
      </c>
      <c r="B5977" s="1">
        <v>45736</v>
      </c>
      <c r="C5977" t="s">
        <v>7992</v>
      </c>
      <c r="D5977" t="s">
        <v>4926</v>
      </c>
      <c r="E5977" t="s">
        <v>9675</v>
      </c>
      <c r="F5977" t="s">
        <v>6802</v>
      </c>
      <c r="H5977" t="s">
        <v>4927</v>
      </c>
      <c r="K5977">
        <v>150000</v>
      </c>
      <c r="L5977" t="s">
        <v>6803</v>
      </c>
    </row>
    <row r="5978" spans="1:12" x14ac:dyDescent="0.35">
      <c r="A5978" t="s">
        <v>3115</v>
      </c>
      <c r="B5978" s="1">
        <v>45736</v>
      </c>
      <c r="C5978" t="s">
        <v>7992</v>
      </c>
      <c r="D5978" t="s">
        <v>4926</v>
      </c>
      <c r="E5978" t="s">
        <v>9675</v>
      </c>
      <c r="F5978" t="s">
        <v>8537</v>
      </c>
      <c r="G5978" t="s">
        <v>8538</v>
      </c>
      <c r="H5978" t="s">
        <v>4927</v>
      </c>
      <c r="J5978">
        <v>150000</v>
      </c>
      <c r="L5978" t="s">
        <v>5880</v>
      </c>
    </row>
    <row r="5979" spans="1:12" x14ac:dyDescent="0.35">
      <c r="A5979" t="s">
        <v>3115</v>
      </c>
      <c r="B5979" s="1">
        <v>45736</v>
      </c>
      <c r="C5979" t="s">
        <v>7993</v>
      </c>
      <c r="D5979" t="s">
        <v>4928</v>
      </c>
      <c r="E5979" t="s">
        <v>9676</v>
      </c>
      <c r="F5979" t="s">
        <v>6802</v>
      </c>
      <c r="H5979" t="s">
        <v>4929</v>
      </c>
      <c r="K5979">
        <v>12000</v>
      </c>
      <c r="L5979" t="s">
        <v>6803</v>
      </c>
    </row>
    <row r="5980" spans="1:12" x14ac:dyDescent="0.35">
      <c r="A5980" t="s">
        <v>3115</v>
      </c>
      <c r="B5980" s="1">
        <v>45736</v>
      </c>
      <c r="C5980" t="s">
        <v>7993</v>
      </c>
      <c r="D5980" t="s">
        <v>4928</v>
      </c>
      <c r="E5980" t="s">
        <v>9676</v>
      </c>
      <c r="F5980" t="s">
        <v>8537</v>
      </c>
      <c r="G5980" t="s">
        <v>8538</v>
      </c>
      <c r="H5980" t="s">
        <v>4929</v>
      </c>
      <c r="J5980">
        <v>12000</v>
      </c>
      <c r="L5980" t="s">
        <v>5880</v>
      </c>
    </row>
    <row r="5981" spans="1:12" x14ac:dyDescent="0.35">
      <c r="A5981" t="s">
        <v>3115</v>
      </c>
      <c r="B5981" s="1">
        <v>45736</v>
      </c>
      <c r="C5981" t="s">
        <v>7994</v>
      </c>
      <c r="D5981" t="s">
        <v>4930</v>
      </c>
      <c r="E5981" t="s">
        <v>9527</v>
      </c>
      <c r="F5981" t="s">
        <v>6802</v>
      </c>
      <c r="H5981" t="s">
        <v>4931</v>
      </c>
      <c r="K5981">
        <v>5773</v>
      </c>
      <c r="L5981" t="s">
        <v>6803</v>
      </c>
    </row>
    <row r="5982" spans="1:12" x14ac:dyDescent="0.35">
      <c r="A5982" t="s">
        <v>3115</v>
      </c>
      <c r="B5982" s="1">
        <v>45736</v>
      </c>
      <c r="C5982" t="s">
        <v>7994</v>
      </c>
      <c r="D5982" t="s">
        <v>4930</v>
      </c>
      <c r="E5982" t="s">
        <v>9527</v>
      </c>
      <c r="F5982" t="s">
        <v>8537</v>
      </c>
      <c r="G5982" t="s">
        <v>8538</v>
      </c>
      <c r="H5982" t="s">
        <v>4931</v>
      </c>
      <c r="J5982">
        <v>5773</v>
      </c>
      <c r="L5982" t="s">
        <v>5875</v>
      </c>
    </row>
    <row r="5983" spans="1:12" x14ac:dyDescent="0.35">
      <c r="A5983" t="s">
        <v>3115</v>
      </c>
      <c r="B5983" s="1">
        <v>45736</v>
      </c>
      <c r="C5983" t="s">
        <v>7995</v>
      </c>
      <c r="D5983" t="s">
        <v>4932</v>
      </c>
      <c r="E5983" t="s">
        <v>9677</v>
      </c>
      <c r="F5983" t="s">
        <v>6802</v>
      </c>
      <c r="H5983" t="s">
        <v>4933</v>
      </c>
      <c r="K5983">
        <v>30000</v>
      </c>
      <c r="L5983" t="s">
        <v>6803</v>
      </c>
    </row>
    <row r="5984" spans="1:12" x14ac:dyDescent="0.35">
      <c r="A5984" t="s">
        <v>3115</v>
      </c>
      <c r="B5984" s="1">
        <v>45736</v>
      </c>
      <c r="C5984" t="s">
        <v>7995</v>
      </c>
      <c r="D5984" t="s">
        <v>4932</v>
      </c>
      <c r="E5984" t="s">
        <v>9677</v>
      </c>
      <c r="F5984" t="s">
        <v>8537</v>
      </c>
      <c r="G5984" t="s">
        <v>8538</v>
      </c>
      <c r="H5984" t="s">
        <v>4933</v>
      </c>
      <c r="J5984">
        <v>30000</v>
      </c>
      <c r="L5984" t="s">
        <v>5946</v>
      </c>
    </row>
    <row r="5985" spans="1:12" x14ac:dyDescent="0.35">
      <c r="A5985" t="s">
        <v>3115</v>
      </c>
      <c r="B5985" s="1">
        <v>45736</v>
      </c>
      <c r="C5985" t="s">
        <v>7996</v>
      </c>
      <c r="D5985" t="s">
        <v>4934</v>
      </c>
      <c r="E5985" t="s">
        <v>9678</v>
      </c>
      <c r="F5985" t="s">
        <v>6802</v>
      </c>
      <c r="H5985" t="s">
        <v>4935</v>
      </c>
      <c r="K5985">
        <v>500000</v>
      </c>
      <c r="L5985" t="s">
        <v>6803</v>
      </c>
    </row>
    <row r="5986" spans="1:12" x14ac:dyDescent="0.35">
      <c r="A5986" t="s">
        <v>3115</v>
      </c>
      <c r="B5986" s="1">
        <v>45736</v>
      </c>
      <c r="C5986" t="s">
        <v>7996</v>
      </c>
      <c r="D5986" t="s">
        <v>4934</v>
      </c>
      <c r="E5986" t="s">
        <v>9678</v>
      </c>
      <c r="F5986" t="s">
        <v>8537</v>
      </c>
      <c r="G5986" t="s">
        <v>8538</v>
      </c>
      <c r="H5986" t="s">
        <v>4935</v>
      </c>
      <c r="J5986">
        <v>500000</v>
      </c>
      <c r="L5986" t="s">
        <v>5875</v>
      </c>
    </row>
    <row r="5987" spans="1:12" x14ac:dyDescent="0.35">
      <c r="A5987" t="s">
        <v>3115</v>
      </c>
      <c r="B5987" s="1">
        <v>45736</v>
      </c>
      <c r="C5987" t="s">
        <v>7997</v>
      </c>
      <c r="D5987" t="s">
        <v>4936</v>
      </c>
      <c r="E5987" t="s">
        <v>9679</v>
      </c>
      <c r="F5987" t="s">
        <v>6802</v>
      </c>
      <c r="H5987" t="s">
        <v>4937</v>
      </c>
      <c r="K5987">
        <v>58000</v>
      </c>
      <c r="L5987" t="s">
        <v>6803</v>
      </c>
    </row>
    <row r="5988" spans="1:12" x14ac:dyDescent="0.35">
      <c r="A5988" t="s">
        <v>3115</v>
      </c>
      <c r="B5988" s="1">
        <v>45736</v>
      </c>
      <c r="C5988" t="s">
        <v>7997</v>
      </c>
      <c r="D5988" t="s">
        <v>4936</v>
      </c>
      <c r="E5988" t="s">
        <v>9679</v>
      </c>
      <c r="F5988" t="s">
        <v>8537</v>
      </c>
      <c r="G5988" t="s">
        <v>8538</v>
      </c>
      <c r="H5988" t="s">
        <v>4937</v>
      </c>
      <c r="J5988">
        <v>58000</v>
      </c>
      <c r="L5988" t="s">
        <v>5958</v>
      </c>
    </row>
    <row r="5989" spans="1:12" x14ac:dyDescent="0.35">
      <c r="A5989" t="s">
        <v>3115</v>
      </c>
      <c r="B5989" s="1">
        <v>45736</v>
      </c>
      <c r="C5989" t="s">
        <v>7998</v>
      </c>
      <c r="D5989" t="s">
        <v>4938</v>
      </c>
      <c r="E5989" t="s">
        <v>9680</v>
      </c>
      <c r="F5989" t="s">
        <v>6802</v>
      </c>
      <c r="H5989" t="s">
        <v>4939</v>
      </c>
      <c r="K5989">
        <v>12000</v>
      </c>
      <c r="L5989" t="s">
        <v>6803</v>
      </c>
    </row>
    <row r="5990" spans="1:12" x14ac:dyDescent="0.35">
      <c r="A5990" t="s">
        <v>3115</v>
      </c>
      <c r="B5990" s="1">
        <v>45736</v>
      </c>
      <c r="C5990" t="s">
        <v>7998</v>
      </c>
      <c r="D5990" t="s">
        <v>4938</v>
      </c>
      <c r="E5990" t="s">
        <v>9680</v>
      </c>
      <c r="F5990" t="s">
        <v>8537</v>
      </c>
      <c r="G5990" t="s">
        <v>8538</v>
      </c>
      <c r="H5990" t="s">
        <v>4939</v>
      </c>
      <c r="J5990">
        <v>12000</v>
      </c>
      <c r="L5990" t="s">
        <v>5874</v>
      </c>
    </row>
    <row r="5991" spans="1:12" x14ac:dyDescent="0.35">
      <c r="A5991" t="s">
        <v>3115</v>
      </c>
      <c r="B5991" s="1">
        <v>45736</v>
      </c>
      <c r="C5991" t="s">
        <v>7999</v>
      </c>
      <c r="D5991" t="s">
        <v>4940</v>
      </c>
      <c r="E5991" t="s">
        <v>9681</v>
      </c>
      <c r="F5991" t="s">
        <v>6802</v>
      </c>
      <c r="H5991" t="s">
        <v>4941</v>
      </c>
      <c r="K5991">
        <v>32431</v>
      </c>
      <c r="L5991" t="s">
        <v>6803</v>
      </c>
    </row>
    <row r="5992" spans="1:12" x14ac:dyDescent="0.35">
      <c r="A5992" t="s">
        <v>3115</v>
      </c>
      <c r="B5992" s="1">
        <v>45736</v>
      </c>
      <c r="C5992" t="s">
        <v>7999</v>
      </c>
      <c r="D5992" t="s">
        <v>4940</v>
      </c>
      <c r="E5992" t="s">
        <v>9681</v>
      </c>
      <c r="F5992" t="s">
        <v>8537</v>
      </c>
      <c r="G5992" t="s">
        <v>8538</v>
      </c>
      <c r="H5992" t="s">
        <v>4941</v>
      </c>
      <c r="J5992">
        <v>32431</v>
      </c>
      <c r="L5992" t="s">
        <v>5873</v>
      </c>
    </row>
    <row r="5993" spans="1:12" x14ac:dyDescent="0.35">
      <c r="A5993" t="s">
        <v>3115</v>
      </c>
      <c r="B5993" s="1">
        <v>45736</v>
      </c>
      <c r="C5993" t="s">
        <v>8000</v>
      </c>
      <c r="D5993" t="s">
        <v>4942</v>
      </c>
      <c r="E5993" t="s">
        <v>9682</v>
      </c>
      <c r="F5993" t="s">
        <v>6802</v>
      </c>
      <c r="H5993" t="s">
        <v>4943</v>
      </c>
      <c r="K5993">
        <v>12000</v>
      </c>
      <c r="L5993" t="s">
        <v>6803</v>
      </c>
    </row>
    <row r="5994" spans="1:12" x14ac:dyDescent="0.35">
      <c r="A5994" t="s">
        <v>3115</v>
      </c>
      <c r="B5994" s="1">
        <v>45736</v>
      </c>
      <c r="C5994" t="s">
        <v>8000</v>
      </c>
      <c r="D5994" t="s">
        <v>4942</v>
      </c>
      <c r="E5994" t="s">
        <v>9682</v>
      </c>
      <c r="F5994" t="s">
        <v>8537</v>
      </c>
      <c r="G5994" t="s">
        <v>8538</v>
      </c>
      <c r="H5994" t="s">
        <v>4943</v>
      </c>
      <c r="J5994">
        <v>12000</v>
      </c>
      <c r="L5994" t="s">
        <v>5875</v>
      </c>
    </row>
    <row r="5995" spans="1:12" x14ac:dyDescent="0.35">
      <c r="A5995" t="s">
        <v>3115</v>
      </c>
      <c r="B5995" s="1">
        <v>45736</v>
      </c>
      <c r="C5995" t="s">
        <v>8001</v>
      </c>
      <c r="D5995" t="s">
        <v>4944</v>
      </c>
      <c r="E5995" t="s">
        <v>9683</v>
      </c>
      <c r="F5995" t="s">
        <v>6802</v>
      </c>
      <c r="H5995" t="s">
        <v>4945</v>
      </c>
      <c r="K5995">
        <v>13000</v>
      </c>
      <c r="L5995" t="s">
        <v>6803</v>
      </c>
    </row>
    <row r="5996" spans="1:12" x14ac:dyDescent="0.35">
      <c r="A5996" t="s">
        <v>3115</v>
      </c>
      <c r="B5996" s="1">
        <v>45736</v>
      </c>
      <c r="C5996" t="s">
        <v>8001</v>
      </c>
      <c r="D5996" t="s">
        <v>4944</v>
      </c>
      <c r="E5996" t="s">
        <v>9683</v>
      </c>
      <c r="F5996" t="s">
        <v>8537</v>
      </c>
      <c r="G5996" t="s">
        <v>8538</v>
      </c>
      <c r="H5996" t="s">
        <v>4945</v>
      </c>
      <c r="J5996">
        <v>13000</v>
      </c>
      <c r="L5996" t="s">
        <v>5875</v>
      </c>
    </row>
    <row r="5997" spans="1:12" x14ac:dyDescent="0.35">
      <c r="A5997" t="s">
        <v>3115</v>
      </c>
      <c r="B5997" s="1">
        <v>45736</v>
      </c>
      <c r="C5997" t="s">
        <v>8002</v>
      </c>
      <c r="D5997" t="s">
        <v>4946</v>
      </c>
      <c r="E5997" t="s">
        <v>9684</v>
      </c>
      <c r="F5997" t="s">
        <v>6802</v>
      </c>
      <c r="H5997" t="s">
        <v>4947</v>
      </c>
      <c r="K5997">
        <v>24000</v>
      </c>
      <c r="L5997" t="s">
        <v>6803</v>
      </c>
    </row>
    <row r="5998" spans="1:12" x14ac:dyDescent="0.35">
      <c r="A5998" t="s">
        <v>3115</v>
      </c>
      <c r="B5998" s="1">
        <v>45736</v>
      </c>
      <c r="C5998" t="s">
        <v>8002</v>
      </c>
      <c r="D5998" t="s">
        <v>4946</v>
      </c>
      <c r="E5998" t="s">
        <v>9684</v>
      </c>
      <c r="F5998" t="s">
        <v>8537</v>
      </c>
      <c r="G5998" t="s">
        <v>8538</v>
      </c>
      <c r="H5998" t="s">
        <v>4947</v>
      </c>
      <c r="J5998">
        <v>24000</v>
      </c>
      <c r="L5998" t="s">
        <v>5874</v>
      </c>
    </row>
    <row r="5999" spans="1:12" x14ac:dyDescent="0.35">
      <c r="A5999" t="s">
        <v>3115</v>
      </c>
      <c r="B5999" s="1">
        <v>45736</v>
      </c>
      <c r="C5999" t="s">
        <v>8003</v>
      </c>
      <c r="D5999" t="s">
        <v>4948</v>
      </c>
      <c r="E5999" t="s">
        <v>9685</v>
      </c>
      <c r="F5999" t="s">
        <v>6802</v>
      </c>
      <c r="H5999" t="s">
        <v>4949</v>
      </c>
      <c r="K5999">
        <v>3673</v>
      </c>
      <c r="L5999" t="s">
        <v>6803</v>
      </c>
    </row>
    <row r="6000" spans="1:12" x14ac:dyDescent="0.35">
      <c r="A6000" t="s">
        <v>3115</v>
      </c>
      <c r="B6000" s="1">
        <v>45736</v>
      </c>
      <c r="C6000" t="s">
        <v>8003</v>
      </c>
      <c r="D6000" t="s">
        <v>4948</v>
      </c>
      <c r="E6000" t="s">
        <v>9685</v>
      </c>
      <c r="F6000" t="s">
        <v>8537</v>
      </c>
      <c r="G6000" t="s">
        <v>8538</v>
      </c>
      <c r="H6000" t="s">
        <v>4949</v>
      </c>
      <c r="J6000">
        <v>3673</v>
      </c>
      <c r="L6000" t="s">
        <v>5875</v>
      </c>
    </row>
    <row r="6001" spans="1:12" x14ac:dyDescent="0.35">
      <c r="A6001" t="s">
        <v>3115</v>
      </c>
      <c r="B6001" s="1">
        <v>45736</v>
      </c>
      <c r="C6001" t="s">
        <v>8004</v>
      </c>
      <c r="D6001" t="s">
        <v>4950</v>
      </c>
      <c r="E6001" t="s">
        <v>9686</v>
      </c>
      <c r="F6001" t="s">
        <v>6802</v>
      </c>
      <c r="H6001" t="s">
        <v>4951</v>
      </c>
      <c r="K6001">
        <v>360000</v>
      </c>
      <c r="L6001" t="s">
        <v>6803</v>
      </c>
    </row>
    <row r="6002" spans="1:12" x14ac:dyDescent="0.35">
      <c r="A6002" t="s">
        <v>3115</v>
      </c>
      <c r="B6002" s="1">
        <v>45736</v>
      </c>
      <c r="C6002" t="s">
        <v>8004</v>
      </c>
      <c r="D6002" t="s">
        <v>4950</v>
      </c>
      <c r="E6002" t="s">
        <v>9686</v>
      </c>
      <c r="F6002" t="s">
        <v>8537</v>
      </c>
      <c r="G6002" t="s">
        <v>8538</v>
      </c>
      <c r="H6002" t="s">
        <v>4951</v>
      </c>
      <c r="J6002">
        <v>360000</v>
      </c>
      <c r="L6002" t="s">
        <v>5949</v>
      </c>
    </row>
    <row r="6003" spans="1:12" x14ac:dyDescent="0.35">
      <c r="A6003" t="s">
        <v>3115</v>
      </c>
      <c r="B6003" s="1">
        <v>45736</v>
      </c>
      <c r="C6003" t="s">
        <v>8005</v>
      </c>
      <c r="D6003" t="s">
        <v>4952</v>
      </c>
      <c r="E6003" t="s">
        <v>9687</v>
      </c>
      <c r="F6003" t="s">
        <v>6802</v>
      </c>
      <c r="H6003" t="s">
        <v>4953</v>
      </c>
      <c r="K6003">
        <v>14563</v>
      </c>
      <c r="L6003" t="s">
        <v>6803</v>
      </c>
    </row>
    <row r="6004" spans="1:12" x14ac:dyDescent="0.35">
      <c r="A6004" t="s">
        <v>3115</v>
      </c>
      <c r="B6004" s="1">
        <v>45736</v>
      </c>
      <c r="C6004" t="s">
        <v>8005</v>
      </c>
      <c r="D6004" t="s">
        <v>4952</v>
      </c>
      <c r="E6004" t="s">
        <v>9687</v>
      </c>
      <c r="F6004" t="s">
        <v>8537</v>
      </c>
      <c r="G6004" t="s">
        <v>8538</v>
      </c>
      <c r="H6004" t="s">
        <v>4953</v>
      </c>
      <c r="J6004">
        <v>14563</v>
      </c>
      <c r="L6004" t="s">
        <v>5875</v>
      </c>
    </row>
    <row r="6005" spans="1:12" x14ac:dyDescent="0.35">
      <c r="A6005" t="s">
        <v>3115</v>
      </c>
      <c r="B6005" s="1">
        <v>45736</v>
      </c>
      <c r="C6005" t="s">
        <v>8006</v>
      </c>
      <c r="D6005" t="s">
        <v>4954</v>
      </c>
      <c r="E6005" t="s">
        <v>9688</v>
      </c>
      <c r="F6005" t="s">
        <v>6802</v>
      </c>
      <c r="H6005" t="s">
        <v>4955</v>
      </c>
      <c r="K6005">
        <v>195000</v>
      </c>
      <c r="L6005" t="s">
        <v>6803</v>
      </c>
    </row>
    <row r="6006" spans="1:12" x14ac:dyDescent="0.35">
      <c r="A6006" t="s">
        <v>3115</v>
      </c>
      <c r="B6006" s="1">
        <v>45736</v>
      </c>
      <c r="C6006" t="s">
        <v>8006</v>
      </c>
      <c r="D6006" t="s">
        <v>4954</v>
      </c>
      <c r="E6006" t="s">
        <v>9688</v>
      </c>
      <c r="F6006" t="s">
        <v>8537</v>
      </c>
      <c r="G6006" t="s">
        <v>8538</v>
      </c>
      <c r="H6006" t="s">
        <v>4955</v>
      </c>
      <c r="J6006">
        <v>195000</v>
      </c>
      <c r="L6006" t="s">
        <v>5958</v>
      </c>
    </row>
    <row r="6007" spans="1:12" x14ac:dyDescent="0.35">
      <c r="A6007" t="s">
        <v>3115</v>
      </c>
      <c r="B6007" s="1">
        <v>45736</v>
      </c>
      <c r="C6007" t="s">
        <v>8007</v>
      </c>
      <c r="D6007" t="s">
        <v>4956</v>
      </c>
      <c r="E6007" t="s">
        <v>9689</v>
      </c>
      <c r="F6007" t="s">
        <v>6802</v>
      </c>
      <c r="H6007" t="s">
        <v>4957</v>
      </c>
      <c r="K6007">
        <v>6356</v>
      </c>
      <c r="L6007" t="s">
        <v>6803</v>
      </c>
    </row>
    <row r="6008" spans="1:12" x14ac:dyDescent="0.35">
      <c r="A6008" t="s">
        <v>3115</v>
      </c>
      <c r="B6008" s="1">
        <v>45736</v>
      </c>
      <c r="C6008" t="s">
        <v>8007</v>
      </c>
      <c r="D6008" t="s">
        <v>4956</v>
      </c>
      <c r="E6008" t="s">
        <v>9689</v>
      </c>
      <c r="F6008" t="s">
        <v>8467</v>
      </c>
      <c r="G6008" t="s">
        <v>8567</v>
      </c>
      <c r="H6008" t="s">
        <v>4957</v>
      </c>
      <c r="J6008">
        <v>6356</v>
      </c>
      <c r="L6008" t="s">
        <v>5875</v>
      </c>
    </row>
    <row r="6009" spans="1:12" x14ac:dyDescent="0.35">
      <c r="A6009" t="s">
        <v>3115</v>
      </c>
      <c r="B6009" s="1">
        <v>45736</v>
      </c>
      <c r="C6009" t="s">
        <v>8008</v>
      </c>
      <c r="D6009" t="s">
        <v>4958</v>
      </c>
      <c r="E6009" t="s">
        <v>9690</v>
      </c>
      <c r="F6009" t="s">
        <v>6802</v>
      </c>
      <c r="H6009" t="s">
        <v>4959</v>
      </c>
      <c r="K6009">
        <v>74911</v>
      </c>
      <c r="L6009" t="s">
        <v>6803</v>
      </c>
    </row>
    <row r="6010" spans="1:12" x14ac:dyDescent="0.35">
      <c r="A6010" t="s">
        <v>3115</v>
      </c>
      <c r="B6010" s="1">
        <v>45736</v>
      </c>
      <c r="C6010" t="s">
        <v>8008</v>
      </c>
      <c r="D6010" t="s">
        <v>4958</v>
      </c>
      <c r="E6010" t="s">
        <v>9690</v>
      </c>
      <c r="F6010" t="s">
        <v>8537</v>
      </c>
      <c r="G6010" t="s">
        <v>8538</v>
      </c>
      <c r="H6010" t="s">
        <v>4959</v>
      </c>
      <c r="J6010">
        <v>74911</v>
      </c>
      <c r="L6010" t="s">
        <v>5881</v>
      </c>
    </row>
    <row r="6011" spans="1:12" x14ac:dyDescent="0.35">
      <c r="A6011" t="s">
        <v>3115</v>
      </c>
      <c r="B6011" s="1">
        <v>45736</v>
      </c>
      <c r="C6011" t="s">
        <v>8009</v>
      </c>
      <c r="D6011" t="s">
        <v>4960</v>
      </c>
      <c r="E6011" t="s">
        <v>9691</v>
      </c>
      <c r="F6011" t="s">
        <v>6802</v>
      </c>
      <c r="H6011" t="s">
        <v>4961</v>
      </c>
      <c r="K6011">
        <v>4591</v>
      </c>
      <c r="L6011" t="s">
        <v>6803</v>
      </c>
    </row>
    <row r="6012" spans="1:12" x14ac:dyDescent="0.35">
      <c r="A6012" t="s">
        <v>3115</v>
      </c>
      <c r="B6012" s="1">
        <v>45736</v>
      </c>
      <c r="C6012" t="s">
        <v>8009</v>
      </c>
      <c r="D6012" t="s">
        <v>4960</v>
      </c>
      <c r="E6012" t="s">
        <v>9691</v>
      </c>
      <c r="F6012" t="s">
        <v>8537</v>
      </c>
      <c r="G6012" t="s">
        <v>8538</v>
      </c>
      <c r="H6012" t="s">
        <v>4961</v>
      </c>
      <c r="J6012">
        <v>4591</v>
      </c>
      <c r="L6012" t="s">
        <v>5874</v>
      </c>
    </row>
    <row r="6013" spans="1:12" x14ac:dyDescent="0.35">
      <c r="A6013" t="s">
        <v>3115</v>
      </c>
      <c r="B6013" s="1">
        <v>45736</v>
      </c>
      <c r="C6013" t="s">
        <v>8010</v>
      </c>
      <c r="D6013" t="s">
        <v>4962</v>
      </c>
      <c r="E6013" t="s">
        <v>9692</v>
      </c>
      <c r="F6013" t="s">
        <v>6802</v>
      </c>
      <c r="H6013" t="s">
        <v>4963</v>
      </c>
      <c r="K6013">
        <v>121045</v>
      </c>
      <c r="L6013" t="s">
        <v>6803</v>
      </c>
    </row>
    <row r="6014" spans="1:12" x14ac:dyDescent="0.35">
      <c r="A6014" t="s">
        <v>3115</v>
      </c>
      <c r="B6014" s="1">
        <v>45736</v>
      </c>
      <c r="C6014" t="s">
        <v>8010</v>
      </c>
      <c r="D6014" t="s">
        <v>4962</v>
      </c>
      <c r="E6014" t="s">
        <v>9692</v>
      </c>
      <c r="F6014" t="s">
        <v>8537</v>
      </c>
      <c r="G6014" t="s">
        <v>8538</v>
      </c>
      <c r="H6014" t="s">
        <v>4963</v>
      </c>
      <c r="J6014">
        <v>121045</v>
      </c>
      <c r="L6014" t="s">
        <v>5881</v>
      </c>
    </row>
    <row r="6015" spans="1:12" x14ac:dyDescent="0.35">
      <c r="A6015" t="s">
        <v>3115</v>
      </c>
      <c r="B6015" s="1">
        <v>45737</v>
      </c>
      <c r="C6015" t="s">
        <v>7430</v>
      </c>
      <c r="D6015" t="s">
        <v>4964</v>
      </c>
      <c r="E6015" t="s">
        <v>9446</v>
      </c>
      <c r="F6015" t="s">
        <v>6811</v>
      </c>
      <c r="H6015" t="s">
        <v>4965</v>
      </c>
      <c r="K6015">
        <v>2500</v>
      </c>
      <c r="L6015" t="s">
        <v>6803</v>
      </c>
    </row>
    <row r="6016" spans="1:12" x14ac:dyDescent="0.35">
      <c r="A6016" t="s">
        <v>3115</v>
      </c>
      <c r="B6016" s="1">
        <v>45737</v>
      </c>
      <c r="C6016" t="s">
        <v>7430</v>
      </c>
      <c r="D6016" t="s">
        <v>4964</v>
      </c>
      <c r="E6016" t="s">
        <v>9446</v>
      </c>
      <c r="F6016" t="s">
        <v>8557</v>
      </c>
      <c r="G6016" t="s">
        <v>8558</v>
      </c>
      <c r="H6016" t="s">
        <v>4965</v>
      </c>
      <c r="J6016">
        <v>2500</v>
      </c>
      <c r="L6016" t="s">
        <v>5949</v>
      </c>
    </row>
    <row r="6017" spans="1:12" x14ac:dyDescent="0.35">
      <c r="A6017" t="s">
        <v>3115</v>
      </c>
      <c r="B6017" s="1">
        <v>45737</v>
      </c>
      <c r="C6017" t="s">
        <v>7431</v>
      </c>
      <c r="D6017" t="s">
        <v>4966</v>
      </c>
      <c r="E6017" t="s">
        <v>9693</v>
      </c>
      <c r="F6017" t="s">
        <v>6915</v>
      </c>
      <c r="H6017" t="s">
        <v>4967</v>
      </c>
      <c r="K6017">
        <v>15050</v>
      </c>
      <c r="L6017" t="s">
        <v>6803</v>
      </c>
    </row>
    <row r="6018" spans="1:12" x14ac:dyDescent="0.35">
      <c r="A6018" t="s">
        <v>3115</v>
      </c>
      <c r="B6018" s="1">
        <v>45737</v>
      </c>
      <c r="C6018" t="s">
        <v>7431</v>
      </c>
      <c r="D6018" t="s">
        <v>4966</v>
      </c>
      <c r="E6018" t="s">
        <v>9693</v>
      </c>
      <c r="F6018" t="s">
        <v>8569</v>
      </c>
      <c r="G6018" t="s">
        <v>8570</v>
      </c>
      <c r="H6018" t="s">
        <v>4967</v>
      </c>
      <c r="J6018">
        <v>15050</v>
      </c>
      <c r="L6018" t="s">
        <v>5958</v>
      </c>
    </row>
    <row r="6019" spans="1:12" x14ac:dyDescent="0.35">
      <c r="A6019" t="s">
        <v>3115</v>
      </c>
      <c r="B6019" s="1">
        <v>45737</v>
      </c>
      <c r="C6019" t="s">
        <v>7432</v>
      </c>
      <c r="D6019" t="s">
        <v>4968</v>
      </c>
      <c r="E6019" t="s">
        <v>9694</v>
      </c>
      <c r="F6019" t="s">
        <v>6802</v>
      </c>
      <c r="H6019" t="s">
        <v>4969</v>
      </c>
      <c r="K6019">
        <v>2500</v>
      </c>
      <c r="L6019" t="s">
        <v>6803</v>
      </c>
    </row>
    <row r="6020" spans="1:12" x14ac:dyDescent="0.35">
      <c r="A6020" t="s">
        <v>3115</v>
      </c>
      <c r="B6020" s="1">
        <v>45737</v>
      </c>
      <c r="C6020" t="s">
        <v>7432</v>
      </c>
      <c r="D6020" t="s">
        <v>4968</v>
      </c>
      <c r="E6020" t="s">
        <v>9694</v>
      </c>
      <c r="F6020" t="s">
        <v>8557</v>
      </c>
      <c r="G6020" t="s">
        <v>8558</v>
      </c>
      <c r="H6020" t="s">
        <v>4969</v>
      </c>
      <c r="J6020">
        <v>2500</v>
      </c>
      <c r="L6020" t="s">
        <v>5966</v>
      </c>
    </row>
    <row r="6021" spans="1:12" x14ac:dyDescent="0.35">
      <c r="A6021" t="s">
        <v>3115</v>
      </c>
      <c r="B6021" s="1">
        <v>45737</v>
      </c>
      <c r="C6021" t="s">
        <v>7433</v>
      </c>
      <c r="D6021" t="s">
        <v>4970</v>
      </c>
      <c r="E6021" t="s">
        <v>9695</v>
      </c>
      <c r="F6021" t="s">
        <v>6802</v>
      </c>
      <c r="H6021" t="s">
        <v>4971</v>
      </c>
      <c r="K6021">
        <v>1467</v>
      </c>
      <c r="L6021" t="s">
        <v>6803</v>
      </c>
    </row>
    <row r="6022" spans="1:12" x14ac:dyDescent="0.35">
      <c r="A6022" t="s">
        <v>3115</v>
      </c>
      <c r="B6022" s="1">
        <v>45737</v>
      </c>
      <c r="C6022" t="s">
        <v>7433</v>
      </c>
      <c r="D6022" t="s">
        <v>4970</v>
      </c>
      <c r="E6022" t="s">
        <v>9695</v>
      </c>
      <c r="F6022" t="s">
        <v>8557</v>
      </c>
      <c r="G6022" t="s">
        <v>8558</v>
      </c>
      <c r="H6022" t="s">
        <v>4971</v>
      </c>
      <c r="J6022">
        <v>1467</v>
      </c>
      <c r="L6022" t="s">
        <v>5966</v>
      </c>
    </row>
    <row r="6023" spans="1:12" x14ac:dyDescent="0.35">
      <c r="A6023" t="s">
        <v>3115</v>
      </c>
      <c r="B6023" s="1">
        <v>45737</v>
      </c>
      <c r="C6023" t="s">
        <v>7435</v>
      </c>
      <c r="D6023" t="s">
        <v>4972</v>
      </c>
      <c r="E6023" t="s">
        <v>9696</v>
      </c>
      <c r="F6023" t="s">
        <v>6802</v>
      </c>
      <c r="H6023" t="s">
        <v>4973</v>
      </c>
      <c r="K6023">
        <v>300</v>
      </c>
      <c r="L6023" t="s">
        <v>6803</v>
      </c>
    </row>
    <row r="6024" spans="1:12" x14ac:dyDescent="0.35">
      <c r="A6024" t="s">
        <v>3115</v>
      </c>
      <c r="B6024" s="1">
        <v>45737</v>
      </c>
      <c r="C6024" t="s">
        <v>7435</v>
      </c>
      <c r="D6024" t="s">
        <v>4972</v>
      </c>
      <c r="E6024" t="s">
        <v>9696</v>
      </c>
      <c r="F6024" t="s">
        <v>8557</v>
      </c>
      <c r="G6024" t="s">
        <v>8558</v>
      </c>
      <c r="H6024" t="s">
        <v>4973</v>
      </c>
      <c r="J6024">
        <v>300</v>
      </c>
      <c r="L6024" t="s">
        <v>6012</v>
      </c>
    </row>
    <row r="6025" spans="1:12" x14ac:dyDescent="0.35">
      <c r="A6025" t="s">
        <v>3115</v>
      </c>
      <c r="B6025" s="1">
        <v>45737</v>
      </c>
      <c r="C6025" t="s">
        <v>7436</v>
      </c>
      <c r="D6025" t="s">
        <v>4974</v>
      </c>
      <c r="E6025" t="s">
        <v>9697</v>
      </c>
      <c r="F6025" t="s">
        <v>6811</v>
      </c>
      <c r="H6025" t="s">
        <v>4975</v>
      </c>
      <c r="K6025">
        <v>980</v>
      </c>
      <c r="L6025" t="s">
        <v>6803</v>
      </c>
    </row>
    <row r="6026" spans="1:12" x14ac:dyDescent="0.35">
      <c r="A6026" t="s">
        <v>3115</v>
      </c>
      <c r="B6026" s="1">
        <v>45737</v>
      </c>
      <c r="C6026" t="s">
        <v>7436</v>
      </c>
      <c r="D6026" t="s">
        <v>4974</v>
      </c>
      <c r="E6026" t="s">
        <v>9697</v>
      </c>
      <c r="F6026" t="s">
        <v>6802</v>
      </c>
      <c r="H6026" t="s">
        <v>4975</v>
      </c>
      <c r="K6026">
        <v>8563</v>
      </c>
      <c r="L6026" t="s">
        <v>6803</v>
      </c>
    </row>
    <row r="6027" spans="1:12" x14ac:dyDescent="0.35">
      <c r="A6027" t="s">
        <v>3115</v>
      </c>
      <c r="B6027" s="1">
        <v>45737</v>
      </c>
      <c r="C6027" t="s">
        <v>7436</v>
      </c>
      <c r="D6027" t="s">
        <v>4974</v>
      </c>
      <c r="E6027" t="s">
        <v>9697</v>
      </c>
      <c r="F6027" t="s">
        <v>8557</v>
      </c>
      <c r="G6027" t="s">
        <v>8558</v>
      </c>
      <c r="H6027" t="s">
        <v>4975</v>
      </c>
      <c r="J6027">
        <v>9543</v>
      </c>
      <c r="L6027" t="s">
        <v>5874</v>
      </c>
    </row>
    <row r="6028" spans="1:12" x14ac:dyDescent="0.35">
      <c r="A6028" t="s">
        <v>3115</v>
      </c>
      <c r="B6028" s="1">
        <v>45737</v>
      </c>
      <c r="C6028" t="s">
        <v>7437</v>
      </c>
      <c r="D6028" t="s">
        <v>4976</v>
      </c>
      <c r="E6028" t="s">
        <v>9698</v>
      </c>
      <c r="F6028" t="s">
        <v>6915</v>
      </c>
      <c r="H6028" t="s">
        <v>4977</v>
      </c>
      <c r="K6028">
        <v>235804</v>
      </c>
      <c r="L6028" t="s">
        <v>6803</v>
      </c>
    </row>
    <row r="6029" spans="1:12" x14ac:dyDescent="0.35">
      <c r="A6029" t="s">
        <v>3115</v>
      </c>
      <c r="B6029" s="1">
        <v>45737</v>
      </c>
      <c r="C6029" t="s">
        <v>7437</v>
      </c>
      <c r="D6029" t="s">
        <v>4976</v>
      </c>
      <c r="E6029" t="s">
        <v>9698</v>
      </c>
      <c r="F6029" t="s">
        <v>8569</v>
      </c>
      <c r="G6029" t="s">
        <v>8570</v>
      </c>
      <c r="H6029" t="s">
        <v>4977</v>
      </c>
      <c r="J6029">
        <v>235804</v>
      </c>
      <c r="L6029" t="s">
        <v>5881</v>
      </c>
    </row>
    <row r="6030" spans="1:12" x14ac:dyDescent="0.35">
      <c r="A6030" t="s">
        <v>3115</v>
      </c>
      <c r="B6030" s="1">
        <v>45737</v>
      </c>
      <c r="C6030" t="s">
        <v>7443</v>
      </c>
      <c r="D6030" t="s">
        <v>4978</v>
      </c>
      <c r="E6030" t="s">
        <v>9699</v>
      </c>
      <c r="F6030" t="s">
        <v>6811</v>
      </c>
      <c r="H6030" t="s">
        <v>4979</v>
      </c>
      <c r="K6030">
        <v>673</v>
      </c>
      <c r="L6030" t="s">
        <v>6803</v>
      </c>
    </row>
    <row r="6031" spans="1:12" x14ac:dyDescent="0.35">
      <c r="A6031" t="s">
        <v>3115</v>
      </c>
      <c r="B6031" s="1">
        <v>45737</v>
      </c>
      <c r="C6031" t="s">
        <v>7443</v>
      </c>
      <c r="D6031" t="s">
        <v>4978</v>
      </c>
      <c r="E6031" t="s">
        <v>9699</v>
      </c>
      <c r="F6031" t="s">
        <v>6802</v>
      </c>
      <c r="H6031" t="s">
        <v>4979</v>
      </c>
      <c r="K6031">
        <v>158112</v>
      </c>
      <c r="L6031" t="s">
        <v>6803</v>
      </c>
    </row>
    <row r="6032" spans="1:12" x14ac:dyDescent="0.35">
      <c r="A6032" t="s">
        <v>3115</v>
      </c>
      <c r="B6032" s="1">
        <v>45737</v>
      </c>
      <c r="C6032" t="s">
        <v>7443</v>
      </c>
      <c r="D6032" t="s">
        <v>4978</v>
      </c>
      <c r="E6032" t="s">
        <v>9699</v>
      </c>
      <c r="F6032" t="s">
        <v>8557</v>
      </c>
      <c r="G6032" t="s">
        <v>8558</v>
      </c>
      <c r="H6032" t="s">
        <v>4979</v>
      </c>
      <c r="J6032">
        <v>158785</v>
      </c>
      <c r="L6032" t="s">
        <v>5875</v>
      </c>
    </row>
    <row r="6033" spans="1:12" x14ac:dyDescent="0.35">
      <c r="A6033" t="s">
        <v>3115</v>
      </c>
      <c r="B6033" s="1">
        <v>45737</v>
      </c>
      <c r="C6033" t="s">
        <v>7445</v>
      </c>
      <c r="D6033" t="s">
        <v>4980</v>
      </c>
      <c r="E6033" t="s">
        <v>9700</v>
      </c>
      <c r="F6033" t="s">
        <v>6811</v>
      </c>
      <c r="H6033" t="s">
        <v>4981</v>
      </c>
      <c r="K6033">
        <v>980</v>
      </c>
      <c r="L6033" t="s">
        <v>6803</v>
      </c>
    </row>
    <row r="6034" spans="1:12" x14ac:dyDescent="0.35">
      <c r="A6034" t="s">
        <v>3115</v>
      </c>
      <c r="B6034" s="1">
        <v>45737</v>
      </c>
      <c r="C6034" t="s">
        <v>7445</v>
      </c>
      <c r="D6034" t="s">
        <v>4980</v>
      </c>
      <c r="E6034" t="s">
        <v>9700</v>
      </c>
      <c r="F6034" t="s">
        <v>6802</v>
      </c>
      <c r="H6034" t="s">
        <v>4981</v>
      </c>
      <c r="K6034">
        <v>6362</v>
      </c>
      <c r="L6034" t="s">
        <v>6803</v>
      </c>
    </row>
    <row r="6035" spans="1:12" x14ac:dyDescent="0.35">
      <c r="A6035" t="s">
        <v>3115</v>
      </c>
      <c r="B6035" s="1">
        <v>45737</v>
      </c>
      <c r="C6035" t="s">
        <v>7445</v>
      </c>
      <c r="D6035" t="s">
        <v>4980</v>
      </c>
      <c r="E6035" t="s">
        <v>9700</v>
      </c>
      <c r="F6035" t="s">
        <v>8557</v>
      </c>
      <c r="G6035" t="s">
        <v>8558</v>
      </c>
      <c r="H6035" t="s">
        <v>4981</v>
      </c>
      <c r="J6035">
        <v>7342</v>
      </c>
      <c r="L6035" t="s">
        <v>5875</v>
      </c>
    </row>
    <row r="6036" spans="1:12" x14ac:dyDescent="0.35">
      <c r="A6036" t="s">
        <v>3115</v>
      </c>
      <c r="B6036" s="1">
        <v>45737</v>
      </c>
      <c r="C6036" t="s">
        <v>7448</v>
      </c>
      <c r="D6036" t="s">
        <v>4982</v>
      </c>
      <c r="E6036" t="s">
        <v>9701</v>
      </c>
      <c r="F6036" t="s">
        <v>6811</v>
      </c>
      <c r="H6036" t="s">
        <v>4983</v>
      </c>
      <c r="K6036">
        <v>150</v>
      </c>
      <c r="L6036" t="s">
        <v>6803</v>
      </c>
    </row>
    <row r="6037" spans="1:12" x14ac:dyDescent="0.35">
      <c r="A6037" t="s">
        <v>3115</v>
      </c>
      <c r="B6037" s="1">
        <v>45737</v>
      </c>
      <c r="C6037" t="s">
        <v>7448</v>
      </c>
      <c r="D6037" t="s">
        <v>4982</v>
      </c>
      <c r="E6037" t="s">
        <v>9701</v>
      </c>
      <c r="F6037" t="s">
        <v>8557</v>
      </c>
      <c r="G6037" t="s">
        <v>8558</v>
      </c>
      <c r="H6037" t="s">
        <v>4983</v>
      </c>
      <c r="J6037">
        <v>150</v>
      </c>
      <c r="L6037" t="s">
        <v>6010</v>
      </c>
    </row>
    <row r="6038" spans="1:12" x14ac:dyDescent="0.35">
      <c r="A6038" t="s">
        <v>3115</v>
      </c>
      <c r="B6038" s="1">
        <v>45737</v>
      </c>
      <c r="C6038" t="s">
        <v>7451</v>
      </c>
      <c r="D6038" t="s">
        <v>4984</v>
      </c>
      <c r="E6038" t="s">
        <v>9702</v>
      </c>
      <c r="F6038" t="s">
        <v>6811</v>
      </c>
      <c r="H6038" t="s">
        <v>4985</v>
      </c>
      <c r="K6038">
        <v>300</v>
      </c>
      <c r="L6038" t="s">
        <v>6803</v>
      </c>
    </row>
    <row r="6039" spans="1:12" x14ac:dyDescent="0.35">
      <c r="A6039" t="s">
        <v>3115</v>
      </c>
      <c r="B6039" s="1">
        <v>45737</v>
      </c>
      <c r="C6039" t="s">
        <v>7451</v>
      </c>
      <c r="D6039" t="s">
        <v>4984</v>
      </c>
      <c r="E6039" t="s">
        <v>9702</v>
      </c>
      <c r="F6039" t="s">
        <v>8557</v>
      </c>
      <c r="G6039" t="s">
        <v>8558</v>
      </c>
      <c r="H6039" t="s">
        <v>4985</v>
      </c>
      <c r="J6039">
        <v>300</v>
      </c>
      <c r="L6039" t="s">
        <v>5955</v>
      </c>
    </row>
    <row r="6040" spans="1:12" x14ac:dyDescent="0.35">
      <c r="A6040" t="s">
        <v>3115</v>
      </c>
      <c r="B6040" s="1">
        <v>45737</v>
      </c>
      <c r="C6040" t="s">
        <v>7454</v>
      </c>
      <c r="D6040" t="s">
        <v>4986</v>
      </c>
      <c r="E6040" t="s">
        <v>9702</v>
      </c>
      <c r="F6040" t="s">
        <v>6915</v>
      </c>
      <c r="H6040" t="s">
        <v>4987</v>
      </c>
      <c r="K6040">
        <v>120400</v>
      </c>
      <c r="L6040" t="s">
        <v>6803</v>
      </c>
    </row>
    <row r="6041" spans="1:12" x14ac:dyDescent="0.35">
      <c r="A6041" t="s">
        <v>3115</v>
      </c>
      <c r="B6041" s="1">
        <v>45737</v>
      </c>
      <c r="C6041" t="s">
        <v>7454</v>
      </c>
      <c r="D6041" t="s">
        <v>4986</v>
      </c>
      <c r="E6041" t="s">
        <v>9702</v>
      </c>
      <c r="F6041" t="s">
        <v>8569</v>
      </c>
      <c r="G6041" t="s">
        <v>8570</v>
      </c>
      <c r="H6041" t="s">
        <v>4987</v>
      </c>
      <c r="J6041">
        <v>120400</v>
      </c>
      <c r="L6041" t="s">
        <v>5875</v>
      </c>
    </row>
    <row r="6042" spans="1:12" x14ac:dyDescent="0.35">
      <c r="A6042" t="s">
        <v>3115</v>
      </c>
      <c r="B6042" s="1">
        <v>45737</v>
      </c>
      <c r="C6042" t="s">
        <v>7455</v>
      </c>
      <c r="D6042" t="s">
        <v>4988</v>
      </c>
      <c r="E6042" t="s">
        <v>9703</v>
      </c>
      <c r="F6042" t="s">
        <v>6802</v>
      </c>
      <c r="H6042" t="s">
        <v>4989</v>
      </c>
      <c r="K6042">
        <v>300</v>
      </c>
      <c r="L6042" t="s">
        <v>6803</v>
      </c>
    </row>
    <row r="6043" spans="1:12" x14ac:dyDescent="0.35">
      <c r="A6043" t="s">
        <v>3115</v>
      </c>
      <c r="B6043" s="1">
        <v>45737</v>
      </c>
      <c r="C6043" t="s">
        <v>7455</v>
      </c>
      <c r="D6043" t="s">
        <v>4988</v>
      </c>
      <c r="E6043" t="s">
        <v>9703</v>
      </c>
      <c r="F6043" t="s">
        <v>8557</v>
      </c>
      <c r="G6043" t="s">
        <v>8558</v>
      </c>
      <c r="H6043" t="s">
        <v>4989</v>
      </c>
      <c r="J6043">
        <v>300</v>
      </c>
      <c r="L6043" t="s">
        <v>5966</v>
      </c>
    </row>
    <row r="6044" spans="1:12" x14ac:dyDescent="0.35">
      <c r="A6044" t="s">
        <v>3115</v>
      </c>
      <c r="B6044" s="1">
        <v>45737</v>
      </c>
      <c r="C6044" t="s">
        <v>7456</v>
      </c>
      <c r="D6044" t="s">
        <v>4990</v>
      </c>
      <c r="E6044" t="s">
        <v>9704</v>
      </c>
      <c r="F6044" t="s">
        <v>6915</v>
      </c>
      <c r="H6044" t="s">
        <v>4991</v>
      </c>
      <c r="K6044">
        <v>10963</v>
      </c>
      <c r="L6044" t="s">
        <v>6803</v>
      </c>
    </row>
    <row r="6045" spans="1:12" x14ac:dyDescent="0.35">
      <c r="A6045" t="s">
        <v>3115</v>
      </c>
      <c r="B6045" s="1">
        <v>45737</v>
      </c>
      <c r="C6045" t="s">
        <v>7456</v>
      </c>
      <c r="D6045" t="s">
        <v>4990</v>
      </c>
      <c r="E6045" t="s">
        <v>9704</v>
      </c>
      <c r="F6045" t="s">
        <v>8569</v>
      </c>
      <c r="G6045" t="s">
        <v>8570</v>
      </c>
      <c r="H6045" t="s">
        <v>4991</v>
      </c>
      <c r="J6045">
        <v>10963</v>
      </c>
      <c r="L6045" t="s">
        <v>5876</v>
      </c>
    </row>
    <row r="6046" spans="1:12" x14ac:dyDescent="0.35">
      <c r="A6046" t="s">
        <v>3115</v>
      </c>
      <c r="B6046" s="1">
        <v>45737</v>
      </c>
      <c r="C6046" t="s">
        <v>7459</v>
      </c>
      <c r="D6046" t="s">
        <v>4992</v>
      </c>
      <c r="E6046" t="s">
        <v>9705</v>
      </c>
      <c r="F6046" t="s">
        <v>6811</v>
      </c>
      <c r="H6046" t="s">
        <v>4993</v>
      </c>
      <c r="K6046">
        <v>14700</v>
      </c>
      <c r="L6046" t="s">
        <v>6803</v>
      </c>
    </row>
    <row r="6047" spans="1:12" x14ac:dyDescent="0.35">
      <c r="A6047" t="s">
        <v>3115</v>
      </c>
      <c r="B6047" s="1">
        <v>45737</v>
      </c>
      <c r="C6047" t="s">
        <v>7459</v>
      </c>
      <c r="D6047" t="s">
        <v>4992</v>
      </c>
      <c r="E6047" t="s">
        <v>9705</v>
      </c>
      <c r="F6047" t="s">
        <v>6802</v>
      </c>
      <c r="H6047" t="s">
        <v>4993</v>
      </c>
      <c r="K6047">
        <v>106159</v>
      </c>
      <c r="L6047" t="s">
        <v>6803</v>
      </c>
    </row>
    <row r="6048" spans="1:12" x14ac:dyDescent="0.35">
      <c r="A6048" t="s">
        <v>3115</v>
      </c>
      <c r="B6048" s="1">
        <v>45737</v>
      </c>
      <c r="C6048" t="s">
        <v>7459</v>
      </c>
      <c r="D6048" t="s">
        <v>4992</v>
      </c>
      <c r="E6048" t="s">
        <v>9705</v>
      </c>
      <c r="F6048" t="s">
        <v>8537</v>
      </c>
      <c r="G6048" t="s">
        <v>8538</v>
      </c>
      <c r="H6048" t="s">
        <v>4993</v>
      </c>
      <c r="J6048">
        <v>120859</v>
      </c>
      <c r="L6048" t="s">
        <v>5880</v>
      </c>
    </row>
    <row r="6049" spans="1:12" x14ac:dyDescent="0.35">
      <c r="A6049" t="s">
        <v>3115</v>
      </c>
      <c r="B6049" s="1">
        <v>45737</v>
      </c>
      <c r="C6049" t="s">
        <v>7460</v>
      </c>
      <c r="D6049" t="s">
        <v>4994</v>
      </c>
      <c r="E6049" t="s">
        <v>9706</v>
      </c>
      <c r="F6049" t="s">
        <v>6802</v>
      </c>
      <c r="H6049" t="s">
        <v>4995</v>
      </c>
      <c r="K6049">
        <v>435885</v>
      </c>
      <c r="L6049" t="s">
        <v>6803</v>
      </c>
    </row>
    <row r="6050" spans="1:12" x14ac:dyDescent="0.35">
      <c r="A6050" t="s">
        <v>3115</v>
      </c>
      <c r="B6050" s="1">
        <v>45737</v>
      </c>
      <c r="C6050" t="s">
        <v>7460</v>
      </c>
      <c r="D6050" t="s">
        <v>4994</v>
      </c>
      <c r="E6050" t="s">
        <v>9706</v>
      </c>
      <c r="F6050" t="s">
        <v>8537</v>
      </c>
      <c r="G6050" t="s">
        <v>8538</v>
      </c>
      <c r="H6050" t="s">
        <v>4995</v>
      </c>
      <c r="J6050">
        <v>435885</v>
      </c>
      <c r="L6050" t="s">
        <v>5880</v>
      </c>
    </row>
    <row r="6051" spans="1:12" x14ac:dyDescent="0.35">
      <c r="A6051" t="s">
        <v>3115</v>
      </c>
      <c r="B6051" s="1">
        <v>45737</v>
      </c>
      <c r="C6051" t="s">
        <v>7461</v>
      </c>
      <c r="D6051" t="s">
        <v>4996</v>
      </c>
      <c r="E6051" t="s">
        <v>9707</v>
      </c>
      <c r="F6051" t="s">
        <v>6808</v>
      </c>
      <c r="H6051" t="s">
        <v>4997</v>
      </c>
      <c r="K6051">
        <v>13892</v>
      </c>
      <c r="L6051" t="s">
        <v>6803</v>
      </c>
    </row>
    <row r="6052" spans="1:12" x14ac:dyDescent="0.35">
      <c r="A6052" t="s">
        <v>3115</v>
      </c>
      <c r="B6052" s="1">
        <v>45737</v>
      </c>
      <c r="C6052" t="s">
        <v>7461</v>
      </c>
      <c r="D6052" t="s">
        <v>4996</v>
      </c>
      <c r="E6052" t="s">
        <v>9707</v>
      </c>
      <c r="F6052" t="s">
        <v>8467</v>
      </c>
      <c r="G6052" t="s">
        <v>8567</v>
      </c>
      <c r="H6052" t="s">
        <v>4997</v>
      </c>
      <c r="J6052">
        <v>13892</v>
      </c>
      <c r="L6052" t="s">
        <v>5876</v>
      </c>
    </row>
    <row r="6053" spans="1:12" x14ac:dyDescent="0.35">
      <c r="A6053" t="s">
        <v>3115</v>
      </c>
      <c r="B6053" s="1">
        <v>45737</v>
      </c>
      <c r="C6053" t="s">
        <v>7462</v>
      </c>
      <c r="D6053" t="s">
        <v>4998</v>
      </c>
      <c r="E6053" t="s">
        <v>9708</v>
      </c>
      <c r="F6053" t="s">
        <v>6802</v>
      </c>
      <c r="H6053" t="s">
        <v>4999</v>
      </c>
      <c r="K6053">
        <v>1640</v>
      </c>
      <c r="L6053" t="s">
        <v>6803</v>
      </c>
    </row>
    <row r="6054" spans="1:12" x14ac:dyDescent="0.35">
      <c r="A6054" t="s">
        <v>3115</v>
      </c>
      <c r="B6054" s="1">
        <v>45737</v>
      </c>
      <c r="C6054" t="s">
        <v>7462</v>
      </c>
      <c r="D6054" t="s">
        <v>4998</v>
      </c>
      <c r="E6054" t="s">
        <v>9708</v>
      </c>
      <c r="F6054" t="s">
        <v>8537</v>
      </c>
      <c r="G6054" t="s">
        <v>8538</v>
      </c>
      <c r="H6054" t="s">
        <v>4999</v>
      </c>
      <c r="J6054">
        <v>1640</v>
      </c>
      <c r="L6054" t="s">
        <v>5875</v>
      </c>
    </row>
    <row r="6055" spans="1:12" x14ac:dyDescent="0.35">
      <c r="A6055" t="s">
        <v>3115</v>
      </c>
      <c r="B6055" s="1">
        <v>45737</v>
      </c>
      <c r="C6055" t="s">
        <v>7463</v>
      </c>
      <c r="D6055" t="s">
        <v>5000</v>
      </c>
      <c r="E6055" t="s">
        <v>9709</v>
      </c>
      <c r="F6055" t="s">
        <v>6802</v>
      </c>
      <c r="H6055" t="s">
        <v>5001</v>
      </c>
      <c r="K6055">
        <v>1443</v>
      </c>
      <c r="L6055" t="s">
        <v>6803</v>
      </c>
    </row>
    <row r="6056" spans="1:12" x14ac:dyDescent="0.35">
      <c r="A6056" t="s">
        <v>3115</v>
      </c>
      <c r="B6056" s="1">
        <v>45737</v>
      </c>
      <c r="C6056" t="s">
        <v>7463</v>
      </c>
      <c r="D6056" t="s">
        <v>5000</v>
      </c>
      <c r="E6056" t="s">
        <v>9709</v>
      </c>
      <c r="F6056" t="s">
        <v>8537</v>
      </c>
      <c r="G6056" t="s">
        <v>8538</v>
      </c>
      <c r="H6056" t="s">
        <v>5001</v>
      </c>
      <c r="J6056">
        <v>1443</v>
      </c>
      <c r="L6056" t="s">
        <v>5875</v>
      </c>
    </row>
    <row r="6057" spans="1:12" x14ac:dyDescent="0.35">
      <c r="A6057" t="s">
        <v>3115</v>
      </c>
      <c r="B6057" s="1">
        <v>45737</v>
      </c>
      <c r="C6057" t="s">
        <v>7465</v>
      </c>
      <c r="D6057" t="s">
        <v>5002</v>
      </c>
      <c r="E6057" t="s">
        <v>9710</v>
      </c>
      <c r="F6057" t="s">
        <v>6802</v>
      </c>
      <c r="H6057" t="s">
        <v>5003</v>
      </c>
      <c r="K6057">
        <v>1443</v>
      </c>
      <c r="L6057" t="s">
        <v>6803</v>
      </c>
    </row>
    <row r="6058" spans="1:12" x14ac:dyDescent="0.35">
      <c r="A6058" t="s">
        <v>3115</v>
      </c>
      <c r="B6058" s="1">
        <v>45737</v>
      </c>
      <c r="C6058" t="s">
        <v>7465</v>
      </c>
      <c r="D6058" t="s">
        <v>5002</v>
      </c>
      <c r="E6058" t="s">
        <v>9710</v>
      </c>
      <c r="F6058" t="s">
        <v>8537</v>
      </c>
      <c r="G6058" t="s">
        <v>8538</v>
      </c>
      <c r="H6058" t="s">
        <v>5003</v>
      </c>
      <c r="J6058">
        <v>1443</v>
      </c>
      <c r="L6058" t="s">
        <v>5880</v>
      </c>
    </row>
    <row r="6059" spans="1:12" x14ac:dyDescent="0.35">
      <c r="A6059" t="s">
        <v>3115</v>
      </c>
      <c r="B6059" s="1">
        <v>45737</v>
      </c>
      <c r="C6059" t="s">
        <v>7466</v>
      </c>
      <c r="D6059" t="s">
        <v>5004</v>
      </c>
      <c r="E6059" t="s">
        <v>9711</v>
      </c>
      <c r="F6059" t="s">
        <v>6802</v>
      </c>
      <c r="H6059" t="s">
        <v>5005</v>
      </c>
      <c r="K6059">
        <v>43950</v>
      </c>
      <c r="L6059" t="s">
        <v>6803</v>
      </c>
    </row>
    <row r="6060" spans="1:12" x14ac:dyDescent="0.35">
      <c r="A6060" t="s">
        <v>3115</v>
      </c>
      <c r="B6060" s="1">
        <v>45737</v>
      </c>
      <c r="C6060" t="s">
        <v>7466</v>
      </c>
      <c r="D6060" t="s">
        <v>5004</v>
      </c>
      <c r="E6060" t="s">
        <v>9711</v>
      </c>
      <c r="F6060" t="s">
        <v>8537</v>
      </c>
      <c r="G6060" t="s">
        <v>8538</v>
      </c>
      <c r="H6060" t="s">
        <v>5005</v>
      </c>
      <c r="J6060">
        <v>43950</v>
      </c>
      <c r="L6060" t="s">
        <v>5880</v>
      </c>
    </row>
    <row r="6061" spans="1:12" x14ac:dyDescent="0.35">
      <c r="A6061" t="s">
        <v>3115</v>
      </c>
      <c r="B6061" s="1">
        <v>45737</v>
      </c>
      <c r="C6061" t="s">
        <v>7467</v>
      </c>
      <c r="D6061" t="s">
        <v>5006</v>
      </c>
      <c r="E6061" t="s">
        <v>9712</v>
      </c>
      <c r="F6061" t="s">
        <v>6802</v>
      </c>
      <c r="H6061" t="s">
        <v>5007</v>
      </c>
      <c r="K6061">
        <v>787</v>
      </c>
      <c r="L6061" t="s">
        <v>6803</v>
      </c>
    </row>
    <row r="6062" spans="1:12" x14ac:dyDescent="0.35">
      <c r="A6062" t="s">
        <v>3115</v>
      </c>
      <c r="B6062" s="1">
        <v>45737</v>
      </c>
      <c r="C6062" t="s">
        <v>7467</v>
      </c>
      <c r="D6062" t="s">
        <v>5006</v>
      </c>
      <c r="E6062" t="s">
        <v>9712</v>
      </c>
      <c r="F6062" t="s">
        <v>8537</v>
      </c>
      <c r="G6062" t="s">
        <v>8538</v>
      </c>
      <c r="H6062" t="s">
        <v>5007</v>
      </c>
      <c r="J6062">
        <v>787</v>
      </c>
      <c r="L6062" t="s">
        <v>6010</v>
      </c>
    </row>
    <row r="6063" spans="1:12" x14ac:dyDescent="0.35">
      <c r="A6063" t="s">
        <v>3115</v>
      </c>
      <c r="B6063" s="1">
        <v>45737</v>
      </c>
      <c r="C6063" t="s">
        <v>7468</v>
      </c>
      <c r="D6063" t="s">
        <v>5008</v>
      </c>
      <c r="E6063" t="s">
        <v>9713</v>
      </c>
      <c r="F6063" t="s">
        <v>6808</v>
      </c>
      <c r="H6063" t="s">
        <v>5009</v>
      </c>
      <c r="K6063">
        <v>1649</v>
      </c>
      <c r="L6063" t="s">
        <v>6803</v>
      </c>
    </row>
    <row r="6064" spans="1:12" x14ac:dyDescent="0.35">
      <c r="A6064" t="s">
        <v>3115</v>
      </c>
      <c r="B6064" s="1">
        <v>45737</v>
      </c>
      <c r="C6064" t="s">
        <v>7468</v>
      </c>
      <c r="D6064" t="s">
        <v>5008</v>
      </c>
      <c r="E6064" t="s">
        <v>9713</v>
      </c>
      <c r="F6064" t="s">
        <v>8467</v>
      </c>
      <c r="G6064" t="s">
        <v>8567</v>
      </c>
      <c r="H6064" t="s">
        <v>5009</v>
      </c>
      <c r="J6064">
        <v>1649</v>
      </c>
      <c r="L6064" t="s">
        <v>6010</v>
      </c>
    </row>
    <row r="6065" spans="1:12" x14ac:dyDescent="0.35">
      <c r="A6065" t="s">
        <v>3115</v>
      </c>
      <c r="B6065" s="1">
        <v>45737</v>
      </c>
      <c r="C6065" t="s">
        <v>7470</v>
      </c>
      <c r="D6065" t="s">
        <v>5010</v>
      </c>
      <c r="E6065" t="s">
        <v>9702</v>
      </c>
      <c r="F6065" t="s">
        <v>6802</v>
      </c>
      <c r="H6065" t="s">
        <v>5011</v>
      </c>
      <c r="K6065">
        <v>38439</v>
      </c>
      <c r="L6065" t="s">
        <v>6803</v>
      </c>
    </row>
    <row r="6066" spans="1:12" x14ac:dyDescent="0.35">
      <c r="A6066" t="s">
        <v>3115</v>
      </c>
      <c r="B6066" s="1">
        <v>45737</v>
      </c>
      <c r="C6066" t="s">
        <v>7470</v>
      </c>
      <c r="D6066" t="s">
        <v>5010</v>
      </c>
      <c r="E6066" t="s">
        <v>9702</v>
      </c>
      <c r="F6066" t="s">
        <v>8537</v>
      </c>
      <c r="G6066" t="s">
        <v>8538</v>
      </c>
      <c r="H6066" t="s">
        <v>5011</v>
      </c>
      <c r="J6066">
        <v>38439</v>
      </c>
      <c r="L6066" t="s">
        <v>5955</v>
      </c>
    </row>
    <row r="6067" spans="1:12" x14ac:dyDescent="0.35">
      <c r="A6067" t="s">
        <v>3115</v>
      </c>
      <c r="B6067" s="1">
        <v>45737</v>
      </c>
      <c r="C6067" t="s">
        <v>7471</v>
      </c>
      <c r="D6067" t="s">
        <v>5012</v>
      </c>
      <c r="E6067" t="s">
        <v>9714</v>
      </c>
      <c r="F6067" t="s">
        <v>6802</v>
      </c>
      <c r="H6067" t="s">
        <v>5013</v>
      </c>
      <c r="K6067">
        <v>65006</v>
      </c>
      <c r="L6067" t="s">
        <v>6803</v>
      </c>
    </row>
    <row r="6068" spans="1:12" x14ac:dyDescent="0.35">
      <c r="A6068" t="s">
        <v>3115</v>
      </c>
      <c r="B6068" s="1">
        <v>45737</v>
      </c>
      <c r="C6068" t="s">
        <v>7471</v>
      </c>
      <c r="D6068" t="s">
        <v>5012</v>
      </c>
      <c r="E6068" t="s">
        <v>9714</v>
      </c>
      <c r="F6068" t="s">
        <v>8537</v>
      </c>
      <c r="G6068" t="s">
        <v>8538</v>
      </c>
      <c r="H6068" t="s">
        <v>5013</v>
      </c>
      <c r="J6068">
        <v>65006</v>
      </c>
      <c r="L6068" t="s">
        <v>6010</v>
      </c>
    </row>
    <row r="6069" spans="1:12" x14ac:dyDescent="0.35">
      <c r="A6069" t="s">
        <v>3115</v>
      </c>
      <c r="B6069" s="1">
        <v>45737</v>
      </c>
      <c r="C6069" t="s">
        <v>7472</v>
      </c>
      <c r="D6069" t="s">
        <v>5014</v>
      </c>
      <c r="E6069" t="s">
        <v>9703</v>
      </c>
      <c r="F6069" t="s">
        <v>6802</v>
      </c>
      <c r="H6069" t="s">
        <v>5015</v>
      </c>
      <c r="K6069">
        <v>46442</v>
      </c>
      <c r="L6069" t="s">
        <v>6803</v>
      </c>
    </row>
    <row r="6070" spans="1:12" x14ac:dyDescent="0.35">
      <c r="A6070" t="s">
        <v>3115</v>
      </c>
      <c r="B6070" s="1">
        <v>45737</v>
      </c>
      <c r="C6070" t="s">
        <v>7472</v>
      </c>
      <c r="D6070" t="s">
        <v>5014</v>
      </c>
      <c r="E6070" t="s">
        <v>9703</v>
      </c>
      <c r="F6070" t="s">
        <v>8537</v>
      </c>
      <c r="G6070" t="s">
        <v>8538</v>
      </c>
      <c r="H6070" t="s">
        <v>5015</v>
      </c>
      <c r="J6070">
        <v>46442</v>
      </c>
      <c r="L6070" t="s">
        <v>5966</v>
      </c>
    </row>
    <row r="6071" spans="1:12" x14ac:dyDescent="0.35">
      <c r="A6071" t="s">
        <v>3115</v>
      </c>
      <c r="B6071" s="1">
        <v>45737</v>
      </c>
      <c r="C6071" t="s">
        <v>7473</v>
      </c>
      <c r="D6071" t="s">
        <v>5016</v>
      </c>
      <c r="E6071" t="s">
        <v>9715</v>
      </c>
      <c r="F6071" t="s">
        <v>6802</v>
      </c>
      <c r="H6071" t="s">
        <v>5017</v>
      </c>
      <c r="K6071">
        <v>3214</v>
      </c>
      <c r="L6071" t="s">
        <v>6803</v>
      </c>
    </row>
    <row r="6072" spans="1:12" x14ac:dyDescent="0.35">
      <c r="A6072" t="s">
        <v>3115</v>
      </c>
      <c r="B6072" s="1">
        <v>45737</v>
      </c>
      <c r="C6072" t="s">
        <v>7473</v>
      </c>
      <c r="D6072" t="s">
        <v>5016</v>
      </c>
      <c r="E6072" t="s">
        <v>9715</v>
      </c>
      <c r="F6072" t="s">
        <v>8537</v>
      </c>
      <c r="G6072" t="s">
        <v>8538</v>
      </c>
      <c r="H6072" t="s">
        <v>5017</v>
      </c>
      <c r="J6072">
        <v>3214</v>
      </c>
      <c r="L6072" t="s">
        <v>5876</v>
      </c>
    </row>
    <row r="6073" spans="1:12" x14ac:dyDescent="0.35">
      <c r="A6073" t="s">
        <v>3115</v>
      </c>
      <c r="B6073" s="1">
        <v>45737</v>
      </c>
      <c r="C6073" t="s">
        <v>7474</v>
      </c>
      <c r="D6073" t="s">
        <v>5018</v>
      </c>
      <c r="E6073" t="s">
        <v>9716</v>
      </c>
      <c r="F6073" t="s">
        <v>6802</v>
      </c>
      <c r="H6073" t="s">
        <v>5019</v>
      </c>
      <c r="K6073">
        <v>2099</v>
      </c>
      <c r="L6073" t="s">
        <v>6803</v>
      </c>
    </row>
    <row r="6074" spans="1:12" x14ac:dyDescent="0.35">
      <c r="A6074" t="s">
        <v>3115</v>
      </c>
      <c r="B6074" s="1">
        <v>45737</v>
      </c>
      <c r="C6074" t="s">
        <v>7474</v>
      </c>
      <c r="D6074" t="s">
        <v>5018</v>
      </c>
      <c r="E6074" t="s">
        <v>9716</v>
      </c>
      <c r="F6074" t="s">
        <v>8537</v>
      </c>
      <c r="G6074" t="s">
        <v>8538</v>
      </c>
      <c r="H6074" t="s">
        <v>5019</v>
      </c>
      <c r="J6074">
        <v>2099</v>
      </c>
      <c r="L6074" t="s">
        <v>5876</v>
      </c>
    </row>
    <row r="6075" spans="1:12" x14ac:dyDescent="0.35">
      <c r="A6075" t="s">
        <v>3115</v>
      </c>
      <c r="B6075" s="1">
        <v>45737</v>
      </c>
      <c r="C6075" t="s">
        <v>7475</v>
      </c>
      <c r="D6075" t="s">
        <v>5020</v>
      </c>
      <c r="E6075" t="s">
        <v>9717</v>
      </c>
      <c r="F6075" t="s">
        <v>6808</v>
      </c>
      <c r="H6075" t="s">
        <v>5021</v>
      </c>
      <c r="K6075">
        <v>3298</v>
      </c>
      <c r="L6075" t="s">
        <v>6803</v>
      </c>
    </row>
    <row r="6076" spans="1:12" x14ac:dyDescent="0.35">
      <c r="A6076" t="s">
        <v>3115</v>
      </c>
      <c r="B6076" s="1">
        <v>45737</v>
      </c>
      <c r="C6076" t="s">
        <v>7475</v>
      </c>
      <c r="D6076" t="s">
        <v>5020</v>
      </c>
      <c r="E6076" t="s">
        <v>9717</v>
      </c>
      <c r="F6076" t="s">
        <v>6802</v>
      </c>
      <c r="H6076" t="s">
        <v>5021</v>
      </c>
      <c r="K6076">
        <v>3178</v>
      </c>
      <c r="L6076" t="s">
        <v>6803</v>
      </c>
    </row>
    <row r="6077" spans="1:12" x14ac:dyDescent="0.35">
      <c r="A6077" t="s">
        <v>3115</v>
      </c>
      <c r="B6077" s="1">
        <v>45737</v>
      </c>
      <c r="C6077" t="s">
        <v>7475</v>
      </c>
      <c r="D6077" t="s">
        <v>5020</v>
      </c>
      <c r="E6077" t="s">
        <v>9717</v>
      </c>
      <c r="F6077" t="s">
        <v>8467</v>
      </c>
      <c r="G6077" t="s">
        <v>8567</v>
      </c>
      <c r="H6077" t="s">
        <v>5021</v>
      </c>
      <c r="J6077">
        <v>6476</v>
      </c>
      <c r="L6077" t="s">
        <v>5875</v>
      </c>
    </row>
    <row r="6078" spans="1:12" x14ac:dyDescent="0.35">
      <c r="A6078" t="s">
        <v>3115</v>
      </c>
      <c r="B6078" s="1">
        <v>45737</v>
      </c>
      <c r="C6078" t="s">
        <v>7476</v>
      </c>
      <c r="D6078" t="s">
        <v>5022</v>
      </c>
      <c r="E6078" t="s">
        <v>9718</v>
      </c>
      <c r="F6078" t="s">
        <v>6802</v>
      </c>
      <c r="H6078" t="s">
        <v>5023</v>
      </c>
      <c r="K6078">
        <v>21580</v>
      </c>
      <c r="L6078" t="s">
        <v>6803</v>
      </c>
    </row>
    <row r="6079" spans="1:12" x14ac:dyDescent="0.35">
      <c r="A6079" t="s">
        <v>3115</v>
      </c>
      <c r="B6079" s="1">
        <v>45737</v>
      </c>
      <c r="C6079" t="s">
        <v>7476</v>
      </c>
      <c r="D6079" t="s">
        <v>5022</v>
      </c>
      <c r="E6079" t="s">
        <v>9718</v>
      </c>
      <c r="F6079" t="s">
        <v>8537</v>
      </c>
      <c r="G6079" t="s">
        <v>8538</v>
      </c>
      <c r="H6079" t="s">
        <v>5023</v>
      </c>
      <c r="J6079">
        <v>21580</v>
      </c>
      <c r="L6079" t="s">
        <v>5875</v>
      </c>
    </row>
    <row r="6080" spans="1:12" x14ac:dyDescent="0.35">
      <c r="A6080" t="s">
        <v>3115</v>
      </c>
      <c r="B6080" s="1">
        <v>45737</v>
      </c>
      <c r="C6080" t="s">
        <v>7477</v>
      </c>
      <c r="D6080" t="s">
        <v>5024</v>
      </c>
      <c r="E6080" t="s">
        <v>9719</v>
      </c>
      <c r="F6080" t="s">
        <v>6802</v>
      </c>
      <c r="H6080" t="s">
        <v>5025</v>
      </c>
      <c r="K6080">
        <v>262</v>
      </c>
      <c r="L6080" t="s">
        <v>6803</v>
      </c>
    </row>
    <row r="6081" spans="1:12" x14ac:dyDescent="0.35">
      <c r="A6081" t="s">
        <v>3115</v>
      </c>
      <c r="B6081" s="1">
        <v>45737</v>
      </c>
      <c r="C6081" t="s">
        <v>7477</v>
      </c>
      <c r="D6081" t="s">
        <v>5024</v>
      </c>
      <c r="E6081" t="s">
        <v>9719</v>
      </c>
      <c r="F6081" t="s">
        <v>8537</v>
      </c>
      <c r="G6081" t="s">
        <v>8538</v>
      </c>
      <c r="H6081" t="s">
        <v>5025</v>
      </c>
      <c r="J6081">
        <v>262</v>
      </c>
      <c r="L6081" t="s">
        <v>6010</v>
      </c>
    </row>
    <row r="6082" spans="1:12" x14ac:dyDescent="0.35">
      <c r="A6082" t="s">
        <v>3115</v>
      </c>
      <c r="B6082" s="1">
        <v>45737</v>
      </c>
      <c r="C6082" t="s">
        <v>7481</v>
      </c>
      <c r="D6082" t="s">
        <v>5026</v>
      </c>
      <c r="E6082" t="s">
        <v>9720</v>
      </c>
      <c r="F6082" t="s">
        <v>6802</v>
      </c>
      <c r="H6082" t="s">
        <v>5027</v>
      </c>
      <c r="K6082">
        <v>71500</v>
      </c>
      <c r="L6082" t="s">
        <v>6803</v>
      </c>
    </row>
    <row r="6083" spans="1:12" x14ac:dyDescent="0.35">
      <c r="A6083" t="s">
        <v>3115</v>
      </c>
      <c r="B6083" s="1">
        <v>45737</v>
      </c>
      <c r="C6083" t="s">
        <v>7481</v>
      </c>
      <c r="D6083" t="s">
        <v>5026</v>
      </c>
      <c r="E6083" t="s">
        <v>9720</v>
      </c>
      <c r="F6083" t="s">
        <v>8537</v>
      </c>
      <c r="G6083" t="s">
        <v>8538</v>
      </c>
      <c r="H6083" t="s">
        <v>5027</v>
      </c>
      <c r="J6083">
        <v>71500</v>
      </c>
      <c r="L6083" t="s">
        <v>5873</v>
      </c>
    </row>
    <row r="6084" spans="1:12" x14ac:dyDescent="0.35">
      <c r="A6084" t="s">
        <v>3115</v>
      </c>
      <c r="B6084" s="1">
        <v>45737</v>
      </c>
      <c r="C6084" t="s">
        <v>7482</v>
      </c>
      <c r="D6084" t="s">
        <v>5028</v>
      </c>
      <c r="E6084" t="s">
        <v>8631</v>
      </c>
      <c r="F6084" t="s">
        <v>6802</v>
      </c>
      <c r="H6084" t="s">
        <v>5029</v>
      </c>
      <c r="K6084">
        <v>9677</v>
      </c>
      <c r="L6084" t="s">
        <v>6803</v>
      </c>
    </row>
    <row r="6085" spans="1:12" x14ac:dyDescent="0.35">
      <c r="A6085" t="s">
        <v>3115</v>
      </c>
      <c r="B6085" s="1">
        <v>45737</v>
      </c>
      <c r="C6085" t="s">
        <v>7482</v>
      </c>
      <c r="D6085" t="s">
        <v>5028</v>
      </c>
      <c r="E6085" t="s">
        <v>8631</v>
      </c>
      <c r="F6085" t="s">
        <v>8537</v>
      </c>
      <c r="G6085" t="s">
        <v>8538</v>
      </c>
      <c r="H6085" t="s">
        <v>5029</v>
      </c>
      <c r="J6085">
        <v>9677</v>
      </c>
      <c r="L6085" t="s">
        <v>5874</v>
      </c>
    </row>
    <row r="6086" spans="1:12" x14ac:dyDescent="0.35">
      <c r="A6086" t="s">
        <v>3115</v>
      </c>
      <c r="B6086" s="1">
        <v>45737</v>
      </c>
      <c r="C6086" t="s">
        <v>7478</v>
      </c>
      <c r="D6086" t="s">
        <v>5030</v>
      </c>
      <c r="E6086" t="s">
        <v>9721</v>
      </c>
      <c r="F6086" t="s">
        <v>6802</v>
      </c>
      <c r="H6086" t="s">
        <v>5031</v>
      </c>
      <c r="K6086">
        <v>20859</v>
      </c>
      <c r="L6086" t="s">
        <v>6803</v>
      </c>
    </row>
    <row r="6087" spans="1:12" x14ac:dyDescent="0.35">
      <c r="A6087" t="s">
        <v>3115</v>
      </c>
      <c r="B6087" s="1">
        <v>45737</v>
      </c>
      <c r="C6087" t="s">
        <v>7478</v>
      </c>
      <c r="D6087" t="s">
        <v>5030</v>
      </c>
      <c r="E6087" t="s">
        <v>9721</v>
      </c>
      <c r="F6087" t="s">
        <v>8537</v>
      </c>
      <c r="G6087" t="s">
        <v>8538</v>
      </c>
      <c r="H6087" t="s">
        <v>5031</v>
      </c>
      <c r="J6087">
        <v>20859</v>
      </c>
      <c r="L6087" t="s">
        <v>5958</v>
      </c>
    </row>
    <row r="6088" spans="1:12" x14ac:dyDescent="0.35">
      <c r="A6088" t="s">
        <v>3115</v>
      </c>
      <c r="B6088" s="1">
        <v>45737</v>
      </c>
      <c r="C6088" t="s">
        <v>7479</v>
      </c>
      <c r="D6088" t="s">
        <v>5032</v>
      </c>
      <c r="E6088" t="s">
        <v>9095</v>
      </c>
      <c r="F6088" t="s">
        <v>6802</v>
      </c>
      <c r="H6088" t="s">
        <v>5033</v>
      </c>
      <c r="K6088">
        <v>9677</v>
      </c>
      <c r="L6088" t="s">
        <v>6803</v>
      </c>
    </row>
    <row r="6089" spans="1:12" x14ac:dyDescent="0.35">
      <c r="A6089" t="s">
        <v>3115</v>
      </c>
      <c r="B6089" s="1">
        <v>45737</v>
      </c>
      <c r="C6089" t="s">
        <v>7479</v>
      </c>
      <c r="D6089" t="s">
        <v>5032</v>
      </c>
      <c r="E6089" t="s">
        <v>9095</v>
      </c>
      <c r="F6089" t="s">
        <v>8537</v>
      </c>
      <c r="G6089" t="s">
        <v>8538</v>
      </c>
      <c r="H6089" t="s">
        <v>5033</v>
      </c>
      <c r="J6089">
        <v>9677</v>
      </c>
      <c r="L6089" t="s">
        <v>5874</v>
      </c>
    </row>
    <row r="6090" spans="1:12" x14ac:dyDescent="0.35">
      <c r="A6090" t="s">
        <v>3115</v>
      </c>
      <c r="B6090" s="1">
        <v>45737</v>
      </c>
      <c r="C6090" t="s">
        <v>7480</v>
      </c>
      <c r="D6090" t="s">
        <v>5034</v>
      </c>
      <c r="E6090" t="s">
        <v>9696</v>
      </c>
      <c r="F6090" t="s">
        <v>6802</v>
      </c>
      <c r="H6090" t="s">
        <v>5035</v>
      </c>
      <c r="K6090">
        <v>656</v>
      </c>
      <c r="L6090" t="s">
        <v>6803</v>
      </c>
    </row>
    <row r="6091" spans="1:12" x14ac:dyDescent="0.35">
      <c r="A6091" t="s">
        <v>3115</v>
      </c>
      <c r="B6091" s="1">
        <v>45737</v>
      </c>
      <c r="C6091" t="s">
        <v>7480</v>
      </c>
      <c r="D6091" t="s">
        <v>5034</v>
      </c>
      <c r="E6091" t="s">
        <v>9696</v>
      </c>
      <c r="F6091" t="s">
        <v>8537</v>
      </c>
      <c r="G6091" t="s">
        <v>8538</v>
      </c>
      <c r="H6091" t="s">
        <v>5035</v>
      </c>
      <c r="J6091">
        <v>656</v>
      </c>
      <c r="L6091" t="s">
        <v>6012</v>
      </c>
    </row>
    <row r="6092" spans="1:12" x14ac:dyDescent="0.35">
      <c r="A6092" t="s">
        <v>3115</v>
      </c>
      <c r="B6092" s="1">
        <v>45737</v>
      </c>
      <c r="C6092" t="s">
        <v>7438</v>
      </c>
      <c r="D6092" t="s">
        <v>5036</v>
      </c>
      <c r="E6092" t="s">
        <v>9722</v>
      </c>
      <c r="F6092" t="s">
        <v>6802</v>
      </c>
      <c r="H6092" t="s">
        <v>5037</v>
      </c>
      <c r="K6092">
        <v>21580</v>
      </c>
      <c r="L6092" t="s">
        <v>6803</v>
      </c>
    </row>
    <row r="6093" spans="1:12" x14ac:dyDescent="0.35">
      <c r="A6093" t="s">
        <v>3115</v>
      </c>
      <c r="B6093" s="1">
        <v>45737</v>
      </c>
      <c r="C6093" t="s">
        <v>7438</v>
      </c>
      <c r="D6093" t="s">
        <v>5036</v>
      </c>
      <c r="E6093" t="s">
        <v>9722</v>
      </c>
      <c r="F6093" t="s">
        <v>8537</v>
      </c>
      <c r="G6093" t="s">
        <v>8538</v>
      </c>
      <c r="H6093" t="s">
        <v>5037</v>
      </c>
      <c r="J6093">
        <v>21580</v>
      </c>
      <c r="L6093" t="s">
        <v>5875</v>
      </c>
    </row>
    <row r="6094" spans="1:12" x14ac:dyDescent="0.35">
      <c r="A6094" t="s">
        <v>3115</v>
      </c>
      <c r="B6094" s="1">
        <v>45737</v>
      </c>
      <c r="C6094" t="s">
        <v>7439</v>
      </c>
      <c r="D6094" t="s">
        <v>5038</v>
      </c>
      <c r="E6094" t="s">
        <v>9723</v>
      </c>
      <c r="F6094" t="s">
        <v>6802</v>
      </c>
      <c r="H6094" t="s">
        <v>5039</v>
      </c>
      <c r="K6094">
        <v>6887</v>
      </c>
      <c r="L6094" t="s">
        <v>6803</v>
      </c>
    </row>
    <row r="6095" spans="1:12" x14ac:dyDescent="0.35">
      <c r="A6095" t="s">
        <v>3115</v>
      </c>
      <c r="B6095" s="1">
        <v>45737</v>
      </c>
      <c r="C6095" t="s">
        <v>7439</v>
      </c>
      <c r="D6095" t="s">
        <v>5038</v>
      </c>
      <c r="E6095" t="s">
        <v>9723</v>
      </c>
      <c r="F6095" t="s">
        <v>8537</v>
      </c>
      <c r="G6095" t="s">
        <v>8538</v>
      </c>
      <c r="H6095" t="s">
        <v>5039</v>
      </c>
      <c r="J6095">
        <v>6887</v>
      </c>
      <c r="L6095" t="s">
        <v>5874</v>
      </c>
    </row>
    <row r="6096" spans="1:12" x14ac:dyDescent="0.35">
      <c r="A6096" t="s">
        <v>3115</v>
      </c>
      <c r="B6096" s="1">
        <v>45737</v>
      </c>
      <c r="C6096" t="s">
        <v>7440</v>
      </c>
      <c r="D6096" t="s">
        <v>5040</v>
      </c>
      <c r="E6096" t="s">
        <v>9724</v>
      </c>
      <c r="F6096" t="s">
        <v>6802</v>
      </c>
      <c r="H6096" t="s">
        <v>5041</v>
      </c>
      <c r="K6096">
        <v>328</v>
      </c>
      <c r="L6096" t="s">
        <v>6803</v>
      </c>
    </row>
    <row r="6097" spans="1:12" x14ac:dyDescent="0.35">
      <c r="A6097" t="s">
        <v>3115</v>
      </c>
      <c r="B6097" s="1">
        <v>45737</v>
      </c>
      <c r="C6097" t="s">
        <v>7440</v>
      </c>
      <c r="D6097" t="s">
        <v>5040</v>
      </c>
      <c r="E6097" t="s">
        <v>9724</v>
      </c>
      <c r="F6097" t="s">
        <v>8537</v>
      </c>
      <c r="G6097" t="s">
        <v>8538</v>
      </c>
      <c r="H6097" t="s">
        <v>5041</v>
      </c>
      <c r="J6097">
        <v>328</v>
      </c>
      <c r="L6097" t="s">
        <v>5875</v>
      </c>
    </row>
    <row r="6098" spans="1:12" x14ac:dyDescent="0.35">
      <c r="A6098" t="s">
        <v>3115</v>
      </c>
      <c r="B6098" s="1">
        <v>45737</v>
      </c>
      <c r="C6098" t="s">
        <v>7441</v>
      </c>
      <c r="D6098" t="s">
        <v>5042</v>
      </c>
      <c r="E6098" t="s">
        <v>9725</v>
      </c>
      <c r="F6098" t="s">
        <v>6802</v>
      </c>
      <c r="H6098" t="s">
        <v>5043</v>
      </c>
      <c r="K6098">
        <v>2099</v>
      </c>
      <c r="L6098" t="s">
        <v>6803</v>
      </c>
    </row>
    <row r="6099" spans="1:12" x14ac:dyDescent="0.35">
      <c r="A6099" t="s">
        <v>3115</v>
      </c>
      <c r="B6099" s="1">
        <v>45737</v>
      </c>
      <c r="C6099" t="s">
        <v>7441</v>
      </c>
      <c r="D6099" t="s">
        <v>5042</v>
      </c>
      <c r="E6099" t="s">
        <v>9725</v>
      </c>
      <c r="F6099" t="s">
        <v>8537</v>
      </c>
      <c r="G6099" t="s">
        <v>8538</v>
      </c>
      <c r="H6099" t="s">
        <v>5043</v>
      </c>
      <c r="J6099">
        <v>2099</v>
      </c>
      <c r="L6099" t="s">
        <v>5874</v>
      </c>
    </row>
    <row r="6100" spans="1:12" x14ac:dyDescent="0.35">
      <c r="A6100" t="s">
        <v>3115</v>
      </c>
      <c r="B6100" s="1">
        <v>45737</v>
      </c>
      <c r="C6100" t="s">
        <v>7442</v>
      </c>
      <c r="D6100" t="s">
        <v>5044</v>
      </c>
      <c r="E6100" t="s">
        <v>9726</v>
      </c>
      <c r="F6100" t="s">
        <v>6802</v>
      </c>
      <c r="H6100" t="s">
        <v>5045</v>
      </c>
      <c r="K6100">
        <v>1574</v>
      </c>
      <c r="L6100" t="s">
        <v>6803</v>
      </c>
    </row>
    <row r="6101" spans="1:12" x14ac:dyDescent="0.35">
      <c r="A6101" t="s">
        <v>3115</v>
      </c>
      <c r="B6101" s="1">
        <v>45737</v>
      </c>
      <c r="C6101" t="s">
        <v>7442</v>
      </c>
      <c r="D6101" t="s">
        <v>5044</v>
      </c>
      <c r="E6101" t="s">
        <v>9726</v>
      </c>
      <c r="F6101" t="s">
        <v>8537</v>
      </c>
      <c r="G6101" t="s">
        <v>8538</v>
      </c>
      <c r="H6101" t="s">
        <v>5045</v>
      </c>
      <c r="J6101">
        <v>1574</v>
      </c>
      <c r="L6101" t="s">
        <v>5874</v>
      </c>
    </row>
    <row r="6102" spans="1:12" x14ac:dyDescent="0.35">
      <c r="A6102" t="s">
        <v>3115</v>
      </c>
      <c r="B6102" s="1">
        <v>45737</v>
      </c>
      <c r="C6102" t="s">
        <v>9727</v>
      </c>
      <c r="D6102" t="s">
        <v>5046</v>
      </c>
      <c r="E6102" t="s">
        <v>9728</v>
      </c>
      <c r="F6102" t="s">
        <v>6802</v>
      </c>
      <c r="H6102" t="s">
        <v>5047</v>
      </c>
      <c r="K6102">
        <v>8921</v>
      </c>
      <c r="L6102" t="s">
        <v>6803</v>
      </c>
    </row>
    <row r="6103" spans="1:12" x14ac:dyDescent="0.35">
      <c r="A6103" t="s">
        <v>3115</v>
      </c>
      <c r="B6103" s="1">
        <v>45737</v>
      </c>
      <c r="C6103" t="s">
        <v>9727</v>
      </c>
      <c r="D6103" t="s">
        <v>5046</v>
      </c>
      <c r="E6103" t="s">
        <v>9728</v>
      </c>
      <c r="F6103" t="s">
        <v>8537</v>
      </c>
      <c r="G6103" t="s">
        <v>8538</v>
      </c>
      <c r="H6103" t="s">
        <v>5047</v>
      </c>
      <c r="J6103">
        <v>8921</v>
      </c>
      <c r="L6103" t="s">
        <v>5875</v>
      </c>
    </row>
    <row r="6104" spans="1:12" x14ac:dyDescent="0.35">
      <c r="A6104" t="s">
        <v>3115</v>
      </c>
      <c r="B6104" s="1">
        <v>45737</v>
      </c>
      <c r="C6104" t="s">
        <v>9729</v>
      </c>
      <c r="D6104" t="s">
        <v>5048</v>
      </c>
      <c r="E6104" t="s">
        <v>9730</v>
      </c>
      <c r="F6104" t="s">
        <v>6802</v>
      </c>
      <c r="H6104" t="s">
        <v>5049</v>
      </c>
      <c r="K6104">
        <v>24928</v>
      </c>
      <c r="L6104" t="s">
        <v>6803</v>
      </c>
    </row>
    <row r="6105" spans="1:12" x14ac:dyDescent="0.35">
      <c r="A6105" t="s">
        <v>3115</v>
      </c>
      <c r="B6105" s="1">
        <v>45737</v>
      </c>
      <c r="C6105" t="s">
        <v>9729</v>
      </c>
      <c r="D6105" t="s">
        <v>5048</v>
      </c>
      <c r="E6105" t="s">
        <v>9730</v>
      </c>
      <c r="F6105" t="s">
        <v>8537</v>
      </c>
      <c r="G6105" t="s">
        <v>8538</v>
      </c>
      <c r="H6105" t="s">
        <v>5049</v>
      </c>
      <c r="J6105">
        <v>24928</v>
      </c>
      <c r="L6105" t="s">
        <v>5876</v>
      </c>
    </row>
    <row r="6106" spans="1:12" x14ac:dyDescent="0.35">
      <c r="A6106" t="s">
        <v>3115</v>
      </c>
      <c r="B6106" s="1">
        <v>45737</v>
      </c>
      <c r="C6106" t="s">
        <v>9731</v>
      </c>
      <c r="D6106" t="s">
        <v>5050</v>
      </c>
      <c r="E6106" t="s">
        <v>9732</v>
      </c>
      <c r="F6106" t="s">
        <v>6802</v>
      </c>
      <c r="H6106" t="s">
        <v>5051</v>
      </c>
      <c r="K6106">
        <v>24928</v>
      </c>
      <c r="L6106" t="s">
        <v>6803</v>
      </c>
    </row>
    <row r="6107" spans="1:12" x14ac:dyDescent="0.35">
      <c r="A6107" t="s">
        <v>3115</v>
      </c>
      <c r="B6107" s="1">
        <v>45737</v>
      </c>
      <c r="C6107" t="s">
        <v>9731</v>
      </c>
      <c r="D6107" t="s">
        <v>5050</v>
      </c>
      <c r="E6107" t="s">
        <v>9732</v>
      </c>
      <c r="F6107" t="s">
        <v>8537</v>
      </c>
      <c r="G6107" t="s">
        <v>8538</v>
      </c>
      <c r="H6107" t="s">
        <v>5051</v>
      </c>
      <c r="J6107">
        <v>24928</v>
      </c>
      <c r="L6107" t="s">
        <v>5875</v>
      </c>
    </row>
    <row r="6108" spans="1:12" x14ac:dyDescent="0.35">
      <c r="A6108" t="s">
        <v>3115</v>
      </c>
      <c r="B6108" s="1">
        <v>45738</v>
      </c>
      <c r="C6108" t="s">
        <v>7457</v>
      </c>
      <c r="D6108" t="s">
        <v>5052</v>
      </c>
      <c r="E6108" t="s">
        <v>9733</v>
      </c>
      <c r="F6108" t="s">
        <v>6802</v>
      </c>
      <c r="H6108" t="s">
        <v>5053</v>
      </c>
      <c r="K6108">
        <v>656</v>
      </c>
      <c r="L6108" t="s">
        <v>6803</v>
      </c>
    </row>
    <row r="6109" spans="1:12" x14ac:dyDescent="0.35">
      <c r="A6109" t="s">
        <v>3115</v>
      </c>
      <c r="B6109" s="1">
        <v>45738</v>
      </c>
      <c r="C6109" t="s">
        <v>7457</v>
      </c>
      <c r="D6109" t="s">
        <v>5052</v>
      </c>
      <c r="E6109" t="s">
        <v>9733</v>
      </c>
      <c r="F6109" t="s">
        <v>8537</v>
      </c>
      <c r="G6109" t="s">
        <v>8538</v>
      </c>
      <c r="H6109" t="s">
        <v>5053</v>
      </c>
      <c r="J6109">
        <v>656</v>
      </c>
      <c r="L6109" t="s">
        <v>5875</v>
      </c>
    </row>
    <row r="6110" spans="1:12" x14ac:dyDescent="0.35">
      <c r="A6110" t="s">
        <v>3115</v>
      </c>
      <c r="B6110" s="1">
        <v>45738</v>
      </c>
      <c r="C6110" t="s">
        <v>7458</v>
      </c>
      <c r="D6110" t="s">
        <v>5054</v>
      </c>
      <c r="E6110" t="s">
        <v>9734</v>
      </c>
      <c r="F6110" t="s">
        <v>6808</v>
      </c>
      <c r="H6110" t="s">
        <v>5055</v>
      </c>
      <c r="K6110">
        <v>1649</v>
      </c>
      <c r="L6110" t="s">
        <v>6803</v>
      </c>
    </row>
    <row r="6111" spans="1:12" x14ac:dyDescent="0.35">
      <c r="A6111" t="s">
        <v>3115</v>
      </c>
      <c r="B6111" s="1">
        <v>45738</v>
      </c>
      <c r="C6111" t="s">
        <v>7458</v>
      </c>
      <c r="D6111" t="s">
        <v>5054</v>
      </c>
      <c r="E6111" t="s">
        <v>9734</v>
      </c>
      <c r="F6111" t="s">
        <v>8467</v>
      </c>
      <c r="G6111" t="s">
        <v>8567</v>
      </c>
      <c r="H6111" t="s">
        <v>5055</v>
      </c>
      <c r="J6111">
        <v>1649</v>
      </c>
      <c r="L6111" t="s">
        <v>6010</v>
      </c>
    </row>
    <row r="6112" spans="1:12" x14ac:dyDescent="0.35">
      <c r="A6112" t="s">
        <v>3115</v>
      </c>
      <c r="B6112" s="1">
        <v>45740</v>
      </c>
      <c r="C6112" t="s">
        <v>7561</v>
      </c>
      <c r="D6112" t="s">
        <v>5056</v>
      </c>
      <c r="E6112" t="s">
        <v>9735</v>
      </c>
      <c r="F6112" t="s">
        <v>6811</v>
      </c>
      <c r="H6112" t="s">
        <v>5057</v>
      </c>
      <c r="K6112">
        <v>900</v>
      </c>
      <c r="L6112" t="s">
        <v>6803</v>
      </c>
    </row>
    <row r="6113" spans="1:12" x14ac:dyDescent="0.35">
      <c r="A6113" t="s">
        <v>3115</v>
      </c>
      <c r="B6113" s="1">
        <v>45740</v>
      </c>
      <c r="C6113" t="s">
        <v>7561</v>
      </c>
      <c r="D6113" t="s">
        <v>5056</v>
      </c>
      <c r="E6113" t="s">
        <v>9735</v>
      </c>
      <c r="F6113" t="s">
        <v>6802</v>
      </c>
      <c r="H6113" t="s">
        <v>5057</v>
      </c>
      <c r="K6113">
        <v>300</v>
      </c>
      <c r="L6113" t="s">
        <v>6803</v>
      </c>
    </row>
    <row r="6114" spans="1:12" x14ac:dyDescent="0.35">
      <c r="A6114" t="s">
        <v>3115</v>
      </c>
      <c r="B6114" s="1">
        <v>45740</v>
      </c>
      <c r="C6114" t="s">
        <v>7561</v>
      </c>
      <c r="D6114" t="s">
        <v>5056</v>
      </c>
      <c r="E6114" t="s">
        <v>9735</v>
      </c>
      <c r="F6114" t="s">
        <v>8557</v>
      </c>
      <c r="G6114" t="s">
        <v>8558</v>
      </c>
      <c r="H6114" t="s">
        <v>5057</v>
      </c>
      <c r="J6114">
        <v>1200</v>
      </c>
      <c r="L6114" t="s">
        <v>5966</v>
      </c>
    </row>
    <row r="6115" spans="1:12" x14ac:dyDescent="0.35">
      <c r="A6115" t="s">
        <v>3115</v>
      </c>
      <c r="B6115" s="1">
        <v>45740</v>
      </c>
      <c r="C6115" t="s">
        <v>7564</v>
      </c>
      <c r="D6115" t="s">
        <v>5058</v>
      </c>
      <c r="E6115" t="s">
        <v>9736</v>
      </c>
      <c r="F6115" t="s">
        <v>6811</v>
      </c>
      <c r="H6115" t="s">
        <v>5059</v>
      </c>
      <c r="K6115">
        <v>98</v>
      </c>
      <c r="L6115" t="s">
        <v>6803</v>
      </c>
    </row>
    <row r="6116" spans="1:12" x14ac:dyDescent="0.35">
      <c r="A6116" t="s">
        <v>3115</v>
      </c>
      <c r="B6116" s="1">
        <v>45740</v>
      </c>
      <c r="C6116" t="s">
        <v>7564</v>
      </c>
      <c r="D6116" t="s">
        <v>5058</v>
      </c>
      <c r="E6116" t="s">
        <v>9736</v>
      </c>
      <c r="F6116" t="s">
        <v>6802</v>
      </c>
      <c r="H6116" t="s">
        <v>5059</v>
      </c>
      <c r="K6116">
        <v>2506</v>
      </c>
      <c r="L6116" t="s">
        <v>6803</v>
      </c>
    </row>
    <row r="6117" spans="1:12" x14ac:dyDescent="0.35">
      <c r="A6117" t="s">
        <v>3115</v>
      </c>
      <c r="B6117" s="1">
        <v>45740</v>
      </c>
      <c r="C6117" t="s">
        <v>7564</v>
      </c>
      <c r="D6117" t="s">
        <v>5058</v>
      </c>
      <c r="E6117" t="s">
        <v>9736</v>
      </c>
      <c r="F6117" t="s">
        <v>8557</v>
      </c>
      <c r="G6117" t="s">
        <v>8558</v>
      </c>
      <c r="H6117" t="s">
        <v>5059</v>
      </c>
      <c r="J6117">
        <v>2604</v>
      </c>
      <c r="L6117" t="s">
        <v>6010</v>
      </c>
    </row>
    <row r="6118" spans="1:12" x14ac:dyDescent="0.35">
      <c r="A6118" t="s">
        <v>3115</v>
      </c>
      <c r="B6118" s="1">
        <v>45740</v>
      </c>
      <c r="C6118" t="s">
        <v>7333</v>
      </c>
      <c r="D6118" t="s">
        <v>5060</v>
      </c>
      <c r="E6118" t="s">
        <v>9737</v>
      </c>
      <c r="F6118" t="s">
        <v>6811</v>
      </c>
      <c r="H6118" t="s">
        <v>5061</v>
      </c>
      <c r="K6118">
        <v>904</v>
      </c>
      <c r="L6118" t="s">
        <v>6803</v>
      </c>
    </row>
    <row r="6119" spans="1:12" x14ac:dyDescent="0.35">
      <c r="A6119" t="s">
        <v>3115</v>
      </c>
      <c r="B6119" s="1">
        <v>45740</v>
      </c>
      <c r="C6119" t="s">
        <v>7333</v>
      </c>
      <c r="D6119" t="s">
        <v>5060</v>
      </c>
      <c r="E6119" t="s">
        <v>9737</v>
      </c>
      <c r="F6119" t="s">
        <v>8557</v>
      </c>
      <c r="G6119" t="s">
        <v>8558</v>
      </c>
      <c r="H6119" t="s">
        <v>5061</v>
      </c>
      <c r="J6119">
        <v>904</v>
      </c>
      <c r="L6119" t="s">
        <v>5966</v>
      </c>
    </row>
    <row r="6120" spans="1:12" x14ac:dyDescent="0.35">
      <c r="A6120" t="s">
        <v>3115</v>
      </c>
      <c r="B6120" s="1">
        <v>45740</v>
      </c>
      <c r="C6120" t="s">
        <v>7336</v>
      </c>
      <c r="D6120" t="s">
        <v>5062</v>
      </c>
      <c r="E6120" t="s">
        <v>9738</v>
      </c>
      <c r="F6120" t="s">
        <v>6811</v>
      </c>
      <c r="H6120" t="s">
        <v>5063</v>
      </c>
      <c r="K6120">
        <v>300</v>
      </c>
      <c r="L6120" t="s">
        <v>6803</v>
      </c>
    </row>
    <row r="6121" spans="1:12" x14ac:dyDescent="0.35">
      <c r="A6121" t="s">
        <v>3115</v>
      </c>
      <c r="B6121" s="1">
        <v>45740</v>
      </c>
      <c r="C6121" t="s">
        <v>7336</v>
      </c>
      <c r="D6121" t="s">
        <v>5062</v>
      </c>
      <c r="E6121" t="s">
        <v>9738</v>
      </c>
      <c r="F6121" t="s">
        <v>8557</v>
      </c>
      <c r="G6121" t="s">
        <v>8558</v>
      </c>
      <c r="H6121" t="s">
        <v>5063</v>
      </c>
      <c r="J6121">
        <v>300</v>
      </c>
      <c r="L6121" t="s">
        <v>5966</v>
      </c>
    </row>
    <row r="6122" spans="1:12" x14ac:dyDescent="0.35">
      <c r="A6122" t="s">
        <v>3115</v>
      </c>
      <c r="B6122" s="1">
        <v>45740</v>
      </c>
      <c r="C6122" t="s">
        <v>7337</v>
      </c>
      <c r="D6122" t="s">
        <v>5064</v>
      </c>
      <c r="E6122" t="s">
        <v>9739</v>
      </c>
      <c r="F6122" t="s">
        <v>6802</v>
      </c>
      <c r="H6122" t="s">
        <v>5065</v>
      </c>
      <c r="K6122">
        <v>10039</v>
      </c>
      <c r="L6122" t="s">
        <v>6803</v>
      </c>
    </row>
    <row r="6123" spans="1:12" x14ac:dyDescent="0.35">
      <c r="A6123" t="s">
        <v>3115</v>
      </c>
      <c r="B6123" s="1">
        <v>45740</v>
      </c>
      <c r="C6123" t="s">
        <v>7337</v>
      </c>
      <c r="D6123" t="s">
        <v>5064</v>
      </c>
      <c r="E6123" t="s">
        <v>9739</v>
      </c>
      <c r="F6123" t="s">
        <v>8557</v>
      </c>
      <c r="G6123" t="s">
        <v>8558</v>
      </c>
      <c r="H6123" t="s">
        <v>5065</v>
      </c>
      <c r="J6123">
        <v>10039</v>
      </c>
      <c r="L6123" t="s">
        <v>5875</v>
      </c>
    </row>
    <row r="6124" spans="1:12" x14ac:dyDescent="0.35">
      <c r="A6124" t="s">
        <v>3115</v>
      </c>
      <c r="B6124" s="1">
        <v>45740</v>
      </c>
      <c r="C6124" t="s">
        <v>7340</v>
      </c>
      <c r="D6124" t="s">
        <v>5066</v>
      </c>
      <c r="E6124" t="s">
        <v>9740</v>
      </c>
      <c r="F6124" t="s">
        <v>6802</v>
      </c>
      <c r="H6124" t="s">
        <v>5067</v>
      </c>
      <c r="K6124">
        <v>4560</v>
      </c>
      <c r="L6124" t="s">
        <v>6803</v>
      </c>
    </row>
    <row r="6125" spans="1:12" x14ac:dyDescent="0.35">
      <c r="A6125" t="s">
        <v>3115</v>
      </c>
      <c r="B6125" s="1">
        <v>45740</v>
      </c>
      <c r="C6125" t="s">
        <v>7340</v>
      </c>
      <c r="D6125" t="s">
        <v>5066</v>
      </c>
      <c r="E6125" t="s">
        <v>9740</v>
      </c>
      <c r="F6125" t="s">
        <v>8557</v>
      </c>
      <c r="G6125" t="s">
        <v>8558</v>
      </c>
      <c r="H6125" t="s">
        <v>5067</v>
      </c>
      <c r="J6125">
        <v>4560</v>
      </c>
      <c r="L6125" t="s">
        <v>5949</v>
      </c>
    </row>
    <row r="6126" spans="1:12" x14ac:dyDescent="0.35">
      <c r="A6126" t="s">
        <v>3115</v>
      </c>
      <c r="B6126" s="1">
        <v>45740</v>
      </c>
      <c r="C6126" t="s">
        <v>7341</v>
      </c>
      <c r="D6126" t="s">
        <v>5068</v>
      </c>
      <c r="E6126" t="s">
        <v>9741</v>
      </c>
      <c r="F6126" t="s">
        <v>6802</v>
      </c>
      <c r="H6126" t="s">
        <v>5069</v>
      </c>
      <c r="K6126">
        <v>14400</v>
      </c>
      <c r="L6126" t="s">
        <v>6803</v>
      </c>
    </row>
    <row r="6127" spans="1:12" x14ac:dyDescent="0.35">
      <c r="A6127" t="s">
        <v>3115</v>
      </c>
      <c r="B6127" s="1">
        <v>45740</v>
      </c>
      <c r="C6127" t="s">
        <v>7341</v>
      </c>
      <c r="D6127" t="s">
        <v>5068</v>
      </c>
      <c r="E6127" t="s">
        <v>9741</v>
      </c>
      <c r="F6127" t="s">
        <v>8557</v>
      </c>
      <c r="G6127" t="s">
        <v>8558</v>
      </c>
      <c r="H6127" t="s">
        <v>5069</v>
      </c>
      <c r="J6127">
        <v>14400</v>
      </c>
      <c r="L6127" t="s">
        <v>5880</v>
      </c>
    </row>
    <row r="6128" spans="1:12" x14ac:dyDescent="0.35">
      <c r="A6128" t="s">
        <v>3115</v>
      </c>
      <c r="B6128" s="1">
        <v>45740</v>
      </c>
      <c r="C6128" t="s">
        <v>7342</v>
      </c>
      <c r="D6128" t="s">
        <v>5070</v>
      </c>
      <c r="E6128" t="s">
        <v>9742</v>
      </c>
      <c r="F6128" t="s">
        <v>6811</v>
      </c>
      <c r="H6128" t="s">
        <v>5071</v>
      </c>
      <c r="K6128">
        <v>300</v>
      </c>
      <c r="L6128" t="s">
        <v>6803</v>
      </c>
    </row>
    <row r="6129" spans="1:12" x14ac:dyDescent="0.35">
      <c r="A6129" t="s">
        <v>3115</v>
      </c>
      <c r="B6129" s="1">
        <v>45740</v>
      </c>
      <c r="C6129" t="s">
        <v>7342</v>
      </c>
      <c r="D6129" t="s">
        <v>5070</v>
      </c>
      <c r="E6129" t="s">
        <v>9742</v>
      </c>
      <c r="F6129" t="s">
        <v>8557</v>
      </c>
      <c r="G6129" t="s">
        <v>8558</v>
      </c>
      <c r="H6129" t="s">
        <v>5071</v>
      </c>
      <c r="J6129">
        <v>300</v>
      </c>
      <c r="L6129" t="s">
        <v>6010</v>
      </c>
    </row>
    <row r="6130" spans="1:12" x14ac:dyDescent="0.35">
      <c r="A6130" t="s">
        <v>3115</v>
      </c>
      <c r="B6130" s="1">
        <v>45740</v>
      </c>
      <c r="C6130" t="s">
        <v>7344</v>
      </c>
      <c r="D6130" t="s">
        <v>5072</v>
      </c>
      <c r="E6130" t="s">
        <v>9743</v>
      </c>
      <c r="F6130" t="s">
        <v>6811</v>
      </c>
      <c r="H6130" t="s">
        <v>5073</v>
      </c>
      <c r="K6130">
        <v>108000</v>
      </c>
      <c r="L6130" t="s">
        <v>6803</v>
      </c>
    </row>
    <row r="6131" spans="1:12" x14ac:dyDescent="0.35">
      <c r="A6131" t="s">
        <v>3115</v>
      </c>
      <c r="B6131" s="1">
        <v>45740</v>
      </c>
      <c r="C6131" t="s">
        <v>7344</v>
      </c>
      <c r="D6131" t="s">
        <v>5072</v>
      </c>
      <c r="E6131" t="s">
        <v>9743</v>
      </c>
      <c r="F6131" t="s">
        <v>8557</v>
      </c>
      <c r="G6131" t="s">
        <v>8558</v>
      </c>
      <c r="H6131" t="s">
        <v>5073</v>
      </c>
      <c r="J6131">
        <v>108000</v>
      </c>
      <c r="L6131" t="s">
        <v>5874</v>
      </c>
    </row>
    <row r="6132" spans="1:12" x14ac:dyDescent="0.35">
      <c r="A6132" t="s">
        <v>3115</v>
      </c>
      <c r="B6132" s="1">
        <v>45740</v>
      </c>
      <c r="C6132" t="s">
        <v>7346</v>
      </c>
      <c r="D6132" t="s">
        <v>5074</v>
      </c>
      <c r="E6132" t="s">
        <v>9744</v>
      </c>
      <c r="F6132" t="s">
        <v>6811</v>
      </c>
      <c r="H6132" t="s">
        <v>5075</v>
      </c>
      <c r="K6132">
        <v>140000</v>
      </c>
      <c r="L6132" t="s">
        <v>6803</v>
      </c>
    </row>
    <row r="6133" spans="1:12" x14ac:dyDescent="0.35">
      <c r="A6133" t="s">
        <v>3115</v>
      </c>
      <c r="B6133" s="1">
        <v>45740</v>
      </c>
      <c r="C6133" t="s">
        <v>7346</v>
      </c>
      <c r="D6133" t="s">
        <v>5074</v>
      </c>
      <c r="E6133" t="s">
        <v>9744</v>
      </c>
      <c r="F6133" t="s">
        <v>8557</v>
      </c>
      <c r="G6133" t="s">
        <v>8558</v>
      </c>
      <c r="H6133" t="s">
        <v>5075</v>
      </c>
      <c r="J6133">
        <v>140000</v>
      </c>
      <c r="L6133" t="s">
        <v>5949</v>
      </c>
    </row>
    <row r="6134" spans="1:12" x14ac:dyDescent="0.35">
      <c r="A6134" t="s">
        <v>3115</v>
      </c>
      <c r="B6134" s="1">
        <v>45740</v>
      </c>
      <c r="C6134" t="s">
        <v>7349</v>
      </c>
      <c r="D6134" t="s">
        <v>5076</v>
      </c>
      <c r="E6134" t="s">
        <v>9745</v>
      </c>
      <c r="F6134" t="s">
        <v>6811</v>
      </c>
      <c r="H6134" t="s">
        <v>5077</v>
      </c>
      <c r="K6134">
        <v>112000</v>
      </c>
      <c r="L6134" t="s">
        <v>6803</v>
      </c>
    </row>
    <row r="6135" spans="1:12" x14ac:dyDescent="0.35">
      <c r="A6135" t="s">
        <v>3115</v>
      </c>
      <c r="B6135" s="1">
        <v>45740</v>
      </c>
      <c r="C6135" t="s">
        <v>7349</v>
      </c>
      <c r="D6135" t="s">
        <v>5076</v>
      </c>
      <c r="E6135" t="s">
        <v>9745</v>
      </c>
      <c r="F6135" t="s">
        <v>8557</v>
      </c>
      <c r="G6135" t="s">
        <v>8558</v>
      </c>
      <c r="H6135" t="s">
        <v>5077</v>
      </c>
      <c r="J6135">
        <v>112000</v>
      </c>
      <c r="L6135" t="s">
        <v>5949</v>
      </c>
    </row>
    <row r="6136" spans="1:12" x14ac:dyDescent="0.35">
      <c r="A6136" t="s">
        <v>3115</v>
      </c>
      <c r="B6136" s="1">
        <v>45740</v>
      </c>
      <c r="C6136" t="s">
        <v>7352</v>
      </c>
      <c r="D6136" t="s">
        <v>5078</v>
      </c>
      <c r="E6136" t="s">
        <v>9746</v>
      </c>
      <c r="F6136" t="s">
        <v>6802</v>
      </c>
      <c r="H6136" t="s">
        <v>5079</v>
      </c>
      <c r="K6136">
        <v>6356</v>
      </c>
      <c r="L6136" t="s">
        <v>6803</v>
      </c>
    </row>
    <row r="6137" spans="1:12" x14ac:dyDescent="0.35">
      <c r="A6137" t="s">
        <v>3115</v>
      </c>
      <c r="B6137" s="1">
        <v>45740</v>
      </c>
      <c r="C6137" t="s">
        <v>7352</v>
      </c>
      <c r="D6137" t="s">
        <v>5078</v>
      </c>
      <c r="E6137" t="s">
        <v>9746</v>
      </c>
      <c r="F6137" t="s">
        <v>8467</v>
      </c>
      <c r="G6137" t="s">
        <v>8567</v>
      </c>
      <c r="H6137" t="s">
        <v>5079</v>
      </c>
      <c r="J6137">
        <v>6356</v>
      </c>
      <c r="L6137" t="s">
        <v>6010</v>
      </c>
    </row>
    <row r="6138" spans="1:12" x14ac:dyDescent="0.35">
      <c r="A6138" t="s">
        <v>3115</v>
      </c>
      <c r="B6138" s="1">
        <v>45740</v>
      </c>
      <c r="C6138" t="s">
        <v>7353</v>
      </c>
      <c r="D6138" t="s">
        <v>5080</v>
      </c>
      <c r="E6138" t="s">
        <v>9747</v>
      </c>
      <c r="F6138" t="s">
        <v>6802</v>
      </c>
      <c r="H6138" t="s">
        <v>5081</v>
      </c>
      <c r="K6138">
        <v>35000</v>
      </c>
      <c r="L6138" t="s">
        <v>6803</v>
      </c>
    </row>
    <row r="6139" spans="1:12" x14ac:dyDescent="0.35">
      <c r="A6139" t="s">
        <v>3115</v>
      </c>
      <c r="B6139" s="1">
        <v>45740</v>
      </c>
      <c r="C6139" t="s">
        <v>7353</v>
      </c>
      <c r="D6139" t="s">
        <v>5080</v>
      </c>
      <c r="E6139" t="s">
        <v>9747</v>
      </c>
      <c r="F6139" t="s">
        <v>8557</v>
      </c>
      <c r="G6139" t="s">
        <v>8558</v>
      </c>
      <c r="H6139" t="s">
        <v>5081</v>
      </c>
      <c r="J6139">
        <v>35000</v>
      </c>
      <c r="L6139" t="s">
        <v>5881</v>
      </c>
    </row>
    <row r="6140" spans="1:12" x14ac:dyDescent="0.35">
      <c r="A6140" t="s">
        <v>3115</v>
      </c>
      <c r="B6140" s="1">
        <v>45740</v>
      </c>
      <c r="C6140" t="s">
        <v>7356</v>
      </c>
      <c r="D6140" t="s">
        <v>5082</v>
      </c>
      <c r="E6140" t="s">
        <v>9372</v>
      </c>
      <c r="F6140" t="s">
        <v>6811</v>
      </c>
      <c r="H6140" t="s">
        <v>5083</v>
      </c>
      <c r="K6140">
        <v>103500</v>
      </c>
      <c r="L6140" t="s">
        <v>6803</v>
      </c>
    </row>
    <row r="6141" spans="1:12" x14ac:dyDescent="0.35">
      <c r="A6141" t="s">
        <v>3115</v>
      </c>
      <c r="B6141" s="1">
        <v>45740</v>
      </c>
      <c r="C6141" t="s">
        <v>7356</v>
      </c>
      <c r="D6141" t="s">
        <v>5082</v>
      </c>
      <c r="E6141" t="s">
        <v>9372</v>
      </c>
      <c r="F6141" t="s">
        <v>8557</v>
      </c>
      <c r="G6141" t="s">
        <v>8558</v>
      </c>
      <c r="H6141" t="s">
        <v>5083</v>
      </c>
      <c r="J6141">
        <v>103500</v>
      </c>
      <c r="L6141" t="s">
        <v>5874</v>
      </c>
    </row>
    <row r="6142" spans="1:12" x14ac:dyDescent="0.35">
      <c r="A6142" t="s">
        <v>3115</v>
      </c>
      <c r="B6142" s="1">
        <v>45740</v>
      </c>
      <c r="C6142" t="s">
        <v>7359</v>
      </c>
      <c r="D6142" t="s">
        <v>5084</v>
      </c>
      <c r="E6142" t="s">
        <v>9748</v>
      </c>
      <c r="F6142" t="s">
        <v>6915</v>
      </c>
      <c r="H6142" t="s">
        <v>5085</v>
      </c>
      <c r="K6142">
        <v>162500</v>
      </c>
      <c r="L6142" t="s">
        <v>6803</v>
      </c>
    </row>
    <row r="6143" spans="1:12" x14ac:dyDescent="0.35">
      <c r="A6143" t="s">
        <v>3115</v>
      </c>
      <c r="B6143" s="1">
        <v>45740</v>
      </c>
      <c r="C6143" t="s">
        <v>7359</v>
      </c>
      <c r="D6143" t="s">
        <v>5084</v>
      </c>
      <c r="E6143" t="s">
        <v>9748</v>
      </c>
      <c r="F6143" t="s">
        <v>8569</v>
      </c>
      <c r="G6143" t="s">
        <v>8570</v>
      </c>
      <c r="H6143" t="s">
        <v>5085</v>
      </c>
      <c r="J6143">
        <v>162500</v>
      </c>
      <c r="L6143" t="s">
        <v>5946</v>
      </c>
    </row>
    <row r="6144" spans="1:12" x14ac:dyDescent="0.35">
      <c r="A6144" t="s">
        <v>3115</v>
      </c>
      <c r="B6144" s="1">
        <v>45740</v>
      </c>
      <c r="C6144" t="s">
        <v>7361</v>
      </c>
      <c r="D6144" t="s">
        <v>5086</v>
      </c>
      <c r="E6144" t="s">
        <v>9262</v>
      </c>
      <c r="F6144" t="s">
        <v>6811</v>
      </c>
      <c r="H6144" t="s">
        <v>5087</v>
      </c>
      <c r="K6144">
        <v>33750</v>
      </c>
      <c r="L6144" t="s">
        <v>6803</v>
      </c>
    </row>
    <row r="6145" spans="1:12" x14ac:dyDescent="0.35">
      <c r="A6145" t="s">
        <v>3115</v>
      </c>
      <c r="B6145" s="1">
        <v>45740</v>
      </c>
      <c r="C6145" t="s">
        <v>7361</v>
      </c>
      <c r="D6145" t="s">
        <v>5086</v>
      </c>
      <c r="E6145" t="s">
        <v>9262</v>
      </c>
      <c r="F6145" t="s">
        <v>8557</v>
      </c>
      <c r="G6145" t="s">
        <v>8558</v>
      </c>
      <c r="H6145" t="s">
        <v>5087</v>
      </c>
      <c r="J6145">
        <v>33750</v>
      </c>
      <c r="L6145" t="s">
        <v>5881</v>
      </c>
    </row>
    <row r="6146" spans="1:12" x14ac:dyDescent="0.35">
      <c r="A6146" t="s">
        <v>3115</v>
      </c>
      <c r="B6146" s="1">
        <v>45740</v>
      </c>
      <c r="C6146" t="s">
        <v>7362</v>
      </c>
      <c r="D6146" t="s">
        <v>5088</v>
      </c>
      <c r="E6146" t="s">
        <v>9749</v>
      </c>
      <c r="F6146" t="s">
        <v>6915</v>
      </c>
      <c r="H6146" t="s">
        <v>5089</v>
      </c>
      <c r="K6146">
        <v>65000</v>
      </c>
      <c r="L6146" t="s">
        <v>6803</v>
      </c>
    </row>
    <row r="6147" spans="1:12" x14ac:dyDescent="0.35">
      <c r="A6147" t="s">
        <v>3115</v>
      </c>
      <c r="B6147" s="1">
        <v>45740</v>
      </c>
      <c r="C6147" t="s">
        <v>7362</v>
      </c>
      <c r="D6147" t="s">
        <v>5088</v>
      </c>
      <c r="E6147" t="s">
        <v>9749</v>
      </c>
      <c r="F6147" t="s">
        <v>8569</v>
      </c>
      <c r="G6147" t="s">
        <v>8570</v>
      </c>
      <c r="H6147" t="s">
        <v>5089</v>
      </c>
      <c r="J6147">
        <v>65000</v>
      </c>
      <c r="L6147" t="s">
        <v>5881</v>
      </c>
    </row>
    <row r="6148" spans="1:12" x14ac:dyDescent="0.35">
      <c r="A6148" t="s">
        <v>3115</v>
      </c>
      <c r="B6148" s="1">
        <v>45740</v>
      </c>
      <c r="C6148" t="s">
        <v>7364</v>
      </c>
      <c r="D6148" t="s">
        <v>5090</v>
      </c>
      <c r="E6148" t="s">
        <v>9750</v>
      </c>
      <c r="F6148" t="s">
        <v>6811</v>
      </c>
      <c r="H6148" t="s">
        <v>5091</v>
      </c>
      <c r="K6148">
        <v>15329</v>
      </c>
      <c r="L6148" t="s">
        <v>6803</v>
      </c>
    </row>
    <row r="6149" spans="1:12" x14ac:dyDescent="0.35">
      <c r="A6149" t="s">
        <v>3115</v>
      </c>
      <c r="B6149" s="1">
        <v>45740</v>
      </c>
      <c r="C6149" t="s">
        <v>7364</v>
      </c>
      <c r="D6149" t="s">
        <v>5090</v>
      </c>
      <c r="E6149" t="s">
        <v>9750</v>
      </c>
      <c r="F6149" t="s">
        <v>8557</v>
      </c>
      <c r="G6149" t="s">
        <v>8558</v>
      </c>
      <c r="H6149" t="s">
        <v>5091</v>
      </c>
      <c r="J6149">
        <v>15329</v>
      </c>
      <c r="L6149" t="s">
        <v>5949</v>
      </c>
    </row>
    <row r="6150" spans="1:12" x14ac:dyDescent="0.35">
      <c r="A6150" t="s">
        <v>3115</v>
      </c>
      <c r="B6150" s="1">
        <v>45740</v>
      </c>
      <c r="C6150" t="s">
        <v>7365</v>
      </c>
      <c r="D6150" t="s">
        <v>5092</v>
      </c>
      <c r="E6150" t="s">
        <v>9751</v>
      </c>
      <c r="F6150" t="s">
        <v>6915</v>
      </c>
      <c r="H6150" t="s">
        <v>5093</v>
      </c>
      <c r="K6150">
        <v>120400</v>
      </c>
      <c r="L6150" t="s">
        <v>6803</v>
      </c>
    </row>
    <row r="6151" spans="1:12" x14ac:dyDescent="0.35">
      <c r="A6151" t="s">
        <v>3115</v>
      </c>
      <c r="B6151" s="1">
        <v>45740</v>
      </c>
      <c r="C6151" t="s">
        <v>7365</v>
      </c>
      <c r="D6151" t="s">
        <v>5092</v>
      </c>
      <c r="E6151" t="s">
        <v>9751</v>
      </c>
      <c r="F6151" t="s">
        <v>8569</v>
      </c>
      <c r="G6151" t="s">
        <v>8570</v>
      </c>
      <c r="H6151" t="s">
        <v>5093</v>
      </c>
      <c r="J6151">
        <v>120400</v>
      </c>
      <c r="L6151" t="s">
        <v>5876</v>
      </c>
    </row>
    <row r="6152" spans="1:12" x14ac:dyDescent="0.35">
      <c r="A6152" t="s">
        <v>3115</v>
      </c>
      <c r="B6152" s="1">
        <v>45740</v>
      </c>
      <c r="C6152" t="s">
        <v>7366</v>
      </c>
      <c r="D6152" t="s">
        <v>5094</v>
      </c>
      <c r="E6152" t="s">
        <v>9752</v>
      </c>
      <c r="F6152" t="s">
        <v>6811</v>
      </c>
      <c r="H6152" t="s">
        <v>5095</v>
      </c>
      <c r="K6152">
        <v>1500</v>
      </c>
      <c r="L6152" t="s">
        <v>6803</v>
      </c>
    </row>
    <row r="6153" spans="1:12" x14ac:dyDescent="0.35">
      <c r="A6153" t="s">
        <v>3115</v>
      </c>
      <c r="B6153" s="1">
        <v>45740</v>
      </c>
      <c r="C6153" t="s">
        <v>7366</v>
      </c>
      <c r="D6153" t="s">
        <v>5094</v>
      </c>
      <c r="E6153" t="s">
        <v>9752</v>
      </c>
      <c r="F6153" t="s">
        <v>8557</v>
      </c>
      <c r="G6153" t="s">
        <v>8558</v>
      </c>
      <c r="H6153" t="s">
        <v>5095</v>
      </c>
      <c r="J6153">
        <v>1500</v>
      </c>
      <c r="L6153" t="s">
        <v>5880</v>
      </c>
    </row>
    <row r="6154" spans="1:12" x14ac:dyDescent="0.35">
      <c r="A6154" t="s">
        <v>3115</v>
      </c>
      <c r="B6154" s="1">
        <v>45740</v>
      </c>
      <c r="C6154" t="s">
        <v>7368</v>
      </c>
      <c r="D6154" t="s">
        <v>5096</v>
      </c>
      <c r="E6154" t="s">
        <v>9753</v>
      </c>
      <c r="F6154" t="s">
        <v>6811</v>
      </c>
      <c r="H6154" t="s">
        <v>5097</v>
      </c>
      <c r="K6154">
        <v>85000</v>
      </c>
      <c r="L6154" t="s">
        <v>6803</v>
      </c>
    </row>
    <row r="6155" spans="1:12" x14ac:dyDescent="0.35">
      <c r="A6155" t="s">
        <v>3115</v>
      </c>
      <c r="B6155" s="1">
        <v>45740</v>
      </c>
      <c r="C6155" t="s">
        <v>7368</v>
      </c>
      <c r="D6155" t="s">
        <v>5096</v>
      </c>
      <c r="E6155" t="s">
        <v>9753</v>
      </c>
      <c r="F6155" t="s">
        <v>8557</v>
      </c>
      <c r="G6155" t="s">
        <v>8558</v>
      </c>
      <c r="H6155" t="s">
        <v>5097</v>
      </c>
      <c r="J6155">
        <v>85000</v>
      </c>
      <c r="L6155" t="s">
        <v>5949</v>
      </c>
    </row>
    <row r="6156" spans="1:12" x14ac:dyDescent="0.35">
      <c r="A6156" t="s">
        <v>3115</v>
      </c>
      <c r="B6156" s="1">
        <v>45740</v>
      </c>
      <c r="C6156" t="s">
        <v>7371</v>
      </c>
      <c r="D6156" t="s">
        <v>5098</v>
      </c>
      <c r="E6156" t="s">
        <v>9754</v>
      </c>
      <c r="F6156" t="s">
        <v>6802</v>
      </c>
      <c r="H6156" t="s">
        <v>5099</v>
      </c>
      <c r="K6156">
        <v>2327</v>
      </c>
      <c r="L6156" t="s">
        <v>6803</v>
      </c>
    </row>
    <row r="6157" spans="1:12" x14ac:dyDescent="0.35">
      <c r="A6157" t="s">
        <v>3115</v>
      </c>
      <c r="B6157" s="1">
        <v>45740</v>
      </c>
      <c r="C6157" t="s">
        <v>7371</v>
      </c>
      <c r="D6157" t="s">
        <v>5098</v>
      </c>
      <c r="E6157" t="s">
        <v>9754</v>
      </c>
      <c r="F6157" t="s">
        <v>8557</v>
      </c>
      <c r="G6157" t="s">
        <v>8558</v>
      </c>
      <c r="H6157" t="s">
        <v>5099</v>
      </c>
      <c r="J6157">
        <v>2327</v>
      </c>
      <c r="L6157" t="s">
        <v>5874</v>
      </c>
    </row>
    <row r="6158" spans="1:12" x14ac:dyDescent="0.35">
      <c r="A6158" t="s">
        <v>3115</v>
      </c>
      <c r="B6158" s="1">
        <v>45740</v>
      </c>
      <c r="C6158" t="s">
        <v>7373</v>
      </c>
      <c r="D6158" t="s">
        <v>5100</v>
      </c>
      <c r="E6158" t="s">
        <v>9755</v>
      </c>
      <c r="F6158" t="s">
        <v>6915</v>
      </c>
      <c r="H6158" t="s">
        <v>5101</v>
      </c>
      <c r="K6158">
        <v>32500</v>
      </c>
      <c r="L6158" t="s">
        <v>6803</v>
      </c>
    </row>
    <row r="6159" spans="1:12" x14ac:dyDescent="0.35">
      <c r="A6159" t="s">
        <v>3115</v>
      </c>
      <c r="B6159" s="1">
        <v>45740</v>
      </c>
      <c r="C6159" t="s">
        <v>7373</v>
      </c>
      <c r="D6159" t="s">
        <v>5100</v>
      </c>
      <c r="E6159" t="s">
        <v>9755</v>
      </c>
      <c r="F6159" t="s">
        <v>8569</v>
      </c>
      <c r="G6159" t="s">
        <v>8570</v>
      </c>
      <c r="H6159" t="s">
        <v>5101</v>
      </c>
      <c r="J6159">
        <v>32500</v>
      </c>
      <c r="L6159" t="s">
        <v>5881</v>
      </c>
    </row>
    <row r="6160" spans="1:12" x14ac:dyDescent="0.35">
      <c r="A6160" t="s">
        <v>3115</v>
      </c>
      <c r="B6160" s="1">
        <v>45740</v>
      </c>
      <c r="C6160" t="s">
        <v>7375</v>
      </c>
      <c r="D6160" t="s">
        <v>5102</v>
      </c>
      <c r="E6160" t="s">
        <v>9756</v>
      </c>
      <c r="F6160" t="s">
        <v>6802</v>
      </c>
      <c r="H6160" t="s">
        <v>5103</v>
      </c>
      <c r="K6160">
        <v>119975</v>
      </c>
      <c r="L6160" t="s">
        <v>6803</v>
      </c>
    </row>
    <row r="6161" spans="1:12" x14ac:dyDescent="0.35">
      <c r="A6161" t="s">
        <v>3115</v>
      </c>
      <c r="B6161" s="1">
        <v>45740</v>
      </c>
      <c r="C6161" t="s">
        <v>7375</v>
      </c>
      <c r="D6161" t="s">
        <v>5102</v>
      </c>
      <c r="E6161" t="s">
        <v>9756</v>
      </c>
      <c r="F6161" t="s">
        <v>8537</v>
      </c>
      <c r="G6161" t="s">
        <v>8538</v>
      </c>
      <c r="H6161" t="s">
        <v>5103</v>
      </c>
      <c r="J6161">
        <v>119975</v>
      </c>
      <c r="L6161" t="s">
        <v>5966</v>
      </c>
    </row>
    <row r="6162" spans="1:12" x14ac:dyDescent="0.35">
      <c r="A6162" t="s">
        <v>3115</v>
      </c>
      <c r="B6162" s="1">
        <v>45740</v>
      </c>
      <c r="C6162" t="s">
        <v>7377</v>
      </c>
      <c r="D6162" t="s">
        <v>5104</v>
      </c>
      <c r="E6162" t="s">
        <v>9757</v>
      </c>
      <c r="F6162" t="s">
        <v>6802</v>
      </c>
      <c r="H6162" t="s">
        <v>5105</v>
      </c>
      <c r="K6162">
        <v>3178</v>
      </c>
      <c r="L6162" t="s">
        <v>6803</v>
      </c>
    </row>
    <row r="6163" spans="1:12" x14ac:dyDescent="0.35">
      <c r="A6163" t="s">
        <v>3115</v>
      </c>
      <c r="B6163" s="1">
        <v>45740</v>
      </c>
      <c r="C6163" t="s">
        <v>7377</v>
      </c>
      <c r="D6163" t="s">
        <v>5104</v>
      </c>
      <c r="E6163" t="s">
        <v>9757</v>
      </c>
      <c r="F6163" t="s">
        <v>8467</v>
      </c>
      <c r="G6163" t="s">
        <v>8567</v>
      </c>
      <c r="H6163" t="s">
        <v>5105</v>
      </c>
      <c r="J6163">
        <v>3178</v>
      </c>
      <c r="L6163" t="s">
        <v>6010</v>
      </c>
    </row>
    <row r="6164" spans="1:12" x14ac:dyDescent="0.35">
      <c r="A6164" t="s">
        <v>3115</v>
      </c>
      <c r="B6164" s="1">
        <v>45740</v>
      </c>
      <c r="C6164" t="s">
        <v>7379</v>
      </c>
      <c r="D6164" t="s">
        <v>5106</v>
      </c>
      <c r="E6164" t="s">
        <v>9758</v>
      </c>
      <c r="F6164" t="s">
        <v>6802</v>
      </c>
      <c r="H6164" t="s">
        <v>5107</v>
      </c>
      <c r="K6164">
        <v>6954</v>
      </c>
      <c r="L6164" t="s">
        <v>6803</v>
      </c>
    </row>
    <row r="6165" spans="1:12" x14ac:dyDescent="0.35">
      <c r="A6165" t="s">
        <v>3115</v>
      </c>
      <c r="B6165" s="1">
        <v>45740</v>
      </c>
      <c r="C6165" t="s">
        <v>7379</v>
      </c>
      <c r="D6165" t="s">
        <v>5106</v>
      </c>
      <c r="E6165" t="s">
        <v>9758</v>
      </c>
      <c r="F6165" t="s">
        <v>8537</v>
      </c>
      <c r="G6165" t="s">
        <v>8538</v>
      </c>
      <c r="H6165" t="s">
        <v>5107</v>
      </c>
      <c r="J6165">
        <v>6954</v>
      </c>
      <c r="L6165" t="s">
        <v>6010</v>
      </c>
    </row>
    <row r="6166" spans="1:12" x14ac:dyDescent="0.35">
      <c r="A6166" t="s">
        <v>3115</v>
      </c>
      <c r="B6166" s="1">
        <v>45740</v>
      </c>
      <c r="C6166" t="s">
        <v>7381</v>
      </c>
      <c r="D6166" t="s">
        <v>5108</v>
      </c>
      <c r="E6166" t="s">
        <v>9759</v>
      </c>
      <c r="F6166" t="s">
        <v>6802</v>
      </c>
      <c r="H6166" t="s">
        <v>5109</v>
      </c>
      <c r="K6166">
        <v>6954</v>
      </c>
      <c r="L6166" t="s">
        <v>6803</v>
      </c>
    </row>
    <row r="6167" spans="1:12" x14ac:dyDescent="0.35">
      <c r="A6167" t="s">
        <v>3115</v>
      </c>
      <c r="B6167" s="1">
        <v>45740</v>
      </c>
      <c r="C6167" t="s">
        <v>7381</v>
      </c>
      <c r="D6167" t="s">
        <v>5108</v>
      </c>
      <c r="E6167" t="s">
        <v>9759</v>
      </c>
      <c r="F6167" t="s">
        <v>8537</v>
      </c>
      <c r="G6167" t="s">
        <v>8538</v>
      </c>
      <c r="H6167" t="s">
        <v>5109</v>
      </c>
      <c r="J6167">
        <v>6954</v>
      </c>
      <c r="L6167" t="s">
        <v>5876</v>
      </c>
    </row>
    <row r="6168" spans="1:12" x14ac:dyDescent="0.35">
      <c r="A6168" t="s">
        <v>3115</v>
      </c>
      <c r="B6168" s="1">
        <v>45740</v>
      </c>
      <c r="C6168" t="s">
        <v>7383</v>
      </c>
      <c r="D6168" t="s">
        <v>5110</v>
      </c>
      <c r="E6168" t="s">
        <v>9760</v>
      </c>
      <c r="F6168" t="s">
        <v>6802</v>
      </c>
      <c r="H6168" t="s">
        <v>5111</v>
      </c>
      <c r="K6168">
        <v>2100</v>
      </c>
      <c r="L6168" t="s">
        <v>6803</v>
      </c>
    </row>
    <row r="6169" spans="1:12" x14ac:dyDescent="0.35">
      <c r="A6169" t="s">
        <v>3115</v>
      </c>
      <c r="B6169" s="1">
        <v>45740</v>
      </c>
      <c r="C6169" t="s">
        <v>7383</v>
      </c>
      <c r="D6169" t="s">
        <v>5110</v>
      </c>
      <c r="E6169" t="s">
        <v>9760</v>
      </c>
      <c r="F6169" t="s">
        <v>8537</v>
      </c>
      <c r="G6169" t="s">
        <v>8538</v>
      </c>
      <c r="H6169" t="s">
        <v>5111</v>
      </c>
      <c r="J6169">
        <v>2100</v>
      </c>
      <c r="L6169" t="s">
        <v>5876</v>
      </c>
    </row>
    <row r="6170" spans="1:12" x14ac:dyDescent="0.35">
      <c r="A6170" t="s">
        <v>3115</v>
      </c>
      <c r="B6170" s="1">
        <v>45740</v>
      </c>
      <c r="C6170" t="s">
        <v>7385</v>
      </c>
      <c r="D6170" t="s">
        <v>5112</v>
      </c>
      <c r="E6170" t="s">
        <v>9761</v>
      </c>
      <c r="F6170" t="s">
        <v>6808</v>
      </c>
      <c r="H6170" t="s">
        <v>5113</v>
      </c>
      <c r="K6170">
        <v>1944</v>
      </c>
      <c r="L6170" t="s">
        <v>6803</v>
      </c>
    </row>
    <row r="6171" spans="1:12" x14ac:dyDescent="0.35">
      <c r="A6171" t="s">
        <v>3115</v>
      </c>
      <c r="B6171" s="1">
        <v>45740</v>
      </c>
      <c r="C6171" t="s">
        <v>7385</v>
      </c>
      <c r="D6171" t="s">
        <v>5112</v>
      </c>
      <c r="E6171" t="s">
        <v>9761</v>
      </c>
      <c r="F6171" t="s">
        <v>8467</v>
      </c>
      <c r="G6171" t="s">
        <v>8567</v>
      </c>
      <c r="H6171" t="s">
        <v>5113</v>
      </c>
      <c r="J6171">
        <v>1944</v>
      </c>
      <c r="L6171" t="s">
        <v>5966</v>
      </c>
    </row>
    <row r="6172" spans="1:12" x14ac:dyDescent="0.35">
      <c r="A6172" t="s">
        <v>3115</v>
      </c>
      <c r="B6172" s="1">
        <v>45740</v>
      </c>
      <c r="C6172" t="s">
        <v>7386</v>
      </c>
      <c r="D6172" t="s">
        <v>5114</v>
      </c>
      <c r="E6172" t="s">
        <v>9762</v>
      </c>
      <c r="F6172" t="s">
        <v>6802</v>
      </c>
      <c r="H6172" t="s">
        <v>5115</v>
      </c>
      <c r="K6172">
        <v>3017</v>
      </c>
      <c r="L6172" t="s">
        <v>6803</v>
      </c>
    </row>
    <row r="6173" spans="1:12" x14ac:dyDescent="0.35">
      <c r="A6173" t="s">
        <v>3115</v>
      </c>
      <c r="B6173" s="1">
        <v>45740</v>
      </c>
      <c r="C6173" t="s">
        <v>7386</v>
      </c>
      <c r="D6173" t="s">
        <v>5114</v>
      </c>
      <c r="E6173" t="s">
        <v>9762</v>
      </c>
      <c r="F6173" t="s">
        <v>8537</v>
      </c>
      <c r="G6173" t="s">
        <v>8538</v>
      </c>
      <c r="H6173" t="s">
        <v>5115</v>
      </c>
      <c r="J6173">
        <v>3017</v>
      </c>
      <c r="L6173" t="s">
        <v>6010</v>
      </c>
    </row>
    <row r="6174" spans="1:12" x14ac:dyDescent="0.35">
      <c r="A6174" t="s">
        <v>3115</v>
      </c>
      <c r="B6174" s="1">
        <v>45740</v>
      </c>
      <c r="C6174" t="s">
        <v>7387</v>
      </c>
      <c r="D6174" t="s">
        <v>5116</v>
      </c>
      <c r="E6174" t="s">
        <v>9763</v>
      </c>
      <c r="F6174" t="s">
        <v>6808</v>
      </c>
      <c r="H6174" t="s">
        <v>5117</v>
      </c>
      <c r="K6174">
        <v>4290</v>
      </c>
      <c r="L6174" t="s">
        <v>6803</v>
      </c>
    </row>
    <row r="6175" spans="1:12" x14ac:dyDescent="0.35">
      <c r="A6175" t="s">
        <v>3115</v>
      </c>
      <c r="B6175" s="1">
        <v>45740</v>
      </c>
      <c r="C6175" t="s">
        <v>7387</v>
      </c>
      <c r="D6175" t="s">
        <v>5116</v>
      </c>
      <c r="E6175" t="s">
        <v>9763</v>
      </c>
      <c r="F6175" t="s">
        <v>8467</v>
      </c>
      <c r="G6175" t="s">
        <v>8567</v>
      </c>
      <c r="H6175" t="s">
        <v>5117</v>
      </c>
      <c r="J6175">
        <v>4290</v>
      </c>
      <c r="L6175" t="s">
        <v>5874</v>
      </c>
    </row>
    <row r="6176" spans="1:12" x14ac:dyDescent="0.35">
      <c r="A6176" t="s">
        <v>3115</v>
      </c>
      <c r="B6176" s="1">
        <v>45740</v>
      </c>
      <c r="C6176" t="s">
        <v>7388</v>
      </c>
      <c r="D6176" t="s">
        <v>5118</v>
      </c>
      <c r="E6176" t="s">
        <v>9752</v>
      </c>
      <c r="F6176" t="s">
        <v>6808</v>
      </c>
      <c r="H6176" t="s">
        <v>5119</v>
      </c>
      <c r="K6176">
        <v>33600</v>
      </c>
      <c r="L6176" t="s">
        <v>6803</v>
      </c>
    </row>
    <row r="6177" spans="1:12" x14ac:dyDescent="0.35">
      <c r="A6177" t="s">
        <v>3115</v>
      </c>
      <c r="B6177" s="1">
        <v>45740</v>
      </c>
      <c r="C6177" t="s">
        <v>7388</v>
      </c>
      <c r="D6177" t="s">
        <v>5118</v>
      </c>
      <c r="E6177" t="s">
        <v>9752</v>
      </c>
      <c r="F6177" t="s">
        <v>8467</v>
      </c>
      <c r="G6177" t="s">
        <v>8567</v>
      </c>
      <c r="H6177" t="s">
        <v>5119</v>
      </c>
      <c r="J6177">
        <v>33600</v>
      </c>
      <c r="L6177" t="s">
        <v>5880</v>
      </c>
    </row>
    <row r="6178" spans="1:12" x14ac:dyDescent="0.35">
      <c r="A6178" t="s">
        <v>3115</v>
      </c>
      <c r="B6178" s="1">
        <v>45740</v>
      </c>
      <c r="C6178" t="s">
        <v>7389</v>
      </c>
      <c r="D6178" t="s">
        <v>5120</v>
      </c>
      <c r="E6178" t="s">
        <v>9764</v>
      </c>
      <c r="F6178" t="s">
        <v>6808</v>
      </c>
      <c r="H6178" t="s">
        <v>5121</v>
      </c>
      <c r="K6178">
        <v>3298</v>
      </c>
      <c r="L6178" t="s">
        <v>6803</v>
      </c>
    </row>
    <row r="6179" spans="1:12" x14ac:dyDescent="0.35">
      <c r="A6179" t="s">
        <v>3115</v>
      </c>
      <c r="B6179" s="1">
        <v>45740</v>
      </c>
      <c r="C6179" t="s">
        <v>7389</v>
      </c>
      <c r="D6179" t="s">
        <v>5120</v>
      </c>
      <c r="E6179" t="s">
        <v>9764</v>
      </c>
      <c r="F6179" t="s">
        <v>8467</v>
      </c>
      <c r="G6179" t="s">
        <v>8567</v>
      </c>
      <c r="H6179" t="s">
        <v>5121</v>
      </c>
      <c r="J6179">
        <v>3298</v>
      </c>
      <c r="L6179" t="s">
        <v>5881</v>
      </c>
    </row>
    <row r="6180" spans="1:12" x14ac:dyDescent="0.35">
      <c r="A6180" t="s">
        <v>3115</v>
      </c>
      <c r="B6180" s="1">
        <v>45740</v>
      </c>
      <c r="C6180" t="s">
        <v>7392</v>
      </c>
      <c r="D6180" t="s">
        <v>5122</v>
      </c>
      <c r="E6180" t="s">
        <v>9765</v>
      </c>
      <c r="F6180" t="s">
        <v>6802</v>
      </c>
      <c r="H6180" t="s">
        <v>5123</v>
      </c>
      <c r="K6180">
        <v>6356</v>
      </c>
      <c r="L6180" t="s">
        <v>6803</v>
      </c>
    </row>
    <row r="6181" spans="1:12" x14ac:dyDescent="0.35">
      <c r="A6181" t="s">
        <v>3115</v>
      </c>
      <c r="B6181" s="1">
        <v>45740</v>
      </c>
      <c r="C6181" t="s">
        <v>7392</v>
      </c>
      <c r="D6181" t="s">
        <v>5122</v>
      </c>
      <c r="E6181" t="s">
        <v>9765</v>
      </c>
      <c r="F6181" t="s">
        <v>8467</v>
      </c>
      <c r="G6181" t="s">
        <v>8567</v>
      </c>
      <c r="H6181" t="s">
        <v>5123</v>
      </c>
      <c r="J6181">
        <v>6356</v>
      </c>
      <c r="L6181" t="s">
        <v>5875</v>
      </c>
    </row>
    <row r="6182" spans="1:12" x14ac:dyDescent="0.35">
      <c r="A6182" t="s">
        <v>3115</v>
      </c>
      <c r="B6182" s="1">
        <v>45740</v>
      </c>
      <c r="C6182" t="s">
        <v>7393</v>
      </c>
      <c r="D6182" t="s">
        <v>5124</v>
      </c>
      <c r="E6182" t="s">
        <v>9766</v>
      </c>
      <c r="F6182" t="s">
        <v>6808</v>
      </c>
      <c r="H6182" t="s">
        <v>5125</v>
      </c>
      <c r="K6182">
        <v>3298</v>
      </c>
      <c r="L6182" t="s">
        <v>6803</v>
      </c>
    </row>
    <row r="6183" spans="1:12" x14ac:dyDescent="0.35">
      <c r="A6183" t="s">
        <v>3115</v>
      </c>
      <c r="B6183" s="1">
        <v>45740</v>
      </c>
      <c r="C6183" t="s">
        <v>7393</v>
      </c>
      <c r="D6183" t="s">
        <v>5124</v>
      </c>
      <c r="E6183" t="s">
        <v>9766</v>
      </c>
      <c r="F6183" t="s">
        <v>8467</v>
      </c>
      <c r="G6183" t="s">
        <v>8567</v>
      </c>
      <c r="H6183" t="s">
        <v>5125</v>
      </c>
      <c r="J6183">
        <v>3298</v>
      </c>
      <c r="L6183" t="s">
        <v>5875</v>
      </c>
    </row>
    <row r="6184" spans="1:12" x14ac:dyDescent="0.35">
      <c r="A6184" t="s">
        <v>3115</v>
      </c>
      <c r="B6184" s="1">
        <v>45740</v>
      </c>
      <c r="C6184" t="s">
        <v>7394</v>
      </c>
      <c r="D6184" t="s">
        <v>5126</v>
      </c>
      <c r="E6184" t="s">
        <v>9767</v>
      </c>
      <c r="F6184" t="s">
        <v>6802</v>
      </c>
      <c r="H6184" t="s">
        <v>5127</v>
      </c>
      <c r="K6184">
        <v>5715</v>
      </c>
      <c r="L6184" t="s">
        <v>6803</v>
      </c>
    </row>
    <row r="6185" spans="1:12" x14ac:dyDescent="0.35">
      <c r="A6185" t="s">
        <v>3115</v>
      </c>
      <c r="B6185" s="1">
        <v>45740</v>
      </c>
      <c r="C6185" t="s">
        <v>7394</v>
      </c>
      <c r="D6185" t="s">
        <v>5126</v>
      </c>
      <c r="E6185" t="s">
        <v>9767</v>
      </c>
      <c r="F6185" t="s">
        <v>8467</v>
      </c>
      <c r="G6185" t="s">
        <v>8567</v>
      </c>
      <c r="H6185" t="s">
        <v>5127</v>
      </c>
      <c r="J6185">
        <v>5715</v>
      </c>
      <c r="L6185" t="s">
        <v>5875</v>
      </c>
    </row>
    <row r="6186" spans="1:12" x14ac:dyDescent="0.35">
      <c r="A6186" t="s">
        <v>3115</v>
      </c>
      <c r="B6186" s="1">
        <v>45740</v>
      </c>
      <c r="C6186" t="s">
        <v>7396</v>
      </c>
      <c r="D6186" t="s">
        <v>5128</v>
      </c>
      <c r="E6186" t="s">
        <v>9768</v>
      </c>
      <c r="F6186" t="s">
        <v>6802</v>
      </c>
      <c r="H6186" t="s">
        <v>5129</v>
      </c>
      <c r="K6186">
        <v>6356</v>
      </c>
      <c r="L6186" t="s">
        <v>6803</v>
      </c>
    </row>
    <row r="6187" spans="1:12" x14ac:dyDescent="0.35">
      <c r="A6187" t="s">
        <v>3115</v>
      </c>
      <c r="B6187" s="1">
        <v>45740</v>
      </c>
      <c r="C6187" t="s">
        <v>7396</v>
      </c>
      <c r="D6187" t="s">
        <v>5128</v>
      </c>
      <c r="E6187" t="s">
        <v>9768</v>
      </c>
      <c r="F6187" t="s">
        <v>8467</v>
      </c>
      <c r="G6187" t="s">
        <v>8567</v>
      </c>
      <c r="H6187" t="s">
        <v>5129</v>
      </c>
      <c r="J6187">
        <v>6356</v>
      </c>
      <c r="L6187" t="s">
        <v>5875</v>
      </c>
    </row>
    <row r="6188" spans="1:12" x14ac:dyDescent="0.35">
      <c r="A6188" t="s">
        <v>3115</v>
      </c>
      <c r="B6188" s="1">
        <v>45740</v>
      </c>
      <c r="C6188" t="s">
        <v>7399</v>
      </c>
      <c r="D6188" t="s">
        <v>5130</v>
      </c>
      <c r="E6188" t="s">
        <v>9769</v>
      </c>
      <c r="F6188" t="s">
        <v>6808</v>
      </c>
      <c r="H6188" t="s">
        <v>5131</v>
      </c>
      <c r="K6188">
        <v>1649</v>
      </c>
      <c r="L6188" t="s">
        <v>6803</v>
      </c>
    </row>
    <row r="6189" spans="1:12" x14ac:dyDescent="0.35">
      <c r="A6189" t="s">
        <v>3115</v>
      </c>
      <c r="B6189" s="1">
        <v>45740</v>
      </c>
      <c r="C6189" t="s">
        <v>7399</v>
      </c>
      <c r="D6189" t="s">
        <v>5130</v>
      </c>
      <c r="E6189" t="s">
        <v>9769</v>
      </c>
      <c r="F6189" t="s">
        <v>8467</v>
      </c>
      <c r="G6189" t="s">
        <v>8567</v>
      </c>
      <c r="H6189" t="s">
        <v>5131</v>
      </c>
      <c r="J6189">
        <v>1649</v>
      </c>
      <c r="L6189" t="s">
        <v>5938</v>
      </c>
    </row>
    <row r="6190" spans="1:12" x14ac:dyDescent="0.35">
      <c r="A6190" t="s">
        <v>3115</v>
      </c>
      <c r="B6190" s="1">
        <v>45740</v>
      </c>
      <c r="C6190" t="s">
        <v>7400</v>
      </c>
      <c r="D6190" t="s">
        <v>5132</v>
      </c>
      <c r="E6190" t="s">
        <v>9770</v>
      </c>
      <c r="F6190" t="s">
        <v>6802</v>
      </c>
      <c r="H6190" t="s">
        <v>5133</v>
      </c>
      <c r="K6190">
        <v>2099</v>
      </c>
      <c r="L6190" t="s">
        <v>6803</v>
      </c>
    </row>
    <row r="6191" spans="1:12" x14ac:dyDescent="0.35">
      <c r="A6191" t="s">
        <v>3115</v>
      </c>
      <c r="B6191" s="1">
        <v>45740</v>
      </c>
      <c r="C6191" t="s">
        <v>7400</v>
      </c>
      <c r="D6191" t="s">
        <v>5132</v>
      </c>
      <c r="E6191" t="s">
        <v>9770</v>
      </c>
      <c r="F6191" t="s">
        <v>8537</v>
      </c>
      <c r="G6191" t="s">
        <v>8538</v>
      </c>
      <c r="H6191" t="s">
        <v>5133</v>
      </c>
      <c r="J6191">
        <v>2099</v>
      </c>
      <c r="L6191" t="s">
        <v>5958</v>
      </c>
    </row>
    <row r="6192" spans="1:12" x14ac:dyDescent="0.35">
      <c r="A6192" t="s">
        <v>3115</v>
      </c>
      <c r="B6192" s="1">
        <v>45740</v>
      </c>
      <c r="C6192" t="s">
        <v>7402</v>
      </c>
      <c r="D6192" t="s">
        <v>5134</v>
      </c>
      <c r="E6192" t="s">
        <v>9771</v>
      </c>
      <c r="F6192" t="s">
        <v>6915</v>
      </c>
      <c r="H6192" t="s">
        <v>5135</v>
      </c>
      <c r="K6192">
        <v>3017</v>
      </c>
      <c r="L6192" t="s">
        <v>6803</v>
      </c>
    </row>
    <row r="6193" spans="1:12" x14ac:dyDescent="0.35">
      <c r="A6193" t="s">
        <v>3115</v>
      </c>
      <c r="B6193" s="1">
        <v>45740</v>
      </c>
      <c r="C6193" t="s">
        <v>7402</v>
      </c>
      <c r="D6193" t="s">
        <v>5134</v>
      </c>
      <c r="E6193" t="s">
        <v>9771</v>
      </c>
      <c r="F6193" t="s">
        <v>6802</v>
      </c>
      <c r="H6193" t="s">
        <v>5135</v>
      </c>
      <c r="K6193">
        <v>656</v>
      </c>
      <c r="L6193" t="s">
        <v>6803</v>
      </c>
    </row>
    <row r="6194" spans="1:12" x14ac:dyDescent="0.35">
      <c r="A6194" t="s">
        <v>3115</v>
      </c>
      <c r="B6194" s="1">
        <v>45740</v>
      </c>
      <c r="C6194" t="s">
        <v>7402</v>
      </c>
      <c r="D6194" t="s">
        <v>5134</v>
      </c>
      <c r="E6194" t="s">
        <v>9771</v>
      </c>
      <c r="F6194" t="s">
        <v>8537</v>
      </c>
      <c r="G6194" t="s">
        <v>8538</v>
      </c>
      <c r="H6194" t="s">
        <v>5135</v>
      </c>
      <c r="J6194">
        <v>3673</v>
      </c>
      <c r="L6194" t="s">
        <v>5958</v>
      </c>
    </row>
    <row r="6195" spans="1:12" x14ac:dyDescent="0.35">
      <c r="A6195" t="s">
        <v>3115</v>
      </c>
      <c r="B6195" s="1">
        <v>45740</v>
      </c>
      <c r="C6195" t="s">
        <v>7404</v>
      </c>
      <c r="D6195" t="s">
        <v>5136</v>
      </c>
      <c r="E6195" t="s">
        <v>9772</v>
      </c>
      <c r="F6195" t="s">
        <v>6811</v>
      </c>
      <c r="H6195" t="s">
        <v>5137</v>
      </c>
      <c r="K6195">
        <v>4900</v>
      </c>
      <c r="L6195" t="s">
        <v>6803</v>
      </c>
    </row>
    <row r="6196" spans="1:12" x14ac:dyDescent="0.35">
      <c r="A6196" t="s">
        <v>3115</v>
      </c>
      <c r="B6196" s="1">
        <v>45740</v>
      </c>
      <c r="C6196" t="s">
        <v>7404</v>
      </c>
      <c r="D6196" t="s">
        <v>5136</v>
      </c>
      <c r="E6196" t="s">
        <v>9772</v>
      </c>
      <c r="F6196" t="s">
        <v>6802</v>
      </c>
      <c r="H6196" t="s">
        <v>5137</v>
      </c>
      <c r="K6196">
        <v>31304</v>
      </c>
      <c r="L6196" t="s">
        <v>6803</v>
      </c>
    </row>
    <row r="6197" spans="1:12" x14ac:dyDescent="0.35">
      <c r="A6197" t="s">
        <v>3115</v>
      </c>
      <c r="B6197" s="1">
        <v>45740</v>
      </c>
      <c r="C6197" t="s">
        <v>7404</v>
      </c>
      <c r="D6197" t="s">
        <v>5136</v>
      </c>
      <c r="E6197" t="s">
        <v>9772</v>
      </c>
      <c r="F6197" t="s">
        <v>8537</v>
      </c>
      <c r="G6197" t="s">
        <v>8538</v>
      </c>
      <c r="H6197" t="s">
        <v>5137</v>
      </c>
      <c r="J6197">
        <v>36204</v>
      </c>
      <c r="L6197" t="s">
        <v>5874</v>
      </c>
    </row>
    <row r="6198" spans="1:12" x14ac:dyDescent="0.35">
      <c r="A6198" t="s">
        <v>3115</v>
      </c>
      <c r="B6198" s="1">
        <v>45740</v>
      </c>
      <c r="C6198" t="s">
        <v>7407</v>
      </c>
      <c r="D6198" t="s">
        <v>5138</v>
      </c>
      <c r="E6198" t="s">
        <v>9773</v>
      </c>
      <c r="F6198" t="s">
        <v>6802</v>
      </c>
      <c r="H6198" t="s">
        <v>5139</v>
      </c>
      <c r="K6198">
        <v>69138</v>
      </c>
      <c r="L6198" t="s">
        <v>6803</v>
      </c>
    </row>
    <row r="6199" spans="1:12" x14ac:dyDescent="0.35">
      <c r="A6199" t="s">
        <v>3115</v>
      </c>
      <c r="B6199" s="1">
        <v>45740</v>
      </c>
      <c r="C6199" t="s">
        <v>7407</v>
      </c>
      <c r="D6199" t="s">
        <v>5138</v>
      </c>
      <c r="E6199" t="s">
        <v>9773</v>
      </c>
      <c r="F6199" t="s">
        <v>8537</v>
      </c>
      <c r="G6199" t="s">
        <v>8538</v>
      </c>
      <c r="H6199" t="s">
        <v>5139</v>
      </c>
      <c r="J6199">
        <v>69138</v>
      </c>
      <c r="L6199" t="s">
        <v>5874</v>
      </c>
    </row>
    <row r="6200" spans="1:12" x14ac:dyDescent="0.35">
      <c r="A6200" t="s">
        <v>3115</v>
      </c>
      <c r="B6200" s="1">
        <v>45740</v>
      </c>
      <c r="C6200" t="s">
        <v>7409</v>
      </c>
      <c r="D6200" t="s">
        <v>5140</v>
      </c>
      <c r="E6200" t="s">
        <v>9774</v>
      </c>
      <c r="F6200" t="s">
        <v>6811</v>
      </c>
      <c r="H6200" t="s">
        <v>5141</v>
      </c>
      <c r="K6200">
        <v>14700</v>
      </c>
      <c r="L6200" t="s">
        <v>6803</v>
      </c>
    </row>
    <row r="6201" spans="1:12" x14ac:dyDescent="0.35">
      <c r="A6201" t="s">
        <v>3115</v>
      </c>
      <c r="B6201" s="1">
        <v>45740</v>
      </c>
      <c r="C6201" t="s">
        <v>7409</v>
      </c>
      <c r="D6201" t="s">
        <v>5140</v>
      </c>
      <c r="E6201" t="s">
        <v>9774</v>
      </c>
      <c r="F6201" t="s">
        <v>6802</v>
      </c>
      <c r="H6201" t="s">
        <v>5141</v>
      </c>
      <c r="K6201">
        <v>100162</v>
      </c>
      <c r="L6201" t="s">
        <v>6803</v>
      </c>
    </row>
    <row r="6202" spans="1:12" x14ac:dyDescent="0.35">
      <c r="A6202" t="s">
        <v>3115</v>
      </c>
      <c r="B6202" s="1">
        <v>45740</v>
      </c>
      <c r="C6202" t="s">
        <v>7409</v>
      </c>
      <c r="D6202" t="s">
        <v>5140</v>
      </c>
      <c r="E6202" t="s">
        <v>9774</v>
      </c>
      <c r="F6202" t="s">
        <v>8537</v>
      </c>
      <c r="G6202" t="s">
        <v>8538</v>
      </c>
      <c r="H6202" t="s">
        <v>5141</v>
      </c>
      <c r="J6202">
        <v>114862</v>
      </c>
      <c r="L6202" t="s">
        <v>5880</v>
      </c>
    </row>
    <row r="6203" spans="1:12" x14ac:dyDescent="0.35">
      <c r="A6203" t="s">
        <v>3115</v>
      </c>
      <c r="B6203" s="1">
        <v>45740</v>
      </c>
      <c r="C6203" t="s">
        <v>7411</v>
      </c>
      <c r="D6203" t="s">
        <v>5142</v>
      </c>
      <c r="E6203" t="s">
        <v>9742</v>
      </c>
      <c r="F6203" t="s">
        <v>6802</v>
      </c>
      <c r="H6203" t="s">
        <v>5143</v>
      </c>
      <c r="K6203">
        <v>12464</v>
      </c>
      <c r="L6203" t="s">
        <v>6803</v>
      </c>
    </row>
    <row r="6204" spans="1:12" x14ac:dyDescent="0.35">
      <c r="A6204" t="s">
        <v>3115</v>
      </c>
      <c r="B6204" s="1">
        <v>45740</v>
      </c>
      <c r="C6204" t="s">
        <v>7411</v>
      </c>
      <c r="D6204" t="s">
        <v>5142</v>
      </c>
      <c r="E6204" t="s">
        <v>9742</v>
      </c>
      <c r="F6204" t="s">
        <v>8537</v>
      </c>
      <c r="G6204" t="s">
        <v>8538</v>
      </c>
      <c r="H6204" t="s">
        <v>5143</v>
      </c>
      <c r="J6204">
        <v>12464</v>
      </c>
      <c r="L6204" t="s">
        <v>6010</v>
      </c>
    </row>
    <row r="6205" spans="1:12" x14ac:dyDescent="0.35">
      <c r="A6205" t="s">
        <v>3115</v>
      </c>
      <c r="B6205" s="1">
        <v>45740</v>
      </c>
      <c r="C6205" t="s">
        <v>7413</v>
      </c>
      <c r="D6205" t="s">
        <v>5144</v>
      </c>
      <c r="E6205" t="s">
        <v>9775</v>
      </c>
      <c r="F6205" t="s">
        <v>6802</v>
      </c>
      <c r="H6205" t="s">
        <v>5145</v>
      </c>
      <c r="K6205">
        <v>2099</v>
      </c>
      <c r="L6205" t="s">
        <v>6803</v>
      </c>
    </row>
    <row r="6206" spans="1:12" x14ac:dyDescent="0.35">
      <c r="A6206" t="s">
        <v>3115</v>
      </c>
      <c r="B6206" s="1">
        <v>45740</v>
      </c>
      <c r="C6206" t="s">
        <v>7413</v>
      </c>
      <c r="D6206" t="s">
        <v>5144</v>
      </c>
      <c r="E6206" t="s">
        <v>9775</v>
      </c>
      <c r="F6206" t="s">
        <v>8537</v>
      </c>
      <c r="G6206" t="s">
        <v>8538</v>
      </c>
      <c r="H6206" t="s">
        <v>5145</v>
      </c>
      <c r="J6206">
        <v>2099</v>
      </c>
      <c r="L6206" t="s">
        <v>5876</v>
      </c>
    </row>
    <row r="6207" spans="1:12" x14ac:dyDescent="0.35">
      <c r="A6207" t="s">
        <v>3115</v>
      </c>
      <c r="B6207" s="1">
        <v>45740</v>
      </c>
      <c r="C6207" t="s">
        <v>7415</v>
      </c>
      <c r="D6207" t="s">
        <v>5146</v>
      </c>
      <c r="E6207" t="s">
        <v>9776</v>
      </c>
      <c r="F6207" t="s">
        <v>6802</v>
      </c>
      <c r="H6207" t="s">
        <v>5147</v>
      </c>
      <c r="K6207">
        <v>1443</v>
      </c>
      <c r="L6207" t="s">
        <v>6803</v>
      </c>
    </row>
    <row r="6208" spans="1:12" x14ac:dyDescent="0.35">
      <c r="A6208" t="s">
        <v>3115</v>
      </c>
      <c r="B6208" s="1">
        <v>45740</v>
      </c>
      <c r="C6208" t="s">
        <v>7415</v>
      </c>
      <c r="D6208" t="s">
        <v>5146</v>
      </c>
      <c r="E6208" t="s">
        <v>9776</v>
      </c>
      <c r="F6208" t="s">
        <v>8537</v>
      </c>
      <c r="G6208" t="s">
        <v>8538</v>
      </c>
      <c r="H6208" t="s">
        <v>5147</v>
      </c>
      <c r="J6208">
        <v>1443</v>
      </c>
      <c r="L6208" t="s">
        <v>5874</v>
      </c>
    </row>
    <row r="6209" spans="1:12" x14ac:dyDescent="0.35">
      <c r="A6209" t="s">
        <v>3115</v>
      </c>
      <c r="B6209" s="1">
        <v>45740</v>
      </c>
      <c r="C6209" t="s">
        <v>7417</v>
      </c>
      <c r="D6209" t="s">
        <v>5148</v>
      </c>
      <c r="E6209" t="s">
        <v>9338</v>
      </c>
      <c r="F6209" t="s">
        <v>6811</v>
      </c>
      <c r="H6209" t="s">
        <v>5149</v>
      </c>
      <c r="K6209">
        <v>2600</v>
      </c>
      <c r="L6209" t="s">
        <v>6803</v>
      </c>
    </row>
    <row r="6210" spans="1:12" x14ac:dyDescent="0.35">
      <c r="A6210" t="s">
        <v>3115</v>
      </c>
      <c r="B6210" s="1">
        <v>45740</v>
      </c>
      <c r="C6210" t="s">
        <v>7417</v>
      </c>
      <c r="D6210" t="s">
        <v>5148</v>
      </c>
      <c r="E6210" t="s">
        <v>9338</v>
      </c>
      <c r="F6210" t="s">
        <v>8537</v>
      </c>
      <c r="G6210" t="s">
        <v>8538</v>
      </c>
      <c r="H6210" t="s">
        <v>5149</v>
      </c>
      <c r="J6210">
        <v>2600</v>
      </c>
      <c r="L6210" t="s">
        <v>5949</v>
      </c>
    </row>
    <row r="6211" spans="1:12" x14ac:dyDescent="0.35">
      <c r="A6211" t="s">
        <v>3115</v>
      </c>
      <c r="B6211" s="1">
        <v>45740</v>
      </c>
      <c r="C6211" t="s">
        <v>7419</v>
      </c>
      <c r="D6211" t="s">
        <v>5150</v>
      </c>
      <c r="E6211" t="s">
        <v>9777</v>
      </c>
      <c r="F6211" t="s">
        <v>6802</v>
      </c>
      <c r="H6211" t="s">
        <v>5151</v>
      </c>
      <c r="K6211">
        <v>57237</v>
      </c>
      <c r="L6211" t="s">
        <v>6803</v>
      </c>
    </row>
    <row r="6212" spans="1:12" x14ac:dyDescent="0.35">
      <c r="A6212" t="s">
        <v>3115</v>
      </c>
      <c r="B6212" s="1">
        <v>45740</v>
      </c>
      <c r="C6212" t="s">
        <v>7419</v>
      </c>
      <c r="D6212" t="s">
        <v>5150</v>
      </c>
      <c r="E6212" t="s">
        <v>9777</v>
      </c>
      <c r="F6212" t="s">
        <v>8537</v>
      </c>
      <c r="G6212" t="s">
        <v>8538</v>
      </c>
      <c r="H6212" t="s">
        <v>5151</v>
      </c>
      <c r="J6212">
        <v>57237</v>
      </c>
      <c r="L6212" t="s">
        <v>5873</v>
      </c>
    </row>
    <row r="6213" spans="1:12" x14ac:dyDescent="0.35">
      <c r="A6213" t="s">
        <v>3115</v>
      </c>
      <c r="B6213" s="1">
        <v>45740</v>
      </c>
      <c r="C6213" t="s">
        <v>7420</v>
      </c>
      <c r="D6213" t="s">
        <v>5152</v>
      </c>
      <c r="E6213" t="s">
        <v>9778</v>
      </c>
      <c r="F6213" t="s">
        <v>6802</v>
      </c>
      <c r="H6213" t="s">
        <v>5153</v>
      </c>
      <c r="K6213">
        <v>6756</v>
      </c>
      <c r="L6213" t="s">
        <v>6803</v>
      </c>
    </row>
    <row r="6214" spans="1:12" x14ac:dyDescent="0.35">
      <c r="A6214" t="s">
        <v>3115</v>
      </c>
      <c r="B6214" s="1">
        <v>45740</v>
      </c>
      <c r="C6214" t="s">
        <v>7420</v>
      </c>
      <c r="D6214" t="s">
        <v>5152</v>
      </c>
      <c r="E6214" t="s">
        <v>9778</v>
      </c>
      <c r="F6214" t="s">
        <v>8537</v>
      </c>
      <c r="G6214" t="s">
        <v>8538</v>
      </c>
      <c r="H6214" t="s">
        <v>5153</v>
      </c>
      <c r="J6214">
        <v>6756</v>
      </c>
      <c r="L6214" t="s">
        <v>5874</v>
      </c>
    </row>
    <row r="6215" spans="1:12" x14ac:dyDescent="0.35">
      <c r="A6215" t="s">
        <v>3115</v>
      </c>
      <c r="B6215" s="1">
        <v>45740</v>
      </c>
      <c r="C6215" t="s">
        <v>7421</v>
      </c>
      <c r="D6215" t="s">
        <v>5154</v>
      </c>
      <c r="E6215" t="s">
        <v>9779</v>
      </c>
      <c r="F6215" t="s">
        <v>6802</v>
      </c>
      <c r="H6215" t="s">
        <v>5155</v>
      </c>
      <c r="K6215">
        <v>57237</v>
      </c>
      <c r="L6215" t="s">
        <v>6803</v>
      </c>
    </row>
    <row r="6216" spans="1:12" x14ac:dyDescent="0.35">
      <c r="A6216" t="s">
        <v>3115</v>
      </c>
      <c r="B6216" s="1">
        <v>45740</v>
      </c>
      <c r="C6216" t="s">
        <v>7421</v>
      </c>
      <c r="D6216" t="s">
        <v>5154</v>
      </c>
      <c r="E6216" t="s">
        <v>9779</v>
      </c>
      <c r="F6216" t="s">
        <v>8537</v>
      </c>
      <c r="G6216" t="s">
        <v>8538</v>
      </c>
      <c r="H6216" t="s">
        <v>5155</v>
      </c>
      <c r="J6216">
        <v>57237</v>
      </c>
      <c r="L6216" t="s">
        <v>5873</v>
      </c>
    </row>
    <row r="6217" spans="1:12" x14ac:dyDescent="0.35">
      <c r="A6217" t="s">
        <v>3115</v>
      </c>
      <c r="B6217" s="1">
        <v>45740</v>
      </c>
      <c r="C6217" t="s">
        <v>7423</v>
      </c>
      <c r="D6217" t="s">
        <v>5156</v>
      </c>
      <c r="E6217" t="s">
        <v>9780</v>
      </c>
      <c r="F6217" t="s">
        <v>6802</v>
      </c>
      <c r="H6217" t="s">
        <v>5157</v>
      </c>
      <c r="K6217">
        <v>738302</v>
      </c>
      <c r="L6217" t="s">
        <v>6803</v>
      </c>
    </row>
    <row r="6218" spans="1:12" x14ac:dyDescent="0.35">
      <c r="A6218" t="s">
        <v>3115</v>
      </c>
      <c r="B6218" s="1">
        <v>45740</v>
      </c>
      <c r="C6218" t="s">
        <v>7423</v>
      </c>
      <c r="D6218" t="s">
        <v>5156</v>
      </c>
      <c r="E6218" t="s">
        <v>9780</v>
      </c>
      <c r="F6218" t="s">
        <v>8537</v>
      </c>
      <c r="G6218" t="s">
        <v>8538</v>
      </c>
      <c r="H6218" t="s">
        <v>5157</v>
      </c>
      <c r="J6218">
        <v>738302</v>
      </c>
      <c r="L6218" t="s">
        <v>5880</v>
      </c>
    </row>
    <row r="6219" spans="1:12" x14ac:dyDescent="0.35">
      <c r="A6219" t="s">
        <v>3115</v>
      </c>
      <c r="B6219" s="1">
        <v>45740</v>
      </c>
      <c r="C6219" t="s">
        <v>7425</v>
      </c>
      <c r="D6219" t="s">
        <v>5158</v>
      </c>
      <c r="E6219" t="s">
        <v>9781</v>
      </c>
      <c r="F6219" t="s">
        <v>6802</v>
      </c>
      <c r="H6219" t="s">
        <v>5159</v>
      </c>
      <c r="K6219">
        <v>17973</v>
      </c>
      <c r="L6219" t="s">
        <v>6803</v>
      </c>
    </row>
    <row r="6220" spans="1:12" x14ac:dyDescent="0.35">
      <c r="A6220" t="s">
        <v>3115</v>
      </c>
      <c r="B6220" s="1">
        <v>45740</v>
      </c>
      <c r="C6220" t="s">
        <v>7425</v>
      </c>
      <c r="D6220" t="s">
        <v>5158</v>
      </c>
      <c r="E6220" t="s">
        <v>9781</v>
      </c>
      <c r="F6220" t="s">
        <v>8537</v>
      </c>
      <c r="G6220" t="s">
        <v>8538</v>
      </c>
      <c r="H6220" t="s">
        <v>5159</v>
      </c>
      <c r="J6220">
        <v>17973</v>
      </c>
      <c r="L6220" t="s">
        <v>5875</v>
      </c>
    </row>
    <row r="6221" spans="1:12" x14ac:dyDescent="0.35">
      <c r="A6221" t="s">
        <v>3115</v>
      </c>
      <c r="B6221" s="1">
        <v>45740</v>
      </c>
      <c r="C6221" t="s">
        <v>7427</v>
      </c>
      <c r="D6221" t="s">
        <v>5160</v>
      </c>
      <c r="E6221" t="s">
        <v>9782</v>
      </c>
      <c r="F6221" t="s">
        <v>6802</v>
      </c>
      <c r="H6221" t="s">
        <v>5161</v>
      </c>
      <c r="K6221">
        <v>656</v>
      </c>
      <c r="L6221" t="s">
        <v>6803</v>
      </c>
    </row>
    <row r="6222" spans="1:12" x14ac:dyDescent="0.35">
      <c r="A6222" t="s">
        <v>3115</v>
      </c>
      <c r="B6222" s="1">
        <v>45740</v>
      </c>
      <c r="C6222" t="s">
        <v>7427</v>
      </c>
      <c r="D6222" t="s">
        <v>5160</v>
      </c>
      <c r="E6222" t="s">
        <v>9782</v>
      </c>
      <c r="F6222" t="s">
        <v>8537</v>
      </c>
      <c r="G6222" t="s">
        <v>8538</v>
      </c>
      <c r="H6222" t="s">
        <v>5161</v>
      </c>
      <c r="J6222">
        <v>656</v>
      </c>
      <c r="L6222" t="s">
        <v>5876</v>
      </c>
    </row>
    <row r="6223" spans="1:12" x14ac:dyDescent="0.35">
      <c r="A6223" t="s">
        <v>3115</v>
      </c>
      <c r="B6223" s="1">
        <v>45740</v>
      </c>
      <c r="C6223" t="s">
        <v>7428</v>
      </c>
      <c r="D6223" t="s">
        <v>5162</v>
      </c>
      <c r="E6223" t="s">
        <v>9783</v>
      </c>
      <c r="F6223" t="s">
        <v>6802</v>
      </c>
      <c r="H6223" t="s">
        <v>5163</v>
      </c>
      <c r="K6223">
        <v>2099</v>
      </c>
      <c r="L6223" t="s">
        <v>6803</v>
      </c>
    </row>
    <row r="6224" spans="1:12" x14ac:dyDescent="0.35">
      <c r="A6224" t="s">
        <v>3115</v>
      </c>
      <c r="B6224" s="1">
        <v>45740</v>
      </c>
      <c r="C6224" t="s">
        <v>7428</v>
      </c>
      <c r="D6224" t="s">
        <v>5162</v>
      </c>
      <c r="E6224" t="s">
        <v>9783</v>
      </c>
      <c r="F6224" t="s">
        <v>8537</v>
      </c>
      <c r="G6224" t="s">
        <v>8538</v>
      </c>
      <c r="H6224" t="s">
        <v>5163</v>
      </c>
      <c r="J6224">
        <v>2099</v>
      </c>
      <c r="L6224" t="s">
        <v>5876</v>
      </c>
    </row>
    <row r="6225" spans="1:12" x14ac:dyDescent="0.35">
      <c r="A6225" t="s">
        <v>3115</v>
      </c>
      <c r="B6225" s="1">
        <v>45741</v>
      </c>
      <c r="C6225" t="s">
        <v>7566</v>
      </c>
      <c r="D6225" t="s">
        <v>5164</v>
      </c>
      <c r="E6225" t="s">
        <v>9784</v>
      </c>
      <c r="F6225" t="s">
        <v>6802</v>
      </c>
      <c r="H6225" t="s">
        <v>5165</v>
      </c>
      <c r="K6225">
        <v>394</v>
      </c>
      <c r="L6225" t="s">
        <v>6803</v>
      </c>
    </row>
    <row r="6226" spans="1:12" x14ac:dyDescent="0.35">
      <c r="A6226" t="s">
        <v>3115</v>
      </c>
      <c r="B6226" s="1">
        <v>45741</v>
      </c>
      <c r="C6226" t="s">
        <v>7566</v>
      </c>
      <c r="D6226" t="s">
        <v>5164</v>
      </c>
      <c r="E6226" t="s">
        <v>9784</v>
      </c>
      <c r="F6226" t="s">
        <v>8537</v>
      </c>
      <c r="G6226" t="s">
        <v>8538</v>
      </c>
      <c r="H6226" t="s">
        <v>5165</v>
      </c>
      <c r="J6226">
        <v>394</v>
      </c>
      <c r="L6226" t="s">
        <v>5958</v>
      </c>
    </row>
    <row r="6227" spans="1:12" x14ac:dyDescent="0.35">
      <c r="A6227" t="s">
        <v>3115</v>
      </c>
      <c r="B6227" s="1">
        <v>45741</v>
      </c>
      <c r="C6227" t="s">
        <v>7569</v>
      </c>
      <c r="D6227" t="s">
        <v>5166</v>
      </c>
      <c r="E6227" t="s">
        <v>9785</v>
      </c>
      <c r="F6227" t="s">
        <v>6915</v>
      </c>
      <c r="H6227" t="s">
        <v>5167</v>
      </c>
      <c r="K6227">
        <v>155200</v>
      </c>
      <c r="L6227" t="s">
        <v>6803</v>
      </c>
    </row>
    <row r="6228" spans="1:12" x14ac:dyDescent="0.35">
      <c r="A6228" t="s">
        <v>3115</v>
      </c>
      <c r="B6228" s="1">
        <v>45741</v>
      </c>
      <c r="C6228" t="s">
        <v>7569</v>
      </c>
      <c r="D6228" t="s">
        <v>5166</v>
      </c>
      <c r="E6228" t="s">
        <v>9785</v>
      </c>
      <c r="F6228" t="s">
        <v>8569</v>
      </c>
      <c r="G6228" t="s">
        <v>8570</v>
      </c>
      <c r="H6228" t="s">
        <v>5167</v>
      </c>
      <c r="J6228">
        <v>155200</v>
      </c>
      <c r="L6228" t="s">
        <v>5958</v>
      </c>
    </row>
    <row r="6229" spans="1:12" x14ac:dyDescent="0.35">
      <c r="A6229" t="s">
        <v>3115</v>
      </c>
      <c r="B6229" s="1">
        <v>45741</v>
      </c>
      <c r="C6229" t="s">
        <v>7570</v>
      </c>
      <c r="D6229" t="s">
        <v>5168</v>
      </c>
      <c r="E6229" t="s">
        <v>9786</v>
      </c>
      <c r="F6229" t="s">
        <v>6802</v>
      </c>
      <c r="H6229" t="s">
        <v>5169</v>
      </c>
      <c r="K6229">
        <v>575342</v>
      </c>
      <c r="L6229" t="s">
        <v>6803</v>
      </c>
    </row>
    <row r="6230" spans="1:12" x14ac:dyDescent="0.35">
      <c r="A6230" t="s">
        <v>3115</v>
      </c>
      <c r="B6230" s="1">
        <v>45741</v>
      </c>
      <c r="C6230" t="s">
        <v>7570</v>
      </c>
      <c r="D6230" t="s">
        <v>5168</v>
      </c>
      <c r="E6230" t="s">
        <v>9786</v>
      </c>
      <c r="F6230" t="s">
        <v>8537</v>
      </c>
      <c r="G6230" t="s">
        <v>8538</v>
      </c>
      <c r="H6230" t="s">
        <v>5169</v>
      </c>
      <c r="J6230">
        <v>575342</v>
      </c>
      <c r="L6230" t="s">
        <v>5880</v>
      </c>
    </row>
    <row r="6231" spans="1:12" x14ac:dyDescent="0.35">
      <c r="A6231" t="s">
        <v>3115</v>
      </c>
      <c r="B6231" s="1">
        <v>45741</v>
      </c>
      <c r="C6231" t="s">
        <v>7573</v>
      </c>
      <c r="D6231" t="s">
        <v>5170</v>
      </c>
      <c r="E6231" t="s">
        <v>9787</v>
      </c>
      <c r="F6231" t="s">
        <v>6802</v>
      </c>
      <c r="H6231" t="s">
        <v>5171</v>
      </c>
      <c r="K6231">
        <v>200000</v>
      </c>
      <c r="L6231" t="s">
        <v>6803</v>
      </c>
    </row>
    <row r="6232" spans="1:12" x14ac:dyDescent="0.35">
      <c r="A6232" t="s">
        <v>3115</v>
      </c>
      <c r="B6232" s="1">
        <v>45741</v>
      </c>
      <c r="C6232" t="s">
        <v>7573</v>
      </c>
      <c r="D6232" t="s">
        <v>5170</v>
      </c>
      <c r="E6232" t="s">
        <v>9787</v>
      </c>
      <c r="F6232" t="s">
        <v>8537</v>
      </c>
      <c r="G6232" t="s">
        <v>8538</v>
      </c>
      <c r="H6232" t="s">
        <v>5171</v>
      </c>
      <c r="J6232">
        <v>200000</v>
      </c>
      <c r="L6232" t="s">
        <v>5874</v>
      </c>
    </row>
    <row r="6233" spans="1:12" x14ac:dyDescent="0.35">
      <c r="A6233" t="s">
        <v>3115</v>
      </c>
      <c r="B6233" s="1">
        <v>45741</v>
      </c>
      <c r="C6233" t="s">
        <v>7575</v>
      </c>
      <c r="D6233" t="s">
        <v>5172</v>
      </c>
      <c r="E6233" t="s">
        <v>9115</v>
      </c>
      <c r="F6233" t="s">
        <v>6802</v>
      </c>
      <c r="H6233" t="s">
        <v>5173</v>
      </c>
      <c r="K6233">
        <v>80044</v>
      </c>
      <c r="L6233" t="s">
        <v>6803</v>
      </c>
    </row>
    <row r="6234" spans="1:12" x14ac:dyDescent="0.35">
      <c r="A6234" t="s">
        <v>3115</v>
      </c>
      <c r="B6234" s="1">
        <v>45741</v>
      </c>
      <c r="C6234" t="s">
        <v>7575</v>
      </c>
      <c r="D6234" t="s">
        <v>5172</v>
      </c>
      <c r="E6234" t="s">
        <v>9115</v>
      </c>
      <c r="F6234" t="s">
        <v>8557</v>
      </c>
      <c r="G6234" t="s">
        <v>8558</v>
      </c>
      <c r="H6234" t="s">
        <v>5173</v>
      </c>
      <c r="J6234">
        <v>80044</v>
      </c>
      <c r="L6234" t="s">
        <v>5875</v>
      </c>
    </row>
    <row r="6235" spans="1:12" x14ac:dyDescent="0.35">
      <c r="A6235" t="s">
        <v>3115</v>
      </c>
      <c r="B6235" s="1">
        <v>45741</v>
      </c>
      <c r="C6235" t="s">
        <v>7576</v>
      </c>
      <c r="D6235" t="s">
        <v>5174</v>
      </c>
      <c r="E6235" t="s">
        <v>9788</v>
      </c>
      <c r="F6235" t="s">
        <v>6802</v>
      </c>
      <c r="H6235" t="s">
        <v>5175</v>
      </c>
      <c r="K6235">
        <v>450000</v>
      </c>
      <c r="L6235" t="s">
        <v>6803</v>
      </c>
    </row>
    <row r="6236" spans="1:12" x14ac:dyDescent="0.35">
      <c r="A6236" t="s">
        <v>3115</v>
      </c>
      <c r="B6236" s="1">
        <v>45741</v>
      </c>
      <c r="C6236" t="s">
        <v>7576</v>
      </c>
      <c r="D6236" t="s">
        <v>5174</v>
      </c>
      <c r="E6236" t="s">
        <v>9788</v>
      </c>
      <c r="F6236" t="s">
        <v>8537</v>
      </c>
      <c r="G6236" t="s">
        <v>8538</v>
      </c>
      <c r="H6236" t="s">
        <v>5175</v>
      </c>
      <c r="J6236">
        <v>450000</v>
      </c>
      <c r="L6236" t="s">
        <v>5880</v>
      </c>
    </row>
    <row r="6237" spans="1:12" x14ac:dyDescent="0.35">
      <c r="A6237" t="s">
        <v>3115</v>
      </c>
      <c r="B6237" s="1">
        <v>45741</v>
      </c>
      <c r="C6237" t="s">
        <v>7577</v>
      </c>
      <c r="D6237" t="s">
        <v>5176</v>
      </c>
      <c r="E6237" t="s">
        <v>9789</v>
      </c>
      <c r="F6237" t="s">
        <v>6802</v>
      </c>
      <c r="H6237" t="s">
        <v>5177</v>
      </c>
      <c r="K6237">
        <v>450000</v>
      </c>
      <c r="L6237" t="s">
        <v>6803</v>
      </c>
    </row>
    <row r="6238" spans="1:12" x14ac:dyDescent="0.35">
      <c r="A6238" t="s">
        <v>3115</v>
      </c>
      <c r="B6238" s="1">
        <v>45741</v>
      </c>
      <c r="C6238" t="s">
        <v>7577</v>
      </c>
      <c r="D6238" t="s">
        <v>5176</v>
      </c>
      <c r="E6238" t="s">
        <v>9789</v>
      </c>
      <c r="F6238" t="s">
        <v>8537</v>
      </c>
      <c r="G6238" t="s">
        <v>8538</v>
      </c>
      <c r="H6238" t="s">
        <v>5177</v>
      </c>
      <c r="J6238">
        <v>450000</v>
      </c>
      <c r="L6238" t="s">
        <v>5958</v>
      </c>
    </row>
    <row r="6239" spans="1:12" x14ac:dyDescent="0.35">
      <c r="A6239" t="s">
        <v>3115</v>
      </c>
      <c r="B6239" s="1">
        <v>45741</v>
      </c>
      <c r="C6239" t="s">
        <v>7607</v>
      </c>
      <c r="D6239" t="s">
        <v>5178</v>
      </c>
      <c r="E6239" t="s">
        <v>9287</v>
      </c>
      <c r="F6239" t="s">
        <v>6811</v>
      </c>
      <c r="H6239" t="s">
        <v>5179</v>
      </c>
      <c r="K6239">
        <v>300</v>
      </c>
      <c r="L6239" t="s">
        <v>6803</v>
      </c>
    </row>
    <row r="6240" spans="1:12" x14ac:dyDescent="0.35">
      <c r="A6240" t="s">
        <v>3115</v>
      </c>
      <c r="B6240" s="1">
        <v>45741</v>
      </c>
      <c r="C6240" t="s">
        <v>7607</v>
      </c>
      <c r="D6240" t="s">
        <v>5178</v>
      </c>
      <c r="E6240" t="s">
        <v>9287</v>
      </c>
      <c r="F6240" t="s">
        <v>8557</v>
      </c>
      <c r="G6240" t="s">
        <v>8558</v>
      </c>
      <c r="H6240" t="s">
        <v>5179</v>
      </c>
      <c r="J6240">
        <v>300</v>
      </c>
      <c r="L6240" t="s">
        <v>5874</v>
      </c>
    </row>
    <row r="6241" spans="1:12" x14ac:dyDescent="0.35">
      <c r="A6241" t="s">
        <v>3115</v>
      </c>
      <c r="B6241" s="1">
        <v>45741</v>
      </c>
      <c r="C6241" t="s">
        <v>7173</v>
      </c>
      <c r="D6241" t="s">
        <v>5180</v>
      </c>
      <c r="E6241" t="s">
        <v>9296</v>
      </c>
      <c r="F6241" t="s">
        <v>6802</v>
      </c>
      <c r="H6241" t="s">
        <v>5181</v>
      </c>
      <c r="K6241">
        <v>65000</v>
      </c>
      <c r="L6241" t="s">
        <v>6803</v>
      </c>
    </row>
    <row r="6242" spans="1:12" x14ac:dyDescent="0.35">
      <c r="A6242" t="s">
        <v>3115</v>
      </c>
      <c r="B6242" s="1">
        <v>45741</v>
      </c>
      <c r="C6242" t="s">
        <v>7173</v>
      </c>
      <c r="D6242" t="s">
        <v>5180</v>
      </c>
      <c r="E6242" t="s">
        <v>9296</v>
      </c>
      <c r="F6242" t="s">
        <v>8537</v>
      </c>
      <c r="G6242" t="s">
        <v>8538</v>
      </c>
      <c r="H6242" t="s">
        <v>5181</v>
      </c>
      <c r="J6242">
        <v>65000</v>
      </c>
      <c r="L6242" t="s">
        <v>5875</v>
      </c>
    </row>
    <row r="6243" spans="1:12" x14ac:dyDescent="0.35">
      <c r="A6243" t="s">
        <v>3115</v>
      </c>
      <c r="B6243" s="1">
        <v>45741</v>
      </c>
      <c r="C6243" t="s">
        <v>7613</v>
      </c>
      <c r="D6243" t="s">
        <v>5182</v>
      </c>
      <c r="E6243" t="s">
        <v>9337</v>
      </c>
      <c r="F6243" t="s">
        <v>6811</v>
      </c>
      <c r="H6243" t="s">
        <v>5183</v>
      </c>
      <c r="K6243">
        <v>600</v>
      </c>
      <c r="L6243" t="s">
        <v>6803</v>
      </c>
    </row>
    <row r="6244" spans="1:12" x14ac:dyDescent="0.35">
      <c r="A6244" t="s">
        <v>3115</v>
      </c>
      <c r="B6244" s="1">
        <v>45741</v>
      </c>
      <c r="C6244" t="s">
        <v>7613</v>
      </c>
      <c r="D6244" t="s">
        <v>5182</v>
      </c>
      <c r="E6244" t="s">
        <v>9337</v>
      </c>
      <c r="F6244" t="s">
        <v>8557</v>
      </c>
      <c r="G6244" t="s">
        <v>8558</v>
      </c>
      <c r="H6244" t="s">
        <v>5183</v>
      </c>
      <c r="J6244">
        <v>600</v>
      </c>
      <c r="L6244" t="s">
        <v>5880</v>
      </c>
    </row>
    <row r="6245" spans="1:12" x14ac:dyDescent="0.35">
      <c r="A6245" t="s">
        <v>3115</v>
      </c>
      <c r="B6245" s="1">
        <v>45741</v>
      </c>
      <c r="C6245" t="s">
        <v>7616</v>
      </c>
      <c r="D6245" t="s">
        <v>5184</v>
      </c>
      <c r="E6245" t="s">
        <v>9309</v>
      </c>
      <c r="F6245" t="s">
        <v>6802</v>
      </c>
      <c r="H6245" t="s">
        <v>5185</v>
      </c>
      <c r="K6245">
        <v>65000</v>
      </c>
      <c r="L6245" t="s">
        <v>6803</v>
      </c>
    </row>
    <row r="6246" spans="1:12" x14ac:dyDescent="0.35">
      <c r="A6246" t="s">
        <v>3115</v>
      </c>
      <c r="B6246" s="1">
        <v>45741</v>
      </c>
      <c r="C6246" t="s">
        <v>7616</v>
      </c>
      <c r="D6246" t="s">
        <v>5184</v>
      </c>
      <c r="E6246" t="s">
        <v>9309</v>
      </c>
      <c r="F6246" t="s">
        <v>8537</v>
      </c>
      <c r="G6246" t="s">
        <v>8538</v>
      </c>
      <c r="H6246" t="s">
        <v>5185</v>
      </c>
      <c r="J6246">
        <v>65000</v>
      </c>
      <c r="L6246" t="s">
        <v>5875</v>
      </c>
    </row>
    <row r="6247" spans="1:12" x14ac:dyDescent="0.35">
      <c r="A6247" t="s">
        <v>3115</v>
      </c>
      <c r="B6247" s="1">
        <v>45741</v>
      </c>
      <c r="C6247" t="s">
        <v>7619</v>
      </c>
      <c r="D6247" t="s">
        <v>5186</v>
      </c>
      <c r="E6247" t="s">
        <v>9790</v>
      </c>
      <c r="F6247" t="s">
        <v>6802</v>
      </c>
      <c r="H6247" t="s">
        <v>5187</v>
      </c>
      <c r="K6247">
        <v>90000</v>
      </c>
      <c r="L6247" t="s">
        <v>6803</v>
      </c>
    </row>
    <row r="6248" spans="1:12" x14ac:dyDescent="0.35">
      <c r="A6248" t="s">
        <v>3115</v>
      </c>
      <c r="B6248" s="1">
        <v>45741</v>
      </c>
      <c r="C6248" t="s">
        <v>7619</v>
      </c>
      <c r="D6248" t="s">
        <v>5186</v>
      </c>
      <c r="E6248" t="s">
        <v>9790</v>
      </c>
      <c r="F6248" t="s">
        <v>8537</v>
      </c>
      <c r="G6248" t="s">
        <v>8538</v>
      </c>
      <c r="H6248" t="s">
        <v>5187</v>
      </c>
      <c r="J6248">
        <v>90000</v>
      </c>
      <c r="L6248" t="s">
        <v>5880</v>
      </c>
    </row>
    <row r="6249" spans="1:12" x14ac:dyDescent="0.35">
      <c r="A6249" t="s">
        <v>3115</v>
      </c>
      <c r="B6249" s="1">
        <v>45741</v>
      </c>
      <c r="C6249" t="s">
        <v>7621</v>
      </c>
      <c r="D6249" t="s">
        <v>5188</v>
      </c>
      <c r="E6249" t="s">
        <v>9280</v>
      </c>
      <c r="F6249" t="s">
        <v>6811</v>
      </c>
      <c r="H6249" t="s">
        <v>5189</v>
      </c>
      <c r="K6249">
        <v>300</v>
      </c>
      <c r="L6249" t="s">
        <v>6803</v>
      </c>
    </row>
    <row r="6250" spans="1:12" x14ac:dyDescent="0.35">
      <c r="A6250" t="s">
        <v>3115</v>
      </c>
      <c r="B6250" s="1">
        <v>45741</v>
      </c>
      <c r="C6250" t="s">
        <v>7621</v>
      </c>
      <c r="D6250" t="s">
        <v>5188</v>
      </c>
      <c r="E6250" t="s">
        <v>9280</v>
      </c>
      <c r="F6250" t="s">
        <v>8557</v>
      </c>
      <c r="G6250" t="s">
        <v>8558</v>
      </c>
      <c r="H6250" t="s">
        <v>5189</v>
      </c>
      <c r="J6250">
        <v>300</v>
      </c>
      <c r="L6250" t="s">
        <v>5874</v>
      </c>
    </row>
    <row r="6251" spans="1:12" x14ac:dyDescent="0.35">
      <c r="A6251" t="s">
        <v>3115</v>
      </c>
      <c r="B6251" s="1">
        <v>45741</v>
      </c>
      <c r="C6251" t="s">
        <v>7622</v>
      </c>
      <c r="D6251" t="s">
        <v>5190</v>
      </c>
      <c r="E6251" t="s">
        <v>9791</v>
      </c>
      <c r="F6251" t="s">
        <v>6802</v>
      </c>
      <c r="H6251" t="s">
        <v>5191</v>
      </c>
      <c r="K6251">
        <v>200000</v>
      </c>
      <c r="L6251" t="s">
        <v>6803</v>
      </c>
    </row>
    <row r="6252" spans="1:12" x14ac:dyDescent="0.35">
      <c r="A6252" t="s">
        <v>3115</v>
      </c>
      <c r="B6252" s="1">
        <v>45741</v>
      </c>
      <c r="C6252" t="s">
        <v>7622</v>
      </c>
      <c r="D6252" t="s">
        <v>5190</v>
      </c>
      <c r="E6252" t="s">
        <v>9791</v>
      </c>
      <c r="F6252" t="s">
        <v>8537</v>
      </c>
      <c r="G6252" t="s">
        <v>8538</v>
      </c>
      <c r="H6252" t="s">
        <v>5191</v>
      </c>
      <c r="J6252">
        <v>200000</v>
      </c>
      <c r="L6252" t="s">
        <v>5875</v>
      </c>
    </row>
    <row r="6253" spans="1:12" x14ac:dyDescent="0.35">
      <c r="A6253" t="s">
        <v>3115</v>
      </c>
      <c r="B6253" s="1">
        <v>45741</v>
      </c>
      <c r="C6253" t="s">
        <v>7625</v>
      </c>
      <c r="D6253" t="s">
        <v>5192</v>
      </c>
      <c r="E6253" t="s">
        <v>9792</v>
      </c>
      <c r="F6253" t="s">
        <v>6811</v>
      </c>
      <c r="H6253" t="s">
        <v>5193</v>
      </c>
      <c r="K6253">
        <v>4600</v>
      </c>
      <c r="L6253" t="s">
        <v>6803</v>
      </c>
    </row>
    <row r="6254" spans="1:12" x14ac:dyDescent="0.35">
      <c r="A6254" t="s">
        <v>3115</v>
      </c>
      <c r="B6254" s="1">
        <v>45741</v>
      </c>
      <c r="C6254" t="s">
        <v>7625</v>
      </c>
      <c r="D6254" t="s">
        <v>5192</v>
      </c>
      <c r="E6254" t="s">
        <v>9792</v>
      </c>
      <c r="F6254" t="s">
        <v>8557</v>
      </c>
      <c r="G6254" t="s">
        <v>8558</v>
      </c>
      <c r="H6254" t="s">
        <v>5193</v>
      </c>
      <c r="J6254">
        <v>4600</v>
      </c>
      <c r="L6254" t="s">
        <v>5875</v>
      </c>
    </row>
    <row r="6255" spans="1:12" x14ac:dyDescent="0.35">
      <c r="A6255" t="s">
        <v>3115</v>
      </c>
      <c r="B6255" s="1">
        <v>45741</v>
      </c>
      <c r="C6255" t="s">
        <v>7555</v>
      </c>
      <c r="D6255" t="s">
        <v>5194</v>
      </c>
      <c r="E6255" t="s">
        <v>9228</v>
      </c>
      <c r="F6255" t="s">
        <v>6802</v>
      </c>
      <c r="H6255" t="s">
        <v>5195</v>
      </c>
      <c r="K6255">
        <v>80000</v>
      </c>
      <c r="L6255" t="s">
        <v>6803</v>
      </c>
    </row>
    <row r="6256" spans="1:12" x14ac:dyDescent="0.35">
      <c r="A6256" t="s">
        <v>3115</v>
      </c>
      <c r="B6256" s="1">
        <v>45741</v>
      </c>
      <c r="C6256" t="s">
        <v>7555</v>
      </c>
      <c r="D6256" t="s">
        <v>5194</v>
      </c>
      <c r="E6256" t="s">
        <v>9228</v>
      </c>
      <c r="F6256" t="s">
        <v>8537</v>
      </c>
      <c r="G6256" t="s">
        <v>8538</v>
      </c>
      <c r="H6256" t="s">
        <v>5195</v>
      </c>
      <c r="J6256">
        <v>80000</v>
      </c>
      <c r="L6256" t="s">
        <v>5876</v>
      </c>
    </row>
    <row r="6257" spans="1:12" x14ac:dyDescent="0.35">
      <c r="A6257" t="s">
        <v>3115</v>
      </c>
      <c r="B6257" s="1">
        <v>45741</v>
      </c>
      <c r="C6257" t="s">
        <v>7627</v>
      </c>
      <c r="D6257" t="s">
        <v>5196</v>
      </c>
      <c r="F6257" t="s">
        <v>6811</v>
      </c>
      <c r="H6257" t="s">
        <v>5197</v>
      </c>
      <c r="K6257">
        <v>5745</v>
      </c>
      <c r="L6257" t="s">
        <v>6803</v>
      </c>
    </row>
    <row r="6258" spans="1:12" x14ac:dyDescent="0.35">
      <c r="A6258" t="s">
        <v>3115</v>
      </c>
      <c r="B6258" s="1">
        <v>45741</v>
      </c>
      <c r="C6258" t="s">
        <v>7627</v>
      </c>
      <c r="D6258" t="s">
        <v>5196</v>
      </c>
      <c r="F6258" t="s">
        <v>8557</v>
      </c>
      <c r="G6258" t="s">
        <v>8558</v>
      </c>
      <c r="H6258" t="s">
        <v>5197</v>
      </c>
      <c r="J6258">
        <v>5745</v>
      </c>
      <c r="L6258" t="s">
        <v>5875</v>
      </c>
    </row>
    <row r="6259" spans="1:12" x14ac:dyDescent="0.35">
      <c r="A6259" t="s">
        <v>3115</v>
      </c>
      <c r="B6259" s="1">
        <v>45741</v>
      </c>
      <c r="C6259" t="s">
        <v>7629</v>
      </c>
      <c r="D6259" t="s">
        <v>5198</v>
      </c>
      <c r="E6259" t="s">
        <v>9230</v>
      </c>
      <c r="F6259" t="s">
        <v>6802</v>
      </c>
      <c r="H6259" t="s">
        <v>5199</v>
      </c>
      <c r="K6259">
        <v>20000</v>
      </c>
      <c r="L6259" t="s">
        <v>6803</v>
      </c>
    </row>
    <row r="6260" spans="1:12" x14ac:dyDescent="0.35">
      <c r="A6260" t="s">
        <v>3115</v>
      </c>
      <c r="B6260" s="1">
        <v>45741</v>
      </c>
      <c r="C6260" t="s">
        <v>7629</v>
      </c>
      <c r="D6260" t="s">
        <v>5198</v>
      </c>
      <c r="E6260" t="s">
        <v>9230</v>
      </c>
      <c r="F6260" t="s">
        <v>8537</v>
      </c>
      <c r="G6260" t="s">
        <v>8538</v>
      </c>
      <c r="H6260" t="s">
        <v>5199</v>
      </c>
      <c r="J6260">
        <v>20000</v>
      </c>
      <c r="L6260" t="s">
        <v>5875</v>
      </c>
    </row>
    <row r="6261" spans="1:12" x14ac:dyDescent="0.35">
      <c r="A6261" t="s">
        <v>3115</v>
      </c>
      <c r="B6261" s="1">
        <v>45741</v>
      </c>
      <c r="C6261" t="s">
        <v>7631</v>
      </c>
      <c r="D6261" t="s">
        <v>5200</v>
      </c>
      <c r="E6261" t="s">
        <v>9227</v>
      </c>
      <c r="F6261" t="s">
        <v>6802</v>
      </c>
      <c r="H6261" t="s">
        <v>5201</v>
      </c>
      <c r="K6261">
        <v>45000</v>
      </c>
      <c r="L6261" t="s">
        <v>6803</v>
      </c>
    </row>
    <row r="6262" spans="1:12" x14ac:dyDescent="0.35">
      <c r="A6262" t="s">
        <v>3115</v>
      </c>
      <c r="B6262" s="1">
        <v>45741</v>
      </c>
      <c r="C6262" t="s">
        <v>7631</v>
      </c>
      <c r="D6262" t="s">
        <v>5200</v>
      </c>
      <c r="E6262" t="s">
        <v>9227</v>
      </c>
      <c r="F6262" t="s">
        <v>8537</v>
      </c>
      <c r="G6262" t="s">
        <v>8538</v>
      </c>
      <c r="H6262" t="s">
        <v>5201</v>
      </c>
      <c r="J6262">
        <v>45000</v>
      </c>
      <c r="L6262" t="s">
        <v>5876</v>
      </c>
    </row>
    <row r="6263" spans="1:12" x14ac:dyDescent="0.35">
      <c r="A6263" t="s">
        <v>3115</v>
      </c>
      <c r="B6263" s="1">
        <v>45741</v>
      </c>
      <c r="C6263" t="s">
        <v>7633</v>
      </c>
      <c r="D6263" t="s">
        <v>5202</v>
      </c>
      <c r="E6263" t="s">
        <v>9226</v>
      </c>
      <c r="F6263" t="s">
        <v>6802</v>
      </c>
      <c r="H6263" t="s">
        <v>5203</v>
      </c>
      <c r="K6263">
        <v>15000</v>
      </c>
      <c r="L6263" t="s">
        <v>6803</v>
      </c>
    </row>
    <row r="6264" spans="1:12" x14ac:dyDescent="0.35">
      <c r="A6264" t="s">
        <v>3115</v>
      </c>
      <c r="B6264" s="1">
        <v>45741</v>
      </c>
      <c r="C6264" t="s">
        <v>7633</v>
      </c>
      <c r="D6264" t="s">
        <v>5202</v>
      </c>
      <c r="E6264" t="s">
        <v>9226</v>
      </c>
      <c r="F6264" t="s">
        <v>8537</v>
      </c>
      <c r="G6264" t="s">
        <v>8538</v>
      </c>
      <c r="H6264" t="s">
        <v>5203</v>
      </c>
      <c r="J6264">
        <v>15000</v>
      </c>
      <c r="L6264" t="s">
        <v>5875</v>
      </c>
    </row>
    <row r="6265" spans="1:12" x14ac:dyDescent="0.35">
      <c r="A6265" t="s">
        <v>3115</v>
      </c>
      <c r="B6265" s="1">
        <v>45741</v>
      </c>
      <c r="C6265" t="s">
        <v>7635</v>
      </c>
      <c r="D6265" t="s">
        <v>5204</v>
      </c>
      <c r="E6265" t="s">
        <v>9793</v>
      </c>
      <c r="F6265" t="s">
        <v>6811</v>
      </c>
      <c r="H6265" t="s">
        <v>5205</v>
      </c>
      <c r="K6265">
        <v>2841</v>
      </c>
      <c r="L6265" t="s">
        <v>6803</v>
      </c>
    </row>
    <row r="6266" spans="1:12" x14ac:dyDescent="0.35">
      <c r="A6266" t="s">
        <v>3115</v>
      </c>
      <c r="B6266" s="1">
        <v>45741</v>
      </c>
      <c r="C6266" t="s">
        <v>7635</v>
      </c>
      <c r="D6266" t="s">
        <v>5204</v>
      </c>
      <c r="E6266" t="s">
        <v>9793</v>
      </c>
      <c r="F6266" t="s">
        <v>8557</v>
      </c>
      <c r="G6266" t="s">
        <v>8558</v>
      </c>
      <c r="H6266" t="s">
        <v>5205</v>
      </c>
      <c r="J6266">
        <v>2841</v>
      </c>
      <c r="L6266" t="s">
        <v>5966</v>
      </c>
    </row>
    <row r="6267" spans="1:12" x14ac:dyDescent="0.35">
      <c r="A6267" t="s">
        <v>3115</v>
      </c>
      <c r="B6267" s="1">
        <v>45741</v>
      </c>
      <c r="C6267" t="s">
        <v>7636</v>
      </c>
      <c r="D6267" t="s">
        <v>5206</v>
      </c>
      <c r="E6267" t="s">
        <v>9794</v>
      </c>
      <c r="F6267" t="s">
        <v>6802</v>
      </c>
      <c r="H6267" t="s">
        <v>5207</v>
      </c>
      <c r="K6267">
        <v>15000</v>
      </c>
      <c r="L6267" t="s">
        <v>6803</v>
      </c>
    </row>
    <row r="6268" spans="1:12" x14ac:dyDescent="0.35">
      <c r="A6268" t="s">
        <v>3115</v>
      </c>
      <c r="B6268" s="1">
        <v>45741</v>
      </c>
      <c r="C6268" t="s">
        <v>7636</v>
      </c>
      <c r="D6268" t="s">
        <v>5206</v>
      </c>
      <c r="E6268" t="s">
        <v>9794</v>
      </c>
      <c r="F6268" t="s">
        <v>8537</v>
      </c>
      <c r="G6268" t="s">
        <v>8538</v>
      </c>
      <c r="H6268" t="s">
        <v>5207</v>
      </c>
      <c r="J6268">
        <v>15000</v>
      </c>
      <c r="L6268" t="s">
        <v>5873</v>
      </c>
    </row>
    <row r="6269" spans="1:12" x14ac:dyDescent="0.35">
      <c r="A6269" t="s">
        <v>3115</v>
      </c>
      <c r="B6269" s="1">
        <v>45741</v>
      </c>
      <c r="C6269" t="s">
        <v>7637</v>
      </c>
      <c r="D6269" t="s">
        <v>5208</v>
      </c>
      <c r="E6269" t="s">
        <v>9795</v>
      </c>
      <c r="F6269" t="s">
        <v>6802</v>
      </c>
      <c r="H6269" t="s">
        <v>5209</v>
      </c>
      <c r="K6269">
        <v>80000</v>
      </c>
      <c r="L6269" t="s">
        <v>6803</v>
      </c>
    </row>
    <row r="6270" spans="1:12" x14ac:dyDescent="0.35">
      <c r="A6270" t="s">
        <v>3115</v>
      </c>
      <c r="B6270" s="1">
        <v>45741</v>
      </c>
      <c r="C6270" t="s">
        <v>7637</v>
      </c>
      <c r="D6270" t="s">
        <v>5208</v>
      </c>
      <c r="E6270" t="s">
        <v>9795</v>
      </c>
      <c r="F6270" t="s">
        <v>8537</v>
      </c>
      <c r="G6270" t="s">
        <v>8538</v>
      </c>
      <c r="H6270" t="s">
        <v>5209</v>
      </c>
      <c r="J6270">
        <v>80000</v>
      </c>
      <c r="L6270" t="s">
        <v>5875</v>
      </c>
    </row>
    <row r="6271" spans="1:12" x14ac:dyDescent="0.35">
      <c r="A6271" t="s">
        <v>3115</v>
      </c>
      <c r="B6271" s="1">
        <v>45741</v>
      </c>
      <c r="C6271" t="s">
        <v>7638</v>
      </c>
      <c r="D6271" t="s">
        <v>5210</v>
      </c>
      <c r="E6271" t="s">
        <v>9795</v>
      </c>
      <c r="F6271" t="s">
        <v>6802</v>
      </c>
      <c r="H6271" t="s">
        <v>5211</v>
      </c>
      <c r="K6271">
        <v>300</v>
      </c>
      <c r="L6271" t="s">
        <v>6803</v>
      </c>
    </row>
    <row r="6272" spans="1:12" x14ac:dyDescent="0.35">
      <c r="A6272" t="s">
        <v>3115</v>
      </c>
      <c r="B6272" s="1">
        <v>45741</v>
      </c>
      <c r="C6272" t="s">
        <v>7638</v>
      </c>
      <c r="D6272" t="s">
        <v>5210</v>
      </c>
      <c r="E6272" t="s">
        <v>9795</v>
      </c>
      <c r="F6272" t="s">
        <v>8557</v>
      </c>
      <c r="G6272" t="s">
        <v>8558</v>
      </c>
      <c r="H6272" t="s">
        <v>5211</v>
      </c>
      <c r="J6272">
        <v>300</v>
      </c>
      <c r="L6272" t="s">
        <v>5875</v>
      </c>
    </row>
    <row r="6273" spans="1:12" x14ac:dyDescent="0.35">
      <c r="A6273" t="s">
        <v>3115</v>
      </c>
      <c r="B6273" s="1">
        <v>45741</v>
      </c>
      <c r="C6273" t="s">
        <v>7640</v>
      </c>
      <c r="D6273" t="s">
        <v>5212</v>
      </c>
      <c r="E6273" t="s">
        <v>9796</v>
      </c>
      <c r="F6273" t="s">
        <v>6802</v>
      </c>
      <c r="H6273" t="s">
        <v>5213</v>
      </c>
      <c r="K6273">
        <v>6166</v>
      </c>
      <c r="L6273" t="s">
        <v>6803</v>
      </c>
    </row>
    <row r="6274" spans="1:12" x14ac:dyDescent="0.35">
      <c r="A6274" t="s">
        <v>3115</v>
      </c>
      <c r="B6274" s="1">
        <v>45741</v>
      </c>
      <c r="C6274" t="s">
        <v>7640</v>
      </c>
      <c r="D6274" t="s">
        <v>5212</v>
      </c>
      <c r="E6274" t="s">
        <v>9796</v>
      </c>
      <c r="F6274" t="s">
        <v>8537</v>
      </c>
      <c r="G6274" t="s">
        <v>8538</v>
      </c>
      <c r="H6274" t="s">
        <v>5213</v>
      </c>
      <c r="J6274">
        <v>6166</v>
      </c>
      <c r="L6274" t="s">
        <v>5876</v>
      </c>
    </row>
    <row r="6275" spans="1:12" x14ac:dyDescent="0.35">
      <c r="A6275" t="s">
        <v>3115</v>
      </c>
      <c r="B6275" s="1">
        <v>45741</v>
      </c>
      <c r="C6275" t="s">
        <v>7642</v>
      </c>
      <c r="D6275" t="s">
        <v>5214</v>
      </c>
      <c r="E6275" t="s">
        <v>9797</v>
      </c>
      <c r="F6275" t="s">
        <v>6811</v>
      </c>
      <c r="H6275" t="s">
        <v>5215</v>
      </c>
      <c r="K6275">
        <v>294</v>
      </c>
      <c r="L6275" t="s">
        <v>6803</v>
      </c>
    </row>
    <row r="6276" spans="1:12" x14ac:dyDescent="0.35">
      <c r="A6276" t="s">
        <v>3115</v>
      </c>
      <c r="B6276" s="1">
        <v>45741</v>
      </c>
      <c r="C6276" t="s">
        <v>7642</v>
      </c>
      <c r="D6276" t="s">
        <v>5214</v>
      </c>
      <c r="E6276" t="s">
        <v>9797</v>
      </c>
      <c r="F6276" t="s">
        <v>6802</v>
      </c>
      <c r="H6276" t="s">
        <v>5215</v>
      </c>
      <c r="K6276">
        <v>800</v>
      </c>
      <c r="L6276" t="s">
        <v>6803</v>
      </c>
    </row>
    <row r="6277" spans="1:12" x14ac:dyDescent="0.35">
      <c r="A6277" t="s">
        <v>3115</v>
      </c>
      <c r="B6277" s="1">
        <v>45741</v>
      </c>
      <c r="C6277" t="s">
        <v>7642</v>
      </c>
      <c r="D6277" t="s">
        <v>5214</v>
      </c>
      <c r="E6277" t="s">
        <v>9797</v>
      </c>
      <c r="F6277" t="s">
        <v>8557</v>
      </c>
      <c r="G6277" t="s">
        <v>8558</v>
      </c>
      <c r="H6277" t="s">
        <v>5215</v>
      </c>
      <c r="J6277">
        <v>1094</v>
      </c>
      <c r="L6277" t="s">
        <v>5874</v>
      </c>
    </row>
    <row r="6278" spans="1:12" x14ac:dyDescent="0.35">
      <c r="A6278" t="s">
        <v>3115</v>
      </c>
      <c r="B6278" s="1">
        <v>45741</v>
      </c>
      <c r="C6278" t="s">
        <v>7645</v>
      </c>
      <c r="D6278" t="s">
        <v>5216</v>
      </c>
      <c r="E6278" t="s">
        <v>9798</v>
      </c>
      <c r="F6278" t="s">
        <v>6802</v>
      </c>
      <c r="H6278" t="s">
        <v>5217</v>
      </c>
      <c r="K6278">
        <v>68500</v>
      </c>
      <c r="L6278" t="s">
        <v>6803</v>
      </c>
    </row>
    <row r="6279" spans="1:12" x14ac:dyDescent="0.35">
      <c r="A6279" t="s">
        <v>3115</v>
      </c>
      <c r="B6279" s="1">
        <v>45741</v>
      </c>
      <c r="C6279" t="s">
        <v>7645</v>
      </c>
      <c r="D6279" t="s">
        <v>5216</v>
      </c>
      <c r="E6279" t="s">
        <v>9798</v>
      </c>
      <c r="F6279" t="s">
        <v>8537</v>
      </c>
      <c r="G6279" t="s">
        <v>8538</v>
      </c>
      <c r="H6279" t="s">
        <v>5217</v>
      </c>
      <c r="J6279">
        <v>68500</v>
      </c>
      <c r="L6279" t="s">
        <v>5875</v>
      </c>
    </row>
    <row r="6280" spans="1:12" x14ac:dyDescent="0.35">
      <c r="A6280" t="s">
        <v>3115</v>
      </c>
      <c r="B6280" s="1">
        <v>45741</v>
      </c>
      <c r="C6280" t="s">
        <v>7647</v>
      </c>
      <c r="D6280" t="s">
        <v>5218</v>
      </c>
      <c r="E6280" t="s">
        <v>9799</v>
      </c>
      <c r="F6280" t="s">
        <v>6802</v>
      </c>
      <c r="H6280" t="s">
        <v>5219</v>
      </c>
      <c r="K6280">
        <v>1837</v>
      </c>
      <c r="L6280" t="s">
        <v>6803</v>
      </c>
    </row>
    <row r="6281" spans="1:12" x14ac:dyDescent="0.35">
      <c r="A6281" t="s">
        <v>3115</v>
      </c>
      <c r="B6281" s="1">
        <v>45741</v>
      </c>
      <c r="C6281" t="s">
        <v>7647</v>
      </c>
      <c r="D6281" t="s">
        <v>5218</v>
      </c>
      <c r="E6281" t="s">
        <v>9799</v>
      </c>
      <c r="F6281" t="s">
        <v>8537</v>
      </c>
      <c r="G6281" t="s">
        <v>8538</v>
      </c>
      <c r="H6281" t="s">
        <v>5219</v>
      </c>
      <c r="J6281">
        <v>1837</v>
      </c>
      <c r="L6281" t="s">
        <v>5875</v>
      </c>
    </row>
    <row r="6282" spans="1:12" x14ac:dyDescent="0.35">
      <c r="A6282" t="s">
        <v>3115</v>
      </c>
      <c r="B6282" s="1">
        <v>45741</v>
      </c>
      <c r="C6282" t="s">
        <v>7495</v>
      </c>
      <c r="D6282" t="s">
        <v>5220</v>
      </c>
      <c r="E6282" t="s">
        <v>9800</v>
      </c>
      <c r="F6282" t="s">
        <v>6802</v>
      </c>
      <c r="H6282" t="s">
        <v>5221</v>
      </c>
      <c r="K6282">
        <v>65000</v>
      </c>
      <c r="L6282" t="s">
        <v>6803</v>
      </c>
    </row>
    <row r="6283" spans="1:12" x14ac:dyDescent="0.35">
      <c r="A6283" t="s">
        <v>3115</v>
      </c>
      <c r="B6283" s="1">
        <v>45741</v>
      </c>
      <c r="C6283" t="s">
        <v>7495</v>
      </c>
      <c r="D6283" t="s">
        <v>5220</v>
      </c>
      <c r="E6283" t="s">
        <v>9800</v>
      </c>
      <c r="F6283" t="s">
        <v>8537</v>
      </c>
      <c r="G6283" t="s">
        <v>8538</v>
      </c>
      <c r="H6283" t="s">
        <v>5221</v>
      </c>
      <c r="J6283">
        <v>65000</v>
      </c>
      <c r="L6283" t="s">
        <v>5874</v>
      </c>
    </row>
    <row r="6284" spans="1:12" x14ac:dyDescent="0.35">
      <c r="A6284" t="s">
        <v>3115</v>
      </c>
      <c r="B6284" s="1">
        <v>45741</v>
      </c>
      <c r="C6284" t="s">
        <v>7496</v>
      </c>
      <c r="D6284" t="s">
        <v>5222</v>
      </c>
      <c r="E6284" t="s">
        <v>9801</v>
      </c>
      <c r="F6284" t="s">
        <v>6802</v>
      </c>
      <c r="H6284" t="s">
        <v>5223</v>
      </c>
      <c r="K6284">
        <v>2230</v>
      </c>
      <c r="L6284" t="s">
        <v>6803</v>
      </c>
    </row>
    <row r="6285" spans="1:12" x14ac:dyDescent="0.35">
      <c r="A6285" t="s">
        <v>3115</v>
      </c>
      <c r="B6285" s="1">
        <v>45741</v>
      </c>
      <c r="C6285" t="s">
        <v>7496</v>
      </c>
      <c r="D6285" t="s">
        <v>5222</v>
      </c>
      <c r="E6285" t="s">
        <v>9801</v>
      </c>
      <c r="F6285" t="s">
        <v>8537</v>
      </c>
      <c r="G6285" t="s">
        <v>8538</v>
      </c>
      <c r="H6285" t="s">
        <v>5223</v>
      </c>
      <c r="J6285">
        <v>2230</v>
      </c>
      <c r="L6285" t="s">
        <v>5875</v>
      </c>
    </row>
    <row r="6286" spans="1:12" x14ac:dyDescent="0.35">
      <c r="A6286" t="s">
        <v>3115</v>
      </c>
      <c r="B6286" s="1">
        <v>45741</v>
      </c>
      <c r="C6286" t="s">
        <v>7497</v>
      </c>
      <c r="D6286" t="s">
        <v>5224</v>
      </c>
      <c r="E6286" t="s">
        <v>9802</v>
      </c>
      <c r="F6286" t="s">
        <v>6802</v>
      </c>
      <c r="H6286" t="s">
        <v>5225</v>
      </c>
      <c r="K6286">
        <v>150000</v>
      </c>
      <c r="L6286" t="s">
        <v>6803</v>
      </c>
    </row>
    <row r="6287" spans="1:12" x14ac:dyDescent="0.35">
      <c r="A6287" t="s">
        <v>3115</v>
      </c>
      <c r="B6287" s="1">
        <v>45741</v>
      </c>
      <c r="C6287" t="s">
        <v>7497</v>
      </c>
      <c r="D6287" t="s">
        <v>5224</v>
      </c>
      <c r="E6287" t="s">
        <v>9802</v>
      </c>
      <c r="F6287" t="s">
        <v>8537</v>
      </c>
      <c r="G6287" t="s">
        <v>8538</v>
      </c>
      <c r="H6287" t="s">
        <v>5225</v>
      </c>
      <c r="J6287">
        <v>150000</v>
      </c>
      <c r="L6287" t="s">
        <v>5874</v>
      </c>
    </row>
    <row r="6288" spans="1:12" x14ac:dyDescent="0.35">
      <c r="A6288" t="s">
        <v>3115</v>
      </c>
      <c r="B6288" s="1">
        <v>45741</v>
      </c>
      <c r="C6288" t="s">
        <v>7498</v>
      </c>
      <c r="D6288" t="s">
        <v>5226</v>
      </c>
      <c r="E6288" t="s">
        <v>9803</v>
      </c>
      <c r="F6288" t="s">
        <v>6802</v>
      </c>
      <c r="H6288" t="s">
        <v>5227</v>
      </c>
      <c r="K6288">
        <v>7543</v>
      </c>
      <c r="L6288" t="s">
        <v>6803</v>
      </c>
    </row>
    <row r="6289" spans="1:12" x14ac:dyDescent="0.35">
      <c r="A6289" t="s">
        <v>3115</v>
      </c>
      <c r="B6289" s="1">
        <v>45741</v>
      </c>
      <c r="C6289" t="s">
        <v>7498</v>
      </c>
      <c r="D6289" t="s">
        <v>5226</v>
      </c>
      <c r="E6289" t="s">
        <v>9803</v>
      </c>
      <c r="F6289" t="s">
        <v>8537</v>
      </c>
      <c r="G6289" t="s">
        <v>8538</v>
      </c>
      <c r="H6289" t="s">
        <v>5227</v>
      </c>
      <c r="J6289">
        <v>7543</v>
      </c>
      <c r="L6289" t="s">
        <v>5875</v>
      </c>
    </row>
    <row r="6290" spans="1:12" x14ac:dyDescent="0.35">
      <c r="A6290" t="s">
        <v>3115</v>
      </c>
      <c r="B6290" s="1">
        <v>45741</v>
      </c>
      <c r="C6290" t="s">
        <v>7499</v>
      </c>
      <c r="D6290" t="s">
        <v>5228</v>
      </c>
      <c r="E6290" t="s">
        <v>9804</v>
      </c>
      <c r="F6290" t="s">
        <v>6811</v>
      </c>
      <c r="H6290" t="s">
        <v>5229</v>
      </c>
      <c r="K6290">
        <v>3409</v>
      </c>
      <c r="L6290" t="s">
        <v>6803</v>
      </c>
    </row>
    <row r="6291" spans="1:12" x14ac:dyDescent="0.35">
      <c r="A6291" t="s">
        <v>3115</v>
      </c>
      <c r="B6291" s="1">
        <v>45741</v>
      </c>
      <c r="C6291" t="s">
        <v>7499</v>
      </c>
      <c r="D6291" t="s">
        <v>5228</v>
      </c>
      <c r="E6291" t="s">
        <v>9804</v>
      </c>
      <c r="F6291" t="s">
        <v>8557</v>
      </c>
      <c r="G6291" t="s">
        <v>8558</v>
      </c>
      <c r="H6291" t="s">
        <v>5229</v>
      </c>
      <c r="J6291">
        <v>3409</v>
      </c>
      <c r="L6291" t="s">
        <v>5880</v>
      </c>
    </row>
    <row r="6292" spans="1:12" x14ac:dyDescent="0.35">
      <c r="A6292" t="s">
        <v>3115</v>
      </c>
      <c r="B6292" s="1">
        <v>45741</v>
      </c>
      <c r="C6292" t="s">
        <v>7649</v>
      </c>
      <c r="D6292" t="s">
        <v>5230</v>
      </c>
      <c r="E6292" t="s">
        <v>9805</v>
      </c>
      <c r="F6292" t="s">
        <v>6802</v>
      </c>
      <c r="H6292" t="s">
        <v>5231</v>
      </c>
      <c r="K6292">
        <v>3500</v>
      </c>
      <c r="L6292" t="s">
        <v>6803</v>
      </c>
    </row>
    <row r="6293" spans="1:12" x14ac:dyDescent="0.35">
      <c r="A6293" t="s">
        <v>3115</v>
      </c>
      <c r="B6293" s="1">
        <v>45741</v>
      </c>
      <c r="C6293" t="s">
        <v>7649</v>
      </c>
      <c r="D6293" t="s">
        <v>5230</v>
      </c>
      <c r="E6293" t="s">
        <v>9805</v>
      </c>
      <c r="F6293" t="s">
        <v>8537</v>
      </c>
      <c r="G6293" t="s">
        <v>8538</v>
      </c>
      <c r="H6293" t="s">
        <v>5231</v>
      </c>
      <c r="J6293">
        <v>3500</v>
      </c>
      <c r="L6293" t="s">
        <v>5880</v>
      </c>
    </row>
    <row r="6294" spans="1:12" x14ac:dyDescent="0.35">
      <c r="A6294" t="s">
        <v>3115</v>
      </c>
      <c r="B6294" s="1">
        <v>45741</v>
      </c>
      <c r="C6294" t="s">
        <v>7651</v>
      </c>
      <c r="D6294" t="s">
        <v>5232</v>
      </c>
      <c r="E6294" t="s">
        <v>9806</v>
      </c>
      <c r="F6294" t="s">
        <v>6811</v>
      </c>
      <c r="H6294" t="s">
        <v>5233</v>
      </c>
      <c r="K6294">
        <v>2700</v>
      </c>
      <c r="L6294" t="s">
        <v>6803</v>
      </c>
    </row>
    <row r="6295" spans="1:12" x14ac:dyDescent="0.35">
      <c r="A6295" t="s">
        <v>3115</v>
      </c>
      <c r="B6295" s="1">
        <v>45741</v>
      </c>
      <c r="C6295" t="s">
        <v>7651</v>
      </c>
      <c r="D6295" t="s">
        <v>5232</v>
      </c>
      <c r="E6295" t="s">
        <v>9806</v>
      </c>
      <c r="F6295" t="s">
        <v>8557</v>
      </c>
      <c r="G6295" t="s">
        <v>8558</v>
      </c>
      <c r="H6295" t="s">
        <v>5233</v>
      </c>
      <c r="J6295">
        <v>2700</v>
      </c>
      <c r="L6295" t="s">
        <v>5949</v>
      </c>
    </row>
    <row r="6296" spans="1:12" x14ac:dyDescent="0.35">
      <c r="A6296" t="s">
        <v>3115</v>
      </c>
      <c r="B6296" s="1">
        <v>45741</v>
      </c>
      <c r="C6296" t="s">
        <v>7653</v>
      </c>
      <c r="D6296" t="s">
        <v>5234</v>
      </c>
      <c r="E6296" t="s">
        <v>9807</v>
      </c>
      <c r="F6296" t="s">
        <v>6802</v>
      </c>
      <c r="H6296" t="s">
        <v>5235</v>
      </c>
      <c r="K6296">
        <v>31093</v>
      </c>
      <c r="L6296" t="s">
        <v>6803</v>
      </c>
    </row>
    <row r="6297" spans="1:12" x14ac:dyDescent="0.35">
      <c r="A6297" t="s">
        <v>3115</v>
      </c>
      <c r="B6297" s="1">
        <v>45741</v>
      </c>
      <c r="C6297" t="s">
        <v>7653</v>
      </c>
      <c r="D6297" t="s">
        <v>5234</v>
      </c>
      <c r="E6297" t="s">
        <v>9807</v>
      </c>
      <c r="F6297" t="s">
        <v>8537</v>
      </c>
      <c r="G6297" t="s">
        <v>8538</v>
      </c>
      <c r="H6297" t="s">
        <v>5235</v>
      </c>
      <c r="J6297">
        <v>31093</v>
      </c>
      <c r="L6297" t="s">
        <v>5966</v>
      </c>
    </row>
    <row r="6298" spans="1:12" x14ac:dyDescent="0.35">
      <c r="A6298" t="s">
        <v>3115</v>
      </c>
      <c r="B6298" s="1">
        <v>45741</v>
      </c>
      <c r="C6298" t="s">
        <v>7655</v>
      </c>
      <c r="D6298" t="s">
        <v>5236</v>
      </c>
      <c r="E6298" t="s">
        <v>9808</v>
      </c>
      <c r="F6298" t="s">
        <v>6802</v>
      </c>
      <c r="H6298" t="s">
        <v>5237</v>
      </c>
      <c r="K6298">
        <v>5295</v>
      </c>
      <c r="L6298" t="s">
        <v>6803</v>
      </c>
    </row>
    <row r="6299" spans="1:12" x14ac:dyDescent="0.35">
      <c r="A6299" t="s">
        <v>3115</v>
      </c>
      <c r="B6299" s="1">
        <v>45741</v>
      </c>
      <c r="C6299" t="s">
        <v>7655</v>
      </c>
      <c r="D6299" t="s">
        <v>5236</v>
      </c>
      <c r="E6299" t="s">
        <v>9808</v>
      </c>
      <c r="F6299" t="s">
        <v>8557</v>
      </c>
      <c r="G6299" t="s">
        <v>8558</v>
      </c>
      <c r="H6299" t="s">
        <v>5237</v>
      </c>
      <c r="J6299">
        <v>5295</v>
      </c>
      <c r="L6299" t="s">
        <v>5873</v>
      </c>
    </row>
    <row r="6300" spans="1:12" x14ac:dyDescent="0.35">
      <c r="A6300" t="s">
        <v>3115</v>
      </c>
      <c r="B6300" s="1">
        <v>45741</v>
      </c>
      <c r="C6300" t="s">
        <v>7657</v>
      </c>
      <c r="D6300" t="s">
        <v>5238</v>
      </c>
      <c r="E6300" t="s">
        <v>9807</v>
      </c>
      <c r="F6300" t="s">
        <v>6811</v>
      </c>
      <c r="H6300" t="s">
        <v>5239</v>
      </c>
      <c r="K6300">
        <v>1200</v>
      </c>
      <c r="L6300" t="s">
        <v>6803</v>
      </c>
    </row>
    <row r="6301" spans="1:12" x14ac:dyDescent="0.35">
      <c r="A6301" t="s">
        <v>3115</v>
      </c>
      <c r="B6301" s="1">
        <v>45741</v>
      </c>
      <c r="C6301" t="s">
        <v>7657</v>
      </c>
      <c r="D6301" t="s">
        <v>5238</v>
      </c>
      <c r="E6301" t="s">
        <v>9807</v>
      </c>
      <c r="F6301" t="s">
        <v>6802</v>
      </c>
      <c r="H6301" t="s">
        <v>5239</v>
      </c>
      <c r="K6301">
        <v>500</v>
      </c>
      <c r="L6301" t="s">
        <v>6803</v>
      </c>
    </row>
    <row r="6302" spans="1:12" x14ac:dyDescent="0.35">
      <c r="A6302" t="s">
        <v>3115</v>
      </c>
      <c r="B6302" s="1">
        <v>45741</v>
      </c>
      <c r="C6302" t="s">
        <v>7657</v>
      </c>
      <c r="D6302" t="s">
        <v>5238</v>
      </c>
      <c r="E6302" t="s">
        <v>9807</v>
      </c>
      <c r="F6302" t="s">
        <v>8557</v>
      </c>
      <c r="G6302" t="s">
        <v>8558</v>
      </c>
      <c r="H6302" t="s">
        <v>5239</v>
      </c>
      <c r="J6302">
        <v>1700</v>
      </c>
      <c r="L6302" t="s">
        <v>5966</v>
      </c>
    </row>
    <row r="6303" spans="1:12" x14ac:dyDescent="0.35">
      <c r="A6303" t="s">
        <v>3115</v>
      </c>
      <c r="B6303" s="1">
        <v>45741</v>
      </c>
      <c r="C6303" t="s">
        <v>7659</v>
      </c>
      <c r="D6303" t="s">
        <v>5240</v>
      </c>
      <c r="E6303" t="s">
        <v>8546</v>
      </c>
      <c r="F6303" t="s">
        <v>6802</v>
      </c>
      <c r="H6303" t="s">
        <v>5241</v>
      </c>
      <c r="K6303">
        <v>18000</v>
      </c>
      <c r="L6303" t="s">
        <v>6803</v>
      </c>
    </row>
    <row r="6304" spans="1:12" x14ac:dyDescent="0.35">
      <c r="A6304" t="s">
        <v>3115</v>
      </c>
      <c r="B6304" s="1">
        <v>45741</v>
      </c>
      <c r="C6304" t="s">
        <v>7659</v>
      </c>
      <c r="D6304" t="s">
        <v>5240</v>
      </c>
      <c r="E6304" t="s">
        <v>8546</v>
      </c>
      <c r="F6304" t="s">
        <v>8537</v>
      </c>
      <c r="G6304" t="s">
        <v>8538</v>
      </c>
      <c r="H6304" t="s">
        <v>5241</v>
      </c>
      <c r="J6304">
        <v>18000</v>
      </c>
      <c r="L6304" t="s">
        <v>5880</v>
      </c>
    </row>
    <row r="6305" spans="1:12" x14ac:dyDescent="0.35">
      <c r="A6305" t="s">
        <v>3115</v>
      </c>
      <c r="B6305" s="1">
        <v>45741</v>
      </c>
      <c r="C6305" t="s">
        <v>7500</v>
      </c>
      <c r="D6305" t="s">
        <v>5242</v>
      </c>
      <c r="E6305" t="s">
        <v>9809</v>
      </c>
      <c r="F6305" t="s">
        <v>6808</v>
      </c>
      <c r="H6305" t="s">
        <v>5243</v>
      </c>
      <c r="K6305">
        <v>1649</v>
      </c>
      <c r="L6305" t="s">
        <v>6803</v>
      </c>
    </row>
    <row r="6306" spans="1:12" x14ac:dyDescent="0.35">
      <c r="A6306" t="s">
        <v>3115</v>
      </c>
      <c r="B6306" s="1">
        <v>45741</v>
      </c>
      <c r="C6306" t="s">
        <v>7500</v>
      </c>
      <c r="D6306" t="s">
        <v>5242</v>
      </c>
      <c r="E6306" t="s">
        <v>9809</v>
      </c>
      <c r="F6306" t="s">
        <v>8467</v>
      </c>
      <c r="G6306" t="s">
        <v>8567</v>
      </c>
      <c r="H6306" t="s">
        <v>5243</v>
      </c>
      <c r="J6306">
        <v>1649</v>
      </c>
      <c r="L6306" t="s">
        <v>5880</v>
      </c>
    </row>
    <row r="6307" spans="1:12" x14ac:dyDescent="0.35">
      <c r="A6307" t="s">
        <v>3115</v>
      </c>
      <c r="B6307" s="1">
        <v>45741</v>
      </c>
      <c r="C6307" t="s">
        <v>7503</v>
      </c>
      <c r="D6307" t="s">
        <v>5244</v>
      </c>
      <c r="E6307" t="s">
        <v>9810</v>
      </c>
      <c r="F6307" t="s">
        <v>6808</v>
      </c>
      <c r="H6307" t="s">
        <v>5245</v>
      </c>
      <c r="K6307">
        <v>3298</v>
      </c>
      <c r="L6307" t="s">
        <v>6803</v>
      </c>
    </row>
    <row r="6308" spans="1:12" x14ac:dyDescent="0.35">
      <c r="A6308" t="s">
        <v>3115</v>
      </c>
      <c r="B6308" s="1">
        <v>45741</v>
      </c>
      <c r="C6308" t="s">
        <v>7503</v>
      </c>
      <c r="D6308" t="s">
        <v>5244</v>
      </c>
      <c r="E6308" t="s">
        <v>9810</v>
      </c>
      <c r="F6308" t="s">
        <v>6802</v>
      </c>
      <c r="H6308" t="s">
        <v>5245</v>
      </c>
      <c r="K6308">
        <v>6356</v>
      </c>
      <c r="L6308" t="s">
        <v>6803</v>
      </c>
    </row>
    <row r="6309" spans="1:12" x14ac:dyDescent="0.35">
      <c r="A6309" t="s">
        <v>3115</v>
      </c>
      <c r="B6309" s="1">
        <v>45741</v>
      </c>
      <c r="C6309" t="s">
        <v>7503</v>
      </c>
      <c r="D6309" t="s">
        <v>5244</v>
      </c>
      <c r="E6309" t="s">
        <v>9810</v>
      </c>
      <c r="F6309" t="s">
        <v>8467</v>
      </c>
      <c r="G6309" t="s">
        <v>8567</v>
      </c>
      <c r="H6309" t="s">
        <v>5245</v>
      </c>
      <c r="J6309">
        <v>9654</v>
      </c>
      <c r="L6309" t="s">
        <v>5874</v>
      </c>
    </row>
    <row r="6310" spans="1:12" x14ac:dyDescent="0.35">
      <c r="A6310" t="s">
        <v>3115</v>
      </c>
      <c r="B6310" s="1">
        <v>45741</v>
      </c>
      <c r="C6310" t="s">
        <v>7505</v>
      </c>
      <c r="D6310" t="s">
        <v>5246</v>
      </c>
      <c r="E6310" t="s">
        <v>9811</v>
      </c>
      <c r="F6310" t="s">
        <v>6802</v>
      </c>
      <c r="H6310" t="s">
        <v>5247</v>
      </c>
      <c r="K6310">
        <v>30000</v>
      </c>
      <c r="L6310" t="s">
        <v>6803</v>
      </c>
    </row>
    <row r="6311" spans="1:12" x14ac:dyDescent="0.35">
      <c r="A6311" t="s">
        <v>3115</v>
      </c>
      <c r="B6311" s="1">
        <v>45741</v>
      </c>
      <c r="C6311" t="s">
        <v>7505</v>
      </c>
      <c r="D6311" t="s">
        <v>5246</v>
      </c>
      <c r="E6311" t="s">
        <v>9811</v>
      </c>
      <c r="F6311" t="s">
        <v>8537</v>
      </c>
      <c r="G6311" t="s">
        <v>8538</v>
      </c>
      <c r="H6311" t="s">
        <v>5247</v>
      </c>
      <c r="J6311">
        <v>30000</v>
      </c>
      <c r="L6311" t="s">
        <v>5880</v>
      </c>
    </row>
    <row r="6312" spans="1:12" x14ac:dyDescent="0.35">
      <c r="A6312" t="s">
        <v>3115</v>
      </c>
      <c r="B6312" s="1">
        <v>45741</v>
      </c>
      <c r="C6312" t="s">
        <v>7507</v>
      </c>
      <c r="D6312" t="s">
        <v>5248</v>
      </c>
      <c r="E6312" t="s">
        <v>9812</v>
      </c>
      <c r="F6312" t="s">
        <v>6808</v>
      </c>
      <c r="H6312" t="s">
        <v>5249</v>
      </c>
      <c r="K6312">
        <v>4947</v>
      </c>
      <c r="L6312" t="s">
        <v>6803</v>
      </c>
    </row>
    <row r="6313" spans="1:12" x14ac:dyDescent="0.35">
      <c r="A6313" t="s">
        <v>3115</v>
      </c>
      <c r="B6313" s="1">
        <v>45741</v>
      </c>
      <c r="C6313" t="s">
        <v>7507</v>
      </c>
      <c r="D6313" t="s">
        <v>5248</v>
      </c>
      <c r="E6313" t="s">
        <v>9812</v>
      </c>
      <c r="F6313" t="s">
        <v>8467</v>
      </c>
      <c r="G6313" t="s">
        <v>8567</v>
      </c>
      <c r="H6313" t="s">
        <v>5249</v>
      </c>
      <c r="J6313">
        <v>4947</v>
      </c>
      <c r="L6313" t="s">
        <v>5966</v>
      </c>
    </row>
    <row r="6314" spans="1:12" x14ac:dyDescent="0.35">
      <c r="A6314" t="s">
        <v>3115</v>
      </c>
      <c r="B6314" s="1">
        <v>45741</v>
      </c>
      <c r="C6314" t="s">
        <v>7661</v>
      </c>
      <c r="D6314" t="s">
        <v>5250</v>
      </c>
      <c r="E6314" t="s">
        <v>9813</v>
      </c>
      <c r="F6314" t="s">
        <v>6808</v>
      </c>
      <c r="H6314" t="s">
        <v>5251</v>
      </c>
      <c r="K6314">
        <v>2917</v>
      </c>
      <c r="L6314" t="s">
        <v>6803</v>
      </c>
    </row>
    <row r="6315" spans="1:12" x14ac:dyDescent="0.35">
      <c r="A6315" t="s">
        <v>3115</v>
      </c>
      <c r="B6315" s="1">
        <v>45741</v>
      </c>
      <c r="C6315" t="s">
        <v>7661</v>
      </c>
      <c r="D6315" t="s">
        <v>5250</v>
      </c>
      <c r="E6315" t="s">
        <v>9813</v>
      </c>
      <c r="F6315" t="s">
        <v>8467</v>
      </c>
      <c r="G6315" t="s">
        <v>8567</v>
      </c>
      <c r="H6315" t="s">
        <v>5251</v>
      </c>
      <c r="J6315">
        <v>2917</v>
      </c>
      <c r="L6315" t="s">
        <v>5966</v>
      </c>
    </row>
    <row r="6316" spans="1:12" x14ac:dyDescent="0.35">
      <c r="A6316" t="s">
        <v>3115</v>
      </c>
      <c r="B6316" s="1">
        <v>45741</v>
      </c>
      <c r="C6316" t="s">
        <v>7665</v>
      </c>
      <c r="D6316" t="s">
        <v>5252</v>
      </c>
      <c r="E6316" t="s">
        <v>8631</v>
      </c>
      <c r="F6316" t="s">
        <v>6802</v>
      </c>
      <c r="H6316" t="s">
        <v>5253</v>
      </c>
      <c r="K6316">
        <v>95000</v>
      </c>
      <c r="L6316" t="s">
        <v>6803</v>
      </c>
    </row>
    <row r="6317" spans="1:12" x14ac:dyDescent="0.35">
      <c r="A6317" t="s">
        <v>3115</v>
      </c>
      <c r="B6317" s="1">
        <v>45741</v>
      </c>
      <c r="C6317" t="s">
        <v>7665</v>
      </c>
      <c r="D6317" t="s">
        <v>5252</v>
      </c>
      <c r="E6317" t="s">
        <v>8631</v>
      </c>
      <c r="F6317" t="s">
        <v>8537</v>
      </c>
      <c r="G6317" t="s">
        <v>8538</v>
      </c>
      <c r="H6317" t="s">
        <v>5253</v>
      </c>
      <c r="J6317">
        <v>95000</v>
      </c>
      <c r="L6317" t="s">
        <v>5874</v>
      </c>
    </row>
    <row r="6318" spans="1:12" x14ac:dyDescent="0.35">
      <c r="A6318" t="s">
        <v>3115</v>
      </c>
      <c r="B6318" s="1">
        <v>45741</v>
      </c>
      <c r="C6318" t="s">
        <v>7676</v>
      </c>
      <c r="D6318" t="s">
        <v>5254</v>
      </c>
      <c r="E6318" t="s">
        <v>9814</v>
      </c>
      <c r="F6318" t="s">
        <v>6802</v>
      </c>
      <c r="H6318" t="s">
        <v>5255</v>
      </c>
      <c r="K6318">
        <v>1837</v>
      </c>
      <c r="L6318" t="s">
        <v>6803</v>
      </c>
    </row>
    <row r="6319" spans="1:12" x14ac:dyDescent="0.35">
      <c r="A6319" t="s">
        <v>3115</v>
      </c>
      <c r="B6319" s="1">
        <v>45741</v>
      </c>
      <c r="C6319" t="s">
        <v>7676</v>
      </c>
      <c r="D6319" t="s">
        <v>5254</v>
      </c>
      <c r="E6319" t="s">
        <v>9814</v>
      </c>
      <c r="F6319" t="s">
        <v>8537</v>
      </c>
      <c r="G6319" t="s">
        <v>8538</v>
      </c>
      <c r="H6319" t="s">
        <v>5255</v>
      </c>
      <c r="J6319">
        <v>1837</v>
      </c>
      <c r="L6319" t="s">
        <v>5875</v>
      </c>
    </row>
    <row r="6320" spans="1:12" x14ac:dyDescent="0.35">
      <c r="A6320" t="s">
        <v>3115</v>
      </c>
      <c r="B6320" s="1">
        <v>45741</v>
      </c>
      <c r="C6320" t="s">
        <v>7679</v>
      </c>
      <c r="D6320" t="s">
        <v>5256</v>
      </c>
      <c r="E6320" t="s">
        <v>8758</v>
      </c>
      <c r="F6320" t="s">
        <v>6802</v>
      </c>
      <c r="H6320" t="s">
        <v>5257</v>
      </c>
      <c r="K6320">
        <v>50000</v>
      </c>
      <c r="L6320" t="s">
        <v>6803</v>
      </c>
    </row>
    <row r="6321" spans="1:12" x14ac:dyDescent="0.35">
      <c r="A6321" t="s">
        <v>3115</v>
      </c>
      <c r="B6321" s="1">
        <v>45741</v>
      </c>
      <c r="C6321" t="s">
        <v>7679</v>
      </c>
      <c r="D6321" t="s">
        <v>5256</v>
      </c>
      <c r="E6321" t="s">
        <v>8758</v>
      </c>
      <c r="F6321" t="s">
        <v>8537</v>
      </c>
      <c r="G6321" t="s">
        <v>8538</v>
      </c>
      <c r="H6321" t="s">
        <v>5257</v>
      </c>
      <c r="J6321">
        <v>50000</v>
      </c>
      <c r="L6321" t="s">
        <v>5966</v>
      </c>
    </row>
    <row r="6322" spans="1:12" x14ac:dyDescent="0.35">
      <c r="A6322" t="s">
        <v>3115</v>
      </c>
      <c r="B6322" s="1">
        <v>45741</v>
      </c>
      <c r="C6322" t="s">
        <v>7682</v>
      </c>
      <c r="D6322" t="s">
        <v>5258</v>
      </c>
      <c r="E6322" t="s">
        <v>9814</v>
      </c>
      <c r="F6322" t="s">
        <v>6811</v>
      </c>
      <c r="H6322" t="s">
        <v>5259</v>
      </c>
      <c r="K6322">
        <v>600</v>
      </c>
      <c r="L6322" t="s">
        <v>6803</v>
      </c>
    </row>
    <row r="6323" spans="1:12" x14ac:dyDescent="0.35">
      <c r="A6323" t="s">
        <v>3115</v>
      </c>
      <c r="B6323" s="1">
        <v>45741</v>
      </c>
      <c r="C6323" t="s">
        <v>7682</v>
      </c>
      <c r="D6323" t="s">
        <v>5258</v>
      </c>
      <c r="E6323" t="s">
        <v>9814</v>
      </c>
      <c r="F6323" t="s">
        <v>8557</v>
      </c>
      <c r="G6323" t="s">
        <v>8558</v>
      </c>
      <c r="H6323" t="s">
        <v>5259</v>
      </c>
      <c r="J6323">
        <v>600</v>
      </c>
      <c r="L6323" t="s">
        <v>5875</v>
      </c>
    </row>
    <row r="6324" spans="1:12" x14ac:dyDescent="0.35">
      <c r="A6324" t="s">
        <v>3115</v>
      </c>
      <c r="B6324" s="1">
        <v>45741</v>
      </c>
      <c r="C6324" t="s">
        <v>7684</v>
      </c>
      <c r="D6324" t="s">
        <v>5260</v>
      </c>
      <c r="E6324" t="s">
        <v>9815</v>
      </c>
      <c r="F6324" t="s">
        <v>6808</v>
      </c>
      <c r="H6324" t="s">
        <v>5261</v>
      </c>
      <c r="K6324">
        <v>13440</v>
      </c>
      <c r="L6324" t="s">
        <v>6803</v>
      </c>
    </row>
    <row r="6325" spans="1:12" x14ac:dyDescent="0.35">
      <c r="A6325" t="s">
        <v>3115</v>
      </c>
      <c r="B6325" s="1">
        <v>45741</v>
      </c>
      <c r="C6325" t="s">
        <v>7684</v>
      </c>
      <c r="D6325" t="s">
        <v>5260</v>
      </c>
      <c r="E6325" t="s">
        <v>9815</v>
      </c>
      <c r="F6325" t="s">
        <v>8467</v>
      </c>
      <c r="G6325" t="s">
        <v>8567</v>
      </c>
      <c r="H6325" t="s">
        <v>5261</v>
      </c>
      <c r="J6325">
        <v>13440</v>
      </c>
      <c r="L6325" t="s">
        <v>5966</v>
      </c>
    </row>
    <row r="6326" spans="1:12" x14ac:dyDescent="0.35">
      <c r="A6326" t="s">
        <v>3115</v>
      </c>
      <c r="B6326" s="1">
        <v>45741</v>
      </c>
      <c r="C6326" t="s">
        <v>7578</v>
      </c>
      <c r="D6326" t="s">
        <v>5262</v>
      </c>
      <c r="E6326" t="s">
        <v>8697</v>
      </c>
      <c r="F6326" t="s">
        <v>6802</v>
      </c>
      <c r="H6326" t="s">
        <v>5263</v>
      </c>
      <c r="K6326">
        <v>300</v>
      </c>
      <c r="L6326" t="s">
        <v>6803</v>
      </c>
    </row>
    <row r="6327" spans="1:12" x14ac:dyDescent="0.35">
      <c r="A6327" t="s">
        <v>3115</v>
      </c>
      <c r="B6327" s="1">
        <v>45741</v>
      </c>
      <c r="C6327" t="s">
        <v>7578</v>
      </c>
      <c r="D6327" t="s">
        <v>5262</v>
      </c>
      <c r="E6327" t="s">
        <v>8697</v>
      </c>
      <c r="F6327" t="s">
        <v>8557</v>
      </c>
      <c r="G6327" t="s">
        <v>8558</v>
      </c>
      <c r="H6327" t="s">
        <v>5263</v>
      </c>
      <c r="J6327">
        <v>300</v>
      </c>
      <c r="L6327" t="s">
        <v>5874</v>
      </c>
    </row>
    <row r="6328" spans="1:12" x14ac:dyDescent="0.35">
      <c r="A6328" t="s">
        <v>3115</v>
      </c>
      <c r="B6328" s="1">
        <v>45741</v>
      </c>
      <c r="C6328" t="s">
        <v>7557</v>
      </c>
      <c r="D6328" t="s">
        <v>5264</v>
      </c>
      <c r="E6328" t="s">
        <v>8697</v>
      </c>
      <c r="F6328" t="s">
        <v>6802</v>
      </c>
      <c r="H6328" t="s">
        <v>5265</v>
      </c>
      <c r="K6328">
        <v>20000</v>
      </c>
      <c r="L6328" t="s">
        <v>6803</v>
      </c>
    </row>
    <row r="6329" spans="1:12" x14ac:dyDescent="0.35">
      <c r="A6329" t="s">
        <v>3115</v>
      </c>
      <c r="B6329" s="1">
        <v>45741</v>
      </c>
      <c r="C6329" t="s">
        <v>7557</v>
      </c>
      <c r="D6329" t="s">
        <v>5264</v>
      </c>
      <c r="E6329" t="s">
        <v>8697</v>
      </c>
      <c r="F6329" t="s">
        <v>8537</v>
      </c>
      <c r="G6329" t="s">
        <v>8538</v>
      </c>
      <c r="H6329" t="s">
        <v>5265</v>
      </c>
      <c r="J6329">
        <v>20000</v>
      </c>
      <c r="L6329" t="s">
        <v>5874</v>
      </c>
    </row>
    <row r="6330" spans="1:12" x14ac:dyDescent="0.35">
      <c r="A6330" t="s">
        <v>3115</v>
      </c>
      <c r="B6330" s="1">
        <v>45741</v>
      </c>
      <c r="C6330" t="s">
        <v>7685</v>
      </c>
      <c r="D6330" t="s">
        <v>5266</v>
      </c>
      <c r="E6330" t="s">
        <v>9816</v>
      </c>
      <c r="F6330" t="s">
        <v>6802</v>
      </c>
      <c r="H6330" t="s">
        <v>5267</v>
      </c>
      <c r="K6330">
        <v>2100</v>
      </c>
      <c r="L6330" t="s">
        <v>6803</v>
      </c>
    </row>
    <row r="6331" spans="1:12" x14ac:dyDescent="0.35">
      <c r="A6331" t="s">
        <v>3115</v>
      </c>
      <c r="B6331" s="1">
        <v>45741</v>
      </c>
      <c r="C6331" t="s">
        <v>7685</v>
      </c>
      <c r="D6331" t="s">
        <v>5266</v>
      </c>
      <c r="E6331" t="s">
        <v>9816</v>
      </c>
      <c r="F6331" t="s">
        <v>8557</v>
      </c>
      <c r="G6331" t="s">
        <v>8558</v>
      </c>
      <c r="H6331" t="s">
        <v>5267</v>
      </c>
      <c r="J6331">
        <v>2100</v>
      </c>
      <c r="L6331" t="s">
        <v>5876</v>
      </c>
    </row>
    <row r="6332" spans="1:12" x14ac:dyDescent="0.35">
      <c r="A6332" t="s">
        <v>3115</v>
      </c>
      <c r="B6332" s="1">
        <v>45741</v>
      </c>
      <c r="C6332" t="s">
        <v>7690</v>
      </c>
      <c r="D6332" t="s">
        <v>5268</v>
      </c>
      <c r="E6332" t="s">
        <v>9817</v>
      </c>
      <c r="F6332" t="s">
        <v>6802</v>
      </c>
      <c r="H6332" t="s">
        <v>5269</v>
      </c>
      <c r="K6332">
        <v>80000</v>
      </c>
      <c r="L6332" t="s">
        <v>6803</v>
      </c>
    </row>
    <row r="6333" spans="1:12" x14ac:dyDescent="0.35">
      <c r="A6333" t="s">
        <v>3115</v>
      </c>
      <c r="B6333" s="1">
        <v>45741</v>
      </c>
      <c r="C6333" t="s">
        <v>7690</v>
      </c>
      <c r="D6333" t="s">
        <v>5268</v>
      </c>
      <c r="E6333" t="s">
        <v>9817</v>
      </c>
      <c r="F6333" t="s">
        <v>8537</v>
      </c>
      <c r="G6333" t="s">
        <v>8538</v>
      </c>
      <c r="H6333" t="s">
        <v>5269</v>
      </c>
      <c r="J6333">
        <v>80000</v>
      </c>
      <c r="L6333" t="s">
        <v>5875</v>
      </c>
    </row>
    <row r="6334" spans="1:12" x14ac:dyDescent="0.35">
      <c r="A6334" t="s">
        <v>3115</v>
      </c>
      <c r="B6334" s="1">
        <v>45741</v>
      </c>
      <c r="C6334" t="s">
        <v>7692</v>
      </c>
      <c r="D6334" t="s">
        <v>5270</v>
      </c>
      <c r="E6334" t="s">
        <v>9816</v>
      </c>
      <c r="F6334" t="s">
        <v>6811</v>
      </c>
      <c r="H6334" t="s">
        <v>5271</v>
      </c>
      <c r="K6334">
        <v>600</v>
      </c>
      <c r="L6334" t="s">
        <v>6803</v>
      </c>
    </row>
    <row r="6335" spans="1:12" x14ac:dyDescent="0.35">
      <c r="A6335" t="s">
        <v>3115</v>
      </c>
      <c r="B6335" s="1">
        <v>45741</v>
      </c>
      <c r="C6335" t="s">
        <v>7692</v>
      </c>
      <c r="D6335" t="s">
        <v>5270</v>
      </c>
      <c r="E6335" t="s">
        <v>9816</v>
      </c>
      <c r="F6335" t="s">
        <v>8557</v>
      </c>
      <c r="G6335" t="s">
        <v>8558</v>
      </c>
      <c r="H6335" t="s">
        <v>5271</v>
      </c>
      <c r="J6335">
        <v>600</v>
      </c>
      <c r="L6335" t="s">
        <v>5876</v>
      </c>
    </row>
    <row r="6336" spans="1:12" x14ac:dyDescent="0.35">
      <c r="A6336" t="s">
        <v>3115</v>
      </c>
      <c r="B6336" s="1">
        <v>45741</v>
      </c>
      <c r="C6336" t="s">
        <v>7695</v>
      </c>
      <c r="D6336" t="s">
        <v>5272</v>
      </c>
      <c r="E6336" t="s">
        <v>9818</v>
      </c>
      <c r="F6336" t="s">
        <v>6802</v>
      </c>
      <c r="H6336" t="s">
        <v>5273</v>
      </c>
      <c r="K6336">
        <v>80000</v>
      </c>
      <c r="L6336" t="s">
        <v>6803</v>
      </c>
    </row>
    <row r="6337" spans="1:12" x14ac:dyDescent="0.35">
      <c r="A6337" t="s">
        <v>3115</v>
      </c>
      <c r="B6337" s="1">
        <v>45741</v>
      </c>
      <c r="C6337" t="s">
        <v>7695</v>
      </c>
      <c r="D6337" t="s">
        <v>5272</v>
      </c>
      <c r="E6337" t="s">
        <v>9818</v>
      </c>
      <c r="F6337" t="s">
        <v>8537</v>
      </c>
      <c r="G6337" t="s">
        <v>8538</v>
      </c>
      <c r="H6337" t="s">
        <v>5273</v>
      </c>
      <c r="J6337">
        <v>80000</v>
      </c>
      <c r="L6337" t="s">
        <v>5881</v>
      </c>
    </row>
    <row r="6338" spans="1:12" x14ac:dyDescent="0.35">
      <c r="A6338" t="s">
        <v>3115</v>
      </c>
      <c r="B6338" s="1">
        <v>45741</v>
      </c>
      <c r="C6338" t="s">
        <v>7693</v>
      </c>
      <c r="D6338" t="s">
        <v>5274</v>
      </c>
      <c r="E6338" t="s">
        <v>9819</v>
      </c>
      <c r="F6338" t="s">
        <v>6802</v>
      </c>
      <c r="H6338" t="s">
        <v>5275</v>
      </c>
      <c r="K6338">
        <v>5510</v>
      </c>
      <c r="L6338" t="s">
        <v>6803</v>
      </c>
    </row>
    <row r="6339" spans="1:12" x14ac:dyDescent="0.35">
      <c r="A6339" t="s">
        <v>3115</v>
      </c>
      <c r="B6339" s="1">
        <v>45741</v>
      </c>
      <c r="C6339" t="s">
        <v>7693</v>
      </c>
      <c r="D6339" t="s">
        <v>5274</v>
      </c>
      <c r="E6339" t="s">
        <v>9819</v>
      </c>
      <c r="F6339" t="s">
        <v>8537</v>
      </c>
      <c r="G6339" t="s">
        <v>8538</v>
      </c>
      <c r="H6339" t="s">
        <v>5275</v>
      </c>
      <c r="J6339">
        <v>5510</v>
      </c>
      <c r="L6339" t="s">
        <v>5874</v>
      </c>
    </row>
    <row r="6340" spans="1:12" x14ac:dyDescent="0.35">
      <c r="A6340" t="s">
        <v>3115</v>
      </c>
      <c r="B6340" s="1">
        <v>45741</v>
      </c>
      <c r="C6340" t="s">
        <v>7714</v>
      </c>
      <c r="D6340" t="s">
        <v>5276</v>
      </c>
      <c r="E6340" t="s">
        <v>9820</v>
      </c>
      <c r="F6340" t="s">
        <v>6802</v>
      </c>
      <c r="H6340" t="s">
        <v>5277</v>
      </c>
      <c r="K6340">
        <v>60000</v>
      </c>
      <c r="L6340" t="s">
        <v>6803</v>
      </c>
    </row>
    <row r="6341" spans="1:12" x14ac:dyDescent="0.35">
      <c r="A6341" t="s">
        <v>3115</v>
      </c>
      <c r="B6341" s="1">
        <v>45741</v>
      </c>
      <c r="C6341" t="s">
        <v>7714</v>
      </c>
      <c r="D6341" t="s">
        <v>5276</v>
      </c>
      <c r="E6341" t="s">
        <v>9820</v>
      </c>
      <c r="F6341" t="s">
        <v>8537</v>
      </c>
      <c r="G6341" t="s">
        <v>8538</v>
      </c>
      <c r="H6341" t="s">
        <v>5277</v>
      </c>
      <c r="J6341">
        <v>60000</v>
      </c>
      <c r="L6341" t="s">
        <v>5874</v>
      </c>
    </row>
    <row r="6342" spans="1:12" x14ac:dyDescent="0.35">
      <c r="A6342" t="s">
        <v>3115</v>
      </c>
      <c r="B6342" s="1">
        <v>45741</v>
      </c>
      <c r="C6342" t="s">
        <v>7716</v>
      </c>
      <c r="D6342" t="s">
        <v>5278</v>
      </c>
      <c r="E6342" t="s">
        <v>9821</v>
      </c>
      <c r="F6342" t="s">
        <v>6915</v>
      </c>
      <c r="H6342" t="s">
        <v>5279</v>
      </c>
      <c r="K6342">
        <v>96320</v>
      </c>
      <c r="L6342" t="s">
        <v>6803</v>
      </c>
    </row>
    <row r="6343" spans="1:12" x14ac:dyDescent="0.35">
      <c r="A6343" t="s">
        <v>3115</v>
      </c>
      <c r="B6343" s="1">
        <v>45741</v>
      </c>
      <c r="C6343" t="s">
        <v>7716</v>
      </c>
      <c r="D6343" t="s">
        <v>5278</v>
      </c>
      <c r="E6343" t="s">
        <v>9821</v>
      </c>
      <c r="F6343" t="s">
        <v>8569</v>
      </c>
      <c r="G6343" t="s">
        <v>8570</v>
      </c>
      <c r="H6343" t="s">
        <v>5279</v>
      </c>
      <c r="J6343">
        <v>96320</v>
      </c>
      <c r="L6343" t="s">
        <v>5874</v>
      </c>
    </row>
    <row r="6344" spans="1:12" x14ac:dyDescent="0.35">
      <c r="A6344" t="s">
        <v>3115</v>
      </c>
      <c r="B6344" s="1">
        <v>45741</v>
      </c>
      <c r="C6344" t="s">
        <v>7718</v>
      </c>
      <c r="D6344" t="s">
        <v>5280</v>
      </c>
      <c r="E6344" t="s">
        <v>9819</v>
      </c>
      <c r="F6344" t="s">
        <v>6811</v>
      </c>
      <c r="H6344" t="s">
        <v>5281</v>
      </c>
      <c r="K6344">
        <v>900</v>
      </c>
      <c r="L6344" t="s">
        <v>6803</v>
      </c>
    </row>
    <row r="6345" spans="1:12" x14ac:dyDescent="0.35">
      <c r="A6345" t="s">
        <v>3115</v>
      </c>
      <c r="B6345" s="1">
        <v>45741</v>
      </c>
      <c r="C6345" t="s">
        <v>7718</v>
      </c>
      <c r="D6345" t="s">
        <v>5280</v>
      </c>
      <c r="E6345" t="s">
        <v>9819</v>
      </c>
      <c r="F6345" t="s">
        <v>8557</v>
      </c>
      <c r="G6345" t="s">
        <v>8558</v>
      </c>
      <c r="H6345" t="s">
        <v>5281</v>
      </c>
      <c r="J6345">
        <v>900</v>
      </c>
      <c r="L6345" t="s">
        <v>5874</v>
      </c>
    </row>
    <row r="6346" spans="1:12" x14ac:dyDescent="0.35">
      <c r="A6346" t="s">
        <v>3115</v>
      </c>
      <c r="B6346" s="1">
        <v>45741</v>
      </c>
      <c r="C6346" t="s">
        <v>7720</v>
      </c>
      <c r="D6346" t="s">
        <v>5282</v>
      </c>
      <c r="E6346" t="s">
        <v>9822</v>
      </c>
      <c r="F6346" t="s">
        <v>6802</v>
      </c>
      <c r="H6346" t="s">
        <v>5283</v>
      </c>
      <c r="K6346">
        <v>60000</v>
      </c>
      <c r="L6346" t="s">
        <v>6803</v>
      </c>
    </row>
    <row r="6347" spans="1:12" x14ac:dyDescent="0.35">
      <c r="A6347" t="s">
        <v>3115</v>
      </c>
      <c r="B6347" s="1">
        <v>45741</v>
      </c>
      <c r="C6347" t="s">
        <v>7720</v>
      </c>
      <c r="D6347" t="s">
        <v>5282</v>
      </c>
      <c r="E6347" t="s">
        <v>9822</v>
      </c>
      <c r="F6347" t="s">
        <v>8537</v>
      </c>
      <c r="G6347" t="s">
        <v>8538</v>
      </c>
      <c r="H6347" t="s">
        <v>5283</v>
      </c>
      <c r="J6347">
        <v>60000</v>
      </c>
      <c r="L6347" t="s">
        <v>5881</v>
      </c>
    </row>
    <row r="6348" spans="1:12" x14ac:dyDescent="0.35">
      <c r="A6348" t="s">
        <v>3115</v>
      </c>
      <c r="B6348" s="1">
        <v>45741</v>
      </c>
      <c r="C6348" t="s">
        <v>7722</v>
      </c>
      <c r="D6348" t="s">
        <v>5284</v>
      </c>
      <c r="E6348" t="s">
        <v>9751</v>
      </c>
      <c r="F6348" t="s">
        <v>6802</v>
      </c>
      <c r="H6348" t="s">
        <v>5285</v>
      </c>
      <c r="K6348">
        <v>181701</v>
      </c>
      <c r="L6348" t="s">
        <v>6803</v>
      </c>
    </row>
    <row r="6349" spans="1:12" x14ac:dyDescent="0.35">
      <c r="A6349" t="s">
        <v>3115</v>
      </c>
      <c r="B6349" s="1">
        <v>45741</v>
      </c>
      <c r="C6349" t="s">
        <v>7722</v>
      </c>
      <c r="D6349" t="s">
        <v>5284</v>
      </c>
      <c r="E6349" t="s">
        <v>9751</v>
      </c>
      <c r="F6349" t="s">
        <v>8537</v>
      </c>
      <c r="G6349" t="s">
        <v>8538</v>
      </c>
      <c r="H6349" t="s">
        <v>5285</v>
      </c>
      <c r="J6349">
        <v>181701</v>
      </c>
      <c r="L6349" t="s">
        <v>5876</v>
      </c>
    </row>
    <row r="6350" spans="1:12" x14ac:dyDescent="0.35">
      <c r="A6350" t="s">
        <v>3115</v>
      </c>
      <c r="B6350" s="1">
        <v>45741</v>
      </c>
      <c r="C6350" t="s">
        <v>7723</v>
      </c>
      <c r="D6350" t="s">
        <v>5286</v>
      </c>
      <c r="E6350" t="s">
        <v>9751</v>
      </c>
      <c r="F6350" t="s">
        <v>6915</v>
      </c>
      <c r="H6350" t="s">
        <v>5287</v>
      </c>
      <c r="K6350">
        <v>162121</v>
      </c>
      <c r="L6350" t="s">
        <v>6803</v>
      </c>
    </row>
    <row r="6351" spans="1:12" x14ac:dyDescent="0.35">
      <c r="A6351" t="s">
        <v>3115</v>
      </c>
      <c r="B6351" s="1">
        <v>45741</v>
      </c>
      <c r="C6351" t="s">
        <v>7723</v>
      </c>
      <c r="D6351" t="s">
        <v>5286</v>
      </c>
      <c r="E6351" t="s">
        <v>9751</v>
      </c>
      <c r="F6351" t="s">
        <v>8569</v>
      </c>
      <c r="G6351" t="s">
        <v>8570</v>
      </c>
      <c r="H6351" t="s">
        <v>5287</v>
      </c>
      <c r="J6351">
        <v>162121</v>
      </c>
      <c r="L6351" t="s">
        <v>5876</v>
      </c>
    </row>
    <row r="6352" spans="1:12" x14ac:dyDescent="0.35">
      <c r="A6352" t="s">
        <v>3115</v>
      </c>
      <c r="B6352" s="1">
        <v>45741</v>
      </c>
      <c r="C6352" t="s">
        <v>7736</v>
      </c>
      <c r="D6352" t="s">
        <v>5288</v>
      </c>
      <c r="E6352" t="s">
        <v>9243</v>
      </c>
      <c r="F6352" t="s">
        <v>6811</v>
      </c>
      <c r="H6352" t="s">
        <v>5289</v>
      </c>
      <c r="K6352">
        <v>90000</v>
      </c>
      <c r="L6352" t="s">
        <v>6803</v>
      </c>
    </row>
    <row r="6353" spans="1:12" x14ac:dyDescent="0.35">
      <c r="A6353" t="s">
        <v>3115</v>
      </c>
      <c r="B6353" s="1">
        <v>45741</v>
      </c>
      <c r="C6353" t="s">
        <v>7736</v>
      </c>
      <c r="D6353" t="s">
        <v>5288</v>
      </c>
      <c r="E6353" t="s">
        <v>9243</v>
      </c>
      <c r="F6353" t="s">
        <v>8557</v>
      </c>
      <c r="G6353" t="s">
        <v>8558</v>
      </c>
      <c r="H6353" t="s">
        <v>5289</v>
      </c>
      <c r="J6353">
        <v>90000</v>
      </c>
      <c r="L6353" t="s">
        <v>5949</v>
      </c>
    </row>
    <row r="6354" spans="1:12" x14ac:dyDescent="0.35">
      <c r="A6354" t="s">
        <v>3115</v>
      </c>
      <c r="B6354" s="1">
        <v>45741</v>
      </c>
      <c r="C6354" t="s">
        <v>7742</v>
      </c>
      <c r="D6354" t="s">
        <v>5290</v>
      </c>
      <c r="E6354" t="s">
        <v>9823</v>
      </c>
      <c r="F6354" t="s">
        <v>6802</v>
      </c>
      <c r="H6354" t="s">
        <v>5291</v>
      </c>
      <c r="K6354">
        <v>220000</v>
      </c>
      <c r="L6354" t="s">
        <v>6803</v>
      </c>
    </row>
    <row r="6355" spans="1:12" x14ac:dyDescent="0.35">
      <c r="A6355" t="s">
        <v>3115</v>
      </c>
      <c r="B6355" s="1">
        <v>45741</v>
      </c>
      <c r="C6355" t="s">
        <v>7742</v>
      </c>
      <c r="D6355" t="s">
        <v>5290</v>
      </c>
      <c r="E6355" t="s">
        <v>9823</v>
      </c>
      <c r="F6355" t="s">
        <v>8537</v>
      </c>
      <c r="G6355" t="s">
        <v>8538</v>
      </c>
      <c r="H6355" t="s">
        <v>5291</v>
      </c>
      <c r="J6355">
        <v>220000</v>
      </c>
      <c r="L6355" t="s">
        <v>5874</v>
      </c>
    </row>
    <row r="6356" spans="1:12" x14ac:dyDescent="0.35">
      <c r="A6356" t="s">
        <v>3115</v>
      </c>
      <c r="B6356" s="1">
        <v>45741</v>
      </c>
      <c r="C6356" t="s">
        <v>7738</v>
      </c>
      <c r="D6356" t="s">
        <v>5292</v>
      </c>
      <c r="E6356" t="s">
        <v>9821</v>
      </c>
      <c r="F6356" t="s">
        <v>6802</v>
      </c>
      <c r="H6356" t="s">
        <v>5293</v>
      </c>
      <c r="K6356">
        <v>93802</v>
      </c>
      <c r="L6356" t="s">
        <v>6803</v>
      </c>
    </row>
    <row r="6357" spans="1:12" x14ac:dyDescent="0.35">
      <c r="A6357" t="s">
        <v>3115</v>
      </c>
      <c r="B6357" s="1">
        <v>45741</v>
      </c>
      <c r="C6357" t="s">
        <v>7738</v>
      </c>
      <c r="D6357" t="s">
        <v>5292</v>
      </c>
      <c r="E6357" t="s">
        <v>9821</v>
      </c>
      <c r="F6357" t="s">
        <v>8537</v>
      </c>
      <c r="G6357" t="s">
        <v>8538</v>
      </c>
      <c r="H6357" t="s">
        <v>5293</v>
      </c>
      <c r="J6357">
        <v>93802</v>
      </c>
      <c r="L6357" t="s">
        <v>5874</v>
      </c>
    </row>
    <row r="6358" spans="1:12" x14ac:dyDescent="0.35">
      <c r="A6358" t="s">
        <v>3115</v>
      </c>
      <c r="B6358" s="1">
        <v>45741</v>
      </c>
      <c r="C6358" t="s">
        <v>7745</v>
      </c>
      <c r="D6358" t="s">
        <v>5294</v>
      </c>
      <c r="E6358" t="s">
        <v>9824</v>
      </c>
      <c r="F6358" t="s">
        <v>6802</v>
      </c>
      <c r="H6358" t="s">
        <v>5295</v>
      </c>
      <c r="K6358">
        <v>600</v>
      </c>
      <c r="L6358" t="s">
        <v>6803</v>
      </c>
    </row>
    <row r="6359" spans="1:12" x14ac:dyDescent="0.35">
      <c r="A6359" t="s">
        <v>3115</v>
      </c>
      <c r="B6359" s="1">
        <v>45741</v>
      </c>
      <c r="C6359" t="s">
        <v>7745</v>
      </c>
      <c r="D6359" t="s">
        <v>5294</v>
      </c>
      <c r="E6359" t="s">
        <v>9824</v>
      </c>
      <c r="F6359" t="s">
        <v>8557</v>
      </c>
      <c r="G6359" t="s">
        <v>8558</v>
      </c>
      <c r="H6359" t="s">
        <v>5295</v>
      </c>
      <c r="J6359">
        <v>600</v>
      </c>
      <c r="L6359" t="s">
        <v>5949</v>
      </c>
    </row>
    <row r="6360" spans="1:12" x14ac:dyDescent="0.35">
      <c r="A6360" t="s">
        <v>3115</v>
      </c>
      <c r="B6360" s="1">
        <v>45741</v>
      </c>
      <c r="C6360" t="s">
        <v>7747</v>
      </c>
      <c r="D6360" t="s">
        <v>5296</v>
      </c>
      <c r="E6360" t="s">
        <v>9825</v>
      </c>
      <c r="F6360" t="s">
        <v>6802</v>
      </c>
      <c r="H6360" t="s">
        <v>5297</v>
      </c>
      <c r="K6360">
        <v>181701</v>
      </c>
      <c r="L6360" t="s">
        <v>6803</v>
      </c>
    </row>
    <row r="6361" spans="1:12" x14ac:dyDescent="0.35">
      <c r="A6361" t="s">
        <v>3115</v>
      </c>
      <c r="B6361" s="1">
        <v>45741</v>
      </c>
      <c r="C6361" t="s">
        <v>7747</v>
      </c>
      <c r="D6361" t="s">
        <v>5296</v>
      </c>
      <c r="E6361" t="s">
        <v>9825</v>
      </c>
      <c r="F6361" t="s">
        <v>8537</v>
      </c>
      <c r="G6361" t="s">
        <v>8538</v>
      </c>
      <c r="H6361" t="s">
        <v>5297</v>
      </c>
      <c r="J6361">
        <v>181701</v>
      </c>
      <c r="L6361" t="s">
        <v>5876</v>
      </c>
    </row>
    <row r="6362" spans="1:12" x14ac:dyDescent="0.35">
      <c r="A6362" t="s">
        <v>3115</v>
      </c>
      <c r="B6362" s="1">
        <v>45741</v>
      </c>
      <c r="C6362" t="s">
        <v>7727</v>
      </c>
      <c r="D6362" t="s">
        <v>5298</v>
      </c>
      <c r="E6362" t="s">
        <v>9463</v>
      </c>
      <c r="F6362" t="s">
        <v>6802</v>
      </c>
      <c r="H6362" t="s">
        <v>5299</v>
      </c>
      <c r="K6362">
        <v>20000</v>
      </c>
      <c r="L6362" t="s">
        <v>6803</v>
      </c>
    </row>
    <row r="6363" spans="1:12" x14ac:dyDescent="0.35">
      <c r="A6363" t="s">
        <v>3115</v>
      </c>
      <c r="B6363" s="1">
        <v>45741</v>
      </c>
      <c r="C6363" t="s">
        <v>7727</v>
      </c>
      <c r="D6363" t="s">
        <v>5298</v>
      </c>
      <c r="E6363" t="s">
        <v>9463</v>
      </c>
      <c r="F6363" t="s">
        <v>8537</v>
      </c>
      <c r="G6363" t="s">
        <v>8538</v>
      </c>
      <c r="H6363" t="s">
        <v>5299</v>
      </c>
      <c r="J6363">
        <v>20000</v>
      </c>
      <c r="L6363" t="s">
        <v>5875</v>
      </c>
    </row>
    <row r="6364" spans="1:12" x14ac:dyDescent="0.35">
      <c r="A6364" t="s">
        <v>3115</v>
      </c>
      <c r="B6364" s="1">
        <v>45741</v>
      </c>
      <c r="C6364" t="s">
        <v>7729</v>
      </c>
      <c r="D6364" t="s">
        <v>5300</v>
      </c>
      <c r="E6364" t="s">
        <v>9826</v>
      </c>
      <c r="F6364" t="s">
        <v>6802</v>
      </c>
      <c r="H6364" t="s">
        <v>5301</v>
      </c>
      <c r="K6364">
        <v>70000</v>
      </c>
      <c r="L6364" t="s">
        <v>6803</v>
      </c>
    </row>
    <row r="6365" spans="1:12" x14ac:dyDescent="0.35">
      <c r="A6365" t="s">
        <v>3115</v>
      </c>
      <c r="B6365" s="1">
        <v>45741</v>
      </c>
      <c r="C6365" t="s">
        <v>7729</v>
      </c>
      <c r="D6365" t="s">
        <v>5300</v>
      </c>
      <c r="E6365" t="s">
        <v>9826</v>
      </c>
      <c r="F6365" t="s">
        <v>8537</v>
      </c>
      <c r="G6365" t="s">
        <v>8538</v>
      </c>
      <c r="H6365" t="s">
        <v>5301</v>
      </c>
      <c r="J6365">
        <v>70000</v>
      </c>
      <c r="L6365" t="s">
        <v>5874</v>
      </c>
    </row>
    <row r="6366" spans="1:12" x14ac:dyDescent="0.35">
      <c r="A6366" t="s">
        <v>3115</v>
      </c>
      <c r="B6366" s="1">
        <v>45741</v>
      </c>
      <c r="C6366" t="s">
        <v>7748</v>
      </c>
      <c r="D6366" t="s">
        <v>5302</v>
      </c>
      <c r="E6366" t="s">
        <v>9827</v>
      </c>
      <c r="F6366" t="s">
        <v>6802</v>
      </c>
      <c r="H6366" t="s">
        <v>5303</v>
      </c>
      <c r="K6366">
        <v>20000</v>
      </c>
      <c r="L6366" t="s">
        <v>6803</v>
      </c>
    </row>
    <row r="6367" spans="1:12" x14ac:dyDescent="0.35">
      <c r="A6367" t="s">
        <v>3115</v>
      </c>
      <c r="B6367" s="1">
        <v>45741</v>
      </c>
      <c r="C6367" t="s">
        <v>7748</v>
      </c>
      <c r="D6367" t="s">
        <v>5302</v>
      </c>
      <c r="E6367" t="s">
        <v>9827</v>
      </c>
      <c r="F6367" t="s">
        <v>8537</v>
      </c>
      <c r="G6367" t="s">
        <v>8538</v>
      </c>
      <c r="H6367" t="s">
        <v>5303</v>
      </c>
      <c r="J6367">
        <v>20000</v>
      </c>
      <c r="L6367" t="s">
        <v>5876</v>
      </c>
    </row>
    <row r="6368" spans="1:12" x14ac:dyDescent="0.35">
      <c r="A6368" t="s">
        <v>3115</v>
      </c>
      <c r="B6368" s="1">
        <v>45741</v>
      </c>
      <c r="C6368" t="s">
        <v>7750</v>
      </c>
      <c r="D6368" t="s">
        <v>5304</v>
      </c>
      <c r="E6368" t="s">
        <v>9828</v>
      </c>
      <c r="F6368" t="s">
        <v>6802</v>
      </c>
      <c r="H6368" t="s">
        <v>5305</v>
      </c>
      <c r="K6368">
        <v>45000</v>
      </c>
      <c r="L6368" t="s">
        <v>6803</v>
      </c>
    </row>
    <row r="6369" spans="1:12" x14ac:dyDescent="0.35">
      <c r="A6369" t="s">
        <v>3115</v>
      </c>
      <c r="B6369" s="1">
        <v>45741</v>
      </c>
      <c r="C6369" t="s">
        <v>7750</v>
      </c>
      <c r="D6369" t="s">
        <v>5304</v>
      </c>
      <c r="E6369" t="s">
        <v>9828</v>
      </c>
      <c r="F6369" t="s">
        <v>8537</v>
      </c>
      <c r="G6369" t="s">
        <v>8538</v>
      </c>
      <c r="H6369" t="s">
        <v>5305</v>
      </c>
      <c r="J6369">
        <v>45000</v>
      </c>
      <c r="L6369" t="s">
        <v>5876</v>
      </c>
    </row>
    <row r="6370" spans="1:12" x14ac:dyDescent="0.35">
      <c r="A6370" t="s">
        <v>3115</v>
      </c>
      <c r="B6370" s="1">
        <v>45741</v>
      </c>
      <c r="C6370" t="s">
        <v>7754</v>
      </c>
      <c r="D6370" t="s">
        <v>5306</v>
      </c>
      <c r="E6370" t="s">
        <v>9828</v>
      </c>
      <c r="F6370" t="s">
        <v>6811</v>
      </c>
      <c r="H6370" t="s">
        <v>5307</v>
      </c>
      <c r="K6370">
        <v>300</v>
      </c>
      <c r="L6370" t="s">
        <v>6803</v>
      </c>
    </row>
    <row r="6371" spans="1:12" x14ac:dyDescent="0.35">
      <c r="A6371" t="s">
        <v>3115</v>
      </c>
      <c r="B6371" s="1">
        <v>45741</v>
      </c>
      <c r="C6371" t="s">
        <v>7754</v>
      </c>
      <c r="D6371" t="s">
        <v>5306</v>
      </c>
      <c r="E6371" t="s">
        <v>9828</v>
      </c>
      <c r="F6371" t="s">
        <v>8557</v>
      </c>
      <c r="G6371" t="s">
        <v>8558</v>
      </c>
      <c r="H6371" t="s">
        <v>5307</v>
      </c>
      <c r="J6371">
        <v>300</v>
      </c>
      <c r="L6371" t="s">
        <v>5876</v>
      </c>
    </row>
    <row r="6372" spans="1:12" x14ac:dyDescent="0.35">
      <c r="A6372" t="s">
        <v>3115</v>
      </c>
      <c r="B6372" s="1">
        <v>45741</v>
      </c>
      <c r="C6372" t="s">
        <v>7757</v>
      </c>
      <c r="D6372" t="s">
        <v>5308</v>
      </c>
      <c r="E6372" t="s">
        <v>9829</v>
      </c>
      <c r="F6372" t="s">
        <v>6802</v>
      </c>
      <c r="H6372" t="s">
        <v>5309</v>
      </c>
      <c r="K6372">
        <v>3500</v>
      </c>
      <c r="L6372" t="s">
        <v>6803</v>
      </c>
    </row>
    <row r="6373" spans="1:12" x14ac:dyDescent="0.35">
      <c r="A6373" t="s">
        <v>3115</v>
      </c>
      <c r="B6373" s="1">
        <v>45741</v>
      </c>
      <c r="C6373" t="s">
        <v>7757</v>
      </c>
      <c r="D6373" t="s">
        <v>5308</v>
      </c>
      <c r="E6373" t="s">
        <v>9829</v>
      </c>
      <c r="F6373" t="s">
        <v>8537</v>
      </c>
      <c r="G6373" t="s">
        <v>8538</v>
      </c>
      <c r="H6373" t="s">
        <v>5309</v>
      </c>
      <c r="J6373">
        <v>3500</v>
      </c>
      <c r="L6373" t="s">
        <v>5876</v>
      </c>
    </row>
    <row r="6374" spans="1:12" x14ac:dyDescent="0.35">
      <c r="A6374" t="s">
        <v>3115</v>
      </c>
      <c r="B6374" s="1">
        <v>45741</v>
      </c>
      <c r="C6374" t="s">
        <v>7758</v>
      </c>
      <c r="D6374" t="s">
        <v>5310</v>
      </c>
      <c r="E6374" t="s">
        <v>9353</v>
      </c>
      <c r="F6374" t="s">
        <v>6802</v>
      </c>
      <c r="H6374" t="s">
        <v>5311</v>
      </c>
      <c r="K6374">
        <v>250000</v>
      </c>
      <c r="L6374" t="s">
        <v>6803</v>
      </c>
    </row>
    <row r="6375" spans="1:12" x14ac:dyDescent="0.35">
      <c r="A6375" t="s">
        <v>3115</v>
      </c>
      <c r="B6375" s="1">
        <v>45741</v>
      </c>
      <c r="C6375" t="s">
        <v>7758</v>
      </c>
      <c r="D6375" t="s">
        <v>5310</v>
      </c>
      <c r="E6375" t="s">
        <v>9353</v>
      </c>
      <c r="F6375" t="s">
        <v>8537</v>
      </c>
      <c r="G6375" t="s">
        <v>8538</v>
      </c>
      <c r="H6375" t="s">
        <v>5311</v>
      </c>
      <c r="J6375">
        <v>250000</v>
      </c>
      <c r="L6375" t="s">
        <v>5958</v>
      </c>
    </row>
    <row r="6376" spans="1:12" x14ac:dyDescent="0.35">
      <c r="A6376" t="s">
        <v>3115</v>
      </c>
      <c r="B6376" s="1">
        <v>45741</v>
      </c>
      <c r="C6376" t="s">
        <v>7762</v>
      </c>
      <c r="D6376" t="s">
        <v>5312</v>
      </c>
      <c r="E6376" t="s">
        <v>9825</v>
      </c>
      <c r="F6376" t="s">
        <v>6915</v>
      </c>
      <c r="H6376" t="s">
        <v>5313</v>
      </c>
      <c r="K6376">
        <v>120400</v>
      </c>
      <c r="L6376" t="s">
        <v>6803</v>
      </c>
    </row>
    <row r="6377" spans="1:12" x14ac:dyDescent="0.35">
      <c r="A6377" t="s">
        <v>3115</v>
      </c>
      <c r="B6377" s="1">
        <v>45741</v>
      </c>
      <c r="C6377" t="s">
        <v>7762</v>
      </c>
      <c r="D6377" t="s">
        <v>5312</v>
      </c>
      <c r="E6377" t="s">
        <v>9825</v>
      </c>
      <c r="F6377" t="s">
        <v>8569</v>
      </c>
      <c r="G6377" t="s">
        <v>8570</v>
      </c>
      <c r="H6377" t="s">
        <v>5313</v>
      </c>
      <c r="J6377">
        <v>120400</v>
      </c>
      <c r="L6377" t="s">
        <v>5876</v>
      </c>
    </row>
    <row r="6378" spans="1:12" x14ac:dyDescent="0.35">
      <c r="A6378" t="s">
        <v>3115</v>
      </c>
      <c r="B6378" s="1">
        <v>45741</v>
      </c>
      <c r="C6378" t="s">
        <v>7764</v>
      </c>
      <c r="D6378" t="s">
        <v>5314</v>
      </c>
      <c r="E6378" t="s">
        <v>9830</v>
      </c>
      <c r="F6378" t="s">
        <v>6802</v>
      </c>
      <c r="H6378" t="s">
        <v>5315</v>
      </c>
      <c r="K6378">
        <v>180000</v>
      </c>
      <c r="L6378" t="s">
        <v>6803</v>
      </c>
    </row>
    <row r="6379" spans="1:12" x14ac:dyDescent="0.35">
      <c r="A6379" t="s">
        <v>3115</v>
      </c>
      <c r="B6379" s="1">
        <v>45741</v>
      </c>
      <c r="C6379" t="s">
        <v>7764</v>
      </c>
      <c r="D6379" t="s">
        <v>5314</v>
      </c>
      <c r="E6379" t="s">
        <v>9830</v>
      </c>
      <c r="F6379" t="s">
        <v>8537</v>
      </c>
      <c r="G6379" t="s">
        <v>8538</v>
      </c>
      <c r="H6379" t="s">
        <v>5315</v>
      </c>
      <c r="J6379">
        <v>180000</v>
      </c>
      <c r="L6379" t="s">
        <v>5946</v>
      </c>
    </row>
    <row r="6380" spans="1:12" x14ac:dyDescent="0.35">
      <c r="A6380" t="s">
        <v>3115</v>
      </c>
      <c r="B6380" s="1">
        <v>45741</v>
      </c>
      <c r="C6380" t="s">
        <v>7509</v>
      </c>
      <c r="D6380" t="s">
        <v>5316</v>
      </c>
      <c r="E6380" t="s">
        <v>9831</v>
      </c>
      <c r="F6380" t="s">
        <v>6802</v>
      </c>
      <c r="H6380" t="s">
        <v>5317</v>
      </c>
      <c r="K6380">
        <v>2493</v>
      </c>
      <c r="L6380" t="s">
        <v>6803</v>
      </c>
    </row>
    <row r="6381" spans="1:12" x14ac:dyDescent="0.35">
      <c r="A6381" t="s">
        <v>3115</v>
      </c>
      <c r="B6381" s="1">
        <v>45741</v>
      </c>
      <c r="C6381" t="s">
        <v>7509</v>
      </c>
      <c r="D6381" t="s">
        <v>5316</v>
      </c>
      <c r="E6381" t="s">
        <v>9831</v>
      </c>
      <c r="F6381" t="s">
        <v>8537</v>
      </c>
      <c r="G6381" t="s">
        <v>8538</v>
      </c>
      <c r="H6381" t="s">
        <v>5317</v>
      </c>
      <c r="J6381">
        <v>2493</v>
      </c>
      <c r="L6381" t="s">
        <v>5949</v>
      </c>
    </row>
    <row r="6382" spans="1:12" x14ac:dyDescent="0.35">
      <c r="A6382" t="s">
        <v>3115</v>
      </c>
      <c r="B6382" s="1">
        <v>45741</v>
      </c>
      <c r="C6382" t="s">
        <v>7580</v>
      </c>
      <c r="D6382" t="s">
        <v>5318</v>
      </c>
      <c r="E6382" t="s">
        <v>9832</v>
      </c>
      <c r="F6382" t="s">
        <v>6802</v>
      </c>
      <c r="H6382" t="s">
        <v>5319</v>
      </c>
      <c r="K6382">
        <v>180000</v>
      </c>
      <c r="L6382" t="s">
        <v>6803</v>
      </c>
    </row>
    <row r="6383" spans="1:12" x14ac:dyDescent="0.35">
      <c r="A6383" t="s">
        <v>3115</v>
      </c>
      <c r="B6383" s="1">
        <v>45741</v>
      </c>
      <c r="C6383" t="s">
        <v>7580</v>
      </c>
      <c r="D6383" t="s">
        <v>5318</v>
      </c>
      <c r="E6383" t="s">
        <v>9832</v>
      </c>
      <c r="F6383" t="s">
        <v>8537</v>
      </c>
      <c r="G6383" t="s">
        <v>8538</v>
      </c>
      <c r="H6383" t="s">
        <v>5319</v>
      </c>
      <c r="J6383">
        <v>180000</v>
      </c>
      <c r="L6383" t="s">
        <v>5880</v>
      </c>
    </row>
    <row r="6384" spans="1:12" x14ac:dyDescent="0.35">
      <c r="A6384" t="s">
        <v>3115</v>
      </c>
      <c r="B6384" s="1">
        <v>45741</v>
      </c>
      <c r="C6384" t="s">
        <v>7696</v>
      </c>
      <c r="D6384" t="s">
        <v>5320</v>
      </c>
      <c r="E6384" t="s">
        <v>9833</v>
      </c>
      <c r="F6384" t="s">
        <v>6811</v>
      </c>
      <c r="H6384" t="s">
        <v>5321</v>
      </c>
      <c r="K6384">
        <v>3000</v>
      </c>
      <c r="L6384" t="s">
        <v>6803</v>
      </c>
    </row>
    <row r="6385" spans="1:12" x14ac:dyDescent="0.35">
      <c r="A6385" t="s">
        <v>3115</v>
      </c>
      <c r="B6385" s="1">
        <v>45741</v>
      </c>
      <c r="C6385" t="s">
        <v>7696</v>
      </c>
      <c r="D6385" t="s">
        <v>5320</v>
      </c>
      <c r="E6385" t="s">
        <v>9833</v>
      </c>
      <c r="F6385" t="s">
        <v>8557</v>
      </c>
      <c r="G6385" t="s">
        <v>8558</v>
      </c>
      <c r="H6385" t="s">
        <v>5321</v>
      </c>
      <c r="J6385">
        <v>3000</v>
      </c>
      <c r="L6385" t="s">
        <v>5949</v>
      </c>
    </row>
    <row r="6386" spans="1:12" x14ac:dyDescent="0.35">
      <c r="A6386" t="s">
        <v>3115</v>
      </c>
      <c r="B6386" s="1">
        <v>45741</v>
      </c>
      <c r="C6386" t="s">
        <v>7761</v>
      </c>
      <c r="D6386" t="s">
        <v>5322</v>
      </c>
      <c r="E6386" t="s">
        <v>9207</v>
      </c>
      <c r="F6386" t="s">
        <v>6802</v>
      </c>
      <c r="H6386" t="s">
        <v>5323</v>
      </c>
      <c r="K6386">
        <v>95000</v>
      </c>
      <c r="L6386" t="s">
        <v>6803</v>
      </c>
    </row>
    <row r="6387" spans="1:12" x14ac:dyDescent="0.35">
      <c r="A6387" t="s">
        <v>3115</v>
      </c>
      <c r="B6387" s="1">
        <v>45741</v>
      </c>
      <c r="C6387" t="s">
        <v>7761</v>
      </c>
      <c r="D6387" t="s">
        <v>5322</v>
      </c>
      <c r="E6387" t="s">
        <v>9207</v>
      </c>
      <c r="F6387" t="s">
        <v>8537</v>
      </c>
      <c r="G6387" t="s">
        <v>8538</v>
      </c>
      <c r="H6387" t="s">
        <v>5323</v>
      </c>
      <c r="J6387">
        <v>95000</v>
      </c>
      <c r="L6387" t="s">
        <v>5874</v>
      </c>
    </row>
    <row r="6388" spans="1:12" x14ac:dyDescent="0.35">
      <c r="A6388" t="s">
        <v>3115</v>
      </c>
      <c r="B6388" s="1">
        <v>45741</v>
      </c>
      <c r="C6388" t="s">
        <v>7513</v>
      </c>
      <c r="D6388" t="s">
        <v>5324</v>
      </c>
      <c r="E6388" t="s">
        <v>9833</v>
      </c>
      <c r="F6388" t="s">
        <v>6811</v>
      </c>
      <c r="H6388" t="s">
        <v>5325</v>
      </c>
      <c r="K6388">
        <v>980</v>
      </c>
      <c r="L6388" t="s">
        <v>6803</v>
      </c>
    </row>
    <row r="6389" spans="1:12" x14ac:dyDescent="0.35">
      <c r="A6389" t="s">
        <v>3115</v>
      </c>
      <c r="B6389" s="1">
        <v>45741</v>
      </c>
      <c r="C6389" t="s">
        <v>7513</v>
      </c>
      <c r="D6389" t="s">
        <v>5324</v>
      </c>
      <c r="E6389" t="s">
        <v>9833</v>
      </c>
      <c r="F6389" t="s">
        <v>6802</v>
      </c>
      <c r="H6389" t="s">
        <v>5325</v>
      </c>
      <c r="K6389">
        <v>6162</v>
      </c>
      <c r="L6389" t="s">
        <v>6803</v>
      </c>
    </row>
    <row r="6390" spans="1:12" x14ac:dyDescent="0.35">
      <c r="A6390" t="s">
        <v>3115</v>
      </c>
      <c r="B6390" s="1">
        <v>45741</v>
      </c>
      <c r="C6390" t="s">
        <v>7513</v>
      </c>
      <c r="D6390" t="s">
        <v>5324</v>
      </c>
      <c r="E6390" t="s">
        <v>9833</v>
      </c>
      <c r="F6390" t="s">
        <v>8557</v>
      </c>
      <c r="G6390" t="s">
        <v>8558</v>
      </c>
      <c r="H6390" t="s">
        <v>5325</v>
      </c>
      <c r="J6390">
        <v>7142</v>
      </c>
      <c r="L6390" t="s">
        <v>5874</v>
      </c>
    </row>
    <row r="6391" spans="1:12" x14ac:dyDescent="0.35">
      <c r="A6391" t="s">
        <v>3115</v>
      </c>
      <c r="B6391" s="1">
        <v>45741</v>
      </c>
      <c r="C6391" t="s">
        <v>7517</v>
      </c>
      <c r="D6391" t="s">
        <v>5326</v>
      </c>
      <c r="E6391" t="s">
        <v>9834</v>
      </c>
      <c r="F6391" t="s">
        <v>6802</v>
      </c>
      <c r="H6391" t="s">
        <v>5327</v>
      </c>
      <c r="K6391">
        <v>80000</v>
      </c>
      <c r="L6391" t="s">
        <v>6803</v>
      </c>
    </row>
    <row r="6392" spans="1:12" x14ac:dyDescent="0.35">
      <c r="A6392" t="s">
        <v>3115</v>
      </c>
      <c r="B6392" s="1">
        <v>45741</v>
      </c>
      <c r="C6392" t="s">
        <v>7517</v>
      </c>
      <c r="D6392" t="s">
        <v>5326</v>
      </c>
      <c r="E6392" t="s">
        <v>9834</v>
      </c>
      <c r="F6392" t="s">
        <v>8537</v>
      </c>
      <c r="G6392" t="s">
        <v>8538</v>
      </c>
      <c r="H6392" t="s">
        <v>5327</v>
      </c>
      <c r="J6392">
        <v>80000</v>
      </c>
      <c r="L6392" t="s">
        <v>5881</v>
      </c>
    </row>
    <row r="6393" spans="1:12" x14ac:dyDescent="0.35">
      <c r="A6393" t="s">
        <v>3115</v>
      </c>
      <c r="B6393" s="1">
        <v>45741</v>
      </c>
      <c r="C6393" t="s">
        <v>7518</v>
      </c>
      <c r="D6393" t="s">
        <v>5328</v>
      </c>
      <c r="E6393" t="s">
        <v>9835</v>
      </c>
      <c r="F6393" t="s">
        <v>6811</v>
      </c>
      <c r="H6393" t="s">
        <v>5329</v>
      </c>
      <c r="K6393">
        <v>294</v>
      </c>
      <c r="L6393" t="s">
        <v>6803</v>
      </c>
    </row>
    <row r="6394" spans="1:12" x14ac:dyDescent="0.35">
      <c r="A6394" t="s">
        <v>3115</v>
      </c>
      <c r="B6394" s="1">
        <v>45741</v>
      </c>
      <c r="C6394" t="s">
        <v>7518</v>
      </c>
      <c r="D6394" t="s">
        <v>5328</v>
      </c>
      <c r="E6394" t="s">
        <v>9835</v>
      </c>
      <c r="F6394" t="s">
        <v>6802</v>
      </c>
      <c r="H6394" t="s">
        <v>5329</v>
      </c>
      <c r="K6394">
        <v>350</v>
      </c>
      <c r="L6394" t="s">
        <v>6803</v>
      </c>
    </row>
    <row r="6395" spans="1:12" x14ac:dyDescent="0.35">
      <c r="A6395" t="s">
        <v>3115</v>
      </c>
      <c r="B6395" s="1">
        <v>45741</v>
      </c>
      <c r="C6395" t="s">
        <v>7518</v>
      </c>
      <c r="D6395" t="s">
        <v>5328</v>
      </c>
      <c r="E6395" t="s">
        <v>9835</v>
      </c>
      <c r="F6395" t="s">
        <v>8557</v>
      </c>
      <c r="G6395" t="s">
        <v>8558</v>
      </c>
      <c r="H6395" t="s">
        <v>5329</v>
      </c>
      <c r="J6395">
        <v>644</v>
      </c>
      <c r="L6395" t="s">
        <v>5874</v>
      </c>
    </row>
    <row r="6396" spans="1:12" x14ac:dyDescent="0.35">
      <c r="A6396" t="s">
        <v>3115</v>
      </c>
      <c r="B6396" s="1">
        <v>45741</v>
      </c>
      <c r="C6396" t="s">
        <v>7519</v>
      </c>
      <c r="D6396" t="s">
        <v>5330</v>
      </c>
      <c r="E6396" t="s">
        <v>9008</v>
      </c>
      <c r="F6396" t="s">
        <v>6802</v>
      </c>
      <c r="H6396" t="s">
        <v>5331</v>
      </c>
      <c r="K6396">
        <v>40000</v>
      </c>
      <c r="L6396" t="s">
        <v>6803</v>
      </c>
    </row>
    <row r="6397" spans="1:12" x14ac:dyDescent="0.35">
      <c r="A6397" t="s">
        <v>3115</v>
      </c>
      <c r="B6397" s="1">
        <v>45741</v>
      </c>
      <c r="C6397" t="s">
        <v>7519</v>
      </c>
      <c r="D6397" t="s">
        <v>5330</v>
      </c>
      <c r="E6397" t="s">
        <v>9008</v>
      </c>
      <c r="F6397" t="s">
        <v>8537</v>
      </c>
      <c r="G6397" t="s">
        <v>8538</v>
      </c>
      <c r="H6397" t="s">
        <v>5331</v>
      </c>
      <c r="J6397">
        <v>40000</v>
      </c>
      <c r="L6397" t="s">
        <v>5880</v>
      </c>
    </row>
    <row r="6398" spans="1:12" x14ac:dyDescent="0.35">
      <c r="A6398" t="s">
        <v>3115</v>
      </c>
      <c r="B6398" s="1">
        <v>45741</v>
      </c>
      <c r="C6398" t="s">
        <v>7520</v>
      </c>
      <c r="D6398" t="s">
        <v>5332</v>
      </c>
      <c r="E6398" t="s">
        <v>9008</v>
      </c>
      <c r="F6398" t="s">
        <v>6802</v>
      </c>
      <c r="H6398" t="s">
        <v>5333</v>
      </c>
      <c r="K6398">
        <v>300</v>
      </c>
      <c r="L6398" t="s">
        <v>6803</v>
      </c>
    </row>
    <row r="6399" spans="1:12" x14ac:dyDescent="0.35">
      <c r="A6399" t="s">
        <v>3115</v>
      </c>
      <c r="B6399" s="1">
        <v>45741</v>
      </c>
      <c r="C6399" t="s">
        <v>7520</v>
      </c>
      <c r="D6399" t="s">
        <v>5332</v>
      </c>
      <c r="E6399" t="s">
        <v>9008</v>
      </c>
      <c r="F6399" t="s">
        <v>8557</v>
      </c>
      <c r="G6399" t="s">
        <v>8558</v>
      </c>
      <c r="H6399" t="s">
        <v>5333</v>
      </c>
      <c r="J6399">
        <v>300</v>
      </c>
      <c r="L6399" t="s">
        <v>5880</v>
      </c>
    </row>
    <row r="6400" spans="1:12" x14ac:dyDescent="0.35">
      <c r="A6400" t="s">
        <v>3115</v>
      </c>
      <c r="B6400" s="1">
        <v>45741</v>
      </c>
      <c r="C6400" t="s">
        <v>7582</v>
      </c>
      <c r="D6400" t="s">
        <v>5334</v>
      </c>
      <c r="E6400" t="s">
        <v>9836</v>
      </c>
      <c r="F6400" t="s">
        <v>6802</v>
      </c>
      <c r="H6400" t="s">
        <v>5335</v>
      </c>
      <c r="K6400">
        <v>3477</v>
      </c>
      <c r="L6400" t="s">
        <v>6803</v>
      </c>
    </row>
    <row r="6401" spans="1:12" x14ac:dyDescent="0.35">
      <c r="A6401" t="s">
        <v>3115</v>
      </c>
      <c r="B6401" s="1">
        <v>45741</v>
      </c>
      <c r="C6401" t="s">
        <v>7582</v>
      </c>
      <c r="D6401" t="s">
        <v>5334</v>
      </c>
      <c r="E6401" t="s">
        <v>9836</v>
      </c>
      <c r="F6401" t="s">
        <v>8537</v>
      </c>
      <c r="G6401" t="s">
        <v>8538</v>
      </c>
      <c r="H6401" t="s">
        <v>5335</v>
      </c>
      <c r="J6401">
        <v>3477</v>
      </c>
      <c r="L6401" t="s">
        <v>5874</v>
      </c>
    </row>
    <row r="6402" spans="1:12" x14ac:dyDescent="0.35">
      <c r="A6402" t="s">
        <v>3115</v>
      </c>
      <c r="B6402" s="1">
        <v>45741</v>
      </c>
      <c r="C6402" t="s">
        <v>7583</v>
      </c>
      <c r="D6402" t="s">
        <v>5336</v>
      </c>
      <c r="E6402" t="s">
        <v>9837</v>
      </c>
      <c r="F6402" t="s">
        <v>6802</v>
      </c>
      <c r="H6402" t="s">
        <v>5337</v>
      </c>
      <c r="K6402">
        <v>6954</v>
      </c>
      <c r="L6402" t="s">
        <v>6803</v>
      </c>
    </row>
    <row r="6403" spans="1:12" x14ac:dyDescent="0.35">
      <c r="A6403" t="s">
        <v>3115</v>
      </c>
      <c r="B6403" s="1">
        <v>45741</v>
      </c>
      <c r="C6403" t="s">
        <v>7583</v>
      </c>
      <c r="D6403" t="s">
        <v>5336</v>
      </c>
      <c r="E6403" t="s">
        <v>9837</v>
      </c>
      <c r="F6403" t="s">
        <v>8537</v>
      </c>
      <c r="G6403" t="s">
        <v>8538</v>
      </c>
      <c r="H6403" t="s">
        <v>5337</v>
      </c>
      <c r="J6403">
        <v>6954</v>
      </c>
      <c r="L6403" t="s">
        <v>5875</v>
      </c>
    </row>
    <row r="6404" spans="1:12" x14ac:dyDescent="0.35">
      <c r="A6404" t="s">
        <v>3115</v>
      </c>
      <c r="B6404" s="1">
        <v>45741</v>
      </c>
      <c r="C6404" t="s">
        <v>7612</v>
      </c>
      <c r="D6404" t="s">
        <v>5338</v>
      </c>
      <c r="E6404" t="s">
        <v>9042</v>
      </c>
      <c r="F6404" t="s">
        <v>6802</v>
      </c>
      <c r="H6404" t="s">
        <v>5339</v>
      </c>
      <c r="K6404">
        <v>39000</v>
      </c>
      <c r="L6404" t="s">
        <v>6803</v>
      </c>
    </row>
    <row r="6405" spans="1:12" x14ac:dyDescent="0.35">
      <c r="A6405" t="s">
        <v>3115</v>
      </c>
      <c r="B6405" s="1">
        <v>45741</v>
      </c>
      <c r="C6405" t="s">
        <v>7612</v>
      </c>
      <c r="D6405" t="s">
        <v>5338</v>
      </c>
      <c r="E6405" t="s">
        <v>9042</v>
      </c>
      <c r="F6405" t="s">
        <v>8537</v>
      </c>
      <c r="G6405" t="s">
        <v>8538</v>
      </c>
      <c r="H6405" t="s">
        <v>5339</v>
      </c>
      <c r="J6405">
        <v>39000</v>
      </c>
      <c r="L6405" t="s">
        <v>5880</v>
      </c>
    </row>
    <row r="6406" spans="1:12" x14ac:dyDescent="0.35">
      <c r="A6406" t="s">
        <v>3115</v>
      </c>
      <c r="B6406" s="1">
        <v>45741</v>
      </c>
      <c r="C6406" t="s">
        <v>7317</v>
      </c>
      <c r="D6406" t="s">
        <v>5340</v>
      </c>
      <c r="E6406" t="s">
        <v>8855</v>
      </c>
      <c r="F6406" t="s">
        <v>6802</v>
      </c>
      <c r="H6406" t="s">
        <v>5341</v>
      </c>
      <c r="K6406">
        <v>6000</v>
      </c>
      <c r="L6406" t="s">
        <v>6803</v>
      </c>
    </row>
    <row r="6407" spans="1:12" x14ac:dyDescent="0.35">
      <c r="A6407" t="s">
        <v>3115</v>
      </c>
      <c r="B6407" s="1">
        <v>45741</v>
      </c>
      <c r="C6407" t="s">
        <v>7317</v>
      </c>
      <c r="D6407" t="s">
        <v>5340</v>
      </c>
      <c r="E6407" t="s">
        <v>8855</v>
      </c>
      <c r="F6407" t="s">
        <v>8537</v>
      </c>
      <c r="G6407" t="s">
        <v>8538</v>
      </c>
      <c r="H6407" t="s">
        <v>5341</v>
      </c>
      <c r="J6407">
        <v>6000</v>
      </c>
      <c r="L6407" t="s">
        <v>5875</v>
      </c>
    </row>
    <row r="6408" spans="1:12" x14ac:dyDescent="0.35">
      <c r="A6408" t="s">
        <v>3115</v>
      </c>
      <c r="B6408" s="1">
        <v>45741</v>
      </c>
      <c r="C6408" t="s">
        <v>7667</v>
      </c>
      <c r="D6408" t="s">
        <v>5342</v>
      </c>
      <c r="E6408" t="s">
        <v>9827</v>
      </c>
      <c r="F6408" t="s">
        <v>6802</v>
      </c>
      <c r="H6408" t="s">
        <v>5343</v>
      </c>
      <c r="K6408">
        <v>9000</v>
      </c>
      <c r="L6408" t="s">
        <v>6803</v>
      </c>
    </row>
    <row r="6409" spans="1:12" x14ac:dyDescent="0.35">
      <c r="A6409" t="s">
        <v>3115</v>
      </c>
      <c r="B6409" s="1">
        <v>45741</v>
      </c>
      <c r="C6409" t="s">
        <v>7667</v>
      </c>
      <c r="D6409" t="s">
        <v>5342</v>
      </c>
      <c r="E6409" t="s">
        <v>9827</v>
      </c>
      <c r="F6409" t="s">
        <v>8537</v>
      </c>
      <c r="G6409" t="s">
        <v>8538</v>
      </c>
      <c r="H6409" t="s">
        <v>5343</v>
      </c>
      <c r="J6409">
        <v>9000</v>
      </c>
      <c r="L6409" t="s">
        <v>5876</v>
      </c>
    </row>
    <row r="6410" spans="1:12" x14ac:dyDescent="0.35">
      <c r="A6410" t="s">
        <v>3115</v>
      </c>
      <c r="B6410" s="1">
        <v>45741</v>
      </c>
      <c r="C6410" t="s">
        <v>7668</v>
      </c>
      <c r="D6410" t="s">
        <v>5344</v>
      </c>
      <c r="E6410" t="s">
        <v>9829</v>
      </c>
      <c r="F6410" t="s">
        <v>6802</v>
      </c>
      <c r="H6410" t="s">
        <v>5345</v>
      </c>
      <c r="K6410">
        <v>3000</v>
      </c>
      <c r="L6410" t="s">
        <v>6803</v>
      </c>
    </row>
    <row r="6411" spans="1:12" x14ac:dyDescent="0.35">
      <c r="A6411" t="s">
        <v>3115</v>
      </c>
      <c r="B6411" s="1">
        <v>45741</v>
      </c>
      <c r="C6411" t="s">
        <v>7668</v>
      </c>
      <c r="D6411" t="s">
        <v>5344</v>
      </c>
      <c r="E6411" t="s">
        <v>9829</v>
      </c>
      <c r="F6411" t="s">
        <v>8537</v>
      </c>
      <c r="G6411" t="s">
        <v>8538</v>
      </c>
      <c r="H6411" t="s">
        <v>5345</v>
      </c>
      <c r="J6411">
        <v>3000</v>
      </c>
      <c r="L6411" t="s">
        <v>5876</v>
      </c>
    </row>
    <row r="6412" spans="1:12" x14ac:dyDescent="0.35">
      <c r="A6412" t="s">
        <v>3115</v>
      </c>
      <c r="B6412" s="1">
        <v>45742</v>
      </c>
      <c r="C6412" t="s">
        <v>7669</v>
      </c>
      <c r="D6412" t="s">
        <v>5346</v>
      </c>
      <c r="E6412" t="s">
        <v>9838</v>
      </c>
      <c r="F6412" t="s">
        <v>6802</v>
      </c>
      <c r="H6412" t="s">
        <v>5347</v>
      </c>
      <c r="K6412">
        <v>87833</v>
      </c>
      <c r="L6412" t="s">
        <v>6803</v>
      </c>
    </row>
    <row r="6413" spans="1:12" x14ac:dyDescent="0.35">
      <c r="A6413" t="s">
        <v>3115</v>
      </c>
      <c r="B6413" s="1">
        <v>45742</v>
      </c>
      <c r="C6413" t="s">
        <v>7669</v>
      </c>
      <c r="D6413" t="s">
        <v>5346</v>
      </c>
      <c r="E6413" t="s">
        <v>9838</v>
      </c>
      <c r="F6413" t="s">
        <v>8537</v>
      </c>
      <c r="G6413" t="s">
        <v>8538</v>
      </c>
      <c r="H6413" t="s">
        <v>5347</v>
      </c>
      <c r="J6413">
        <v>87833</v>
      </c>
      <c r="L6413" t="s">
        <v>5876</v>
      </c>
    </row>
    <row r="6414" spans="1:12" x14ac:dyDescent="0.35">
      <c r="A6414" t="s">
        <v>3115</v>
      </c>
      <c r="B6414" s="1">
        <v>45742</v>
      </c>
      <c r="C6414" t="s">
        <v>7686</v>
      </c>
      <c r="D6414" t="s">
        <v>5348</v>
      </c>
      <c r="E6414" t="s">
        <v>9839</v>
      </c>
      <c r="F6414" t="s">
        <v>6811</v>
      </c>
      <c r="H6414" t="s">
        <v>5349</v>
      </c>
      <c r="K6414">
        <v>750</v>
      </c>
      <c r="L6414" t="s">
        <v>6803</v>
      </c>
    </row>
    <row r="6415" spans="1:12" x14ac:dyDescent="0.35">
      <c r="A6415" t="s">
        <v>3115</v>
      </c>
      <c r="B6415" s="1">
        <v>45742</v>
      </c>
      <c r="C6415" t="s">
        <v>7686</v>
      </c>
      <c r="D6415" t="s">
        <v>5348</v>
      </c>
      <c r="E6415" t="s">
        <v>9839</v>
      </c>
      <c r="F6415" t="s">
        <v>6802</v>
      </c>
      <c r="H6415" t="s">
        <v>5349</v>
      </c>
      <c r="K6415">
        <v>126</v>
      </c>
      <c r="L6415" t="s">
        <v>6803</v>
      </c>
    </row>
    <row r="6416" spans="1:12" x14ac:dyDescent="0.35">
      <c r="A6416" t="s">
        <v>3115</v>
      </c>
      <c r="B6416" s="1">
        <v>45742</v>
      </c>
      <c r="C6416" t="s">
        <v>7686</v>
      </c>
      <c r="D6416" t="s">
        <v>5348</v>
      </c>
      <c r="E6416" t="s">
        <v>9839</v>
      </c>
      <c r="F6416" t="s">
        <v>8557</v>
      </c>
      <c r="G6416" t="s">
        <v>8558</v>
      </c>
      <c r="H6416" t="s">
        <v>5349</v>
      </c>
      <c r="J6416">
        <v>876</v>
      </c>
      <c r="L6416" t="s">
        <v>5876</v>
      </c>
    </row>
    <row r="6417" spans="1:12" x14ac:dyDescent="0.35">
      <c r="A6417" t="s">
        <v>3115</v>
      </c>
      <c r="B6417" s="1">
        <v>45742</v>
      </c>
      <c r="C6417" t="s">
        <v>7698</v>
      </c>
      <c r="D6417" t="s">
        <v>5350</v>
      </c>
      <c r="E6417" t="s">
        <v>9838</v>
      </c>
      <c r="F6417" t="s">
        <v>6811</v>
      </c>
      <c r="H6417" t="s">
        <v>5351</v>
      </c>
      <c r="K6417">
        <v>750</v>
      </c>
      <c r="L6417" t="s">
        <v>6803</v>
      </c>
    </row>
    <row r="6418" spans="1:12" x14ac:dyDescent="0.35">
      <c r="A6418" t="s">
        <v>3115</v>
      </c>
      <c r="B6418" s="1">
        <v>45742</v>
      </c>
      <c r="C6418" t="s">
        <v>7698</v>
      </c>
      <c r="D6418" t="s">
        <v>5350</v>
      </c>
      <c r="E6418" t="s">
        <v>9838</v>
      </c>
      <c r="F6418" t="s">
        <v>6802</v>
      </c>
      <c r="H6418" t="s">
        <v>5351</v>
      </c>
      <c r="K6418">
        <v>126</v>
      </c>
      <c r="L6418" t="s">
        <v>6803</v>
      </c>
    </row>
    <row r="6419" spans="1:12" x14ac:dyDescent="0.35">
      <c r="A6419" t="s">
        <v>3115</v>
      </c>
      <c r="B6419" s="1">
        <v>45742</v>
      </c>
      <c r="C6419" t="s">
        <v>7698</v>
      </c>
      <c r="D6419" t="s">
        <v>5350</v>
      </c>
      <c r="E6419" t="s">
        <v>9838</v>
      </c>
      <c r="F6419" t="s">
        <v>8557</v>
      </c>
      <c r="G6419" t="s">
        <v>8558</v>
      </c>
      <c r="H6419" t="s">
        <v>5351</v>
      </c>
      <c r="J6419">
        <v>876</v>
      </c>
      <c r="L6419" t="s">
        <v>5876</v>
      </c>
    </row>
    <row r="6420" spans="1:12" x14ac:dyDescent="0.35">
      <c r="A6420" t="s">
        <v>3115</v>
      </c>
      <c r="B6420" s="1">
        <v>45742</v>
      </c>
      <c r="C6420" t="s">
        <v>7702</v>
      </c>
      <c r="D6420" t="s">
        <v>5352</v>
      </c>
      <c r="E6420" t="s">
        <v>9840</v>
      </c>
      <c r="F6420" t="s">
        <v>6802</v>
      </c>
      <c r="H6420" t="s">
        <v>5353</v>
      </c>
      <c r="K6420">
        <v>40604</v>
      </c>
      <c r="L6420" t="s">
        <v>6803</v>
      </c>
    </row>
    <row r="6421" spans="1:12" x14ac:dyDescent="0.35">
      <c r="A6421" t="s">
        <v>3115</v>
      </c>
      <c r="B6421" s="1">
        <v>45742</v>
      </c>
      <c r="C6421" t="s">
        <v>7702</v>
      </c>
      <c r="D6421" t="s">
        <v>5352</v>
      </c>
      <c r="E6421" t="s">
        <v>9840</v>
      </c>
      <c r="F6421" t="s">
        <v>8537</v>
      </c>
      <c r="G6421" t="s">
        <v>8538</v>
      </c>
      <c r="H6421" t="s">
        <v>5353</v>
      </c>
      <c r="J6421">
        <v>40604</v>
      </c>
      <c r="L6421" t="s">
        <v>5875</v>
      </c>
    </row>
    <row r="6422" spans="1:12" x14ac:dyDescent="0.35">
      <c r="A6422" t="s">
        <v>3115</v>
      </c>
      <c r="B6422" s="1">
        <v>45742</v>
      </c>
      <c r="C6422" t="s">
        <v>7704</v>
      </c>
      <c r="D6422" t="s">
        <v>5354</v>
      </c>
      <c r="E6422" t="s">
        <v>9841</v>
      </c>
      <c r="F6422" t="s">
        <v>6802</v>
      </c>
      <c r="H6422" t="s">
        <v>5355</v>
      </c>
      <c r="K6422">
        <v>33600</v>
      </c>
      <c r="L6422" t="s">
        <v>6803</v>
      </c>
    </row>
    <row r="6423" spans="1:12" x14ac:dyDescent="0.35">
      <c r="A6423" t="s">
        <v>3115</v>
      </c>
      <c r="B6423" s="1">
        <v>45742</v>
      </c>
      <c r="C6423" t="s">
        <v>7704</v>
      </c>
      <c r="D6423" t="s">
        <v>5354</v>
      </c>
      <c r="E6423" t="s">
        <v>9841</v>
      </c>
      <c r="F6423" t="s">
        <v>8537</v>
      </c>
      <c r="G6423" t="s">
        <v>8538</v>
      </c>
      <c r="H6423" t="s">
        <v>5355</v>
      </c>
      <c r="J6423">
        <v>33600</v>
      </c>
      <c r="L6423" t="s">
        <v>5905</v>
      </c>
    </row>
    <row r="6424" spans="1:12" x14ac:dyDescent="0.35">
      <c r="A6424" t="s">
        <v>3115</v>
      </c>
      <c r="B6424" s="1">
        <v>45742</v>
      </c>
      <c r="C6424" t="s">
        <v>7584</v>
      </c>
      <c r="D6424" t="s">
        <v>5356</v>
      </c>
      <c r="E6424" t="s">
        <v>9842</v>
      </c>
      <c r="F6424" t="s">
        <v>6802</v>
      </c>
      <c r="H6424" t="s">
        <v>5357</v>
      </c>
      <c r="K6424">
        <v>16202</v>
      </c>
      <c r="L6424" t="s">
        <v>6803</v>
      </c>
    </row>
    <row r="6425" spans="1:12" x14ac:dyDescent="0.35">
      <c r="A6425" t="s">
        <v>3115</v>
      </c>
      <c r="B6425" s="1">
        <v>45742</v>
      </c>
      <c r="C6425" t="s">
        <v>7584</v>
      </c>
      <c r="D6425" t="s">
        <v>5356</v>
      </c>
      <c r="E6425" t="s">
        <v>9842</v>
      </c>
      <c r="F6425" t="s">
        <v>8537</v>
      </c>
      <c r="G6425" t="s">
        <v>8538</v>
      </c>
      <c r="H6425" t="s">
        <v>5357</v>
      </c>
      <c r="J6425">
        <v>16202</v>
      </c>
      <c r="L6425" t="s">
        <v>5876</v>
      </c>
    </row>
    <row r="6426" spans="1:12" x14ac:dyDescent="0.35">
      <c r="A6426" t="s">
        <v>3115</v>
      </c>
      <c r="B6426" s="1">
        <v>45742</v>
      </c>
      <c r="C6426" t="s">
        <v>7587</v>
      </c>
      <c r="D6426" t="s">
        <v>5358</v>
      </c>
      <c r="E6426" t="s">
        <v>9263</v>
      </c>
      <c r="F6426" t="s">
        <v>6802</v>
      </c>
      <c r="H6426" t="s">
        <v>5359</v>
      </c>
      <c r="K6426">
        <v>11060</v>
      </c>
      <c r="L6426" t="s">
        <v>6803</v>
      </c>
    </row>
    <row r="6427" spans="1:12" x14ac:dyDescent="0.35">
      <c r="A6427" t="s">
        <v>3115</v>
      </c>
      <c r="B6427" s="1">
        <v>45742</v>
      </c>
      <c r="C6427" t="s">
        <v>7587</v>
      </c>
      <c r="D6427" t="s">
        <v>5358</v>
      </c>
      <c r="E6427" t="s">
        <v>9263</v>
      </c>
      <c r="F6427" t="s">
        <v>8557</v>
      </c>
      <c r="G6427" t="s">
        <v>8558</v>
      </c>
      <c r="H6427" t="s">
        <v>5359</v>
      </c>
      <c r="J6427">
        <v>11060</v>
      </c>
      <c r="L6427" t="s">
        <v>5876</v>
      </c>
    </row>
    <row r="6428" spans="1:12" x14ac:dyDescent="0.35">
      <c r="A6428" t="s">
        <v>3115</v>
      </c>
      <c r="B6428" s="1">
        <v>45742</v>
      </c>
      <c r="C6428" t="s">
        <v>7589</v>
      </c>
      <c r="D6428" t="s">
        <v>5360</v>
      </c>
      <c r="E6428" t="s">
        <v>9840</v>
      </c>
      <c r="F6428" t="s">
        <v>6811</v>
      </c>
      <c r="H6428" t="s">
        <v>5361</v>
      </c>
      <c r="K6428">
        <v>750</v>
      </c>
      <c r="L6428" t="s">
        <v>6803</v>
      </c>
    </row>
    <row r="6429" spans="1:12" x14ac:dyDescent="0.35">
      <c r="A6429" t="s">
        <v>3115</v>
      </c>
      <c r="B6429" s="1">
        <v>45742</v>
      </c>
      <c r="C6429" t="s">
        <v>7589</v>
      </c>
      <c r="D6429" t="s">
        <v>5360</v>
      </c>
      <c r="E6429" t="s">
        <v>9840</v>
      </c>
      <c r="F6429" t="s">
        <v>6802</v>
      </c>
      <c r="H6429" t="s">
        <v>5361</v>
      </c>
      <c r="K6429">
        <v>126</v>
      </c>
      <c r="L6429" t="s">
        <v>6803</v>
      </c>
    </row>
    <row r="6430" spans="1:12" x14ac:dyDescent="0.35">
      <c r="A6430" t="s">
        <v>3115</v>
      </c>
      <c r="B6430" s="1">
        <v>45742</v>
      </c>
      <c r="C6430" t="s">
        <v>7589</v>
      </c>
      <c r="D6430" t="s">
        <v>5360</v>
      </c>
      <c r="E6430" t="s">
        <v>9840</v>
      </c>
      <c r="F6430" t="s">
        <v>8557</v>
      </c>
      <c r="G6430" t="s">
        <v>8558</v>
      </c>
      <c r="H6430" t="s">
        <v>5361</v>
      </c>
      <c r="J6430">
        <v>876</v>
      </c>
      <c r="L6430" t="s">
        <v>5875</v>
      </c>
    </row>
    <row r="6431" spans="1:12" x14ac:dyDescent="0.35">
      <c r="A6431" t="s">
        <v>3115</v>
      </c>
      <c r="B6431" s="1">
        <v>45742</v>
      </c>
      <c r="C6431" t="s">
        <v>7591</v>
      </c>
      <c r="D6431" t="s">
        <v>5362</v>
      </c>
      <c r="E6431" t="s">
        <v>9842</v>
      </c>
      <c r="F6431" t="s">
        <v>6811</v>
      </c>
      <c r="H6431" t="s">
        <v>5363</v>
      </c>
      <c r="K6431">
        <v>750</v>
      </c>
      <c r="L6431" t="s">
        <v>6803</v>
      </c>
    </row>
    <row r="6432" spans="1:12" x14ac:dyDescent="0.35">
      <c r="A6432" t="s">
        <v>3115</v>
      </c>
      <c r="B6432" s="1">
        <v>45742</v>
      </c>
      <c r="C6432" t="s">
        <v>7591</v>
      </c>
      <c r="D6432" t="s">
        <v>5362</v>
      </c>
      <c r="E6432" t="s">
        <v>9842</v>
      </c>
      <c r="F6432" t="s">
        <v>6802</v>
      </c>
      <c r="H6432" t="s">
        <v>5363</v>
      </c>
      <c r="K6432">
        <v>126</v>
      </c>
      <c r="L6432" t="s">
        <v>6803</v>
      </c>
    </row>
    <row r="6433" spans="1:12" x14ac:dyDescent="0.35">
      <c r="A6433" t="s">
        <v>3115</v>
      </c>
      <c r="B6433" s="1">
        <v>45742</v>
      </c>
      <c r="C6433" t="s">
        <v>7591</v>
      </c>
      <c r="D6433" t="s">
        <v>5362</v>
      </c>
      <c r="E6433" t="s">
        <v>9842</v>
      </c>
      <c r="F6433" t="s">
        <v>8557</v>
      </c>
      <c r="G6433" t="s">
        <v>8558</v>
      </c>
      <c r="H6433" t="s">
        <v>5363</v>
      </c>
      <c r="J6433">
        <v>876</v>
      </c>
      <c r="L6433" t="s">
        <v>5876</v>
      </c>
    </row>
    <row r="6434" spans="1:12" x14ac:dyDescent="0.35">
      <c r="A6434" t="s">
        <v>3115</v>
      </c>
      <c r="B6434" s="1">
        <v>45742</v>
      </c>
      <c r="C6434" t="s">
        <v>7774</v>
      </c>
      <c r="D6434" t="s">
        <v>5364</v>
      </c>
      <c r="E6434" t="s">
        <v>9843</v>
      </c>
      <c r="F6434" t="s">
        <v>6915</v>
      </c>
      <c r="H6434" t="s">
        <v>5365</v>
      </c>
      <c r="K6434">
        <v>120697</v>
      </c>
      <c r="L6434" t="s">
        <v>6803</v>
      </c>
    </row>
    <row r="6435" spans="1:12" x14ac:dyDescent="0.35">
      <c r="A6435" t="s">
        <v>3115</v>
      </c>
      <c r="B6435" s="1">
        <v>45742</v>
      </c>
      <c r="C6435" t="s">
        <v>7774</v>
      </c>
      <c r="D6435" t="s">
        <v>5364</v>
      </c>
      <c r="E6435" t="s">
        <v>9843</v>
      </c>
      <c r="F6435" t="s">
        <v>8537</v>
      </c>
      <c r="G6435" t="s">
        <v>8538</v>
      </c>
      <c r="H6435" t="s">
        <v>5365</v>
      </c>
      <c r="J6435">
        <v>120697</v>
      </c>
      <c r="L6435" t="s">
        <v>5880</v>
      </c>
    </row>
    <row r="6436" spans="1:12" x14ac:dyDescent="0.35">
      <c r="A6436" t="s">
        <v>3115</v>
      </c>
      <c r="B6436" s="1">
        <v>45742</v>
      </c>
      <c r="C6436" t="s">
        <v>7776</v>
      </c>
      <c r="D6436" t="s">
        <v>5366</v>
      </c>
      <c r="E6436" t="s">
        <v>9844</v>
      </c>
      <c r="F6436" t="s">
        <v>6802</v>
      </c>
      <c r="H6436" t="s">
        <v>5367</v>
      </c>
      <c r="K6436">
        <v>23811</v>
      </c>
      <c r="L6436" t="s">
        <v>6803</v>
      </c>
    </row>
    <row r="6437" spans="1:12" x14ac:dyDescent="0.35">
      <c r="A6437" t="s">
        <v>3115</v>
      </c>
      <c r="B6437" s="1">
        <v>45742</v>
      </c>
      <c r="C6437" t="s">
        <v>7776</v>
      </c>
      <c r="D6437" t="s">
        <v>5366</v>
      </c>
      <c r="E6437" t="s">
        <v>9844</v>
      </c>
      <c r="F6437" t="s">
        <v>8537</v>
      </c>
      <c r="G6437" t="s">
        <v>8538</v>
      </c>
      <c r="H6437" t="s">
        <v>5367</v>
      </c>
      <c r="J6437">
        <v>23811</v>
      </c>
      <c r="L6437" t="s">
        <v>5876</v>
      </c>
    </row>
    <row r="6438" spans="1:12" x14ac:dyDescent="0.35">
      <c r="A6438" t="s">
        <v>3115</v>
      </c>
      <c r="B6438" s="1">
        <v>45742</v>
      </c>
      <c r="C6438" t="s">
        <v>7794</v>
      </c>
      <c r="D6438" t="s">
        <v>5368</v>
      </c>
      <c r="E6438" t="s">
        <v>9844</v>
      </c>
      <c r="F6438" t="s">
        <v>6811</v>
      </c>
      <c r="H6438" t="s">
        <v>5369</v>
      </c>
      <c r="K6438">
        <v>750</v>
      </c>
      <c r="L6438" t="s">
        <v>6803</v>
      </c>
    </row>
    <row r="6439" spans="1:12" x14ac:dyDescent="0.35">
      <c r="A6439" t="s">
        <v>3115</v>
      </c>
      <c r="B6439" s="1">
        <v>45742</v>
      </c>
      <c r="C6439" t="s">
        <v>7794</v>
      </c>
      <c r="D6439" t="s">
        <v>5368</v>
      </c>
      <c r="E6439" t="s">
        <v>9844</v>
      </c>
      <c r="F6439" t="s">
        <v>6802</v>
      </c>
      <c r="H6439" t="s">
        <v>5369</v>
      </c>
      <c r="K6439">
        <v>126</v>
      </c>
      <c r="L6439" t="s">
        <v>6803</v>
      </c>
    </row>
    <row r="6440" spans="1:12" x14ac:dyDescent="0.35">
      <c r="A6440" t="s">
        <v>3115</v>
      </c>
      <c r="B6440" s="1">
        <v>45742</v>
      </c>
      <c r="C6440" t="s">
        <v>7794</v>
      </c>
      <c r="D6440" t="s">
        <v>5368</v>
      </c>
      <c r="E6440" t="s">
        <v>9844</v>
      </c>
      <c r="F6440" t="s">
        <v>8557</v>
      </c>
      <c r="G6440" t="s">
        <v>8558</v>
      </c>
      <c r="H6440" t="s">
        <v>5369</v>
      </c>
      <c r="J6440">
        <v>876</v>
      </c>
      <c r="L6440" t="s">
        <v>5876</v>
      </c>
    </row>
    <row r="6441" spans="1:12" x14ac:dyDescent="0.35">
      <c r="A6441" t="s">
        <v>3115</v>
      </c>
      <c r="B6441" s="1">
        <v>45742</v>
      </c>
      <c r="C6441" t="s">
        <v>7731</v>
      </c>
      <c r="D6441" t="s">
        <v>5370</v>
      </c>
      <c r="E6441" t="s">
        <v>9845</v>
      </c>
      <c r="F6441" t="s">
        <v>6802</v>
      </c>
      <c r="H6441" t="s">
        <v>5371</v>
      </c>
      <c r="K6441">
        <v>7718</v>
      </c>
      <c r="L6441" t="s">
        <v>6803</v>
      </c>
    </row>
    <row r="6442" spans="1:12" x14ac:dyDescent="0.35">
      <c r="A6442" t="s">
        <v>3115</v>
      </c>
      <c r="B6442" s="1">
        <v>45742</v>
      </c>
      <c r="C6442" t="s">
        <v>7731</v>
      </c>
      <c r="D6442" t="s">
        <v>5370</v>
      </c>
      <c r="E6442" t="s">
        <v>9845</v>
      </c>
      <c r="F6442" t="s">
        <v>8557</v>
      </c>
      <c r="G6442" t="s">
        <v>8558</v>
      </c>
      <c r="H6442" t="s">
        <v>5371</v>
      </c>
      <c r="J6442">
        <v>7718</v>
      </c>
      <c r="L6442" t="s">
        <v>5881</v>
      </c>
    </row>
    <row r="6443" spans="1:12" x14ac:dyDescent="0.35">
      <c r="A6443" t="s">
        <v>3115</v>
      </c>
      <c r="B6443" s="1">
        <v>45742</v>
      </c>
      <c r="C6443" t="s">
        <v>7740</v>
      </c>
      <c r="D6443" t="s">
        <v>5372</v>
      </c>
      <c r="E6443" t="s">
        <v>9846</v>
      </c>
      <c r="F6443" t="s">
        <v>6802</v>
      </c>
      <c r="H6443" t="s">
        <v>5373</v>
      </c>
      <c r="K6443">
        <v>76400</v>
      </c>
      <c r="L6443" t="s">
        <v>6803</v>
      </c>
    </row>
    <row r="6444" spans="1:12" x14ac:dyDescent="0.35">
      <c r="A6444" t="s">
        <v>3115</v>
      </c>
      <c r="B6444" s="1">
        <v>45742</v>
      </c>
      <c r="C6444" t="s">
        <v>7740</v>
      </c>
      <c r="D6444" t="s">
        <v>5372</v>
      </c>
      <c r="E6444" t="s">
        <v>9846</v>
      </c>
      <c r="F6444" t="s">
        <v>8537</v>
      </c>
      <c r="G6444" t="s">
        <v>8538</v>
      </c>
      <c r="H6444" t="s">
        <v>5373</v>
      </c>
      <c r="J6444">
        <v>76400</v>
      </c>
      <c r="L6444" t="s">
        <v>5874</v>
      </c>
    </row>
    <row r="6445" spans="1:12" x14ac:dyDescent="0.35">
      <c r="A6445" t="s">
        <v>3115</v>
      </c>
      <c r="B6445" s="1">
        <v>45742</v>
      </c>
      <c r="C6445" t="s">
        <v>7752</v>
      </c>
      <c r="D6445" t="s">
        <v>5374</v>
      </c>
      <c r="E6445" t="s">
        <v>9342</v>
      </c>
      <c r="F6445" t="s">
        <v>6802</v>
      </c>
      <c r="H6445" t="s">
        <v>5375</v>
      </c>
      <c r="K6445">
        <v>51804</v>
      </c>
      <c r="L6445" t="s">
        <v>6803</v>
      </c>
    </row>
    <row r="6446" spans="1:12" x14ac:dyDescent="0.35">
      <c r="A6446" t="s">
        <v>3115</v>
      </c>
      <c r="B6446" s="1">
        <v>45742</v>
      </c>
      <c r="C6446" t="s">
        <v>7752</v>
      </c>
      <c r="D6446" t="s">
        <v>5374</v>
      </c>
      <c r="E6446" t="s">
        <v>9342</v>
      </c>
      <c r="F6446" t="s">
        <v>8537</v>
      </c>
      <c r="G6446" t="s">
        <v>8538</v>
      </c>
      <c r="H6446" t="s">
        <v>5375</v>
      </c>
      <c r="J6446">
        <v>51804</v>
      </c>
      <c r="L6446" t="s">
        <v>5875</v>
      </c>
    </row>
    <row r="6447" spans="1:12" x14ac:dyDescent="0.35">
      <c r="A6447" t="s">
        <v>3115</v>
      </c>
      <c r="B6447" s="1">
        <v>45742</v>
      </c>
      <c r="C6447" t="s">
        <v>7670</v>
      </c>
      <c r="D6447" t="s">
        <v>5376</v>
      </c>
      <c r="E6447" t="s">
        <v>9335</v>
      </c>
      <c r="F6447" t="s">
        <v>6802</v>
      </c>
      <c r="H6447" t="s">
        <v>5377</v>
      </c>
      <c r="K6447">
        <v>51804</v>
      </c>
      <c r="L6447" t="s">
        <v>6803</v>
      </c>
    </row>
    <row r="6448" spans="1:12" x14ac:dyDescent="0.35">
      <c r="A6448" t="s">
        <v>3115</v>
      </c>
      <c r="B6448" s="1">
        <v>45742</v>
      </c>
      <c r="C6448" t="s">
        <v>7670</v>
      </c>
      <c r="D6448" t="s">
        <v>5376</v>
      </c>
      <c r="E6448" t="s">
        <v>9335</v>
      </c>
      <c r="F6448" t="s">
        <v>8537</v>
      </c>
      <c r="G6448" t="s">
        <v>8538</v>
      </c>
      <c r="H6448" t="s">
        <v>5377</v>
      </c>
      <c r="J6448">
        <v>51804</v>
      </c>
      <c r="L6448" t="s">
        <v>5880</v>
      </c>
    </row>
    <row r="6449" spans="1:12" x14ac:dyDescent="0.35">
      <c r="A6449" t="s">
        <v>3115</v>
      </c>
      <c r="B6449" s="1">
        <v>45742</v>
      </c>
      <c r="C6449" t="s">
        <v>7766</v>
      </c>
      <c r="D6449" t="s">
        <v>5378</v>
      </c>
      <c r="E6449" t="s">
        <v>9296</v>
      </c>
      <c r="F6449" t="s">
        <v>6802</v>
      </c>
      <c r="H6449" t="s">
        <v>5379</v>
      </c>
      <c r="K6449">
        <v>51804</v>
      </c>
      <c r="L6449" t="s">
        <v>6803</v>
      </c>
    </row>
    <row r="6450" spans="1:12" x14ac:dyDescent="0.35">
      <c r="A6450" t="s">
        <v>3115</v>
      </c>
      <c r="B6450" s="1">
        <v>45742</v>
      </c>
      <c r="C6450" t="s">
        <v>7766</v>
      </c>
      <c r="D6450" t="s">
        <v>5378</v>
      </c>
      <c r="E6450" t="s">
        <v>9296</v>
      </c>
      <c r="F6450" t="s">
        <v>8537</v>
      </c>
      <c r="G6450" t="s">
        <v>8538</v>
      </c>
      <c r="H6450" t="s">
        <v>5379</v>
      </c>
      <c r="J6450">
        <v>51804</v>
      </c>
      <c r="L6450" t="s">
        <v>5875</v>
      </c>
    </row>
    <row r="6451" spans="1:12" x14ac:dyDescent="0.35">
      <c r="A6451" t="s">
        <v>3115</v>
      </c>
      <c r="B6451" s="1">
        <v>45742</v>
      </c>
      <c r="C6451" t="s">
        <v>7768</v>
      </c>
      <c r="D6451" t="s">
        <v>5380</v>
      </c>
      <c r="E6451" t="s">
        <v>9309</v>
      </c>
      <c r="F6451" t="s">
        <v>6802</v>
      </c>
      <c r="H6451" t="s">
        <v>5381</v>
      </c>
      <c r="K6451">
        <v>51804</v>
      </c>
      <c r="L6451" t="s">
        <v>6803</v>
      </c>
    </row>
    <row r="6452" spans="1:12" x14ac:dyDescent="0.35">
      <c r="A6452" t="s">
        <v>3115</v>
      </c>
      <c r="B6452" s="1">
        <v>45742</v>
      </c>
      <c r="C6452" t="s">
        <v>7768</v>
      </c>
      <c r="D6452" t="s">
        <v>5380</v>
      </c>
      <c r="E6452" t="s">
        <v>9309</v>
      </c>
      <c r="F6452" t="s">
        <v>8537</v>
      </c>
      <c r="G6452" t="s">
        <v>8538</v>
      </c>
      <c r="H6452" t="s">
        <v>5381</v>
      </c>
      <c r="J6452">
        <v>51804</v>
      </c>
      <c r="L6452" t="s">
        <v>5875</v>
      </c>
    </row>
    <row r="6453" spans="1:12" x14ac:dyDescent="0.35">
      <c r="A6453" t="s">
        <v>3115</v>
      </c>
      <c r="B6453" s="1">
        <v>45742</v>
      </c>
      <c r="C6453" t="s">
        <v>7770</v>
      </c>
      <c r="D6453" t="s">
        <v>5382</v>
      </c>
      <c r="E6453" t="s">
        <v>9847</v>
      </c>
      <c r="F6453" t="s">
        <v>6802</v>
      </c>
      <c r="H6453" t="s">
        <v>5383</v>
      </c>
      <c r="K6453">
        <v>48067</v>
      </c>
      <c r="L6453" t="s">
        <v>6803</v>
      </c>
    </row>
    <row r="6454" spans="1:12" x14ac:dyDescent="0.35">
      <c r="A6454" t="s">
        <v>3115</v>
      </c>
      <c r="B6454" s="1">
        <v>45742</v>
      </c>
      <c r="C6454" t="s">
        <v>7770</v>
      </c>
      <c r="D6454" t="s">
        <v>5382</v>
      </c>
      <c r="E6454" t="s">
        <v>9847</v>
      </c>
      <c r="F6454" t="s">
        <v>8537</v>
      </c>
      <c r="G6454" t="s">
        <v>8538</v>
      </c>
      <c r="H6454" t="s">
        <v>5383</v>
      </c>
      <c r="J6454">
        <v>48067</v>
      </c>
      <c r="L6454" t="s">
        <v>5873</v>
      </c>
    </row>
    <row r="6455" spans="1:12" x14ac:dyDescent="0.35">
      <c r="A6455" t="s">
        <v>3115</v>
      </c>
      <c r="B6455" s="1">
        <v>45742</v>
      </c>
      <c r="C6455" t="s">
        <v>7778</v>
      </c>
      <c r="D6455" t="s">
        <v>5384</v>
      </c>
      <c r="E6455" t="s">
        <v>9848</v>
      </c>
      <c r="F6455" t="s">
        <v>6802</v>
      </c>
      <c r="H6455" t="s">
        <v>5385</v>
      </c>
      <c r="K6455">
        <v>656</v>
      </c>
      <c r="L6455" t="s">
        <v>6803</v>
      </c>
    </row>
    <row r="6456" spans="1:12" x14ac:dyDescent="0.35">
      <c r="A6456" t="s">
        <v>3115</v>
      </c>
      <c r="B6456" s="1">
        <v>45742</v>
      </c>
      <c r="C6456" t="s">
        <v>7778</v>
      </c>
      <c r="D6456" t="s">
        <v>5384</v>
      </c>
      <c r="E6456" t="s">
        <v>9848</v>
      </c>
      <c r="F6456" t="s">
        <v>8537</v>
      </c>
      <c r="G6456" t="s">
        <v>8538</v>
      </c>
      <c r="H6456" t="s">
        <v>5385</v>
      </c>
      <c r="J6456">
        <v>656</v>
      </c>
      <c r="L6456" t="s">
        <v>5880</v>
      </c>
    </row>
    <row r="6457" spans="1:12" x14ac:dyDescent="0.35">
      <c r="A6457" t="s">
        <v>3115</v>
      </c>
      <c r="B6457" s="1">
        <v>45742</v>
      </c>
      <c r="C6457" t="s">
        <v>7780</v>
      </c>
      <c r="D6457" t="s">
        <v>5386</v>
      </c>
      <c r="E6457" t="s">
        <v>9849</v>
      </c>
      <c r="F6457" t="s">
        <v>6811</v>
      </c>
      <c r="H6457" t="s">
        <v>5387</v>
      </c>
      <c r="K6457">
        <v>1960</v>
      </c>
      <c r="L6457" t="s">
        <v>6803</v>
      </c>
    </row>
    <row r="6458" spans="1:12" x14ac:dyDescent="0.35">
      <c r="A6458" t="s">
        <v>3115</v>
      </c>
      <c r="B6458" s="1">
        <v>45742</v>
      </c>
      <c r="C6458" t="s">
        <v>7780</v>
      </c>
      <c r="D6458" t="s">
        <v>5386</v>
      </c>
      <c r="E6458" t="s">
        <v>9849</v>
      </c>
      <c r="F6458" t="s">
        <v>6802</v>
      </c>
      <c r="H6458" t="s">
        <v>5387</v>
      </c>
      <c r="K6458">
        <v>2398</v>
      </c>
      <c r="L6458" t="s">
        <v>6803</v>
      </c>
    </row>
    <row r="6459" spans="1:12" x14ac:dyDescent="0.35">
      <c r="A6459" t="s">
        <v>3115</v>
      </c>
      <c r="B6459" s="1">
        <v>45742</v>
      </c>
      <c r="C6459" t="s">
        <v>7780</v>
      </c>
      <c r="D6459" t="s">
        <v>5386</v>
      </c>
      <c r="E6459" t="s">
        <v>9849</v>
      </c>
      <c r="F6459" t="s">
        <v>8557</v>
      </c>
      <c r="G6459" t="s">
        <v>8558</v>
      </c>
      <c r="H6459" t="s">
        <v>5387</v>
      </c>
      <c r="J6459">
        <v>4358</v>
      </c>
      <c r="L6459" t="s">
        <v>5874</v>
      </c>
    </row>
    <row r="6460" spans="1:12" x14ac:dyDescent="0.35">
      <c r="A6460" t="s">
        <v>3115</v>
      </c>
      <c r="B6460" s="1">
        <v>45742</v>
      </c>
      <c r="C6460" t="s">
        <v>7782</v>
      </c>
      <c r="D6460" t="s">
        <v>5388</v>
      </c>
      <c r="E6460" t="s">
        <v>9850</v>
      </c>
      <c r="F6460" t="s">
        <v>6808</v>
      </c>
      <c r="H6460" t="s">
        <v>5389</v>
      </c>
      <c r="K6460">
        <v>3298</v>
      </c>
      <c r="L6460" t="s">
        <v>6803</v>
      </c>
    </row>
    <row r="6461" spans="1:12" x14ac:dyDescent="0.35">
      <c r="A6461" t="s">
        <v>3115</v>
      </c>
      <c r="B6461" s="1">
        <v>45742</v>
      </c>
      <c r="C6461" t="s">
        <v>7782</v>
      </c>
      <c r="D6461" t="s">
        <v>5388</v>
      </c>
      <c r="E6461" t="s">
        <v>9850</v>
      </c>
      <c r="F6461" t="s">
        <v>8467</v>
      </c>
      <c r="G6461" t="s">
        <v>8567</v>
      </c>
      <c r="H6461" t="s">
        <v>5389</v>
      </c>
      <c r="J6461">
        <v>3298</v>
      </c>
      <c r="L6461" t="s">
        <v>5876</v>
      </c>
    </row>
    <row r="6462" spans="1:12" x14ac:dyDescent="0.35">
      <c r="A6462" t="s">
        <v>3115</v>
      </c>
      <c r="B6462" s="1">
        <v>45742</v>
      </c>
      <c r="C6462" t="s">
        <v>7786</v>
      </c>
      <c r="D6462" t="s">
        <v>5390</v>
      </c>
      <c r="E6462" t="s">
        <v>9851</v>
      </c>
      <c r="F6462" t="s">
        <v>6802</v>
      </c>
      <c r="H6462" t="s">
        <v>5391</v>
      </c>
      <c r="K6462">
        <v>7646</v>
      </c>
      <c r="L6462" t="s">
        <v>6803</v>
      </c>
    </row>
    <row r="6463" spans="1:12" x14ac:dyDescent="0.35">
      <c r="A6463" t="s">
        <v>3115</v>
      </c>
      <c r="B6463" s="1">
        <v>45742</v>
      </c>
      <c r="C6463" t="s">
        <v>7786</v>
      </c>
      <c r="D6463" t="s">
        <v>5390</v>
      </c>
      <c r="E6463" t="s">
        <v>9851</v>
      </c>
      <c r="F6463" t="s">
        <v>8557</v>
      </c>
      <c r="G6463" t="s">
        <v>8558</v>
      </c>
      <c r="H6463" t="s">
        <v>5391</v>
      </c>
      <c r="J6463">
        <v>7646</v>
      </c>
      <c r="L6463" t="s">
        <v>5875</v>
      </c>
    </row>
    <row r="6464" spans="1:12" x14ac:dyDescent="0.35">
      <c r="A6464" t="s">
        <v>3115</v>
      </c>
      <c r="B6464" s="1">
        <v>45742</v>
      </c>
      <c r="C6464" t="s">
        <v>7787</v>
      </c>
      <c r="D6464" t="s">
        <v>5392</v>
      </c>
      <c r="E6464" t="s">
        <v>9852</v>
      </c>
      <c r="F6464" t="s">
        <v>6802</v>
      </c>
      <c r="H6464" t="s">
        <v>5393</v>
      </c>
      <c r="K6464">
        <v>19941</v>
      </c>
      <c r="L6464" t="s">
        <v>6803</v>
      </c>
    </row>
    <row r="6465" spans="1:12" x14ac:dyDescent="0.35">
      <c r="A6465" t="s">
        <v>3115</v>
      </c>
      <c r="B6465" s="1">
        <v>45742</v>
      </c>
      <c r="C6465" t="s">
        <v>7787</v>
      </c>
      <c r="D6465" t="s">
        <v>5392</v>
      </c>
      <c r="E6465" t="s">
        <v>9852</v>
      </c>
      <c r="F6465" t="s">
        <v>8537</v>
      </c>
      <c r="G6465" t="s">
        <v>8538</v>
      </c>
      <c r="H6465" t="s">
        <v>5393</v>
      </c>
      <c r="J6465">
        <v>19941</v>
      </c>
      <c r="L6465" t="s">
        <v>5958</v>
      </c>
    </row>
    <row r="6466" spans="1:12" x14ac:dyDescent="0.35">
      <c r="A6466" t="s">
        <v>3115</v>
      </c>
      <c r="B6466" s="1">
        <v>45742</v>
      </c>
      <c r="C6466" t="s">
        <v>7790</v>
      </c>
      <c r="D6466" t="s">
        <v>5394</v>
      </c>
      <c r="E6466" t="s">
        <v>9853</v>
      </c>
      <c r="F6466" t="s">
        <v>6802</v>
      </c>
      <c r="H6466" t="s">
        <v>5395</v>
      </c>
      <c r="K6466">
        <v>43950</v>
      </c>
      <c r="L6466" t="s">
        <v>6803</v>
      </c>
    </row>
    <row r="6467" spans="1:12" x14ac:dyDescent="0.35">
      <c r="A6467" t="s">
        <v>3115</v>
      </c>
      <c r="B6467" s="1">
        <v>45742</v>
      </c>
      <c r="C6467" t="s">
        <v>7790</v>
      </c>
      <c r="D6467" t="s">
        <v>5394</v>
      </c>
      <c r="E6467" t="s">
        <v>9853</v>
      </c>
      <c r="F6467" t="s">
        <v>8537</v>
      </c>
      <c r="G6467" t="s">
        <v>8538</v>
      </c>
      <c r="H6467" t="s">
        <v>5395</v>
      </c>
      <c r="J6467">
        <v>43950</v>
      </c>
      <c r="L6467" t="s">
        <v>5880</v>
      </c>
    </row>
    <row r="6468" spans="1:12" x14ac:dyDescent="0.35">
      <c r="A6468" t="s">
        <v>3115</v>
      </c>
      <c r="B6468" s="1">
        <v>45742</v>
      </c>
      <c r="C6468" t="s">
        <v>7694</v>
      </c>
      <c r="D6468" t="s">
        <v>5396</v>
      </c>
      <c r="E6468" t="s">
        <v>9854</v>
      </c>
      <c r="F6468" t="s">
        <v>6811</v>
      </c>
      <c r="H6468" t="s">
        <v>5397</v>
      </c>
      <c r="K6468">
        <v>350</v>
      </c>
      <c r="L6468" t="s">
        <v>6803</v>
      </c>
    </row>
    <row r="6469" spans="1:12" x14ac:dyDescent="0.35">
      <c r="A6469" t="s">
        <v>3115</v>
      </c>
      <c r="B6469" s="1">
        <v>45742</v>
      </c>
      <c r="C6469" t="s">
        <v>7694</v>
      </c>
      <c r="D6469" t="s">
        <v>5396</v>
      </c>
      <c r="E6469" t="s">
        <v>9854</v>
      </c>
      <c r="F6469" t="s">
        <v>8557</v>
      </c>
      <c r="G6469" t="s">
        <v>8558</v>
      </c>
      <c r="H6469" t="s">
        <v>5397</v>
      </c>
      <c r="J6469">
        <v>350</v>
      </c>
      <c r="L6469" t="s">
        <v>5880</v>
      </c>
    </row>
    <row r="6470" spans="1:12" x14ac:dyDescent="0.35">
      <c r="A6470" t="s">
        <v>3115</v>
      </c>
      <c r="B6470" s="1">
        <v>45742</v>
      </c>
      <c r="C6470" t="s">
        <v>7687</v>
      </c>
      <c r="D6470" t="s">
        <v>5398</v>
      </c>
      <c r="E6470" t="s">
        <v>9855</v>
      </c>
      <c r="F6470" t="s">
        <v>6802</v>
      </c>
      <c r="H6470" t="s">
        <v>5399</v>
      </c>
      <c r="K6470">
        <v>6356</v>
      </c>
      <c r="L6470" t="s">
        <v>6803</v>
      </c>
    </row>
    <row r="6471" spans="1:12" x14ac:dyDescent="0.35">
      <c r="A6471" t="s">
        <v>3115</v>
      </c>
      <c r="B6471" s="1">
        <v>45742</v>
      </c>
      <c r="C6471" t="s">
        <v>7687</v>
      </c>
      <c r="D6471" t="s">
        <v>5398</v>
      </c>
      <c r="E6471" t="s">
        <v>9855</v>
      </c>
      <c r="F6471" t="s">
        <v>8467</v>
      </c>
      <c r="G6471" t="s">
        <v>8567</v>
      </c>
      <c r="H6471" t="s">
        <v>5399</v>
      </c>
      <c r="J6471">
        <v>6356</v>
      </c>
      <c r="L6471" t="s">
        <v>5875</v>
      </c>
    </row>
    <row r="6472" spans="1:12" x14ac:dyDescent="0.35">
      <c r="A6472" t="s">
        <v>3115</v>
      </c>
      <c r="B6472" s="1">
        <v>45742</v>
      </c>
      <c r="C6472" t="s">
        <v>7795</v>
      </c>
      <c r="D6472" t="s">
        <v>5400</v>
      </c>
      <c r="E6472" t="s">
        <v>9856</v>
      </c>
      <c r="F6472" t="s">
        <v>6808</v>
      </c>
      <c r="H6472" t="s">
        <v>5401</v>
      </c>
      <c r="K6472">
        <v>3298</v>
      </c>
      <c r="L6472" t="s">
        <v>6803</v>
      </c>
    </row>
    <row r="6473" spans="1:12" x14ac:dyDescent="0.35">
      <c r="A6473" t="s">
        <v>3115</v>
      </c>
      <c r="B6473" s="1">
        <v>45742</v>
      </c>
      <c r="C6473" t="s">
        <v>7795</v>
      </c>
      <c r="D6473" t="s">
        <v>5400</v>
      </c>
      <c r="E6473" t="s">
        <v>9856</v>
      </c>
      <c r="F6473" t="s">
        <v>8467</v>
      </c>
      <c r="G6473" t="s">
        <v>8567</v>
      </c>
      <c r="H6473" t="s">
        <v>5401</v>
      </c>
      <c r="J6473">
        <v>3298</v>
      </c>
      <c r="L6473" t="s">
        <v>5880</v>
      </c>
    </row>
    <row r="6474" spans="1:12" x14ac:dyDescent="0.35">
      <c r="A6474" t="s">
        <v>3115</v>
      </c>
      <c r="B6474" s="1">
        <v>45742</v>
      </c>
      <c r="C6474" t="s">
        <v>7798</v>
      </c>
      <c r="D6474" t="s">
        <v>5402</v>
      </c>
      <c r="E6474" t="s">
        <v>9857</v>
      </c>
      <c r="F6474" t="s">
        <v>6802</v>
      </c>
      <c r="H6474" t="s">
        <v>5403</v>
      </c>
      <c r="K6474">
        <v>5773</v>
      </c>
      <c r="L6474" t="s">
        <v>6803</v>
      </c>
    </row>
    <row r="6475" spans="1:12" x14ac:dyDescent="0.35">
      <c r="A6475" t="s">
        <v>3115</v>
      </c>
      <c r="B6475" s="1">
        <v>45742</v>
      </c>
      <c r="C6475" t="s">
        <v>7798</v>
      </c>
      <c r="D6475" t="s">
        <v>5402</v>
      </c>
      <c r="E6475" t="s">
        <v>9857</v>
      </c>
      <c r="F6475" t="s">
        <v>8537</v>
      </c>
      <c r="G6475" t="s">
        <v>8538</v>
      </c>
      <c r="H6475" t="s">
        <v>5403</v>
      </c>
      <c r="J6475">
        <v>5773</v>
      </c>
      <c r="L6475" t="s">
        <v>5875</v>
      </c>
    </row>
    <row r="6476" spans="1:12" x14ac:dyDescent="0.35">
      <c r="A6476" t="s">
        <v>3115</v>
      </c>
      <c r="B6476" s="1">
        <v>45742</v>
      </c>
      <c r="C6476" t="s">
        <v>7800</v>
      </c>
      <c r="D6476" t="s">
        <v>5404</v>
      </c>
      <c r="E6476" t="s">
        <v>9858</v>
      </c>
      <c r="F6476" t="s">
        <v>6811</v>
      </c>
      <c r="H6476" t="s">
        <v>5405</v>
      </c>
      <c r="K6476">
        <v>42900</v>
      </c>
      <c r="L6476" t="s">
        <v>6803</v>
      </c>
    </row>
    <row r="6477" spans="1:12" x14ac:dyDescent="0.35">
      <c r="A6477" t="s">
        <v>3115</v>
      </c>
      <c r="B6477" s="1">
        <v>45742</v>
      </c>
      <c r="C6477" t="s">
        <v>7800</v>
      </c>
      <c r="D6477" t="s">
        <v>5404</v>
      </c>
      <c r="E6477" t="s">
        <v>9858</v>
      </c>
      <c r="F6477" t="s">
        <v>8557</v>
      </c>
      <c r="G6477" t="s">
        <v>8558</v>
      </c>
      <c r="H6477" t="s">
        <v>5405</v>
      </c>
      <c r="J6477">
        <v>42900</v>
      </c>
      <c r="L6477" t="s">
        <v>5949</v>
      </c>
    </row>
    <row r="6478" spans="1:12" x14ac:dyDescent="0.35">
      <c r="A6478" t="s">
        <v>3115</v>
      </c>
      <c r="B6478" s="1">
        <v>45742</v>
      </c>
      <c r="C6478" t="s">
        <v>7801</v>
      </c>
      <c r="D6478" t="s">
        <v>5406</v>
      </c>
      <c r="E6478" t="s">
        <v>9859</v>
      </c>
      <c r="F6478" t="s">
        <v>6802</v>
      </c>
      <c r="H6478" t="s">
        <v>5407</v>
      </c>
      <c r="K6478">
        <v>22050</v>
      </c>
      <c r="L6478" t="s">
        <v>6803</v>
      </c>
    </row>
    <row r="6479" spans="1:12" x14ac:dyDescent="0.35">
      <c r="A6479" t="s">
        <v>3115</v>
      </c>
      <c r="B6479" s="1">
        <v>45742</v>
      </c>
      <c r="C6479" t="s">
        <v>7801</v>
      </c>
      <c r="D6479" t="s">
        <v>5406</v>
      </c>
      <c r="E6479" t="s">
        <v>9859</v>
      </c>
      <c r="F6479" t="s">
        <v>8557</v>
      </c>
      <c r="G6479" t="s">
        <v>8558</v>
      </c>
      <c r="H6479" t="s">
        <v>5407</v>
      </c>
      <c r="J6479">
        <v>22050</v>
      </c>
      <c r="L6479" t="s">
        <v>5880</v>
      </c>
    </row>
    <row r="6480" spans="1:12" x14ac:dyDescent="0.35">
      <c r="A6480" t="s">
        <v>3115</v>
      </c>
      <c r="B6480" s="1">
        <v>45742</v>
      </c>
      <c r="C6480" t="s">
        <v>7803</v>
      </c>
      <c r="D6480" t="s">
        <v>5408</v>
      </c>
      <c r="E6480" t="s">
        <v>9860</v>
      </c>
      <c r="F6480" t="s">
        <v>6802</v>
      </c>
      <c r="H6480" t="s">
        <v>5409</v>
      </c>
      <c r="K6480">
        <v>6500</v>
      </c>
      <c r="L6480" t="s">
        <v>6803</v>
      </c>
    </row>
    <row r="6481" spans="1:12" x14ac:dyDescent="0.35">
      <c r="A6481" t="s">
        <v>3115</v>
      </c>
      <c r="B6481" s="1">
        <v>45742</v>
      </c>
      <c r="C6481" t="s">
        <v>7803</v>
      </c>
      <c r="D6481" t="s">
        <v>5408</v>
      </c>
      <c r="E6481" t="s">
        <v>9860</v>
      </c>
      <c r="F6481" t="s">
        <v>8557</v>
      </c>
      <c r="G6481" t="s">
        <v>8558</v>
      </c>
      <c r="H6481" t="s">
        <v>5409</v>
      </c>
      <c r="J6481">
        <v>6500</v>
      </c>
      <c r="L6481" t="s">
        <v>5880</v>
      </c>
    </row>
    <row r="6482" spans="1:12" x14ac:dyDescent="0.35">
      <c r="A6482" t="s">
        <v>3115</v>
      </c>
      <c r="B6482" s="1">
        <v>45742</v>
      </c>
      <c r="C6482" t="s">
        <v>7805</v>
      </c>
      <c r="D6482" t="s">
        <v>5410</v>
      </c>
      <c r="E6482" t="s">
        <v>9861</v>
      </c>
      <c r="F6482" t="s">
        <v>6811</v>
      </c>
      <c r="H6482" t="s">
        <v>5411</v>
      </c>
      <c r="K6482">
        <v>980</v>
      </c>
      <c r="L6482" t="s">
        <v>6803</v>
      </c>
    </row>
    <row r="6483" spans="1:12" x14ac:dyDescent="0.35">
      <c r="A6483" t="s">
        <v>3115</v>
      </c>
      <c r="B6483" s="1">
        <v>45742</v>
      </c>
      <c r="C6483" t="s">
        <v>7805</v>
      </c>
      <c r="D6483" t="s">
        <v>5410</v>
      </c>
      <c r="E6483" t="s">
        <v>9861</v>
      </c>
      <c r="F6483" t="s">
        <v>6802</v>
      </c>
      <c r="H6483" t="s">
        <v>5411</v>
      </c>
      <c r="K6483">
        <v>6162</v>
      </c>
      <c r="L6483" t="s">
        <v>6803</v>
      </c>
    </row>
    <row r="6484" spans="1:12" x14ac:dyDescent="0.35">
      <c r="A6484" t="s">
        <v>3115</v>
      </c>
      <c r="B6484" s="1">
        <v>45742</v>
      </c>
      <c r="C6484" t="s">
        <v>7805</v>
      </c>
      <c r="D6484" t="s">
        <v>5410</v>
      </c>
      <c r="E6484" t="s">
        <v>9861</v>
      </c>
      <c r="F6484" t="s">
        <v>8557</v>
      </c>
      <c r="G6484" t="s">
        <v>8558</v>
      </c>
      <c r="H6484" t="s">
        <v>5411</v>
      </c>
      <c r="J6484">
        <v>7142</v>
      </c>
      <c r="L6484" t="s">
        <v>5880</v>
      </c>
    </row>
    <row r="6485" spans="1:12" x14ac:dyDescent="0.35">
      <c r="A6485" t="s">
        <v>3115</v>
      </c>
      <c r="B6485" s="1">
        <v>45742</v>
      </c>
      <c r="C6485" t="s">
        <v>7806</v>
      </c>
      <c r="D6485" t="s">
        <v>5412</v>
      </c>
      <c r="E6485" t="s">
        <v>9862</v>
      </c>
      <c r="F6485" t="s">
        <v>6811</v>
      </c>
      <c r="H6485" t="s">
        <v>5413</v>
      </c>
      <c r="K6485">
        <v>294</v>
      </c>
      <c r="L6485" t="s">
        <v>6803</v>
      </c>
    </row>
    <row r="6486" spans="1:12" x14ac:dyDescent="0.35">
      <c r="A6486" t="s">
        <v>3115</v>
      </c>
      <c r="B6486" s="1">
        <v>45742</v>
      </c>
      <c r="C6486" t="s">
        <v>7806</v>
      </c>
      <c r="D6486" t="s">
        <v>5412</v>
      </c>
      <c r="E6486" t="s">
        <v>9862</v>
      </c>
      <c r="F6486" t="s">
        <v>6802</v>
      </c>
      <c r="H6486" t="s">
        <v>5413</v>
      </c>
      <c r="K6486">
        <v>800</v>
      </c>
      <c r="L6486" t="s">
        <v>6803</v>
      </c>
    </row>
    <row r="6487" spans="1:12" x14ac:dyDescent="0.35">
      <c r="A6487" t="s">
        <v>3115</v>
      </c>
      <c r="B6487" s="1">
        <v>45742</v>
      </c>
      <c r="C6487" t="s">
        <v>7806</v>
      </c>
      <c r="D6487" t="s">
        <v>5412</v>
      </c>
      <c r="E6487" t="s">
        <v>9862</v>
      </c>
      <c r="F6487" t="s">
        <v>8557</v>
      </c>
      <c r="G6487" t="s">
        <v>8558</v>
      </c>
      <c r="H6487" t="s">
        <v>5413</v>
      </c>
      <c r="J6487">
        <v>1094</v>
      </c>
      <c r="L6487" t="s">
        <v>5874</v>
      </c>
    </row>
    <row r="6488" spans="1:12" x14ac:dyDescent="0.35">
      <c r="A6488" t="s">
        <v>3115</v>
      </c>
      <c r="B6488" s="1">
        <v>45742</v>
      </c>
      <c r="C6488" t="s">
        <v>7807</v>
      </c>
      <c r="D6488" t="s">
        <v>5414</v>
      </c>
      <c r="E6488" t="s">
        <v>9863</v>
      </c>
      <c r="F6488" t="s">
        <v>6811</v>
      </c>
      <c r="H6488" t="s">
        <v>5415</v>
      </c>
      <c r="K6488">
        <v>784</v>
      </c>
      <c r="L6488" t="s">
        <v>6803</v>
      </c>
    </row>
    <row r="6489" spans="1:12" x14ac:dyDescent="0.35">
      <c r="A6489" t="s">
        <v>3115</v>
      </c>
      <c r="B6489" s="1">
        <v>45742</v>
      </c>
      <c r="C6489" t="s">
        <v>7807</v>
      </c>
      <c r="D6489" t="s">
        <v>5414</v>
      </c>
      <c r="E6489" t="s">
        <v>9863</v>
      </c>
      <c r="F6489" t="s">
        <v>6802</v>
      </c>
      <c r="H6489" t="s">
        <v>5415</v>
      </c>
      <c r="K6489">
        <v>1150</v>
      </c>
      <c r="L6489" t="s">
        <v>6803</v>
      </c>
    </row>
    <row r="6490" spans="1:12" x14ac:dyDescent="0.35">
      <c r="A6490" t="s">
        <v>3115</v>
      </c>
      <c r="B6490" s="1">
        <v>45742</v>
      </c>
      <c r="C6490" t="s">
        <v>7807</v>
      </c>
      <c r="D6490" t="s">
        <v>5414</v>
      </c>
      <c r="E6490" t="s">
        <v>9863</v>
      </c>
      <c r="F6490" t="s">
        <v>8557</v>
      </c>
      <c r="G6490" t="s">
        <v>8558</v>
      </c>
      <c r="H6490" t="s">
        <v>5415</v>
      </c>
      <c r="J6490">
        <v>1934</v>
      </c>
      <c r="L6490" t="s">
        <v>5880</v>
      </c>
    </row>
    <row r="6491" spans="1:12" x14ac:dyDescent="0.35">
      <c r="A6491" t="s">
        <v>3115</v>
      </c>
      <c r="B6491" s="1">
        <v>45742</v>
      </c>
      <c r="C6491" t="s">
        <v>7808</v>
      </c>
      <c r="D6491" t="s">
        <v>5416</v>
      </c>
      <c r="E6491" t="s">
        <v>9864</v>
      </c>
      <c r="F6491" t="s">
        <v>6811</v>
      </c>
      <c r="H6491" t="s">
        <v>5417</v>
      </c>
      <c r="K6491">
        <v>1346</v>
      </c>
      <c r="L6491" t="s">
        <v>6803</v>
      </c>
    </row>
    <row r="6492" spans="1:12" x14ac:dyDescent="0.35">
      <c r="A6492" t="s">
        <v>3115</v>
      </c>
      <c r="B6492" s="1">
        <v>45742</v>
      </c>
      <c r="C6492" t="s">
        <v>7808</v>
      </c>
      <c r="D6492" t="s">
        <v>5416</v>
      </c>
      <c r="E6492" t="s">
        <v>9864</v>
      </c>
      <c r="F6492" t="s">
        <v>8557</v>
      </c>
      <c r="G6492" t="s">
        <v>8558</v>
      </c>
      <c r="H6492" t="s">
        <v>5417</v>
      </c>
      <c r="J6492">
        <v>1346</v>
      </c>
      <c r="L6492" t="s">
        <v>5880</v>
      </c>
    </row>
    <row r="6493" spans="1:12" x14ac:dyDescent="0.35">
      <c r="A6493" t="s">
        <v>3115</v>
      </c>
      <c r="B6493" s="1">
        <v>45742</v>
      </c>
      <c r="C6493" t="s">
        <v>7733</v>
      </c>
      <c r="D6493" t="s">
        <v>5418</v>
      </c>
      <c r="E6493" t="s">
        <v>9843</v>
      </c>
      <c r="F6493" t="s">
        <v>6802</v>
      </c>
      <c r="H6493" t="s">
        <v>5419</v>
      </c>
      <c r="K6493">
        <v>43950</v>
      </c>
      <c r="L6493" t="s">
        <v>6803</v>
      </c>
    </row>
    <row r="6494" spans="1:12" x14ac:dyDescent="0.35">
      <c r="A6494" t="s">
        <v>3115</v>
      </c>
      <c r="B6494" s="1">
        <v>45742</v>
      </c>
      <c r="C6494" t="s">
        <v>7733</v>
      </c>
      <c r="D6494" t="s">
        <v>5418</v>
      </c>
      <c r="E6494" t="s">
        <v>9843</v>
      </c>
      <c r="F6494" t="s">
        <v>8537</v>
      </c>
      <c r="G6494" t="s">
        <v>8538</v>
      </c>
      <c r="H6494" t="s">
        <v>5419</v>
      </c>
      <c r="J6494">
        <v>43950</v>
      </c>
      <c r="L6494" t="s">
        <v>5880</v>
      </c>
    </row>
    <row r="6495" spans="1:12" x14ac:dyDescent="0.35">
      <c r="A6495" t="s">
        <v>3115</v>
      </c>
      <c r="B6495" s="1">
        <v>45742</v>
      </c>
      <c r="C6495" t="s">
        <v>7734</v>
      </c>
      <c r="D6495" t="s">
        <v>5420</v>
      </c>
      <c r="E6495" t="s">
        <v>9865</v>
      </c>
      <c r="F6495" t="s">
        <v>6811</v>
      </c>
      <c r="H6495" t="s">
        <v>5421</v>
      </c>
      <c r="K6495">
        <v>2000</v>
      </c>
      <c r="L6495" t="s">
        <v>6803</v>
      </c>
    </row>
    <row r="6496" spans="1:12" x14ac:dyDescent="0.35">
      <c r="A6496" t="s">
        <v>3115</v>
      </c>
      <c r="B6496" s="1">
        <v>45742</v>
      </c>
      <c r="C6496" t="s">
        <v>7734</v>
      </c>
      <c r="D6496" t="s">
        <v>5420</v>
      </c>
      <c r="E6496" t="s">
        <v>9865</v>
      </c>
      <c r="F6496" t="s">
        <v>8557</v>
      </c>
      <c r="G6496" t="s">
        <v>8558</v>
      </c>
      <c r="H6496" t="s">
        <v>5421</v>
      </c>
      <c r="J6496">
        <v>2000</v>
      </c>
      <c r="L6496" t="s">
        <v>5949</v>
      </c>
    </row>
    <row r="6497" spans="1:12" x14ac:dyDescent="0.35">
      <c r="A6497" t="s">
        <v>3115</v>
      </c>
      <c r="B6497" s="1">
        <v>45742</v>
      </c>
      <c r="C6497" t="s">
        <v>7735</v>
      </c>
      <c r="D6497" t="s">
        <v>5422</v>
      </c>
      <c r="E6497" t="s">
        <v>9866</v>
      </c>
      <c r="F6497" t="s">
        <v>6811</v>
      </c>
      <c r="H6497" t="s">
        <v>5423</v>
      </c>
      <c r="K6497">
        <v>5000</v>
      </c>
      <c r="L6497" t="s">
        <v>6803</v>
      </c>
    </row>
    <row r="6498" spans="1:12" x14ac:dyDescent="0.35">
      <c r="A6498" t="s">
        <v>3115</v>
      </c>
      <c r="B6498" s="1">
        <v>45742</v>
      </c>
      <c r="C6498" t="s">
        <v>7735</v>
      </c>
      <c r="D6498" t="s">
        <v>5422</v>
      </c>
      <c r="E6498" t="s">
        <v>9866</v>
      </c>
      <c r="F6498" t="s">
        <v>8557</v>
      </c>
      <c r="G6498" t="s">
        <v>8558</v>
      </c>
      <c r="H6498" t="s">
        <v>5423</v>
      </c>
      <c r="J6498">
        <v>5000</v>
      </c>
      <c r="L6498" t="s">
        <v>5949</v>
      </c>
    </row>
    <row r="6499" spans="1:12" x14ac:dyDescent="0.35">
      <c r="A6499" t="s">
        <v>3115</v>
      </c>
      <c r="B6499" s="1">
        <v>45742</v>
      </c>
      <c r="C6499" t="s">
        <v>7522</v>
      </c>
      <c r="D6499" t="s">
        <v>5424</v>
      </c>
      <c r="E6499" t="s">
        <v>9867</v>
      </c>
      <c r="F6499" t="s">
        <v>6802</v>
      </c>
      <c r="H6499" t="s">
        <v>5425</v>
      </c>
      <c r="K6499">
        <v>8921</v>
      </c>
      <c r="L6499" t="s">
        <v>6803</v>
      </c>
    </row>
    <row r="6500" spans="1:12" x14ac:dyDescent="0.35">
      <c r="A6500" t="s">
        <v>3115</v>
      </c>
      <c r="B6500" s="1">
        <v>45742</v>
      </c>
      <c r="C6500" t="s">
        <v>7522</v>
      </c>
      <c r="D6500" t="s">
        <v>5424</v>
      </c>
      <c r="E6500" t="s">
        <v>9867</v>
      </c>
      <c r="F6500" t="s">
        <v>8537</v>
      </c>
      <c r="G6500" t="s">
        <v>8538</v>
      </c>
      <c r="H6500" t="s">
        <v>5425</v>
      </c>
      <c r="J6500">
        <v>8921</v>
      </c>
      <c r="L6500" t="s">
        <v>6015</v>
      </c>
    </row>
    <row r="6501" spans="1:12" x14ac:dyDescent="0.35">
      <c r="A6501" t="s">
        <v>3115</v>
      </c>
      <c r="B6501" s="1">
        <v>45744</v>
      </c>
      <c r="C6501" t="s">
        <v>7483</v>
      </c>
      <c r="D6501" t="s">
        <v>5426</v>
      </c>
      <c r="E6501" t="s">
        <v>9868</v>
      </c>
      <c r="F6501" t="s">
        <v>6811</v>
      </c>
      <c r="H6501" t="s">
        <v>5427</v>
      </c>
      <c r="K6501">
        <v>600</v>
      </c>
      <c r="L6501" t="s">
        <v>6803</v>
      </c>
    </row>
    <row r="6502" spans="1:12" x14ac:dyDescent="0.35">
      <c r="A6502" t="s">
        <v>3115</v>
      </c>
      <c r="B6502" s="1">
        <v>45744</v>
      </c>
      <c r="C6502" t="s">
        <v>7483</v>
      </c>
      <c r="D6502" t="s">
        <v>5426</v>
      </c>
      <c r="E6502" t="s">
        <v>9868</v>
      </c>
      <c r="F6502" t="s">
        <v>8557</v>
      </c>
      <c r="G6502" t="s">
        <v>8558</v>
      </c>
      <c r="H6502" t="s">
        <v>5427</v>
      </c>
      <c r="J6502">
        <v>600</v>
      </c>
      <c r="L6502" t="s">
        <v>5876</v>
      </c>
    </row>
    <row r="6503" spans="1:12" x14ac:dyDescent="0.35">
      <c r="A6503" t="s">
        <v>3115</v>
      </c>
      <c r="B6503" s="1">
        <v>45744</v>
      </c>
      <c r="C6503" t="s">
        <v>7485</v>
      </c>
      <c r="D6503" t="s">
        <v>5428</v>
      </c>
      <c r="E6503" t="s">
        <v>9869</v>
      </c>
      <c r="F6503" t="s">
        <v>6811</v>
      </c>
      <c r="H6503" t="s">
        <v>5429</v>
      </c>
      <c r="K6503">
        <v>600</v>
      </c>
      <c r="L6503" t="s">
        <v>6803</v>
      </c>
    </row>
    <row r="6504" spans="1:12" x14ac:dyDescent="0.35">
      <c r="A6504" t="s">
        <v>3115</v>
      </c>
      <c r="B6504" s="1">
        <v>45744</v>
      </c>
      <c r="C6504" t="s">
        <v>7485</v>
      </c>
      <c r="D6504" t="s">
        <v>5428</v>
      </c>
      <c r="E6504" t="s">
        <v>9869</v>
      </c>
      <c r="F6504" t="s">
        <v>8557</v>
      </c>
      <c r="G6504" t="s">
        <v>8558</v>
      </c>
      <c r="H6504" t="s">
        <v>5429</v>
      </c>
      <c r="J6504">
        <v>600</v>
      </c>
      <c r="L6504" t="s">
        <v>5875</v>
      </c>
    </row>
    <row r="6505" spans="1:12" x14ac:dyDescent="0.35">
      <c r="A6505" t="s">
        <v>3115</v>
      </c>
      <c r="B6505" s="1">
        <v>45744</v>
      </c>
      <c r="C6505" t="s">
        <v>7593</v>
      </c>
      <c r="D6505" t="s">
        <v>5430</v>
      </c>
      <c r="E6505" t="s">
        <v>9870</v>
      </c>
      <c r="F6505" t="s">
        <v>6811</v>
      </c>
      <c r="H6505" t="s">
        <v>5431</v>
      </c>
      <c r="K6505">
        <v>6900</v>
      </c>
      <c r="L6505" t="s">
        <v>6803</v>
      </c>
    </row>
    <row r="6506" spans="1:12" x14ac:dyDescent="0.35">
      <c r="A6506" t="s">
        <v>3115</v>
      </c>
      <c r="B6506" s="1">
        <v>45744</v>
      </c>
      <c r="C6506" t="s">
        <v>7593</v>
      </c>
      <c r="D6506" t="s">
        <v>5430</v>
      </c>
      <c r="E6506" t="s">
        <v>9870</v>
      </c>
      <c r="F6506" t="s">
        <v>8557</v>
      </c>
      <c r="G6506" t="s">
        <v>8558</v>
      </c>
      <c r="H6506" t="s">
        <v>5431</v>
      </c>
      <c r="J6506">
        <v>6900</v>
      </c>
      <c r="L6506" t="s">
        <v>5873</v>
      </c>
    </row>
    <row r="6507" spans="1:12" x14ac:dyDescent="0.35">
      <c r="A6507" t="s">
        <v>3115</v>
      </c>
      <c r="B6507" s="1">
        <v>45744</v>
      </c>
      <c r="C6507" t="s">
        <v>7596</v>
      </c>
      <c r="D6507" t="s">
        <v>5432</v>
      </c>
      <c r="E6507" t="s">
        <v>9871</v>
      </c>
      <c r="F6507" t="s">
        <v>6811</v>
      </c>
      <c r="H6507" t="s">
        <v>5433</v>
      </c>
      <c r="K6507">
        <v>294</v>
      </c>
      <c r="L6507" t="s">
        <v>6803</v>
      </c>
    </row>
    <row r="6508" spans="1:12" x14ac:dyDescent="0.35">
      <c r="A6508" t="s">
        <v>3115</v>
      </c>
      <c r="B6508" s="1">
        <v>45744</v>
      </c>
      <c r="C6508" t="s">
        <v>7596</v>
      </c>
      <c r="D6508" t="s">
        <v>5432</v>
      </c>
      <c r="E6508" t="s">
        <v>9871</v>
      </c>
      <c r="F6508" t="s">
        <v>6802</v>
      </c>
      <c r="H6508" t="s">
        <v>5433</v>
      </c>
      <c r="K6508">
        <v>800</v>
      </c>
      <c r="L6508" t="s">
        <v>6803</v>
      </c>
    </row>
    <row r="6509" spans="1:12" x14ac:dyDescent="0.35">
      <c r="A6509" t="s">
        <v>3115</v>
      </c>
      <c r="B6509" s="1">
        <v>45744</v>
      </c>
      <c r="C6509" t="s">
        <v>7596</v>
      </c>
      <c r="D6509" t="s">
        <v>5432</v>
      </c>
      <c r="E6509" t="s">
        <v>9871</v>
      </c>
      <c r="F6509" t="s">
        <v>8557</v>
      </c>
      <c r="G6509" t="s">
        <v>8558</v>
      </c>
      <c r="H6509" t="s">
        <v>5433</v>
      </c>
      <c r="J6509">
        <v>1094</v>
      </c>
      <c r="L6509" t="s">
        <v>5958</v>
      </c>
    </row>
    <row r="6510" spans="1:12" x14ac:dyDescent="0.35">
      <c r="A6510" t="s">
        <v>3115</v>
      </c>
      <c r="B6510" s="1">
        <v>45744</v>
      </c>
      <c r="C6510" t="s">
        <v>7598</v>
      </c>
      <c r="D6510" t="s">
        <v>5434</v>
      </c>
      <c r="E6510" t="s">
        <v>9872</v>
      </c>
      <c r="F6510" t="s">
        <v>6811</v>
      </c>
      <c r="H6510" t="s">
        <v>5435</v>
      </c>
      <c r="K6510">
        <v>294</v>
      </c>
      <c r="L6510" t="s">
        <v>6803</v>
      </c>
    </row>
    <row r="6511" spans="1:12" x14ac:dyDescent="0.35">
      <c r="A6511" t="s">
        <v>3115</v>
      </c>
      <c r="B6511" s="1">
        <v>45744</v>
      </c>
      <c r="C6511" t="s">
        <v>7598</v>
      </c>
      <c r="D6511" t="s">
        <v>5434</v>
      </c>
      <c r="E6511" t="s">
        <v>9872</v>
      </c>
      <c r="F6511" t="s">
        <v>6802</v>
      </c>
      <c r="H6511" t="s">
        <v>5435</v>
      </c>
      <c r="K6511">
        <v>800</v>
      </c>
      <c r="L6511" t="s">
        <v>6803</v>
      </c>
    </row>
    <row r="6512" spans="1:12" x14ac:dyDescent="0.35">
      <c r="A6512" t="s">
        <v>3115</v>
      </c>
      <c r="B6512" s="1">
        <v>45744</v>
      </c>
      <c r="C6512" t="s">
        <v>7598</v>
      </c>
      <c r="D6512" t="s">
        <v>5434</v>
      </c>
      <c r="E6512" t="s">
        <v>9872</v>
      </c>
      <c r="F6512" t="s">
        <v>8557</v>
      </c>
      <c r="G6512" t="s">
        <v>8558</v>
      </c>
      <c r="H6512" t="s">
        <v>5435</v>
      </c>
      <c r="J6512">
        <v>1094</v>
      </c>
      <c r="L6512" t="s">
        <v>5958</v>
      </c>
    </row>
    <row r="6513" spans="1:12" x14ac:dyDescent="0.35">
      <c r="A6513" t="s">
        <v>3115</v>
      </c>
      <c r="B6513" s="1">
        <v>45744</v>
      </c>
      <c r="C6513" t="s">
        <v>7599</v>
      </c>
      <c r="D6513" t="s">
        <v>5436</v>
      </c>
      <c r="E6513" t="s">
        <v>9873</v>
      </c>
      <c r="F6513" t="s">
        <v>6811</v>
      </c>
      <c r="H6513" t="s">
        <v>5437</v>
      </c>
      <c r="K6513">
        <v>35000</v>
      </c>
      <c r="L6513" t="s">
        <v>6803</v>
      </c>
    </row>
    <row r="6514" spans="1:12" x14ac:dyDescent="0.35">
      <c r="A6514" t="s">
        <v>3115</v>
      </c>
      <c r="B6514" s="1">
        <v>45744</v>
      </c>
      <c r="C6514" t="s">
        <v>7599</v>
      </c>
      <c r="D6514" t="s">
        <v>5436</v>
      </c>
      <c r="E6514" t="s">
        <v>9873</v>
      </c>
      <c r="F6514" t="s">
        <v>8467</v>
      </c>
      <c r="G6514" t="s">
        <v>8567</v>
      </c>
      <c r="H6514" t="s">
        <v>5437</v>
      </c>
      <c r="J6514">
        <v>35000</v>
      </c>
      <c r="L6514" t="s">
        <v>5949</v>
      </c>
    </row>
    <row r="6515" spans="1:12" x14ac:dyDescent="0.35">
      <c r="A6515" t="s">
        <v>3115</v>
      </c>
      <c r="B6515" s="1">
        <v>45744</v>
      </c>
      <c r="C6515" t="s">
        <v>7600</v>
      </c>
      <c r="D6515" t="s">
        <v>5438</v>
      </c>
      <c r="E6515" t="s">
        <v>9874</v>
      </c>
      <c r="F6515" t="s">
        <v>6811</v>
      </c>
      <c r="H6515" t="s">
        <v>5439</v>
      </c>
      <c r="K6515">
        <v>4319</v>
      </c>
      <c r="L6515" t="s">
        <v>6803</v>
      </c>
    </row>
    <row r="6516" spans="1:12" x14ac:dyDescent="0.35">
      <c r="A6516" t="s">
        <v>3115</v>
      </c>
      <c r="B6516" s="1">
        <v>45744</v>
      </c>
      <c r="C6516" t="s">
        <v>7600</v>
      </c>
      <c r="D6516" t="s">
        <v>5438</v>
      </c>
      <c r="E6516" t="s">
        <v>9874</v>
      </c>
      <c r="F6516" t="s">
        <v>8557</v>
      </c>
      <c r="G6516" t="s">
        <v>8558</v>
      </c>
      <c r="H6516" t="s">
        <v>5439</v>
      </c>
      <c r="J6516">
        <v>4319</v>
      </c>
      <c r="L6516" t="s">
        <v>5880</v>
      </c>
    </row>
    <row r="6517" spans="1:12" x14ac:dyDescent="0.35">
      <c r="A6517" t="s">
        <v>3115</v>
      </c>
      <c r="B6517" s="1">
        <v>45744</v>
      </c>
      <c r="C6517" t="s">
        <v>7601</v>
      </c>
      <c r="D6517" t="s">
        <v>5440</v>
      </c>
      <c r="E6517" t="s">
        <v>9875</v>
      </c>
      <c r="F6517" t="s">
        <v>6811</v>
      </c>
      <c r="H6517" t="s">
        <v>5441</v>
      </c>
      <c r="K6517">
        <v>1470</v>
      </c>
      <c r="L6517" t="s">
        <v>6803</v>
      </c>
    </row>
    <row r="6518" spans="1:12" x14ac:dyDescent="0.35">
      <c r="A6518" t="s">
        <v>3115</v>
      </c>
      <c r="B6518" s="1">
        <v>45744</v>
      </c>
      <c r="C6518" t="s">
        <v>7601</v>
      </c>
      <c r="D6518" t="s">
        <v>5440</v>
      </c>
      <c r="E6518" t="s">
        <v>9875</v>
      </c>
      <c r="F6518" t="s">
        <v>8557</v>
      </c>
      <c r="G6518" t="s">
        <v>8558</v>
      </c>
      <c r="H6518" t="s">
        <v>5441</v>
      </c>
      <c r="J6518">
        <v>1470</v>
      </c>
      <c r="L6518" t="s">
        <v>5949</v>
      </c>
    </row>
    <row r="6519" spans="1:12" x14ac:dyDescent="0.35">
      <c r="A6519" t="s">
        <v>3115</v>
      </c>
      <c r="B6519" s="1">
        <v>45744</v>
      </c>
      <c r="C6519" t="s">
        <v>7603</v>
      </c>
      <c r="D6519" t="s">
        <v>5442</v>
      </c>
      <c r="E6519" t="s">
        <v>9876</v>
      </c>
      <c r="F6519" t="s">
        <v>6802</v>
      </c>
      <c r="H6519" t="s">
        <v>5443</v>
      </c>
      <c r="K6519">
        <v>21500</v>
      </c>
      <c r="L6519" t="s">
        <v>6803</v>
      </c>
    </row>
    <row r="6520" spans="1:12" x14ac:dyDescent="0.35">
      <c r="A6520" t="s">
        <v>3115</v>
      </c>
      <c r="B6520" s="1">
        <v>45744</v>
      </c>
      <c r="C6520" t="s">
        <v>7603</v>
      </c>
      <c r="D6520" t="s">
        <v>5442</v>
      </c>
      <c r="E6520" t="s">
        <v>9876</v>
      </c>
      <c r="F6520" t="s">
        <v>8557</v>
      </c>
      <c r="G6520" t="s">
        <v>8558</v>
      </c>
      <c r="H6520" t="s">
        <v>5443</v>
      </c>
      <c r="J6520">
        <v>21500</v>
      </c>
      <c r="L6520" t="s">
        <v>5958</v>
      </c>
    </row>
    <row r="6521" spans="1:12" x14ac:dyDescent="0.35">
      <c r="A6521" t="s">
        <v>3115</v>
      </c>
      <c r="B6521" s="1">
        <v>45744</v>
      </c>
      <c r="C6521" t="s">
        <v>7549</v>
      </c>
      <c r="D6521" t="s">
        <v>5444</v>
      </c>
      <c r="E6521" t="s">
        <v>9877</v>
      </c>
      <c r="F6521" t="s">
        <v>6811</v>
      </c>
      <c r="H6521" t="s">
        <v>5445</v>
      </c>
      <c r="K6521">
        <v>13800</v>
      </c>
      <c r="L6521" t="s">
        <v>6803</v>
      </c>
    </row>
    <row r="6522" spans="1:12" x14ac:dyDescent="0.35">
      <c r="A6522" t="s">
        <v>3115</v>
      </c>
      <c r="B6522" s="1">
        <v>45744</v>
      </c>
      <c r="C6522" t="s">
        <v>7549</v>
      </c>
      <c r="D6522" t="s">
        <v>5444</v>
      </c>
      <c r="E6522" t="s">
        <v>9877</v>
      </c>
      <c r="F6522" t="s">
        <v>8557</v>
      </c>
      <c r="G6522" t="s">
        <v>8558</v>
      </c>
      <c r="H6522" t="s">
        <v>5445</v>
      </c>
      <c r="J6522">
        <v>13800</v>
      </c>
      <c r="L6522" t="s">
        <v>5875</v>
      </c>
    </row>
    <row r="6523" spans="1:12" x14ac:dyDescent="0.35">
      <c r="A6523" t="s">
        <v>3115</v>
      </c>
      <c r="B6523" s="1">
        <v>45744</v>
      </c>
      <c r="C6523" t="s">
        <v>7486</v>
      </c>
      <c r="D6523" t="s">
        <v>5446</v>
      </c>
      <c r="E6523" t="s">
        <v>9878</v>
      </c>
      <c r="F6523" t="s">
        <v>6811</v>
      </c>
      <c r="H6523" t="s">
        <v>5447</v>
      </c>
      <c r="K6523">
        <v>245</v>
      </c>
      <c r="L6523" t="s">
        <v>6803</v>
      </c>
    </row>
    <row r="6524" spans="1:12" x14ac:dyDescent="0.35">
      <c r="A6524" t="s">
        <v>3115</v>
      </c>
      <c r="B6524" s="1">
        <v>45744</v>
      </c>
      <c r="C6524" t="s">
        <v>7486</v>
      </c>
      <c r="D6524" t="s">
        <v>5446</v>
      </c>
      <c r="E6524" t="s">
        <v>9878</v>
      </c>
      <c r="F6524" t="s">
        <v>6802</v>
      </c>
      <c r="H6524" t="s">
        <v>5447</v>
      </c>
      <c r="K6524">
        <v>22795</v>
      </c>
      <c r="L6524" t="s">
        <v>6803</v>
      </c>
    </row>
    <row r="6525" spans="1:12" x14ac:dyDescent="0.35">
      <c r="A6525" t="s">
        <v>3115</v>
      </c>
      <c r="B6525" s="1">
        <v>45744</v>
      </c>
      <c r="C6525" t="s">
        <v>7486</v>
      </c>
      <c r="D6525" t="s">
        <v>5446</v>
      </c>
      <c r="E6525" t="s">
        <v>9878</v>
      </c>
      <c r="F6525" t="s">
        <v>8557</v>
      </c>
      <c r="G6525" t="s">
        <v>8558</v>
      </c>
      <c r="H6525" t="s">
        <v>5447</v>
      </c>
      <c r="J6525">
        <v>23040</v>
      </c>
      <c r="L6525" t="s">
        <v>5874</v>
      </c>
    </row>
    <row r="6526" spans="1:12" x14ac:dyDescent="0.35">
      <c r="A6526" t="s">
        <v>3115</v>
      </c>
      <c r="B6526" s="1">
        <v>45744</v>
      </c>
      <c r="C6526" t="s">
        <v>7489</v>
      </c>
      <c r="D6526" t="s">
        <v>5448</v>
      </c>
      <c r="E6526" t="s">
        <v>9879</v>
      </c>
      <c r="F6526" t="s">
        <v>6811</v>
      </c>
      <c r="H6526" t="s">
        <v>5449</v>
      </c>
      <c r="K6526">
        <v>2300</v>
      </c>
      <c r="L6526" t="s">
        <v>6803</v>
      </c>
    </row>
    <row r="6527" spans="1:12" x14ac:dyDescent="0.35">
      <c r="A6527" t="s">
        <v>3115</v>
      </c>
      <c r="B6527" s="1">
        <v>45744</v>
      </c>
      <c r="C6527" t="s">
        <v>7489</v>
      </c>
      <c r="D6527" t="s">
        <v>5448</v>
      </c>
      <c r="E6527" t="s">
        <v>9879</v>
      </c>
      <c r="F6527" t="s">
        <v>8557</v>
      </c>
      <c r="G6527" t="s">
        <v>8558</v>
      </c>
      <c r="H6527" t="s">
        <v>5449</v>
      </c>
      <c r="J6527">
        <v>2300</v>
      </c>
      <c r="L6527" t="s">
        <v>6016</v>
      </c>
    </row>
    <row r="6528" spans="1:12" x14ac:dyDescent="0.35">
      <c r="A6528" t="s">
        <v>3115</v>
      </c>
      <c r="B6528" s="1">
        <v>45744</v>
      </c>
      <c r="C6528" t="s">
        <v>7491</v>
      </c>
      <c r="D6528" t="s">
        <v>5450</v>
      </c>
      <c r="E6528" t="s">
        <v>9880</v>
      </c>
      <c r="F6528" t="s">
        <v>6915</v>
      </c>
      <c r="H6528" t="s">
        <v>5451</v>
      </c>
      <c r="K6528">
        <v>120400</v>
      </c>
      <c r="L6528" t="s">
        <v>6803</v>
      </c>
    </row>
    <row r="6529" spans="1:12" x14ac:dyDescent="0.35">
      <c r="A6529" t="s">
        <v>3115</v>
      </c>
      <c r="B6529" s="1">
        <v>45744</v>
      </c>
      <c r="C6529" t="s">
        <v>7491</v>
      </c>
      <c r="D6529" t="s">
        <v>5450</v>
      </c>
      <c r="E6529" t="s">
        <v>9880</v>
      </c>
      <c r="F6529" t="s">
        <v>8569</v>
      </c>
      <c r="G6529" t="s">
        <v>8570</v>
      </c>
      <c r="H6529" t="s">
        <v>5451</v>
      </c>
      <c r="J6529">
        <v>120400</v>
      </c>
      <c r="L6529" t="s">
        <v>5880</v>
      </c>
    </row>
    <row r="6530" spans="1:12" x14ac:dyDescent="0.35">
      <c r="A6530" t="s">
        <v>3115</v>
      </c>
      <c r="B6530" s="1">
        <v>45744</v>
      </c>
      <c r="C6530" t="s">
        <v>7493</v>
      </c>
      <c r="D6530" t="s">
        <v>5452</v>
      </c>
      <c r="E6530" t="s">
        <v>9881</v>
      </c>
      <c r="F6530" t="s">
        <v>6802</v>
      </c>
      <c r="H6530" t="s">
        <v>5453</v>
      </c>
      <c r="K6530">
        <v>273000</v>
      </c>
      <c r="L6530" t="s">
        <v>6803</v>
      </c>
    </row>
    <row r="6531" spans="1:12" x14ac:dyDescent="0.35">
      <c r="A6531" t="s">
        <v>3115</v>
      </c>
      <c r="B6531" s="1">
        <v>45744</v>
      </c>
      <c r="C6531" t="s">
        <v>7493</v>
      </c>
      <c r="D6531" t="s">
        <v>5452</v>
      </c>
      <c r="E6531" t="s">
        <v>9881</v>
      </c>
      <c r="F6531" t="s">
        <v>8557</v>
      </c>
      <c r="G6531" t="s">
        <v>8558</v>
      </c>
      <c r="H6531" t="s">
        <v>5453</v>
      </c>
      <c r="J6531">
        <v>273000</v>
      </c>
      <c r="L6531" t="s">
        <v>5875</v>
      </c>
    </row>
    <row r="6532" spans="1:12" x14ac:dyDescent="0.35">
      <c r="A6532" t="s">
        <v>3115</v>
      </c>
      <c r="B6532" s="1">
        <v>45744</v>
      </c>
      <c r="C6532" t="s">
        <v>7551</v>
      </c>
      <c r="D6532" t="s">
        <v>5454</v>
      </c>
      <c r="E6532" t="s">
        <v>9882</v>
      </c>
      <c r="F6532" t="s">
        <v>6811</v>
      </c>
      <c r="H6532" t="s">
        <v>5455</v>
      </c>
      <c r="K6532">
        <v>77484</v>
      </c>
      <c r="L6532" t="s">
        <v>6803</v>
      </c>
    </row>
    <row r="6533" spans="1:12" x14ac:dyDescent="0.35">
      <c r="A6533" t="s">
        <v>3115</v>
      </c>
      <c r="B6533" s="1">
        <v>45744</v>
      </c>
      <c r="C6533" t="s">
        <v>7551</v>
      </c>
      <c r="D6533" t="s">
        <v>5454</v>
      </c>
      <c r="E6533" t="s">
        <v>9882</v>
      </c>
      <c r="F6533" t="s">
        <v>8557</v>
      </c>
      <c r="G6533" t="s">
        <v>8558</v>
      </c>
      <c r="H6533" t="s">
        <v>5455</v>
      </c>
      <c r="J6533">
        <v>77484</v>
      </c>
      <c r="L6533" t="s">
        <v>5949</v>
      </c>
    </row>
    <row r="6534" spans="1:12" x14ac:dyDescent="0.35">
      <c r="A6534" t="s">
        <v>3115</v>
      </c>
      <c r="B6534" s="1">
        <v>45744</v>
      </c>
      <c r="C6534" t="s">
        <v>7523</v>
      </c>
      <c r="D6534" t="s">
        <v>5456</v>
      </c>
      <c r="E6534" t="s">
        <v>9883</v>
      </c>
      <c r="F6534" t="s">
        <v>6802</v>
      </c>
      <c r="H6534" t="s">
        <v>5457</v>
      </c>
      <c r="K6534">
        <v>7347</v>
      </c>
      <c r="L6534" t="s">
        <v>6803</v>
      </c>
    </row>
    <row r="6535" spans="1:12" x14ac:dyDescent="0.35">
      <c r="A6535" t="s">
        <v>3115</v>
      </c>
      <c r="B6535" s="1">
        <v>45744</v>
      </c>
      <c r="C6535" t="s">
        <v>7523</v>
      </c>
      <c r="D6535" t="s">
        <v>5456</v>
      </c>
      <c r="E6535" t="s">
        <v>9883</v>
      </c>
      <c r="F6535" t="s">
        <v>8537</v>
      </c>
      <c r="G6535" t="s">
        <v>8538</v>
      </c>
      <c r="H6535" t="s">
        <v>5457</v>
      </c>
      <c r="J6535">
        <v>7347</v>
      </c>
      <c r="L6535" t="s">
        <v>5874</v>
      </c>
    </row>
    <row r="6536" spans="1:12" x14ac:dyDescent="0.35">
      <c r="A6536" t="s">
        <v>3115</v>
      </c>
      <c r="B6536" s="1">
        <v>45744</v>
      </c>
      <c r="C6536" t="s">
        <v>7525</v>
      </c>
      <c r="D6536" t="s">
        <v>5458</v>
      </c>
      <c r="E6536" t="s">
        <v>9884</v>
      </c>
      <c r="F6536" t="s">
        <v>6802</v>
      </c>
      <c r="H6536" t="s">
        <v>5459</v>
      </c>
      <c r="K6536">
        <v>1968</v>
      </c>
      <c r="L6536" t="s">
        <v>6803</v>
      </c>
    </row>
    <row r="6537" spans="1:12" x14ac:dyDescent="0.35">
      <c r="A6537" t="s">
        <v>3115</v>
      </c>
      <c r="B6537" s="1">
        <v>45744</v>
      </c>
      <c r="C6537" t="s">
        <v>7525</v>
      </c>
      <c r="D6537" t="s">
        <v>5458</v>
      </c>
      <c r="E6537" t="s">
        <v>9884</v>
      </c>
      <c r="F6537" t="s">
        <v>8537</v>
      </c>
      <c r="G6537" t="s">
        <v>8538</v>
      </c>
      <c r="H6537" t="s">
        <v>5459</v>
      </c>
      <c r="J6537">
        <v>1968</v>
      </c>
      <c r="L6537" t="s">
        <v>5874</v>
      </c>
    </row>
    <row r="6538" spans="1:12" x14ac:dyDescent="0.35">
      <c r="A6538" t="s">
        <v>3115</v>
      </c>
      <c r="B6538" s="1">
        <v>45744</v>
      </c>
      <c r="C6538" t="s">
        <v>7526</v>
      </c>
      <c r="D6538" t="s">
        <v>5460</v>
      </c>
      <c r="E6538" t="s">
        <v>9885</v>
      </c>
      <c r="F6538" t="s">
        <v>6802</v>
      </c>
      <c r="H6538" t="s">
        <v>5461</v>
      </c>
      <c r="K6538">
        <v>2099</v>
      </c>
      <c r="L6538" t="s">
        <v>6803</v>
      </c>
    </row>
    <row r="6539" spans="1:12" x14ac:dyDescent="0.35">
      <c r="A6539" t="s">
        <v>3115</v>
      </c>
      <c r="B6539" s="1">
        <v>45744</v>
      </c>
      <c r="C6539" t="s">
        <v>7526</v>
      </c>
      <c r="D6539" t="s">
        <v>5460</v>
      </c>
      <c r="E6539" t="s">
        <v>9885</v>
      </c>
      <c r="F6539" t="s">
        <v>8537</v>
      </c>
      <c r="G6539" t="s">
        <v>8538</v>
      </c>
      <c r="H6539" t="s">
        <v>5461</v>
      </c>
      <c r="J6539">
        <v>2099</v>
      </c>
      <c r="L6539" t="s">
        <v>5876</v>
      </c>
    </row>
    <row r="6540" spans="1:12" x14ac:dyDescent="0.35">
      <c r="A6540" t="s">
        <v>3115</v>
      </c>
      <c r="B6540" s="1">
        <v>45744</v>
      </c>
      <c r="C6540" t="s">
        <v>7527</v>
      </c>
      <c r="D6540" t="s">
        <v>5462</v>
      </c>
      <c r="E6540" t="s">
        <v>9868</v>
      </c>
      <c r="F6540" t="s">
        <v>6802</v>
      </c>
      <c r="H6540" t="s">
        <v>5463</v>
      </c>
      <c r="K6540">
        <v>656</v>
      </c>
      <c r="L6540" t="s">
        <v>6803</v>
      </c>
    </row>
    <row r="6541" spans="1:12" x14ac:dyDescent="0.35">
      <c r="A6541" t="s">
        <v>3115</v>
      </c>
      <c r="B6541" s="1">
        <v>45744</v>
      </c>
      <c r="C6541" t="s">
        <v>7527</v>
      </c>
      <c r="D6541" t="s">
        <v>5462</v>
      </c>
      <c r="E6541" t="s">
        <v>9868</v>
      </c>
      <c r="F6541" t="s">
        <v>8537</v>
      </c>
      <c r="G6541" t="s">
        <v>8538</v>
      </c>
      <c r="H6541" t="s">
        <v>5463</v>
      </c>
      <c r="J6541">
        <v>656</v>
      </c>
      <c r="L6541" t="s">
        <v>5876</v>
      </c>
    </row>
    <row r="6542" spans="1:12" x14ac:dyDescent="0.35">
      <c r="A6542" t="s">
        <v>3115</v>
      </c>
      <c r="B6542" s="1">
        <v>45744</v>
      </c>
      <c r="C6542" t="s">
        <v>7528</v>
      </c>
      <c r="D6542" t="s">
        <v>5464</v>
      </c>
      <c r="E6542" t="s">
        <v>9886</v>
      </c>
      <c r="F6542" t="s">
        <v>6802</v>
      </c>
      <c r="H6542" t="s">
        <v>5465</v>
      </c>
      <c r="K6542">
        <v>4789</v>
      </c>
      <c r="L6542" t="s">
        <v>6803</v>
      </c>
    </row>
    <row r="6543" spans="1:12" x14ac:dyDescent="0.35">
      <c r="A6543" t="s">
        <v>3115</v>
      </c>
      <c r="B6543" s="1">
        <v>45744</v>
      </c>
      <c r="C6543" t="s">
        <v>7528</v>
      </c>
      <c r="D6543" t="s">
        <v>5464</v>
      </c>
      <c r="E6543" t="s">
        <v>9886</v>
      </c>
      <c r="F6543" t="s">
        <v>8537</v>
      </c>
      <c r="G6543" t="s">
        <v>8538</v>
      </c>
      <c r="H6543" t="s">
        <v>5465</v>
      </c>
      <c r="J6543">
        <v>4789</v>
      </c>
      <c r="L6543" t="s">
        <v>5876</v>
      </c>
    </row>
    <row r="6544" spans="1:12" x14ac:dyDescent="0.35">
      <c r="A6544" t="s">
        <v>3115</v>
      </c>
      <c r="B6544" s="1">
        <v>45744</v>
      </c>
      <c r="C6544" t="s">
        <v>7529</v>
      </c>
      <c r="D6544" t="s">
        <v>5466</v>
      </c>
      <c r="E6544" t="s">
        <v>9887</v>
      </c>
      <c r="F6544" t="s">
        <v>6802</v>
      </c>
      <c r="H6544" t="s">
        <v>5467</v>
      </c>
      <c r="K6544">
        <v>11743</v>
      </c>
      <c r="L6544" t="s">
        <v>6803</v>
      </c>
    </row>
    <row r="6545" spans="1:12" x14ac:dyDescent="0.35">
      <c r="A6545" t="s">
        <v>3115</v>
      </c>
      <c r="B6545" s="1">
        <v>45744</v>
      </c>
      <c r="C6545" t="s">
        <v>7529</v>
      </c>
      <c r="D6545" t="s">
        <v>5466</v>
      </c>
      <c r="E6545" t="s">
        <v>9887</v>
      </c>
      <c r="F6545" t="s">
        <v>8537</v>
      </c>
      <c r="G6545" t="s">
        <v>8538</v>
      </c>
      <c r="H6545" t="s">
        <v>5467</v>
      </c>
      <c r="J6545">
        <v>11743</v>
      </c>
      <c r="L6545" t="s">
        <v>5876</v>
      </c>
    </row>
    <row r="6546" spans="1:12" x14ac:dyDescent="0.35">
      <c r="A6546" t="s">
        <v>3115</v>
      </c>
      <c r="B6546" s="1">
        <v>45744</v>
      </c>
      <c r="C6546" t="s">
        <v>7530</v>
      </c>
      <c r="D6546" t="s">
        <v>5468</v>
      </c>
      <c r="E6546" t="s">
        <v>9869</v>
      </c>
      <c r="F6546" t="s">
        <v>6802</v>
      </c>
      <c r="H6546" t="s">
        <v>5469</v>
      </c>
      <c r="K6546">
        <v>8068</v>
      </c>
      <c r="L6546" t="s">
        <v>6803</v>
      </c>
    </row>
    <row r="6547" spans="1:12" x14ac:dyDescent="0.35">
      <c r="A6547" t="s">
        <v>3115</v>
      </c>
      <c r="B6547" s="1">
        <v>45744</v>
      </c>
      <c r="C6547" t="s">
        <v>7530</v>
      </c>
      <c r="D6547" t="s">
        <v>5468</v>
      </c>
      <c r="E6547" t="s">
        <v>9869</v>
      </c>
      <c r="F6547" t="s">
        <v>8537</v>
      </c>
      <c r="G6547" t="s">
        <v>8538</v>
      </c>
      <c r="H6547" t="s">
        <v>5469</v>
      </c>
      <c r="J6547">
        <v>8068</v>
      </c>
      <c r="L6547" t="s">
        <v>5875</v>
      </c>
    </row>
    <row r="6548" spans="1:12" x14ac:dyDescent="0.35">
      <c r="A6548" t="s">
        <v>3115</v>
      </c>
      <c r="B6548" s="1">
        <v>45744</v>
      </c>
      <c r="C6548" t="s">
        <v>7672</v>
      </c>
      <c r="D6548" t="s">
        <v>5470</v>
      </c>
      <c r="E6548" t="s">
        <v>9888</v>
      </c>
      <c r="F6548" t="s">
        <v>6808</v>
      </c>
      <c r="H6548" t="s">
        <v>5471</v>
      </c>
      <c r="K6548">
        <v>2641</v>
      </c>
      <c r="L6548" t="s">
        <v>6803</v>
      </c>
    </row>
    <row r="6549" spans="1:12" x14ac:dyDescent="0.35">
      <c r="A6549" t="s">
        <v>3115</v>
      </c>
      <c r="B6549" s="1">
        <v>45744</v>
      </c>
      <c r="C6549" t="s">
        <v>7672</v>
      </c>
      <c r="D6549" t="s">
        <v>5470</v>
      </c>
      <c r="E6549" t="s">
        <v>9888</v>
      </c>
      <c r="F6549" t="s">
        <v>8467</v>
      </c>
      <c r="G6549" t="s">
        <v>8567</v>
      </c>
      <c r="H6549" t="s">
        <v>5471</v>
      </c>
      <c r="J6549">
        <v>2641</v>
      </c>
      <c r="L6549" t="s">
        <v>5880</v>
      </c>
    </row>
    <row r="6550" spans="1:12" x14ac:dyDescent="0.35">
      <c r="A6550" t="s">
        <v>3115</v>
      </c>
      <c r="B6550" s="1">
        <v>45744</v>
      </c>
      <c r="C6550" t="s">
        <v>7772</v>
      </c>
      <c r="D6550" t="s">
        <v>5472</v>
      </c>
      <c r="E6550" t="s">
        <v>9889</v>
      </c>
      <c r="F6550" t="s">
        <v>6802</v>
      </c>
      <c r="H6550" t="s">
        <v>5473</v>
      </c>
      <c r="K6550">
        <v>3477</v>
      </c>
      <c r="L6550" t="s">
        <v>6803</v>
      </c>
    </row>
    <row r="6551" spans="1:12" x14ac:dyDescent="0.35">
      <c r="A6551" t="s">
        <v>3115</v>
      </c>
      <c r="B6551" s="1">
        <v>45744</v>
      </c>
      <c r="C6551" t="s">
        <v>7772</v>
      </c>
      <c r="D6551" t="s">
        <v>5472</v>
      </c>
      <c r="E6551" t="s">
        <v>9889</v>
      </c>
      <c r="F6551" t="s">
        <v>8537</v>
      </c>
      <c r="G6551" t="s">
        <v>8538</v>
      </c>
      <c r="H6551" t="s">
        <v>5473</v>
      </c>
      <c r="J6551">
        <v>3477</v>
      </c>
      <c r="L6551" t="s">
        <v>5875</v>
      </c>
    </row>
    <row r="6552" spans="1:12" x14ac:dyDescent="0.35">
      <c r="A6552" t="s">
        <v>3115</v>
      </c>
      <c r="B6552" s="1">
        <v>45744</v>
      </c>
      <c r="C6552" t="s">
        <v>7809</v>
      </c>
      <c r="D6552" t="s">
        <v>5474</v>
      </c>
      <c r="E6552" t="s">
        <v>9890</v>
      </c>
      <c r="F6552" t="s">
        <v>6802</v>
      </c>
      <c r="H6552" t="s">
        <v>5475</v>
      </c>
      <c r="K6552">
        <v>1050</v>
      </c>
      <c r="L6552" t="s">
        <v>6803</v>
      </c>
    </row>
    <row r="6553" spans="1:12" x14ac:dyDescent="0.35">
      <c r="A6553" t="s">
        <v>3115</v>
      </c>
      <c r="B6553" s="1">
        <v>45744</v>
      </c>
      <c r="C6553" t="s">
        <v>7809</v>
      </c>
      <c r="D6553" t="s">
        <v>5474</v>
      </c>
      <c r="E6553" t="s">
        <v>9890</v>
      </c>
      <c r="F6553" t="s">
        <v>8537</v>
      </c>
      <c r="G6553" t="s">
        <v>8538</v>
      </c>
      <c r="H6553" t="s">
        <v>5475</v>
      </c>
      <c r="J6553">
        <v>1050</v>
      </c>
      <c r="L6553" t="s">
        <v>5880</v>
      </c>
    </row>
    <row r="6554" spans="1:12" x14ac:dyDescent="0.35">
      <c r="A6554" t="s">
        <v>3115</v>
      </c>
      <c r="B6554" s="1">
        <v>45744</v>
      </c>
      <c r="C6554" t="s">
        <v>7811</v>
      </c>
      <c r="D6554" t="s">
        <v>5476</v>
      </c>
      <c r="E6554" t="s">
        <v>9891</v>
      </c>
      <c r="F6554" t="s">
        <v>6802</v>
      </c>
      <c r="H6554" t="s">
        <v>5477</v>
      </c>
      <c r="K6554">
        <v>117263</v>
      </c>
      <c r="L6554" t="s">
        <v>6803</v>
      </c>
    </row>
    <row r="6555" spans="1:12" x14ac:dyDescent="0.35">
      <c r="A6555" t="s">
        <v>3115</v>
      </c>
      <c r="B6555" s="1">
        <v>45744</v>
      </c>
      <c r="C6555" t="s">
        <v>7811</v>
      </c>
      <c r="D6555" t="s">
        <v>5476</v>
      </c>
      <c r="E6555" t="s">
        <v>9891</v>
      </c>
      <c r="F6555" t="s">
        <v>8537</v>
      </c>
      <c r="G6555" t="s">
        <v>8538</v>
      </c>
      <c r="H6555" t="s">
        <v>5477</v>
      </c>
      <c r="J6555">
        <v>117263</v>
      </c>
      <c r="L6555" t="s">
        <v>5905</v>
      </c>
    </row>
    <row r="6556" spans="1:12" x14ac:dyDescent="0.35">
      <c r="A6556" t="s">
        <v>3115</v>
      </c>
      <c r="B6556" s="1">
        <v>45744</v>
      </c>
      <c r="C6556" t="s">
        <v>7813</v>
      </c>
      <c r="D6556" t="s">
        <v>5478</v>
      </c>
      <c r="E6556" t="s">
        <v>9892</v>
      </c>
      <c r="F6556" t="s">
        <v>6802</v>
      </c>
      <c r="H6556" t="s">
        <v>5479</v>
      </c>
      <c r="K6556">
        <v>65000</v>
      </c>
      <c r="L6556" t="s">
        <v>6803</v>
      </c>
    </row>
    <row r="6557" spans="1:12" x14ac:dyDescent="0.35">
      <c r="A6557" t="s">
        <v>3115</v>
      </c>
      <c r="B6557" s="1">
        <v>45744</v>
      </c>
      <c r="C6557" t="s">
        <v>7813</v>
      </c>
      <c r="D6557" t="s">
        <v>5478</v>
      </c>
      <c r="E6557" t="s">
        <v>9892</v>
      </c>
      <c r="F6557" t="s">
        <v>8537</v>
      </c>
      <c r="G6557" t="s">
        <v>8538</v>
      </c>
      <c r="H6557" t="s">
        <v>5479</v>
      </c>
      <c r="J6557">
        <v>65000</v>
      </c>
      <c r="L6557" t="s">
        <v>5874</v>
      </c>
    </row>
    <row r="6558" spans="1:12" x14ac:dyDescent="0.35">
      <c r="A6558" t="s">
        <v>3115</v>
      </c>
      <c r="B6558" s="1">
        <v>45744</v>
      </c>
      <c r="C6558" t="s">
        <v>7815</v>
      </c>
      <c r="D6558" t="s">
        <v>5480</v>
      </c>
      <c r="E6558" t="s">
        <v>9371</v>
      </c>
      <c r="F6558" t="s">
        <v>6802</v>
      </c>
      <c r="H6558" t="s">
        <v>5481</v>
      </c>
      <c r="K6558">
        <v>500000</v>
      </c>
      <c r="L6558" t="s">
        <v>6803</v>
      </c>
    </row>
    <row r="6559" spans="1:12" x14ac:dyDescent="0.35">
      <c r="A6559" t="s">
        <v>3115</v>
      </c>
      <c r="B6559" s="1">
        <v>45744</v>
      </c>
      <c r="C6559" t="s">
        <v>7815</v>
      </c>
      <c r="D6559" t="s">
        <v>5480</v>
      </c>
      <c r="E6559" t="s">
        <v>9371</v>
      </c>
      <c r="F6559" t="s">
        <v>8537</v>
      </c>
      <c r="G6559" t="s">
        <v>8538</v>
      </c>
      <c r="H6559" t="s">
        <v>5481</v>
      </c>
      <c r="J6559">
        <v>500000</v>
      </c>
      <c r="L6559" t="s">
        <v>5958</v>
      </c>
    </row>
    <row r="6560" spans="1:12" x14ac:dyDescent="0.35">
      <c r="A6560" t="s">
        <v>3115</v>
      </c>
      <c r="B6560" s="1">
        <v>45744</v>
      </c>
      <c r="C6560" t="s">
        <v>7817</v>
      </c>
      <c r="D6560" t="s">
        <v>5482</v>
      </c>
      <c r="E6560" t="s">
        <v>9893</v>
      </c>
      <c r="F6560" t="s">
        <v>6802</v>
      </c>
      <c r="H6560" t="s">
        <v>5483</v>
      </c>
      <c r="K6560">
        <v>3477</v>
      </c>
      <c r="L6560" t="s">
        <v>6803</v>
      </c>
    </row>
    <row r="6561" spans="1:12" x14ac:dyDescent="0.35">
      <c r="A6561" t="s">
        <v>3115</v>
      </c>
      <c r="B6561" s="1">
        <v>45744</v>
      </c>
      <c r="C6561" t="s">
        <v>7817</v>
      </c>
      <c r="D6561" t="s">
        <v>5482</v>
      </c>
      <c r="E6561" t="s">
        <v>9893</v>
      </c>
      <c r="F6561" t="s">
        <v>8537</v>
      </c>
      <c r="G6561" t="s">
        <v>8538</v>
      </c>
      <c r="H6561" t="s">
        <v>5483</v>
      </c>
      <c r="J6561">
        <v>3477</v>
      </c>
      <c r="L6561" t="s">
        <v>5958</v>
      </c>
    </row>
    <row r="6562" spans="1:12" x14ac:dyDescent="0.35">
      <c r="A6562" t="s">
        <v>3115</v>
      </c>
      <c r="B6562" s="1">
        <v>45744</v>
      </c>
      <c r="C6562" t="s">
        <v>7818</v>
      </c>
      <c r="D6562" t="s">
        <v>5484</v>
      </c>
      <c r="E6562" t="s">
        <v>9894</v>
      </c>
      <c r="F6562" t="s">
        <v>6802</v>
      </c>
      <c r="H6562" t="s">
        <v>5485</v>
      </c>
      <c r="K6562">
        <v>9053</v>
      </c>
      <c r="L6562" t="s">
        <v>6803</v>
      </c>
    </row>
    <row r="6563" spans="1:12" x14ac:dyDescent="0.35">
      <c r="A6563" t="s">
        <v>3115</v>
      </c>
      <c r="B6563" s="1">
        <v>45744</v>
      </c>
      <c r="C6563" t="s">
        <v>7818</v>
      </c>
      <c r="D6563" t="s">
        <v>5484</v>
      </c>
      <c r="E6563" t="s">
        <v>9894</v>
      </c>
      <c r="F6563" t="s">
        <v>8537</v>
      </c>
      <c r="G6563" t="s">
        <v>8538</v>
      </c>
      <c r="H6563" t="s">
        <v>5485</v>
      </c>
      <c r="J6563">
        <v>9053</v>
      </c>
      <c r="L6563" t="s">
        <v>5874</v>
      </c>
    </row>
    <row r="6564" spans="1:12" x14ac:dyDescent="0.35">
      <c r="A6564" t="s">
        <v>3115</v>
      </c>
      <c r="B6564" s="1">
        <v>45744</v>
      </c>
      <c r="C6564" t="s">
        <v>7531</v>
      </c>
      <c r="D6564" t="s">
        <v>5486</v>
      </c>
      <c r="E6564" t="s">
        <v>9895</v>
      </c>
      <c r="F6564" t="s">
        <v>6808</v>
      </c>
      <c r="H6564" t="s">
        <v>5487</v>
      </c>
      <c r="K6564">
        <v>992</v>
      </c>
      <c r="L6564" t="s">
        <v>6803</v>
      </c>
    </row>
    <row r="6565" spans="1:12" x14ac:dyDescent="0.35">
      <c r="A6565" t="s">
        <v>3115</v>
      </c>
      <c r="B6565" s="1">
        <v>45744</v>
      </c>
      <c r="C6565" t="s">
        <v>7531</v>
      </c>
      <c r="D6565" t="s">
        <v>5486</v>
      </c>
      <c r="E6565" t="s">
        <v>9895</v>
      </c>
      <c r="F6565" t="s">
        <v>8467</v>
      </c>
      <c r="G6565" t="s">
        <v>8567</v>
      </c>
      <c r="H6565" t="s">
        <v>5487</v>
      </c>
      <c r="J6565">
        <v>992</v>
      </c>
      <c r="L6565" t="s">
        <v>5873</v>
      </c>
    </row>
    <row r="6566" spans="1:12" x14ac:dyDescent="0.35">
      <c r="A6566" t="s">
        <v>3115</v>
      </c>
      <c r="B6566" s="1">
        <v>45744</v>
      </c>
      <c r="C6566" t="s">
        <v>7532</v>
      </c>
      <c r="D6566" t="s">
        <v>5488</v>
      </c>
      <c r="E6566" t="s">
        <v>9896</v>
      </c>
      <c r="F6566" t="s">
        <v>6802</v>
      </c>
      <c r="H6566" t="s">
        <v>5489</v>
      </c>
      <c r="K6566">
        <v>328</v>
      </c>
      <c r="L6566" t="s">
        <v>6803</v>
      </c>
    </row>
    <row r="6567" spans="1:12" x14ac:dyDescent="0.35">
      <c r="A6567" t="s">
        <v>3115</v>
      </c>
      <c r="B6567" s="1">
        <v>45744</v>
      </c>
      <c r="C6567" t="s">
        <v>7532</v>
      </c>
      <c r="D6567" t="s">
        <v>5488</v>
      </c>
      <c r="E6567" t="s">
        <v>9896</v>
      </c>
      <c r="F6567" t="s">
        <v>8537</v>
      </c>
      <c r="G6567" t="s">
        <v>8538</v>
      </c>
      <c r="H6567" t="s">
        <v>5489</v>
      </c>
      <c r="J6567">
        <v>328</v>
      </c>
      <c r="L6567" t="s">
        <v>5958</v>
      </c>
    </row>
    <row r="6568" spans="1:12" x14ac:dyDescent="0.35">
      <c r="A6568" t="s">
        <v>3115</v>
      </c>
      <c r="B6568" s="1">
        <v>45744</v>
      </c>
      <c r="C6568" t="s">
        <v>7820</v>
      </c>
      <c r="D6568" t="s">
        <v>5490</v>
      </c>
      <c r="E6568" t="s">
        <v>9897</v>
      </c>
      <c r="F6568" t="s">
        <v>6802</v>
      </c>
      <c r="H6568" t="s">
        <v>5491</v>
      </c>
      <c r="K6568">
        <v>722</v>
      </c>
      <c r="L6568" t="s">
        <v>6803</v>
      </c>
    </row>
    <row r="6569" spans="1:12" x14ac:dyDescent="0.35">
      <c r="A6569" t="s">
        <v>3115</v>
      </c>
      <c r="B6569" s="1">
        <v>45744</v>
      </c>
      <c r="C6569" t="s">
        <v>7820</v>
      </c>
      <c r="D6569" t="s">
        <v>5490</v>
      </c>
      <c r="E6569" t="s">
        <v>9897</v>
      </c>
      <c r="F6569" t="s">
        <v>8537</v>
      </c>
      <c r="G6569" t="s">
        <v>8538</v>
      </c>
      <c r="H6569" t="s">
        <v>5491</v>
      </c>
      <c r="J6569">
        <v>722</v>
      </c>
      <c r="L6569" t="s">
        <v>5958</v>
      </c>
    </row>
    <row r="6570" spans="1:12" x14ac:dyDescent="0.35">
      <c r="A6570" t="s">
        <v>3115</v>
      </c>
      <c r="B6570" s="1">
        <v>45745</v>
      </c>
      <c r="C6570" t="s">
        <v>7559</v>
      </c>
      <c r="D6570" t="s">
        <v>5492</v>
      </c>
      <c r="E6570" t="s">
        <v>9898</v>
      </c>
      <c r="F6570" t="s">
        <v>6802</v>
      </c>
      <c r="H6570" t="s">
        <v>5493</v>
      </c>
      <c r="K6570">
        <v>34700</v>
      </c>
      <c r="L6570" t="s">
        <v>6803</v>
      </c>
    </row>
    <row r="6571" spans="1:12" x14ac:dyDescent="0.35">
      <c r="A6571" t="s">
        <v>3115</v>
      </c>
      <c r="B6571" s="1">
        <v>45745</v>
      </c>
      <c r="C6571" t="s">
        <v>7559</v>
      </c>
      <c r="D6571" t="s">
        <v>5492</v>
      </c>
      <c r="E6571" t="s">
        <v>9898</v>
      </c>
      <c r="F6571" t="s">
        <v>8537</v>
      </c>
      <c r="G6571" t="s">
        <v>8538</v>
      </c>
      <c r="H6571" t="s">
        <v>5493</v>
      </c>
      <c r="J6571">
        <v>34700</v>
      </c>
      <c r="L6571" t="s">
        <v>5874</v>
      </c>
    </row>
    <row r="6572" spans="1:12" x14ac:dyDescent="0.35">
      <c r="A6572" t="s">
        <v>131</v>
      </c>
      <c r="B6572" s="1">
        <v>45717</v>
      </c>
      <c r="C6572" t="s">
        <v>5494</v>
      </c>
      <c r="D6572" t="s">
        <v>5494</v>
      </c>
      <c r="F6572" t="s">
        <v>7823</v>
      </c>
      <c r="G6572" t="s">
        <v>7877</v>
      </c>
      <c r="H6572" t="s">
        <v>5495</v>
      </c>
      <c r="I6572" s="1">
        <v>45716</v>
      </c>
      <c r="J6572">
        <v>6595020</v>
      </c>
      <c r="L6572" t="s">
        <v>6803</v>
      </c>
    </row>
    <row r="6573" spans="1:12" x14ac:dyDescent="0.35">
      <c r="A6573" t="s">
        <v>131</v>
      </c>
      <c r="B6573" s="1">
        <v>45717</v>
      </c>
      <c r="C6573" t="s">
        <v>5494</v>
      </c>
      <c r="D6573" t="s">
        <v>5494</v>
      </c>
      <c r="F6573" t="s">
        <v>8419</v>
      </c>
      <c r="H6573" t="s">
        <v>5495</v>
      </c>
      <c r="I6573" s="1">
        <v>45716</v>
      </c>
      <c r="K6573">
        <v>1006020</v>
      </c>
      <c r="L6573" t="s">
        <v>6803</v>
      </c>
    </row>
    <row r="6574" spans="1:12" x14ac:dyDescent="0.35">
      <c r="A6574" t="s">
        <v>131</v>
      </c>
      <c r="B6574" s="1">
        <v>45717</v>
      </c>
      <c r="C6574" t="s">
        <v>5494</v>
      </c>
      <c r="D6574" t="s">
        <v>5494</v>
      </c>
      <c r="F6574" t="s">
        <v>8423</v>
      </c>
      <c r="H6574" t="s">
        <v>5495</v>
      </c>
      <c r="I6574" s="1">
        <v>45716</v>
      </c>
      <c r="K6574">
        <v>5589000</v>
      </c>
      <c r="L6574" t="s">
        <v>5975</v>
      </c>
    </row>
    <row r="6575" spans="1:12" x14ac:dyDescent="0.35">
      <c r="A6575" t="s">
        <v>131</v>
      </c>
      <c r="B6575" s="1">
        <v>45717</v>
      </c>
      <c r="C6575" t="s">
        <v>5496</v>
      </c>
      <c r="D6575" t="s">
        <v>5496</v>
      </c>
      <c r="F6575" t="s">
        <v>7823</v>
      </c>
      <c r="G6575" t="s">
        <v>7824</v>
      </c>
      <c r="H6575" t="s">
        <v>5497</v>
      </c>
      <c r="I6575" s="1">
        <v>45747</v>
      </c>
      <c r="J6575">
        <v>2006000</v>
      </c>
      <c r="L6575" t="s">
        <v>6803</v>
      </c>
    </row>
    <row r="6576" spans="1:12" x14ac:dyDescent="0.35">
      <c r="A6576" t="s">
        <v>131</v>
      </c>
      <c r="B6576" s="1">
        <v>45717</v>
      </c>
      <c r="C6576" t="s">
        <v>5496</v>
      </c>
      <c r="D6576" t="s">
        <v>5496</v>
      </c>
      <c r="F6576" t="s">
        <v>8419</v>
      </c>
      <c r="H6576" t="s">
        <v>5497</v>
      </c>
      <c r="K6576">
        <v>306000</v>
      </c>
      <c r="L6576" t="s">
        <v>6803</v>
      </c>
    </row>
    <row r="6577" spans="1:12" x14ac:dyDescent="0.35">
      <c r="A6577" t="s">
        <v>131</v>
      </c>
      <c r="B6577" s="1">
        <v>45717</v>
      </c>
      <c r="C6577" t="s">
        <v>5496</v>
      </c>
      <c r="D6577" t="s">
        <v>5496</v>
      </c>
      <c r="F6577" t="s">
        <v>8423</v>
      </c>
      <c r="H6577" t="s">
        <v>5497</v>
      </c>
      <c r="K6577">
        <v>1700000</v>
      </c>
      <c r="L6577" t="s">
        <v>5969</v>
      </c>
    </row>
    <row r="6578" spans="1:12" x14ac:dyDescent="0.35">
      <c r="A6578" t="s">
        <v>131</v>
      </c>
      <c r="B6578" s="1">
        <v>45717</v>
      </c>
      <c r="C6578" t="s">
        <v>5498</v>
      </c>
      <c r="D6578" t="s">
        <v>5498</v>
      </c>
      <c r="F6578" t="s">
        <v>7831</v>
      </c>
      <c r="G6578" t="s">
        <v>7872</v>
      </c>
      <c r="H6578" t="s">
        <v>5499</v>
      </c>
      <c r="I6578" s="1">
        <v>45717</v>
      </c>
      <c r="J6578">
        <v>29500000</v>
      </c>
      <c r="L6578" t="s">
        <v>6803</v>
      </c>
    </row>
    <row r="6579" spans="1:12" x14ac:dyDescent="0.35">
      <c r="A6579" t="s">
        <v>131</v>
      </c>
      <c r="B6579" s="1">
        <v>45717</v>
      </c>
      <c r="C6579" t="s">
        <v>5498</v>
      </c>
      <c r="D6579" t="s">
        <v>5498</v>
      </c>
      <c r="F6579" t="s">
        <v>8419</v>
      </c>
      <c r="H6579" t="s">
        <v>5499</v>
      </c>
      <c r="I6579" s="1">
        <v>45717</v>
      </c>
      <c r="K6579">
        <v>4500000</v>
      </c>
      <c r="L6579" t="s">
        <v>6803</v>
      </c>
    </row>
    <row r="6580" spans="1:12" x14ac:dyDescent="0.35">
      <c r="A6580" t="s">
        <v>131</v>
      </c>
      <c r="B6580" s="1">
        <v>45717</v>
      </c>
      <c r="C6580" t="s">
        <v>5498</v>
      </c>
      <c r="D6580" t="s">
        <v>5498</v>
      </c>
      <c r="F6580" t="s">
        <v>8425</v>
      </c>
      <c r="H6580" t="s">
        <v>5499</v>
      </c>
      <c r="I6580" s="1">
        <v>45717</v>
      </c>
      <c r="K6580">
        <v>25000000</v>
      </c>
      <c r="L6580" t="s">
        <v>5978</v>
      </c>
    </row>
    <row r="6581" spans="1:12" x14ac:dyDescent="0.35">
      <c r="A6581" t="s">
        <v>131</v>
      </c>
      <c r="B6581" s="1">
        <v>45717</v>
      </c>
      <c r="C6581" t="s">
        <v>5500</v>
      </c>
      <c r="D6581" t="s">
        <v>5500</v>
      </c>
      <c r="F6581" t="s">
        <v>7831</v>
      </c>
      <c r="G6581" t="s">
        <v>9899</v>
      </c>
      <c r="H6581" t="s">
        <v>5501</v>
      </c>
      <c r="I6581" s="1">
        <v>45744</v>
      </c>
      <c r="J6581">
        <v>247800</v>
      </c>
      <c r="L6581" t="s">
        <v>6803</v>
      </c>
    </row>
    <row r="6582" spans="1:12" x14ac:dyDescent="0.35">
      <c r="A6582" t="s">
        <v>131</v>
      </c>
      <c r="B6582" s="1">
        <v>45717</v>
      </c>
      <c r="C6582" t="s">
        <v>5500</v>
      </c>
      <c r="D6582" t="s">
        <v>5500</v>
      </c>
      <c r="F6582" t="s">
        <v>8419</v>
      </c>
      <c r="H6582" t="s">
        <v>5501</v>
      </c>
      <c r="I6582" s="1">
        <v>45744</v>
      </c>
      <c r="K6582">
        <v>37800</v>
      </c>
      <c r="L6582" t="s">
        <v>6803</v>
      </c>
    </row>
    <row r="6583" spans="1:12" x14ac:dyDescent="0.35">
      <c r="A6583" t="s">
        <v>131</v>
      </c>
      <c r="B6583" s="1">
        <v>45717</v>
      </c>
      <c r="C6583" t="s">
        <v>5500</v>
      </c>
      <c r="D6583" t="s">
        <v>5500</v>
      </c>
      <c r="F6583" t="s">
        <v>8423</v>
      </c>
      <c r="H6583" t="s">
        <v>5501</v>
      </c>
      <c r="I6583" s="1">
        <v>45744</v>
      </c>
      <c r="K6583">
        <v>210000</v>
      </c>
      <c r="L6583" t="s">
        <v>5975</v>
      </c>
    </row>
    <row r="6584" spans="1:12" x14ac:dyDescent="0.35">
      <c r="A6584" t="s">
        <v>131</v>
      </c>
      <c r="B6584" s="1">
        <v>45717</v>
      </c>
      <c r="C6584" t="s">
        <v>1778</v>
      </c>
      <c r="D6584" t="s">
        <v>1778</v>
      </c>
      <c r="F6584" t="s">
        <v>7823</v>
      </c>
      <c r="G6584" t="s">
        <v>7824</v>
      </c>
      <c r="H6584" t="s">
        <v>5502</v>
      </c>
      <c r="I6584" s="1">
        <v>45744</v>
      </c>
      <c r="J6584">
        <v>41585147</v>
      </c>
      <c r="L6584" t="s">
        <v>6803</v>
      </c>
    </row>
    <row r="6585" spans="1:12" x14ac:dyDescent="0.35">
      <c r="A6585" t="s">
        <v>131</v>
      </c>
      <c r="B6585" s="1">
        <v>45717</v>
      </c>
      <c r="C6585" t="s">
        <v>1778</v>
      </c>
      <c r="D6585" t="s">
        <v>1778</v>
      </c>
      <c r="F6585" t="s">
        <v>8419</v>
      </c>
      <c r="H6585" t="s">
        <v>5502</v>
      </c>
      <c r="I6585" s="1">
        <v>45744</v>
      </c>
      <c r="K6585">
        <v>6343497</v>
      </c>
      <c r="L6585" t="s">
        <v>6803</v>
      </c>
    </row>
    <row r="6586" spans="1:12" x14ac:dyDescent="0.35">
      <c r="A6586" t="s">
        <v>131</v>
      </c>
      <c r="B6586" s="1">
        <v>45717</v>
      </c>
      <c r="C6586" t="s">
        <v>1778</v>
      </c>
      <c r="D6586" t="s">
        <v>1778</v>
      </c>
      <c r="F6586" t="s">
        <v>8423</v>
      </c>
      <c r="H6586" t="s">
        <v>5502</v>
      </c>
      <c r="I6586" s="1">
        <v>45744</v>
      </c>
      <c r="K6586">
        <v>35241650</v>
      </c>
      <c r="L6586" t="s">
        <v>5969</v>
      </c>
    </row>
    <row r="6587" spans="1:12" x14ac:dyDescent="0.35">
      <c r="A6587" t="s">
        <v>131</v>
      </c>
      <c r="B6587" s="1">
        <v>45717</v>
      </c>
      <c r="C6587" t="s">
        <v>5503</v>
      </c>
      <c r="D6587" t="s">
        <v>5503</v>
      </c>
      <c r="F6587" t="s">
        <v>7831</v>
      </c>
      <c r="G6587" t="s">
        <v>9899</v>
      </c>
      <c r="H6587" t="s">
        <v>5501</v>
      </c>
      <c r="I6587" s="1">
        <v>45744</v>
      </c>
      <c r="J6587">
        <v>41269541</v>
      </c>
      <c r="L6587" t="s">
        <v>6803</v>
      </c>
    </row>
    <row r="6588" spans="1:12" x14ac:dyDescent="0.35">
      <c r="A6588" t="s">
        <v>131</v>
      </c>
      <c r="B6588" s="1">
        <v>45717</v>
      </c>
      <c r="C6588" t="s">
        <v>5503</v>
      </c>
      <c r="D6588" t="s">
        <v>5503</v>
      </c>
      <c r="F6588" t="s">
        <v>8419</v>
      </c>
      <c r="H6588" t="s">
        <v>5501</v>
      </c>
      <c r="I6588" s="1">
        <v>45744</v>
      </c>
      <c r="K6588">
        <v>6295354</v>
      </c>
      <c r="L6588" t="s">
        <v>6803</v>
      </c>
    </row>
    <row r="6589" spans="1:12" x14ac:dyDescent="0.35">
      <c r="A6589" t="s">
        <v>131</v>
      </c>
      <c r="B6589" s="1">
        <v>45717</v>
      </c>
      <c r="C6589" t="s">
        <v>5503</v>
      </c>
      <c r="D6589" t="s">
        <v>5503</v>
      </c>
      <c r="F6589" t="s">
        <v>8423</v>
      </c>
      <c r="H6589" t="s">
        <v>5501</v>
      </c>
      <c r="I6589" s="1">
        <v>45744</v>
      </c>
      <c r="K6589">
        <v>22124187</v>
      </c>
      <c r="L6589" t="s">
        <v>5975</v>
      </c>
    </row>
    <row r="6590" spans="1:12" x14ac:dyDescent="0.35">
      <c r="A6590" t="s">
        <v>131</v>
      </c>
      <c r="B6590" s="1">
        <v>45717</v>
      </c>
      <c r="C6590" t="s">
        <v>5503</v>
      </c>
      <c r="D6590" t="s">
        <v>5503</v>
      </c>
      <c r="F6590" t="s">
        <v>8427</v>
      </c>
      <c r="H6590" t="s">
        <v>5501</v>
      </c>
      <c r="I6590" s="1">
        <v>45744</v>
      </c>
      <c r="K6590">
        <v>12850000</v>
      </c>
      <c r="L6590" t="s">
        <v>5972</v>
      </c>
    </row>
    <row r="6591" spans="1:12" x14ac:dyDescent="0.35">
      <c r="A6591" t="s">
        <v>131</v>
      </c>
      <c r="B6591" s="1">
        <v>45717</v>
      </c>
      <c r="C6591" t="s">
        <v>5504</v>
      </c>
      <c r="D6591" t="s">
        <v>5504</v>
      </c>
      <c r="F6591" t="s">
        <v>7823</v>
      </c>
      <c r="G6591" t="s">
        <v>7877</v>
      </c>
      <c r="H6591" t="s">
        <v>5495</v>
      </c>
      <c r="I6591" s="1">
        <v>45719</v>
      </c>
      <c r="J6591">
        <v>395043</v>
      </c>
      <c r="L6591" t="s">
        <v>6803</v>
      </c>
    </row>
    <row r="6592" spans="1:12" x14ac:dyDescent="0.35">
      <c r="A6592" t="s">
        <v>131</v>
      </c>
      <c r="B6592" s="1">
        <v>45717</v>
      </c>
      <c r="C6592" t="s">
        <v>5504</v>
      </c>
      <c r="D6592" t="s">
        <v>5504</v>
      </c>
      <c r="F6592" t="s">
        <v>8423</v>
      </c>
      <c r="H6592" t="s">
        <v>5495</v>
      </c>
      <c r="K6592">
        <v>395043</v>
      </c>
      <c r="L6592" t="s">
        <v>5977</v>
      </c>
    </row>
    <row r="6593" spans="1:12" x14ac:dyDescent="0.35">
      <c r="A6593" t="s">
        <v>131</v>
      </c>
      <c r="B6593" s="1">
        <v>45717</v>
      </c>
      <c r="C6593" t="s">
        <v>5505</v>
      </c>
      <c r="D6593" t="s">
        <v>5505</v>
      </c>
      <c r="F6593" t="s">
        <v>7831</v>
      </c>
      <c r="G6593" t="s">
        <v>7879</v>
      </c>
      <c r="H6593" t="s">
        <v>5506</v>
      </c>
      <c r="I6593" s="1">
        <v>45747</v>
      </c>
      <c r="J6593">
        <v>11354347</v>
      </c>
      <c r="L6593" t="s">
        <v>6803</v>
      </c>
    </row>
    <row r="6594" spans="1:12" x14ac:dyDescent="0.35">
      <c r="A6594" t="s">
        <v>131</v>
      </c>
      <c r="B6594" s="1">
        <v>45717</v>
      </c>
      <c r="C6594" t="s">
        <v>5505</v>
      </c>
      <c r="D6594" t="s">
        <v>5505</v>
      </c>
      <c r="F6594" t="s">
        <v>8419</v>
      </c>
      <c r="H6594" t="s">
        <v>5506</v>
      </c>
      <c r="K6594">
        <v>1732019</v>
      </c>
      <c r="L6594" t="s">
        <v>6803</v>
      </c>
    </row>
    <row r="6595" spans="1:12" x14ac:dyDescent="0.35">
      <c r="A6595" t="s">
        <v>131</v>
      </c>
      <c r="B6595" s="1">
        <v>45717</v>
      </c>
      <c r="C6595" t="s">
        <v>5505</v>
      </c>
      <c r="D6595" t="s">
        <v>5505</v>
      </c>
      <c r="F6595" t="s">
        <v>8423</v>
      </c>
      <c r="H6595" t="s">
        <v>5506</v>
      </c>
      <c r="K6595">
        <v>9622328</v>
      </c>
      <c r="L6595" t="s">
        <v>6017</v>
      </c>
    </row>
    <row r="6596" spans="1:12" x14ac:dyDescent="0.35">
      <c r="A6596" t="s">
        <v>131</v>
      </c>
      <c r="B6596" s="1">
        <v>45717</v>
      </c>
      <c r="C6596" t="s">
        <v>5507</v>
      </c>
      <c r="D6596" t="s">
        <v>5507</v>
      </c>
      <c r="F6596" t="s">
        <v>7823</v>
      </c>
      <c r="G6596" t="s">
        <v>7877</v>
      </c>
      <c r="H6596" t="s">
        <v>5508</v>
      </c>
      <c r="I6596" s="1">
        <v>45748</v>
      </c>
      <c r="J6596">
        <v>1099170</v>
      </c>
      <c r="L6596" t="s">
        <v>6803</v>
      </c>
    </row>
    <row r="6597" spans="1:12" x14ac:dyDescent="0.35">
      <c r="A6597" t="s">
        <v>131</v>
      </c>
      <c r="B6597" s="1">
        <v>45717</v>
      </c>
      <c r="C6597" t="s">
        <v>5507</v>
      </c>
      <c r="D6597" t="s">
        <v>5507</v>
      </c>
      <c r="F6597" t="s">
        <v>8419</v>
      </c>
      <c r="H6597" t="s">
        <v>5508</v>
      </c>
      <c r="I6597" s="1">
        <v>45748</v>
      </c>
      <c r="K6597">
        <v>167670</v>
      </c>
      <c r="L6597" t="s">
        <v>6803</v>
      </c>
    </row>
    <row r="6598" spans="1:12" x14ac:dyDescent="0.35">
      <c r="A6598" t="s">
        <v>131</v>
      </c>
      <c r="B6598" s="1">
        <v>45717</v>
      </c>
      <c r="C6598" t="s">
        <v>5507</v>
      </c>
      <c r="D6598" t="s">
        <v>5507</v>
      </c>
      <c r="F6598" t="s">
        <v>8423</v>
      </c>
      <c r="H6598" t="s">
        <v>5508</v>
      </c>
      <c r="I6598" s="1">
        <v>45748</v>
      </c>
      <c r="K6598">
        <v>931500</v>
      </c>
      <c r="L6598" t="s">
        <v>5977</v>
      </c>
    </row>
    <row r="6599" spans="1:12" x14ac:dyDescent="0.35">
      <c r="A6599" t="s">
        <v>131</v>
      </c>
      <c r="B6599" s="1">
        <v>45717</v>
      </c>
      <c r="C6599" t="s">
        <v>5509</v>
      </c>
      <c r="D6599" t="s">
        <v>5509</v>
      </c>
      <c r="F6599" t="s">
        <v>7831</v>
      </c>
      <c r="G6599" t="s">
        <v>9900</v>
      </c>
      <c r="H6599" t="s">
        <v>5510</v>
      </c>
      <c r="I6599" s="1">
        <v>45717</v>
      </c>
      <c r="J6599">
        <v>944000</v>
      </c>
      <c r="L6599" t="s">
        <v>6803</v>
      </c>
    </row>
    <row r="6600" spans="1:12" x14ac:dyDescent="0.35">
      <c r="A6600" t="s">
        <v>131</v>
      </c>
      <c r="B6600" s="1">
        <v>45717</v>
      </c>
      <c r="C6600" t="s">
        <v>5509</v>
      </c>
      <c r="D6600" t="s">
        <v>5509</v>
      </c>
      <c r="F6600" t="s">
        <v>8419</v>
      </c>
      <c r="H6600" t="s">
        <v>5510</v>
      </c>
      <c r="K6600">
        <v>144000</v>
      </c>
      <c r="L6600" t="s">
        <v>6803</v>
      </c>
    </row>
    <row r="6601" spans="1:12" x14ac:dyDescent="0.35">
      <c r="A6601" t="s">
        <v>131</v>
      </c>
      <c r="B6601" s="1">
        <v>45717</v>
      </c>
      <c r="C6601" t="s">
        <v>5509</v>
      </c>
      <c r="D6601" t="s">
        <v>5509</v>
      </c>
      <c r="F6601" t="s">
        <v>8423</v>
      </c>
      <c r="H6601" t="s">
        <v>5510</v>
      </c>
      <c r="K6601">
        <v>800000</v>
      </c>
      <c r="L6601" t="s">
        <v>5971</v>
      </c>
    </row>
    <row r="6602" spans="1:12" x14ac:dyDescent="0.35">
      <c r="A6602" t="s">
        <v>131</v>
      </c>
      <c r="B6602" s="1">
        <v>45717</v>
      </c>
      <c r="C6602" t="s">
        <v>1788</v>
      </c>
      <c r="D6602" t="s">
        <v>1788</v>
      </c>
      <c r="F6602" t="s">
        <v>7823</v>
      </c>
      <c r="G6602" t="s">
        <v>7824</v>
      </c>
      <c r="H6602" t="s">
        <v>5502</v>
      </c>
      <c r="I6602" s="1">
        <v>45744</v>
      </c>
      <c r="J6602">
        <v>47265254</v>
      </c>
      <c r="L6602" t="s">
        <v>6803</v>
      </c>
    </row>
    <row r="6603" spans="1:12" x14ac:dyDescent="0.35">
      <c r="A6603" t="s">
        <v>131</v>
      </c>
      <c r="B6603" s="1">
        <v>45717</v>
      </c>
      <c r="C6603" t="s">
        <v>1788</v>
      </c>
      <c r="D6603" t="s">
        <v>1788</v>
      </c>
      <c r="F6603" t="s">
        <v>8419</v>
      </c>
      <c r="H6603" t="s">
        <v>5502</v>
      </c>
      <c r="I6603" s="1">
        <v>45744</v>
      </c>
      <c r="K6603">
        <v>7209954</v>
      </c>
      <c r="L6603" t="s">
        <v>6803</v>
      </c>
    </row>
    <row r="6604" spans="1:12" x14ac:dyDescent="0.35">
      <c r="A6604" t="s">
        <v>131</v>
      </c>
      <c r="B6604" s="1">
        <v>45717</v>
      </c>
      <c r="C6604" t="s">
        <v>1788</v>
      </c>
      <c r="D6604" t="s">
        <v>1788</v>
      </c>
      <c r="F6604" t="s">
        <v>8423</v>
      </c>
      <c r="H6604" t="s">
        <v>5502</v>
      </c>
      <c r="I6604" s="1">
        <v>45744</v>
      </c>
      <c r="K6604">
        <v>40055300</v>
      </c>
      <c r="L6604" t="s">
        <v>6018</v>
      </c>
    </row>
    <row r="6605" spans="1:12" x14ac:dyDescent="0.35">
      <c r="A6605" t="s">
        <v>131</v>
      </c>
      <c r="B6605" s="1">
        <v>45718</v>
      </c>
      <c r="C6605" t="s">
        <v>5511</v>
      </c>
      <c r="D6605" t="s">
        <v>5511</v>
      </c>
      <c r="F6605" t="s">
        <v>7831</v>
      </c>
      <c r="G6605" t="s">
        <v>7515</v>
      </c>
      <c r="H6605" t="s">
        <v>5512</v>
      </c>
      <c r="I6605" s="1">
        <v>45749</v>
      </c>
      <c r="J6605">
        <v>938100</v>
      </c>
      <c r="L6605" t="s">
        <v>6803</v>
      </c>
    </row>
    <row r="6606" spans="1:12" x14ac:dyDescent="0.35">
      <c r="A6606" t="s">
        <v>131</v>
      </c>
      <c r="B6606" s="1">
        <v>45718</v>
      </c>
      <c r="C6606" t="s">
        <v>5511</v>
      </c>
      <c r="D6606" t="s">
        <v>5511</v>
      </c>
      <c r="F6606" t="s">
        <v>8419</v>
      </c>
      <c r="H6606" t="s">
        <v>5512</v>
      </c>
      <c r="I6606" s="1">
        <v>45749</v>
      </c>
      <c r="K6606">
        <v>120600</v>
      </c>
      <c r="L6606" t="s">
        <v>6803</v>
      </c>
    </row>
    <row r="6607" spans="1:12" x14ac:dyDescent="0.35">
      <c r="A6607" t="s">
        <v>131</v>
      </c>
      <c r="B6607" s="1">
        <v>45718</v>
      </c>
      <c r="C6607" t="s">
        <v>5511</v>
      </c>
      <c r="D6607" t="s">
        <v>5511</v>
      </c>
      <c r="F6607" t="s">
        <v>7701</v>
      </c>
      <c r="H6607" t="s">
        <v>5512</v>
      </c>
      <c r="I6607" s="1">
        <v>45749</v>
      </c>
      <c r="K6607">
        <v>147500</v>
      </c>
      <c r="L6607" t="s">
        <v>350</v>
      </c>
    </row>
    <row r="6608" spans="1:12" x14ac:dyDescent="0.35">
      <c r="A6608" t="s">
        <v>131</v>
      </c>
      <c r="B6608" s="1">
        <v>45718</v>
      </c>
      <c r="C6608" t="s">
        <v>5511</v>
      </c>
      <c r="D6608" t="s">
        <v>5511</v>
      </c>
      <c r="F6608" t="s">
        <v>8423</v>
      </c>
      <c r="H6608" t="s">
        <v>5512</v>
      </c>
      <c r="I6608" s="1">
        <v>45749</v>
      </c>
      <c r="K6608">
        <v>670000</v>
      </c>
      <c r="L6608" t="s">
        <v>5972</v>
      </c>
    </row>
    <row r="6609" spans="1:12" x14ac:dyDescent="0.35">
      <c r="A6609" t="s">
        <v>131</v>
      </c>
      <c r="B6609" s="1">
        <v>45718</v>
      </c>
      <c r="C6609" t="s">
        <v>5513</v>
      </c>
      <c r="D6609" t="s">
        <v>5513</v>
      </c>
      <c r="F6609" t="s">
        <v>7823</v>
      </c>
      <c r="G6609" t="s">
        <v>7877</v>
      </c>
      <c r="H6609" t="s">
        <v>5514</v>
      </c>
      <c r="I6609" s="1">
        <v>45749</v>
      </c>
      <c r="K6609">
        <v>1099170</v>
      </c>
      <c r="L6609" t="s">
        <v>6803</v>
      </c>
    </row>
    <row r="6610" spans="1:12" x14ac:dyDescent="0.35">
      <c r="A6610" t="s">
        <v>131</v>
      </c>
      <c r="B6610" s="1">
        <v>45718</v>
      </c>
      <c r="C6610" t="s">
        <v>5513</v>
      </c>
      <c r="D6610" t="s">
        <v>5513</v>
      </c>
      <c r="F6610" t="s">
        <v>8419</v>
      </c>
      <c r="H6610" t="s">
        <v>5514</v>
      </c>
      <c r="I6610" s="1">
        <v>45749</v>
      </c>
      <c r="J6610">
        <v>167670</v>
      </c>
      <c r="L6610" t="s">
        <v>6803</v>
      </c>
    </row>
    <row r="6611" spans="1:12" x14ac:dyDescent="0.35">
      <c r="A6611" t="s">
        <v>131</v>
      </c>
      <c r="B6611" s="1">
        <v>45718</v>
      </c>
      <c r="C6611" t="s">
        <v>5513</v>
      </c>
      <c r="D6611" t="s">
        <v>5513</v>
      </c>
      <c r="F6611" t="s">
        <v>8423</v>
      </c>
      <c r="H6611" t="s">
        <v>5514</v>
      </c>
      <c r="I6611" s="1">
        <v>45749</v>
      </c>
      <c r="J6611">
        <v>931500</v>
      </c>
      <c r="L6611" t="s">
        <v>5977</v>
      </c>
    </row>
    <row r="6612" spans="1:12" x14ac:dyDescent="0.35">
      <c r="A6612" t="s">
        <v>131</v>
      </c>
      <c r="B6612" s="1">
        <v>45719</v>
      </c>
      <c r="C6612" t="s">
        <v>5515</v>
      </c>
      <c r="D6612" t="s">
        <v>5515</v>
      </c>
      <c r="F6612" t="s">
        <v>7823</v>
      </c>
      <c r="G6612" t="s">
        <v>9901</v>
      </c>
      <c r="H6612" t="s">
        <v>5516</v>
      </c>
      <c r="I6612" s="1">
        <v>45750</v>
      </c>
      <c r="J6612">
        <v>153400</v>
      </c>
      <c r="L6612" t="s">
        <v>6803</v>
      </c>
    </row>
    <row r="6613" spans="1:12" x14ac:dyDescent="0.35">
      <c r="A6613" t="s">
        <v>131</v>
      </c>
      <c r="B6613" s="1">
        <v>45719</v>
      </c>
      <c r="C6613" t="s">
        <v>5515</v>
      </c>
      <c r="D6613" t="s">
        <v>5515</v>
      </c>
      <c r="F6613" t="s">
        <v>8419</v>
      </c>
      <c r="H6613" t="s">
        <v>5516</v>
      </c>
      <c r="I6613" s="1">
        <v>45750</v>
      </c>
      <c r="K6613">
        <v>23400</v>
      </c>
      <c r="L6613" t="s">
        <v>6803</v>
      </c>
    </row>
    <row r="6614" spans="1:12" x14ac:dyDescent="0.35">
      <c r="A6614" t="s">
        <v>131</v>
      </c>
      <c r="B6614" s="1">
        <v>45719</v>
      </c>
      <c r="C6614" t="s">
        <v>5515</v>
      </c>
      <c r="D6614" t="s">
        <v>5515</v>
      </c>
      <c r="F6614" t="s">
        <v>8423</v>
      </c>
      <c r="H6614" t="s">
        <v>5516</v>
      </c>
      <c r="I6614" s="1">
        <v>45750</v>
      </c>
      <c r="K6614">
        <v>130000</v>
      </c>
      <c r="L6614" t="s">
        <v>5974</v>
      </c>
    </row>
    <row r="6615" spans="1:12" x14ac:dyDescent="0.35">
      <c r="A6615" t="s">
        <v>131</v>
      </c>
      <c r="B6615" s="1">
        <v>45720</v>
      </c>
      <c r="C6615" t="s">
        <v>5517</v>
      </c>
      <c r="D6615" t="s">
        <v>5517</v>
      </c>
      <c r="F6615" t="s">
        <v>7831</v>
      </c>
      <c r="G6615" t="s">
        <v>8393</v>
      </c>
      <c r="H6615" t="s">
        <v>5518</v>
      </c>
      <c r="I6615" s="1">
        <v>45751</v>
      </c>
      <c r="J6615">
        <v>236000</v>
      </c>
      <c r="L6615" t="s">
        <v>6803</v>
      </c>
    </row>
    <row r="6616" spans="1:12" x14ac:dyDescent="0.35">
      <c r="A6616" t="s">
        <v>131</v>
      </c>
      <c r="B6616" s="1">
        <v>45720</v>
      </c>
      <c r="C6616" t="s">
        <v>5517</v>
      </c>
      <c r="D6616" t="s">
        <v>5517</v>
      </c>
      <c r="F6616" t="s">
        <v>8419</v>
      </c>
      <c r="H6616" t="s">
        <v>5518</v>
      </c>
      <c r="I6616" s="1">
        <v>45751</v>
      </c>
      <c r="K6616">
        <v>27000</v>
      </c>
      <c r="L6616" t="s">
        <v>6803</v>
      </c>
    </row>
    <row r="6617" spans="1:12" x14ac:dyDescent="0.35">
      <c r="A6617" t="s">
        <v>131</v>
      </c>
      <c r="B6617" s="1">
        <v>45720</v>
      </c>
      <c r="C6617" t="s">
        <v>5517</v>
      </c>
      <c r="D6617" t="s">
        <v>5517</v>
      </c>
      <c r="F6617" t="s">
        <v>7701</v>
      </c>
      <c r="H6617" t="s">
        <v>5518</v>
      </c>
      <c r="I6617" s="1">
        <v>45751</v>
      </c>
      <c r="K6617">
        <v>59000</v>
      </c>
      <c r="L6617" t="s">
        <v>350</v>
      </c>
    </row>
    <row r="6618" spans="1:12" x14ac:dyDescent="0.35">
      <c r="A6618" t="s">
        <v>131</v>
      </c>
      <c r="B6618" s="1">
        <v>45720</v>
      </c>
      <c r="C6618" t="s">
        <v>5517</v>
      </c>
      <c r="D6618" t="s">
        <v>5517</v>
      </c>
      <c r="F6618" t="s">
        <v>8423</v>
      </c>
      <c r="H6618" t="s">
        <v>5518</v>
      </c>
      <c r="I6618" s="1">
        <v>45751</v>
      </c>
      <c r="K6618">
        <v>150000</v>
      </c>
      <c r="L6618" t="s">
        <v>5972</v>
      </c>
    </row>
    <row r="6619" spans="1:12" x14ac:dyDescent="0.35">
      <c r="A6619" t="s">
        <v>131</v>
      </c>
      <c r="B6619" s="1">
        <v>45720</v>
      </c>
      <c r="C6619" t="s">
        <v>5519</v>
      </c>
      <c r="D6619" t="s">
        <v>5519</v>
      </c>
      <c r="F6619" t="s">
        <v>7831</v>
      </c>
      <c r="G6619" t="s">
        <v>8393</v>
      </c>
      <c r="H6619" t="s">
        <v>5518</v>
      </c>
      <c r="I6619" s="1">
        <v>45751</v>
      </c>
      <c r="J6619">
        <v>236000</v>
      </c>
      <c r="L6619" t="s">
        <v>6803</v>
      </c>
    </row>
    <row r="6620" spans="1:12" x14ac:dyDescent="0.35">
      <c r="A6620" t="s">
        <v>131</v>
      </c>
      <c r="B6620" s="1">
        <v>45720</v>
      </c>
      <c r="C6620" t="s">
        <v>5519</v>
      </c>
      <c r="D6620" t="s">
        <v>5519</v>
      </c>
      <c r="F6620" t="s">
        <v>8419</v>
      </c>
      <c r="H6620" t="s">
        <v>5518</v>
      </c>
      <c r="I6620" s="1">
        <v>45751</v>
      </c>
      <c r="K6620">
        <v>27000</v>
      </c>
      <c r="L6620" t="s">
        <v>6803</v>
      </c>
    </row>
    <row r="6621" spans="1:12" x14ac:dyDescent="0.35">
      <c r="A6621" t="s">
        <v>131</v>
      </c>
      <c r="B6621" s="1">
        <v>45720</v>
      </c>
      <c r="C6621" t="s">
        <v>5519</v>
      </c>
      <c r="D6621" t="s">
        <v>5519</v>
      </c>
      <c r="F6621" t="s">
        <v>7701</v>
      </c>
      <c r="H6621" t="s">
        <v>5518</v>
      </c>
      <c r="I6621" s="1">
        <v>45751</v>
      </c>
      <c r="K6621">
        <v>59000</v>
      </c>
      <c r="L6621" t="s">
        <v>350</v>
      </c>
    </row>
    <row r="6622" spans="1:12" x14ac:dyDescent="0.35">
      <c r="A6622" t="s">
        <v>131</v>
      </c>
      <c r="B6622" s="1">
        <v>45720</v>
      </c>
      <c r="C6622" t="s">
        <v>5519</v>
      </c>
      <c r="D6622" t="s">
        <v>5519</v>
      </c>
      <c r="F6622" t="s">
        <v>8423</v>
      </c>
      <c r="H6622" t="s">
        <v>5518</v>
      </c>
      <c r="I6622" s="1">
        <v>45751</v>
      </c>
      <c r="K6622">
        <v>150000</v>
      </c>
      <c r="L6622" t="s">
        <v>5972</v>
      </c>
    </row>
    <row r="6623" spans="1:12" x14ac:dyDescent="0.35">
      <c r="A6623" t="s">
        <v>131</v>
      </c>
      <c r="B6623" s="1">
        <v>45720</v>
      </c>
      <c r="C6623" t="s">
        <v>5520</v>
      </c>
      <c r="D6623" t="s">
        <v>5520</v>
      </c>
      <c r="F6623" t="s">
        <v>7831</v>
      </c>
      <c r="G6623" t="s">
        <v>8393</v>
      </c>
      <c r="H6623" t="s">
        <v>5518</v>
      </c>
      <c r="I6623" s="1">
        <v>45751</v>
      </c>
      <c r="J6623">
        <v>236000</v>
      </c>
      <c r="L6623" t="s">
        <v>6803</v>
      </c>
    </row>
    <row r="6624" spans="1:12" x14ac:dyDescent="0.35">
      <c r="A6624" t="s">
        <v>131</v>
      </c>
      <c r="B6624" s="1">
        <v>45720</v>
      </c>
      <c r="C6624" t="s">
        <v>5520</v>
      </c>
      <c r="D6624" t="s">
        <v>5520</v>
      </c>
      <c r="F6624" t="s">
        <v>8419</v>
      </c>
      <c r="H6624" t="s">
        <v>5518</v>
      </c>
      <c r="I6624" s="1">
        <v>45751</v>
      </c>
      <c r="K6624">
        <v>27000</v>
      </c>
      <c r="L6624" t="s">
        <v>6803</v>
      </c>
    </row>
    <row r="6625" spans="1:12" x14ac:dyDescent="0.35">
      <c r="A6625" t="s">
        <v>131</v>
      </c>
      <c r="B6625" s="1">
        <v>45720</v>
      </c>
      <c r="C6625" t="s">
        <v>5520</v>
      </c>
      <c r="D6625" t="s">
        <v>5520</v>
      </c>
      <c r="F6625" t="s">
        <v>7701</v>
      </c>
      <c r="H6625" t="s">
        <v>5518</v>
      </c>
      <c r="I6625" s="1">
        <v>45751</v>
      </c>
      <c r="K6625">
        <v>59000</v>
      </c>
      <c r="L6625" t="s">
        <v>350</v>
      </c>
    </row>
    <row r="6626" spans="1:12" x14ac:dyDescent="0.35">
      <c r="A6626" t="s">
        <v>131</v>
      </c>
      <c r="B6626" s="1">
        <v>45720</v>
      </c>
      <c r="C6626" t="s">
        <v>5520</v>
      </c>
      <c r="D6626" t="s">
        <v>5520</v>
      </c>
      <c r="F6626" t="s">
        <v>8423</v>
      </c>
      <c r="H6626" t="s">
        <v>5518</v>
      </c>
      <c r="I6626" s="1">
        <v>45751</v>
      </c>
      <c r="K6626">
        <v>150000</v>
      </c>
      <c r="L6626" t="s">
        <v>5972</v>
      </c>
    </row>
    <row r="6627" spans="1:12" x14ac:dyDescent="0.35">
      <c r="A6627" t="s">
        <v>131</v>
      </c>
      <c r="B6627" s="1">
        <v>45720</v>
      </c>
      <c r="C6627" t="s">
        <v>5521</v>
      </c>
      <c r="D6627" t="s">
        <v>5521</v>
      </c>
      <c r="F6627" t="s">
        <v>7831</v>
      </c>
      <c r="G6627" t="s">
        <v>7521</v>
      </c>
      <c r="H6627" t="s">
        <v>5522</v>
      </c>
      <c r="I6627" s="1">
        <v>45777</v>
      </c>
      <c r="J6627">
        <v>322140</v>
      </c>
      <c r="L6627" t="s">
        <v>6803</v>
      </c>
    </row>
    <row r="6628" spans="1:12" x14ac:dyDescent="0.35">
      <c r="A6628" t="s">
        <v>131</v>
      </c>
      <c r="B6628" s="1">
        <v>45720</v>
      </c>
      <c r="C6628" t="s">
        <v>5521</v>
      </c>
      <c r="D6628" t="s">
        <v>5521</v>
      </c>
      <c r="F6628" t="s">
        <v>8419</v>
      </c>
      <c r="H6628" t="s">
        <v>5522</v>
      </c>
      <c r="I6628" s="1">
        <v>45777</v>
      </c>
      <c r="K6628">
        <v>35640</v>
      </c>
      <c r="L6628" t="s">
        <v>6803</v>
      </c>
    </row>
    <row r="6629" spans="1:12" x14ac:dyDescent="0.35">
      <c r="A6629" t="s">
        <v>131</v>
      </c>
      <c r="B6629" s="1">
        <v>45720</v>
      </c>
      <c r="C6629" t="s">
        <v>5521</v>
      </c>
      <c r="D6629" t="s">
        <v>5521</v>
      </c>
      <c r="F6629" t="s">
        <v>7701</v>
      </c>
      <c r="H6629" t="s">
        <v>5522</v>
      </c>
      <c r="I6629" s="1">
        <v>45777</v>
      </c>
      <c r="K6629">
        <v>88500</v>
      </c>
      <c r="L6629" t="s">
        <v>350</v>
      </c>
    </row>
    <row r="6630" spans="1:12" x14ac:dyDescent="0.35">
      <c r="A6630" t="s">
        <v>131</v>
      </c>
      <c r="B6630" s="1">
        <v>45720</v>
      </c>
      <c r="C6630" t="s">
        <v>5521</v>
      </c>
      <c r="D6630" t="s">
        <v>5521</v>
      </c>
      <c r="F6630" t="s">
        <v>8423</v>
      </c>
      <c r="H6630" t="s">
        <v>5522</v>
      </c>
      <c r="I6630" s="1">
        <v>45777</v>
      </c>
      <c r="K6630">
        <v>198000</v>
      </c>
      <c r="L6630" t="s">
        <v>5972</v>
      </c>
    </row>
    <row r="6631" spans="1:12" x14ac:dyDescent="0.35">
      <c r="A6631" t="s">
        <v>131</v>
      </c>
      <c r="B6631" s="1">
        <v>45720</v>
      </c>
      <c r="C6631" t="s">
        <v>5523</v>
      </c>
      <c r="D6631" t="s">
        <v>5523</v>
      </c>
      <c r="F6631" t="s">
        <v>7823</v>
      </c>
      <c r="G6631" t="s">
        <v>7877</v>
      </c>
      <c r="H6631" t="s">
        <v>5508</v>
      </c>
      <c r="I6631" s="1">
        <v>45751</v>
      </c>
      <c r="J6631">
        <v>25636</v>
      </c>
      <c r="L6631" t="s">
        <v>6803</v>
      </c>
    </row>
    <row r="6632" spans="1:12" x14ac:dyDescent="0.35">
      <c r="A6632" t="s">
        <v>131</v>
      </c>
      <c r="B6632" s="1">
        <v>45720</v>
      </c>
      <c r="C6632" t="s">
        <v>5523</v>
      </c>
      <c r="D6632" t="s">
        <v>5523</v>
      </c>
      <c r="F6632" t="s">
        <v>8419</v>
      </c>
      <c r="H6632" t="s">
        <v>5508</v>
      </c>
      <c r="I6632" s="1">
        <v>45751</v>
      </c>
      <c r="K6632">
        <v>3911</v>
      </c>
      <c r="L6632" t="s">
        <v>6803</v>
      </c>
    </row>
    <row r="6633" spans="1:12" x14ac:dyDescent="0.35">
      <c r="A6633" t="s">
        <v>131</v>
      </c>
      <c r="B6633" s="1">
        <v>45720</v>
      </c>
      <c r="C6633" t="s">
        <v>5523</v>
      </c>
      <c r="D6633" t="s">
        <v>5523</v>
      </c>
      <c r="F6633" t="s">
        <v>8423</v>
      </c>
      <c r="H6633" t="s">
        <v>5508</v>
      </c>
      <c r="I6633" s="1">
        <v>45751</v>
      </c>
      <c r="K6633">
        <v>21725</v>
      </c>
      <c r="L6633" t="s">
        <v>5977</v>
      </c>
    </row>
    <row r="6634" spans="1:12" x14ac:dyDescent="0.35">
      <c r="A6634" t="s">
        <v>131</v>
      </c>
      <c r="B6634" s="1">
        <v>45721</v>
      </c>
      <c r="C6634" t="s">
        <v>5524</v>
      </c>
      <c r="D6634" t="s">
        <v>5524</v>
      </c>
      <c r="F6634" t="s">
        <v>7831</v>
      </c>
      <c r="G6634" t="s">
        <v>8393</v>
      </c>
      <c r="H6634" t="s">
        <v>5518</v>
      </c>
      <c r="I6634" s="1">
        <v>45752</v>
      </c>
      <c r="J6634">
        <v>236000</v>
      </c>
      <c r="L6634" t="s">
        <v>6803</v>
      </c>
    </row>
    <row r="6635" spans="1:12" x14ac:dyDescent="0.35">
      <c r="A6635" t="s">
        <v>131</v>
      </c>
      <c r="B6635" s="1">
        <v>45721</v>
      </c>
      <c r="C6635" t="s">
        <v>5524</v>
      </c>
      <c r="D6635" t="s">
        <v>5524</v>
      </c>
      <c r="F6635" t="s">
        <v>8419</v>
      </c>
      <c r="H6635" t="s">
        <v>5518</v>
      </c>
      <c r="I6635" s="1">
        <v>45752</v>
      </c>
      <c r="K6635">
        <v>27000</v>
      </c>
      <c r="L6635" t="s">
        <v>6803</v>
      </c>
    </row>
    <row r="6636" spans="1:12" x14ac:dyDescent="0.35">
      <c r="A6636" t="s">
        <v>131</v>
      </c>
      <c r="B6636" s="1">
        <v>45721</v>
      </c>
      <c r="C6636" t="s">
        <v>5524</v>
      </c>
      <c r="D6636" t="s">
        <v>5524</v>
      </c>
      <c r="F6636" t="s">
        <v>7701</v>
      </c>
      <c r="H6636" t="s">
        <v>5518</v>
      </c>
      <c r="I6636" s="1">
        <v>45752</v>
      </c>
      <c r="K6636">
        <v>59000</v>
      </c>
      <c r="L6636" t="s">
        <v>350</v>
      </c>
    </row>
    <row r="6637" spans="1:12" x14ac:dyDescent="0.35">
      <c r="A6637" t="s">
        <v>131</v>
      </c>
      <c r="B6637" s="1">
        <v>45721</v>
      </c>
      <c r="C6637" t="s">
        <v>5524</v>
      </c>
      <c r="D6637" t="s">
        <v>5524</v>
      </c>
      <c r="F6637" t="s">
        <v>8423</v>
      </c>
      <c r="H6637" t="s">
        <v>5518</v>
      </c>
      <c r="I6637" s="1">
        <v>45752</v>
      </c>
      <c r="K6637">
        <v>150000</v>
      </c>
      <c r="L6637" t="s">
        <v>5972</v>
      </c>
    </row>
    <row r="6638" spans="1:12" x14ac:dyDescent="0.35">
      <c r="A6638" t="s">
        <v>131</v>
      </c>
      <c r="B6638" s="1">
        <v>45721</v>
      </c>
      <c r="C6638" t="s">
        <v>5525</v>
      </c>
      <c r="D6638" t="s">
        <v>5525</v>
      </c>
      <c r="F6638" t="s">
        <v>7831</v>
      </c>
      <c r="G6638" t="s">
        <v>7881</v>
      </c>
      <c r="H6638" t="s">
        <v>5526</v>
      </c>
      <c r="I6638" s="1">
        <v>45721</v>
      </c>
      <c r="J6638">
        <v>3342072</v>
      </c>
      <c r="L6638" t="s">
        <v>6803</v>
      </c>
    </row>
    <row r="6639" spans="1:12" x14ac:dyDescent="0.35">
      <c r="A6639" t="s">
        <v>131</v>
      </c>
      <c r="B6639" s="1">
        <v>45721</v>
      </c>
      <c r="C6639" t="s">
        <v>5525</v>
      </c>
      <c r="D6639" t="s">
        <v>5525</v>
      </c>
      <c r="F6639" t="s">
        <v>8423</v>
      </c>
      <c r="H6639" t="s">
        <v>5526</v>
      </c>
      <c r="I6639" s="1">
        <v>45721</v>
      </c>
      <c r="K6639">
        <v>3342072</v>
      </c>
      <c r="L6639" t="s">
        <v>5975</v>
      </c>
    </row>
    <row r="6640" spans="1:12" x14ac:dyDescent="0.35">
      <c r="A6640" t="s">
        <v>131</v>
      </c>
      <c r="B6640" s="1">
        <v>45721</v>
      </c>
      <c r="C6640" t="s">
        <v>5527</v>
      </c>
      <c r="D6640" t="s">
        <v>5527</v>
      </c>
      <c r="F6640" t="s">
        <v>7831</v>
      </c>
      <c r="G6640" t="s">
        <v>7879</v>
      </c>
      <c r="H6640" t="s">
        <v>5506</v>
      </c>
      <c r="I6640" s="1">
        <v>45752</v>
      </c>
      <c r="J6640">
        <v>8336073</v>
      </c>
      <c r="L6640" t="s">
        <v>6803</v>
      </c>
    </row>
    <row r="6641" spans="1:12" x14ac:dyDescent="0.35">
      <c r="A6641" t="s">
        <v>131</v>
      </c>
      <c r="B6641" s="1">
        <v>45721</v>
      </c>
      <c r="C6641" t="s">
        <v>5527</v>
      </c>
      <c r="D6641" t="s">
        <v>5527</v>
      </c>
      <c r="F6641" t="s">
        <v>8419</v>
      </c>
      <c r="H6641" t="s">
        <v>5506</v>
      </c>
      <c r="I6641" s="1">
        <v>45752</v>
      </c>
      <c r="K6641">
        <v>1271604</v>
      </c>
      <c r="L6641" t="s">
        <v>6803</v>
      </c>
    </row>
    <row r="6642" spans="1:12" x14ac:dyDescent="0.35">
      <c r="A6642" t="s">
        <v>131</v>
      </c>
      <c r="B6642" s="1">
        <v>45721</v>
      </c>
      <c r="C6642" t="s">
        <v>5527</v>
      </c>
      <c r="D6642" t="s">
        <v>5527</v>
      </c>
      <c r="F6642" t="s">
        <v>8423</v>
      </c>
      <c r="H6642" t="s">
        <v>5506</v>
      </c>
      <c r="I6642" s="1">
        <v>45752</v>
      </c>
      <c r="K6642">
        <v>7064469</v>
      </c>
      <c r="L6642" t="s">
        <v>5977</v>
      </c>
    </row>
    <row r="6643" spans="1:12" x14ac:dyDescent="0.35">
      <c r="A6643" t="s">
        <v>131</v>
      </c>
      <c r="B6643" s="1">
        <v>45722</v>
      </c>
      <c r="C6643" t="s">
        <v>5528</v>
      </c>
      <c r="D6643" t="s">
        <v>5528</v>
      </c>
      <c r="F6643" t="s">
        <v>7831</v>
      </c>
      <c r="G6643" t="s">
        <v>7515</v>
      </c>
      <c r="H6643" t="s">
        <v>5512</v>
      </c>
      <c r="I6643" s="1">
        <v>45753</v>
      </c>
      <c r="J6643">
        <v>266680</v>
      </c>
      <c r="L6643" t="s">
        <v>6803</v>
      </c>
    </row>
    <row r="6644" spans="1:12" x14ac:dyDescent="0.35">
      <c r="A6644" t="s">
        <v>131</v>
      </c>
      <c r="B6644" s="1">
        <v>45722</v>
      </c>
      <c r="C6644" t="s">
        <v>5528</v>
      </c>
      <c r="D6644" t="s">
        <v>5528</v>
      </c>
      <c r="F6644" t="s">
        <v>8419</v>
      </c>
      <c r="H6644" t="s">
        <v>5512</v>
      </c>
      <c r="I6644" s="1">
        <v>45753</v>
      </c>
      <c r="K6644">
        <v>36180</v>
      </c>
      <c r="L6644" t="s">
        <v>6803</v>
      </c>
    </row>
    <row r="6645" spans="1:12" x14ac:dyDescent="0.35">
      <c r="A6645" t="s">
        <v>131</v>
      </c>
      <c r="B6645" s="1">
        <v>45722</v>
      </c>
      <c r="C6645" t="s">
        <v>5528</v>
      </c>
      <c r="D6645" t="s">
        <v>5528</v>
      </c>
      <c r="F6645" t="s">
        <v>7701</v>
      </c>
      <c r="H6645" t="s">
        <v>5512</v>
      </c>
      <c r="I6645" s="1">
        <v>45753</v>
      </c>
      <c r="K6645">
        <v>29500</v>
      </c>
      <c r="L6645" t="s">
        <v>350</v>
      </c>
    </row>
    <row r="6646" spans="1:12" x14ac:dyDescent="0.35">
      <c r="A6646" t="s">
        <v>131</v>
      </c>
      <c r="B6646" s="1">
        <v>45722</v>
      </c>
      <c r="C6646" t="s">
        <v>5528</v>
      </c>
      <c r="D6646" t="s">
        <v>5528</v>
      </c>
      <c r="F6646" t="s">
        <v>8423</v>
      </c>
      <c r="H6646" t="s">
        <v>5512</v>
      </c>
      <c r="I6646" s="1">
        <v>45753</v>
      </c>
      <c r="K6646">
        <v>201000</v>
      </c>
      <c r="L6646" t="s">
        <v>5972</v>
      </c>
    </row>
    <row r="6647" spans="1:12" x14ac:dyDescent="0.35">
      <c r="A6647" t="s">
        <v>131</v>
      </c>
      <c r="B6647" s="1">
        <v>45722</v>
      </c>
      <c r="C6647" t="s">
        <v>5529</v>
      </c>
      <c r="D6647" t="s">
        <v>5529</v>
      </c>
      <c r="F6647" t="s">
        <v>7831</v>
      </c>
      <c r="G6647" t="s">
        <v>8393</v>
      </c>
      <c r="H6647" t="s">
        <v>5518</v>
      </c>
      <c r="I6647" s="1">
        <v>45753</v>
      </c>
      <c r="J6647">
        <v>236000</v>
      </c>
      <c r="L6647" t="s">
        <v>6803</v>
      </c>
    </row>
    <row r="6648" spans="1:12" x14ac:dyDescent="0.35">
      <c r="A6648" t="s">
        <v>131</v>
      </c>
      <c r="B6648" s="1">
        <v>45722</v>
      </c>
      <c r="C6648" t="s">
        <v>5529</v>
      </c>
      <c r="D6648" t="s">
        <v>5529</v>
      </c>
      <c r="F6648" t="s">
        <v>8419</v>
      </c>
      <c r="H6648" t="s">
        <v>5518</v>
      </c>
      <c r="I6648" s="1">
        <v>45753</v>
      </c>
      <c r="K6648">
        <v>27000</v>
      </c>
      <c r="L6648" t="s">
        <v>6803</v>
      </c>
    </row>
    <row r="6649" spans="1:12" x14ac:dyDescent="0.35">
      <c r="A6649" t="s">
        <v>131</v>
      </c>
      <c r="B6649" s="1">
        <v>45722</v>
      </c>
      <c r="C6649" t="s">
        <v>5529</v>
      </c>
      <c r="D6649" t="s">
        <v>5529</v>
      </c>
      <c r="F6649" t="s">
        <v>7701</v>
      </c>
      <c r="H6649" t="s">
        <v>5518</v>
      </c>
      <c r="I6649" s="1">
        <v>45753</v>
      </c>
      <c r="K6649">
        <v>59000</v>
      </c>
      <c r="L6649" t="s">
        <v>350</v>
      </c>
    </row>
    <row r="6650" spans="1:12" x14ac:dyDescent="0.35">
      <c r="A6650" t="s">
        <v>131</v>
      </c>
      <c r="B6650" s="1">
        <v>45722</v>
      </c>
      <c r="C6650" t="s">
        <v>5529</v>
      </c>
      <c r="D6650" t="s">
        <v>5529</v>
      </c>
      <c r="F6650" t="s">
        <v>8423</v>
      </c>
      <c r="H6650" t="s">
        <v>5518</v>
      </c>
      <c r="I6650" s="1">
        <v>45753</v>
      </c>
      <c r="K6650">
        <v>150000</v>
      </c>
      <c r="L6650" t="s">
        <v>5972</v>
      </c>
    </row>
    <row r="6651" spans="1:12" x14ac:dyDescent="0.35">
      <c r="A6651" t="s">
        <v>131</v>
      </c>
      <c r="B6651" s="1">
        <v>45722</v>
      </c>
      <c r="C6651" t="s">
        <v>5530</v>
      </c>
      <c r="D6651" t="s">
        <v>5530</v>
      </c>
      <c r="F6651" t="s">
        <v>7831</v>
      </c>
      <c r="G6651" t="s">
        <v>8393</v>
      </c>
      <c r="H6651" t="s">
        <v>5518</v>
      </c>
      <c r="I6651" s="1">
        <v>45753</v>
      </c>
      <c r="J6651">
        <v>236000</v>
      </c>
      <c r="L6651" t="s">
        <v>6803</v>
      </c>
    </row>
    <row r="6652" spans="1:12" x14ac:dyDescent="0.35">
      <c r="A6652" t="s">
        <v>131</v>
      </c>
      <c r="B6652" s="1">
        <v>45722</v>
      </c>
      <c r="C6652" t="s">
        <v>5530</v>
      </c>
      <c r="D6652" t="s">
        <v>5530</v>
      </c>
      <c r="F6652" t="s">
        <v>8419</v>
      </c>
      <c r="H6652" t="s">
        <v>5518</v>
      </c>
      <c r="I6652" s="1">
        <v>45753</v>
      </c>
      <c r="K6652">
        <v>27000</v>
      </c>
      <c r="L6652" t="s">
        <v>6803</v>
      </c>
    </row>
    <row r="6653" spans="1:12" x14ac:dyDescent="0.35">
      <c r="A6653" t="s">
        <v>131</v>
      </c>
      <c r="B6653" s="1">
        <v>45722</v>
      </c>
      <c r="C6653" t="s">
        <v>5530</v>
      </c>
      <c r="D6653" t="s">
        <v>5530</v>
      </c>
      <c r="F6653" t="s">
        <v>7701</v>
      </c>
      <c r="H6653" t="s">
        <v>5518</v>
      </c>
      <c r="I6653" s="1">
        <v>45753</v>
      </c>
      <c r="K6653">
        <v>59000</v>
      </c>
      <c r="L6653" t="s">
        <v>350</v>
      </c>
    </row>
    <row r="6654" spans="1:12" x14ac:dyDescent="0.35">
      <c r="A6654" t="s">
        <v>131</v>
      </c>
      <c r="B6654" s="1">
        <v>45722</v>
      </c>
      <c r="C6654" t="s">
        <v>5530</v>
      </c>
      <c r="D6654" t="s">
        <v>5530</v>
      </c>
      <c r="F6654" t="s">
        <v>8423</v>
      </c>
      <c r="H6654" t="s">
        <v>5518</v>
      </c>
      <c r="I6654" s="1">
        <v>45753</v>
      </c>
      <c r="K6654">
        <v>150000</v>
      </c>
      <c r="L6654" t="s">
        <v>5972</v>
      </c>
    </row>
    <row r="6655" spans="1:12" x14ac:dyDescent="0.35">
      <c r="A6655" t="s">
        <v>131</v>
      </c>
      <c r="B6655" s="1">
        <v>45722</v>
      </c>
      <c r="C6655" t="s">
        <v>5531</v>
      </c>
      <c r="D6655" t="s">
        <v>5531</v>
      </c>
      <c r="F6655" t="s">
        <v>7831</v>
      </c>
      <c r="G6655" t="s">
        <v>8393</v>
      </c>
      <c r="H6655" t="s">
        <v>5518</v>
      </c>
      <c r="I6655" s="1">
        <v>45753</v>
      </c>
      <c r="J6655">
        <v>236000</v>
      </c>
      <c r="L6655" t="s">
        <v>6803</v>
      </c>
    </row>
    <row r="6656" spans="1:12" x14ac:dyDescent="0.35">
      <c r="A6656" t="s">
        <v>131</v>
      </c>
      <c r="B6656" s="1">
        <v>45722</v>
      </c>
      <c r="C6656" t="s">
        <v>5531</v>
      </c>
      <c r="D6656" t="s">
        <v>5531</v>
      </c>
      <c r="F6656" t="s">
        <v>8419</v>
      </c>
      <c r="H6656" t="s">
        <v>5518</v>
      </c>
      <c r="I6656" s="1">
        <v>45753</v>
      </c>
      <c r="K6656">
        <v>27000</v>
      </c>
      <c r="L6656" t="s">
        <v>6803</v>
      </c>
    </row>
    <row r="6657" spans="1:12" x14ac:dyDescent="0.35">
      <c r="A6657" t="s">
        <v>131</v>
      </c>
      <c r="B6657" s="1">
        <v>45722</v>
      </c>
      <c r="C6657" t="s">
        <v>5531</v>
      </c>
      <c r="D6657" t="s">
        <v>5531</v>
      </c>
      <c r="F6657" t="s">
        <v>7701</v>
      </c>
      <c r="H6657" t="s">
        <v>5518</v>
      </c>
      <c r="I6657" s="1">
        <v>45753</v>
      </c>
      <c r="K6657">
        <v>59000</v>
      </c>
      <c r="L6657" t="s">
        <v>350</v>
      </c>
    </row>
    <row r="6658" spans="1:12" x14ac:dyDescent="0.35">
      <c r="A6658" t="s">
        <v>131</v>
      </c>
      <c r="B6658" s="1">
        <v>45722</v>
      </c>
      <c r="C6658" t="s">
        <v>5531</v>
      </c>
      <c r="D6658" t="s">
        <v>5531</v>
      </c>
      <c r="F6658" t="s">
        <v>8423</v>
      </c>
      <c r="H6658" t="s">
        <v>5518</v>
      </c>
      <c r="I6658" s="1">
        <v>45753</v>
      </c>
      <c r="K6658">
        <v>150000</v>
      </c>
      <c r="L6658" t="s">
        <v>5972</v>
      </c>
    </row>
    <row r="6659" spans="1:12" x14ac:dyDescent="0.35">
      <c r="A6659" t="s">
        <v>131</v>
      </c>
      <c r="B6659" s="1">
        <v>45722</v>
      </c>
      <c r="C6659" t="s">
        <v>5532</v>
      </c>
      <c r="D6659" t="s">
        <v>5532</v>
      </c>
      <c r="F6659" t="s">
        <v>7831</v>
      </c>
      <c r="G6659" t="s">
        <v>8393</v>
      </c>
      <c r="H6659" t="s">
        <v>5518</v>
      </c>
      <c r="I6659" s="1">
        <v>45753</v>
      </c>
      <c r="J6659">
        <v>236000</v>
      </c>
      <c r="L6659" t="s">
        <v>6803</v>
      </c>
    </row>
    <row r="6660" spans="1:12" x14ac:dyDescent="0.35">
      <c r="A6660" t="s">
        <v>131</v>
      </c>
      <c r="B6660" s="1">
        <v>45722</v>
      </c>
      <c r="C6660" t="s">
        <v>5532</v>
      </c>
      <c r="D6660" t="s">
        <v>5532</v>
      </c>
      <c r="F6660" t="s">
        <v>8419</v>
      </c>
      <c r="H6660" t="s">
        <v>5518</v>
      </c>
      <c r="I6660" s="1">
        <v>45753</v>
      </c>
      <c r="K6660">
        <v>27000</v>
      </c>
      <c r="L6660" t="s">
        <v>6803</v>
      </c>
    </row>
    <row r="6661" spans="1:12" x14ac:dyDescent="0.35">
      <c r="A6661" t="s">
        <v>131</v>
      </c>
      <c r="B6661" s="1">
        <v>45722</v>
      </c>
      <c r="C6661" t="s">
        <v>5532</v>
      </c>
      <c r="D6661" t="s">
        <v>5532</v>
      </c>
      <c r="F6661" t="s">
        <v>7701</v>
      </c>
      <c r="H6661" t="s">
        <v>5518</v>
      </c>
      <c r="I6661" s="1">
        <v>45753</v>
      </c>
      <c r="K6661">
        <v>59000</v>
      </c>
      <c r="L6661" t="s">
        <v>350</v>
      </c>
    </row>
    <row r="6662" spans="1:12" x14ac:dyDescent="0.35">
      <c r="A6662" t="s">
        <v>131</v>
      </c>
      <c r="B6662" s="1">
        <v>45722</v>
      </c>
      <c r="C6662" t="s">
        <v>5532</v>
      </c>
      <c r="D6662" t="s">
        <v>5532</v>
      </c>
      <c r="F6662" t="s">
        <v>8423</v>
      </c>
      <c r="H6662" t="s">
        <v>5518</v>
      </c>
      <c r="I6662" s="1">
        <v>45753</v>
      </c>
      <c r="K6662">
        <v>150000</v>
      </c>
      <c r="L6662" t="s">
        <v>5972</v>
      </c>
    </row>
    <row r="6663" spans="1:12" x14ac:dyDescent="0.35">
      <c r="A6663" t="s">
        <v>131</v>
      </c>
      <c r="B6663" s="1">
        <v>45722</v>
      </c>
      <c r="C6663" t="s">
        <v>5533</v>
      </c>
      <c r="D6663" t="s">
        <v>5533</v>
      </c>
      <c r="F6663" t="s">
        <v>7831</v>
      </c>
      <c r="G6663" t="s">
        <v>8393</v>
      </c>
      <c r="H6663" t="s">
        <v>5518</v>
      </c>
      <c r="I6663" s="1">
        <v>45753</v>
      </c>
      <c r="J6663">
        <v>236000</v>
      </c>
      <c r="L6663" t="s">
        <v>6803</v>
      </c>
    </row>
    <row r="6664" spans="1:12" x14ac:dyDescent="0.35">
      <c r="A6664" t="s">
        <v>131</v>
      </c>
      <c r="B6664" s="1">
        <v>45722</v>
      </c>
      <c r="C6664" t="s">
        <v>5533</v>
      </c>
      <c r="D6664" t="s">
        <v>5533</v>
      </c>
      <c r="F6664" t="s">
        <v>8419</v>
      </c>
      <c r="H6664" t="s">
        <v>5518</v>
      </c>
      <c r="I6664" s="1">
        <v>45753</v>
      </c>
      <c r="K6664">
        <v>27000</v>
      </c>
      <c r="L6664" t="s">
        <v>6803</v>
      </c>
    </row>
    <row r="6665" spans="1:12" x14ac:dyDescent="0.35">
      <c r="A6665" t="s">
        <v>131</v>
      </c>
      <c r="B6665" s="1">
        <v>45722</v>
      </c>
      <c r="C6665" t="s">
        <v>5533</v>
      </c>
      <c r="D6665" t="s">
        <v>5533</v>
      </c>
      <c r="F6665" t="s">
        <v>7701</v>
      </c>
      <c r="H6665" t="s">
        <v>5518</v>
      </c>
      <c r="I6665" s="1">
        <v>45753</v>
      </c>
      <c r="K6665">
        <v>59000</v>
      </c>
      <c r="L6665" t="s">
        <v>350</v>
      </c>
    </row>
    <row r="6666" spans="1:12" x14ac:dyDescent="0.35">
      <c r="A6666" t="s">
        <v>131</v>
      </c>
      <c r="B6666" s="1">
        <v>45722</v>
      </c>
      <c r="C6666" t="s">
        <v>5533</v>
      </c>
      <c r="D6666" t="s">
        <v>5533</v>
      </c>
      <c r="F6666" t="s">
        <v>8423</v>
      </c>
      <c r="H6666" t="s">
        <v>5518</v>
      </c>
      <c r="I6666" s="1">
        <v>45753</v>
      </c>
      <c r="K6666">
        <v>150000</v>
      </c>
      <c r="L6666" t="s">
        <v>5972</v>
      </c>
    </row>
    <row r="6667" spans="1:12" x14ac:dyDescent="0.35">
      <c r="A6667" t="s">
        <v>131</v>
      </c>
      <c r="B6667" s="1">
        <v>45722</v>
      </c>
      <c r="C6667" t="s">
        <v>5534</v>
      </c>
      <c r="D6667" t="s">
        <v>5534</v>
      </c>
      <c r="F6667" t="s">
        <v>7831</v>
      </c>
      <c r="G6667" t="s">
        <v>8393</v>
      </c>
      <c r="H6667" t="s">
        <v>5518</v>
      </c>
      <c r="I6667" s="1">
        <v>45753</v>
      </c>
      <c r="J6667">
        <v>206500</v>
      </c>
      <c r="L6667" t="s">
        <v>6803</v>
      </c>
    </row>
    <row r="6668" spans="1:12" x14ac:dyDescent="0.35">
      <c r="A6668" t="s">
        <v>131</v>
      </c>
      <c r="B6668" s="1">
        <v>45722</v>
      </c>
      <c r="C6668" t="s">
        <v>5534</v>
      </c>
      <c r="D6668" t="s">
        <v>5534</v>
      </c>
      <c r="F6668" t="s">
        <v>8419</v>
      </c>
      <c r="H6668" t="s">
        <v>5518</v>
      </c>
      <c r="I6668" s="1">
        <v>45753</v>
      </c>
      <c r="K6668">
        <v>27000</v>
      </c>
      <c r="L6668" t="s">
        <v>6803</v>
      </c>
    </row>
    <row r="6669" spans="1:12" x14ac:dyDescent="0.35">
      <c r="A6669" t="s">
        <v>131</v>
      </c>
      <c r="B6669" s="1">
        <v>45722</v>
      </c>
      <c r="C6669" t="s">
        <v>5534</v>
      </c>
      <c r="D6669" t="s">
        <v>5534</v>
      </c>
      <c r="F6669" t="s">
        <v>7701</v>
      </c>
      <c r="H6669" t="s">
        <v>5518</v>
      </c>
      <c r="I6669" s="1">
        <v>45753</v>
      </c>
      <c r="K6669">
        <v>29500</v>
      </c>
      <c r="L6669" t="s">
        <v>350</v>
      </c>
    </row>
    <row r="6670" spans="1:12" x14ac:dyDescent="0.35">
      <c r="A6670" t="s">
        <v>131</v>
      </c>
      <c r="B6670" s="1">
        <v>45722</v>
      </c>
      <c r="C6670" t="s">
        <v>5534</v>
      </c>
      <c r="D6670" t="s">
        <v>5534</v>
      </c>
      <c r="F6670" t="s">
        <v>8423</v>
      </c>
      <c r="H6670" t="s">
        <v>5518</v>
      </c>
      <c r="I6670" s="1">
        <v>45753</v>
      </c>
      <c r="K6670">
        <v>150000</v>
      </c>
      <c r="L6670" t="s">
        <v>5972</v>
      </c>
    </row>
    <row r="6671" spans="1:12" x14ac:dyDescent="0.35">
      <c r="A6671" t="s">
        <v>131</v>
      </c>
      <c r="B6671" s="1">
        <v>45722</v>
      </c>
      <c r="C6671" t="s">
        <v>5535</v>
      </c>
      <c r="D6671" t="s">
        <v>5535</v>
      </c>
      <c r="F6671" t="s">
        <v>7831</v>
      </c>
      <c r="G6671" t="s">
        <v>8393</v>
      </c>
      <c r="H6671" t="s">
        <v>5518</v>
      </c>
      <c r="I6671" s="1">
        <v>45753</v>
      </c>
      <c r="J6671">
        <v>206500</v>
      </c>
      <c r="L6671" t="s">
        <v>6803</v>
      </c>
    </row>
    <row r="6672" spans="1:12" x14ac:dyDescent="0.35">
      <c r="A6672" t="s">
        <v>131</v>
      </c>
      <c r="B6672" s="1">
        <v>45722</v>
      </c>
      <c r="C6672" t="s">
        <v>5535</v>
      </c>
      <c r="D6672" t="s">
        <v>5535</v>
      </c>
      <c r="F6672" t="s">
        <v>8419</v>
      </c>
      <c r="H6672" t="s">
        <v>5518</v>
      </c>
      <c r="I6672" s="1">
        <v>45753</v>
      </c>
      <c r="K6672">
        <v>27000</v>
      </c>
      <c r="L6672" t="s">
        <v>6803</v>
      </c>
    </row>
    <row r="6673" spans="1:12" x14ac:dyDescent="0.35">
      <c r="A6673" t="s">
        <v>131</v>
      </c>
      <c r="B6673" s="1">
        <v>45722</v>
      </c>
      <c r="C6673" t="s">
        <v>5535</v>
      </c>
      <c r="D6673" t="s">
        <v>5535</v>
      </c>
      <c r="F6673" t="s">
        <v>7701</v>
      </c>
      <c r="H6673" t="s">
        <v>5518</v>
      </c>
      <c r="I6673" s="1">
        <v>45753</v>
      </c>
      <c r="K6673">
        <v>29500</v>
      </c>
      <c r="L6673" t="s">
        <v>350</v>
      </c>
    </row>
    <row r="6674" spans="1:12" x14ac:dyDescent="0.35">
      <c r="A6674" t="s">
        <v>131</v>
      </c>
      <c r="B6674" s="1">
        <v>45722</v>
      </c>
      <c r="C6674" t="s">
        <v>5535</v>
      </c>
      <c r="D6674" t="s">
        <v>5535</v>
      </c>
      <c r="F6674" t="s">
        <v>8423</v>
      </c>
      <c r="H6674" t="s">
        <v>5518</v>
      </c>
      <c r="I6674" s="1">
        <v>45753</v>
      </c>
      <c r="K6674">
        <v>150000</v>
      </c>
      <c r="L6674" t="s">
        <v>5972</v>
      </c>
    </row>
    <row r="6675" spans="1:12" x14ac:dyDescent="0.35">
      <c r="A6675" t="s">
        <v>131</v>
      </c>
      <c r="B6675" s="1">
        <v>45722</v>
      </c>
      <c r="C6675" t="s">
        <v>5536</v>
      </c>
      <c r="D6675" t="s">
        <v>5536</v>
      </c>
      <c r="F6675" t="s">
        <v>7831</v>
      </c>
      <c r="G6675" t="s">
        <v>8393</v>
      </c>
      <c r="H6675" t="s">
        <v>5518</v>
      </c>
      <c r="I6675" s="1">
        <v>45753</v>
      </c>
      <c r="J6675">
        <v>206500</v>
      </c>
      <c r="L6675" t="s">
        <v>6803</v>
      </c>
    </row>
    <row r="6676" spans="1:12" x14ac:dyDescent="0.35">
      <c r="A6676" t="s">
        <v>131</v>
      </c>
      <c r="B6676" s="1">
        <v>45722</v>
      </c>
      <c r="C6676" t="s">
        <v>5536</v>
      </c>
      <c r="D6676" t="s">
        <v>5536</v>
      </c>
      <c r="F6676" t="s">
        <v>8419</v>
      </c>
      <c r="H6676" t="s">
        <v>5518</v>
      </c>
      <c r="I6676" s="1">
        <v>45753</v>
      </c>
      <c r="K6676">
        <v>27000</v>
      </c>
      <c r="L6676" t="s">
        <v>6803</v>
      </c>
    </row>
    <row r="6677" spans="1:12" x14ac:dyDescent="0.35">
      <c r="A6677" t="s">
        <v>131</v>
      </c>
      <c r="B6677" s="1">
        <v>45722</v>
      </c>
      <c r="C6677" t="s">
        <v>5536</v>
      </c>
      <c r="D6677" t="s">
        <v>5536</v>
      </c>
      <c r="F6677" t="s">
        <v>7701</v>
      </c>
      <c r="H6677" t="s">
        <v>5518</v>
      </c>
      <c r="I6677" s="1">
        <v>45753</v>
      </c>
      <c r="K6677">
        <v>29500</v>
      </c>
      <c r="L6677" t="s">
        <v>350</v>
      </c>
    </row>
    <row r="6678" spans="1:12" x14ac:dyDescent="0.35">
      <c r="A6678" t="s">
        <v>131</v>
      </c>
      <c r="B6678" s="1">
        <v>45722</v>
      </c>
      <c r="C6678" t="s">
        <v>5536</v>
      </c>
      <c r="D6678" t="s">
        <v>5536</v>
      </c>
      <c r="F6678" t="s">
        <v>8423</v>
      </c>
      <c r="H6678" t="s">
        <v>5518</v>
      </c>
      <c r="I6678" s="1">
        <v>45753</v>
      </c>
      <c r="K6678">
        <v>150000</v>
      </c>
      <c r="L6678" t="s">
        <v>5972</v>
      </c>
    </row>
    <row r="6679" spans="1:12" x14ac:dyDescent="0.35">
      <c r="A6679" t="s">
        <v>131</v>
      </c>
      <c r="B6679" s="1">
        <v>45722</v>
      </c>
      <c r="C6679" t="s">
        <v>5537</v>
      </c>
      <c r="D6679" t="s">
        <v>5537</v>
      </c>
      <c r="F6679" t="s">
        <v>7831</v>
      </c>
      <c r="G6679" t="s">
        <v>8393</v>
      </c>
      <c r="H6679" t="s">
        <v>5518</v>
      </c>
      <c r="I6679" s="1">
        <v>45753</v>
      </c>
      <c r="J6679">
        <v>236000</v>
      </c>
      <c r="L6679" t="s">
        <v>6803</v>
      </c>
    </row>
    <row r="6680" spans="1:12" x14ac:dyDescent="0.35">
      <c r="A6680" t="s">
        <v>131</v>
      </c>
      <c r="B6680" s="1">
        <v>45722</v>
      </c>
      <c r="C6680" t="s">
        <v>5537</v>
      </c>
      <c r="D6680" t="s">
        <v>5537</v>
      </c>
      <c r="F6680" t="s">
        <v>8419</v>
      </c>
      <c r="H6680" t="s">
        <v>5518</v>
      </c>
      <c r="I6680" s="1">
        <v>45753</v>
      </c>
      <c r="K6680">
        <v>27000</v>
      </c>
      <c r="L6680" t="s">
        <v>6803</v>
      </c>
    </row>
    <row r="6681" spans="1:12" x14ac:dyDescent="0.35">
      <c r="A6681" t="s">
        <v>131</v>
      </c>
      <c r="B6681" s="1">
        <v>45722</v>
      </c>
      <c r="C6681" t="s">
        <v>5537</v>
      </c>
      <c r="D6681" t="s">
        <v>5537</v>
      </c>
      <c r="F6681" t="s">
        <v>7701</v>
      </c>
      <c r="H6681" t="s">
        <v>5518</v>
      </c>
      <c r="I6681" s="1">
        <v>45753</v>
      </c>
      <c r="K6681">
        <v>59000</v>
      </c>
      <c r="L6681" t="s">
        <v>350</v>
      </c>
    </row>
    <row r="6682" spans="1:12" x14ac:dyDescent="0.35">
      <c r="A6682" t="s">
        <v>131</v>
      </c>
      <c r="B6682" s="1">
        <v>45722</v>
      </c>
      <c r="C6682" t="s">
        <v>5537</v>
      </c>
      <c r="D6682" t="s">
        <v>5537</v>
      </c>
      <c r="F6682" t="s">
        <v>8423</v>
      </c>
      <c r="H6682" t="s">
        <v>5518</v>
      </c>
      <c r="I6682" s="1">
        <v>45753</v>
      </c>
      <c r="K6682">
        <v>150000</v>
      </c>
      <c r="L6682" t="s">
        <v>5972</v>
      </c>
    </row>
    <row r="6683" spans="1:12" x14ac:dyDescent="0.35">
      <c r="A6683" t="s">
        <v>131</v>
      </c>
      <c r="B6683" s="1">
        <v>45722</v>
      </c>
      <c r="C6683" t="s">
        <v>5538</v>
      </c>
      <c r="D6683" t="s">
        <v>5538</v>
      </c>
      <c r="F6683" t="s">
        <v>7831</v>
      </c>
      <c r="G6683" t="s">
        <v>8393</v>
      </c>
      <c r="H6683" t="s">
        <v>5518</v>
      </c>
      <c r="I6683" s="1">
        <v>45753</v>
      </c>
      <c r="J6683">
        <v>206500</v>
      </c>
      <c r="L6683" t="s">
        <v>6803</v>
      </c>
    </row>
    <row r="6684" spans="1:12" x14ac:dyDescent="0.35">
      <c r="A6684" t="s">
        <v>131</v>
      </c>
      <c r="B6684" s="1">
        <v>45722</v>
      </c>
      <c r="C6684" t="s">
        <v>5538</v>
      </c>
      <c r="D6684" t="s">
        <v>5538</v>
      </c>
      <c r="F6684" t="s">
        <v>8419</v>
      </c>
      <c r="H6684" t="s">
        <v>5518</v>
      </c>
      <c r="I6684" s="1">
        <v>45753</v>
      </c>
      <c r="K6684">
        <v>27000</v>
      </c>
      <c r="L6684" t="s">
        <v>6803</v>
      </c>
    </row>
    <row r="6685" spans="1:12" x14ac:dyDescent="0.35">
      <c r="A6685" t="s">
        <v>131</v>
      </c>
      <c r="B6685" s="1">
        <v>45722</v>
      </c>
      <c r="C6685" t="s">
        <v>5538</v>
      </c>
      <c r="D6685" t="s">
        <v>5538</v>
      </c>
      <c r="F6685" t="s">
        <v>7701</v>
      </c>
      <c r="H6685" t="s">
        <v>5518</v>
      </c>
      <c r="I6685" s="1">
        <v>45753</v>
      </c>
      <c r="K6685">
        <v>29500</v>
      </c>
      <c r="L6685" t="s">
        <v>350</v>
      </c>
    </row>
    <row r="6686" spans="1:12" x14ac:dyDescent="0.35">
      <c r="A6686" t="s">
        <v>131</v>
      </c>
      <c r="B6686" s="1">
        <v>45722</v>
      </c>
      <c r="C6686" t="s">
        <v>5538</v>
      </c>
      <c r="D6686" t="s">
        <v>5538</v>
      </c>
      <c r="F6686" t="s">
        <v>8423</v>
      </c>
      <c r="H6686" t="s">
        <v>5518</v>
      </c>
      <c r="I6686" s="1">
        <v>45753</v>
      </c>
      <c r="K6686">
        <v>150000</v>
      </c>
      <c r="L6686" t="s">
        <v>5972</v>
      </c>
    </row>
    <row r="6687" spans="1:12" x14ac:dyDescent="0.35">
      <c r="A6687" t="s">
        <v>131</v>
      </c>
      <c r="B6687" s="1">
        <v>45722</v>
      </c>
      <c r="C6687" t="s">
        <v>5539</v>
      </c>
      <c r="D6687" t="s">
        <v>5539</v>
      </c>
      <c r="F6687" t="s">
        <v>7831</v>
      </c>
      <c r="G6687" t="s">
        <v>8393</v>
      </c>
      <c r="H6687" t="s">
        <v>5518</v>
      </c>
      <c r="I6687" s="1">
        <v>45753</v>
      </c>
      <c r="J6687">
        <v>472000</v>
      </c>
      <c r="L6687" t="s">
        <v>6803</v>
      </c>
    </row>
    <row r="6688" spans="1:12" x14ac:dyDescent="0.35">
      <c r="A6688" t="s">
        <v>131</v>
      </c>
      <c r="B6688" s="1">
        <v>45722</v>
      </c>
      <c r="C6688" t="s">
        <v>5539</v>
      </c>
      <c r="D6688" t="s">
        <v>5539</v>
      </c>
      <c r="F6688" t="s">
        <v>8419</v>
      </c>
      <c r="H6688" t="s">
        <v>5518</v>
      </c>
      <c r="I6688" s="1">
        <v>45753</v>
      </c>
      <c r="K6688">
        <v>54000</v>
      </c>
      <c r="L6688" t="s">
        <v>6803</v>
      </c>
    </row>
    <row r="6689" spans="1:12" x14ac:dyDescent="0.35">
      <c r="A6689" t="s">
        <v>131</v>
      </c>
      <c r="B6689" s="1">
        <v>45722</v>
      </c>
      <c r="C6689" t="s">
        <v>5539</v>
      </c>
      <c r="D6689" t="s">
        <v>5539</v>
      </c>
      <c r="F6689" t="s">
        <v>7701</v>
      </c>
      <c r="H6689" t="s">
        <v>5518</v>
      </c>
      <c r="I6689" s="1">
        <v>45753</v>
      </c>
      <c r="K6689">
        <v>118000</v>
      </c>
      <c r="L6689" t="s">
        <v>350</v>
      </c>
    </row>
    <row r="6690" spans="1:12" x14ac:dyDescent="0.35">
      <c r="A6690" t="s">
        <v>131</v>
      </c>
      <c r="B6690" s="1">
        <v>45722</v>
      </c>
      <c r="C6690" t="s">
        <v>5539</v>
      </c>
      <c r="D6690" t="s">
        <v>5539</v>
      </c>
      <c r="F6690" t="s">
        <v>8423</v>
      </c>
      <c r="H6690" t="s">
        <v>5518</v>
      </c>
      <c r="I6690" s="1">
        <v>45753</v>
      </c>
      <c r="K6690">
        <v>300000</v>
      </c>
      <c r="L6690" t="s">
        <v>5972</v>
      </c>
    </row>
    <row r="6691" spans="1:12" x14ac:dyDescent="0.35">
      <c r="A6691" t="s">
        <v>131</v>
      </c>
      <c r="B6691" s="1">
        <v>45722</v>
      </c>
      <c r="C6691" t="s">
        <v>5540</v>
      </c>
      <c r="D6691" t="s">
        <v>5540</v>
      </c>
      <c r="F6691" t="s">
        <v>7831</v>
      </c>
      <c r="G6691" t="s">
        <v>8393</v>
      </c>
      <c r="H6691" t="s">
        <v>5518</v>
      </c>
      <c r="I6691" s="1">
        <v>45753</v>
      </c>
      <c r="J6691">
        <v>236000</v>
      </c>
      <c r="L6691" t="s">
        <v>6803</v>
      </c>
    </row>
    <row r="6692" spans="1:12" x14ac:dyDescent="0.35">
      <c r="A6692" t="s">
        <v>131</v>
      </c>
      <c r="B6692" s="1">
        <v>45722</v>
      </c>
      <c r="C6692" t="s">
        <v>5540</v>
      </c>
      <c r="D6692" t="s">
        <v>5540</v>
      </c>
      <c r="F6692" t="s">
        <v>8419</v>
      </c>
      <c r="H6692" t="s">
        <v>5518</v>
      </c>
      <c r="I6692" s="1">
        <v>45753</v>
      </c>
      <c r="K6692">
        <v>27000</v>
      </c>
      <c r="L6692" t="s">
        <v>6803</v>
      </c>
    </row>
    <row r="6693" spans="1:12" x14ac:dyDescent="0.35">
      <c r="A6693" t="s">
        <v>131</v>
      </c>
      <c r="B6693" s="1">
        <v>45722</v>
      </c>
      <c r="C6693" t="s">
        <v>5540</v>
      </c>
      <c r="D6693" t="s">
        <v>5540</v>
      </c>
      <c r="F6693" t="s">
        <v>7701</v>
      </c>
      <c r="H6693" t="s">
        <v>5518</v>
      </c>
      <c r="I6693" s="1">
        <v>45753</v>
      </c>
      <c r="K6693">
        <v>59000</v>
      </c>
      <c r="L6693" t="s">
        <v>350</v>
      </c>
    </row>
    <row r="6694" spans="1:12" x14ac:dyDescent="0.35">
      <c r="A6694" t="s">
        <v>131</v>
      </c>
      <c r="B6694" s="1">
        <v>45722</v>
      </c>
      <c r="C6694" t="s">
        <v>5540</v>
      </c>
      <c r="D6694" t="s">
        <v>5540</v>
      </c>
      <c r="F6694" t="s">
        <v>8423</v>
      </c>
      <c r="H6694" t="s">
        <v>5518</v>
      </c>
      <c r="I6694" s="1">
        <v>45753</v>
      </c>
      <c r="K6694">
        <v>150000</v>
      </c>
      <c r="L6694" t="s">
        <v>5972</v>
      </c>
    </row>
    <row r="6695" spans="1:12" x14ac:dyDescent="0.35">
      <c r="A6695" t="s">
        <v>131</v>
      </c>
      <c r="B6695" s="1">
        <v>45722</v>
      </c>
      <c r="C6695" t="s">
        <v>5541</v>
      </c>
      <c r="D6695" t="s">
        <v>5541</v>
      </c>
      <c r="F6695" t="s">
        <v>7831</v>
      </c>
      <c r="G6695" t="s">
        <v>7521</v>
      </c>
      <c r="H6695" t="s">
        <v>180</v>
      </c>
      <c r="I6695" s="1">
        <v>45777</v>
      </c>
      <c r="J6695">
        <v>383500</v>
      </c>
      <c r="L6695" t="s">
        <v>6803</v>
      </c>
    </row>
    <row r="6696" spans="1:12" x14ac:dyDescent="0.35">
      <c r="A6696" t="s">
        <v>131</v>
      </c>
      <c r="B6696" s="1">
        <v>45722</v>
      </c>
      <c r="C6696" t="s">
        <v>5541</v>
      </c>
      <c r="D6696" t="s">
        <v>5541</v>
      </c>
      <c r="F6696" t="s">
        <v>8419</v>
      </c>
      <c r="H6696" t="s">
        <v>180</v>
      </c>
      <c r="I6696" s="1">
        <v>45777</v>
      </c>
      <c r="K6696">
        <v>54000</v>
      </c>
      <c r="L6696" t="s">
        <v>6803</v>
      </c>
    </row>
    <row r="6697" spans="1:12" x14ac:dyDescent="0.35">
      <c r="A6697" t="s">
        <v>131</v>
      </c>
      <c r="B6697" s="1">
        <v>45722</v>
      </c>
      <c r="C6697" t="s">
        <v>5541</v>
      </c>
      <c r="D6697" t="s">
        <v>5541</v>
      </c>
      <c r="F6697" t="s">
        <v>7701</v>
      </c>
      <c r="H6697" t="s">
        <v>180</v>
      </c>
      <c r="I6697" s="1">
        <v>45777</v>
      </c>
      <c r="K6697">
        <v>29500</v>
      </c>
      <c r="L6697" t="s">
        <v>350</v>
      </c>
    </row>
    <row r="6698" spans="1:12" x14ac:dyDescent="0.35">
      <c r="A6698" t="s">
        <v>131</v>
      </c>
      <c r="B6698" s="1">
        <v>45722</v>
      </c>
      <c r="C6698" t="s">
        <v>5541</v>
      </c>
      <c r="D6698" t="s">
        <v>5541</v>
      </c>
      <c r="F6698" t="s">
        <v>8423</v>
      </c>
      <c r="H6698" t="s">
        <v>180</v>
      </c>
      <c r="I6698" s="1">
        <v>45777</v>
      </c>
      <c r="K6698">
        <v>300000</v>
      </c>
      <c r="L6698" t="s">
        <v>5972</v>
      </c>
    </row>
    <row r="6699" spans="1:12" x14ac:dyDescent="0.35">
      <c r="A6699" t="s">
        <v>131</v>
      </c>
      <c r="B6699" s="1">
        <v>45722</v>
      </c>
      <c r="C6699" t="s">
        <v>5542</v>
      </c>
      <c r="D6699" t="s">
        <v>5542</v>
      </c>
      <c r="F6699" t="s">
        <v>7831</v>
      </c>
      <c r="G6699" t="s">
        <v>7521</v>
      </c>
      <c r="H6699" t="s">
        <v>5522</v>
      </c>
      <c r="I6699" s="1">
        <v>45777</v>
      </c>
      <c r="J6699">
        <v>322140</v>
      </c>
      <c r="L6699" t="s">
        <v>6803</v>
      </c>
    </row>
    <row r="6700" spans="1:12" x14ac:dyDescent="0.35">
      <c r="A6700" t="s">
        <v>131</v>
      </c>
      <c r="B6700" s="1">
        <v>45722</v>
      </c>
      <c r="C6700" t="s">
        <v>5542</v>
      </c>
      <c r="D6700" t="s">
        <v>5542</v>
      </c>
      <c r="F6700" t="s">
        <v>8419</v>
      </c>
      <c r="H6700" t="s">
        <v>5522</v>
      </c>
      <c r="I6700" s="1">
        <v>45777</v>
      </c>
      <c r="K6700">
        <v>35640</v>
      </c>
      <c r="L6700" t="s">
        <v>6803</v>
      </c>
    </row>
    <row r="6701" spans="1:12" x14ac:dyDescent="0.35">
      <c r="A6701" t="s">
        <v>131</v>
      </c>
      <c r="B6701" s="1">
        <v>45722</v>
      </c>
      <c r="C6701" t="s">
        <v>5542</v>
      </c>
      <c r="D6701" t="s">
        <v>5542</v>
      </c>
      <c r="F6701" t="s">
        <v>7701</v>
      </c>
      <c r="H6701" t="s">
        <v>5522</v>
      </c>
      <c r="I6701" s="1">
        <v>45777</v>
      </c>
      <c r="K6701">
        <v>88500</v>
      </c>
      <c r="L6701" t="s">
        <v>350</v>
      </c>
    </row>
    <row r="6702" spans="1:12" x14ac:dyDescent="0.35">
      <c r="A6702" t="s">
        <v>131</v>
      </c>
      <c r="B6702" s="1">
        <v>45722</v>
      </c>
      <c r="C6702" t="s">
        <v>5542</v>
      </c>
      <c r="D6702" t="s">
        <v>5542</v>
      </c>
      <c r="F6702" t="s">
        <v>8423</v>
      </c>
      <c r="H6702" t="s">
        <v>5522</v>
      </c>
      <c r="I6702" s="1">
        <v>45777</v>
      </c>
      <c r="K6702">
        <v>198000</v>
      </c>
      <c r="L6702" t="s">
        <v>5972</v>
      </c>
    </row>
    <row r="6703" spans="1:12" x14ac:dyDescent="0.35">
      <c r="A6703" t="s">
        <v>131</v>
      </c>
      <c r="B6703" s="1">
        <v>45722</v>
      </c>
      <c r="C6703" t="s">
        <v>5543</v>
      </c>
      <c r="D6703" t="s">
        <v>5543</v>
      </c>
      <c r="F6703" t="s">
        <v>7831</v>
      </c>
      <c r="G6703" t="s">
        <v>7521</v>
      </c>
      <c r="H6703" t="s">
        <v>5522</v>
      </c>
      <c r="I6703" s="1">
        <v>45777</v>
      </c>
      <c r="J6703">
        <v>107380</v>
      </c>
      <c r="L6703" t="s">
        <v>6803</v>
      </c>
    </row>
    <row r="6704" spans="1:12" x14ac:dyDescent="0.35">
      <c r="A6704" t="s">
        <v>131</v>
      </c>
      <c r="B6704" s="1">
        <v>45722</v>
      </c>
      <c r="C6704" t="s">
        <v>5543</v>
      </c>
      <c r="D6704" t="s">
        <v>5543</v>
      </c>
      <c r="F6704" t="s">
        <v>8419</v>
      </c>
      <c r="H6704" t="s">
        <v>5522</v>
      </c>
      <c r="I6704" s="1">
        <v>45777</v>
      </c>
      <c r="K6704">
        <v>11880</v>
      </c>
      <c r="L6704" t="s">
        <v>6803</v>
      </c>
    </row>
    <row r="6705" spans="1:12" x14ac:dyDescent="0.35">
      <c r="A6705" t="s">
        <v>131</v>
      </c>
      <c r="B6705" s="1">
        <v>45722</v>
      </c>
      <c r="C6705" t="s">
        <v>5543</v>
      </c>
      <c r="D6705" t="s">
        <v>5543</v>
      </c>
      <c r="F6705" t="s">
        <v>7701</v>
      </c>
      <c r="H6705" t="s">
        <v>5522</v>
      </c>
      <c r="I6705" s="1">
        <v>45777</v>
      </c>
      <c r="K6705">
        <v>29500</v>
      </c>
      <c r="L6705" t="s">
        <v>350</v>
      </c>
    </row>
    <row r="6706" spans="1:12" x14ac:dyDescent="0.35">
      <c r="A6706" t="s">
        <v>131</v>
      </c>
      <c r="B6706" s="1">
        <v>45722</v>
      </c>
      <c r="C6706" t="s">
        <v>5543</v>
      </c>
      <c r="D6706" t="s">
        <v>5543</v>
      </c>
      <c r="F6706" t="s">
        <v>8423</v>
      </c>
      <c r="H6706" t="s">
        <v>5522</v>
      </c>
      <c r="I6706" s="1">
        <v>45777</v>
      </c>
      <c r="K6706">
        <v>66000</v>
      </c>
      <c r="L6706" t="s">
        <v>5972</v>
      </c>
    </row>
    <row r="6707" spans="1:12" x14ac:dyDescent="0.35">
      <c r="A6707" t="s">
        <v>131</v>
      </c>
      <c r="B6707" s="1">
        <v>45723</v>
      </c>
      <c r="C6707" t="s">
        <v>5544</v>
      </c>
      <c r="D6707" t="s">
        <v>5544</v>
      </c>
      <c r="F6707" t="s">
        <v>7831</v>
      </c>
      <c r="G6707" t="s">
        <v>7515</v>
      </c>
      <c r="H6707" t="s">
        <v>5512</v>
      </c>
      <c r="I6707" s="1">
        <v>45754</v>
      </c>
      <c r="J6707">
        <v>1500960</v>
      </c>
      <c r="L6707" t="s">
        <v>6803</v>
      </c>
    </row>
    <row r="6708" spans="1:12" x14ac:dyDescent="0.35">
      <c r="A6708" t="s">
        <v>131</v>
      </c>
      <c r="B6708" s="1">
        <v>45723</v>
      </c>
      <c r="C6708" t="s">
        <v>5544</v>
      </c>
      <c r="D6708" t="s">
        <v>5544</v>
      </c>
      <c r="F6708" t="s">
        <v>8419</v>
      </c>
      <c r="H6708" t="s">
        <v>5512</v>
      </c>
      <c r="I6708" s="1">
        <v>45754</v>
      </c>
      <c r="K6708">
        <v>192960</v>
      </c>
      <c r="L6708" t="s">
        <v>6803</v>
      </c>
    </row>
    <row r="6709" spans="1:12" x14ac:dyDescent="0.35">
      <c r="A6709" t="s">
        <v>131</v>
      </c>
      <c r="B6709" s="1">
        <v>45723</v>
      </c>
      <c r="C6709" t="s">
        <v>5544</v>
      </c>
      <c r="D6709" t="s">
        <v>5544</v>
      </c>
      <c r="F6709" t="s">
        <v>7701</v>
      </c>
      <c r="H6709" t="s">
        <v>5512</v>
      </c>
      <c r="I6709" s="1">
        <v>45754</v>
      </c>
      <c r="K6709">
        <v>236000</v>
      </c>
      <c r="L6709" t="s">
        <v>350</v>
      </c>
    </row>
    <row r="6710" spans="1:12" x14ac:dyDescent="0.35">
      <c r="A6710" t="s">
        <v>131</v>
      </c>
      <c r="B6710" s="1">
        <v>45723</v>
      </c>
      <c r="C6710" t="s">
        <v>5544</v>
      </c>
      <c r="D6710" t="s">
        <v>5544</v>
      </c>
      <c r="F6710" t="s">
        <v>8423</v>
      </c>
      <c r="H6710" t="s">
        <v>5512</v>
      </c>
      <c r="I6710" s="1">
        <v>45754</v>
      </c>
      <c r="K6710">
        <v>1072000</v>
      </c>
      <c r="L6710" t="s">
        <v>5972</v>
      </c>
    </row>
    <row r="6711" spans="1:12" x14ac:dyDescent="0.35">
      <c r="A6711" t="s">
        <v>131</v>
      </c>
      <c r="B6711" s="1">
        <v>45723</v>
      </c>
      <c r="C6711" t="s">
        <v>5545</v>
      </c>
      <c r="D6711" t="s">
        <v>5545</v>
      </c>
      <c r="F6711" t="s">
        <v>7831</v>
      </c>
      <c r="G6711" t="s">
        <v>7515</v>
      </c>
      <c r="H6711" t="s">
        <v>5512</v>
      </c>
      <c r="I6711" s="1">
        <v>45754</v>
      </c>
      <c r="J6711">
        <v>237180</v>
      </c>
      <c r="L6711" t="s">
        <v>6803</v>
      </c>
    </row>
    <row r="6712" spans="1:12" x14ac:dyDescent="0.35">
      <c r="A6712" t="s">
        <v>131</v>
      </c>
      <c r="B6712" s="1">
        <v>45723</v>
      </c>
      <c r="C6712" t="s">
        <v>5545</v>
      </c>
      <c r="D6712" t="s">
        <v>5545</v>
      </c>
      <c r="F6712" t="s">
        <v>8419</v>
      </c>
      <c r="H6712" t="s">
        <v>5512</v>
      </c>
      <c r="I6712" s="1">
        <v>45754</v>
      </c>
      <c r="K6712">
        <v>36180</v>
      </c>
      <c r="L6712" t="s">
        <v>6803</v>
      </c>
    </row>
    <row r="6713" spans="1:12" x14ac:dyDescent="0.35">
      <c r="A6713" t="s">
        <v>131</v>
      </c>
      <c r="B6713" s="1">
        <v>45723</v>
      </c>
      <c r="C6713" t="s">
        <v>5545</v>
      </c>
      <c r="D6713" t="s">
        <v>5545</v>
      </c>
      <c r="F6713" t="s">
        <v>8423</v>
      </c>
      <c r="H6713" t="s">
        <v>5512</v>
      </c>
      <c r="I6713" s="1">
        <v>45754</v>
      </c>
      <c r="K6713">
        <v>201000</v>
      </c>
      <c r="L6713" t="s">
        <v>5972</v>
      </c>
    </row>
    <row r="6714" spans="1:12" x14ac:dyDescent="0.35">
      <c r="A6714" t="s">
        <v>131</v>
      </c>
      <c r="B6714" s="1">
        <v>45723</v>
      </c>
      <c r="C6714" t="s">
        <v>5546</v>
      </c>
      <c r="D6714" t="s">
        <v>5546</v>
      </c>
      <c r="F6714" t="s">
        <v>7831</v>
      </c>
      <c r="G6714" t="s">
        <v>8393</v>
      </c>
      <c r="H6714" t="s">
        <v>5518</v>
      </c>
      <c r="I6714" s="1">
        <v>45754</v>
      </c>
      <c r="J6714">
        <v>236000</v>
      </c>
      <c r="L6714" t="s">
        <v>6803</v>
      </c>
    </row>
    <row r="6715" spans="1:12" x14ac:dyDescent="0.35">
      <c r="A6715" t="s">
        <v>131</v>
      </c>
      <c r="B6715" s="1">
        <v>45723</v>
      </c>
      <c r="C6715" t="s">
        <v>5546</v>
      </c>
      <c r="D6715" t="s">
        <v>5546</v>
      </c>
      <c r="F6715" t="s">
        <v>8419</v>
      </c>
      <c r="H6715" t="s">
        <v>5518</v>
      </c>
      <c r="I6715" s="1">
        <v>45754</v>
      </c>
      <c r="K6715">
        <v>27000</v>
      </c>
      <c r="L6715" t="s">
        <v>6803</v>
      </c>
    </row>
    <row r="6716" spans="1:12" x14ac:dyDescent="0.35">
      <c r="A6716" t="s">
        <v>131</v>
      </c>
      <c r="B6716" s="1">
        <v>45723</v>
      </c>
      <c r="C6716" t="s">
        <v>5546</v>
      </c>
      <c r="D6716" t="s">
        <v>5546</v>
      </c>
      <c r="F6716" t="s">
        <v>7701</v>
      </c>
      <c r="H6716" t="s">
        <v>5518</v>
      </c>
      <c r="I6716" s="1">
        <v>45754</v>
      </c>
      <c r="K6716">
        <v>59000</v>
      </c>
      <c r="L6716" t="s">
        <v>350</v>
      </c>
    </row>
    <row r="6717" spans="1:12" x14ac:dyDescent="0.35">
      <c r="A6717" t="s">
        <v>131</v>
      </c>
      <c r="B6717" s="1">
        <v>45723</v>
      </c>
      <c r="C6717" t="s">
        <v>5546</v>
      </c>
      <c r="D6717" t="s">
        <v>5546</v>
      </c>
      <c r="F6717" t="s">
        <v>8423</v>
      </c>
      <c r="H6717" t="s">
        <v>5518</v>
      </c>
      <c r="I6717" s="1">
        <v>45754</v>
      </c>
      <c r="K6717">
        <v>150000</v>
      </c>
      <c r="L6717" t="s">
        <v>5972</v>
      </c>
    </row>
    <row r="6718" spans="1:12" x14ac:dyDescent="0.35">
      <c r="A6718" t="s">
        <v>131</v>
      </c>
      <c r="B6718" s="1">
        <v>45723</v>
      </c>
      <c r="C6718" t="s">
        <v>5547</v>
      </c>
      <c r="D6718" t="s">
        <v>5547</v>
      </c>
      <c r="F6718" t="s">
        <v>7831</v>
      </c>
      <c r="G6718" t="s">
        <v>8393</v>
      </c>
      <c r="H6718" t="s">
        <v>5518</v>
      </c>
      <c r="I6718" s="1">
        <v>45754</v>
      </c>
      <c r="J6718">
        <v>236000</v>
      </c>
      <c r="L6718" t="s">
        <v>6803</v>
      </c>
    </row>
    <row r="6719" spans="1:12" x14ac:dyDescent="0.35">
      <c r="A6719" t="s">
        <v>131</v>
      </c>
      <c r="B6719" s="1">
        <v>45723</v>
      </c>
      <c r="C6719" t="s">
        <v>5547</v>
      </c>
      <c r="D6719" t="s">
        <v>5547</v>
      </c>
      <c r="F6719" t="s">
        <v>8419</v>
      </c>
      <c r="H6719" t="s">
        <v>5518</v>
      </c>
      <c r="I6719" s="1">
        <v>45754</v>
      </c>
      <c r="K6719">
        <v>27000</v>
      </c>
      <c r="L6719" t="s">
        <v>6803</v>
      </c>
    </row>
    <row r="6720" spans="1:12" x14ac:dyDescent="0.35">
      <c r="A6720" t="s">
        <v>131</v>
      </c>
      <c r="B6720" s="1">
        <v>45723</v>
      </c>
      <c r="C6720" t="s">
        <v>5547</v>
      </c>
      <c r="D6720" t="s">
        <v>5547</v>
      </c>
      <c r="F6720" t="s">
        <v>7701</v>
      </c>
      <c r="H6720" t="s">
        <v>5518</v>
      </c>
      <c r="I6720" s="1">
        <v>45754</v>
      </c>
      <c r="K6720">
        <v>59000</v>
      </c>
      <c r="L6720" t="s">
        <v>350</v>
      </c>
    </row>
    <row r="6721" spans="1:12" x14ac:dyDescent="0.35">
      <c r="A6721" t="s">
        <v>131</v>
      </c>
      <c r="B6721" s="1">
        <v>45723</v>
      </c>
      <c r="C6721" t="s">
        <v>5547</v>
      </c>
      <c r="D6721" t="s">
        <v>5547</v>
      </c>
      <c r="F6721" t="s">
        <v>8423</v>
      </c>
      <c r="H6721" t="s">
        <v>5518</v>
      </c>
      <c r="I6721" s="1">
        <v>45754</v>
      </c>
      <c r="K6721">
        <v>150000</v>
      </c>
      <c r="L6721" t="s">
        <v>5972</v>
      </c>
    </row>
    <row r="6722" spans="1:12" x14ac:dyDescent="0.35">
      <c r="A6722" t="s">
        <v>131</v>
      </c>
      <c r="B6722" s="1">
        <v>45723</v>
      </c>
      <c r="C6722" t="s">
        <v>5548</v>
      </c>
      <c r="D6722" t="s">
        <v>5548</v>
      </c>
      <c r="F6722" t="s">
        <v>7831</v>
      </c>
      <c r="G6722" t="s">
        <v>8393</v>
      </c>
      <c r="H6722" t="s">
        <v>5518</v>
      </c>
      <c r="I6722" s="1">
        <v>45754</v>
      </c>
      <c r="J6722">
        <v>206500</v>
      </c>
      <c r="L6722" t="s">
        <v>6803</v>
      </c>
    </row>
    <row r="6723" spans="1:12" x14ac:dyDescent="0.35">
      <c r="A6723" t="s">
        <v>131</v>
      </c>
      <c r="B6723" s="1">
        <v>45723</v>
      </c>
      <c r="C6723" t="s">
        <v>5548</v>
      </c>
      <c r="D6723" t="s">
        <v>5548</v>
      </c>
      <c r="F6723" t="s">
        <v>8419</v>
      </c>
      <c r="H6723" t="s">
        <v>5518</v>
      </c>
      <c r="I6723" s="1">
        <v>45754</v>
      </c>
      <c r="K6723">
        <v>27000</v>
      </c>
      <c r="L6723" t="s">
        <v>6803</v>
      </c>
    </row>
    <row r="6724" spans="1:12" x14ac:dyDescent="0.35">
      <c r="A6724" t="s">
        <v>131</v>
      </c>
      <c r="B6724" s="1">
        <v>45723</v>
      </c>
      <c r="C6724" t="s">
        <v>5548</v>
      </c>
      <c r="D6724" t="s">
        <v>5548</v>
      </c>
      <c r="F6724" t="s">
        <v>7701</v>
      </c>
      <c r="H6724" t="s">
        <v>5518</v>
      </c>
      <c r="I6724" s="1">
        <v>45754</v>
      </c>
      <c r="K6724">
        <v>29500</v>
      </c>
      <c r="L6724" t="s">
        <v>350</v>
      </c>
    </row>
    <row r="6725" spans="1:12" x14ac:dyDescent="0.35">
      <c r="A6725" t="s">
        <v>131</v>
      </c>
      <c r="B6725" s="1">
        <v>45723</v>
      </c>
      <c r="C6725" t="s">
        <v>5548</v>
      </c>
      <c r="D6725" t="s">
        <v>5548</v>
      </c>
      <c r="F6725" t="s">
        <v>8423</v>
      </c>
      <c r="H6725" t="s">
        <v>5518</v>
      </c>
      <c r="I6725" s="1">
        <v>45754</v>
      </c>
      <c r="K6725">
        <v>150000</v>
      </c>
      <c r="L6725" t="s">
        <v>5972</v>
      </c>
    </row>
    <row r="6726" spans="1:12" x14ac:dyDescent="0.35">
      <c r="A6726" t="s">
        <v>131</v>
      </c>
      <c r="B6726" s="1">
        <v>45723</v>
      </c>
      <c r="C6726" t="s">
        <v>5549</v>
      </c>
      <c r="D6726" t="s">
        <v>5549</v>
      </c>
      <c r="F6726" t="s">
        <v>7831</v>
      </c>
      <c r="G6726" t="s">
        <v>8393</v>
      </c>
      <c r="H6726" t="s">
        <v>5518</v>
      </c>
      <c r="I6726" s="1">
        <v>45754</v>
      </c>
      <c r="J6726">
        <v>236000</v>
      </c>
      <c r="L6726" t="s">
        <v>6803</v>
      </c>
    </row>
    <row r="6727" spans="1:12" x14ac:dyDescent="0.35">
      <c r="A6727" t="s">
        <v>131</v>
      </c>
      <c r="B6727" s="1">
        <v>45723</v>
      </c>
      <c r="C6727" t="s">
        <v>5549</v>
      </c>
      <c r="D6727" t="s">
        <v>5549</v>
      </c>
      <c r="F6727" t="s">
        <v>8419</v>
      </c>
      <c r="H6727" t="s">
        <v>5518</v>
      </c>
      <c r="I6727" s="1">
        <v>45754</v>
      </c>
      <c r="K6727">
        <v>27000</v>
      </c>
      <c r="L6727" t="s">
        <v>6803</v>
      </c>
    </row>
    <row r="6728" spans="1:12" x14ac:dyDescent="0.35">
      <c r="A6728" t="s">
        <v>131</v>
      </c>
      <c r="B6728" s="1">
        <v>45723</v>
      </c>
      <c r="C6728" t="s">
        <v>5549</v>
      </c>
      <c r="D6728" t="s">
        <v>5549</v>
      </c>
      <c r="F6728" t="s">
        <v>7701</v>
      </c>
      <c r="H6728" t="s">
        <v>5518</v>
      </c>
      <c r="I6728" s="1">
        <v>45754</v>
      </c>
      <c r="K6728">
        <v>59000</v>
      </c>
      <c r="L6728" t="s">
        <v>350</v>
      </c>
    </row>
    <row r="6729" spans="1:12" x14ac:dyDescent="0.35">
      <c r="A6729" t="s">
        <v>131</v>
      </c>
      <c r="B6729" s="1">
        <v>45723</v>
      </c>
      <c r="C6729" t="s">
        <v>5549</v>
      </c>
      <c r="D6729" t="s">
        <v>5549</v>
      </c>
      <c r="F6729" t="s">
        <v>8423</v>
      </c>
      <c r="H6729" t="s">
        <v>5518</v>
      </c>
      <c r="I6729" s="1">
        <v>45754</v>
      </c>
      <c r="K6729">
        <v>150000</v>
      </c>
      <c r="L6729" t="s">
        <v>5972</v>
      </c>
    </row>
    <row r="6730" spans="1:12" x14ac:dyDescent="0.35">
      <c r="A6730" t="s">
        <v>131</v>
      </c>
      <c r="B6730" s="1">
        <v>45723</v>
      </c>
      <c r="C6730" t="s">
        <v>5550</v>
      </c>
      <c r="D6730" t="s">
        <v>5550</v>
      </c>
      <c r="F6730" t="s">
        <v>7831</v>
      </c>
      <c r="G6730" t="s">
        <v>7521</v>
      </c>
      <c r="H6730" t="s">
        <v>5551</v>
      </c>
      <c r="I6730" s="1">
        <v>45723</v>
      </c>
      <c r="J6730">
        <v>409460</v>
      </c>
      <c r="L6730" t="s">
        <v>6803</v>
      </c>
    </row>
    <row r="6731" spans="1:12" x14ac:dyDescent="0.35">
      <c r="A6731" t="s">
        <v>131</v>
      </c>
      <c r="B6731" s="1">
        <v>45723</v>
      </c>
      <c r="C6731" t="s">
        <v>5550</v>
      </c>
      <c r="D6731" t="s">
        <v>5550</v>
      </c>
      <c r="F6731" t="s">
        <v>8419</v>
      </c>
      <c r="H6731" t="s">
        <v>5551</v>
      </c>
      <c r="I6731" s="1">
        <v>45723</v>
      </c>
      <c r="K6731">
        <v>53460</v>
      </c>
      <c r="L6731" t="s">
        <v>6803</v>
      </c>
    </row>
    <row r="6732" spans="1:12" x14ac:dyDescent="0.35">
      <c r="A6732" t="s">
        <v>131</v>
      </c>
      <c r="B6732" s="1">
        <v>45723</v>
      </c>
      <c r="C6732" t="s">
        <v>5550</v>
      </c>
      <c r="D6732" t="s">
        <v>5550</v>
      </c>
      <c r="F6732" t="s">
        <v>7701</v>
      </c>
      <c r="H6732" t="s">
        <v>5551</v>
      </c>
      <c r="I6732" s="1">
        <v>45723</v>
      </c>
      <c r="K6732">
        <v>59000</v>
      </c>
      <c r="L6732" t="s">
        <v>350</v>
      </c>
    </row>
    <row r="6733" spans="1:12" x14ac:dyDescent="0.35">
      <c r="A6733" t="s">
        <v>131</v>
      </c>
      <c r="B6733" s="1">
        <v>45723</v>
      </c>
      <c r="C6733" t="s">
        <v>5550</v>
      </c>
      <c r="D6733" t="s">
        <v>5550</v>
      </c>
      <c r="F6733" t="s">
        <v>8423</v>
      </c>
      <c r="H6733" t="s">
        <v>5551</v>
      </c>
      <c r="I6733" s="1">
        <v>45723</v>
      </c>
      <c r="K6733">
        <v>297000</v>
      </c>
      <c r="L6733" t="s">
        <v>5972</v>
      </c>
    </row>
    <row r="6734" spans="1:12" x14ac:dyDescent="0.35">
      <c r="A6734" t="s">
        <v>131</v>
      </c>
      <c r="B6734" s="1">
        <v>45723</v>
      </c>
      <c r="C6734" t="s">
        <v>5552</v>
      </c>
      <c r="D6734" t="s">
        <v>5552</v>
      </c>
      <c r="F6734" t="s">
        <v>7831</v>
      </c>
      <c r="G6734" t="s">
        <v>7521</v>
      </c>
      <c r="H6734" t="s">
        <v>180</v>
      </c>
      <c r="I6734" s="1">
        <v>45777</v>
      </c>
      <c r="J6734">
        <v>116820</v>
      </c>
      <c r="L6734" t="s">
        <v>6803</v>
      </c>
    </row>
    <row r="6735" spans="1:12" x14ac:dyDescent="0.35">
      <c r="A6735" t="s">
        <v>131</v>
      </c>
      <c r="B6735" s="1">
        <v>45723</v>
      </c>
      <c r="C6735" t="s">
        <v>5552</v>
      </c>
      <c r="D6735" t="s">
        <v>5552</v>
      </c>
      <c r="F6735" t="s">
        <v>8419</v>
      </c>
      <c r="H6735" t="s">
        <v>180</v>
      </c>
      <c r="I6735" s="1">
        <v>45777</v>
      </c>
      <c r="K6735">
        <v>17820</v>
      </c>
      <c r="L6735" t="s">
        <v>6803</v>
      </c>
    </row>
    <row r="6736" spans="1:12" x14ac:dyDescent="0.35">
      <c r="A6736" t="s">
        <v>131</v>
      </c>
      <c r="B6736" s="1">
        <v>45723</v>
      </c>
      <c r="C6736" t="s">
        <v>5552</v>
      </c>
      <c r="D6736" t="s">
        <v>5552</v>
      </c>
      <c r="F6736" t="s">
        <v>8423</v>
      </c>
      <c r="H6736" t="s">
        <v>180</v>
      </c>
      <c r="I6736" s="1">
        <v>45777</v>
      </c>
      <c r="K6736">
        <v>99000</v>
      </c>
      <c r="L6736" t="s">
        <v>5972</v>
      </c>
    </row>
    <row r="6737" spans="1:12" x14ac:dyDescent="0.35">
      <c r="A6737" t="s">
        <v>131</v>
      </c>
      <c r="B6737" s="1">
        <v>45723</v>
      </c>
      <c r="C6737" t="s">
        <v>5553</v>
      </c>
      <c r="D6737" t="s">
        <v>5553</v>
      </c>
      <c r="F6737" t="s">
        <v>7831</v>
      </c>
      <c r="G6737" t="s">
        <v>7521</v>
      </c>
      <c r="H6737" t="s">
        <v>5522</v>
      </c>
      <c r="I6737" s="1">
        <v>45777</v>
      </c>
      <c r="J6737">
        <v>1073800</v>
      </c>
      <c r="L6737" t="s">
        <v>6803</v>
      </c>
    </row>
    <row r="6738" spans="1:12" x14ac:dyDescent="0.35">
      <c r="A6738" t="s">
        <v>131</v>
      </c>
      <c r="B6738" s="1">
        <v>45723</v>
      </c>
      <c r="C6738" t="s">
        <v>5553</v>
      </c>
      <c r="D6738" t="s">
        <v>5553</v>
      </c>
      <c r="F6738" t="s">
        <v>8419</v>
      </c>
      <c r="H6738" t="s">
        <v>5522</v>
      </c>
      <c r="I6738" s="1">
        <v>45777</v>
      </c>
      <c r="K6738">
        <v>118800</v>
      </c>
      <c r="L6738" t="s">
        <v>6803</v>
      </c>
    </row>
    <row r="6739" spans="1:12" x14ac:dyDescent="0.35">
      <c r="A6739" t="s">
        <v>131</v>
      </c>
      <c r="B6739" s="1">
        <v>45723</v>
      </c>
      <c r="C6739" t="s">
        <v>5553</v>
      </c>
      <c r="D6739" t="s">
        <v>5553</v>
      </c>
      <c r="F6739" t="s">
        <v>7701</v>
      </c>
      <c r="H6739" t="s">
        <v>5522</v>
      </c>
      <c r="I6739" s="1">
        <v>45777</v>
      </c>
      <c r="K6739">
        <v>295000</v>
      </c>
      <c r="L6739" t="s">
        <v>350</v>
      </c>
    </row>
    <row r="6740" spans="1:12" x14ac:dyDescent="0.35">
      <c r="A6740" t="s">
        <v>131</v>
      </c>
      <c r="B6740" s="1">
        <v>45723</v>
      </c>
      <c r="C6740" t="s">
        <v>5553</v>
      </c>
      <c r="D6740" t="s">
        <v>5553</v>
      </c>
      <c r="F6740" t="s">
        <v>8423</v>
      </c>
      <c r="H6740" t="s">
        <v>5522</v>
      </c>
      <c r="I6740" s="1">
        <v>45777</v>
      </c>
      <c r="K6740">
        <v>660000</v>
      </c>
      <c r="L6740" t="s">
        <v>5972</v>
      </c>
    </row>
    <row r="6741" spans="1:12" x14ac:dyDescent="0.35">
      <c r="A6741" t="s">
        <v>131</v>
      </c>
      <c r="B6741" s="1">
        <v>45723</v>
      </c>
      <c r="C6741" t="s">
        <v>5554</v>
      </c>
      <c r="D6741" t="s">
        <v>5554</v>
      </c>
      <c r="F6741" t="s">
        <v>7831</v>
      </c>
      <c r="G6741" t="s">
        <v>8394</v>
      </c>
      <c r="H6741" t="s">
        <v>5555</v>
      </c>
      <c r="I6741" s="1">
        <v>45723</v>
      </c>
      <c r="J6741">
        <v>147500</v>
      </c>
      <c r="L6741" t="s">
        <v>6803</v>
      </c>
    </row>
    <row r="6742" spans="1:12" x14ac:dyDescent="0.35">
      <c r="A6742" t="s">
        <v>131</v>
      </c>
      <c r="B6742" s="1">
        <v>45723</v>
      </c>
      <c r="C6742" t="s">
        <v>5554</v>
      </c>
      <c r="D6742" t="s">
        <v>5554</v>
      </c>
      <c r="F6742" t="s">
        <v>8419</v>
      </c>
      <c r="H6742" t="s">
        <v>5555</v>
      </c>
      <c r="I6742" s="1">
        <v>45723</v>
      </c>
      <c r="K6742">
        <v>18000</v>
      </c>
      <c r="L6742" t="s">
        <v>6803</v>
      </c>
    </row>
    <row r="6743" spans="1:12" x14ac:dyDescent="0.35">
      <c r="A6743" t="s">
        <v>131</v>
      </c>
      <c r="B6743" s="1">
        <v>45723</v>
      </c>
      <c r="C6743" t="s">
        <v>5554</v>
      </c>
      <c r="D6743" t="s">
        <v>5554</v>
      </c>
      <c r="F6743" t="s">
        <v>7701</v>
      </c>
      <c r="H6743" t="s">
        <v>5555</v>
      </c>
      <c r="I6743" s="1">
        <v>45723</v>
      </c>
      <c r="K6743">
        <v>29500</v>
      </c>
      <c r="L6743" t="s">
        <v>350</v>
      </c>
    </row>
    <row r="6744" spans="1:12" x14ac:dyDescent="0.35">
      <c r="A6744" t="s">
        <v>131</v>
      </c>
      <c r="B6744" s="1">
        <v>45723</v>
      </c>
      <c r="C6744" t="s">
        <v>5554</v>
      </c>
      <c r="D6744" t="s">
        <v>5554</v>
      </c>
      <c r="F6744" t="s">
        <v>8423</v>
      </c>
      <c r="H6744" t="s">
        <v>5555</v>
      </c>
      <c r="I6744" s="1">
        <v>45723</v>
      </c>
      <c r="K6744">
        <v>100000</v>
      </c>
      <c r="L6744" t="s">
        <v>5972</v>
      </c>
    </row>
    <row r="6745" spans="1:12" x14ac:dyDescent="0.35">
      <c r="A6745" t="s">
        <v>131</v>
      </c>
      <c r="B6745" s="1">
        <v>45725</v>
      </c>
      <c r="C6745" t="s">
        <v>5556</v>
      </c>
      <c r="D6745" t="s">
        <v>5556</v>
      </c>
      <c r="F6745" t="s">
        <v>7831</v>
      </c>
      <c r="G6745" t="s">
        <v>7881</v>
      </c>
      <c r="H6745" t="s">
        <v>5526</v>
      </c>
      <c r="I6745" s="1">
        <v>45725</v>
      </c>
      <c r="J6745">
        <v>232672</v>
      </c>
      <c r="L6745" t="s">
        <v>6803</v>
      </c>
    </row>
    <row r="6746" spans="1:12" x14ac:dyDescent="0.35">
      <c r="A6746" t="s">
        <v>131</v>
      </c>
      <c r="B6746" s="1">
        <v>45725</v>
      </c>
      <c r="C6746" t="s">
        <v>5556</v>
      </c>
      <c r="D6746" t="s">
        <v>5556</v>
      </c>
      <c r="F6746" t="s">
        <v>8424</v>
      </c>
      <c r="H6746" t="s">
        <v>5526</v>
      </c>
      <c r="I6746" s="1">
        <v>45725</v>
      </c>
      <c r="K6746">
        <v>232672</v>
      </c>
      <c r="L6746" t="s">
        <v>5977</v>
      </c>
    </row>
    <row r="6747" spans="1:12" x14ac:dyDescent="0.35">
      <c r="A6747" t="s">
        <v>131</v>
      </c>
      <c r="B6747" s="1">
        <v>45725</v>
      </c>
      <c r="C6747" t="s">
        <v>5557</v>
      </c>
      <c r="D6747" t="s">
        <v>5557</v>
      </c>
      <c r="F6747" t="s">
        <v>7823</v>
      </c>
      <c r="G6747" t="s">
        <v>7877</v>
      </c>
      <c r="H6747" t="s">
        <v>5508</v>
      </c>
      <c r="I6747" s="1">
        <v>45756</v>
      </c>
      <c r="J6747">
        <v>1099170</v>
      </c>
      <c r="L6747" t="s">
        <v>6803</v>
      </c>
    </row>
    <row r="6748" spans="1:12" x14ac:dyDescent="0.35">
      <c r="A6748" t="s">
        <v>131</v>
      </c>
      <c r="B6748" s="1">
        <v>45725</v>
      </c>
      <c r="C6748" t="s">
        <v>5557</v>
      </c>
      <c r="D6748" t="s">
        <v>5557</v>
      </c>
      <c r="F6748" t="s">
        <v>8419</v>
      </c>
      <c r="H6748" t="s">
        <v>5508</v>
      </c>
      <c r="I6748" s="1">
        <v>45756</v>
      </c>
      <c r="K6748">
        <v>167670</v>
      </c>
      <c r="L6748" t="s">
        <v>6803</v>
      </c>
    </row>
    <row r="6749" spans="1:12" x14ac:dyDescent="0.35">
      <c r="A6749" t="s">
        <v>131</v>
      </c>
      <c r="B6749" s="1">
        <v>45725</v>
      </c>
      <c r="C6749" t="s">
        <v>5557</v>
      </c>
      <c r="D6749" t="s">
        <v>5557</v>
      </c>
      <c r="F6749" t="s">
        <v>8423</v>
      </c>
      <c r="H6749" t="s">
        <v>5508</v>
      </c>
      <c r="I6749" s="1">
        <v>45756</v>
      </c>
      <c r="K6749">
        <v>931500</v>
      </c>
      <c r="L6749" t="s">
        <v>5977</v>
      </c>
    </row>
    <row r="6750" spans="1:12" x14ac:dyDescent="0.35">
      <c r="A6750" t="s">
        <v>131</v>
      </c>
      <c r="B6750" s="1">
        <v>45725</v>
      </c>
      <c r="C6750" t="s">
        <v>5558</v>
      </c>
      <c r="D6750" t="s">
        <v>5558</v>
      </c>
      <c r="F6750" t="s">
        <v>7823</v>
      </c>
      <c r="G6750" t="s">
        <v>7877</v>
      </c>
      <c r="H6750" t="s">
        <v>5508</v>
      </c>
      <c r="I6750" s="1">
        <v>45756</v>
      </c>
      <c r="J6750">
        <v>1099170</v>
      </c>
      <c r="L6750" t="s">
        <v>6803</v>
      </c>
    </row>
    <row r="6751" spans="1:12" x14ac:dyDescent="0.35">
      <c r="A6751" t="s">
        <v>131</v>
      </c>
      <c r="B6751" s="1">
        <v>45725</v>
      </c>
      <c r="C6751" t="s">
        <v>5558</v>
      </c>
      <c r="D6751" t="s">
        <v>5558</v>
      </c>
      <c r="F6751" t="s">
        <v>8419</v>
      </c>
      <c r="H6751" t="s">
        <v>5508</v>
      </c>
      <c r="I6751" s="1">
        <v>45756</v>
      </c>
      <c r="K6751">
        <v>167670</v>
      </c>
      <c r="L6751" t="s">
        <v>6803</v>
      </c>
    </row>
    <row r="6752" spans="1:12" x14ac:dyDescent="0.35">
      <c r="A6752" t="s">
        <v>131</v>
      </c>
      <c r="B6752" s="1">
        <v>45725</v>
      </c>
      <c r="C6752" t="s">
        <v>5558</v>
      </c>
      <c r="D6752" t="s">
        <v>5558</v>
      </c>
      <c r="F6752" t="s">
        <v>8423</v>
      </c>
      <c r="H6752" t="s">
        <v>5508</v>
      </c>
      <c r="I6752" s="1">
        <v>45756</v>
      </c>
      <c r="K6752">
        <v>931500</v>
      </c>
      <c r="L6752" t="s">
        <v>5977</v>
      </c>
    </row>
    <row r="6753" spans="1:12" x14ac:dyDescent="0.35">
      <c r="A6753" t="s">
        <v>131</v>
      </c>
      <c r="B6753" s="1">
        <v>45725</v>
      </c>
      <c r="C6753" t="s">
        <v>5559</v>
      </c>
      <c r="D6753" t="s">
        <v>5559</v>
      </c>
      <c r="F6753" t="s">
        <v>7823</v>
      </c>
      <c r="G6753" t="s">
        <v>7877</v>
      </c>
      <c r="H6753" t="s">
        <v>5508</v>
      </c>
      <c r="I6753" s="1">
        <v>45756</v>
      </c>
      <c r="J6753">
        <v>1099170</v>
      </c>
      <c r="L6753" t="s">
        <v>6803</v>
      </c>
    </row>
    <row r="6754" spans="1:12" x14ac:dyDescent="0.35">
      <c r="A6754" t="s">
        <v>131</v>
      </c>
      <c r="B6754" s="1">
        <v>45725</v>
      </c>
      <c r="C6754" t="s">
        <v>5559</v>
      </c>
      <c r="D6754" t="s">
        <v>5559</v>
      </c>
      <c r="F6754" t="s">
        <v>8419</v>
      </c>
      <c r="H6754" t="s">
        <v>5508</v>
      </c>
      <c r="I6754" s="1">
        <v>45756</v>
      </c>
      <c r="K6754">
        <v>167670</v>
      </c>
      <c r="L6754" t="s">
        <v>6803</v>
      </c>
    </row>
    <row r="6755" spans="1:12" x14ac:dyDescent="0.35">
      <c r="A6755" t="s">
        <v>131</v>
      </c>
      <c r="B6755" s="1">
        <v>45725</v>
      </c>
      <c r="C6755" t="s">
        <v>5559</v>
      </c>
      <c r="D6755" t="s">
        <v>5559</v>
      </c>
      <c r="F6755" t="s">
        <v>8423</v>
      </c>
      <c r="H6755" t="s">
        <v>5508</v>
      </c>
      <c r="I6755" s="1">
        <v>45756</v>
      </c>
      <c r="K6755">
        <v>931500</v>
      </c>
      <c r="L6755" t="s">
        <v>5977</v>
      </c>
    </row>
    <row r="6756" spans="1:12" x14ac:dyDescent="0.35">
      <c r="A6756" t="s">
        <v>131</v>
      </c>
      <c r="B6756" s="1">
        <v>45725</v>
      </c>
      <c r="C6756" t="s">
        <v>5560</v>
      </c>
      <c r="D6756" t="s">
        <v>5560</v>
      </c>
      <c r="F6756" t="s">
        <v>7823</v>
      </c>
      <c r="G6756" t="s">
        <v>7877</v>
      </c>
      <c r="H6756" t="s">
        <v>5508</v>
      </c>
      <c r="I6756" s="1">
        <v>45756</v>
      </c>
      <c r="J6756">
        <v>1099170</v>
      </c>
      <c r="L6756" t="s">
        <v>6803</v>
      </c>
    </row>
    <row r="6757" spans="1:12" x14ac:dyDescent="0.35">
      <c r="A6757" t="s">
        <v>131</v>
      </c>
      <c r="B6757" s="1">
        <v>45725</v>
      </c>
      <c r="C6757" t="s">
        <v>5560</v>
      </c>
      <c r="D6757" t="s">
        <v>5560</v>
      </c>
      <c r="F6757" t="s">
        <v>8419</v>
      </c>
      <c r="H6757" t="s">
        <v>5508</v>
      </c>
      <c r="I6757" s="1">
        <v>45756</v>
      </c>
      <c r="K6757">
        <v>167670</v>
      </c>
      <c r="L6757" t="s">
        <v>6803</v>
      </c>
    </row>
    <row r="6758" spans="1:12" x14ac:dyDescent="0.35">
      <c r="A6758" t="s">
        <v>131</v>
      </c>
      <c r="B6758" s="1">
        <v>45725</v>
      </c>
      <c r="C6758" t="s">
        <v>5560</v>
      </c>
      <c r="D6758" t="s">
        <v>5560</v>
      </c>
      <c r="F6758" t="s">
        <v>8423</v>
      </c>
      <c r="H6758" t="s">
        <v>5508</v>
      </c>
      <c r="I6758" s="1">
        <v>45756</v>
      </c>
      <c r="K6758">
        <v>931500</v>
      </c>
      <c r="L6758" t="s">
        <v>5977</v>
      </c>
    </row>
    <row r="6759" spans="1:12" x14ac:dyDescent="0.35">
      <c r="A6759" t="s">
        <v>131</v>
      </c>
      <c r="B6759" s="1">
        <v>45726</v>
      </c>
      <c r="C6759" t="s">
        <v>5561</v>
      </c>
      <c r="D6759" t="s">
        <v>5561</v>
      </c>
      <c r="F6759" t="s">
        <v>7831</v>
      </c>
      <c r="G6759" t="s">
        <v>7521</v>
      </c>
      <c r="H6759" t="s">
        <v>180</v>
      </c>
      <c r="I6759" s="1">
        <v>45777</v>
      </c>
      <c r="J6759">
        <v>409460</v>
      </c>
      <c r="L6759" t="s">
        <v>6803</v>
      </c>
    </row>
    <row r="6760" spans="1:12" x14ac:dyDescent="0.35">
      <c r="A6760" t="s">
        <v>131</v>
      </c>
      <c r="B6760" s="1">
        <v>45726</v>
      </c>
      <c r="C6760" t="s">
        <v>5561</v>
      </c>
      <c r="D6760" t="s">
        <v>5561</v>
      </c>
      <c r="F6760" t="s">
        <v>8419</v>
      </c>
      <c r="H6760" t="s">
        <v>180</v>
      </c>
      <c r="I6760" s="1">
        <v>45777</v>
      </c>
      <c r="K6760">
        <v>53460</v>
      </c>
      <c r="L6760" t="s">
        <v>6803</v>
      </c>
    </row>
    <row r="6761" spans="1:12" x14ac:dyDescent="0.35">
      <c r="A6761" t="s">
        <v>131</v>
      </c>
      <c r="B6761" s="1">
        <v>45726</v>
      </c>
      <c r="C6761" t="s">
        <v>5561</v>
      </c>
      <c r="D6761" t="s">
        <v>5561</v>
      </c>
      <c r="F6761" t="s">
        <v>7701</v>
      </c>
      <c r="H6761" t="s">
        <v>180</v>
      </c>
      <c r="I6761" s="1">
        <v>45777</v>
      </c>
      <c r="K6761">
        <v>59000</v>
      </c>
      <c r="L6761" t="s">
        <v>350</v>
      </c>
    </row>
    <row r="6762" spans="1:12" x14ac:dyDescent="0.35">
      <c r="A6762" t="s">
        <v>131</v>
      </c>
      <c r="B6762" s="1">
        <v>45726</v>
      </c>
      <c r="C6762" t="s">
        <v>5561</v>
      </c>
      <c r="D6762" t="s">
        <v>5561</v>
      </c>
      <c r="F6762" t="s">
        <v>8423</v>
      </c>
      <c r="H6762" t="s">
        <v>180</v>
      </c>
      <c r="I6762" s="1">
        <v>45777</v>
      </c>
      <c r="K6762">
        <v>297000</v>
      </c>
      <c r="L6762" t="s">
        <v>5972</v>
      </c>
    </row>
    <row r="6763" spans="1:12" x14ac:dyDescent="0.35">
      <c r="A6763" t="s">
        <v>131</v>
      </c>
      <c r="B6763" s="1">
        <v>45726</v>
      </c>
      <c r="C6763" t="s">
        <v>5562</v>
      </c>
      <c r="D6763" t="s">
        <v>5562</v>
      </c>
      <c r="F6763" t="s">
        <v>7823</v>
      </c>
      <c r="G6763" t="s">
        <v>7877</v>
      </c>
      <c r="H6763" t="s">
        <v>5508</v>
      </c>
      <c r="I6763" s="1">
        <v>45757</v>
      </c>
      <c r="J6763">
        <v>6595020</v>
      </c>
      <c r="L6763" t="s">
        <v>6803</v>
      </c>
    </row>
    <row r="6764" spans="1:12" x14ac:dyDescent="0.35">
      <c r="A6764" t="s">
        <v>131</v>
      </c>
      <c r="B6764" s="1">
        <v>45726</v>
      </c>
      <c r="C6764" t="s">
        <v>5562</v>
      </c>
      <c r="D6764" t="s">
        <v>5562</v>
      </c>
      <c r="F6764" t="s">
        <v>8419</v>
      </c>
      <c r="H6764" t="s">
        <v>5508</v>
      </c>
      <c r="I6764" s="1">
        <v>45757</v>
      </c>
      <c r="K6764">
        <v>1006020</v>
      </c>
      <c r="L6764" t="s">
        <v>6803</v>
      </c>
    </row>
    <row r="6765" spans="1:12" x14ac:dyDescent="0.35">
      <c r="A6765" t="s">
        <v>131</v>
      </c>
      <c r="B6765" s="1">
        <v>45726</v>
      </c>
      <c r="C6765" t="s">
        <v>5562</v>
      </c>
      <c r="D6765" t="s">
        <v>5562</v>
      </c>
      <c r="F6765" t="s">
        <v>8423</v>
      </c>
      <c r="H6765" t="s">
        <v>5508</v>
      </c>
      <c r="I6765" s="1">
        <v>45757</v>
      </c>
      <c r="K6765">
        <v>5589000</v>
      </c>
      <c r="L6765" t="s">
        <v>5975</v>
      </c>
    </row>
    <row r="6766" spans="1:12" x14ac:dyDescent="0.35">
      <c r="A6766" t="s">
        <v>131</v>
      </c>
      <c r="B6766" s="1">
        <v>45726</v>
      </c>
      <c r="C6766" t="s">
        <v>5563</v>
      </c>
      <c r="D6766" t="s">
        <v>5563</v>
      </c>
      <c r="F6766" t="s">
        <v>7823</v>
      </c>
      <c r="G6766" t="s">
        <v>7877</v>
      </c>
      <c r="H6766" t="s">
        <v>5508</v>
      </c>
      <c r="I6766" s="1">
        <v>45757</v>
      </c>
      <c r="J6766">
        <v>5495850</v>
      </c>
      <c r="L6766" t="s">
        <v>6803</v>
      </c>
    </row>
    <row r="6767" spans="1:12" x14ac:dyDescent="0.35">
      <c r="A6767" t="s">
        <v>131</v>
      </c>
      <c r="B6767" s="1">
        <v>45726</v>
      </c>
      <c r="C6767" t="s">
        <v>5563</v>
      </c>
      <c r="D6767" t="s">
        <v>5563</v>
      </c>
      <c r="F6767" t="s">
        <v>8419</v>
      </c>
      <c r="H6767" t="s">
        <v>5508</v>
      </c>
      <c r="I6767" s="1">
        <v>45757</v>
      </c>
      <c r="K6767">
        <v>838350</v>
      </c>
      <c r="L6767" t="s">
        <v>6803</v>
      </c>
    </row>
    <row r="6768" spans="1:12" x14ac:dyDescent="0.35">
      <c r="A6768" t="s">
        <v>131</v>
      </c>
      <c r="B6768" s="1">
        <v>45726</v>
      </c>
      <c r="C6768" t="s">
        <v>5563</v>
      </c>
      <c r="D6768" t="s">
        <v>5563</v>
      </c>
      <c r="F6768" t="s">
        <v>8423</v>
      </c>
      <c r="H6768" t="s">
        <v>5508</v>
      </c>
      <c r="I6768" s="1">
        <v>45757</v>
      </c>
      <c r="K6768">
        <v>4657500</v>
      </c>
      <c r="L6768" t="s">
        <v>5975</v>
      </c>
    </row>
    <row r="6769" spans="1:12" x14ac:dyDescent="0.35">
      <c r="A6769" t="s">
        <v>131</v>
      </c>
      <c r="B6769" s="1">
        <v>45726</v>
      </c>
      <c r="C6769" t="s">
        <v>5564</v>
      </c>
      <c r="D6769" t="s">
        <v>5564</v>
      </c>
      <c r="F6769" t="s">
        <v>7823</v>
      </c>
      <c r="G6769" t="s">
        <v>7877</v>
      </c>
      <c r="H6769" t="s">
        <v>5508</v>
      </c>
      <c r="I6769" s="1">
        <v>45757</v>
      </c>
      <c r="J6769">
        <v>5495850</v>
      </c>
      <c r="L6769" t="s">
        <v>6803</v>
      </c>
    </row>
    <row r="6770" spans="1:12" x14ac:dyDescent="0.35">
      <c r="A6770" t="s">
        <v>131</v>
      </c>
      <c r="B6770" s="1">
        <v>45726</v>
      </c>
      <c r="C6770" t="s">
        <v>5564</v>
      </c>
      <c r="D6770" t="s">
        <v>5564</v>
      </c>
      <c r="F6770" t="s">
        <v>8419</v>
      </c>
      <c r="H6770" t="s">
        <v>5508</v>
      </c>
      <c r="I6770" s="1">
        <v>45757</v>
      </c>
      <c r="K6770">
        <v>838350</v>
      </c>
      <c r="L6770" t="s">
        <v>6803</v>
      </c>
    </row>
    <row r="6771" spans="1:12" x14ac:dyDescent="0.35">
      <c r="A6771" t="s">
        <v>131</v>
      </c>
      <c r="B6771" s="1">
        <v>45726</v>
      </c>
      <c r="C6771" t="s">
        <v>5564</v>
      </c>
      <c r="D6771" t="s">
        <v>5564</v>
      </c>
      <c r="F6771" t="s">
        <v>8423</v>
      </c>
      <c r="H6771" t="s">
        <v>5508</v>
      </c>
      <c r="I6771" s="1">
        <v>45757</v>
      </c>
      <c r="K6771">
        <v>4657500</v>
      </c>
      <c r="L6771" t="s">
        <v>5975</v>
      </c>
    </row>
    <row r="6772" spans="1:12" x14ac:dyDescent="0.35">
      <c r="A6772" t="s">
        <v>131</v>
      </c>
      <c r="B6772" s="1">
        <v>45726</v>
      </c>
      <c r="C6772" t="s">
        <v>5565</v>
      </c>
      <c r="D6772" t="s">
        <v>5565</v>
      </c>
      <c r="F6772" t="s">
        <v>7823</v>
      </c>
      <c r="G6772" t="s">
        <v>7877</v>
      </c>
      <c r="H6772" t="s">
        <v>5508</v>
      </c>
      <c r="I6772" s="1">
        <v>45757</v>
      </c>
      <c r="J6772">
        <v>2198340</v>
      </c>
      <c r="L6772" t="s">
        <v>6803</v>
      </c>
    </row>
    <row r="6773" spans="1:12" x14ac:dyDescent="0.35">
      <c r="A6773" t="s">
        <v>131</v>
      </c>
      <c r="B6773" s="1">
        <v>45726</v>
      </c>
      <c r="C6773" t="s">
        <v>5565</v>
      </c>
      <c r="D6773" t="s">
        <v>5565</v>
      </c>
      <c r="F6773" t="s">
        <v>8419</v>
      </c>
      <c r="H6773" t="s">
        <v>5508</v>
      </c>
      <c r="I6773" s="1">
        <v>45757</v>
      </c>
      <c r="K6773">
        <v>335340</v>
      </c>
      <c r="L6773" t="s">
        <v>6803</v>
      </c>
    </row>
    <row r="6774" spans="1:12" x14ac:dyDescent="0.35">
      <c r="A6774" t="s">
        <v>131</v>
      </c>
      <c r="B6774" s="1">
        <v>45726</v>
      </c>
      <c r="C6774" t="s">
        <v>5565</v>
      </c>
      <c r="D6774" t="s">
        <v>5565</v>
      </c>
      <c r="F6774" t="s">
        <v>8423</v>
      </c>
      <c r="H6774" t="s">
        <v>5508</v>
      </c>
      <c r="I6774" s="1">
        <v>45757</v>
      </c>
      <c r="K6774">
        <v>1863000</v>
      </c>
      <c r="L6774" t="s">
        <v>5975</v>
      </c>
    </row>
    <row r="6775" spans="1:12" x14ac:dyDescent="0.35">
      <c r="A6775" t="s">
        <v>131</v>
      </c>
      <c r="B6775" s="1">
        <v>45726</v>
      </c>
      <c r="C6775" t="s">
        <v>5566</v>
      </c>
      <c r="D6775" t="s">
        <v>5566</v>
      </c>
      <c r="F6775" t="s">
        <v>7823</v>
      </c>
      <c r="G6775" t="s">
        <v>7877</v>
      </c>
      <c r="H6775" t="s">
        <v>5508</v>
      </c>
      <c r="I6775" s="1">
        <v>45757</v>
      </c>
      <c r="J6775">
        <v>1099170</v>
      </c>
      <c r="L6775" t="s">
        <v>6803</v>
      </c>
    </row>
    <row r="6776" spans="1:12" x14ac:dyDescent="0.35">
      <c r="A6776" t="s">
        <v>131</v>
      </c>
      <c r="B6776" s="1">
        <v>45726</v>
      </c>
      <c r="C6776" t="s">
        <v>5566</v>
      </c>
      <c r="D6776" t="s">
        <v>5566</v>
      </c>
      <c r="F6776" t="s">
        <v>8419</v>
      </c>
      <c r="H6776" t="s">
        <v>5508</v>
      </c>
      <c r="I6776" s="1">
        <v>45757</v>
      </c>
      <c r="K6776">
        <v>167670</v>
      </c>
      <c r="L6776" t="s">
        <v>6803</v>
      </c>
    </row>
    <row r="6777" spans="1:12" x14ac:dyDescent="0.35">
      <c r="A6777" t="s">
        <v>131</v>
      </c>
      <c r="B6777" s="1">
        <v>45726</v>
      </c>
      <c r="C6777" t="s">
        <v>5566</v>
      </c>
      <c r="D6777" t="s">
        <v>5566</v>
      </c>
      <c r="F6777" t="s">
        <v>8423</v>
      </c>
      <c r="H6777" t="s">
        <v>5508</v>
      </c>
      <c r="I6777" s="1">
        <v>45757</v>
      </c>
      <c r="K6777">
        <v>931500</v>
      </c>
      <c r="L6777" t="s">
        <v>5975</v>
      </c>
    </row>
    <row r="6778" spans="1:12" x14ac:dyDescent="0.35">
      <c r="A6778" t="s">
        <v>131</v>
      </c>
      <c r="B6778" s="1">
        <v>45726</v>
      </c>
      <c r="C6778" t="s">
        <v>5567</v>
      </c>
      <c r="D6778" t="s">
        <v>5567</v>
      </c>
      <c r="F6778" t="s">
        <v>7823</v>
      </c>
      <c r="G6778" t="s">
        <v>7877</v>
      </c>
      <c r="H6778" t="s">
        <v>5508</v>
      </c>
      <c r="I6778" s="1">
        <v>45757</v>
      </c>
      <c r="J6778">
        <v>5495850</v>
      </c>
      <c r="L6778" t="s">
        <v>6803</v>
      </c>
    </row>
    <row r="6779" spans="1:12" x14ac:dyDescent="0.35">
      <c r="A6779" t="s">
        <v>131</v>
      </c>
      <c r="B6779" s="1">
        <v>45726</v>
      </c>
      <c r="C6779" t="s">
        <v>5567</v>
      </c>
      <c r="D6779" t="s">
        <v>5567</v>
      </c>
      <c r="F6779" t="s">
        <v>8419</v>
      </c>
      <c r="H6779" t="s">
        <v>5508</v>
      </c>
      <c r="I6779" s="1">
        <v>45757</v>
      </c>
      <c r="K6779">
        <v>838350</v>
      </c>
      <c r="L6779" t="s">
        <v>6803</v>
      </c>
    </row>
    <row r="6780" spans="1:12" x14ac:dyDescent="0.35">
      <c r="A6780" t="s">
        <v>131</v>
      </c>
      <c r="B6780" s="1">
        <v>45726</v>
      </c>
      <c r="C6780" t="s">
        <v>5567</v>
      </c>
      <c r="D6780" t="s">
        <v>5567</v>
      </c>
      <c r="F6780" t="s">
        <v>8423</v>
      </c>
      <c r="H6780" t="s">
        <v>5508</v>
      </c>
      <c r="I6780" s="1">
        <v>45757</v>
      </c>
      <c r="K6780">
        <v>4657500</v>
      </c>
      <c r="L6780" t="s">
        <v>5975</v>
      </c>
    </row>
    <row r="6781" spans="1:12" x14ac:dyDescent="0.35">
      <c r="A6781" t="s">
        <v>131</v>
      </c>
      <c r="B6781" s="1">
        <v>45726</v>
      </c>
      <c r="C6781" t="s">
        <v>5568</v>
      </c>
      <c r="D6781" t="s">
        <v>5568</v>
      </c>
      <c r="F6781" t="s">
        <v>7823</v>
      </c>
      <c r="G6781" t="s">
        <v>7877</v>
      </c>
      <c r="H6781" t="s">
        <v>5508</v>
      </c>
      <c r="I6781" s="1">
        <v>45757</v>
      </c>
      <c r="J6781">
        <v>524864</v>
      </c>
      <c r="L6781" t="s">
        <v>6803</v>
      </c>
    </row>
    <row r="6782" spans="1:12" x14ac:dyDescent="0.35">
      <c r="A6782" t="s">
        <v>131</v>
      </c>
      <c r="B6782" s="1">
        <v>45726</v>
      </c>
      <c r="C6782" t="s">
        <v>5568</v>
      </c>
      <c r="D6782" t="s">
        <v>5568</v>
      </c>
      <c r="F6782" t="s">
        <v>8419</v>
      </c>
      <c r="H6782" t="s">
        <v>5508</v>
      </c>
      <c r="I6782" s="1">
        <v>45757</v>
      </c>
      <c r="K6782">
        <v>80064</v>
      </c>
      <c r="L6782" t="s">
        <v>6803</v>
      </c>
    </row>
    <row r="6783" spans="1:12" x14ac:dyDescent="0.35">
      <c r="A6783" t="s">
        <v>131</v>
      </c>
      <c r="B6783" s="1">
        <v>45726</v>
      </c>
      <c r="C6783" t="s">
        <v>5568</v>
      </c>
      <c r="D6783" t="s">
        <v>5568</v>
      </c>
      <c r="F6783" t="s">
        <v>8423</v>
      </c>
      <c r="H6783" t="s">
        <v>5508</v>
      </c>
      <c r="I6783" s="1">
        <v>45757</v>
      </c>
      <c r="K6783">
        <v>444800</v>
      </c>
      <c r="L6783" t="s">
        <v>5975</v>
      </c>
    </row>
    <row r="6784" spans="1:12" x14ac:dyDescent="0.35">
      <c r="A6784" t="s">
        <v>131</v>
      </c>
      <c r="B6784" s="1">
        <v>45726</v>
      </c>
      <c r="C6784" t="s">
        <v>5569</v>
      </c>
      <c r="D6784" t="s">
        <v>5569</v>
      </c>
      <c r="F6784" t="s">
        <v>7831</v>
      </c>
      <c r="G6784" t="s">
        <v>7515</v>
      </c>
      <c r="H6784" t="s">
        <v>5512</v>
      </c>
      <c r="I6784" s="1">
        <v>45757</v>
      </c>
      <c r="J6784">
        <v>375240</v>
      </c>
      <c r="L6784" t="s">
        <v>6803</v>
      </c>
    </row>
    <row r="6785" spans="1:12" x14ac:dyDescent="0.35">
      <c r="A6785" t="s">
        <v>131</v>
      </c>
      <c r="B6785" s="1">
        <v>45726</v>
      </c>
      <c r="C6785" t="s">
        <v>5569</v>
      </c>
      <c r="D6785" t="s">
        <v>5569</v>
      </c>
      <c r="F6785" t="s">
        <v>8419</v>
      </c>
      <c r="H6785" t="s">
        <v>5512</v>
      </c>
      <c r="I6785" s="1">
        <v>45757</v>
      </c>
      <c r="K6785">
        <v>48240</v>
      </c>
      <c r="L6785" t="s">
        <v>6803</v>
      </c>
    </row>
    <row r="6786" spans="1:12" x14ac:dyDescent="0.35">
      <c r="A6786" t="s">
        <v>131</v>
      </c>
      <c r="B6786" s="1">
        <v>45726</v>
      </c>
      <c r="C6786" t="s">
        <v>5569</v>
      </c>
      <c r="D6786" t="s">
        <v>5569</v>
      </c>
      <c r="F6786" t="s">
        <v>7701</v>
      </c>
      <c r="H6786" t="s">
        <v>5512</v>
      </c>
      <c r="I6786" s="1">
        <v>45757</v>
      </c>
      <c r="K6786">
        <v>59000</v>
      </c>
      <c r="L6786" t="s">
        <v>350</v>
      </c>
    </row>
    <row r="6787" spans="1:12" x14ac:dyDescent="0.35">
      <c r="A6787" t="s">
        <v>131</v>
      </c>
      <c r="B6787" s="1">
        <v>45726</v>
      </c>
      <c r="C6787" t="s">
        <v>5569</v>
      </c>
      <c r="D6787" t="s">
        <v>5569</v>
      </c>
      <c r="F6787" t="s">
        <v>8423</v>
      </c>
      <c r="H6787" t="s">
        <v>5512</v>
      </c>
      <c r="I6787" s="1">
        <v>45757</v>
      </c>
      <c r="K6787">
        <v>268000</v>
      </c>
      <c r="L6787" t="s">
        <v>5972</v>
      </c>
    </row>
    <row r="6788" spans="1:12" x14ac:dyDescent="0.35">
      <c r="A6788" t="s">
        <v>131</v>
      </c>
      <c r="B6788" s="1">
        <v>45726</v>
      </c>
      <c r="C6788" t="s">
        <v>5570</v>
      </c>
      <c r="D6788" t="s">
        <v>5570</v>
      </c>
      <c r="F6788" t="s">
        <v>7831</v>
      </c>
      <c r="G6788" t="s">
        <v>8393</v>
      </c>
      <c r="H6788" t="s">
        <v>5518</v>
      </c>
      <c r="I6788" s="1">
        <v>45757</v>
      </c>
      <c r="J6788">
        <v>236000</v>
      </c>
      <c r="L6788" t="s">
        <v>6803</v>
      </c>
    </row>
    <row r="6789" spans="1:12" x14ac:dyDescent="0.35">
      <c r="A6789" t="s">
        <v>131</v>
      </c>
      <c r="B6789" s="1">
        <v>45726</v>
      </c>
      <c r="C6789" t="s">
        <v>5570</v>
      </c>
      <c r="D6789" t="s">
        <v>5570</v>
      </c>
      <c r="F6789" t="s">
        <v>8419</v>
      </c>
      <c r="H6789" t="s">
        <v>5518</v>
      </c>
      <c r="I6789" s="1">
        <v>45757</v>
      </c>
      <c r="K6789">
        <v>27000</v>
      </c>
      <c r="L6789" t="s">
        <v>6803</v>
      </c>
    </row>
    <row r="6790" spans="1:12" x14ac:dyDescent="0.35">
      <c r="A6790" t="s">
        <v>131</v>
      </c>
      <c r="B6790" s="1">
        <v>45726</v>
      </c>
      <c r="C6790" t="s">
        <v>5570</v>
      </c>
      <c r="D6790" t="s">
        <v>5570</v>
      </c>
      <c r="F6790" t="s">
        <v>7701</v>
      </c>
      <c r="H6790" t="s">
        <v>5518</v>
      </c>
      <c r="I6790" s="1">
        <v>45757</v>
      </c>
      <c r="K6790">
        <v>59000</v>
      </c>
      <c r="L6790" t="s">
        <v>350</v>
      </c>
    </row>
    <row r="6791" spans="1:12" x14ac:dyDescent="0.35">
      <c r="A6791" t="s">
        <v>131</v>
      </c>
      <c r="B6791" s="1">
        <v>45726</v>
      </c>
      <c r="C6791" t="s">
        <v>5570</v>
      </c>
      <c r="D6791" t="s">
        <v>5570</v>
      </c>
      <c r="F6791" t="s">
        <v>8423</v>
      </c>
      <c r="H6791" t="s">
        <v>5518</v>
      </c>
      <c r="I6791" s="1">
        <v>45757</v>
      </c>
      <c r="K6791">
        <v>150000</v>
      </c>
      <c r="L6791" t="s">
        <v>5972</v>
      </c>
    </row>
    <row r="6792" spans="1:12" x14ac:dyDescent="0.35">
      <c r="A6792" t="s">
        <v>131</v>
      </c>
      <c r="B6792" s="1">
        <v>45726</v>
      </c>
      <c r="C6792" t="s">
        <v>5571</v>
      </c>
      <c r="D6792" t="s">
        <v>5571</v>
      </c>
      <c r="F6792" t="s">
        <v>7831</v>
      </c>
      <c r="G6792" t="s">
        <v>7521</v>
      </c>
      <c r="H6792" t="s">
        <v>5522</v>
      </c>
      <c r="I6792" s="1">
        <v>45757</v>
      </c>
      <c r="J6792">
        <v>146320</v>
      </c>
      <c r="L6792" t="s">
        <v>6803</v>
      </c>
    </row>
    <row r="6793" spans="1:12" x14ac:dyDescent="0.35">
      <c r="A6793" t="s">
        <v>131</v>
      </c>
      <c r="B6793" s="1">
        <v>45726</v>
      </c>
      <c r="C6793" t="s">
        <v>5571</v>
      </c>
      <c r="D6793" t="s">
        <v>5571</v>
      </c>
      <c r="F6793" t="s">
        <v>8419</v>
      </c>
      <c r="H6793" t="s">
        <v>5522</v>
      </c>
      <c r="I6793" s="1">
        <v>45757</v>
      </c>
      <c r="K6793">
        <v>17820</v>
      </c>
      <c r="L6793" t="s">
        <v>6803</v>
      </c>
    </row>
    <row r="6794" spans="1:12" x14ac:dyDescent="0.35">
      <c r="A6794" t="s">
        <v>131</v>
      </c>
      <c r="B6794" s="1">
        <v>45726</v>
      </c>
      <c r="C6794" t="s">
        <v>5571</v>
      </c>
      <c r="D6794" t="s">
        <v>5571</v>
      </c>
      <c r="F6794" t="s">
        <v>7701</v>
      </c>
      <c r="H6794" t="s">
        <v>5522</v>
      </c>
      <c r="I6794" s="1">
        <v>45757</v>
      </c>
      <c r="K6794">
        <v>29500</v>
      </c>
      <c r="L6794" t="s">
        <v>350</v>
      </c>
    </row>
    <row r="6795" spans="1:12" x14ac:dyDescent="0.35">
      <c r="A6795" t="s">
        <v>131</v>
      </c>
      <c r="B6795" s="1">
        <v>45726</v>
      </c>
      <c r="C6795" t="s">
        <v>5571</v>
      </c>
      <c r="D6795" t="s">
        <v>5571</v>
      </c>
      <c r="F6795" t="s">
        <v>8423</v>
      </c>
      <c r="H6795" t="s">
        <v>5522</v>
      </c>
      <c r="I6795" s="1">
        <v>45757</v>
      </c>
      <c r="K6795">
        <v>99000</v>
      </c>
      <c r="L6795" t="s">
        <v>5972</v>
      </c>
    </row>
    <row r="6796" spans="1:12" x14ac:dyDescent="0.35">
      <c r="A6796" t="s">
        <v>131</v>
      </c>
      <c r="B6796" s="1">
        <v>45726</v>
      </c>
      <c r="C6796" t="s">
        <v>5572</v>
      </c>
      <c r="D6796" t="s">
        <v>5572</v>
      </c>
      <c r="F6796" t="s">
        <v>7831</v>
      </c>
      <c r="G6796" t="s">
        <v>9902</v>
      </c>
      <c r="H6796" t="s">
        <v>5573</v>
      </c>
      <c r="I6796" s="1">
        <v>45757</v>
      </c>
      <c r="J6796">
        <v>1652000</v>
      </c>
      <c r="L6796" t="s">
        <v>6803</v>
      </c>
    </row>
    <row r="6797" spans="1:12" x14ac:dyDescent="0.35">
      <c r="A6797" t="s">
        <v>131</v>
      </c>
      <c r="B6797" s="1">
        <v>45726</v>
      </c>
      <c r="C6797" t="s">
        <v>5572</v>
      </c>
      <c r="D6797" t="s">
        <v>5572</v>
      </c>
      <c r="F6797" t="s">
        <v>8419</v>
      </c>
      <c r="H6797" t="s">
        <v>5573</v>
      </c>
      <c r="I6797" s="1">
        <v>45757</v>
      </c>
      <c r="K6797">
        <v>252000</v>
      </c>
      <c r="L6797" t="s">
        <v>6803</v>
      </c>
    </row>
    <row r="6798" spans="1:12" x14ac:dyDescent="0.35">
      <c r="A6798" t="s">
        <v>131</v>
      </c>
      <c r="B6798" s="1">
        <v>45726</v>
      </c>
      <c r="C6798" t="s">
        <v>5572</v>
      </c>
      <c r="D6798" t="s">
        <v>5572</v>
      </c>
      <c r="F6798" t="s">
        <v>8423</v>
      </c>
      <c r="H6798" t="s">
        <v>5573</v>
      </c>
      <c r="I6798" s="1">
        <v>45757</v>
      </c>
      <c r="K6798">
        <v>1400000</v>
      </c>
      <c r="L6798" t="s">
        <v>5974</v>
      </c>
    </row>
    <row r="6799" spans="1:12" x14ac:dyDescent="0.35">
      <c r="A6799" t="s">
        <v>131</v>
      </c>
      <c r="B6799" s="1">
        <v>45726</v>
      </c>
      <c r="C6799" t="s">
        <v>5574</v>
      </c>
      <c r="D6799" t="s">
        <v>5574</v>
      </c>
      <c r="F6799" t="s">
        <v>7831</v>
      </c>
      <c r="G6799" t="s">
        <v>9902</v>
      </c>
      <c r="H6799" t="s">
        <v>5573</v>
      </c>
      <c r="I6799" s="1">
        <v>45757</v>
      </c>
      <c r="J6799">
        <v>1416000</v>
      </c>
      <c r="L6799" t="s">
        <v>6803</v>
      </c>
    </row>
    <row r="6800" spans="1:12" x14ac:dyDescent="0.35">
      <c r="A6800" t="s">
        <v>131</v>
      </c>
      <c r="B6800" s="1">
        <v>45726</v>
      </c>
      <c r="C6800" t="s">
        <v>5574</v>
      </c>
      <c r="D6800" t="s">
        <v>5574</v>
      </c>
      <c r="F6800" t="s">
        <v>8419</v>
      </c>
      <c r="H6800" t="s">
        <v>5573</v>
      </c>
      <c r="I6800" s="1">
        <v>45757</v>
      </c>
      <c r="K6800">
        <v>216000</v>
      </c>
      <c r="L6800" t="s">
        <v>6803</v>
      </c>
    </row>
    <row r="6801" spans="1:12" x14ac:dyDescent="0.35">
      <c r="A6801" t="s">
        <v>131</v>
      </c>
      <c r="B6801" s="1">
        <v>45726</v>
      </c>
      <c r="C6801" t="s">
        <v>5574</v>
      </c>
      <c r="D6801" t="s">
        <v>5574</v>
      </c>
      <c r="F6801" t="s">
        <v>8423</v>
      </c>
      <c r="H6801" t="s">
        <v>5573</v>
      </c>
      <c r="I6801" s="1">
        <v>45757</v>
      </c>
      <c r="K6801">
        <v>1200000</v>
      </c>
      <c r="L6801" t="s">
        <v>5974</v>
      </c>
    </row>
    <row r="6802" spans="1:12" x14ac:dyDescent="0.35">
      <c r="A6802" t="s">
        <v>131</v>
      </c>
      <c r="B6802" s="1">
        <v>45726</v>
      </c>
      <c r="C6802" t="s">
        <v>5575</v>
      </c>
      <c r="D6802" t="s">
        <v>5575</v>
      </c>
      <c r="F6802" t="s">
        <v>7823</v>
      </c>
      <c r="G6802" t="s">
        <v>7845</v>
      </c>
      <c r="H6802" t="s">
        <v>5576</v>
      </c>
      <c r="I6802" s="1">
        <v>45726</v>
      </c>
      <c r="J6802">
        <v>590000</v>
      </c>
      <c r="L6802" t="s">
        <v>6803</v>
      </c>
    </row>
    <row r="6803" spans="1:12" x14ac:dyDescent="0.35">
      <c r="A6803" t="s">
        <v>131</v>
      </c>
      <c r="B6803" s="1">
        <v>45726</v>
      </c>
      <c r="C6803" t="s">
        <v>5575</v>
      </c>
      <c r="D6803" t="s">
        <v>5575</v>
      </c>
      <c r="F6803" t="s">
        <v>8419</v>
      </c>
      <c r="H6803" t="s">
        <v>5576</v>
      </c>
      <c r="I6803" s="1">
        <v>45726</v>
      </c>
      <c r="K6803">
        <v>90000</v>
      </c>
      <c r="L6803" t="s">
        <v>6803</v>
      </c>
    </row>
    <row r="6804" spans="1:12" x14ac:dyDescent="0.35">
      <c r="A6804" t="s">
        <v>131</v>
      </c>
      <c r="B6804" s="1">
        <v>45726</v>
      </c>
      <c r="C6804" t="s">
        <v>5575</v>
      </c>
      <c r="D6804" t="s">
        <v>5575</v>
      </c>
      <c r="F6804" t="s">
        <v>8426</v>
      </c>
      <c r="H6804" t="s">
        <v>5576</v>
      </c>
      <c r="I6804" s="1">
        <v>45726</v>
      </c>
      <c r="K6804">
        <v>500000</v>
      </c>
      <c r="L6804" t="s">
        <v>5976</v>
      </c>
    </row>
    <row r="6805" spans="1:12" x14ac:dyDescent="0.35">
      <c r="A6805" t="s">
        <v>131</v>
      </c>
      <c r="B6805" s="1">
        <v>45726</v>
      </c>
      <c r="C6805" t="s">
        <v>5577</v>
      </c>
      <c r="D6805" t="s">
        <v>5577</v>
      </c>
      <c r="F6805" t="s">
        <v>7823</v>
      </c>
      <c r="G6805" t="s">
        <v>9903</v>
      </c>
      <c r="H6805" t="s">
        <v>5578</v>
      </c>
      <c r="I6805" s="1">
        <v>45777</v>
      </c>
      <c r="J6805">
        <v>637200</v>
      </c>
      <c r="L6805" t="s">
        <v>6803</v>
      </c>
    </row>
    <row r="6806" spans="1:12" x14ac:dyDescent="0.35">
      <c r="A6806" t="s">
        <v>131</v>
      </c>
      <c r="B6806" s="1">
        <v>45726</v>
      </c>
      <c r="C6806" t="s">
        <v>5577</v>
      </c>
      <c r="D6806" t="s">
        <v>5577</v>
      </c>
      <c r="F6806" t="s">
        <v>8419</v>
      </c>
      <c r="H6806" t="s">
        <v>5578</v>
      </c>
      <c r="I6806" s="1">
        <v>45777</v>
      </c>
      <c r="K6806">
        <v>97200</v>
      </c>
      <c r="L6806" t="s">
        <v>6803</v>
      </c>
    </row>
    <row r="6807" spans="1:12" x14ac:dyDescent="0.35">
      <c r="A6807" t="s">
        <v>131</v>
      </c>
      <c r="B6807" s="1">
        <v>45726</v>
      </c>
      <c r="C6807" t="s">
        <v>5577</v>
      </c>
      <c r="D6807" t="s">
        <v>5577</v>
      </c>
      <c r="F6807" t="s">
        <v>8426</v>
      </c>
      <c r="H6807" t="s">
        <v>5578</v>
      </c>
      <c r="I6807" s="1">
        <v>45777</v>
      </c>
      <c r="K6807">
        <v>540000</v>
      </c>
      <c r="L6807" t="s">
        <v>5976</v>
      </c>
    </row>
    <row r="6808" spans="1:12" x14ac:dyDescent="0.35">
      <c r="A6808" t="s">
        <v>131</v>
      </c>
      <c r="B6808" s="1">
        <v>45726</v>
      </c>
      <c r="C6808" t="s">
        <v>5579</v>
      </c>
      <c r="D6808" t="s">
        <v>5579</v>
      </c>
      <c r="F6808" t="s">
        <v>7823</v>
      </c>
      <c r="G6808" t="s">
        <v>9903</v>
      </c>
      <c r="H6808" t="s">
        <v>5578</v>
      </c>
      <c r="I6808" s="1">
        <v>45777</v>
      </c>
      <c r="J6808">
        <v>932200</v>
      </c>
      <c r="L6808" t="s">
        <v>6803</v>
      </c>
    </row>
    <row r="6809" spans="1:12" x14ac:dyDescent="0.35">
      <c r="A6809" t="s">
        <v>131</v>
      </c>
      <c r="B6809" s="1">
        <v>45726</v>
      </c>
      <c r="C6809" t="s">
        <v>5579</v>
      </c>
      <c r="D6809" t="s">
        <v>5579</v>
      </c>
      <c r="F6809" t="s">
        <v>8419</v>
      </c>
      <c r="H6809" t="s">
        <v>5578</v>
      </c>
      <c r="I6809" s="1">
        <v>45777</v>
      </c>
      <c r="K6809">
        <v>142200</v>
      </c>
      <c r="L6809" t="s">
        <v>6803</v>
      </c>
    </row>
    <row r="6810" spans="1:12" x14ac:dyDescent="0.35">
      <c r="A6810" t="s">
        <v>131</v>
      </c>
      <c r="B6810" s="1">
        <v>45726</v>
      </c>
      <c r="C6810" t="s">
        <v>5579</v>
      </c>
      <c r="D6810" t="s">
        <v>5579</v>
      </c>
      <c r="F6810" t="s">
        <v>8426</v>
      </c>
      <c r="H6810" t="s">
        <v>5578</v>
      </c>
      <c r="I6810" s="1">
        <v>45777</v>
      </c>
      <c r="K6810">
        <v>790000</v>
      </c>
      <c r="L6810" t="s">
        <v>5976</v>
      </c>
    </row>
    <row r="6811" spans="1:12" x14ac:dyDescent="0.35">
      <c r="A6811" t="s">
        <v>131</v>
      </c>
      <c r="B6811" s="1">
        <v>45726</v>
      </c>
      <c r="C6811" t="s">
        <v>5580</v>
      </c>
      <c r="D6811" t="s">
        <v>5580</v>
      </c>
      <c r="F6811" t="s">
        <v>7831</v>
      </c>
      <c r="G6811" t="s">
        <v>8391</v>
      </c>
      <c r="H6811" t="s">
        <v>5581</v>
      </c>
      <c r="I6811" s="1">
        <v>45757</v>
      </c>
      <c r="J6811">
        <v>3185596</v>
      </c>
      <c r="L6811" t="s">
        <v>6803</v>
      </c>
    </row>
    <row r="6812" spans="1:12" x14ac:dyDescent="0.35">
      <c r="A6812" t="s">
        <v>131</v>
      </c>
      <c r="B6812" s="1">
        <v>45726</v>
      </c>
      <c r="C6812" t="s">
        <v>5580</v>
      </c>
      <c r="D6812" t="s">
        <v>5580</v>
      </c>
      <c r="F6812" t="s">
        <v>8419</v>
      </c>
      <c r="H6812" t="s">
        <v>5581</v>
      </c>
      <c r="I6812" s="1">
        <v>45757</v>
      </c>
      <c r="K6812">
        <v>485938</v>
      </c>
      <c r="L6812" t="s">
        <v>6803</v>
      </c>
    </row>
    <row r="6813" spans="1:12" x14ac:dyDescent="0.35">
      <c r="A6813" t="s">
        <v>131</v>
      </c>
      <c r="B6813" s="1">
        <v>45726</v>
      </c>
      <c r="C6813" t="s">
        <v>5580</v>
      </c>
      <c r="D6813" t="s">
        <v>5580</v>
      </c>
      <c r="F6813" t="s">
        <v>8423</v>
      </c>
      <c r="H6813" t="s">
        <v>5581</v>
      </c>
      <c r="I6813" s="1">
        <v>45757</v>
      </c>
      <c r="K6813">
        <v>2699658</v>
      </c>
      <c r="L6813" t="s">
        <v>5970</v>
      </c>
    </row>
    <row r="6814" spans="1:12" x14ac:dyDescent="0.35">
      <c r="A6814" t="s">
        <v>131</v>
      </c>
      <c r="B6814" s="1">
        <v>45726</v>
      </c>
      <c r="C6814" t="s">
        <v>5582</v>
      </c>
      <c r="D6814" t="s">
        <v>5582</v>
      </c>
      <c r="F6814" t="s">
        <v>7831</v>
      </c>
      <c r="G6814" t="s">
        <v>8391</v>
      </c>
      <c r="H6814" t="s">
        <v>5581</v>
      </c>
      <c r="I6814" s="1">
        <v>45757</v>
      </c>
      <c r="J6814">
        <v>49110760</v>
      </c>
      <c r="L6814" t="s">
        <v>6803</v>
      </c>
    </row>
    <row r="6815" spans="1:12" x14ac:dyDescent="0.35">
      <c r="A6815" t="s">
        <v>131</v>
      </c>
      <c r="B6815" s="1">
        <v>45726</v>
      </c>
      <c r="C6815" t="s">
        <v>5582</v>
      </c>
      <c r="D6815" t="s">
        <v>5582</v>
      </c>
      <c r="F6815" t="s">
        <v>8419</v>
      </c>
      <c r="H6815" t="s">
        <v>5581</v>
      </c>
      <c r="I6815" s="1">
        <v>45757</v>
      </c>
      <c r="K6815">
        <v>7491472</v>
      </c>
      <c r="L6815" t="s">
        <v>6803</v>
      </c>
    </row>
    <row r="6816" spans="1:12" x14ac:dyDescent="0.35">
      <c r="A6816" t="s">
        <v>131</v>
      </c>
      <c r="B6816" s="1">
        <v>45726</v>
      </c>
      <c r="C6816" t="s">
        <v>5582</v>
      </c>
      <c r="D6816" t="s">
        <v>5582</v>
      </c>
      <c r="F6816" t="s">
        <v>8423</v>
      </c>
      <c r="H6816" t="s">
        <v>5581</v>
      </c>
      <c r="I6816" s="1">
        <v>45757</v>
      </c>
      <c r="K6816">
        <v>41619288</v>
      </c>
      <c r="L6816" t="s">
        <v>5970</v>
      </c>
    </row>
    <row r="6817" spans="1:12" x14ac:dyDescent="0.35">
      <c r="A6817" t="s">
        <v>131</v>
      </c>
      <c r="B6817" s="1">
        <v>45726</v>
      </c>
      <c r="C6817" t="s">
        <v>5583</v>
      </c>
      <c r="D6817" t="s">
        <v>5583</v>
      </c>
      <c r="F6817" t="s">
        <v>7823</v>
      </c>
      <c r="G6817" t="s">
        <v>7877</v>
      </c>
      <c r="H6817" t="s">
        <v>5508</v>
      </c>
      <c r="I6817" s="1">
        <v>45757</v>
      </c>
      <c r="J6817">
        <v>1099170</v>
      </c>
      <c r="L6817" t="s">
        <v>6803</v>
      </c>
    </row>
    <row r="6818" spans="1:12" x14ac:dyDescent="0.35">
      <c r="A6818" t="s">
        <v>131</v>
      </c>
      <c r="B6818" s="1">
        <v>45726</v>
      </c>
      <c r="C6818" t="s">
        <v>5583</v>
      </c>
      <c r="D6818" t="s">
        <v>5583</v>
      </c>
      <c r="F6818" t="s">
        <v>8419</v>
      </c>
      <c r="H6818" t="s">
        <v>5508</v>
      </c>
      <c r="I6818" s="1">
        <v>45757</v>
      </c>
      <c r="K6818">
        <v>167670</v>
      </c>
      <c r="L6818" t="s">
        <v>6803</v>
      </c>
    </row>
    <row r="6819" spans="1:12" x14ac:dyDescent="0.35">
      <c r="A6819" t="s">
        <v>131</v>
      </c>
      <c r="B6819" s="1">
        <v>45726</v>
      </c>
      <c r="C6819" t="s">
        <v>5583</v>
      </c>
      <c r="D6819" t="s">
        <v>5583</v>
      </c>
      <c r="F6819" t="s">
        <v>8423</v>
      </c>
      <c r="H6819" t="s">
        <v>5508</v>
      </c>
      <c r="I6819" s="1">
        <v>45757</v>
      </c>
      <c r="K6819">
        <v>931500</v>
      </c>
      <c r="L6819" t="s">
        <v>5977</v>
      </c>
    </row>
    <row r="6820" spans="1:12" x14ac:dyDescent="0.35">
      <c r="A6820" t="s">
        <v>131</v>
      </c>
      <c r="B6820" s="1">
        <v>45726</v>
      </c>
      <c r="C6820" t="s">
        <v>5584</v>
      </c>
      <c r="D6820" t="s">
        <v>5584</v>
      </c>
      <c r="F6820" t="s">
        <v>7823</v>
      </c>
      <c r="G6820" t="s">
        <v>7835</v>
      </c>
      <c r="H6820" t="s">
        <v>5585</v>
      </c>
      <c r="I6820" s="1">
        <v>45741</v>
      </c>
      <c r="J6820">
        <v>236000</v>
      </c>
      <c r="L6820" t="s">
        <v>6803</v>
      </c>
    </row>
    <row r="6821" spans="1:12" x14ac:dyDescent="0.35">
      <c r="A6821" t="s">
        <v>131</v>
      </c>
      <c r="B6821" s="1">
        <v>45726</v>
      </c>
      <c r="C6821" t="s">
        <v>5584</v>
      </c>
      <c r="D6821" t="s">
        <v>5584</v>
      </c>
      <c r="F6821" t="s">
        <v>8419</v>
      </c>
      <c r="H6821" t="s">
        <v>5585</v>
      </c>
      <c r="I6821" s="1">
        <v>45741</v>
      </c>
      <c r="K6821">
        <v>36000</v>
      </c>
      <c r="L6821" t="s">
        <v>6803</v>
      </c>
    </row>
    <row r="6822" spans="1:12" x14ac:dyDescent="0.35">
      <c r="A6822" t="s">
        <v>131</v>
      </c>
      <c r="B6822" s="1">
        <v>45726</v>
      </c>
      <c r="C6822" t="s">
        <v>5584</v>
      </c>
      <c r="D6822" t="s">
        <v>5584</v>
      </c>
      <c r="F6822" t="s">
        <v>8423</v>
      </c>
      <c r="H6822" t="s">
        <v>5585</v>
      </c>
      <c r="I6822" s="1">
        <v>45741</v>
      </c>
      <c r="K6822">
        <v>200000</v>
      </c>
      <c r="L6822" t="s">
        <v>5971</v>
      </c>
    </row>
    <row r="6823" spans="1:12" x14ac:dyDescent="0.35">
      <c r="A6823" t="s">
        <v>131</v>
      </c>
      <c r="B6823" s="1">
        <v>45727</v>
      </c>
      <c r="C6823" t="s">
        <v>5586</v>
      </c>
      <c r="D6823" t="s">
        <v>5586</v>
      </c>
      <c r="F6823" t="s">
        <v>7831</v>
      </c>
      <c r="G6823" t="s">
        <v>9904</v>
      </c>
      <c r="H6823" t="s">
        <v>5587</v>
      </c>
      <c r="I6823" s="1">
        <v>45727</v>
      </c>
      <c r="K6823">
        <v>2360000</v>
      </c>
      <c r="L6823" t="s">
        <v>6803</v>
      </c>
    </row>
    <row r="6824" spans="1:12" x14ac:dyDescent="0.35">
      <c r="A6824" t="s">
        <v>131</v>
      </c>
      <c r="B6824" s="1">
        <v>45727</v>
      </c>
      <c r="C6824" t="s">
        <v>5586</v>
      </c>
      <c r="D6824" t="s">
        <v>5586</v>
      </c>
      <c r="F6824" t="s">
        <v>8419</v>
      </c>
      <c r="H6824" t="s">
        <v>5587</v>
      </c>
      <c r="I6824" s="1">
        <v>45727</v>
      </c>
      <c r="J6824">
        <v>360000</v>
      </c>
      <c r="L6824" t="s">
        <v>6803</v>
      </c>
    </row>
    <row r="6825" spans="1:12" x14ac:dyDescent="0.35">
      <c r="A6825" t="s">
        <v>131</v>
      </c>
      <c r="B6825" s="1">
        <v>45727</v>
      </c>
      <c r="C6825" t="s">
        <v>5586</v>
      </c>
      <c r="D6825" t="s">
        <v>5586</v>
      </c>
      <c r="F6825" t="s">
        <v>8425</v>
      </c>
      <c r="H6825" t="s">
        <v>5587</v>
      </c>
      <c r="I6825" s="1">
        <v>45727</v>
      </c>
      <c r="J6825">
        <v>2000000</v>
      </c>
      <c r="L6825" t="s">
        <v>5978</v>
      </c>
    </row>
    <row r="6826" spans="1:12" x14ac:dyDescent="0.35">
      <c r="A6826" t="s">
        <v>131</v>
      </c>
      <c r="B6826" s="1">
        <v>45727</v>
      </c>
      <c r="C6826" t="s">
        <v>5588</v>
      </c>
      <c r="D6826" t="s">
        <v>5588</v>
      </c>
      <c r="F6826" t="s">
        <v>7831</v>
      </c>
      <c r="G6826" t="s">
        <v>9905</v>
      </c>
      <c r="H6826" t="s">
        <v>5589</v>
      </c>
      <c r="I6826" s="1">
        <v>45727</v>
      </c>
      <c r="J6826">
        <v>1239000</v>
      </c>
      <c r="L6826" t="s">
        <v>6803</v>
      </c>
    </row>
    <row r="6827" spans="1:12" x14ac:dyDescent="0.35">
      <c r="A6827" t="s">
        <v>131</v>
      </c>
      <c r="B6827" s="1">
        <v>45727</v>
      </c>
      <c r="C6827" t="s">
        <v>5588</v>
      </c>
      <c r="D6827" t="s">
        <v>5588</v>
      </c>
      <c r="F6827" t="s">
        <v>8419</v>
      </c>
      <c r="H6827" t="s">
        <v>5589</v>
      </c>
      <c r="I6827" s="1">
        <v>45727</v>
      </c>
      <c r="K6827">
        <v>189000</v>
      </c>
      <c r="L6827" t="s">
        <v>6803</v>
      </c>
    </row>
    <row r="6828" spans="1:12" x14ac:dyDescent="0.35">
      <c r="A6828" t="s">
        <v>131</v>
      </c>
      <c r="B6828" s="1">
        <v>45727</v>
      </c>
      <c r="C6828" t="s">
        <v>5588</v>
      </c>
      <c r="D6828" t="s">
        <v>5588</v>
      </c>
      <c r="F6828" t="s">
        <v>8423</v>
      </c>
      <c r="H6828" t="s">
        <v>5589</v>
      </c>
      <c r="I6828" s="1">
        <v>45727</v>
      </c>
      <c r="K6828">
        <v>1050000</v>
      </c>
      <c r="L6828" t="s">
        <v>5972</v>
      </c>
    </row>
    <row r="6829" spans="1:12" x14ac:dyDescent="0.35">
      <c r="A6829" t="s">
        <v>131</v>
      </c>
      <c r="B6829" s="1">
        <v>45727</v>
      </c>
      <c r="C6829" t="s">
        <v>5590</v>
      </c>
      <c r="D6829" t="s">
        <v>5590</v>
      </c>
      <c r="F6829" t="s">
        <v>7831</v>
      </c>
      <c r="G6829" t="s">
        <v>7521</v>
      </c>
      <c r="H6829" t="s">
        <v>180</v>
      </c>
      <c r="I6829" s="1">
        <v>45777</v>
      </c>
      <c r="J6829">
        <v>116820</v>
      </c>
      <c r="L6829" t="s">
        <v>6803</v>
      </c>
    </row>
    <row r="6830" spans="1:12" x14ac:dyDescent="0.35">
      <c r="A6830" t="s">
        <v>131</v>
      </c>
      <c r="B6830" s="1">
        <v>45727</v>
      </c>
      <c r="C6830" t="s">
        <v>5590</v>
      </c>
      <c r="D6830" t="s">
        <v>5590</v>
      </c>
      <c r="F6830" t="s">
        <v>8419</v>
      </c>
      <c r="H6830" t="s">
        <v>180</v>
      </c>
      <c r="I6830" s="1">
        <v>45777</v>
      </c>
      <c r="K6830">
        <v>17820</v>
      </c>
      <c r="L6830" t="s">
        <v>6803</v>
      </c>
    </row>
    <row r="6831" spans="1:12" x14ac:dyDescent="0.35">
      <c r="A6831" t="s">
        <v>131</v>
      </c>
      <c r="B6831" s="1">
        <v>45727</v>
      </c>
      <c r="C6831" t="s">
        <v>5590</v>
      </c>
      <c r="D6831" t="s">
        <v>5590</v>
      </c>
      <c r="F6831" t="s">
        <v>8423</v>
      </c>
      <c r="H6831" t="s">
        <v>180</v>
      </c>
      <c r="I6831" s="1">
        <v>45777</v>
      </c>
      <c r="K6831">
        <v>99000</v>
      </c>
      <c r="L6831" t="s">
        <v>5972</v>
      </c>
    </row>
    <row r="6832" spans="1:12" x14ac:dyDescent="0.35">
      <c r="A6832" t="s">
        <v>131</v>
      </c>
      <c r="B6832" s="1">
        <v>45727</v>
      </c>
      <c r="C6832" t="s">
        <v>5591</v>
      </c>
      <c r="D6832" t="s">
        <v>5591</v>
      </c>
      <c r="F6832" t="s">
        <v>7823</v>
      </c>
      <c r="G6832" t="s">
        <v>7877</v>
      </c>
      <c r="H6832" t="s">
        <v>5508</v>
      </c>
      <c r="I6832" s="1">
        <v>45758</v>
      </c>
      <c r="J6832">
        <v>304485</v>
      </c>
      <c r="L6832" t="s">
        <v>6803</v>
      </c>
    </row>
    <row r="6833" spans="1:12" x14ac:dyDescent="0.35">
      <c r="A6833" t="s">
        <v>131</v>
      </c>
      <c r="B6833" s="1">
        <v>45727</v>
      </c>
      <c r="C6833" t="s">
        <v>5591</v>
      </c>
      <c r="D6833" t="s">
        <v>5591</v>
      </c>
      <c r="F6833" t="s">
        <v>8419</v>
      </c>
      <c r="H6833" t="s">
        <v>5508</v>
      </c>
      <c r="I6833" s="1">
        <v>45758</v>
      </c>
      <c r="K6833">
        <v>46447</v>
      </c>
      <c r="L6833" t="s">
        <v>6803</v>
      </c>
    </row>
    <row r="6834" spans="1:12" x14ac:dyDescent="0.35">
      <c r="A6834" t="s">
        <v>131</v>
      </c>
      <c r="B6834" s="1">
        <v>45727</v>
      </c>
      <c r="C6834" t="s">
        <v>5591</v>
      </c>
      <c r="D6834" t="s">
        <v>5591</v>
      </c>
      <c r="F6834" t="s">
        <v>8423</v>
      </c>
      <c r="H6834" t="s">
        <v>5508</v>
      </c>
      <c r="I6834" s="1">
        <v>45758</v>
      </c>
      <c r="K6834">
        <v>258038</v>
      </c>
      <c r="L6834" t="s">
        <v>5977</v>
      </c>
    </row>
    <row r="6835" spans="1:12" x14ac:dyDescent="0.35">
      <c r="A6835" t="s">
        <v>131</v>
      </c>
      <c r="B6835" s="1">
        <v>45727</v>
      </c>
      <c r="C6835" t="s">
        <v>5592</v>
      </c>
      <c r="D6835" t="s">
        <v>5592</v>
      </c>
      <c r="F6835" t="s">
        <v>7823</v>
      </c>
      <c r="G6835" t="s">
        <v>7877</v>
      </c>
      <c r="H6835" t="s">
        <v>5508</v>
      </c>
      <c r="I6835" s="1">
        <v>45758</v>
      </c>
      <c r="J6835">
        <v>304485</v>
      </c>
      <c r="L6835" t="s">
        <v>6803</v>
      </c>
    </row>
    <row r="6836" spans="1:12" x14ac:dyDescent="0.35">
      <c r="A6836" t="s">
        <v>131</v>
      </c>
      <c r="B6836" s="1">
        <v>45727</v>
      </c>
      <c r="C6836" t="s">
        <v>5592</v>
      </c>
      <c r="D6836" t="s">
        <v>5592</v>
      </c>
      <c r="F6836" t="s">
        <v>8419</v>
      </c>
      <c r="H6836" t="s">
        <v>5508</v>
      </c>
      <c r="I6836" s="1">
        <v>45758</v>
      </c>
      <c r="K6836">
        <v>46447</v>
      </c>
      <c r="L6836" t="s">
        <v>6803</v>
      </c>
    </row>
    <row r="6837" spans="1:12" x14ac:dyDescent="0.35">
      <c r="A6837" t="s">
        <v>131</v>
      </c>
      <c r="B6837" s="1">
        <v>45727</v>
      </c>
      <c r="C6837" t="s">
        <v>5592</v>
      </c>
      <c r="D6837" t="s">
        <v>5592</v>
      </c>
      <c r="F6837" t="s">
        <v>8423</v>
      </c>
      <c r="H6837" t="s">
        <v>5508</v>
      </c>
      <c r="I6837" s="1">
        <v>45758</v>
      </c>
      <c r="K6837">
        <v>258038</v>
      </c>
      <c r="L6837" t="s">
        <v>5977</v>
      </c>
    </row>
    <row r="6838" spans="1:12" x14ac:dyDescent="0.35">
      <c r="A6838" t="s">
        <v>131</v>
      </c>
      <c r="B6838" s="1">
        <v>45727</v>
      </c>
      <c r="C6838" t="s">
        <v>5593</v>
      </c>
      <c r="D6838" t="s">
        <v>5593</v>
      </c>
      <c r="F6838" t="s">
        <v>7823</v>
      </c>
      <c r="G6838" t="s">
        <v>7877</v>
      </c>
      <c r="H6838" t="s">
        <v>5508</v>
      </c>
      <c r="I6838" s="1">
        <v>45758</v>
      </c>
      <c r="J6838">
        <v>304485</v>
      </c>
      <c r="L6838" t="s">
        <v>6803</v>
      </c>
    </row>
    <row r="6839" spans="1:12" x14ac:dyDescent="0.35">
      <c r="A6839" t="s">
        <v>131</v>
      </c>
      <c r="B6839" s="1">
        <v>45727</v>
      </c>
      <c r="C6839" t="s">
        <v>5593</v>
      </c>
      <c r="D6839" t="s">
        <v>5593</v>
      </c>
      <c r="F6839" t="s">
        <v>8419</v>
      </c>
      <c r="H6839" t="s">
        <v>5508</v>
      </c>
      <c r="I6839" s="1">
        <v>45758</v>
      </c>
      <c r="K6839">
        <v>46447</v>
      </c>
      <c r="L6839" t="s">
        <v>6803</v>
      </c>
    </row>
    <row r="6840" spans="1:12" x14ac:dyDescent="0.35">
      <c r="A6840" t="s">
        <v>131</v>
      </c>
      <c r="B6840" s="1">
        <v>45727</v>
      </c>
      <c r="C6840" t="s">
        <v>5593</v>
      </c>
      <c r="D6840" t="s">
        <v>5593</v>
      </c>
      <c r="F6840" t="s">
        <v>8423</v>
      </c>
      <c r="H6840" t="s">
        <v>5508</v>
      </c>
      <c r="I6840" s="1">
        <v>45758</v>
      </c>
      <c r="K6840">
        <v>258038</v>
      </c>
      <c r="L6840" t="s">
        <v>5977</v>
      </c>
    </row>
    <row r="6841" spans="1:12" x14ac:dyDescent="0.35">
      <c r="A6841" t="s">
        <v>131</v>
      </c>
      <c r="B6841" s="1">
        <v>45727</v>
      </c>
      <c r="C6841" t="s">
        <v>5594</v>
      </c>
      <c r="D6841" t="s">
        <v>5594</v>
      </c>
      <c r="F6841" t="s">
        <v>7823</v>
      </c>
      <c r="G6841" t="s">
        <v>7877</v>
      </c>
      <c r="H6841" t="s">
        <v>5508</v>
      </c>
      <c r="I6841" s="1">
        <v>45758</v>
      </c>
      <c r="J6841">
        <v>1099170</v>
      </c>
      <c r="L6841" t="s">
        <v>6803</v>
      </c>
    </row>
    <row r="6842" spans="1:12" x14ac:dyDescent="0.35">
      <c r="A6842" t="s">
        <v>131</v>
      </c>
      <c r="B6842" s="1">
        <v>45727</v>
      </c>
      <c r="C6842" t="s">
        <v>5594</v>
      </c>
      <c r="D6842" t="s">
        <v>5594</v>
      </c>
      <c r="F6842" t="s">
        <v>8419</v>
      </c>
      <c r="H6842" t="s">
        <v>5508</v>
      </c>
      <c r="I6842" s="1">
        <v>45758</v>
      </c>
      <c r="K6842">
        <v>167670</v>
      </c>
      <c r="L6842" t="s">
        <v>6803</v>
      </c>
    </row>
    <row r="6843" spans="1:12" x14ac:dyDescent="0.35">
      <c r="A6843" t="s">
        <v>131</v>
      </c>
      <c r="B6843" s="1">
        <v>45727</v>
      </c>
      <c r="C6843" t="s">
        <v>5594</v>
      </c>
      <c r="D6843" t="s">
        <v>5594</v>
      </c>
      <c r="F6843" t="s">
        <v>8423</v>
      </c>
      <c r="H6843" t="s">
        <v>5508</v>
      </c>
      <c r="I6843" s="1">
        <v>45758</v>
      </c>
      <c r="K6843">
        <v>931500</v>
      </c>
      <c r="L6843" t="s">
        <v>5977</v>
      </c>
    </row>
    <row r="6844" spans="1:12" x14ac:dyDescent="0.35">
      <c r="A6844" t="s">
        <v>131</v>
      </c>
      <c r="B6844" s="1">
        <v>45727</v>
      </c>
      <c r="C6844" t="s">
        <v>5595</v>
      </c>
      <c r="D6844" t="s">
        <v>5595</v>
      </c>
      <c r="F6844" t="s">
        <v>7823</v>
      </c>
      <c r="G6844" t="s">
        <v>7877</v>
      </c>
      <c r="H6844" t="s">
        <v>5508</v>
      </c>
      <c r="I6844" s="1">
        <v>45758</v>
      </c>
      <c r="J6844">
        <v>1099170</v>
      </c>
      <c r="L6844" t="s">
        <v>6803</v>
      </c>
    </row>
    <row r="6845" spans="1:12" x14ac:dyDescent="0.35">
      <c r="A6845" t="s">
        <v>131</v>
      </c>
      <c r="B6845" s="1">
        <v>45727</v>
      </c>
      <c r="C6845" t="s">
        <v>5595</v>
      </c>
      <c r="D6845" t="s">
        <v>5595</v>
      </c>
      <c r="F6845" t="s">
        <v>8419</v>
      </c>
      <c r="H6845" t="s">
        <v>5508</v>
      </c>
      <c r="I6845" s="1">
        <v>45758</v>
      </c>
      <c r="K6845">
        <v>167670</v>
      </c>
      <c r="L6845" t="s">
        <v>6803</v>
      </c>
    </row>
    <row r="6846" spans="1:12" x14ac:dyDescent="0.35">
      <c r="A6846" t="s">
        <v>131</v>
      </c>
      <c r="B6846" s="1">
        <v>45727</v>
      </c>
      <c r="C6846" t="s">
        <v>5595</v>
      </c>
      <c r="D6846" t="s">
        <v>5595</v>
      </c>
      <c r="F6846" t="s">
        <v>8423</v>
      </c>
      <c r="H6846" t="s">
        <v>5508</v>
      </c>
      <c r="I6846" s="1">
        <v>45758</v>
      </c>
      <c r="K6846">
        <v>931500</v>
      </c>
      <c r="L6846" t="s">
        <v>5977</v>
      </c>
    </row>
    <row r="6847" spans="1:12" x14ac:dyDescent="0.35">
      <c r="A6847" t="s">
        <v>131</v>
      </c>
      <c r="B6847" s="1">
        <v>45727</v>
      </c>
      <c r="C6847" t="s">
        <v>5596</v>
      </c>
      <c r="D6847" t="s">
        <v>5596</v>
      </c>
      <c r="F6847" t="s">
        <v>7823</v>
      </c>
      <c r="G6847" t="s">
        <v>7877</v>
      </c>
      <c r="H6847" t="s">
        <v>5508</v>
      </c>
      <c r="I6847" s="1">
        <v>45758</v>
      </c>
      <c r="J6847">
        <v>1099170</v>
      </c>
      <c r="L6847" t="s">
        <v>6803</v>
      </c>
    </row>
    <row r="6848" spans="1:12" x14ac:dyDescent="0.35">
      <c r="A6848" t="s">
        <v>131</v>
      </c>
      <c r="B6848" s="1">
        <v>45727</v>
      </c>
      <c r="C6848" t="s">
        <v>5596</v>
      </c>
      <c r="D6848" t="s">
        <v>5596</v>
      </c>
      <c r="F6848" t="s">
        <v>8419</v>
      </c>
      <c r="H6848" t="s">
        <v>5508</v>
      </c>
      <c r="I6848" s="1">
        <v>45758</v>
      </c>
      <c r="K6848">
        <v>167670</v>
      </c>
      <c r="L6848" t="s">
        <v>6803</v>
      </c>
    </row>
    <row r="6849" spans="1:12" x14ac:dyDescent="0.35">
      <c r="A6849" t="s">
        <v>131</v>
      </c>
      <c r="B6849" s="1">
        <v>45727</v>
      </c>
      <c r="C6849" t="s">
        <v>5596</v>
      </c>
      <c r="D6849" t="s">
        <v>5596</v>
      </c>
      <c r="F6849" t="s">
        <v>8423</v>
      </c>
      <c r="H6849" t="s">
        <v>5508</v>
      </c>
      <c r="I6849" s="1">
        <v>45758</v>
      </c>
      <c r="K6849">
        <v>931500</v>
      </c>
      <c r="L6849" t="s">
        <v>5977</v>
      </c>
    </row>
    <row r="6850" spans="1:12" x14ac:dyDescent="0.35">
      <c r="A6850" t="s">
        <v>131</v>
      </c>
      <c r="B6850" s="1">
        <v>45727</v>
      </c>
      <c r="C6850" t="s">
        <v>5597</v>
      </c>
      <c r="D6850" t="s">
        <v>5597</v>
      </c>
      <c r="F6850" t="s">
        <v>7823</v>
      </c>
      <c r="G6850" t="s">
        <v>7877</v>
      </c>
      <c r="H6850" t="s">
        <v>5508</v>
      </c>
      <c r="I6850" s="1">
        <v>45758</v>
      </c>
      <c r="J6850">
        <v>1099170</v>
      </c>
      <c r="L6850" t="s">
        <v>6803</v>
      </c>
    </row>
    <row r="6851" spans="1:12" x14ac:dyDescent="0.35">
      <c r="A6851" t="s">
        <v>131</v>
      </c>
      <c r="B6851" s="1">
        <v>45727</v>
      </c>
      <c r="C6851" t="s">
        <v>5597</v>
      </c>
      <c r="D6851" t="s">
        <v>5597</v>
      </c>
      <c r="F6851" t="s">
        <v>8419</v>
      </c>
      <c r="H6851" t="s">
        <v>5508</v>
      </c>
      <c r="I6851" s="1">
        <v>45758</v>
      </c>
      <c r="K6851">
        <v>167670</v>
      </c>
      <c r="L6851" t="s">
        <v>6803</v>
      </c>
    </row>
    <row r="6852" spans="1:12" x14ac:dyDescent="0.35">
      <c r="A6852" t="s">
        <v>131</v>
      </c>
      <c r="B6852" s="1">
        <v>45727</v>
      </c>
      <c r="C6852" t="s">
        <v>5597</v>
      </c>
      <c r="D6852" t="s">
        <v>5597</v>
      </c>
      <c r="F6852" t="s">
        <v>8423</v>
      </c>
      <c r="H6852" t="s">
        <v>5508</v>
      </c>
      <c r="I6852" s="1">
        <v>45758</v>
      </c>
      <c r="K6852">
        <v>931500</v>
      </c>
      <c r="L6852" t="s">
        <v>5977</v>
      </c>
    </row>
    <row r="6853" spans="1:12" x14ac:dyDescent="0.35">
      <c r="A6853" t="s">
        <v>131</v>
      </c>
      <c r="B6853" s="1">
        <v>45728</v>
      </c>
      <c r="C6853" t="s">
        <v>5598</v>
      </c>
      <c r="D6853" t="s">
        <v>5598</v>
      </c>
      <c r="F6853" t="s">
        <v>7831</v>
      </c>
      <c r="G6853" t="s">
        <v>7515</v>
      </c>
      <c r="H6853" t="s">
        <v>139</v>
      </c>
      <c r="I6853" s="1">
        <v>45728</v>
      </c>
      <c r="J6853">
        <v>472000</v>
      </c>
      <c r="L6853" t="s">
        <v>6803</v>
      </c>
    </row>
    <row r="6854" spans="1:12" x14ac:dyDescent="0.35">
      <c r="A6854" t="s">
        <v>131</v>
      </c>
      <c r="B6854" s="1">
        <v>45728</v>
      </c>
      <c r="C6854" t="s">
        <v>5598</v>
      </c>
      <c r="D6854" t="s">
        <v>5598</v>
      </c>
      <c r="F6854" t="s">
        <v>8419</v>
      </c>
      <c r="H6854" t="s">
        <v>139</v>
      </c>
      <c r="I6854" s="1">
        <v>45728</v>
      </c>
      <c r="K6854">
        <v>72000</v>
      </c>
      <c r="L6854" t="s">
        <v>6803</v>
      </c>
    </row>
    <row r="6855" spans="1:12" x14ac:dyDescent="0.35">
      <c r="A6855" t="s">
        <v>131</v>
      </c>
      <c r="B6855" s="1">
        <v>45728</v>
      </c>
      <c r="C6855" t="s">
        <v>5598</v>
      </c>
      <c r="D6855" t="s">
        <v>5598</v>
      </c>
      <c r="F6855" t="s">
        <v>8423</v>
      </c>
      <c r="H6855" t="s">
        <v>139</v>
      </c>
      <c r="I6855" s="1">
        <v>45728</v>
      </c>
      <c r="K6855">
        <v>400000</v>
      </c>
      <c r="L6855" t="s">
        <v>5972</v>
      </c>
    </row>
    <row r="6856" spans="1:12" x14ac:dyDescent="0.35">
      <c r="A6856" t="s">
        <v>131</v>
      </c>
      <c r="B6856" s="1">
        <v>45728</v>
      </c>
      <c r="C6856" t="s">
        <v>5599</v>
      </c>
      <c r="D6856" t="s">
        <v>5599</v>
      </c>
      <c r="F6856" t="s">
        <v>7831</v>
      </c>
      <c r="G6856" t="s">
        <v>7515</v>
      </c>
      <c r="H6856" t="s">
        <v>139</v>
      </c>
      <c r="I6856" s="1">
        <v>45728</v>
      </c>
      <c r="J6856">
        <v>472000</v>
      </c>
      <c r="L6856" t="s">
        <v>6803</v>
      </c>
    </row>
    <row r="6857" spans="1:12" x14ac:dyDescent="0.35">
      <c r="A6857" t="s">
        <v>131</v>
      </c>
      <c r="B6857" s="1">
        <v>45728</v>
      </c>
      <c r="C6857" t="s">
        <v>5599</v>
      </c>
      <c r="D6857" t="s">
        <v>5599</v>
      </c>
      <c r="F6857" t="s">
        <v>8419</v>
      </c>
      <c r="H6857" t="s">
        <v>139</v>
      </c>
      <c r="I6857" s="1">
        <v>45728</v>
      </c>
      <c r="K6857">
        <v>72000</v>
      </c>
      <c r="L6857" t="s">
        <v>6803</v>
      </c>
    </row>
    <row r="6858" spans="1:12" x14ac:dyDescent="0.35">
      <c r="A6858" t="s">
        <v>131</v>
      </c>
      <c r="B6858" s="1">
        <v>45728</v>
      </c>
      <c r="C6858" t="s">
        <v>5599</v>
      </c>
      <c r="D6858" t="s">
        <v>5599</v>
      </c>
      <c r="F6858" t="s">
        <v>8423</v>
      </c>
      <c r="H6858" t="s">
        <v>139</v>
      </c>
      <c r="I6858" s="1">
        <v>45728</v>
      </c>
      <c r="K6858">
        <v>400000</v>
      </c>
      <c r="L6858" t="s">
        <v>5972</v>
      </c>
    </row>
    <row r="6859" spans="1:12" x14ac:dyDescent="0.35">
      <c r="A6859" t="s">
        <v>131</v>
      </c>
      <c r="B6859" s="1">
        <v>45728</v>
      </c>
      <c r="C6859" t="s">
        <v>5600</v>
      </c>
      <c r="D6859" t="s">
        <v>5600</v>
      </c>
      <c r="F6859" t="s">
        <v>7831</v>
      </c>
      <c r="G6859" t="s">
        <v>7515</v>
      </c>
      <c r="H6859" t="s">
        <v>5512</v>
      </c>
      <c r="I6859" s="1">
        <v>45759</v>
      </c>
      <c r="J6859">
        <v>266680</v>
      </c>
      <c r="L6859" t="s">
        <v>6803</v>
      </c>
    </row>
    <row r="6860" spans="1:12" x14ac:dyDescent="0.35">
      <c r="A6860" t="s">
        <v>131</v>
      </c>
      <c r="B6860" s="1">
        <v>45728</v>
      </c>
      <c r="C6860" t="s">
        <v>5600</v>
      </c>
      <c r="D6860" t="s">
        <v>5600</v>
      </c>
      <c r="F6860" t="s">
        <v>8419</v>
      </c>
      <c r="H6860" t="s">
        <v>5512</v>
      </c>
      <c r="I6860" s="1">
        <v>45759</v>
      </c>
      <c r="K6860">
        <v>36180</v>
      </c>
      <c r="L6860" t="s">
        <v>6803</v>
      </c>
    </row>
    <row r="6861" spans="1:12" x14ac:dyDescent="0.35">
      <c r="A6861" t="s">
        <v>131</v>
      </c>
      <c r="B6861" s="1">
        <v>45728</v>
      </c>
      <c r="C6861" t="s">
        <v>5600</v>
      </c>
      <c r="D6861" t="s">
        <v>5600</v>
      </c>
      <c r="F6861" t="s">
        <v>7701</v>
      </c>
      <c r="H6861" t="s">
        <v>5512</v>
      </c>
      <c r="I6861" s="1">
        <v>45759</v>
      </c>
      <c r="K6861">
        <v>29500</v>
      </c>
      <c r="L6861" t="s">
        <v>350</v>
      </c>
    </row>
    <row r="6862" spans="1:12" x14ac:dyDescent="0.35">
      <c r="A6862" t="s">
        <v>131</v>
      </c>
      <c r="B6862" s="1">
        <v>45728</v>
      </c>
      <c r="C6862" t="s">
        <v>5600</v>
      </c>
      <c r="D6862" t="s">
        <v>5600</v>
      </c>
      <c r="F6862" t="s">
        <v>8423</v>
      </c>
      <c r="H6862" t="s">
        <v>5512</v>
      </c>
      <c r="I6862" s="1">
        <v>45759</v>
      </c>
      <c r="K6862">
        <v>201000</v>
      </c>
      <c r="L6862" t="s">
        <v>5972</v>
      </c>
    </row>
    <row r="6863" spans="1:12" x14ac:dyDescent="0.35">
      <c r="A6863" t="s">
        <v>131</v>
      </c>
      <c r="B6863" s="1">
        <v>45728</v>
      </c>
      <c r="C6863" t="s">
        <v>5601</v>
      </c>
      <c r="D6863" t="s">
        <v>5601</v>
      </c>
      <c r="F6863" t="s">
        <v>7831</v>
      </c>
      <c r="G6863" t="s">
        <v>7515</v>
      </c>
      <c r="H6863" t="s">
        <v>5602</v>
      </c>
      <c r="I6863" s="1">
        <v>45728</v>
      </c>
      <c r="J6863">
        <v>644280</v>
      </c>
      <c r="L6863" t="s">
        <v>6803</v>
      </c>
    </row>
    <row r="6864" spans="1:12" x14ac:dyDescent="0.35">
      <c r="A6864" t="s">
        <v>131</v>
      </c>
      <c r="B6864" s="1">
        <v>45728</v>
      </c>
      <c r="C6864" t="s">
        <v>5601</v>
      </c>
      <c r="D6864" t="s">
        <v>5601</v>
      </c>
      <c r="F6864" t="s">
        <v>8419</v>
      </c>
      <c r="H6864" t="s">
        <v>5602</v>
      </c>
      <c r="I6864" s="1">
        <v>45728</v>
      </c>
      <c r="K6864">
        <v>71280</v>
      </c>
      <c r="L6864" t="s">
        <v>6803</v>
      </c>
    </row>
    <row r="6865" spans="1:12" x14ac:dyDescent="0.35">
      <c r="A6865" t="s">
        <v>131</v>
      </c>
      <c r="B6865" s="1">
        <v>45728</v>
      </c>
      <c r="C6865" t="s">
        <v>5601</v>
      </c>
      <c r="D6865" t="s">
        <v>5601</v>
      </c>
      <c r="F6865" t="s">
        <v>7701</v>
      </c>
      <c r="H6865" t="s">
        <v>5602</v>
      </c>
      <c r="I6865" s="1">
        <v>45728</v>
      </c>
      <c r="K6865">
        <v>177000</v>
      </c>
      <c r="L6865" t="s">
        <v>350</v>
      </c>
    </row>
    <row r="6866" spans="1:12" x14ac:dyDescent="0.35">
      <c r="A6866" t="s">
        <v>131</v>
      </c>
      <c r="B6866" s="1">
        <v>45728</v>
      </c>
      <c r="C6866" t="s">
        <v>5601</v>
      </c>
      <c r="D6866" t="s">
        <v>5601</v>
      </c>
      <c r="F6866" t="s">
        <v>8423</v>
      </c>
      <c r="H6866" t="s">
        <v>5602</v>
      </c>
      <c r="I6866" s="1">
        <v>45728</v>
      </c>
      <c r="K6866">
        <v>396000</v>
      </c>
      <c r="L6866" t="s">
        <v>5972</v>
      </c>
    </row>
    <row r="6867" spans="1:12" x14ac:dyDescent="0.35">
      <c r="A6867" t="s">
        <v>131</v>
      </c>
      <c r="B6867" s="1">
        <v>45728</v>
      </c>
      <c r="C6867" t="s">
        <v>5603</v>
      </c>
      <c r="D6867" t="s">
        <v>5603</v>
      </c>
      <c r="F6867" t="s">
        <v>7831</v>
      </c>
      <c r="G6867" t="s">
        <v>7521</v>
      </c>
      <c r="H6867" t="s">
        <v>180</v>
      </c>
      <c r="I6867" s="1">
        <v>45777</v>
      </c>
      <c r="J6867">
        <v>501795</v>
      </c>
      <c r="L6867" t="s">
        <v>6803</v>
      </c>
    </row>
    <row r="6868" spans="1:12" x14ac:dyDescent="0.35">
      <c r="A6868" t="s">
        <v>131</v>
      </c>
      <c r="B6868" s="1">
        <v>45728</v>
      </c>
      <c r="C6868" t="s">
        <v>5603</v>
      </c>
      <c r="D6868" t="s">
        <v>5603</v>
      </c>
      <c r="F6868" t="s">
        <v>8419</v>
      </c>
      <c r="H6868" t="s">
        <v>180</v>
      </c>
      <c r="I6868" s="1">
        <v>45777</v>
      </c>
      <c r="K6868">
        <v>72045</v>
      </c>
      <c r="L6868" t="s">
        <v>6803</v>
      </c>
    </row>
    <row r="6869" spans="1:12" x14ac:dyDescent="0.35">
      <c r="A6869" t="s">
        <v>131</v>
      </c>
      <c r="B6869" s="1">
        <v>45728</v>
      </c>
      <c r="C6869" t="s">
        <v>5603</v>
      </c>
      <c r="D6869" t="s">
        <v>5603</v>
      </c>
      <c r="F6869" t="s">
        <v>7701</v>
      </c>
      <c r="H6869" t="s">
        <v>180</v>
      </c>
      <c r="I6869" s="1">
        <v>45777</v>
      </c>
      <c r="K6869">
        <v>29500</v>
      </c>
      <c r="L6869" t="s">
        <v>350</v>
      </c>
    </row>
    <row r="6870" spans="1:12" x14ac:dyDescent="0.35">
      <c r="A6870" t="s">
        <v>131</v>
      </c>
      <c r="B6870" s="1">
        <v>45728</v>
      </c>
      <c r="C6870" t="s">
        <v>5603</v>
      </c>
      <c r="D6870" t="s">
        <v>5603</v>
      </c>
      <c r="F6870" t="s">
        <v>8423</v>
      </c>
      <c r="H6870" t="s">
        <v>180</v>
      </c>
      <c r="I6870" s="1">
        <v>45777</v>
      </c>
      <c r="K6870">
        <v>301250</v>
      </c>
      <c r="L6870" t="s">
        <v>5972</v>
      </c>
    </row>
    <row r="6871" spans="1:12" x14ac:dyDescent="0.35">
      <c r="A6871" t="s">
        <v>131</v>
      </c>
      <c r="B6871" s="1">
        <v>45728</v>
      </c>
      <c r="C6871" t="s">
        <v>5603</v>
      </c>
      <c r="D6871" t="s">
        <v>5603</v>
      </c>
      <c r="F6871" t="s">
        <v>8428</v>
      </c>
      <c r="H6871" t="s">
        <v>180</v>
      </c>
      <c r="I6871" s="1">
        <v>45777</v>
      </c>
      <c r="K6871">
        <v>99000</v>
      </c>
      <c r="L6871" t="s">
        <v>5972</v>
      </c>
    </row>
    <row r="6872" spans="1:12" x14ac:dyDescent="0.35">
      <c r="A6872" t="s">
        <v>131</v>
      </c>
      <c r="B6872" s="1">
        <v>45728</v>
      </c>
      <c r="C6872" t="s">
        <v>5604</v>
      </c>
      <c r="D6872" t="s">
        <v>5604</v>
      </c>
      <c r="F6872" t="s">
        <v>7823</v>
      </c>
      <c r="G6872" t="s">
        <v>7877</v>
      </c>
      <c r="H6872" t="s">
        <v>5508</v>
      </c>
      <c r="I6872" s="1">
        <v>45759</v>
      </c>
      <c r="J6872">
        <v>6032055</v>
      </c>
      <c r="L6872" t="s">
        <v>6803</v>
      </c>
    </row>
    <row r="6873" spans="1:12" x14ac:dyDescent="0.35">
      <c r="A6873" t="s">
        <v>131</v>
      </c>
      <c r="B6873" s="1">
        <v>45728</v>
      </c>
      <c r="C6873" t="s">
        <v>5604</v>
      </c>
      <c r="D6873" t="s">
        <v>5604</v>
      </c>
      <c r="F6873" t="s">
        <v>8424</v>
      </c>
      <c r="H6873" t="s">
        <v>5508</v>
      </c>
      <c r="I6873" s="1">
        <v>45759</v>
      </c>
      <c r="K6873">
        <v>6032055</v>
      </c>
      <c r="L6873" t="s">
        <v>5977</v>
      </c>
    </row>
    <row r="6874" spans="1:12" x14ac:dyDescent="0.35">
      <c r="A6874" t="s">
        <v>131</v>
      </c>
      <c r="B6874" s="1">
        <v>45728</v>
      </c>
      <c r="C6874" t="s">
        <v>5605</v>
      </c>
      <c r="D6874" t="s">
        <v>5605</v>
      </c>
      <c r="F6874" t="s">
        <v>7823</v>
      </c>
      <c r="G6874" t="s">
        <v>7877</v>
      </c>
      <c r="H6874" t="s">
        <v>5508</v>
      </c>
      <c r="I6874" s="1">
        <v>45759</v>
      </c>
      <c r="J6874">
        <v>6032055</v>
      </c>
      <c r="L6874" t="s">
        <v>6803</v>
      </c>
    </row>
    <row r="6875" spans="1:12" x14ac:dyDescent="0.35">
      <c r="A6875" t="s">
        <v>131</v>
      </c>
      <c r="B6875" s="1">
        <v>45728</v>
      </c>
      <c r="C6875" t="s">
        <v>5605</v>
      </c>
      <c r="D6875" t="s">
        <v>5605</v>
      </c>
      <c r="F6875" t="s">
        <v>8424</v>
      </c>
      <c r="H6875" t="s">
        <v>5508</v>
      </c>
      <c r="I6875" s="1">
        <v>45759</v>
      </c>
      <c r="K6875">
        <v>6032055</v>
      </c>
      <c r="L6875" t="s">
        <v>5977</v>
      </c>
    </row>
    <row r="6876" spans="1:12" x14ac:dyDescent="0.35">
      <c r="A6876" t="s">
        <v>131</v>
      </c>
      <c r="B6876" s="1">
        <v>45729</v>
      </c>
      <c r="C6876" t="s">
        <v>5606</v>
      </c>
      <c r="D6876" t="s">
        <v>5606</v>
      </c>
      <c r="F6876" t="s">
        <v>7823</v>
      </c>
      <c r="G6876" t="s">
        <v>8396</v>
      </c>
      <c r="H6876" t="s">
        <v>5607</v>
      </c>
      <c r="I6876" s="1">
        <v>45777</v>
      </c>
      <c r="J6876">
        <v>16915602</v>
      </c>
      <c r="L6876" t="s">
        <v>6803</v>
      </c>
    </row>
    <row r="6877" spans="1:12" x14ac:dyDescent="0.35">
      <c r="A6877" t="s">
        <v>131</v>
      </c>
      <c r="B6877" s="1">
        <v>45729</v>
      </c>
      <c r="C6877" t="s">
        <v>5606</v>
      </c>
      <c r="D6877" t="s">
        <v>5606</v>
      </c>
      <c r="F6877" t="s">
        <v>8419</v>
      </c>
      <c r="H6877" t="s">
        <v>5607</v>
      </c>
      <c r="I6877" s="1">
        <v>45777</v>
      </c>
      <c r="K6877">
        <v>2580346</v>
      </c>
      <c r="L6877" t="s">
        <v>6803</v>
      </c>
    </row>
    <row r="6878" spans="1:12" x14ac:dyDescent="0.35">
      <c r="A6878" t="s">
        <v>131</v>
      </c>
      <c r="B6878" s="1">
        <v>45729</v>
      </c>
      <c r="C6878" t="s">
        <v>5606</v>
      </c>
      <c r="D6878" t="s">
        <v>5606</v>
      </c>
      <c r="F6878" t="s">
        <v>8423</v>
      </c>
      <c r="H6878" t="s">
        <v>5607</v>
      </c>
      <c r="I6878" s="1">
        <v>45777</v>
      </c>
      <c r="K6878">
        <v>14335256</v>
      </c>
      <c r="L6878" t="s">
        <v>5970</v>
      </c>
    </row>
    <row r="6879" spans="1:12" x14ac:dyDescent="0.35">
      <c r="A6879" t="s">
        <v>131</v>
      </c>
      <c r="B6879" s="1">
        <v>45729</v>
      </c>
      <c r="C6879" t="s">
        <v>5608</v>
      </c>
      <c r="D6879" t="s">
        <v>5608</v>
      </c>
      <c r="F6879" t="s">
        <v>7823</v>
      </c>
      <c r="G6879" t="s">
        <v>8392</v>
      </c>
      <c r="H6879" t="s">
        <v>5609</v>
      </c>
      <c r="I6879" s="1">
        <v>45777</v>
      </c>
      <c r="K6879">
        <v>1290000</v>
      </c>
      <c r="L6879" t="s">
        <v>6803</v>
      </c>
    </row>
    <row r="6880" spans="1:12" x14ac:dyDescent="0.35">
      <c r="A6880" t="s">
        <v>131</v>
      </c>
      <c r="B6880" s="1">
        <v>45729</v>
      </c>
      <c r="C6880" t="s">
        <v>5608</v>
      </c>
      <c r="D6880" t="s">
        <v>5608</v>
      </c>
      <c r="F6880" t="s">
        <v>7701</v>
      </c>
      <c r="H6880" t="s">
        <v>5609</v>
      </c>
      <c r="I6880" s="1">
        <v>45777</v>
      </c>
      <c r="J6880">
        <v>250000</v>
      </c>
      <c r="L6880" t="s">
        <v>350</v>
      </c>
    </row>
    <row r="6881" spans="1:12" x14ac:dyDescent="0.35">
      <c r="A6881" t="s">
        <v>131</v>
      </c>
      <c r="B6881" s="1">
        <v>45729</v>
      </c>
      <c r="C6881" t="s">
        <v>5608</v>
      </c>
      <c r="D6881" t="s">
        <v>5608</v>
      </c>
      <c r="F6881" t="s">
        <v>8423</v>
      </c>
      <c r="H6881" t="s">
        <v>5609</v>
      </c>
      <c r="I6881" s="1">
        <v>45777</v>
      </c>
      <c r="J6881">
        <v>1040000</v>
      </c>
      <c r="L6881" t="s">
        <v>5975</v>
      </c>
    </row>
    <row r="6882" spans="1:12" x14ac:dyDescent="0.35">
      <c r="A6882" t="s">
        <v>131</v>
      </c>
      <c r="B6882" s="1">
        <v>45729</v>
      </c>
      <c r="C6882" t="s">
        <v>5610</v>
      </c>
      <c r="D6882" t="s">
        <v>5610</v>
      </c>
      <c r="F6882" t="s">
        <v>7823</v>
      </c>
      <c r="G6882" t="s">
        <v>7877</v>
      </c>
      <c r="H6882" t="s">
        <v>5508</v>
      </c>
      <c r="I6882" s="1">
        <v>45760</v>
      </c>
      <c r="J6882">
        <v>1099170</v>
      </c>
      <c r="L6882" t="s">
        <v>6803</v>
      </c>
    </row>
    <row r="6883" spans="1:12" x14ac:dyDescent="0.35">
      <c r="A6883" t="s">
        <v>131</v>
      </c>
      <c r="B6883" s="1">
        <v>45729</v>
      </c>
      <c r="C6883" t="s">
        <v>5610</v>
      </c>
      <c r="D6883" t="s">
        <v>5610</v>
      </c>
      <c r="F6883" t="s">
        <v>7823</v>
      </c>
      <c r="G6883" t="s">
        <v>7877</v>
      </c>
      <c r="H6883" t="s">
        <v>5611</v>
      </c>
      <c r="I6883" s="1">
        <v>45760</v>
      </c>
      <c r="J6883">
        <v>-1099170</v>
      </c>
      <c r="L6883" t="s">
        <v>6803</v>
      </c>
    </row>
    <row r="6884" spans="1:12" x14ac:dyDescent="0.35">
      <c r="A6884" t="s">
        <v>131</v>
      </c>
      <c r="B6884" s="1">
        <v>45729</v>
      </c>
      <c r="C6884" t="s">
        <v>5610</v>
      </c>
      <c r="D6884" t="s">
        <v>5610</v>
      </c>
      <c r="F6884" t="s">
        <v>8419</v>
      </c>
      <c r="H6884" t="s">
        <v>5508</v>
      </c>
      <c r="I6884" s="1">
        <v>45760</v>
      </c>
      <c r="K6884">
        <v>167670</v>
      </c>
      <c r="L6884" t="s">
        <v>6803</v>
      </c>
    </row>
    <row r="6885" spans="1:12" x14ac:dyDescent="0.35">
      <c r="A6885" t="s">
        <v>131</v>
      </c>
      <c r="B6885" s="1">
        <v>45729</v>
      </c>
      <c r="C6885" t="s">
        <v>5610</v>
      </c>
      <c r="D6885" t="s">
        <v>5610</v>
      </c>
      <c r="F6885" t="s">
        <v>8419</v>
      </c>
      <c r="H6885" t="s">
        <v>5611</v>
      </c>
      <c r="I6885" s="1">
        <v>45760</v>
      </c>
      <c r="K6885">
        <v>-167670</v>
      </c>
      <c r="L6885" t="s">
        <v>6803</v>
      </c>
    </row>
    <row r="6886" spans="1:12" x14ac:dyDescent="0.35">
      <c r="A6886" t="s">
        <v>131</v>
      </c>
      <c r="B6886" s="1">
        <v>45729</v>
      </c>
      <c r="C6886" t="s">
        <v>5610</v>
      </c>
      <c r="D6886" t="s">
        <v>5610</v>
      </c>
      <c r="F6886" t="s">
        <v>8423</v>
      </c>
      <c r="H6886" t="s">
        <v>5508</v>
      </c>
      <c r="I6886" s="1">
        <v>45760</v>
      </c>
      <c r="K6886">
        <v>931500</v>
      </c>
      <c r="L6886" t="s">
        <v>5977</v>
      </c>
    </row>
    <row r="6887" spans="1:12" x14ac:dyDescent="0.35">
      <c r="A6887" t="s">
        <v>131</v>
      </c>
      <c r="B6887" s="1">
        <v>45729</v>
      </c>
      <c r="C6887" t="s">
        <v>5610</v>
      </c>
      <c r="D6887" t="s">
        <v>5610</v>
      </c>
      <c r="F6887" t="s">
        <v>8423</v>
      </c>
      <c r="H6887" t="s">
        <v>5611</v>
      </c>
      <c r="I6887" s="1">
        <v>45760</v>
      </c>
      <c r="K6887">
        <v>-931500</v>
      </c>
      <c r="L6887" t="s">
        <v>5977</v>
      </c>
    </row>
    <row r="6888" spans="1:12" x14ac:dyDescent="0.35">
      <c r="A6888" t="s">
        <v>131</v>
      </c>
      <c r="B6888" s="1">
        <v>45730</v>
      </c>
      <c r="C6888" t="s">
        <v>5612</v>
      </c>
      <c r="D6888" t="s">
        <v>5612</v>
      </c>
      <c r="F6888" t="s">
        <v>7831</v>
      </c>
      <c r="G6888" t="s">
        <v>7872</v>
      </c>
      <c r="H6888" t="s">
        <v>5499</v>
      </c>
      <c r="I6888" s="1">
        <v>45730</v>
      </c>
      <c r="J6888">
        <v>354000</v>
      </c>
      <c r="L6888" t="s">
        <v>6803</v>
      </c>
    </row>
    <row r="6889" spans="1:12" x14ac:dyDescent="0.35">
      <c r="A6889" t="s">
        <v>131</v>
      </c>
      <c r="B6889" s="1">
        <v>45730</v>
      </c>
      <c r="C6889" t="s">
        <v>5612</v>
      </c>
      <c r="D6889" t="s">
        <v>5612</v>
      </c>
      <c r="F6889" t="s">
        <v>8419</v>
      </c>
      <c r="H6889" t="s">
        <v>5499</v>
      </c>
      <c r="I6889" s="1">
        <v>45730</v>
      </c>
      <c r="K6889">
        <v>54000</v>
      </c>
      <c r="L6889" t="s">
        <v>6803</v>
      </c>
    </row>
    <row r="6890" spans="1:12" x14ac:dyDescent="0.35">
      <c r="A6890" t="s">
        <v>131</v>
      </c>
      <c r="B6890" s="1">
        <v>45730</v>
      </c>
      <c r="C6890" t="s">
        <v>5612</v>
      </c>
      <c r="D6890" t="s">
        <v>5612</v>
      </c>
      <c r="F6890" t="s">
        <v>8423</v>
      </c>
      <c r="H6890" t="s">
        <v>5499</v>
      </c>
      <c r="I6890" s="1">
        <v>45730</v>
      </c>
      <c r="K6890">
        <v>300000</v>
      </c>
      <c r="L6890" t="s">
        <v>5972</v>
      </c>
    </row>
    <row r="6891" spans="1:12" x14ac:dyDescent="0.35">
      <c r="A6891" t="s">
        <v>131</v>
      </c>
      <c r="B6891" s="1">
        <v>45730</v>
      </c>
      <c r="C6891" t="s">
        <v>5613</v>
      </c>
      <c r="D6891" t="s">
        <v>5613</v>
      </c>
      <c r="F6891" t="s">
        <v>7831</v>
      </c>
      <c r="G6891" t="s">
        <v>7872</v>
      </c>
      <c r="H6891" t="s">
        <v>5499</v>
      </c>
      <c r="I6891" s="1">
        <v>45730</v>
      </c>
      <c r="J6891">
        <v>413000</v>
      </c>
      <c r="L6891" t="s">
        <v>6803</v>
      </c>
    </row>
    <row r="6892" spans="1:12" x14ac:dyDescent="0.35">
      <c r="A6892" t="s">
        <v>131</v>
      </c>
      <c r="B6892" s="1">
        <v>45730</v>
      </c>
      <c r="C6892" t="s">
        <v>5613</v>
      </c>
      <c r="D6892" t="s">
        <v>5613</v>
      </c>
      <c r="F6892" t="s">
        <v>8419</v>
      </c>
      <c r="H6892" t="s">
        <v>5499</v>
      </c>
      <c r="I6892" s="1">
        <v>45730</v>
      </c>
      <c r="K6892">
        <v>54000</v>
      </c>
      <c r="L6892" t="s">
        <v>6803</v>
      </c>
    </row>
    <row r="6893" spans="1:12" x14ac:dyDescent="0.35">
      <c r="A6893" t="s">
        <v>131</v>
      </c>
      <c r="B6893" s="1">
        <v>45730</v>
      </c>
      <c r="C6893" t="s">
        <v>5613</v>
      </c>
      <c r="D6893" t="s">
        <v>5613</v>
      </c>
      <c r="F6893" t="s">
        <v>7701</v>
      </c>
      <c r="H6893" t="s">
        <v>5499</v>
      </c>
      <c r="I6893" s="1">
        <v>45730</v>
      </c>
      <c r="K6893">
        <v>59000</v>
      </c>
      <c r="L6893" t="s">
        <v>350</v>
      </c>
    </row>
    <row r="6894" spans="1:12" x14ac:dyDescent="0.35">
      <c r="A6894" t="s">
        <v>131</v>
      </c>
      <c r="B6894" s="1">
        <v>45730</v>
      </c>
      <c r="C6894" t="s">
        <v>5613</v>
      </c>
      <c r="D6894" t="s">
        <v>5613</v>
      </c>
      <c r="F6894" t="s">
        <v>8423</v>
      </c>
      <c r="H6894" t="s">
        <v>5499</v>
      </c>
      <c r="I6894" s="1">
        <v>45730</v>
      </c>
      <c r="K6894">
        <v>300000</v>
      </c>
      <c r="L6894" t="s">
        <v>5972</v>
      </c>
    </row>
    <row r="6895" spans="1:12" x14ac:dyDescent="0.35">
      <c r="A6895" t="s">
        <v>131</v>
      </c>
      <c r="B6895" s="1">
        <v>45730</v>
      </c>
      <c r="C6895" t="s">
        <v>5614</v>
      </c>
      <c r="D6895" t="s">
        <v>5614</v>
      </c>
      <c r="F6895" t="s">
        <v>7831</v>
      </c>
      <c r="G6895" t="s">
        <v>7872</v>
      </c>
      <c r="H6895" t="s">
        <v>5499</v>
      </c>
      <c r="I6895" s="1">
        <v>45730</v>
      </c>
      <c r="J6895">
        <v>619500</v>
      </c>
      <c r="L6895" t="s">
        <v>6803</v>
      </c>
    </row>
    <row r="6896" spans="1:12" x14ac:dyDescent="0.35">
      <c r="A6896" t="s">
        <v>131</v>
      </c>
      <c r="B6896" s="1">
        <v>45730</v>
      </c>
      <c r="C6896" t="s">
        <v>5614</v>
      </c>
      <c r="D6896" t="s">
        <v>5614</v>
      </c>
      <c r="F6896" t="s">
        <v>8419</v>
      </c>
      <c r="H6896" t="s">
        <v>5499</v>
      </c>
      <c r="I6896" s="1">
        <v>45730</v>
      </c>
      <c r="K6896">
        <v>81000</v>
      </c>
      <c r="L6896" t="s">
        <v>6803</v>
      </c>
    </row>
    <row r="6897" spans="1:12" x14ac:dyDescent="0.35">
      <c r="A6897" t="s">
        <v>131</v>
      </c>
      <c r="B6897" s="1">
        <v>45730</v>
      </c>
      <c r="C6897" t="s">
        <v>5614</v>
      </c>
      <c r="D6897" t="s">
        <v>5614</v>
      </c>
      <c r="F6897" t="s">
        <v>7701</v>
      </c>
      <c r="H6897" t="s">
        <v>5499</v>
      </c>
      <c r="I6897" s="1">
        <v>45730</v>
      </c>
      <c r="K6897">
        <v>88500</v>
      </c>
      <c r="L6897" t="s">
        <v>350</v>
      </c>
    </row>
    <row r="6898" spans="1:12" x14ac:dyDescent="0.35">
      <c r="A6898" t="s">
        <v>131</v>
      </c>
      <c r="B6898" s="1">
        <v>45730</v>
      </c>
      <c r="C6898" t="s">
        <v>5614</v>
      </c>
      <c r="D6898" t="s">
        <v>5614</v>
      </c>
      <c r="F6898" t="s">
        <v>8423</v>
      </c>
      <c r="H6898" t="s">
        <v>5499</v>
      </c>
      <c r="I6898" s="1">
        <v>45730</v>
      </c>
      <c r="K6898">
        <v>450000</v>
      </c>
      <c r="L6898" t="s">
        <v>5972</v>
      </c>
    </row>
    <row r="6899" spans="1:12" x14ac:dyDescent="0.35">
      <c r="A6899" t="s">
        <v>131</v>
      </c>
      <c r="B6899" s="1">
        <v>45730</v>
      </c>
      <c r="C6899" t="s">
        <v>5615</v>
      </c>
      <c r="D6899" t="s">
        <v>5615</v>
      </c>
      <c r="F6899" t="s">
        <v>7831</v>
      </c>
      <c r="G6899" t="s">
        <v>7515</v>
      </c>
      <c r="H6899" t="s">
        <v>5512</v>
      </c>
      <c r="I6899" s="1">
        <v>45761</v>
      </c>
      <c r="J6899">
        <v>187620</v>
      </c>
      <c r="L6899" t="s">
        <v>6803</v>
      </c>
    </row>
    <row r="6900" spans="1:12" x14ac:dyDescent="0.35">
      <c r="A6900" t="s">
        <v>131</v>
      </c>
      <c r="B6900" s="1">
        <v>45730</v>
      </c>
      <c r="C6900" t="s">
        <v>5615</v>
      </c>
      <c r="D6900" t="s">
        <v>5615</v>
      </c>
      <c r="F6900" t="s">
        <v>8419</v>
      </c>
      <c r="H6900" t="s">
        <v>5512</v>
      </c>
      <c r="I6900" s="1">
        <v>45761</v>
      </c>
      <c r="K6900">
        <v>24120</v>
      </c>
      <c r="L6900" t="s">
        <v>6803</v>
      </c>
    </row>
    <row r="6901" spans="1:12" x14ac:dyDescent="0.35">
      <c r="A6901" t="s">
        <v>131</v>
      </c>
      <c r="B6901" s="1">
        <v>45730</v>
      </c>
      <c r="C6901" t="s">
        <v>5615</v>
      </c>
      <c r="D6901" t="s">
        <v>5615</v>
      </c>
      <c r="F6901" t="s">
        <v>7701</v>
      </c>
      <c r="H6901" t="s">
        <v>5512</v>
      </c>
      <c r="I6901" s="1">
        <v>45761</v>
      </c>
      <c r="K6901">
        <v>29500</v>
      </c>
      <c r="L6901" t="s">
        <v>350</v>
      </c>
    </row>
    <row r="6902" spans="1:12" x14ac:dyDescent="0.35">
      <c r="A6902" t="s">
        <v>131</v>
      </c>
      <c r="B6902" s="1">
        <v>45730</v>
      </c>
      <c r="C6902" t="s">
        <v>5615</v>
      </c>
      <c r="D6902" t="s">
        <v>5615</v>
      </c>
      <c r="F6902" t="s">
        <v>8423</v>
      </c>
      <c r="H6902" t="s">
        <v>5512</v>
      </c>
      <c r="I6902" s="1">
        <v>45761</v>
      </c>
      <c r="K6902">
        <v>134000</v>
      </c>
      <c r="L6902" t="s">
        <v>5972</v>
      </c>
    </row>
    <row r="6903" spans="1:12" x14ac:dyDescent="0.35">
      <c r="A6903" t="s">
        <v>131</v>
      </c>
      <c r="B6903" s="1">
        <v>45730</v>
      </c>
      <c r="C6903" t="s">
        <v>5616</v>
      </c>
      <c r="D6903" t="s">
        <v>5616</v>
      </c>
      <c r="F6903" t="s">
        <v>7831</v>
      </c>
      <c r="G6903" t="s">
        <v>7515</v>
      </c>
      <c r="H6903" t="s">
        <v>165</v>
      </c>
      <c r="I6903" s="1">
        <v>45730</v>
      </c>
      <c r="J6903">
        <v>533360</v>
      </c>
      <c r="L6903" t="s">
        <v>6803</v>
      </c>
    </row>
    <row r="6904" spans="1:12" x14ac:dyDescent="0.35">
      <c r="A6904" t="s">
        <v>131</v>
      </c>
      <c r="B6904" s="1">
        <v>45730</v>
      </c>
      <c r="C6904" t="s">
        <v>5616</v>
      </c>
      <c r="D6904" t="s">
        <v>5616</v>
      </c>
      <c r="F6904" t="s">
        <v>8419</v>
      </c>
      <c r="H6904" t="s">
        <v>165</v>
      </c>
      <c r="I6904" s="1">
        <v>45730</v>
      </c>
      <c r="K6904">
        <v>72360</v>
      </c>
      <c r="L6904" t="s">
        <v>6803</v>
      </c>
    </row>
    <row r="6905" spans="1:12" x14ac:dyDescent="0.35">
      <c r="A6905" t="s">
        <v>131</v>
      </c>
      <c r="B6905" s="1">
        <v>45730</v>
      </c>
      <c r="C6905" t="s">
        <v>5616</v>
      </c>
      <c r="D6905" t="s">
        <v>5616</v>
      </c>
      <c r="F6905" t="s">
        <v>7701</v>
      </c>
      <c r="H6905" t="s">
        <v>165</v>
      </c>
      <c r="I6905" s="1">
        <v>45730</v>
      </c>
      <c r="K6905">
        <v>59000</v>
      </c>
      <c r="L6905" t="s">
        <v>350</v>
      </c>
    </row>
    <row r="6906" spans="1:12" x14ac:dyDescent="0.35">
      <c r="A6906" t="s">
        <v>131</v>
      </c>
      <c r="B6906" s="1">
        <v>45730</v>
      </c>
      <c r="C6906" t="s">
        <v>5616</v>
      </c>
      <c r="D6906" t="s">
        <v>5616</v>
      </c>
      <c r="F6906" t="s">
        <v>8423</v>
      </c>
      <c r="H6906" t="s">
        <v>165</v>
      </c>
      <c r="I6906" s="1">
        <v>45730</v>
      </c>
      <c r="K6906">
        <v>402000</v>
      </c>
      <c r="L6906" t="s">
        <v>5972</v>
      </c>
    </row>
    <row r="6907" spans="1:12" x14ac:dyDescent="0.35">
      <c r="A6907" t="s">
        <v>131</v>
      </c>
      <c r="B6907" s="1">
        <v>45730</v>
      </c>
      <c r="C6907" t="s">
        <v>5617</v>
      </c>
      <c r="D6907" t="s">
        <v>5617</v>
      </c>
      <c r="F6907" t="s">
        <v>7831</v>
      </c>
      <c r="G6907" t="s">
        <v>8393</v>
      </c>
      <c r="H6907" t="s">
        <v>5518</v>
      </c>
      <c r="I6907" s="1">
        <v>45761</v>
      </c>
      <c r="J6907">
        <v>236000</v>
      </c>
      <c r="L6907" t="s">
        <v>6803</v>
      </c>
    </row>
    <row r="6908" spans="1:12" x14ac:dyDescent="0.35">
      <c r="A6908" t="s">
        <v>131</v>
      </c>
      <c r="B6908" s="1">
        <v>45730</v>
      </c>
      <c r="C6908" t="s">
        <v>5617</v>
      </c>
      <c r="D6908" t="s">
        <v>5617</v>
      </c>
      <c r="F6908" t="s">
        <v>8419</v>
      </c>
      <c r="H6908" t="s">
        <v>5518</v>
      </c>
      <c r="I6908" s="1">
        <v>45761</v>
      </c>
      <c r="K6908">
        <v>27000</v>
      </c>
      <c r="L6908" t="s">
        <v>6803</v>
      </c>
    </row>
    <row r="6909" spans="1:12" x14ac:dyDescent="0.35">
      <c r="A6909" t="s">
        <v>131</v>
      </c>
      <c r="B6909" s="1">
        <v>45730</v>
      </c>
      <c r="C6909" t="s">
        <v>5617</v>
      </c>
      <c r="D6909" t="s">
        <v>5617</v>
      </c>
      <c r="F6909" t="s">
        <v>7701</v>
      </c>
      <c r="H6909" t="s">
        <v>5518</v>
      </c>
      <c r="I6909" s="1">
        <v>45761</v>
      </c>
      <c r="K6909">
        <v>59000</v>
      </c>
      <c r="L6909" t="s">
        <v>350</v>
      </c>
    </row>
    <row r="6910" spans="1:12" x14ac:dyDescent="0.35">
      <c r="A6910" t="s">
        <v>131</v>
      </c>
      <c r="B6910" s="1">
        <v>45730</v>
      </c>
      <c r="C6910" t="s">
        <v>5617</v>
      </c>
      <c r="D6910" t="s">
        <v>5617</v>
      </c>
      <c r="F6910" t="s">
        <v>8423</v>
      </c>
      <c r="H6910" t="s">
        <v>5518</v>
      </c>
      <c r="I6910" s="1">
        <v>45761</v>
      </c>
      <c r="K6910">
        <v>150000</v>
      </c>
      <c r="L6910" t="s">
        <v>5972</v>
      </c>
    </row>
    <row r="6911" spans="1:12" x14ac:dyDescent="0.35">
      <c r="A6911" t="s">
        <v>131</v>
      </c>
      <c r="B6911" s="1">
        <v>45730</v>
      </c>
      <c r="C6911" t="s">
        <v>5618</v>
      </c>
      <c r="D6911" t="s">
        <v>5618</v>
      </c>
      <c r="F6911" t="s">
        <v>7831</v>
      </c>
      <c r="G6911" t="s">
        <v>8393</v>
      </c>
      <c r="H6911" t="s">
        <v>5518</v>
      </c>
      <c r="I6911" s="1">
        <v>45761</v>
      </c>
      <c r="J6911">
        <v>236000</v>
      </c>
      <c r="L6911" t="s">
        <v>6803</v>
      </c>
    </row>
    <row r="6912" spans="1:12" x14ac:dyDescent="0.35">
      <c r="A6912" t="s">
        <v>131</v>
      </c>
      <c r="B6912" s="1">
        <v>45730</v>
      </c>
      <c r="C6912" t="s">
        <v>5618</v>
      </c>
      <c r="D6912" t="s">
        <v>5618</v>
      </c>
      <c r="F6912" t="s">
        <v>8419</v>
      </c>
      <c r="H6912" t="s">
        <v>5518</v>
      </c>
      <c r="I6912" s="1">
        <v>45761</v>
      </c>
      <c r="K6912">
        <v>27000</v>
      </c>
      <c r="L6912" t="s">
        <v>6803</v>
      </c>
    </row>
    <row r="6913" spans="1:12" x14ac:dyDescent="0.35">
      <c r="A6913" t="s">
        <v>131</v>
      </c>
      <c r="B6913" s="1">
        <v>45730</v>
      </c>
      <c r="C6913" t="s">
        <v>5618</v>
      </c>
      <c r="D6913" t="s">
        <v>5618</v>
      </c>
      <c r="F6913" t="s">
        <v>7701</v>
      </c>
      <c r="H6913" t="s">
        <v>5518</v>
      </c>
      <c r="I6913" s="1">
        <v>45761</v>
      </c>
      <c r="K6913">
        <v>59000</v>
      </c>
      <c r="L6913" t="s">
        <v>350</v>
      </c>
    </row>
    <row r="6914" spans="1:12" x14ac:dyDescent="0.35">
      <c r="A6914" t="s">
        <v>131</v>
      </c>
      <c r="B6914" s="1">
        <v>45730</v>
      </c>
      <c r="C6914" t="s">
        <v>5618</v>
      </c>
      <c r="D6914" t="s">
        <v>5618</v>
      </c>
      <c r="F6914" t="s">
        <v>8423</v>
      </c>
      <c r="H6914" t="s">
        <v>5518</v>
      </c>
      <c r="I6914" s="1">
        <v>45761</v>
      </c>
      <c r="K6914">
        <v>150000</v>
      </c>
      <c r="L6914" t="s">
        <v>5972</v>
      </c>
    </row>
    <row r="6915" spans="1:12" x14ac:dyDescent="0.35">
      <c r="A6915" t="s">
        <v>131</v>
      </c>
      <c r="B6915" s="1">
        <v>45730</v>
      </c>
      <c r="C6915" t="s">
        <v>5619</v>
      </c>
      <c r="D6915" t="s">
        <v>5619</v>
      </c>
      <c r="F6915" t="s">
        <v>7831</v>
      </c>
      <c r="G6915" t="s">
        <v>7521</v>
      </c>
      <c r="H6915" t="s">
        <v>5551</v>
      </c>
      <c r="I6915" s="1">
        <v>45730</v>
      </c>
      <c r="J6915">
        <v>354000</v>
      </c>
      <c r="L6915" t="s">
        <v>6803</v>
      </c>
    </row>
    <row r="6916" spans="1:12" x14ac:dyDescent="0.35">
      <c r="A6916" t="s">
        <v>131</v>
      </c>
      <c r="B6916" s="1">
        <v>45730</v>
      </c>
      <c r="C6916" t="s">
        <v>5619</v>
      </c>
      <c r="D6916" t="s">
        <v>5619</v>
      </c>
      <c r="F6916" t="s">
        <v>8419</v>
      </c>
      <c r="H6916" t="s">
        <v>5551</v>
      </c>
      <c r="I6916" s="1">
        <v>45730</v>
      </c>
      <c r="K6916">
        <v>54000</v>
      </c>
      <c r="L6916" t="s">
        <v>6803</v>
      </c>
    </row>
    <row r="6917" spans="1:12" x14ac:dyDescent="0.35">
      <c r="A6917" t="s">
        <v>131</v>
      </c>
      <c r="B6917" s="1">
        <v>45730</v>
      </c>
      <c r="C6917" t="s">
        <v>5619</v>
      </c>
      <c r="D6917" t="s">
        <v>5619</v>
      </c>
      <c r="F6917" t="s">
        <v>8423</v>
      </c>
      <c r="H6917" t="s">
        <v>5551</v>
      </c>
      <c r="I6917" s="1">
        <v>45730</v>
      </c>
      <c r="K6917">
        <v>300000</v>
      </c>
      <c r="L6917" t="s">
        <v>5972</v>
      </c>
    </row>
    <row r="6918" spans="1:12" x14ac:dyDescent="0.35">
      <c r="A6918" t="s">
        <v>131</v>
      </c>
      <c r="B6918" s="1">
        <v>45730</v>
      </c>
      <c r="C6918" t="s">
        <v>5620</v>
      </c>
      <c r="D6918" t="s">
        <v>5620</v>
      </c>
      <c r="F6918" t="s">
        <v>7831</v>
      </c>
      <c r="G6918" t="s">
        <v>9899</v>
      </c>
      <c r="H6918" t="s">
        <v>5621</v>
      </c>
      <c r="I6918" s="1">
        <v>45761</v>
      </c>
      <c r="J6918">
        <v>43245090</v>
      </c>
      <c r="L6918" t="s">
        <v>6803</v>
      </c>
    </row>
    <row r="6919" spans="1:12" x14ac:dyDescent="0.35">
      <c r="A6919" t="s">
        <v>131</v>
      </c>
      <c r="B6919" s="1">
        <v>45730</v>
      </c>
      <c r="C6919" t="s">
        <v>5620</v>
      </c>
      <c r="D6919" t="s">
        <v>5620</v>
      </c>
      <c r="F6919" t="s">
        <v>8419</v>
      </c>
      <c r="H6919" t="s">
        <v>5621</v>
      </c>
      <c r="I6919" s="1">
        <v>45761</v>
      </c>
      <c r="K6919">
        <v>6596709</v>
      </c>
      <c r="L6919" t="s">
        <v>6803</v>
      </c>
    </row>
    <row r="6920" spans="1:12" x14ac:dyDescent="0.35">
      <c r="A6920" t="s">
        <v>131</v>
      </c>
      <c r="B6920" s="1">
        <v>45730</v>
      </c>
      <c r="C6920" t="s">
        <v>5620</v>
      </c>
      <c r="D6920" t="s">
        <v>5620</v>
      </c>
      <c r="F6920" t="s">
        <v>8423</v>
      </c>
      <c r="H6920" t="s">
        <v>5621</v>
      </c>
      <c r="I6920" s="1">
        <v>45761</v>
      </c>
      <c r="K6920">
        <v>20598381</v>
      </c>
      <c r="L6920" t="s">
        <v>5975</v>
      </c>
    </row>
    <row r="6921" spans="1:12" x14ac:dyDescent="0.35">
      <c r="A6921" t="s">
        <v>131</v>
      </c>
      <c r="B6921" s="1">
        <v>45730</v>
      </c>
      <c r="C6921" t="s">
        <v>5620</v>
      </c>
      <c r="D6921" t="s">
        <v>5620</v>
      </c>
      <c r="F6921" t="s">
        <v>8427</v>
      </c>
      <c r="H6921" t="s">
        <v>5621</v>
      </c>
      <c r="I6921" s="1">
        <v>45761</v>
      </c>
      <c r="K6921">
        <v>16050000</v>
      </c>
      <c r="L6921" t="s">
        <v>5972</v>
      </c>
    </row>
    <row r="6922" spans="1:12" x14ac:dyDescent="0.35">
      <c r="A6922" t="s">
        <v>131</v>
      </c>
      <c r="B6922" s="1">
        <v>45730</v>
      </c>
      <c r="C6922" t="s">
        <v>5622</v>
      </c>
      <c r="D6922" t="s">
        <v>5622</v>
      </c>
      <c r="F6922" t="s">
        <v>7823</v>
      </c>
      <c r="G6922" t="s">
        <v>7877</v>
      </c>
      <c r="H6922" t="s">
        <v>5508</v>
      </c>
      <c r="I6922" s="1">
        <v>45761</v>
      </c>
      <c r="J6922">
        <v>1099170</v>
      </c>
      <c r="L6922" t="s">
        <v>6803</v>
      </c>
    </row>
    <row r="6923" spans="1:12" x14ac:dyDescent="0.35">
      <c r="A6923" t="s">
        <v>131</v>
      </c>
      <c r="B6923" s="1">
        <v>45730</v>
      </c>
      <c r="C6923" t="s">
        <v>5622</v>
      </c>
      <c r="D6923" t="s">
        <v>5622</v>
      </c>
      <c r="F6923" t="s">
        <v>7823</v>
      </c>
      <c r="G6923" t="s">
        <v>7877</v>
      </c>
      <c r="H6923" t="s">
        <v>5611</v>
      </c>
      <c r="I6923" s="1">
        <v>45761</v>
      </c>
      <c r="J6923">
        <v>-1099170</v>
      </c>
      <c r="L6923" t="s">
        <v>6803</v>
      </c>
    </row>
    <row r="6924" spans="1:12" x14ac:dyDescent="0.35">
      <c r="A6924" t="s">
        <v>131</v>
      </c>
      <c r="B6924" s="1">
        <v>45730</v>
      </c>
      <c r="C6924" t="s">
        <v>5622</v>
      </c>
      <c r="D6924" t="s">
        <v>5622</v>
      </c>
      <c r="F6924" t="s">
        <v>8419</v>
      </c>
      <c r="H6924" t="s">
        <v>5508</v>
      </c>
      <c r="I6924" s="1">
        <v>45761</v>
      </c>
      <c r="K6924">
        <v>167670</v>
      </c>
      <c r="L6924" t="s">
        <v>6803</v>
      </c>
    </row>
    <row r="6925" spans="1:12" x14ac:dyDescent="0.35">
      <c r="A6925" t="s">
        <v>131</v>
      </c>
      <c r="B6925" s="1">
        <v>45730</v>
      </c>
      <c r="C6925" t="s">
        <v>5622</v>
      </c>
      <c r="D6925" t="s">
        <v>5622</v>
      </c>
      <c r="F6925" t="s">
        <v>8419</v>
      </c>
      <c r="H6925" t="s">
        <v>5611</v>
      </c>
      <c r="I6925" s="1">
        <v>45761</v>
      </c>
      <c r="K6925">
        <v>-167670</v>
      </c>
      <c r="L6925" t="s">
        <v>6803</v>
      </c>
    </row>
    <row r="6926" spans="1:12" x14ac:dyDescent="0.35">
      <c r="A6926" t="s">
        <v>131</v>
      </c>
      <c r="B6926" s="1">
        <v>45730</v>
      </c>
      <c r="C6926" t="s">
        <v>5622</v>
      </c>
      <c r="D6926" t="s">
        <v>5622</v>
      </c>
      <c r="F6926" t="s">
        <v>8423</v>
      </c>
      <c r="H6926" t="s">
        <v>5508</v>
      </c>
      <c r="I6926" s="1">
        <v>45761</v>
      </c>
      <c r="K6926">
        <v>931500</v>
      </c>
      <c r="L6926" t="s">
        <v>5977</v>
      </c>
    </row>
    <row r="6927" spans="1:12" x14ac:dyDescent="0.35">
      <c r="A6927" t="s">
        <v>131</v>
      </c>
      <c r="B6927" s="1">
        <v>45730</v>
      </c>
      <c r="C6927" t="s">
        <v>5622</v>
      </c>
      <c r="D6927" t="s">
        <v>5622</v>
      </c>
      <c r="F6927" t="s">
        <v>8423</v>
      </c>
      <c r="H6927" t="s">
        <v>5611</v>
      </c>
      <c r="I6927" s="1">
        <v>45761</v>
      </c>
      <c r="K6927">
        <v>-931500</v>
      </c>
      <c r="L6927" t="s">
        <v>5977</v>
      </c>
    </row>
    <row r="6928" spans="1:12" x14ac:dyDescent="0.35">
      <c r="A6928" t="s">
        <v>131</v>
      </c>
      <c r="B6928" s="1">
        <v>45730</v>
      </c>
      <c r="C6928" t="s">
        <v>5623</v>
      </c>
      <c r="D6928" t="s">
        <v>5623</v>
      </c>
      <c r="F6928" t="s">
        <v>7823</v>
      </c>
      <c r="G6928" t="s">
        <v>7877</v>
      </c>
      <c r="H6928" t="s">
        <v>5508</v>
      </c>
      <c r="I6928" s="1">
        <v>45761</v>
      </c>
      <c r="J6928">
        <v>1099170</v>
      </c>
      <c r="L6928" t="s">
        <v>6803</v>
      </c>
    </row>
    <row r="6929" spans="1:12" x14ac:dyDescent="0.35">
      <c r="A6929" t="s">
        <v>131</v>
      </c>
      <c r="B6929" s="1">
        <v>45730</v>
      </c>
      <c r="C6929" t="s">
        <v>5623</v>
      </c>
      <c r="D6929" t="s">
        <v>5623</v>
      </c>
      <c r="F6929" t="s">
        <v>7823</v>
      </c>
      <c r="G6929" t="s">
        <v>7877</v>
      </c>
      <c r="H6929" t="s">
        <v>5611</v>
      </c>
      <c r="I6929" s="1">
        <v>45761</v>
      </c>
      <c r="J6929">
        <v>-1099170</v>
      </c>
      <c r="L6929" t="s">
        <v>6803</v>
      </c>
    </row>
    <row r="6930" spans="1:12" x14ac:dyDescent="0.35">
      <c r="A6930" t="s">
        <v>131</v>
      </c>
      <c r="B6930" s="1">
        <v>45730</v>
      </c>
      <c r="C6930" t="s">
        <v>5623</v>
      </c>
      <c r="D6930" t="s">
        <v>5623</v>
      </c>
      <c r="F6930" t="s">
        <v>8419</v>
      </c>
      <c r="H6930" t="s">
        <v>5508</v>
      </c>
      <c r="I6930" s="1">
        <v>45761</v>
      </c>
      <c r="K6930">
        <v>167670</v>
      </c>
      <c r="L6930" t="s">
        <v>6803</v>
      </c>
    </row>
    <row r="6931" spans="1:12" x14ac:dyDescent="0.35">
      <c r="A6931" t="s">
        <v>131</v>
      </c>
      <c r="B6931" s="1">
        <v>45730</v>
      </c>
      <c r="C6931" t="s">
        <v>5623</v>
      </c>
      <c r="D6931" t="s">
        <v>5623</v>
      </c>
      <c r="F6931" t="s">
        <v>8419</v>
      </c>
      <c r="H6931" t="s">
        <v>5611</v>
      </c>
      <c r="I6931" s="1">
        <v>45761</v>
      </c>
      <c r="K6931">
        <v>-167670</v>
      </c>
      <c r="L6931" t="s">
        <v>6803</v>
      </c>
    </row>
    <row r="6932" spans="1:12" x14ac:dyDescent="0.35">
      <c r="A6932" t="s">
        <v>131</v>
      </c>
      <c r="B6932" s="1">
        <v>45730</v>
      </c>
      <c r="C6932" t="s">
        <v>5623</v>
      </c>
      <c r="D6932" t="s">
        <v>5623</v>
      </c>
      <c r="F6932" t="s">
        <v>8423</v>
      </c>
      <c r="H6932" t="s">
        <v>5508</v>
      </c>
      <c r="I6932" s="1">
        <v>45761</v>
      </c>
      <c r="K6932">
        <v>931500</v>
      </c>
      <c r="L6932" t="s">
        <v>5977</v>
      </c>
    </row>
    <row r="6933" spans="1:12" x14ac:dyDescent="0.35">
      <c r="A6933" t="s">
        <v>131</v>
      </c>
      <c r="B6933" s="1">
        <v>45730</v>
      </c>
      <c r="C6933" t="s">
        <v>5623</v>
      </c>
      <c r="D6933" t="s">
        <v>5623</v>
      </c>
      <c r="F6933" t="s">
        <v>8423</v>
      </c>
      <c r="H6933" t="s">
        <v>5611</v>
      </c>
      <c r="I6933" s="1">
        <v>45761</v>
      </c>
      <c r="K6933">
        <v>-931500</v>
      </c>
      <c r="L6933" t="s">
        <v>5977</v>
      </c>
    </row>
    <row r="6934" spans="1:12" x14ac:dyDescent="0.35">
      <c r="A6934" t="s">
        <v>131</v>
      </c>
      <c r="B6934" s="1">
        <v>45730</v>
      </c>
      <c r="C6934" t="s">
        <v>5624</v>
      </c>
      <c r="D6934" t="s">
        <v>5624</v>
      </c>
      <c r="F6934" t="s">
        <v>7823</v>
      </c>
      <c r="G6934" t="s">
        <v>7877</v>
      </c>
      <c r="H6934" t="s">
        <v>5508</v>
      </c>
      <c r="I6934" s="1">
        <v>45761</v>
      </c>
      <c r="J6934">
        <v>479397</v>
      </c>
      <c r="L6934" t="s">
        <v>6803</v>
      </c>
    </row>
    <row r="6935" spans="1:12" x14ac:dyDescent="0.35">
      <c r="A6935" t="s">
        <v>131</v>
      </c>
      <c r="B6935" s="1">
        <v>45730</v>
      </c>
      <c r="C6935" t="s">
        <v>5624</v>
      </c>
      <c r="D6935" t="s">
        <v>5624</v>
      </c>
      <c r="F6935" t="s">
        <v>7823</v>
      </c>
      <c r="G6935" t="s">
        <v>7877</v>
      </c>
      <c r="H6935" t="s">
        <v>5611</v>
      </c>
      <c r="I6935" s="1">
        <v>45761</v>
      </c>
      <c r="J6935">
        <v>-479397</v>
      </c>
      <c r="L6935" t="s">
        <v>6803</v>
      </c>
    </row>
    <row r="6936" spans="1:12" x14ac:dyDescent="0.35">
      <c r="A6936" t="s">
        <v>131</v>
      </c>
      <c r="B6936" s="1">
        <v>45730</v>
      </c>
      <c r="C6936" t="s">
        <v>5624</v>
      </c>
      <c r="D6936" t="s">
        <v>5624</v>
      </c>
      <c r="F6936" t="s">
        <v>8424</v>
      </c>
      <c r="H6936" t="s">
        <v>5508</v>
      </c>
      <c r="I6936" s="1">
        <v>45761</v>
      </c>
      <c r="K6936">
        <v>479397</v>
      </c>
      <c r="L6936" t="s">
        <v>5977</v>
      </c>
    </row>
    <row r="6937" spans="1:12" x14ac:dyDescent="0.35">
      <c r="A6937" t="s">
        <v>131</v>
      </c>
      <c r="B6937" s="1">
        <v>45730</v>
      </c>
      <c r="C6937" t="s">
        <v>5624</v>
      </c>
      <c r="D6937" t="s">
        <v>5624</v>
      </c>
      <c r="F6937" t="s">
        <v>8424</v>
      </c>
      <c r="H6937" t="s">
        <v>5611</v>
      </c>
      <c r="I6937" s="1">
        <v>45761</v>
      </c>
      <c r="K6937">
        <v>-479397</v>
      </c>
      <c r="L6937" t="s">
        <v>5977</v>
      </c>
    </row>
    <row r="6938" spans="1:12" x14ac:dyDescent="0.35">
      <c r="A6938" t="s">
        <v>131</v>
      </c>
      <c r="B6938" s="1">
        <v>45731</v>
      </c>
      <c r="C6938" t="s">
        <v>5625</v>
      </c>
      <c r="D6938" t="s">
        <v>5625</v>
      </c>
      <c r="F6938" t="s">
        <v>7823</v>
      </c>
      <c r="G6938" t="s">
        <v>7877</v>
      </c>
      <c r="H6938" t="s">
        <v>5508</v>
      </c>
      <c r="I6938" s="1">
        <v>45762</v>
      </c>
      <c r="J6938">
        <v>1099170</v>
      </c>
      <c r="L6938" t="s">
        <v>6803</v>
      </c>
    </row>
    <row r="6939" spans="1:12" x14ac:dyDescent="0.35">
      <c r="A6939" t="s">
        <v>131</v>
      </c>
      <c r="B6939" s="1">
        <v>45731</v>
      </c>
      <c r="C6939" t="s">
        <v>5625</v>
      </c>
      <c r="D6939" t="s">
        <v>5625</v>
      </c>
      <c r="F6939" t="s">
        <v>8419</v>
      </c>
      <c r="H6939" t="s">
        <v>5508</v>
      </c>
      <c r="I6939" s="1">
        <v>45762</v>
      </c>
      <c r="K6939">
        <v>167670</v>
      </c>
      <c r="L6939" t="s">
        <v>6803</v>
      </c>
    </row>
    <row r="6940" spans="1:12" x14ac:dyDescent="0.35">
      <c r="A6940" t="s">
        <v>131</v>
      </c>
      <c r="B6940" s="1">
        <v>45731</v>
      </c>
      <c r="C6940" t="s">
        <v>5625</v>
      </c>
      <c r="D6940" t="s">
        <v>5625</v>
      </c>
      <c r="F6940" t="s">
        <v>8423</v>
      </c>
      <c r="H6940" t="s">
        <v>5508</v>
      </c>
      <c r="I6940" s="1">
        <v>45762</v>
      </c>
      <c r="K6940">
        <v>931500</v>
      </c>
      <c r="L6940" t="s">
        <v>5977</v>
      </c>
    </row>
    <row r="6941" spans="1:12" x14ac:dyDescent="0.35">
      <c r="A6941" t="s">
        <v>131</v>
      </c>
      <c r="B6941" s="1">
        <v>45731</v>
      </c>
      <c r="C6941" t="s">
        <v>5626</v>
      </c>
      <c r="D6941" t="s">
        <v>5626</v>
      </c>
      <c r="F6941" t="s">
        <v>7823</v>
      </c>
      <c r="G6941" t="s">
        <v>7877</v>
      </c>
      <c r="H6941" t="s">
        <v>5508</v>
      </c>
      <c r="I6941" s="1">
        <v>45762</v>
      </c>
      <c r="J6941">
        <v>1099170</v>
      </c>
      <c r="L6941" t="s">
        <v>6803</v>
      </c>
    </row>
    <row r="6942" spans="1:12" x14ac:dyDescent="0.35">
      <c r="A6942" t="s">
        <v>131</v>
      </c>
      <c r="B6942" s="1">
        <v>45731</v>
      </c>
      <c r="C6942" t="s">
        <v>5626</v>
      </c>
      <c r="D6942" t="s">
        <v>5626</v>
      </c>
      <c r="F6942" t="s">
        <v>8419</v>
      </c>
      <c r="H6942" t="s">
        <v>5508</v>
      </c>
      <c r="I6942" s="1">
        <v>45762</v>
      </c>
      <c r="K6942">
        <v>167670</v>
      </c>
      <c r="L6942" t="s">
        <v>6803</v>
      </c>
    </row>
    <row r="6943" spans="1:12" x14ac:dyDescent="0.35">
      <c r="A6943" t="s">
        <v>131</v>
      </c>
      <c r="B6943" s="1">
        <v>45731</v>
      </c>
      <c r="C6943" t="s">
        <v>5626</v>
      </c>
      <c r="D6943" t="s">
        <v>5626</v>
      </c>
      <c r="F6943" t="s">
        <v>8423</v>
      </c>
      <c r="H6943" t="s">
        <v>5508</v>
      </c>
      <c r="I6943" s="1">
        <v>45762</v>
      </c>
      <c r="K6943">
        <v>931500</v>
      </c>
      <c r="L6943" t="s">
        <v>5977</v>
      </c>
    </row>
    <row r="6944" spans="1:12" x14ac:dyDescent="0.35">
      <c r="A6944" t="s">
        <v>131</v>
      </c>
      <c r="B6944" s="1">
        <v>45731</v>
      </c>
      <c r="C6944" t="s">
        <v>5627</v>
      </c>
      <c r="D6944" t="s">
        <v>5627</v>
      </c>
      <c r="F6944" t="s">
        <v>7823</v>
      </c>
      <c r="G6944" t="s">
        <v>7877</v>
      </c>
      <c r="H6944" t="s">
        <v>5508</v>
      </c>
      <c r="I6944" s="1">
        <v>45762</v>
      </c>
      <c r="J6944">
        <v>1099170</v>
      </c>
      <c r="L6944" t="s">
        <v>6803</v>
      </c>
    </row>
    <row r="6945" spans="1:12" x14ac:dyDescent="0.35">
      <c r="A6945" t="s">
        <v>131</v>
      </c>
      <c r="B6945" s="1">
        <v>45731</v>
      </c>
      <c r="C6945" t="s">
        <v>5627</v>
      </c>
      <c r="D6945" t="s">
        <v>5627</v>
      </c>
      <c r="F6945" t="s">
        <v>8419</v>
      </c>
      <c r="H6945" t="s">
        <v>5508</v>
      </c>
      <c r="I6945" s="1">
        <v>45762</v>
      </c>
      <c r="K6945">
        <v>167670</v>
      </c>
      <c r="L6945" t="s">
        <v>6803</v>
      </c>
    </row>
    <row r="6946" spans="1:12" x14ac:dyDescent="0.35">
      <c r="A6946" t="s">
        <v>131</v>
      </c>
      <c r="B6946" s="1">
        <v>45731</v>
      </c>
      <c r="C6946" t="s">
        <v>5627</v>
      </c>
      <c r="D6946" t="s">
        <v>5627</v>
      </c>
      <c r="F6946" t="s">
        <v>8423</v>
      </c>
      <c r="H6946" t="s">
        <v>5508</v>
      </c>
      <c r="I6946" s="1">
        <v>45762</v>
      </c>
      <c r="K6946">
        <v>931500</v>
      </c>
      <c r="L6946" t="s">
        <v>5977</v>
      </c>
    </row>
    <row r="6947" spans="1:12" x14ac:dyDescent="0.35">
      <c r="A6947" t="s">
        <v>131</v>
      </c>
      <c r="B6947" s="1">
        <v>45731</v>
      </c>
      <c r="C6947" t="s">
        <v>5628</v>
      </c>
      <c r="D6947" t="s">
        <v>5628</v>
      </c>
      <c r="F6947" t="s">
        <v>7823</v>
      </c>
      <c r="G6947" t="s">
        <v>7877</v>
      </c>
      <c r="H6947" t="s">
        <v>5508</v>
      </c>
      <c r="I6947" s="1">
        <v>45762</v>
      </c>
      <c r="J6947">
        <v>1099170</v>
      </c>
      <c r="L6947" t="s">
        <v>6803</v>
      </c>
    </row>
    <row r="6948" spans="1:12" x14ac:dyDescent="0.35">
      <c r="A6948" t="s">
        <v>131</v>
      </c>
      <c r="B6948" s="1">
        <v>45731</v>
      </c>
      <c r="C6948" t="s">
        <v>5628</v>
      </c>
      <c r="D6948" t="s">
        <v>5628</v>
      </c>
      <c r="F6948" t="s">
        <v>8419</v>
      </c>
      <c r="H6948" t="s">
        <v>5508</v>
      </c>
      <c r="I6948" s="1">
        <v>45762</v>
      </c>
      <c r="K6948">
        <v>167670</v>
      </c>
      <c r="L6948" t="s">
        <v>6803</v>
      </c>
    </row>
    <row r="6949" spans="1:12" x14ac:dyDescent="0.35">
      <c r="A6949" t="s">
        <v>131</v>
      </c>
      <c r="B6949" s="1">
        <v>45731</v>
      </c>
      <c r="C6949" t="s">
        <v>5628</v>
      </c>
      <c r="D6949" t="s">
        <v>5628</v>
      </c>
      <c r="F6949" t="s">
        <v>8423</v>
      </c>
      <c r="H6949" t="s">
        <v>5508</v>
      </c>
      <c r="I6949" s="1">
        <v>45762</v>
      </c>
      <c r="K6949">
        <v>931500</v>
      </c>
      <c r="L6949" t="s">
        <v>5977</v>
      </c>
    </row>
    <row r="6950" spans="1:12" x14ac:dyDescent="0.35">
      <c r="A6950" t="s">
        <v>131</v>
      </c>
      <c r="B6950" s="1">
        <v>45732</v>
      </c>
      <c r="C6950" t="s">
        <v>5629</v>
      </c>
      <c r="D6950" t="s">
        <v>5629</v>
      </c>
      <c r="F6950" t="s">
        <v>7823</v>
      </c>
      <c r="G6950" t="s">
        <v>7877</v>
      </c>
      <c r="H6950" t="s">
        <v>5508</v>
      </c>
      <c r="I6950" s="1">
        <v>45763</v>
      </c>
      <c r="J6950">
        <v>7347902</v>
      </c>
      <c r="L6950" t="s">
        <v>6803</v>
      </c>
    </row>
    <row r="6951" spans="1:12" x14ac:dyDescent="0.35">
      <c r="A6951" t="s">
        <v>131</v>
      </c>
      <c r="B6951" s="1">
        <v>45732</v>
      </c>
      <c r="C6951" t="s">
        <v>5629</v>
      </c>
      <c r="D6951" t="s">
        <v>5629</v>
      </c>
      <c r="F6951" t="s">
        <v>8423</v>
      </c>
      <c r="H6951" t="s">
        <v>5508</v>
      </c>
      <c r="I6951" s="1">
        <v>45763</v>
      </c>
      <c r="K6951">
        <v>7347902</v>
      </c>
      <c r="L6951" t="s">
        <v>5975</v>
      </c>
    </row>
    <row r="6952" spans="1:12" x14ac:dyDescent="0.35">
      <c r="A6952" t="s">
        <v>131</v>
      </c>
      <c r="B6952" s="1">
        <v>45732</v>
      </c>
      <c r="C6952" t="s">
        <v>5630</v>
      </c>
      <c r="D6952" t="s">
        <v>5630</v>
      </c>
      <c r="F6952" t="s">
        <v>7823</v>
      </c>
      <c r="G6952" t="s">
        <v>7877</v>
      </c>
      <c r="H6952" t="s">
        <v>5508</v>
      </c>
      <c r="I6952" s="1">
        <v>45763</v>
      </c>
      <c r="J6952">
        <v>2412822</v>
      </c>
      <c r="L6952" t="s">
        <v>6803</v>
      </c>
    </row>
    <row r="6953" spans="1:12" x14ac:dyDescent="0.35">
      <c r="A6953" t="s">
        <v>131</v>
      </c>
      <c r="B6953" s="1">
        <v>45732</v>
      </c>
      <c r="C6953" t="s">
        <v>5630</v>
      </c>
      <c r="D6953" t="s">
        <v>5630</v>
      </c>
      <c r="F6953" t="s">
        <v>8424</v>
      </c>
      <c r="H6953" t="s">
        <v>5508</v>
      </c>
      <c r="I6953" s="1">
        <v>45763</v>
      </c>
      <c r="K6953">
        <v>2412822</v>
      </c>
      <c r="L6953" t="s">
        <v>5977</v>
      </c>
    </row>
    <row r="6954" spans="1:12" x14ac:dyDescent="0.35">
      <c r="A6954" t="s">
        <v>131</v>
      </c>
      <c r="B6954" s="1">
        <v>45732</v>
      </c>
      <c r="C6954" t="s">
        <v>5631</v>
      </c>
      <c r="D6954" t="s">
        <v>5631</v>
      </c>
      <c r="F6954" t="s">
        <v>7823</v>
      </c>
      <c r="G6954" t="s">
        <v>7877</v>
      </c>
      <c r="H6954" t="s">
        <v>5508</v>
      </c>
      <c r="I6954" s="1">
        <v>45763</v>
      </c>
      <c r="J6954">
        <v>6032055</v>
      </c>
      <c r="L6954" t="s">
        <v>6803</v>
      </c>
    </row>
    <row r="6955" spans="1:12" x14ac:dyDescent="0.35">
      <c r="A6955" t="s">
        <v>131</v>
      </c>
      <c r="B6955" s="1">
        <v>45732</v>
      </c>
      <c r="C6955" t="s">
        <v>5631</v>
      </c>
      <c r="D6955" t="s">
        <v>5631</v>
      </c>
      <c r="F6955" t="s">
        <v>8424</v>
      </c>
      <c r="H6955" t="s">
        <v>5508</v>
      </c>
      <c r="I6955" s="1">
        <v>45763</v>
      </c>
      <c r="K6955">
        <v>6032055</v>
      </c>
      <c r="L6955" t="s">
        <v>5977</v>
      </c>
    </row>
    <row r="6956" spans="1:12" x14ac:dyDescent="0.35">
      <c r="A6956" t="s">
        <v>131</v>
      </c>
      <c r="B6956" s="1">
        <v>45732</v>
      </c>
      <c r="C6956" t="s">
        <v>5632</v>
      </c>
      <c r="D6956" t="s">
        <v>5632</v>
      </c>
      <c r="F6956" t="s">
        <v>7823</v>
      </c>
      <c r="G6956" t="s">
        <v>7877</v>
      </c>
      <c r="H6956" t="s">
        <v>5508</v>
      </c>
      <c r="I6956" s="1">
        <v>45763</v>
      </c>
      <c r="J6956">
        <v>7347902</v>
      </c>
      <c r="L6956" t="s">
        <v>6803</v>
      </c>
    </row>
    <row r="6957" spans="1:12" x14ac:dyDescent="0.35">
      <c r="A6957" t="s">
        <v>131</v>
      </c>
      <c r="B6957" s="1">
        <v>45732</v>
      </c>
      <c r="C6957" t="s">
        <v>5632</v>
      </c>
      <c r="D6957" t="s">
        <v>5632</v>
      </c>
      <c r="F6957" t="s">
        <v>8423</v>
      </c>
      <c r="H6957" t="s">
        <v>5508</v>
      </c>
      <c r="I6957" s="1">
        <v>45763</v>
      </c>
      <c r="K6957">
        <v>7347902</v>
      </c>
      <c r="L6957" t="s">
        <v>5975</v>
      </c>
    </row>
    <row r="6958" spans="1:12" x14ac:dyDescent="0.35">
      <c r="A6958" t="s">
        <v>131</v>
      </c>
      <c r="B6958" s="1">
        <v>45733</v>
      </c>
      <c r="C6958" t="s">
        <v>5633</v>
      </c>
      <c r="D6958" t="s">
        <v>5633</v>
      </c>
      <c r="F6958" t="s">
        <v>7823</v>
      </c>
      <c r="G6958" t="s">
        <v>7877</v>
      </c>
      <c r="H6958" t="s">
        <v>5508</v>
      </c>
      <c r="I6958" s="1">
        <v>45764</v>
      </c>
      <c r="J6958">
        <v>2198340</v>
      </c>
      <c r="L6958" t="s">
        <v>6803</v>
      </c>
    </row>
    <row r="6959" spans="1:12" x14ac:dyDescent="0.35">
      <c r="A6959" t="s">
        <v>131</v>
      </c>
      <c r="B6959" s="1">
        <v>45733</v>
      </c>
      <c r="C6959" t="s">
        <v>5633</v>
      </c>
      <c r="D6959" t="s">
        <v>5633</v>
      </c>
      <c r="F6959" t="s">
        <v>8419</v>
      </c>
      <c r="H6959" t="s">
        <v>5508</v>
      </c>
      <c r="I6959" s="1">
        <v>45764</v>
      </c>
      <c r="K6959">
        <v>335340</v>
      </c>
      <c r="L6959" t="s">
        <v>6803</v>
      </c>
    </row>
    <row r="6960" spans="1:12" x14ac:dyDescent="0.35">
      <c r="A6960" t="s">
        <v>131</v>
      </c>
      <c r="B6960" s="1">
        <v>45733</v>
      </c>
      <c r="C6960" t="s">
        <v>5633</v>
      </c>
      <c r="D6960" t="s">
        <v>5633</v>
      </c>
      <c r="F6960" t="s">
        <v>8423</v>
      </c>
      <c r="H6960" t="s">
        <v>5508</v>
      </c>
      <c r="I6960" s="1">
        <v>45764</v>
      </c>
      <c r="K6960">
        <v>1863000</v>
      </c>
      <c r="L6960" t="s">
        <v>5975</v>
      </c>
    </row>
    <row r="6961" spans="1:12" x14ac:dyDescent="0.35">
      <c r="A6961" t="s">
        <v>131</v>
      </c>
      <c r="B6961" s="1">
        <v>45733</v>
      </c>
      <c r="C6961" t="s">
        <v>5634</v>
      </c>
      <c r="D6961" t="s">
        <v>5634</v>
      </c>
      <c r="F6961" t="s">
        <v>7823</v>
      </c>
      <c r="G6961" t="s">
        <v>7877</v>
      </c>
      <c r="H6961" t="s">
        <v>5508</v>
      </c>
      <c r="I6961" s="1">
        <v>45764</v>
      </c>
      <c r="J6961">
        <v>879336</v>
      </c>
      <c r="L6961" t="s">
        <v>6803</v>
      </c>
    </row>
    <row r="6962" spans="1:12" x14ac:dyDescent="0.35">
      <c r="A6962" t="s">
        <v>131</v>
      </c>
      <c r="B6962" s="1">
        <v>45733</v>
      </c>
      <c r="C6962" t="s">
        <v>5634</v>
      </c>
      <c r="D6962" t="s">
        <v>5634</v>
      </c>
      <c r="F6962" t="s">
        <v>8419</v>
      </c>
      <c r="H6962" t="s">
        <v>5508</v>
      </c>
      <c r="I6962" s="1">
        <v>45764</v>
      </c>
      <c r="K6962">
        <v>134136</v>
      </c>
      <c r="L6962" t="s">
        <v>6803</v>
      </c>
    </row>
    <row r="6963" spans="1:12" x14ac:dyDescent="0.35">
      <c r="A6963" t="s">
        <v>131</v>
      </c>
      <c r="B6963" s="1">
        <v>45733</v>
      </c>
      <c r="C6963" t="s">
        <v>5634</v>
      </c>
      <c r="D6963" t="s">
        <v>5634</v>
      </c>
      <c r="F6963" t="s">
        <v>8423</v>
      </c>
      <c r="H6963" t="s">
        <v>5508</v>
      </c>
      <c r="I6963" s="1">
        <v>45764</v>
      </c>
      <c r="K6963">
        <v>745200</v>
      </c>
      <c r="L6963" t="s">
        <v>5975</v>
      </c>
    </row>
    <row r="6964" spans="1:12" x14ac:dyDescent="0.35">
      <c r="A6964" t="s">
        <v>131</v>
      </c>
      <c r="B6964" s="1">
        <v>45733</v>
      </c>
      <c r="C6964" t="s">
        <v>5635</v>
      </c>
      <c r="D6964" t="s">
        <v>5635</v>
      </c>
      <c r="F6964" t="s">
        <v>7823</v>
      </c>
      <c r="G6964" t="s">
        <v>7877</v>
      </c>
      <c r="H6964" t="s">
        <v>5508</v>
      </c>
      <c r="I6964" s="1">
        <v>45764</v>
      </c>
      <c r="J6964">
        <v>879336</v>
      </c>
      <c r="L6964" t="s">
        <v>6803</v>
      </c>
    </row>
    <row r="6965" spans="1:12" x14ac:dyDescent="0.35">
      <c r="A6965" t="s">
        <v>131</v>
      </c>
      <c r="B6965" s="1">
        <v>45733</v>
      </c>
      <c r="C6965" t="s">
        <v>5635</v>
      </c>
      <c r="D6965" t="s">
        <v>5635</v>
      </c>
      <c r="F6965" t="s">
        <v>8419</v>
      </c>
      <c r="H6965" t="s">
        <v>5508</v>
      </c>
      <c r="I6965" s="1">
        <v>45764</v>
      </c>
      <c r="K6965">
        <v>134136</v>
      </c>
      <c r="L6965" t="s">
        <v>6803</v>
      </c>
    </row>
    <row r="6966" spans="1:12" x14ac:dyDescent="0.35">
      <c r="A6966" t="s">
        <v>131</v>
      </c>
      <c r="B6966" s="1">
        <v>45733</v>
      </c>
      <c r="C6966" t="s">
        <v>5635</v>
      </c>
      <c r="D6966" t="s">
        <v>5635</v>
      </c>
      <c r="F6966" t="s">
        <v>8423</v>
      </c>
      <c r="H6966" t="s">
        <v>5508</v>
      </c>
      <c r="I6966" s="1">
        <v>45764</v>
      </c>
      <c r="K6966">
        <v>745200</v>
      </c>
      <c r="L6966" t="s">
        <v>5975</v>
      </c>
    </row>
    <row r="6967" spans="1:12" x14ac:dyDescent="0.35">
      <c r="A6967" t="s">
        <v>131</v>
      </c>
      <c r="B6967" s="1">
        <v>45733</v>
      </c>
      <c r="C6967" t="s">
        <v>5636</v>
      </c>
      <c r="D6967" t="s">
        <v>5636</v>
      </c>
      <c r="F6967" t="s">
        <v>7823</v>
      </c>
      <c r="G6967" t="s">
        <v>7877</v>
      </c>
      <c r="H6967" t="s">
        <v>5508</v>
      </c>
      <c r="I6967" s="1">
        <v>45764</v>
      </c>
      <c r="J6967">
        <v>5495850</v>
      </c>
      <c r="L6967" t="s">
        <v>6803</v>
      </c>
    </row>
    <row r="6968" spans="1:12" x14ac:dyDescent="0.35">
      <c r="A6968" t="s">
        <v>131</v>
      </c>
      <c r="B6968" s="1">
        <v>45733</v>
      </c>
      <c r="C6968" t="s">
        <v>5636</v>
      </c>
      <c r="D6968" t="s">
        <v>5636</v>
      </c>
      <c r="F6968" t="s">
        <v>8419</v>
      </c>
      <c r="H6968" t="s">
        <v>5508</v>
      </c>
      <c r="I6968" s="1">
        <v>45764</v>
      </c>
      <c r="K6968">
        <v>838350</v>
      </c>
      <c r="L6968" t="s">
        <v>6803</v>
      </c>
    </row>
    <row r="6969" spans="1:12" x14ac:dyDescent="0.35">
      <c r="A6969" t="s">
        <v>131</v>
      </c>
      <c r="B6969" s="1">
        <v>45733</v>
      </c>
      <c r="C6969" t="s">
        <v>5636</v>
      </c>
      <c r="D6969" t="s">
        <v>5636</v>
      </c>
      <c r="F6969" t="s">
        <v>8423</v>
      </c>
      <c r="H6969" t="s">
        <v>5508</v>
      </c>
      <c r="I6969" s="1">
        <v>45764</v>
      </c>
      <c r="K6969">
        <v>4657500</v>
      </c>
      <c r="L6969" t="s">
        <v>5975</v>
      </c>
    </row>
    <row r="6970" spans="1:12" x14ac:dyDescent="0.35">
      <c r="A6970" t="s">
        <v>131</v>
      </c>
      <c r="B6970" s="1">
        <v>45733</v>
      </c>
      <c r="C6970" t="s">
        <v>5637</v>
      </c>
      <c r="D6970" t="s">
        <v>5637</v>
      </c>
      <c r="F6970" t="s">
        <v>7823</v>
      </c>
      <c r="G6970" t="s">
        <v>7877</v>
      </c>
      <c r="H6970" t="s">
        <v>5508</v>
      </c>
      <c r="I6970" s="1">
        <v>45764</v>
      </c>
      <c r="J6970">
        <v>5495850</v>
      </c>
      <c r="L6970" t="s">
        <v>6803</v>
      </c>
    </row>
    <row r="6971" spans="1:12" x14ac:dyDescent="0.35">
      <c r="A6971" t="s">
        <v>131</v>
      </c>
      <c r="B6971" s="1">
        <v>45733</v>
      </c>
      <c r="C6971" t="s">
        <v>5637</v>
      </c>
      <c r="D6971" t="s">
        <v>5637</v>
      </c>
      <c r="F6971" t="s">
        <v>8419</v>
      </c>
      <c r="H6971" t="s">
        <v>5508</v>
      </c>
      <c r="I6971" s="1">
        <v>45764</v>
      </c>
      <c r="K6971">
        <v>838350</v>
      </c>
      <c r="L6971" t="s">
        <v>6803</v>
      </c>
    </row>
    <row r="6972" spans="1:12" x14ac:dyDescent="0.35">
      <c r="A6972" t="s">
        <v>131</v>
      </c>
      <c r="B6972" s="1">
        <v>45733</v>
      </c>
      <c r="C6972" t="s">
        <v>5637</v>
      </c>
      <c r="D6972" t="s">
        <v>5637</v>
      </c>
      <c r="F6972" t="s">
        <v>8423</v>
      </c>
      <c r="H6972" t="s">
        <v>5508</v>
      </c>
      <c r="I6972" s="1">
        <v>45764</v>
      </c>
      <c r="K6972">
        <v>4657500</v>
      </c>
      <c r="L6972" t="s">
        <v>5975</v>
      </c>
    </row>
    <row r="6973" spans="1:12" x14ac:dyDescent="0.35">
      <c r="A6973" t="s">
        <v>131</v>
      </c>
      <c r="B6973" s="1">
        <v>45733</v>
      </c>
      <c r="C6973" t="s">
        <v>5638</v>
      </c>
      <c r="D6973" t="s">
        <v>5638</v>
      </c>
      <c r="F6973" t="s">
        <v>7823</v>
      </c>
      <c r="G6973" t="s">
        <v>7877</v>
      </c>
      <c r="H6973" t="s">
        <v>5508</v>
      </c>
      <c r="I6973" s="1">
        <v>45764</v>
      </c>
      <c r="J6973">
        <v>304485</v>
      </c>
      <c r="L6973" t="s">
        <v>6803</v>
      </c>
    </row>
    <row r="6974" spans="1:12" x14ac:dyDescent="0.35">
      <c r="A6974" t="s">
        <v>131</v>
      </c>
      <c r="B6974" s="1">
        <v>45733</v>
      </c>
      <c r="C6974" t="s">
        <v>5638</v>
      </c>
      <c r="D6974" t="s">
        <v>5638</v>
      </c>
      <c r="F6974" t="s">
        <v>8419</v>
      </c>
      <c r="H6974" t="s">
        <v>5508</v>
      </c>
      <c r="I6974" s="1">
        <v>45764</v>
      </c>
      <c r="K6974">
        <v>46447</v>
      </c>
      <c r="L6974" t="s">
        <v>6803</v>
      </c>
    </row>
    <row r="6975" spans="1:12" x14ac:dyDescent="0.35">
      <c r="A6975" t="s">
        <v>131</v>
      </c>
      <c r="B6975" s="1">
        <v>45733</v>
      </c>
      <c r="C6975" t="s">
        <v>5638</v>
      </c>
      <c r="D6975" t="s">
        <v>5638</v>
      </c>
      <c r="F6975" t="s">
        <v>8423</v>
      </c>
      <c r="H6975" t="s">
        <v>5508</v>
      </c>
      <c r="I6975" s="1">
        <v>45764</v>
      </c>
      <c r="K6975">
        <v>258038</v>
      </c>
      <c r="L6975" t="s">
        <v>5975</v>
      </c>
    </row>
    <row r="6976" spans="1:12" x14ac:dyDescent="0.35">
      <c r="A6976" t="s">
        <v>131</v>
      </c>
      <c r="B6976" s="1">
        <v>45733</v>
      </c>
      <c r="C6976" t="s">
        <v>5639</v>
      </c>
      <c r="D6976" t="s">
        <v>5639</v>
      </c>
      <c r="F6976" t="s">
        <v>7823</v>
      </c>
      <c r="G6976" t="s">
        <v>7877</v>
      </c>
      <c r="H6976" t="s">
        <v>5508</v>
      </c>
      <c r="I6976" s="1">
        <v>45764</v>
      </c>
      <c r="J6976">
        <v>524864</v>
      </c>
      <c r="L6976" t="s">
        <v>6803</v>
      </c>
    </row>
    <row r="6977" spans="1:12" x14ac:dyDescent="0.35">
      <c r="A6977" t="s">
        <v>131</v>
      </c>
      <c r="B6977" s="1">
        <v>45733</v>
      </c>
      <c r="C6977" t="s">
        <v>5639</v>
      </c>
      <c r="D6977" t="s">
        <v>5639</v>
      </c>
      <c r="F6977" t="s">
        <v>8419</v>
      </c>
      <c r="H6977" t="s">
        <v>5508</v>
      </c>
      <c r="I6977" s="1">
        <v>45764</v>
      </c>
      <c r="K6977">
        <v>80064</v>
      </c>
      <c r="L6977" t="s">
        <v>6803</v>
      </c>
    </row>
    <row r="6978" spans="1:12" x14ac:dyDescent="0.35">
      <c r="A6978" t="s">
        <v>131</v>
      </c>
      <c r="B6978" s="1">
        <v>45733</v>
      </c>
      <c r="C6978" t="s">
        <v>5639</v>
      </c>
      <c r="D6978" t="s">
        <v>5639</v>
      </c>
      <c r="F6978" t="s">
        <v>8423</v>
      </c>
      <c r="H6978" t="s">
        <v>5508</v>
      </c>
      <c r="I6978" s="1">
        <v>45764</v>
      </c>
      <c r="K6978">
        <v>444800</v>
      </c>
      <c r="L6978" t="s">
        <v>5975</v>
      </c>
    </row>
    <row r="6979" spans="1:12" x14ac:dyDescent="0.35">
      <c r="A6979" t="s">
        <v>131</v>
      </c>
      <c r="B6979" s="1">
        <v>45733</v>
      </c>
      <c r="C6979" t="s">
        <v>5640</v>
      </c>
      <c r="D6979" t="s">
        <v>5640</v>
      </c>
      <c r="F6979" t="s">
        <v>7831</v>
      </c>
      <c r="G6979" t="s">
        <v>8393</v>
      </c>
      <c r="H6979" t="s">
        <v>5518</v>
      </c>
      <c r="I6979" s="1">
        <v>45764</v>
      </c>
      <c r="J6979">
        <v>944000</v>
      </c>
      <c r="L6979" t="s">
        <v>6803</v>
      </c>
    </row>
    <row r="6980" spans="1:12" x14ac:dyDescent="0.35">
      <c r="A6980" t="s">
        <v>131</v>
      </c>
      <c r="B6980" s="1">
        <v>45733</v>
      </c>
      <c r="C6980" t="s">
        <v>5640</v>
      </c>
      <c r="D6980" t="s">
        <v>5640</v>
      </c>
      <c r="F6980" t="s">
        <v>8419</v>
      </c>
      <c r="H6980" t="s">
        <v>5518</v>
      </c>
      <c r="I6980" s="1">
        <v>45764</v>
      </c>
      <c r="K6980">
        <v>108000</v>
      </c>
      <c r="L6980" t="s">
        <v>6803</v>
      </c>
    </row>
    <row r="6981" spans="1:12" x14ac:dyDescent="0.35">
      <c r="A6981" t="s">
        <v>131</v>
      </c>
      <c r="B6981" s="1">
        <v>45733</v>
      </c>
      <c r="C6981" t="s">
        <v>5640</v>
      </c>
      <c r="D6981" t="s">
        <v>5640</v>
      </c>
      <c r="F6981" t="s">
        <v>7701</v>
      </c>
      <c r="H6981" t="s">
        <v>5518</v>
      </c>
      <c r="I6981" s="1">
        <v>45764</v>
      </c>
      <c r="K6981">
        <v>236000</v>
      </c>
      <c r="L6981" t="s">
        <v>350</v>
      </c>
    </row>
    <row r="6982" spans="1:12" x14ac:dyDescent="0.35">
      <c r="A6982" t="s">
        <v>131</v>
      </c>
      <c r="B6982" s="1">
        <v>45733</v>
      </c>
      <c r="C6982" t="s">
        <v>5640</v>
      </c>
      <c r="D6982" t="s">
        <v>5640</v>
      </c>
      <c r="F6982" t="s">
        <v>8423</v>
      </c>
      <c r="H6982" t="s">
        <v>5518</v>
      </c>
      <c r="I6982" s="1">
        <v>45764</v>
      </c>
      <c r="K6982">
        <v>600000</v>
      </c>
      <c r="L6982" t="s">
        <v>5972</v>
      </c>
    </row>
    <row r="6983" spans="1:12" x14ac:dyDescent="0.35">
      <c r="A6983" t="s">
        <v>131</v>
      </c>
      <c r="B6983" s="1">
        <v>45733</v>
      </c>
      <c r="C6983" t="s">
        <v>5641</v>
      </c>
      <c r="D6983" t="s">
        <v>5641</v>
      </c>
      <c r="F6983" t="s">
        <v>7831</v>
      </c>
      <c r="G6983" t="s">
        <v>8393</v>
      </c>
      <c r="H6983" t="s">
        <v>5518</v>
      </c>
      <c r="I6983" s="1">
        <v>45764</v>
      </c>
      <c r="J6983">
        <v>236000</v>
      </c>
      <c r="L6983" t="s">
        <v>6803</v>
      </c>
    </row>
    <row r="6984" spans="1:12" x14ac:dyDescent="0.35">
      <c r="A6984" t="s">
        <v>131</v>
      </c>
      <c r="B6984" s="1">
        <v>45733</v>
      </c>
      <c r="C6984" t="s">
        <v>5641</v>
      </c>
      <c r="D6984" t="s">
        <v>5641</v>
      </c>
      <c r="F6984" t="s">
        <v>8419</v>
      </c>
      <c r="H6984" t="s">
        <v>5518</v>
      </c>
      <c r="I6984" s="1">
        <v>45764</v>
      </c>
      <c r="K6984">
        <v>27000</v>
      </c>
      <c r="L6984" t="s">
        <v>6803</v>
      </c>
    </row>
    <row r="6985" spans="1:12" x14ac:dyDescent="0.35">
      <c r="A6985" t="s">
        <v>131</v>
      </c>
      <c r="B6985" s="1">
        <v>45733</v>
      </c>
      <c r="C6985" t="s">
        <v>5641</v>
      </c>
      <c r="D6985" t="s">
        <v>5641</v>
      </c>
      <c r="F6985" t="s">
        <v>7701</v>
      </c>
      <c r="H6985" t="s">
        <v>5518</v>
      </c>
      <c r="I6985" s="1">
        <v>45764</v>
      </c>
      <c r="K6985">
        <v>59000</v>
      </c>
      <c r="L6985" t="s">
        <v>350</v>
      </c>
    </row>
    <row r="6986" spans="1:12" x14ac:dyDescent="0.35">
      <c r="A6986" t="s">
        <v>131</v>
      </c>
      <c r="B6986" s="1">
        <v>45733</v>
      </c>
      <c r="C6986" t="s">
        <v>5641</v>
      </c>
      <c r="D6986" t="s">
        <v>5641</v>
      </c>
      <c r="F6986" t="s">
        <v>8423</v>
      </c>
      <c r="H6986" t="s">
        <v>5518</v>
      </c>
      <c r="I6986" s="1">
        <v>45764</v>
      </c>
      <c r="K6986">
        <v>150000</v>
      </c>
      <c r="L6986" t="s">
        <v>5972</v>
      </c>
    </row>
    <row r="6987" spans="1:12" x14ac:dyDescent="0.35">
      <c r="A6987" t="s">
        <v>131</v>
      </c>
      <c r="B6987" s="1">
        <v>45733</v>
      </c>
      <c r="C6987" t="s">
        <v>5642</v>
      </c>
      <c r="D6987" t="s">
        <v>5642</v>
      </c>
      <c r="F6987" t="s">
        <v>7831</v>
      </c>
      <c r="G6987" t="s">
        <v>8393</v>
      </c>
      <c r="H6987" t="s">
        <v>5518</v>
      </c>
      <c r="I6987" s="1">
        <v>45764</v>
      </c>
      <c r="J6987">
        <v>236000</v>
      </c>
      <c r="L6987" t="s">
        <v>6803</v>
      </c>
    </row>
    <row r="6988" spans="1:12" x14ac:dyDescent="0.35">
      <c r="A6988" t="s">
        <v>131</v>
      </c>
      <c r="B6988" s="1">
        <v>45733</v>
      </c>
      <c r="C6988" t="s">
        <v>5642</v>
      </c>
      <c r="D6988" t="s">
        <v>5642</v>
      </c>
      <c r="F6988" t="s">
        <v>8419</v>
      </c>
      <c r="H6988" t="s">
        <v>5518</v>
      </c>
      <c r="I6988" s="1">
        <v>45764</v>
      </c>
      <c r="K6988">
        <v>27000</v>
      </c>
      <c r="L6988" t="s">
        <v>6803</v>
      </c>
    </row>
    <row r="6989" spans="1:12" x14ac:dyDescent="0.35">
      <c r="A6989" t="s">
        <v>131</v>
      </c>
      <c r="B6989" s="1">
        <v>45733</v>
      </c>
      <c r="C6989" t="s">
        <v>5642</v>
      </c>
      <c r="D6989" t="s">
        <v>5642</v>
      </c>
      <c r="F6989" t="s">
        <v>7701</v>
      </c>
      <c r="H6989" t="s">
        <v>5518</v>
      </c>
      <c r="I6989" s="1">
        <v>45764</v>
      </c>
      <c r="K6989">
        <v>59000</v>
      </c>
      <c r="L6989" t="s">
        <v>350</v>
      </c>
    </row>
    <row r="6990" spans="1:12" x14ac:dyDescent="0.35">
      <c r="A6990" t="s">
        <v>131</v>
      </c>
      <c r="B6990" s="1">
        <v>45733</v>
      </c>
      <c r="C6990" t="s">
        <v>5642</v>
      </c>
      <c r="D6990" t="s">
        <v>5642</v>
      </c>
      <c r="F6990" t="s">
        <v>8423</v>
      </c>
      <c r="H6990" t="s">
        <v>5518</v>
      </c>
      <c r="I6990" s="1">
        <v>45764</v>
      </c>
      <c r="K6990">
        <v>150000</v>
      </c>
      <c r="L6990" t="s">
        <v>5972</v>
      </c>
    </row>
    <row r="6991" spans="1:12" x14ac:dyDescent="0.35">
      <c r="A6991" t="s">
        <v>131</v>
      </c>
      <c r="B6991" s="1">
        <v>45733</v>
      </c>
      <c r="C6991" t="s">
        <v>5643</v>
      </c>
      <c r="D6991" t="s">
        <v>5643</v>
      </c>
      <c r="F6991" t="s">
        <v>7831</v>
      </c>
      <c r="G6991" t="s">
        <v>8393</v>
      </c>
      <c r="H6991" t="s">
        <v>5518</v>
      </c>
      <c r="I6991" s="1">
        <v>45764</v>
      </c>
      <c r="J6991">
        <v>206500</v>
      </c>
      <c r="L6991" t="s">
        <v>6803</v>
      </c>
    </row>
    <row r="6992" spans="1:12" x14ac:dyDescent="0.35">
      <c r="A6992" t="s">
        <v>131</v>
      </c>
      <c r="B6992" s="1">
        <v>45733</v>
      </c>
      <c r="C6992" t="s">
        <v>5643</v>
      </c>
      <c r="D6992" t="s">
        <v>5643</v>
      </c>
      <c r="F6992" t="s">
        <v>8419</v>
      </c>
      <c r="H6992" t="s">
        <v>5518</v>
      </c>
      <c r="I6992" s="1">
        <v>45764</v>
      </c>
      <c r="K6992">
        <v>27000</v>
      </c>
      <c r="L6992" t="s">
        <v>6803</v>
      </c>
    </row>
    <row r="6993" spans="1:12" x14ac:dyDescent="0.35">
      <c r="A6993" t="s">
        <v>131</v>
      </c>
      <c r="B6993" s="1">
        <v>45733</v>
      </c>
      <c r="C6993" t="s">
        <v>5643</v>
      </c>
      <c r="D6993" t="s">
        <v>5643</v>
      </c>
      <c r="F6993" t="s">
        <v>7701</v>
      </c>
      <c r="H6993" t="s">
        <v>5518</v>
      </c>
      <c r="I6993" s="1">
        <v>45764</v>
      </c>
      <c r="K6993">
        <v>29500</v>
      </c>
      <c r="L6993" t="s">
        <v>350</v>
      </c>
    </row>
    <row r="6994" spans="1:12" x14ac:dyDescent="0.35">
      <c r="A6994" t="s">
        <v>131</v>
      </c>
      <c r="B6994" s="1">
        <v>45733</v>
      </c>
      <c r="C6994" t="s">
        <v>5643</v>
      </c>
      <c r="D6994" t="s">
        <v>5643</v>
      </c>
      <c r="F6994" t="s">
        <v>8423</v>
      </c>
      <c r="H6994" t="s">
        <v>5518</v>
      </c>
      <c r="I6994" s="1">
        <v>45764</v>
      </c>
      <c r="K6994">
        <v>150000</v>
      </c>
      <c r="L6994" t="s">
        <v>5972</v>
      </c>
    </row>
    <row r="6995" spans="1:12" x14ac:dyDescent="0.35">
      <c r="A6995" t="s">
        <v>131</v>
      </c>
      <c r="B6995" s="1">
        <v>45733</v>
      </c>
      <c r="C6995" t="s">
        <v>5644</v>
      </c>
      <c r="D6995" t="s">
        <v>5644</v>
      </c>
      <c r="F6995" t="s">
        <v>7831</v>
      </c>
      <c r="G6995" t="s">
        <v>8393</v>
      </c>
      <c r="H6995" t="s">
        <v>5518</v>
      </c>
      <c r="I6995" s="1">
        <v>45764</v>
      </c>
      <c r="J6995">
        <v>236000</v>
      </c>
      <c r="L6995" t="s">
        <v>6803</v>
      </c>
    </row>
    <row r="6996" spans="1:12" x14ac:dyDescent="0.35">
      <c r="A6996" t="s">
        <v>131</v>
      </c>
      <c r="B6996" s="1">
        <v>45733</v>
      </c>
      <c r="C6996" t="s">
        <v>5644</v>
      </c>
      <c r="D6996" t="s">
        <v>5644</v>
      </c>
      <c r="F6996" t="s">
        <v>8419</v>
      </c>
      <c r="H6996" t="s">
        <v>5518</v>
      </c>
      <c r="I6996" s="1">
        <v>45764</v>
      </c>
      <c r="K6996">
        <v>27000</v>
      </c>
      <c r="L6996" t="s">
        <v>6803</v>
      </c>
    </row>
    <row r="6997" spans="1:12" x14ac:dyDescent="0.35">
      <c r="A6997" t="s">
        <v>131</v>
      </c>
      <c r="B6997" s="1">
        <v>45733</v>
      </c>
      <c r="C6997" t="s">
        <v>5644</v>
      </c>
      <c r="D6997" t="s">
        <v>5644</v>
      </c>
      <c r="F6997" t="s">
        <v>7701</v>
      </c>
      <c r="H6997" t="s">
        <v>5518</v>
      </c>
      <c r="I6997" s="1">
        <v>45764</v>
      </c>
      <c r="K6997">
        <v>59000</v>
      </c>
      <c r="L6997" t="s">
        <v>350</v>
      </c>
    </row>
    <row r="6998" spans="1:12" x14ac:dyDescent="0.35">
      <c r="A6998" t="s">
        <v>131</v>
      </c>
      <c r="B6998" s="1">
        <v>45733</v>
      </c>
      <c r="C6998" t="s">
        <v>5644</v>
      </c>
      <c r="D6998" t="s">
        <v>5644</v>
      </c>
      <c r="F6998" t="s">
        <v>8423</v>
      </c>
      <c r="H6998" t="s">
        <v>5518</v>
      </c>
      <c r="I6998" s="1">
        <v>45764</v>
      </c>
      <c r="K6998">
        <v>150000</v>
      </c>
      <c r="L6998" t="s">
        <v>5972</v>
      </c>
    </row>
    <row r="6999" spans="1:12" x14ac:dyDescent="0.35">
      <c r="A6999" t="s">
        <v>131</v>
      </c>
      <c r="B6999" s="1">
        <v>45733</v>
      </c>
      <c r="C6999" t="s">
        <v>5645</v>
      </c>
      <c r="D6999" t="s">
        <v>5645</v>
      </c>
      <c r="F6999" t="s">
        <v>7831</v>
      </c>
      <c r="G6999" t="s">
        <v>8393</v>
      </c>
      <c r="H6999" t="s">
        <v>5518</v>
      </c>
      <c r="I6999" s="1">
        <v>45764</v>
      </c>
      <c r="J6999">
        <v>206500</v>
      </c>
      <c r="L6999" t="s">
        <v>6803</v>
      </c>
    </row>
    <row r="7000" spans="1:12" x14ac:dyDescent="0.35">
      <c r="A7000" t="s">
        <v>131</v>
      </c>
      <c r="B7000" s="1">
        <v>45733</v>
      </c>
      <c r="C7000" t="s">
        <v>5645</v>
      </c>
      <c r="D7000" t="s">
        <v>5645</v>
      </c>
      <c r="F7000" t="s">
        <v>8419</v>
      </c>
      <c r="H7000" t="s">
        <v>5518</v>
      </c>
      <c r="I7000" s="1">
        <v>45764</v>
      </c>
      <c r="K7000">
        <v>27000</v>
      </c>
      <c r="L7000" t="s">
        <v>6803</v>
      </c>
    </row>
    <row r="7001" spans="1:12" x14ac:dyDescent="0.35">
      <c r="A7001" t="s">
        <v>131</v>
      </c>
      <c r="B7001" s="1">
        <v>45733</v>
      </c>
      <c r="C7001" t="s">
        <v>5645</v>
      </c>
      <c r="D7001" t="s">
        <v>5645</v>
      </c>
      <c r="F7001" t="s">
        <v>7701</v>
      </c>
      <c r="H7001" t="s">
        <v>5518</v>
      </c>
      <c r="I7001" s="1">
        <v>45764</v>
      </c>
      <c r="K7001">
        <v>29500</v>
      </c>
      <c r="L7001" t="s">
        <v>350</v>
      </c>
    </row>
    <row r="7002" spans="1:12" x14ac:dyDescent="0.35">
      <c r="A7002" t="s">
        <v>131</v>
      </c>
      <c r="B7002" s="1">
        <v>45733</v>
      </c>
      <c r="C7002" t="s">
        <v>5645</v>
      </c>
      <c r="D7002" t="s">
        <v>5645</v>
      </c>
      <c r="F7002" t="s">
        <v>8423</v>
      </c>
      <c r="H7002" t="s">
        <v>5518</v>
      </c>
      <c r="I7002" s="1">
        <v>45764</v>
      </c>
      <c r="K7002">
        <v>150000</v>
      </c>
      <c r="L7002" t="s">
        <v>5972</v>
      </c>
    </row>
    <row r="7003" spans="1:12" x14ac:dyDescent="0.35">
      <c r="A7003" t="s">
        <v>131</v>
      </c>
      <c r="B7003" s="1">
        <v>45733</v>
      </c>
      <c r="C7003" t="s">
        <v>5646</v>
      </c>
      <c r="D7003" t="s">
        <v>5646</v>
      </c>
      <c r="F7003" t="s">
        <v>7831</v>
      </c>
      <c r="G7003" t="s">
        <v>8393</v>
      </c>
      <c r="H7003" t="s">
        <v>5518</v>
      </c>
      <c r="I7003" s="1">
        <v>45764</v>
      </c>
      <c r="J7003">
        <v>206500</v>
      </c>
      <c r="L7003" t="s">
        <v>6803</v>
      </c>
    </row>
    <row r="7004" spans="1:12" x14ac:dyDescent="0.35">
      <c r="A7004" t="s">
        <v>131</v>
      </c>
      <c r="B7004" s="1">
        <v>45733</v>
      </c>
      <c r="C7004" t="s">
        <v>5646</v>
      </c>
      <c r="D7004" t="s">
        <v>5646</v>
      </c>
      <c r="F7004" t="s">
        <v>8419</v>
      </c>
      <c r="H7004" t="s">
        <v>5518</v>
      </c>
      <c r="I7004" s="1">
        <v>45764</v>
      </c>
      <c r="K7004">
        <v>27000</v>
      </c>
      <c r="L7004" t="s">
        <v>6803</v>
      </c>
    </row>
    <row r="7005" spans="1:12" x14ac:dyDescent="0.35">
      <c r="A7005" t="s">
        <v>131</v>
      </c>
      <c r="B7005" s="1">
        <v>45733</v>
      </c>
      <c r="C7005" t="s">
        <v>5646</v>
      </c>
      <c r="D7005" t="s">
        <v>5646</v>
      </c>
      <c r="F7005" t="s">
        <v>7701</v>
      </c>
      <c r="H7005" t="s">
        <v>5518</v>
      </c>
      <c r="I7005" s="1">
        <v>45764</v>
      </c>
      <c r="K7005">
        <v>29500</v>
      </c>
      <c r="L7005" t="s">
        <v>350</v>
      </c>
    </row>
    <row r="7006" spans="1:12" x14ac:dyDescent="0.35">
      <c r="A7006" t="s">
        <v>131</v>
      </c>
      <c r="B7006" s="1">
        <v>45733</v>
      </c>
      <c r="C7006" t="s">
        <v>5646</v>
      </c>
      <c r="D7006" t="s">
        <v>5646</v>
      </c>
      <c r="F7006" t="s">
        <v>8423</v>
      </c>
      <c r="H7006" t="s">
        <v>5518</v>
      </c>
      <c r="I7006" s="1">
        <v>45764</v>
      </c>
      <c r="K7006">
        <v>150000</v>
      </c>
      <c r="L7006" t="s">
        <v>5972</v>
      </c>
    </row>
    <row r="7007" spans="1:12" x14ac:dyDescent="0.35">
      <c r="A7007" t="s">
        <v>131</v>
      </c>
      <c r="B7007" s="1">
        <v>45733</v>
      </c>
      <c r="C7007" t="s">
        <v>5647</v>
      </c>
      <c r="D7007" t="s">
        <v>5647</v>
      </c>
      <c r="F7007" t="s">
        <v>7831</v>
      </c>
      <c r="G7007" t="s">
        <v>8393</v>
      </c>
      <c r="H7007" t="s">
        <v>5518</v>
      </c>
      <c r="I7007" s="1">
        <v>45764</v>
      </c>
      <c r="J7007">
        <v>206500</v>
      </c>
      <c r="L7007" t="s">
        <v>6803</v>
      </c>
    </row>
    <row r="7008" spans="1:12" x14ac:dyDescent="0.35">
      <c r="A7008" t="s">
        <v>131</v>
      </c>
      <c r="B7008" s="1">
        <v>45733</v>
      </c>
      <c r="C7008" t="s">
        <v>5647</v>
      </c>
      <c r="D7008" t="s">
        <v>5647</v>
      </c>
      <c r="F7008" t="s">
        <v>8419</v>
      </c>
      <c r="H7008" t="s">
        <v>5518</v>
      </c>
      <c r="I7008" s="1">
        <v>45764</v>
      </c>
      <c r="K7008">
        <v>27000</v>
      </c>
      <c r="L7008" t="s">
        <v>6803</v>
      </c>
    </row>
    <row r="7009" spans="1:12" x14ac:dyDescent="0.35">
      <c r="A7009" t="s">
        <v>131</v>
      </c>
      <c r="B7009" s="1">
        <v>45733</v>
      </c>
      <c r="C7009" t="s">
        <v>5647</v>
      </c>
      <c r="D7009" t="s">
        <v>5647</v>
      </c>
      <c r="F7009" t="s">
        <v>7701</v>
      </c>
      <c r="H7009" t="s">
        <v>5518</v>
      </c>
      <c r="I7009" s="1">
        <v>45764</v>
      </c>
      <c r="K7009">
        <v>29500</v>
      </c>
      <c r="L7009" t="s">
        <v>350</v>
      </c>
    </row>
    <row r="7010" spans="1:12" x14ac:dyDescent="0.35">
      <c r="A7010" t="s">
        <v>131</v>
      </c>
      <c r="B7010" s="1">
        <v>45733</v>
      </c>
      <c r="C7010" t="s">
        <v>5647</v>
      </c>
      <c r="D7010" t="s">
        <v>5647</v>
      </c>
      <c r="F7010" t="s">
        <v>8423</v>
      </c>
      <c r="H7010" t="s">
        <v>5518</v>
      </c>
      <c r="I7010" s="1">
        <v>45764</v>
      </c>
      <c r="K7010">
        <v>150000</v>
      </c>
      <c r="L7010" t="s">
        <v>5972</v>
      </c>
    </row>
    <row r="7011" spans="1:12" x14ac:dyDescent="0.35">
      <c r="A7011" t="s">
        <v>131</v>
      </c>
      <c r="B7011" s="1">
        <v>45733</v>
      </c>
      <c r="C7011" t="s">
        <v>5648</v>
      </c>
      <c r="D7011" t="s">
        <v>5648</v>
      </c>
      <c r="F7011" t="s">
        <v>7831</v>
      </c>
      <c r="G7011" t="s">
        <v>8393</v>
      </c>
      <c r="H7011" t="s">
        <v>5518</v>
      </c>
      <c r="I7011" s="1">
        <v>45764</v>
      </c>
      <c r="J7011">
        <v>236000</v>
      </c>
      <c r="L7011" t="s">
        <v>6803</v>
      </c>
    </row>
    <row r="7012" spans="1:12" x14ac:dyDescent="0.35">
      <c r="A7012" t="s">
        <v>131</v>
      </c>
      <c r="B7012" s="1">
        <v>45733</v>
      </c>
      <c r="C7012" t="s">
        <v>5648</v>
      </c>
      <c r="D7012" t="s">
        <v>5648</v>
      </c>
      <c r="F7012" t="s">
        <v>8419</v>
      </c>
      <c r="H7012" t="s">
        <v>5518</v>
      </c>
      <c r="I7012" s="1">
        <v>45764</v>
      </c>
      <c r="K7012">
        <v>27000</v>
      </c>
      <c r="L7012" t="s">
        <v>6803</v>
      </c>
    </row>
    <row r="7013" spans="1:12" x14ac:dyDescent="0.35">
      <c r="A7013" t="s">
        <v>131</v>
      </c>
      <c r="B7013" s="1">
        <v>45733</v>
      </c>
      <c r="C7013" t="s">
        <v>5648</v>
      </c>
      <c r="D7013" t="s">
        <v>5648</v>
      </c>
      <c r="F7013" t="s">
        <v>7701</v>
      </c>
      <c r="H7013" t="s">
        <v>5518</v>
      </c>
      <c r="I7013" s="1">
        <v>45764</v>
      </c>
      <c r="K7013">
        <v>59000</v>
      </c>
      <c r="L7013" t="s">
        <v>350</v>
      </c>
    </row>
    <row r="7014" spans="1:12" x14ac:dyDescent="0.35">
      <c r="A7014" t="s">
        <v>131</v>
      </c>
      <c r="B7014" s="1">
        <v>45733</v>
      </c>
      <c r="C7014" t="s">
        <v>5648</v>
      </c>
      <c r="D7014" t="s">
        <v>5648</v>
      </c>
      <c r="F7014" t="s">
        <v>8423</v>
      </c>
      <c r="H7014" t="s">
        <v>5518</v>
      </c>
      <c r="I7014" s="1">
        <v>45764</v>
      </c>
      <c r="K7014">
        <v>150000</v>
      </c>
      <c r="L7014" t="s">
        <v>5972</v>
      </c>
    </row>
    <row r="7015" spans="1:12" x14ac:dyDescent="0.35">
      <c r="A7015" t="s">
        <v>131</v>
      </c>
      <c r="B7015" s="1">
        <v>45733</v>
      </c>
      <c r="C7015" t="s">
        <v>5649</v>
      </c>
      <c r="D7015" t="s">
        <v>5649</v>
      </c>
      <c r="F7015" t="s">
        <v>7831</v>
      </c>
      <c r="G7015" t="s">
        <v>8393</v>
      </c>
      <c r="H7015" t="s">
        <v>5518</v>
      </c>
      <c r="I7015" s="1">
        <v>45764</v>
      </c>
      <c r="J7015">
        <v>206500</v>
      </c>
      <c r="L7015" t="s">
        <v>6803</v>
      </c>
    </row>
    <row r="7016" spans="1:12" x14ac:dyDescent="0.35">
      <c r="A7016" t="s">
        <v>131</v>
      </c>
      <c r="B7016" s="1">
        <v>45733</v>
      </c>
      <c r="C7016" t="s">
        <v>5649</v>
      </c>
      <c r="D7016" t="s">
        <v>5649</v>
      </c>
      <c r="F7016" t="s">
        <v>8419</v>
      </c>
      <c r="H7016" t="s">
        <v>5518</v>
      </c>
      <c r="I7016" s="1">
        <v>45764</v>
      </c>
      <c r="K7016">
        <v>27000</v>
      </c>
      <c r="L7016" t="s">
        <v>6803</v>
      </c>
    </row>
    <row r="7017" spans="1:12" x14ac:dyDescent="0.35">
      <c r="A7017" t="s">
        <v>131</v>
      </c>
      <c r="B7017" s="1">
        <v>45733</v>
      </c>
      <c r="C7017" t="s">
        <v>5649</v>
      </c>
      <c r="D7017" t="s">
        <v>5649</v>
      </c>
      <c r="F7017" t="s">
        <v>7701</v>
      </c>
      <c r="H7017" t="s">
        <v>5518</v>
      </c>
      <c r="I7017" s="1">
        <v>45764</v>
      </c>
      <c r="K7017">
        <v>29500</v>
      </c>
      <c r="L7017" t="s">
        <v>350</v>
      </c>
    </row>
    <row r="7018" spans="1:12" x14ac:dyDescent="0.35">
      <c r="A7018" t="s">
        <v>131</v>
      </c>
      <c r="B7018" s="1">
        <v>45733</v>
      </c>
      <c r="C7018" t="s">
        <v>5649</v>
      </c>
      <c r="D7018" t="s">
        <v>5649</v>
      </c>
      <c r="F7018" t="s">
        <v>8423</v>
      </c>
      <c r="H7018" t="s">
        <v>5518</v>
      </c>
      <c r="I7018" s="1">
        <v>45764</v>
      </c>
      <c r="K7018">
        <v>150000</v>
      </c>
      <c r="L7018" t="s">
        <v>5972</v>
      </c>
    </row>
    <row r="7019" spans="1:12" x14ac:dyDescent="0.35">
      <c r="A7019" t="s">
        <v>131</v>
      </c>
      <c r="B7019" s="1">
        <v>45733</v>
      </c>
      <c r="C7019" t="s">
        <v>5650</v>
      </c>
      <c r="D7019" t="s">
        <v>5650</v>
      </c>
      <c r="F7019" t="s">
        <v>7831</v>
      </c>
      <c r="G7019" t="s">
        <v>8393</v>
      </c>
      <c r="H7019" t="s">
        <v>5518</v>
      </c>
      <c r="I7019" s="1">
        <v>45764</v>
      </c>
      <c r="J7019">
        <v>206500</v>
      </c>
      <c r="L7019" t="s">
        <v>6803</v>
      </c>
    </row>
    <row r="7020" spans="1:12" x14ac:dyDescent="0.35">
      <c r="A7020" t="s">
        <v>131</v>
      </c>
      <c r="B7020" s="1">
        <v>45733</v>
      </c>
      <c r="C7020" t="s">
        <v>5650</v>
      </c>
      <c r="D7020" t="s">
        <v>5650</v>
      </c>
      <c r="F7020" t="s">
        <v>8419</v>
      </c>
      <c r="H7020" t="s">
        <v>5518</v>
      </c>
      <c r="I7020" s="1">
        <v>45764</v>
      </c>
      <c r="K7020">
        <v>27000</v>
      </c>
      <c r="L7020" t="s">
        <v>6803</v>
      </c>
    </row>
    <row r="7021" spans="1:12" x14ac:dyDescent="0.35">
      <c r="A7021" t="s">
        <v>131</v>
      </c>
      <c r="B7021" s="1">
        <v>45733</v>
      </c>
      <c r="C7021" t="s">
        <v>5650</v>
      </c>
      <c r="D7021" t="s">
        <v>5650</v>
      </c>
      <c r="F7021" t="s">
        <v>7701</v>
      </c>
      <c r="H7021" t="s">
        <v>5518</v>
      </c>
      <c r="I7021" s="1">
        <v>45764</v>
      </c>
      <c r="K7021">
        <v>29500</v>
      </c>
      <c r="L7021" t="s">
        <v>350</v>
      </c>
    </row>
    <row r="7022" spans="1:12" x14ac:dyDescent="0.35">
      <c r="A7022" t="s">
        <v>131</v>
      </c>
      <c r="B7022" s="1">
        <v>45733</v>
      </c>
      <c r="C7022" t="s">
        <v>5650</v>
      </c>
      <c r="D7022" t="s">
        <v>5650</v>
      </c>
      <c r="F7022" t="s">
        <v>8423</v>
      </c>
      <c r="H7022" t="s">
        <v>5518</v>
      </c>
      <c r="I7022" s="1">
        <v>45764</v>
      </c>
      <c r="K7022">
        <v>150000</v>
      </c>
      <c r="L7022" t="s">
        <v>5972</v>
      </c>
    </row>
    <row r="7023" spans="1:12" x14ac:dyDescent="0.35">
      <c r="A7023" t="s">
        <v>131</v>
      </c>
      <c r="B7023" s="1">
        <v>45733</v>
      </c>
      <c r="C7023" t="s">
        <v>5651</v>
      </c>
      <c r="D7023" t="s">
        <v>5651</v>
      </c>
      <c r="F7023" t="s">
        <v>7831</v>
      </c>
      <c r="G7023" t="s">
        <v>8393</v>
      </c>
      <c r="H7023" t="s">
        <v>5518</v>
      </c>
      <c r="I7023" s="1">
        <v>45764</v>
      </c>
      <c r="J7023">
        <v>206500</v>
      </c>
      <c r="L7023" t="s">
        <v>6803</v>
      </c>
    </row>
    <row r="7024" spans="1:12" x14ac:dyDescent="0.35">
      <c r="A7024" t="s">
        <v>131</v>
      </c>
      <c r="B7024" s="1">
        <v>45733</v>
      </c>
      <c r="C7024" t="s">
        <v>5651</v>
      </c>
      <c r="D7024" t="s">
        <v>5651</v>
      </c>
      <c r="F7024" t="s">
        <v>8419</v>
      </c>
      <c r="H7024" t="s">
        <v>5518</v>
      </c>
      <c r="I7024" s="1">
        <v>45764</v>
      </c>
      <c r="K7024">
        <v>27000</v>
      </c>
      <c r="L7024" t="s">
        <v>6803</v>
      </c>
    </row>
    <row r="7025" spans="1:12" x14ac:dyDescent="0.35">
      <c r="A7025" t="s">
        <v>131</v>
      </c>
      <c r="B7025" s="1">
        <v>45733</v>
      </c>
      <c r="C7025" t="s">
        <v>5651</v>
      </c>
      <c r="D7025" t="s">
        <v>5651</v>
      </c>
      <c r="F7025" t="s">
        <v>7701</v>
      </c>
      <c r="H7025" t="s">
        <v>5518</v>
      </c>
      <c r="I7025" s="1">
        <v>45764</v>
      </c>
      <c r="K7025">
        <v>29500</v>
      </c>
      <c r="L7025" t="s">
        <v>350</v>
      </c>
    </row>
    <row r="7026" spans="1:12" x14ac:dyDescent="0.35">
      <c r="A7026" t="s">
        <v>131</v>
      </c>
      <c r="B7026" s="1">
        <v>45733</v>
      </c>
      <c r="C7026" t="s">
        <v>5651</v>
      </c>
      <c r="D7026" t="s">
        <v>5651</v>
      </c>
      <c r="F7026" t="s">
        <v>8423</v>
      </c>
      <c r="H7026" t="s">
        <v>5518</v>
      </c>
      <c r="I7026" s="1">
        <v>45764</v>
      </c>
      <c r="K7026">
        <v>150000</v>
      </c>
      <c r="L7026" t="s">
        <v>5972</v>
      </c>
    </row>
    <row r="7027" spans="1:12" x14ac:dyDescent="0.35">
      <c r="A7027" t="s">
        <v>131</v>
      </c>
      <c r="B7027" s="1">
        <v>45733</v>
      </c>
      <c r="C7027" t="s">
        <v>5652</v>
      </c>
      <c r="D7027" t="s">
        <v>5652</v>
      </c>
      <c r="F7027" t="s">
        <v>7831</v>
      </c>
      <c r="G7027" t="s">
        <v>8393</v>
      </c>
      <c r="H7027" t="s">
        <v>5518</v>
      </c>
      <c r="I7027" s="1">
        <v>45764</v>
      </c>
      <c r="J7027">
        <v>206500</v>
      </c>
      <c r="L7027" t="s">
        <v>6803</v>
      </c>
    </row>
    <row r="7028" spans="1:12" x14ac:dyDescent="0.35">
      <c r="A7028" t="s">
        <v>131</v>
      </c>
      <c r="B7028" s="1">
        <v>45733</v>
      </c>
      <c r="C7028" t="s">
        <v>5652</v>
      </c>
      <c r="D7028" t="s">
        <v>5652</v>
      </c>
      <c r="F7028" t="s">
        <v>8419</v>
      </c>
      <c r="H7028" t="s">
        <v>5518</v>
      </c>
      <c r="I7028" s="1">
        <v>45764</v>
      </c>
      <c r="K7028">
        <v>27000</v>
      </c>
      <c r="L7028" t="s">
        <v>6803</v>
      </c>
    </row>
    <row r="7029" spans="1:12" x14ac:dyDescent="0.35">
      <c r="A7029" t="s">
        <v>131</v>
      </c>
      <c r="B7029" s="1">
        <v>45733</v>
      </c>
      <c r="C7029" t="s">
        <v>5652</v>
      </c>
      <c r="D7029" t="s">
        <v>5652</v>
      </c>
      <c r="F7029" t="s">
        <v>7701</v>
      </c>
      <c r="H7029" t="s">
        <v>5518</v>
      </c>
      <c r="I7029" s="1">
        <v>45764</v>
      </c>
      <c r="K7029">
        <v>29500</v>
      </c>
      <c r="L7029" t="s">
        <v>350</v>
      </c>
    </row>
    <row r="7030" spans="1:12" x14ac:dyDescent="0.35">
      <c r="A7030" t="s">
        <v>131</v>
      </c>
      <c r="B7030" s="1">
        <v>45733</v>
      </c>
      <c r="C7030" t="s">
        <v>5652</v>
      </c>
      <c r="D7030" t="s">
        <v>5652</v>
      </c>
      <c r="F7030" t="s">
        <v>8423</v>
      </c>
      <c r="H7030" t="s">
        <v>5518</v>
      </c>
      <c r="I7030" s="1">
        <v>45764</v>
      </c>
      <c r="K7030">
        <v>150000</v>
      </c>
      <c r="L7030" t="s">
        <v>5972</v>
      </c>
    </row>
    <row r="7031" spans="1:12" x14ac:dyDescent="0.35">
      <c r="A7031" t="s">
        <v>131</v>
      </c>
      <c r="B7031" s="1">
        <v>45733</v>
      </c>
      <c r="C7031" t="s">
        <v>5653</v>
      </c>
      <c r="D7031" t="s">
        <v>5653</v>
      </c>
      <c r="F7031" t="s">
        <v>7831</v>
      </c>
      <c r="G7031" t="s">
        <v>8393</v>
      </c>
      <c r="H7031" t="s">
        <v>5518</v>
      </c>
      <c r="I7031" s="1">
        <v>45764</v>
      </c>
      <c r="J7031">
        <v>206500</v>
      </c>
      <c r="L7031" t="s">
        <v>6803</v>
      </c>
    </row>
    <row r="7032" spans="1:12" x14ac:dyDescent="0.35">
      <c r="A7032" t="s">
        <v>131</v>
      </c>
      <c r="B7032" s="1">
        <v>45733</v>
      </c>
      <c r="C7032" t="s">
        <v>5653</v>
      </c>
      <c r="D7032" t="s">
        <v>5653</v>
      </c>
      <c r="F7032" t="s">
        <v>8419</v>
      </c>
      <c r="H7032" t="s">
        <v>5518</v>
      </c>
      <c r="I7032" s="1">
        <v>45764</v>
      </c>
      <c r="K7032">
        <v>27000</v>
      </c>
      <c r="L7032" t="s">
        <v>6803</v>
      </c>
    </row>
    <row r="7033" spans="1:12" x14ac:dyDescent="0.35">
      <c r="A7033" t="s">
        <v>131</v>
      </c>
      <c r="B7033" s="1">
        <v>45733</v>
      </c>
      <c r="C7033" t="s">
        <v>5653</v>
      </c>
      <c r="D7033" t="s">
        <v>5653</v>
      </c>
      <c r="F7033" t="s">
        <v>7701</v>
      </c>
      <c r="H7033" t="s">
        <v>5518</v>
      </c>
      <c r="I7033" s="1">
        <v>45764</v>
      </c>
      <c r="K7033">
        <v>29500</v>
      </c>
      <c r="L7033" t="s">
        <v>350</v>
      </c>
    </row>
    <row r="7034" spans="1:12" x14ac:dyDescent="0.35">
      <c r="A7034" t="s">
        <v>131</v>
      </c>
      <c r="B7034" s="1">
        <v>45733</v>
      </c>
      <c r="C7034" t="s">
        <v>5653</v>
      </c>
      <c r="D7034" t="s">
        <v>5653</v>
      </c>
      <c r="F7034" t="s">
        <v>8423</v>
      </c>
      <c r="H7034" t="s">
        <v>5518</v>
      </c>
      <c r="I7034" s="1">
        <v>45764</v>
      </c>
      <c r="K7034">
        <v>150000</v>
      </c>
      <c r="L7034" t="s">
        <v>5972</v>
      </c>
    </row>
    <row r="7035" spans="1:12" x14ac:dyDescent="0.35">
      <c r="A7035" t="s">
        <v>131</v>
      </c>
      <c r="B7035" s="1">
        <v>45733</v>
      </c>
      <c r="C7035" t="s">
        <v>5654</v>
      </c>
      <c r="D7035" t="s">
        <v>5654</v>
      </c>
      <c r="F7035" t="s">
        <v>7831</v>
      </c>
      <c r="G7035" t="s">
        <v>8393</v>
      </c>
      <c r="H7035" t="s">
        <v>5518</v>
      </c>
      <c r="I7035" s="1">
        <v>45764</v>
      </c>
      <c r="J7035">
        <v>206500</v>
      </c>
      <c r="L7035" t="s">
        <v>6803</v>
      </c>
    </row>
    <row r="7036" spans="1:12" x14ac:dyDescent="0.35">
      <c r="A7036" t="s">
        <v>131</v>
      </c>
      <c r="B7036" s="1">
        <v>45733</v>
      </c>
      <c r="C7036" t="s">
        <v>5654</v>
      </c>
      <c r="D7036" t="s">
        <v>5654</v>
      </c>
      <c r="F7036" t="s">
        <v>8419</v>
      </c>
      <c r="H7036" t="s">
        <v>5518</v>
      </c>
      <c r="I7036" s="1">
        <v>45764</v>
      </c>
      <c r="K7036">
        <v>27000</v>
      </c>
      <c r="L7036" t="s">
        <v>6803</v>
      </c>
    </row>
    <row r="7037" spans="1:12" x14ac:dyDescent="0.35">
      <c r="A7037" t="s">
        <v>131</v>
      </c>
      <c r="B7037" s="1">
        <v>45733</v>
      </c>
      <c r="C7037" t="s">
        <v>5654</v>
      </c>
      <c r="D7037" t="s">
        <v>5654</v>
      </c>
      <c r="F7037" t="s">
        <v>7701</v>
      </c>
      <c r="H7037" t="s">
        <v>5518</v>
      </c>
      <c r="I7037" s="1">
        <v>45764</v>
      </c>
      <c r="K7037">
        <v>29500</v>
      </c>
      <c r="L7037" t="s">
        <v>350</v>
      </c>
    </row>
    <row r="7038" spans="1:12" x14ac:dyDescent="0.35">
      <c r="A7038" t="s">
        <v>131</v>
      </c>
      <c r="B7038" s="1">
        <v>45733</v>
      </c>
      <c r="C7038" t="s">
        <v>5654</v>
      </c>
      <c r="D7038" t="s">
        <v>5654</v>
      </c>
      <c r="F7038" t="s">
        <v>8423</v>
      </c>
      <c r="H7038" t="s">
        <v>5518</v>
      </c>
      <c r="I7038" s="1">
        <v>45764</v>
      </c>
      <c r="K7038">
        <v>150000</v>
      </c>
      <c r="L7038" t="s">
        <v>5972</v>
      </c>
    </row>
    <row r="7039" spans="1:12" x14ac:dyDescent="0.35">
      <c r="A7039" t="s">
        <v>131</v>
      </c>
      <c r="B7039" s="1">
        <v>45733</v>
      </c>
      <c r="C7039" t="s">
        <v>5655</v>
      </c>
      <c r="D7039" t="s">
        <v>5655</v>
      </c>
      <c r="F7039" t="s">
        <v>7831</v>
      </c>
      <c r="G7039" t="s">
        <v>8393</v>
      </c>
      <c r="H7039" t="s">
        <v>5518</v>
      </c>
      <c r="I7039" s="1">
        <v>45764</v>
      </c>
      <c r="J7039">
        <v>206500</v>
      </c>
      <c r="L7039" t="s">
        <v>6803</v>
      </c>
    </row>
    <row r="7040" spans="1:12" x14ac:dyDescent="0.35">
      <c r="A7040" t="s">
        <v>131</v>
      </c>
      <c r="B7040" s="1">
        <v>45733</v>
      </c>
      <c r="C7040" t="s">
        <v>5655</v>
      </c>
      <c r="D7040" t="s">
        <v>5655</v>
      </c>
      <c r="F7040" t="s">
        <v>8419</v>
      </c>
      <c r="H7040" t="s">
        <v>5518</v>
      </c>
      <c r="I7040" s="1">
        <v>45764</v>
      </c>
      <c r="K7040">
        <v>27000</v>
      </c>
      <c r="L7040" t="s">
        <v>6803</v>
      </c>
    </row>
    <row r="7041" spans="1:12" x14ac:dyDescent="0.35">
      <c r="A7041" t="s">
        <v>131</v>
      </c>
      <c r="B7041" s="1">
        <v>45733</v>
      </c>
      <c r="C7041" t="s">
        <v>5655</v>
      </c>
      <c r="D7041" t="s">
        <v>5655</v>
      </c>
      <c r="F7041" t="s">
        <v>7701</v>
      </c>
      <c r="H7041" t="s">
        <v>5518</v>
      </c>
      <c r="I7041" s="1">
        <v>45764</v>
      </c>
      <c r="K7041">
        <v>29500</v>
      </c>
      <c r="L7041" t="s">
        <v>350</v>
      </c>
    </row>
    <row r="7042" spans="1:12" x14ac:dyDescent="0.35">
      <c r="A7042" t="s">
        <v>131</v>
      </c>
      <c r="B7042" s="1">
        <v>45733</v>
      </c>
      <c r="C7042" t="s">
        <v>5655</v>
      </c>
      <c r="D7042" t="s">
        <v>5655</v>
      </c>
      <c r="F7042" t="s">
        <v>8423</v>
      </c>
      <c r="H7042" t="s">
        <v>5518</v>
      </c>
      <c r="I7042" s="1">
        <v>45764</v>
      </c>
      <c r="K7042">
        <v>150000</v>
      </c>
      <c r="L7042" t="s">
        <v>5972</v>
      </c>
    </row>
    <row r="7043" spans="1:12" x14ac:dyDescent="0.35">
      <c r="A7043" t="s">
        <v>131</v>
      </c>
      <c r="B7043" s="1">
        <v>45733</v>
      </c>
      <c r="C7043" t="s">
        <v>5656</v>
      </c>
      <c r="D7043" t="s">
        <v>5656</v>
      </c>
      <c r="F7043" t="s">
        <v>7831</v>
      </c>
      <c r="G7043" t="s">
        <v>8393</v>
      </c>
      <c r="H7043" t="s">
        <v>5518</v>
      </c>
      <c r="I7043" s="1">
        <v>45764</v>
      </c>
      <c r="J7043">
        <v>236000</v>
      </c>
      <c r="L7043" t="s">
        <v>6803</v>
      </c>
    </row>
    <row r="7044" spans="1:12" x14ac:dyDescent="0.35">
      <c r="A7044" t="s">
        <v>131</v>
      </c>
      <c r="B7044" s="1">
        <v>45733</v>
      </c>
      <c r="C7044" t="s">
        <v>5656</v>
      </c>
      <c r="D7044" t="s">
        <v>5656</v>
      </c>
      <c r="F7044" t="s">
        <v>8419</v>
      </c>
      <c r="H7044" t="s">
        <v>5518</v>
      </c>
      <c r="I7044" s="1">
        <v>45764</v>
      </c>
      <c r="K7044">
        <v>27000</v>
      </c>
      <c r="L7044" t="s">
        <v>6803</v>
      </c>
    </row>
    <row r="7045" spans="1:12" x14ac:dyDescent="0.35">
      <c r="A7045" t="s">
        <v>131</v>
      </c>
      <c r="B7045" s="1">
        <v>45733</v>
      </c>
      <c r="C7045" t="s">
        <v>5656</v>
      </c>
      <c r="D7045" t="s">
        <v>5656</v>
      </c>
      <c r="F7045" t="s">
        <v>7701</v>
      </c>
      <c r="H7045" t="s">
        <v>5518</v>
      </c>
      <c r="I7045" s="1">
        <v>45764</v>
      </c>
      <c r="K7045">
        <v>59000</v>
      </c>
      <c r="L7045" t="s">
        <v>350</v>
      </c>
    </row>
    <row r="7046" spans="1:12" x14ac:dyDescent="0.35">
      <c r="A7046" t="s">
        <v>131</v>
      </c>
      <c r="B7046" s="1">
        <v>45733</v>
      </c>
      <c r="C7046" t="s">
        <v>5656</v>
      </c>
      <c r="D7046" t="s">
        <v>5656</v>
      </c>
      <c r="F7046" t="s">
        <v>8423</v>
      </c>
      <c r="H7046" t="s">
        <v>5518</v>
      </c>
      <c r="I7046" s="1">
        <v>45764</v>
      </c>
      <c r="K7046">
        <v>150000</v>
      </c>
      <c r="L7046" t="s">
        <v>5972</v>
      </c>
    </row>
    <row r="7047" spans="1:12" x14ac:dyDescent="0.35">
      <c r="A7047" t="s">
        <v>131</v>
      </c>
      <c r="B7047" s="1">
        <v>45733</v>
      </c>
      <c r="C7047" t="s">
        <v>5657</v>
      </c>
      <c r="D7047" t="s">
        <v>5657</v>
      </c>
      <c r="F7047" t="s">
        <v>7831</v>
      </c>
      <c r="G7047" t="s">
        <v>8393</v>
      </c>
      <c r="H7047" t="s">
        <v>5518</v>
      </c>
      <c r="I7047" s="1">
        <v>45764</v>
      </c>
      <c r="J7047">
        <v>236000</v>
      </c>
      <c r="L7047" t="s">
        <v>6803</v>
      </c>
    </row>
    <row r="7048" spans="1:12" x14ac:dyDescent="0.35">
      <c r="A7048" t="s">
        <v>131</v>
      </c>
      <c r="B7048" s="1">
        <v>45733</v>
      </c>
      <c r="C7048" t="s">
        <v>5657</v>
      </c>
      <c r="D7048" t="s">
        <v>5657</v>
      </c>
      <c r="F7048" t="s">
        <v>8419</v>
      </c>
      <c r="H7048" t="s">
        <v>5518</v>
      </c>
      <c r="I7048" s="1">
        <v>45764</v>
      </c>
      <c r="K7048">
        <v>27000</v>
      </c>
      <c r="L7048" t="s">
        <v>6803</v>
      </c>
    </row>
    <row r="7049" spans="1:12" x14ac:dyDescent="0.35">
      <c r="A7049" t="s">
        <v>131</v>
      </c>
      <c r="B7049" s="1">
        <v>45733</v>
      </c>
      <c r="C7049" t="s">
        <v>5657</v>
      </c>
      <c r="D7049" t="s">
        <v>5657</v>
      </c>
      <c r="F7049" t="s">
        <v>7701</v>
      </c>
      <c r="H7049" t="s">
        <v>5518</v>
      </c>
      <c r="I7049" s="1">
        <v>45764</v>
      </c>
      <c r="K7049">
        <v>59000</v>
      </c>
      <c r="L7049" t="s">
        <v>350</v>
      </c>
    </row>
    <row r="7050" spans="1:12" x14ac:dyDescent="0.35">
      <c r="A7050" t="s">
        <v>131</v>
      </c>
      <c r="B7050" s="1">
        <v>45733</v>
      </c>
      <c r="C7050" t="s">
        <v>5657</v>
      </c>
      <c r="D7050" t="s">
        <v>5657</v>
      </c>
      <c r="F7050" t="s">
        <v>8423</v>
      </c>
      <c r="H7050" t="s">
        <v>5518</v>
      </c>
      <c r="I7050" s="1">
        <v>45764</v>
      </c>
      <c r="K7050">
        <v>150000</v>
      </c>
      <c r="L7050" t="s">
        <v>5972</v>
      </c>
    </row>
    <row r="7051" spans="1:12" x14ac:dyDescent="0.35">
      <c r="A7051" t="s">
        <v>131</v>
      </c>
      <c r="B7051" s="1">
        <v>45733</v>
      </c>
      <c r="C7051" t="s">
        <v>5658</v>
      </c>
      <c r="D7051" t="s">
        <v>5658</v>
      </c>
      <c r="F7051" t="s">
        <v>7831</v>
      </c>
      <c r="G7051" t="s">
        <v>8393</v>
      </c>
      <c r="H7051" t="s">
        <v>5518</v>
      </c>
      <c r="I7051" s="1">
        <v>45764</v>
      </c>
      <c r="J7051">
        <v>236000</v>
      </c>
      <c r="L7051" t="s">
        <v>6803</v>
      </c>
    </row>
    <row r="7052" spans="1:12" x14ac:dyDescent="0.35">
      <c r="A7052" t="s">
        <v>131</v>
      </c>
      <c r="B7052" s="1">
        <v>45733</v>
      </c>
      <c r="C7052" t="s">
        <v>5658</v>
      </c>
      <c r="D7052" t="s">
        <v>5658</v>
      </c>
      <c r="F7052" t="s">
        <v>8419</v>
      </c>
      <c r="H7052" t="s">
        <v>5518</v>
      </c>
      <c r="I7052" s="1">
        <v>45764</v>
      </c>
      <c r="K7052">
        <v>27000</v>
      </c>
      <c r="L7052" t="s">
        <v>6803</v>
      </c>
    </row>
    <row r="7053" spans="1:12" x14ac:dyDescent="0.35">
      <c r="A7053" t="s">
        <v>131</v>
      </c>
      <c r="B7053" s="1">
        <v>45733</v>
      </c>
      <c r="C7053" t="s">
        <v>5658</v>
      </c>
      <c r="D7053" t="s">
        <v>5658</v>
      </c>
      <c r="F7053" t="s">
        <v>7701</v>
      </c>
      <c r="H7053" t="s">
        <v>5518</v>
      </c>
      <c r="I7053" s="1">
        <v>45764</v>
      </c>
      <c r="K7053">
        <v>59000</v>
      </c>
      <c r="L7053" t="s">
        <v>350</v>
      </c>
    </row>
    <row r="7054" spans="1:12" x14ac:dyDescent="0.35">
      <c r="A7054" t="s">
        <v>131</v>
      </c>
      <c r="B7054" s="1">
        <v>45733</v>
      </c>
      <c r="C7054" t="s">
        <v>5658</v>
      </c>
      <c r="D7054" t="s">
        <v>5658</v>
      </c>
      <c r="F7054" t="s">
        <v>8423</v>
      </c>
      <c r="H7054" t="s">
        <v>5518</v>
      </c>
      <c r="I7054" s="1">
        <v>45764</v>
      </c>
      <c r="K7054">
        <v>150000</v>
      </c>
      <c r="L7054" t="s">
        <v>5972</v>
      </c>
    </row>
    <row r="7055" spans="1:12" x14ac:dyDescent="0.35">
      <c r="A7055" t="s">
        <v>131</v>
      </c>
      <c r="B7055" s="1">
        <v>45733</v>
      </c>
      <c r="C7055" t="s">
        <v>5659</v>
      </c>
      <c r="D7055" t="s">
        <v>5659</v>
      </c>
      <c r="F7055" t="s">
        <v>7831</v>
      </c>
      <c r="G7055" t="s">
        <v>8393</v>
      </c>
      <c r="H7055" t="s">
        <v>5518</v>
      </c>
      <c r="I7055" s="1">
        <v>45764</v>
      </c>
      <c r="J7055">
        <v>236000</v>
      </c>
      <c r="L7055" t="s">
        <v>6803</v>
      </c>
    </row>
    <row r="7056" spans="1:12" x14ac:dyDescent="0.35">
      <c r="A7056" t="s">
        <v>131</v>
      </c>
      <c r="B7056" s="1">
        <v>45733</v>
      </c>
      <c r="C7056" t="s">
        <v>5659</v>
      </c>
      <c r="D7056" t="s">
        <v>5659</v>
      </c>
      <c r="F7056" t="s">
        <v>8419</v>
      </c>
      <c r="H7056" t="s">
        <v>5518</v>
      </c>
      <c r="I7056" s="1">
        <v>45764</v>
      </c>
      <c r="K7056">
        <v>27000</v>
      </c>
      <c r="L7056" t="s">
        <v>6803</v>
      </c>
    </row>
    <row r="7057" spans="1:12" x14ac:dyDescent="0.35">
      <c r="A7057" t="s">
        <v>131</v>
      </c>
      <c r="B7057" s="1">
        <v>45733</v>
      </c>
      <c r="C7057" t="s">
        <v>5659</v>
      </c>
      <c r="D7057" t="s">
        <v>5659</v>
      </c>
      <c r="F7057" t="s">
        <v>7701</v>
      </c>
      <c r="H7057" t="s">
        <v>5518</v>
      </c>
      <c r="I7057" s="1">
        <v>45764</v>
      </c>
      <c r="K7057">
        <v>59000</v>
      </c>
      <c r="L7057" t="s">
        <v>350</v>
      </c>
    </row>
    <row r="7058" spans="1:12" x14ac:dyDescent="0.35">
      <c r="A7058" t="s">
        <v>131</v>
      </c>
      <c r="B7058" s="1">
        <v>45733</v>
      </c>
      <c r="C7058" t="s">
        <v>5659</v>
      </c>
      <c r="D7058" t="s">
        <v>5659</v>
      </c>
      <c r="F7058" t="s">
        <v>8423</v>
      </c>
      <c r="H7058" t="s">
        <v>5518</v>
      </c>
      <c r="I7058" s="1">
        <v>45764</v>
      </c>
      <c r="K7058">
        <v>150000</v>
      </c>
      <c r="L7058" t="s">
        <v>5972</v>
      </c>
    </row>
    <row r="7059" spans="1:12" x14ac:dyDescent="0.35">
      <c r="A7059" t="s">
        <v>131</v>
      </c>
      <c r="B7059" s="1">
        <v>45733</v>
      </c>
      <c r="C7059" t="s">
        <v>5660</v>
      </c>
      <c r="D7059" t="s">
        <v>5660</v>
      </c>
      <c r="F7059" t="s">
        <v>7831</v>
      </c>
      <c r="G7059" t="s">
        <v>8393</v>
      </c>
      <c r="H7059" t="s">
        <v>5518</v>
      </c>
      <c r="I7059" s="1">
        <v>45764</v>
      </c>
      <c r="J7059">
        <v>236000</v>
      </c>
      <c r="L7059" t="s">
        <v>6803</v>
      </c>
    </row>
    <row r="7060" spans="1:12" x14ac:dyDescent="0.35">
      <c r="A7060" t="s">
        <v>131</v>
      </c>
      <c r="B7060" s="1">
        <v>45733</v>
      </c>
      <c r="C7060" t="s">
        <v>5660</v>
      </c>
      <c r="D7060" t="s">
        <v>5660</v>
      </c>
      <c r="F7060" t="s">
        <v>8419</v>
      </c>
      <c r="H7060" t="s">
        <v>5518</v>
      </c>
      <c r="I7060" s="1">
        <v>45764</v>
      </c>
      <c r="K7060">
        <v>27000</v>
      </c>
      <c r="L7060" t="s">
        <v>6803</v>
      </c>
    </row>
    <row r="7061" spans="1:12" x14ac:dyDescent="0.35">
      <c r="A7061" t="s">
        <v>131</v>
      </c>
      <c r="B7061" s="1">
        <v>45733</v>
      </c>
      <c r="C7061" t="s">
        <v>5660</v>
      </c>
      <c r="D7061" t="s">
        <v>5660</v>
      </c>
      <c r="F7061" t="s">
        <v>7701</v>
      </c>
      <c r="H7061" t="s">
        <v>5518</v>
      </c>
      <c r="I7061" s="1">
        <v>45764</v>
      </c>
      <c r="K7061">
        <v>59000</v>
      </c>
      <c r="L7061" t="s">
        <v>350</v>
      </c>
    </row>
    <row r="7062" spans="1:12" x14ac:dyDescent="0.35">
      <c r="A7062" t="s">
        <v>131</v>
      </c>
      <c r="B7062" s="1">
        <v>45733</v>
      </c>
      <c r="C7062" t="s">
        <v>5660</v>
      </c>
      <c r="D7062" t="s">
        <v>5660</v>
      </c>
      <c r="F7062" t="s">
        <v>8423</v>
      </c>
      <c r="H7062" t="s">
        <v>5518</v>
      </c>
      <c r="I7062" s="1">
        <v>45764</v>
      </c>
      <c r="K7062">
        <v>150000</v>
      </c>
      <c r="L7062" t="s">
        <v>5972</v>
      </c>
    </row>
    <row r="7063" spans="1:12" x14ac:dyDescent="0.35">
      <c r="A7063" t="s">
        <v>131</v>
      </c>
      <c r="B7063" s="1">
        <v>45733</v>
      </c>
      <c r="C7063" t="s">
        <v>5661</v>
      </c>
      <c r="D7063" t="s">
        <v>5661</v>
      </c>
      <c r="F7063" t="s">
        <v>7831</v>
      </c>
      <c r="G7063" t="s">
        <v>8393</v>
      </c>
      <c r="H7063" t="s">
        <v>5518</v>
      </c>
      <c r="I7063" s="1">
        <v>45764</v>
      </c>
      <c r="J7063">
        <v>236000</v>
      </c>
      <c r="L7063" t="s">
        <v>6803</v>
      </c>
    </row>
    <row r="7064" spans="1:12" x14ac:dyDescent="0.35">
      <c r="A7064" t="s">
        <v>131</v>
      </c>
      <c r="B7064" s="1">
        <v>45733</v>
      </c>
      <c r="C7064" t="s">
        <v>5661</v>
      </c>
      <c r="D7064" t="s">
        <v>5661</v>
      </c>
      <c r="F7064" t="s">
        <v>8419</v>
      </c>
      <c r="H7064" t="s">
        <v>5518</v>
      </c>
      <c r="I7064" s="1">
        <v>45764</v>
      </c>
      <c r="K7064">
        <v>27000</v>
      </c>
      <c r="L7064" t="s">
        <v>6803</v>
      </c>
    </row>
    <row r="7065" spans="1:12" x14ac:dyDescent="0.35">
      <c r="A7065" t="s">
        <v>131</v>
      </c>
      <c r="B7065" s="1">
        <v>45733</v>
      </c>
      <c r="C7065" t="s">
        <v>5661</v>
      </c>
      <c r="D7065" t="s">
        <v>5661</v>
      </c>
      <c r="F7065" t="s">
        <v>7701</v>
      </c>
      <c r="H7065" t="s">
        <v>5518</v>
      </c>
      <c r="I7065" s="1">
        <v>45764</v>
      </c>
      <c r="K7065">
        <v>59000</v>
      </c>
      <c r="L7065" t="s">
        <v>350</v>
      </c>
    </row>
    <row r="7066" spans="1:12" x14ac:dyDescent="0.35">
      <c r="A7066" t="s">
        <v>131</v>
      </c>
      <c r="B7066" s="1">
        <v>45733</v>
      </c>
      <c r="C7066" t="s">
        <v>5661</v>
      </c>
      <c r="D7066" t="s">
        <v>5661</v>
      </c>
      <c r="F7066" t="s">
        <v>8423</v>
      </c>
      <c r="H7066" t="s">
        <v>5518</v>
      </c>
      <c r="I7066" s="1">
        <v>45764</v>
      </c>
      <c r="K7066">
        <v>150000</v>
      </c>
      <c r="L7066" t="s">
        <v>5972</v>
      </c>
    </row>
    <row r="7067" spans="1:12" x14ac:dyDescent="0.35">
      <c r="A7067" t="s">
        <v>131</v>
      </c>
      <c r="B7067" s="1">
        <v>45733</v>
      </c>
      <c r="C7067" t="s">
        <v>5662</v>
      </c>
      <c r="D7067" t="s">
        <v>5662</v>
      </c>
      <c r="F7067" t="s">
        <v>7831</v>
      </c>
      <c r="G7067" t="s">
        <v>8393</v>
      </c>
      <c r="H7067" t="s">
        <v>5518</v>
      </c>
      <c r="I7067" s="1">
        <v>45764</v>
      </c>
      <c r="J7067">
        <v>472000</v>
      </c>
      <c r="L7067" t="s">
        <v>6803</v>
      </c>
    </row>
    <row r="7068" spans="1:12" x14ac:dyDescent="0.35">
      <c r="A7068" t="s">
        <v>131</v>
      </c>
      <c r="B7068" s="1">
        <v>45733</v>
      </c>
      <c r="C7068" t="s">
        <v>5662</v>
      </c>
      <c r="D7068" t="s">
        <v>5662</v>
      </c>
      <c r="F7068" t="s">
        <v>8419</v>
      </c>
      <c r="H7068" t="s">
        <v>5518</v>
      </c>
      <c r="I7068" s="1">
        <v>45764</v>
      </c>
      <c r="K7068">
        <v>54000</v>
      </c>
      <c r="L7068" t="s">
        <v>6803</v>
      </c>
    </row>
    <row r="7069" spans="1:12" x14ac:dyDescent="0.35">
      <c r="A7069" t="s">
        <v>131</v>
      </c>
      <c r="B7069" s="1">
        <v>45733</v>
      </c>
      <c r="C7069" t="s">
        <v>5662</v>
      </c>
      <c r="D7069" t="s">
        <v>5662</v>
      </c>
      <c r="F7069" t="s">
        <v>7701</v>
      </c>
      <c r="H7069" t="s">
        <v>5518</v>
      </c>
      <c r="I7069" s="1">
        <v>45764</v>
      </c>
      <c r="K7069">
        <v>118000</v>
      </c>
      <c r="L7069" t="s">
        <v>350</v>
      </c>
    </row>
    <row r="7070" spans="1:12" x14ac:dyDescent="0.35">
      <c r="A7070" t="s">
        <v>131</v>
      </c>
      <c r="B7070" s="1">
        <v>45733</v>
      </c>
      <c r="C7070" t="s">
        <v>5662</v>
      </c>
      <c r="D7070" t="s">
        <v>5662</v>
      </c>
      <c r="F7070" t="s">
        <v>8423</v>
      </c>
      <c r="H7070" t="s">
        <v>5518</v>
      </c>
      <c r="I7070" s="1">
        <v>45764</v>
      </c>
      <c r="K7070">
        <v>300000</v>
      </c>
      <c r="L7070" t="s">
        <v>5972</v>
      </c>
    </row>
    <row r="7071" spans="1:12" x14ac:dyDescent="0.35">
      <c r="A7071" t="s">
        <v>131</v>
      </c>
      <c r="B7071" s="1">
        <v>45733</v>
      </c>
      <c r="C7071" t="s">
        <v>5663</v>
      </c>
      <c r="D7071" t="s">
        <v>5663</v>
      </c>
      <c r="F7071" t="s">
        <v>7831</v>
      </c>
      <c r="G7071" t="s">
        <v>8393</v>
      </c>
      <c r="H7071" t="s">
        <v>5518</v>
      </c>
      <c r="I7071" s="1">
        <v>45764</v>
      </c>
      <c r="J7071">
        <v>236000</v>
      </c>
      <c r="L7071" t="s">
        <v>6803</v>
      </c>
    </row>
    <row r="7072" spans="1:12" x14ac:dyDescent="0.35">
      <c r="A7072" t="s">
        <v>131</v>
      </c>
      <c r="B7072" s="1">
        <v>45733</v>
      </c>
      <c r="C7072" t="s">
        <v>5663</v>
      </c>
      <c r="D7072" t="s">
        <v>5663</v>
      </c>
      <c r="F7072" t="s">
        <v>8419</v>
      </c>
      <c r="H7072" t="s">
        <v>5518</v>
      </c>
      <c r="I7072" s="1">
        <v>45764</v>
      </c>
      <c r="K7072">
        <v>27000</v>
      </c>
      <c r="L7072" t="s">
        <v>6803</v>
      </c>
    </row>
    <row r="7073" spans="1:12" x14ac:dyDescent="0.35">
      <c r="A7073" t="s">
        <v>131</v>
      </c>
      <c r="B7073" s="1">
        <v>45733</v>
      </c>
      <c r="C7073" t="s">
        <v>5663</v>
      </c>
      <c r="D7073" t="s">
        <v>5663</v>
      </c>
      <c r="F7073" t="s">
        <v>7701</v>
      </c>
      <c r="H7073" t="s">
        <v>5518</v>
      </c>
      <c r="I7073" s="1">
        <v>45764</v>
      </c>
      <c r="K7073">
        <v>59000</v>
      </c>
      <c r="L7073" t="s">
        <v>350</v>
      </c>
    </row>
    <row r="7074" spans="1:12" x14ac:dyDescent="0.35">
      <c r="A7074" t="s">
        <v>131</v>
      </c>
      <c r="B7074" s="1">
        <v>45733</v>
      </c>
      <c r="C7074" t="s">
        <v>5663</v>
      </c>
      <c r="D7074" t="s">
        <v>5663</v>
      </c>
      <c r="F7074" t="s">
        <v>8423</v>
      </c>
      <c r="H7074" t="s">
        <v>5518</v>
      </c>
      <c r="I7074" s="1">
        <v>45764</v>
      </c>
      <c r="K7074">
        <v>150000</v>
      </c>
      <c r="L7074" t="s">
        <v>5972</v>
      </c>
    </row>
    <row r="7075" spans="1:12" x14ac:dyDescent="0.35">
      <c r="A7075" t="s">
        <v>131</v>
      </c>
      <c r="B7075" s="1">
        <v>45733</v>
      </c>
      <c r="C7075" t="s">
        <v>5664</v>
      </c>
      <c r="D7075" t="s">
        <v>5664</v>
      </c>
      <c r="F7075" t="s">
        <v>7831</v>
      </c>
      <c r="G7075" t="s">
        <v>8393</v>
      </c>
      <c r="H7075" t="s">
        <v>5518</v>
      </c>
      <c r="I7075" s="1">
        <v>45764</v>
      </c>
      <c r="J7075">
        <v>236000</v>
      </c>
      <c r="L7075" t="s">
        <v>6803</v>
      </c>
    </row>
    <row r="7076" spans="1:12" x14ac:dyDescent="0.35">
      <c r="A7076" t="s">
        <v>131</v>
      </c>
      <c r="B7076" s="1">
        <v>45733</v>
      </c>
      <c r="C7076" t="s">
        <v>5664</v>
      </c>
      <c r="D7076" t="s">
        <v>5664</v>
      </c>
      <c r="F7076" t="s">
        <v>8419</v>
      </c>
      <c r="H7076" t="s">
        <v>5518</v>
      </c>
      <c r="I7076" s="1">
        <v>45764</v>
      </c>
      <c r="K7076">
        <v>27000</v>
      </c>
      <c r="L7076" t="s">
        <v>6803</v>
      </c>
    </row>
    <row r="7077" spans="1:12" x14ac:dyDescent="0.35">
      <c r="A7077" t="s">
        <v>131</v>
      </c>
      <c r="B7077" s="1">
        <v>45733</v>
      </c>
      <c r="C7077" t="s">
        <v>5664</v>
      </c>
      <c r="D7077" t="s">
        <v>5664</v>
      </c>
      <c r="F7077" t="s">
        <v>7701</v>
      </c>
      <c r="H7077" t="s">
        <v>5518</v>
      </c>
      <c r="I7077" s="1">
        <v>45764</v>
      </c>
      <c r="K7077">
        <v>59000</v>
      </c>
      <c r="L7077" t="s">
        <v>350</v>
      </c>
    </row>
    <row r="7078" spans="1:12" x14ac:dyDescent="0.35">
      <c r="A7078" t="s">
        <v>131</v>
      </c>
      <c r="B7078" s="1">
        <v>45733</v>
      </c>
      <c r="C7078" t="s">
        <v>5664</v>
      </c>
      <c r="D7078" t="s">
        <v>5664</v>
      </c>
      <c r="F7078" t="s">
        <v>8423</v>
      </c>
      <c r="H7078" t="s">
        <v>5518</v>
      </c>
      <c r="I7078" s="1">
        <v>45764</v>
      </c>
      <c r="K7078">
        <v>150000</v>
      </c>
      <c r="L7078" t="s">
        <v>5972</v>
      </c>
    </row>
    <row r="7079" spans="1:12" x14ac:dyDescent="0.35">
      <c r="A7079" t="s">
        <v>131</v>
      </c>
      <c r="B7079" s="1">
        <v>45733</v>
      </c>
      <c r="C7079" t="s">
        <v>5665</v>
      </c>
      <c r="D7079" t="s">
        <v>5665</v>
      </c>
      <c r="F7079" t="s">
        <v>7831</v>
      </c>
      <c r="G7079" t="s">
        <v>8391</v>
      </c>
      <c r="H7079" t="s">
        <v>5581</v>
      </c>
      <c r="I7079" s="1">
        <v>45764</v>
      </c>
      <c r="J7079">
        <v>2859223</v>
      </c>
      <c r="L7079" t="s">
        <v>6803</v>
      </c>
    </row>
    <row r="7080" spans="1:12" x14ac:dyDescent="0.35">
      <c r="A7080" t="s">
        <v>131</v>
      </c>
      <c r="B7080" s="1">
        <v>45733</v>
      </c>
      <c r="C7080" t="s">
        <v>5665</v>
      </c>
      <c r="D7080" t="s">
        <v>5665</v>
      </c>
      <c r="F7080" t="s">
        <v>7831</v>
      </c>
      <c r="G7080" t="s">
        <v>8391</v>
      </c>
      <c r="H7080" t="s">
        <v>5666</v>
      </c>
      <c r="I7080" s="1">
        <v>45764</v>
      </c>
      <c r="J7080">
        <v>-2859223</v>
      </c>
      <c r="L7080" t="s">
        <v>6803</v>
      </c>
    </row>
    <row r="7081" spans="1:12" x14ac:dyDescent="0.35">
      <c r="A7081" t="s">
        <v>131</v>
      </c>
      <c r="B7081" s="1">
        <v>45733</v>
      </c>
      <c r="C7081" t="s">
        <v>5665</v>
      </c>
      <c r="D7081" t="s">
        <v>5665</v>
      </c>
      <c r="F7081" t="s">
        <v>8419</v>
      </c>
      <c r="H7081" t="s">
        <v>5581</v>
      </c>
      <c r="I7081" s="1">
        <v>45764</v>
      </c>
      <c r="K7081">
        <v>436153</v>
      </c>
      <c r="L7081" t="s">
        <v>6803</v>
      </c>
    </row>
    <row r="7082" spans="1:12" x14ac:dyDescent="0.35">
      <c r="A7082" t="s">
        <v>131</v>
      </c>
      <c r="B7082" s="1">
        <v>45733</v>
      </c>
      <c r="C7082" t="s">
        <v>5665</v>
      </c>
      <c r="D7082" t="s">
        <v>5665</v>
      </c>
      <c r="F7082" t="s">
        <v>8419</v>
      </c>
      <c r="H7082" t="s">
        <v>5666</v>
      </c>
      <c r="I7082" s="1">
        <v>45764</v>
      </c>
      <c r="K7082">
        <v>-436153</v>
      </c>
      <c r="L7082" t="s">
        <v>6803</v>
      </c>
    </row>
    <row r="7083" spans="1:12" x14ac:dyDescent="0.35">
      <c r="A7083" t="s">
        <v>131</v>
      </c>
      <c r="B7083" s="1">
        <v>45733</v>
      </c>
      <c r="C7083" t="s">
        <v>5665</v>
      </c>
      <c r="D7083" t="s">
        <v>5665</v>
      </c>
      <c r="F7083" t="s">
        <v>8423</v>
      </c>
      <c r="H7083" t="s">
        <v>5581</v>
      </c>
      <c r="I7083" s="1">
        <v>45764</v>
      </c>
      <c r="K7083">
        <v>2423070</v>
      </c>
      <c r="L7083" t="s">
        <v>5970</v>
      </c>
    </row>
    <row r="7084" spans="1:12" x14ac:dyDescent="0.35">
      <c r="A7084" t="s">
        <v>131</v>
      </c>
      <c r="B7084" s="1">
        <v>45733</v>
      </c>
      <c r="C7084" t="s">
        <v>5665</v>
      </c>
      <c r="D7084" t="s">
        <v>5665</v>
      </c>
      <c r="F7084" t="s">
        <v>8423</v>
      </c>
      <c r="H7084" t="s">
        <v>5666</v>
      </c>
      <c r="I7084" s="1">
        <v>45764</v>
      </c>
      <c r="K7084">
        <v>-2423070</v>
      </c>
      <c r="L7084" t="s">
        <v>5970</v>
      </c>
    </row>
    <row r="7085" spans="1:12" x14ac:dyDescent="0.35">
      <c r="A7085" t="s">
        <v>131</v>
      </c>
      <c r="B7085" s="1">
        <v>45733</v>
      </c>
      <c r="C7085" t="s">
        <v>5667</v>
      </c>
      <c r="D7085" t="s">
        <v>5667</v>
      </c>
      <c r="F7085" t="s">
        <v>7831</v>
      </c>
      <c r="G7085" t="s">
        <v>8391</v>
      </c>
      <c r="H7085" t="s">
        <v>5581</v>
      </c>
      <c r="I7085" s="1">
        <v>45764</v>
      </c>
      <c r="J7085">
        <v>20910228</v>
      </c>
      <c r="L7085" t="s">
        <v>6803</v>
      </c>
    </row>
    <row r="7086" spans="1:12" x14ac:dyDescent="0.35">
      <c r="A7086" t="s">
        <v>131</v>
      </c>
      <c r="B7086" s="1">
        <v>45733</v>
      </c>
      <c r="C7086" t="s">
        <v>5667</v>
      </c>
      <c r="D7086" t="s">
        <v>5667</v>
      </c>
      <c r="F7086" t="s">
        <v>7831</v>
      </c>
      <c r="G7086" t="s">
        <v>8391</v>
      </c>
      <c r="H7086" t="s">
        <v>5666</v>
      </c>
      <c r="I7086" s="1">
        <v>45764</v>
      </c>
      <c r="J7086">
        <v>-20910228</v>
      </c>
      <c r="L7086" t="s">
        <v>6803</v>
      </c>
    </row>
    <row r="7087" spans="1:12" x14ac:dyDescent="0.35">
      <c r="A7087" t="s">
        <v>131</v>
      </c>
      <c r="B7087" s="1">
        <v>45733</v>
      </c>
      <c r="C7087" t="s">
        <v>5667</v>
      </c>
      <c r="D7087" t="s">
        <v>5667</v>
      </c>
      <c r="F7087" t="s">
        <v>8419</v>
      </c>
      <c r="H7087" t="s">
        <v>5581</v>
      </c>
      <c r="I7087" s="1">
        <v>45764</v>
      </c>
      <c r="K7087">
        <v>3189696</v>
      </c>
      <c r="L7087" t="s">
        <v>6803</v>
      </c>
    </row>
    <row r="7088" spans="1:12" x14ac:dyDescent="0.35">
      <c r="A7088" t="s">
        <v>131</v>
      </c>
      <c r="B7088" s="1">
        <v>45733</v>
      </c>
      <c r="C7088" t="s">
        <v>5667</v>
      </c>
      <c r="D7088" t="s">
        <v>5667</v>
      </c>
      <c r="F7088" t="s">
        <v>8419</v>
      </c>
      <c r="H7088" t="s">
        <v>5666</v>
      </c>
      <c r="I7088" s="1">
        <v>45764</v>
      </c>
      <c r="K7088">
        <v>-3189696</v>
      </c>
      <c r="L7088" t="s">
        <v>6803</v>
      </c>
    </row>
    <row r="7089" spans="1:12" x14ac:dyDescent="0.35">
      <c r="A7089" t="s">
        <v>131</v>
      </c>
      <c r="B7089" s="1">
        <v>45733</v>
      </c>
      <c r="C7089" t="s">
        <v>5667</v>
      </c>
      <c r="D7089" t="s">
        <v>5667</v>
      </c>
      <c r="F7089" t="s">
        <v>8423</v>
      </c>
      <c r="H7089" t="s">
        <v>5581</v>
      </c>
      <c r="I7089" s="1">
        <v>45764</v>
      </c>
      <c r="K7089">
        <v>17720532</v>
      </c>
      <c r="L7089" t="s">
        <v>5970</v>
      </c>
    </row>
    <row r="7090" spans="1:12" x14ac:dyDescent="0.35">
      <c r="A7090" t="s">
        <v>131</v>
      </c>
      <c r="B7090" s="1">
        <v>45733</v>
      </c>
      <c r="C7090" t="s">
        <v>5667</v>
      </c>
      <c r="D7090" t="s">
        <v>5667</v>
      </c>
      <c r="F7090" t="s">
        <v>8423</v>
      </c>
      <c r="H7090" t="s">
        <v>5666</v>
      </c>
      <c r="I7090" s="1">
        <v>45764</v>
      </c>
      <c r="K7090">
        <v>-17720532</v>
      </c>
      <c r="L7090" t="s">
        <v>5970</v>
      </c>
    </row>
    <row r="7091" spans="1:12" x14ac:dyDescent="0.35">
      <c r="A7091" t="s">
        <v>131</v>
      </c>
      <c r="B7091" s="1">
        <v>45733</v>
      </c>
      <c r="C7091" t="s">
        <v>5668</v>
      </c>
      <c r="D7091" t="s">
        <v>5668</v>
      </c>
      <c r="F7091" t="s">
        <v>7823</v>
      </c>
      <c r="G7091" t="s">
        <v>7877</v>
      </c>
      <c r="H7091" t="s">
        <v>5508</v>
      </c>
      <c r="I7091" s="1">
        <v>45764</v>
      </c>
      <c r="J7091">
        <v>546959</v>
      </c>
      <c r="L7091" t="s">
        <v>6803</v>
      </c>
    </row>
    <row r="7092" spans="1:12" x14ac:dyDescent="0.35">
      <c r="A7092" t="s">
        <v>131</v>
      </c>
      <c r="B7092" s="1">
        <v>45733</v>
      </c>
      <c r="C7092" t="s">
        <v>5668</v>
      </c>
      <c r="D7092" t="s">
        <v>5668</v>
      </c>
      <c r="F7092" t="s">
        <v>8424</v>
      </c>
      <c r="H7092" t="s">
        <v>5508</v>
      </c>
      <c r="I7092" s="1">
        <v>45764</v>
      </c>
      <c r="K7092">
        <v>546959</v>
      </c>
      <c r="L7092" t="s">
        <v>5977</v>
      </c>
    </row>
    <row r="7093" spans="1:12" x14ac:dyDescent="0.35">
      <c r="A7093" t="s">
        <v>131</v>
      </c>
      <c r="B7093" s="1">
        <v>45733</v>
      </c>
      <c r="C7093" t="s">
        <v>5669</v>
      </c>
      <c r="D7093" t="s">
        <v>5669</v>
      </c>
      <c r="F7093" t="s">
        <v>7823</v>
      </c>
      <c r="G7093" t="s">
        <v>7877</v>
      </c>
      <c r="H7093" t="s">
        <v>5508</v>
      </c>
      <c r="I7093" s="1">
        <v>45764</v>
      </c>
      <c r="J7093">
        <v>546959</v>
      </c>
      <c r="L7093" t="s">
        <v>6803</v>
      </c>
    </row>
    <row r="7094" spans="1:12" x14ac:dyDescent="0.35">
      <c r="A7094" t="s">
        <v>131</v>
      </c>
      <c r="B7094" s="1">
        <v>45733</v>
      </c>
      <c r="C7094" t="s">
        <v>5669</v>
      </c>
      <c r="D7094" t="s">
        <v>5669</v>
      </c>
      <c r="F7094" t="s">
        <v>8424</v>
      </c>
      <c r="H7094" t="s">
        <v>5508</v>
      </c>
      <c r="I7094" s="1">
        <v>45764</v>
      </c>
      <c r="K7094">
        <v>546959</v>
      </c>
      <c r="L7094" t="s">
        <v>5977</v>
      </c>
    </row>
    <row r="7095" spans="1:12" x14ac:dyDescent="0.35">
      <c r="A7095" t="s">
        <v>131</v>
      </c>
      <c r="B7095" s="1">
        <v>45734</v>
      </c>
      <c r="C7095" t="s">
        <v>5670</v>
      </c>
      <c r="D7095" t="s">
        <v>5670</v>
      </c>
      <c r="F7095" t="s">
        <v>7831</v>
      </c>
      <c r="G7095" t="s">
        <v>8397</v>
      </c>
      <c r="H7095" t="s">
        <v>5671</v>
      </c>
      <c r="I7095" s="1">
        <v>45734</v>
      </c>
      <c r="J7095">
        <v>1180000</v>
      </c>
      <c r="L7095" t="s">
        <v>6803</v>
      </c>
    </row>
    <row r="7096" spans="1:12" x14ac:dyDescent="0.35">
      <c r="A7096" t="s">
        <v>131</v>
      </c>
      <c r="B7096" s="1">
        <v>45734</v>
      </c>
      <c r="C7096" t="s">
        <v>5670</v>
      </c>
      <c r="D7096" t="s">
        <v>5670</v>
      </c>
      <c r="F7096" t="s">
        <v>8419</v>
      </c>
      <c r="H7096" t="s">
        <v>5671</v>
      </c>
      <c r="I7096" s="1">
        <v>45734</v>
      </c>
      <c r="K7096">
        <v>180000</v>
      </c>
      <c r="L7096" t="s">
        <v>6803</v>
      </c>
    </row>
    <row r="7097" spans="1:12" x14ac:dyDescent="0.35">
      <c r="A7097" t="s">
        <v>131</v>
      </c>
      <c r="B7097" s="1">
        <v>45734</v>
      </c>
      <c r="C7097" t="s">
        <v>5670</v>
      </c>
      <c r="D7097" t="s">
        <v>5670</v>
      </c>
      <c r="F7097" t="s">
        <v>8423</v>
      </c>
      <c r="H7097" t="s">
        <v>5671</v>
      </c>
      <c r="I7097" s="1">
        <v>45734</v>
      </c>
      <c r="K7097">
        <v>1000000</v>
      </c>
      <c r="L7097" t="s">
        <v>5974</v>
      </c>
    </row>
    <row r="7098" spans="1:12" x14ac:dyDescent="0.35">
      <c r="A7098" t="s">
        <v>131</v>
      </c>
      <c r="B7098" s="1">
        <v>45734</v>
      </c>
      <c r="C7098" t="s">
        <v>5672</v>
      </c>
      <c r="D7098" t="s">
        <v>5672</v>
      </c>
      <c r="F7098" t="s">
        <v>7823</v>
      </c>
      <c r="G7098" t="s">
        <v>9901</v>
      </c>
      <c r="H7098" t="s">
        <v>5516</v>
      </c>
      <c r="I7098" s="1">
        <v>45765</v>
      </c>
      <c r="J7098">
        <v>153400</v>
      </c>
      <c r="L7098" t="s">
        <v>6803</v>
      </c>
    </row>
    <row r="7099" spans="1:12" x14ac:dyDescent="0.35">
      <c r="A7099" t="s">
        <v>131</v>
      </c>
      <c r="B7099" s="1">
        <v>45734</v>
      </c>
      <c r="C7099" t="s">
        <v>5672</v>
      </c>
      <c r="D7099" t="s">
        <v>5672</v>
      </c>
      <c r="F7099" t="s">
        <v>8419</v>
      </c>
      <c r="H7099" t="s">
        <v>5516</v>
      </c>
      <c r="I7099" s="1">
        <v>45765</v>
      </c>
      <c r="K7099">
        <v>23400</v>
      </c>
      <c r="L7099" t="s">
        <v>6803</v>
      </c>
    </row>
    <row r="7100" spans="1:12" x14ac:dyDescent="0.35">
      <c r="A7100" t="s">
        <v>131</v>
      </c>
      <c r="B7100" s="1">
        <v>45734</v>
      </c>
      <c r="C7100" t="s">
        <v>5672</v>
      </c>
      <c r="D7100" t="s">
        <v>5672</v>
      </c>
      <c r="F7100" t="s">
        <v>8423</v>
      </c>
      <c r="H7100" t="s">
        <v>5516</v>
      </c>
      <c r="I7100" s="1">
        <v>45765</v>
      </c>
      <c r="K7100">
        <v>130000</v>
      </c>
      <c r="L7100" t="s">
        <v>5974</v>
      </c>
    </row>
    <row r="7101" spans="1:12" x14ac:dyDescent="0.35">
      <c r="A7101" t="s">
        <v>131</v>
      </c>
      <c r="B7101" s="1">
        <v>45734</v>
      </c>
      <c r="C7101" t="s">
        <v>5673</v>
      </c>
      <c r="D7101" t="s">
        <v>5673</v>
      </c>
      <c r="F7101" t="s">
        <v>7831</v>
      </c>
      <c r="G7101" t="s">
        <v>9906</v>
      </c>
      <c r="H7101" t="s">
        <v>5674</v>
      </c>
      <c r="I7101" s="1">
        <v>45765</v>
      </c>
      <c r="J7101">
        <v>10358040</v>
      </c>
      <c r="L7101" t="s">
        <v>6803</v>
      </c>
    </row>
    <row r="7102" spans="1:12" x14ac:dyDescent="0.35">
      <c r="A7102" t="s">
        <v>131</v>
      </c>
      <c r="B7102" s="1">
        <v>45734</v>
      </c>
      <c r="C7102" t="s">
        <v>5673</v>
      </c>
      <c r="D7102" t="s">
        <v>5673</v>
      </c>
      <c r="F7102" t="s">
        <v>8419</v>
      </c>
      <c r="H7102" t="s">
        <v>5674</v>
      </c>
      <c r="I7102" s="1">
        <v>45765</v>
      </c>
      <c r="K7102">
        <v>1580040</v>
      </c>
      <c r="L7102" t="s">
        <v>6803</v>
      </c>
    </row>
    <row r="7103" spans="1:12" x14ac:dyDescent="0.35">
      <c r="A7103" t="s">
        <v>131</v>
      </c>
      <c r="B7103" s="1">
        <v>45734</v>
      </c>
      <c r="C7103" t="s">
        <v>5673</v>
      </c>
      <c r="D7103" t="s">
        <v>5673</v>
      </c>
      <c r="F7103" t="s">
        <v>8423</v>
      </c>
      <c r="H7103" t="s">
        <v>5674</v>
      </c>
      <c r="I7103" s="1">
        <v>45765</v>
      </c>
      <c r="K7103">
        <v>8778000</v>
      </c>
      <c r="L7103" t="s">
        <v>5974</v>
      </c>
    </row>
    <row r="7104" spans="1:12" x14ac:dyDescent="0.35">
      <c r="A7104" t="s">
        <v>131</v>
      </c>
      <c r="B7104" s="1">
        <v>45734</v>
      </c>
      <c r="C7104" t="s">
        <v>5675</v>
      </c>
      <c r="D7104" t="s">
        <v>5675</v>
      </c>
      <c r="F7104" t="s">
        <v>7831</v>
      </c>
      <c r="G7104" t="s">
        <v>8393</v>
      </c>
      <c r="H7104" t="s">
        <v>5518</v>
      </c>
      <c r="I7104" s="1">
        <v>45765</v>
      </c>
      <c r="J7104">
        <v>323320</v>
      </c>
      <c r="L7104" t="s">
        <v>6803</v>
      </c>
    </row>
    <row r="7105" spans="1:12" x14ac:dyDescent="0.35">
      <c r="A7105" t="s">
        <v>131</v>
      </c>
      <c r="B7105" s="1">
        <v>45734</v>
      </c>
      <c r="C7105" t="s">
        <v>5675</v>
      </c>
      <c r="D7105" t="s">
        <v>5675</v>
      </c>
      <c r="F7105" t="s">
        <v>7831</v>
      </c>
      <c r="G7105" t="s">
        <v>8393</v>
      </c>
      <c r="H7105" t="s">
        <v>5518</v>
      </c>
      <c r="I7105" s="1">
        <v>45765</v>
      </c>
      <c r="J7105">
        <v>323320</v>
      </c>
      <c r="L7105" t="s">
        <v>6803</v>
      </c>
    </row>
    <row r="7106" spans="1:12" x14ac:dyDescent="0.35">
      <c r="A7106" t="s">
        <v>131</v>
      </c>
      <c r="B7106" s="1">
        <v>45734</v>
      </c>
      <c r="C7106" t="s">
        <v>5675</v>
      </c>
      <c r="D7106" t="s">
        <v>5675</v>
      </c>
      <c r="F7106" t="s">
        <v>7831</v>
      </c>
      <c r="G7106" t="s">
        <v>8393</v>
      </c>
      <c r="H7106" t="s">
        <v>5676</v>
      </c>
      <c r="I7106" s="1">
        <v>45765</v>
      </c>
      <c r="J7106">
        <v>-323320</v>
      </c>
      <c r="L7106" t="s">
        <v>6803</v>
      </c>
    </row>
    <row r="7107" spans="1:12" x14ac:dyDescent="0.35">
      <c r="A7107" t="s">
        <v>131</v>
      </c>
      <c r="B7107" s="1">
        <v>45734</v>
      </c>
      <c r="C7107" t="s">
        <v>5675</v>
      </c>
      <c r="D7107" t="s">
        <v>5675</v>
      </c>
      <c r="F7107" t="s">
        <v>8419</v>
      </c>
      <c r="H7107" t="s">
        <v>5518</v>
      </c>
      <c r="I7107" s="1">
        <v>45765</v>
      </c>
      <c r="K7107">
        <v>44820</v>
      </c>
      <c r="L7107" t="s">
        <v>6803</v>
      </c>
    </row>
    <row r="7108" spans="1:12" x14ac:dyDescent="0.35">
      <c r="A7108" t="s">
        <v>131</v>
      </c>
      <c r="B7108" s="1">
        <v>45734</v>
      </c>
      <c r="C7108" t="s">
        <v>5675</v>
      </c>
      <c r="D7108" t="s">
        <v>5675</v>
      </c>
      <c r="F7108" t="s">
        <v>8419</v>
      </c>
      <c r="H7108" t="s">
        <v>5518</v>
      </c>
      <c r="I7108" s="1">
        <v>45765</v>
      </c>
      <c r="K7108">
        <v>44820</v>
      </c>
      <c r="L7108" t="s">
        <v>6803</v>
      </c>
    </row>
    <row r="7109" spans="1:12" x14ac:dyDescent="0.35">
      <c r="A7109" t="s">
        <v>131</v>
      </c>
      <c r="B7109" s="1">
        <v>45734</v>
      </c>
      <c r="C7109" t="s">
        <v>5675</v>
      </c>
      <c r="D7109" t="s">
        <v>5675</v>
      </c>
      <c r="F7109" t="s">
        <v>8419</v>
      </c>
      <c r="H7109" t="s">
        <v>5676</v>
      </c>
      <c r="I7109" s="1">
        <v>45765</v>
      </c>
      <c r="K7109">
        <v>-44820</v>
      </c>
      <c r="L7109" t="s">
        <v>6803</v>
      </c>
    </row>
    <row r="7110" spans="1:12" x14ac:dyDescent="0.35">
      <c r="A7110" t="s">
        <v>131</v>
      </c>
      <c r="B7110" s="1">
        <v>45734</v>
      </c>
      <c r="C7110" t="s">
        <v>5675</v>
      </c>
      <c r="D7110" t="s">
        <v>5675</v>
      </c>
      <c r="F7110" t="s">
        <v>7701</v>
      </c>
      <c r="H7110" t="s">
        <v>5518</v>
      </c>
      <c r="I7110" s="1">
        <v>45765</v>
      </c>
      <c r="K7110">
        <v>29500</v>
      </c>
      <c r="L7110" t="s">
        <v>350</v>
      </c>
    </row>
    <row r="7111" spans="1:12" x14ac:dyDescent="0.35">
      <c r="A7111" t="s">
        <v>131</v>
      </c>
      <c r="B7111" s="1">
        <v>45734</v>
      </c>
      <c r="C7111" t="s">
        <v>5675</v>
      </c>
      <c r="D7111" t="s">
        <v>5675</v>
      </c>
      <c r="F7111" t="s">
        <v>7701</v>
      </c>
      <c r="H7111" t="s">
        <v>5518</v>
      </c>
      <c r="I7111" s="1">
        <v>45765</v>
      </c>
      <c r="K7111">
        <v>29500</v>
      </c>
      <c r="L7111" t="s">
        <v>350</v>
      </c>
    </row>
    <row r="7112" spans="1:12" x14ac:dyDescent="0.35">
      <c r="A7112" t="s">
        <v>131</v>
      </c>
      <c r="B7112" s="1">
        <v>45734</v>
      </c>
      <c r="C7112" t="s">
        <v>5675</v>
      </c>
      <c r="D7112" t="s">
        <v>5675</v>
      </c>
      <c r="F7112" t="s">
        <v>7701</v>
      </c>
      <c r="H7112" t="s">
        <v>5676</v>
      </c>
      <c r="I7112" s="1">
        <v>45765</v>
      </c>
      <c r="K7112">
        <v>-29500</v>
      </c>
      <c r="L7112" t="s">
        <v>350</v>
      </c>
    </row>
    <row r="7113" spans="1:12" x14ac:dyDescent="0.35">
      <c r="A7113" t="s">
        <v>131</v>
      </c>
      <c r="B7113" s="1">
        <v>45734</v>
      </c>
      <c r="C7113" t="s">
        <v>5675</v>
      </c>
      <c r="D7113" t="s">
        <v>5675</v>
      </c>
      <c r="F7113" t="s">
        <v>8423</v>
      </c>
      <c r="H7113" t="s">
        <v>5518</v>
      </c>
      <c r="I7113" s="1">
        <v>45765</v>
      </c>
      <c r="K7113">
        <v>150000</v>
      </c>
      <c r="L7113" t="s">
        <v>5972</v>
      </c>
    </row>
    <row r="7114" spans="1:12" x14ac:dyDescent="0.35">
      <c r="A7114" t="s">
        <v>131</v>
      </c>
      <c r="B7114" s="1">
        <v>45734</v>
      </c>
      <c r="C7114" t="s">
        <v>5675</v>
      </c>
      <c r="D7114" t="s">
        <v>5675</v>
      </c>
      <c r="F7114" t="s">
        <v>8423</v>
      </c>
      <c r="H7114" t="s">
        <v>5518</v>
      </c>
      <c r="I7114" s="1">
        <v>45765</v>
      </c>
      <c r="K7114">
        <v>150000</v>
      </c>
      <c r="L7114" t="s">
        <v>5972</v>
      </c>
    </row>
    <row r="7115" spans="1:12" x14ac:dyDescent="0.35">
      <c r="A7115" t="s">
        <v>131</v>
      </c>
      <c r="B7115" s="1">
        <v>45734</v>
      </c>
      <c r="C7115" t="s">
        <v>5675</v>
      </c>
      <c r="D7115" t="s">
        <v>5675</v>
      </c>
      <c r="F7115" t="s">
        <v>8423</v>
      </c>
      <c r="H7115" t="s">
        <v>5676</v>
      </c>
      <c r="I7115" s="1">
        <v>45765</v>
      </c>
      <c r="K7115">
        <v>-150000</v>
      </c>
      <c r="L7115" t="s">
        <v>5972</v>
      </c>
    </row>
    <row r="7116" spans="1:12" x14ac:dyDescent="0.35">
      <c r="A7116" t="s">
        <v>131</v>
      </c>
      <c r="B7116" s="1">
        <v>45734</v>
      </c>
      <c r="C7116" t="s">
        <v>5675</v>
      </c>
      <c r="D7116" t="s">
        <v>5675</v>
      </c>
      <c r="F7116" t="s">
        <v>8428</v>
      </c>
      <c r="H7116" t="s">
        <v>5518</v>
      </c>
      <c r="I7116" s="1">
        <v>45765</v>
      </c>
      <c r="K7116">
        <v>99000</v>
      </c>
      <c r="L7116" t="s">
        <v>5972</v>
      </c>
    </row>
    <row r="7117" spans="1:12" x14ac:dyDescent="0.35">
      <c r="A7117" t="s">
        <v>131</v>
      </c>
      <c r="B7117" s="1">
        <v>45734</v>
      </c>
      <c r="C7117" t="s">
        <v>5675</v>
      </c>
      <c r="D7117" t="s">
        <v>5675</v>
      </c>
      <c r="F7117" t="s">
        <v>8428</v>
      </c>
      <c r="H7117" t="s">
        <v>5518</v>
      </c>
      <c r="I7117" s="1">
        <v>45765</v>
      </c>
      <c r="K7117">
        <v>99000</v>
      </c>
      <c r="L7117" t="s">
        <v>5972</v>
      </c>
    </row>
    <row r="7118" spans="1:12" x14ac:dyDescent="0.35">
      <c r="A7118" t="s">
        <v>131</v>
      </c>
      <c r="B7118" s="1">
        <v>45734</v>
      </c>
      <c r="C7118" t="s">
        <v>5675</v>
      </c>
      <c r="D7118" t="s">
        <v>5675</v>
      </c>
      <c r="F7118" t="s">
        <v>8428</v>
      </c>
      <c r="H7118" t="s">
        <v>5676</v>
      </c>
      <c r="I7118" s="1">
        <v>45765</v>
      </c>
      <c r="K7118">
        <v>-99000</v>
      </c>
      <c r="L7118" t="s">
        <v>5972</v>
      </c>
    </row>
    <row r="7119" spans="1:12" x14ac:dyDescent="0.35">
      <c r="A7119" t="s">
        <v>131</v>
      </c>
      <c r="B7119" s="1">
        <v>45734</v>
      </c>
      <c r="C7119" t="s">
        <v>5677</v>
      </c>
      <c r="D7119" t="s">
        <v>5677</v>
      </c>
      <c r="F7119" t="s">
        <v>7831</v>
      </c>
      <c r="G7119" t="s">
        <v>7521</v>
      </c>
      <c r="H7119" t="s">
        <v>5551</v>
      </c>
      <c r="I7119" s="1">
        <v>45734</v>
      </c>
      <c r="J7119">
        <v>413000</v>
      </c>
      <c r="L7119" t="s">
        <v>6803</v>
      </c>
    </row>
    <row r="7120" spans="1:12" x14ac:dyDescent="0.35">
      <c r="A7120" t="s">
        <v>131</v>
      </c>
      <c r="B7120" s="1">
        <v>45734</v>
      </c>
      <c r="C7120" t="s">
        <v>5677</v>
      </c>
      <c r="D7120" t="s">
        <v>5677</v>
      </c>
      <c r="F7120" t="s">
        <v>7831</v>
      </c>
      <c r="G7120" t="s">
        <v>7521</v>
      </c>
      <c r="H7120" t="s">
        <v>5551</v>
      </c>
      <c r="I7120" s="1">
        <v>45734</v>
      </c>
      <c r="J7120">
        <v>413000</v>
      </c>
      <c r="L7120" t="s">
        <v>6803</v>
      </c>
    </row>
    <row r="7121" spans="1:12" x14ac:dyDescent="0.35">
      <c r="A7121" t="s">
        <v>131</v>
      </c>
      <c r="B7121" s="1">
        <v>45734</v>
      </c>
      <c r="C7121" t="s">
        <v>5677</v>
      </c>
      <c r="D7121" t="s">
        <v>5677</v>
      </c>
      <c r="F7121" t="s">
        <v>7831</v>
      </c>
      <c r="G7121" t="s">
        <v>7521</v>
      </c>
      <c r="H7121" t="s">
        <v>5678</v>
      </c>
      <c r="I7121" s="1">
        <v>45734</v>
      </c>
      <c r="J7121">
        <v>-413000</v>
      </c>
      <c r="L7121" t="s">
        <v>6803</v>
      </c>
    </row>
    <row r="7122" spans="1:12" x14ac:dyDescent="0.35">
      <c r="A7122" t="s">
        <v>131</v>
      </c>
      <c r="B7122" s="1">
        <v>45734</v>
      </c>
      <c r="C7122" t="s">
        <v>5677</v>
      </c>
      <c r="D7122" t="s">
        <v>5677</v>
      </c>
      <c r="F7122" t="s">
        <v>8419</v>
      </c>
      <c r="H7122" t="s">
        <v>5551</v>
      </c>
      <c r="I7122" s="1">
        <v>45734</v>
      </c>
      <c r="K7122">
        <v>54000</v>
      </c>
      <c r="L7122" t="s">
        <v>6803</v>
      </c>
    </row>
    <row r="7123" spans="1:12" x14ac:dyDescent="0.35">
      <c r="A7123" t="s">
        <v>131</v>
      </c>
      <c r="B7123" s="1">
        <v>45734</v>
      </c>
      <c r="C7123" t="s">
        <v>5677</v>
      </c>
      <c r="D7123" t="s">
        <v>5677</v>
      </c>
      <c r="F7123" t="s">
        <v>8419</v>
      </c>
      <c r="H7123" t="s">
        <v>5551</v>
      </c>
      <c r="I7123" s="1">
        <v>45734</v>
      </c>
      <c r="K7123">
        <v>54000</v>
      </c>
      <c r="L7123" t="s">
        <v>6803</v>
      </c>
    </row>
    <row r="7124" spans="1:12" x14ac:dyDescent="0.35">
      <c r="A7124" t="s">
        <v>131</v>
      </c>
      <c r="B7124" s="1">
        <v>45734</v>
      </c>
      <c r="C7124" t="s">
        <v>5677</v>
      </c>
      <c r="D7124" t="s">
        <v>5677</v>
      </c>
      <c r="F7124" t="s">
        <v>8419</v>
      </c>
      <c r="H7124" t="s">
        <v>5678</v>
      </c>
      <c r="I7124" s="1">
        <v>45734</v>
      </c>
      <c r="K7124">
        <v>-54000</v>
      </c>
      <c r="L7124" t="s">
        <v>6803</v>
      </c>
    </row>
    <row r="7125" spans="1:12" x14ac:dyDescent="0.35">
      <c r="A7125" t="s">
        <v>131</v>
      </c>
      <c r="B7125" s="1">
        <v>45734</v>
      </c>
      <c r="C7125" t="s">
        <v>5677</v>
      </c>
      <c r="D7125" t="s">
        <v>5677</v>
      </c>
      <c r="F7125" t="s">
        <v>7701</v>
      </c>
      <c r="H7125" t="s">
        <v>5551</v>
      </c>
      <c r="I7125" s="1">
        <v>45734</v>
      </c>
      <c r="K7125">
        <v>59000</v>
      </c>
      <c r="L7125" t="s">
        <v>350</v>
      </c>
    </row>
    <row r="7126" spans="1:12" x14ac:dyDescent="0.35">
      <c r="A7126" t="s">
        <v>131</v>
      </c>
      <c r="B7126" s="1">
        <v>45734</v>
      </c>
      <c r="C7126" t="s">
        <v>5677</v>
      </c>
      <c r="D7126" t="s">
        <v>5677</v>
      </c>
      <c r="F7126" t="s">
        <v>7701</v>
      </c>
      <c r="H7126" t="s">
        <v>5551</v>
      </c>
      <c r="I7126" s="1">
        <v>45734</v>
      </c>
      <c r="K7126">
        <v>59000</v>
      </c>
      <c r="L7126" t="s">
        <v>350</v>
      </c>
    </row>
    <row r="7127" spans="1:12" x14ac:dyDescent="0.35">
      <c r="A7127" t="s">
        <v>131</v>
      </c>
      <c r="B7127" s="1">
        <v>45734</v>
      </c>
      <c r="C7127" t="s">
        <v>5677</v>
      </c>
      <c r="D7127" t="s">
        <v>5677</v>
      </c>
      <c r="F7127" t="s">
        <v>7701</v>
      </c>
      <c r="H7127" t="s">
        <v>5678</v>
      </c>
      <c r="I7127" s="1">
        <v>45734</v>
      </c>
      <c r="K7127">
        <v>-59000</v>
      </c>
      <c r="L7127" t="s">
        <v>350</v>
      </c>
    </row>
    <row r="7128" spans="1:12" x14ac:dyDescent="0.35">
      <c r="A7128" t="s">
        <v>131</v>
      </c>
      <c r="B7128" s="1">
        <v>45734</v>
      </c>
      <c r="C7128" t="s">
        <v>5677</v>
      </c>
      <c r="D7128" t="s">
        <v>5677</v>
      </c>
      <c r="F7128" t="s">
        <v>8423</v>
      </c>
      <c r="H7128" t="s">
        <v>5551</v>
      </c>
      <c r="I7128" s="1">
        <v>45734</v>
      </c>
      <c r="K7128">
        <v>300000</v>
      </c>
      <c r="L7128" t="s">
        <v>5972</v>
      </c>
    </row>
    <row r="7129" spans="1:12" x14ac:dyDescent="0.35">
      <c r="A7129" t="s">
        <v>131</v>
      </c>
      <c r="B7129" s="1">
        <v>45734</v>
      </c>
      <c r="C7129" t="s">
        <v>5677</v>
      </c>
      <c r="D7129" t="s">
        <v>5677</v>
      </c>
      <c r="F7129" t="s">
        <v>8423</v>
      </c>
      <c r="H7129" t="s">
        <v>5551</v>
      </c>
      <c r="I7129" s="1">
        <v>45734</v>
      </c>
      <c r="K7129">
        <v>300000</v>
      </c>
      <c r="L7129" t="s">
        <v>5972</v>
      </c>
    </row>
    <row r="7130" spans="1:12" x14ac:dyDescent="0.35">
      <c r="A7130" t="s">
        <v>131</v>
      </c>
      <c r="B7130" s="1">
        <v>45734</v>
      </c>
      <c r="C7130" t="s">
        <v>5677</v>
      </c>
      <c r="D7130" t="s">
        <v>5677</v>
      </c>
      <c r="F7130" t="s">
        <v>8423</v>
      </c>
      <c r="H7130" t="s">
        <v>5678</v>
      </c>
      <c r="I7130" s="1">
        <v>45734</v>
      </c>
      <c r="K7130">
        <v>-300000</v>
      </c>
      <c r="L7130" t="s">
        <v>5972</v>
      </c>
    </row>
    <row r="7131" spans="1:12" x14ac:dyDescent="0.35">
      <c r="A7131" t="s">
        <v>131</v>
      </c>
      <c r="B7131" s="1">
        <v>45734</v>
      </c>
      <c r="C7131" t="s">
        <v>5679</v>
      </c>
      <c r="D7131" t="s">
        <v>5679</v>
      </c>
      <c r="F7131" t="s">
        <v>7831</v>
      </c>
      <c r="G7131" t="s">
        <v>7521</v>
      </c>
      <c r="H7131" t="s">
        <v>5522</v>
      </c>
      <c r="I7131" s="1">
        <v>45777</v>
      </c>
      <c r="J7131">
        <v>214760</v>
      </c>
      <c r="L7131" t="s">
        <v>6803</v>
      </c>
    </row>
    <row r="7132" spans="1:12" x14ac:dyDescent="0.35">
      <c r="A7132" t="s">
        <v>131</v>
      </c>
      <c r="B7132" s="1">
        <v>45734</v>
      </c>
      <c r="C7132" t="s">
        <v>5679</v>
      </c>
      <c r="D7132" t="s">
        <v>5679</v>
      </c>
      <c r="F7132" t="s">
        <v>7831</v>
      </c>
      <c r="G7132" t="s">
        <v>7521</v>
      </c>
      <c r="H7132" t="s">
        <v>5522</v>
      </c>
      <c r="I7132" s="1">
        <v>45777</v>
      </c>
      <c r="J7132">
        <v>214760</v>
      </c>
      <c r="L7132" t="s">
        <v>6803</v>
      </c>
    </row>
    <row r="7133" spans="1:12" x14ac:dyDescent="0.35">
      <c r="A7133" t="s">
        <v>131</v>
      </c>
      <c r="B7133" s="1">
        <v>45734</v>
      </c>
      <c r="C7133" t="s">
        <v>5679</v>
      </c>
      <c r="D7133" t="s">
        <v>5679</v>
      </c>
      <c r="F7133" t="s">
        <v>7831</v>
      </c>
      <c r="G7133" t="s">
        <v>7521</v>
      </c>
      <c r="H7133" t="s">
        <v>5680</v>
      </c>
      <c r="I7133" s="1">
        <v>45777</v>
      </c>
      <c r="J7133">
        <v>-214760</v>
      </c>
      <c r="L7133" t="s">
        <v>6803</v>
      </c>
    </row>
    <row r="7134" spans="1:12" x14ac:dyDescent="0.35">
      <c r="A7134" t="s">
        <v>131</v>
      </c>
      <c r="B7134" s="1">
        <v>45734</v>
      </c>
      <c r="C7134" t="s">
        <v>5679</v>
      </c>
      <c r="D7134" t="s">
        <v>5679</v>
      </c>
      <c r="F7134" t="s">
        <v>8419</v>
      </c>
      <c r="H7134" t="s">
        <v>5522</v>
      </c>
      <c r="I7134" s="1">
        <v>45777</v>
      </c>
      <c r="K7134">
        <v>23760</v>
      </c>
      <c r="L7134" t="s">
        <v>6803</v>
      </c>
    </row>
    <row r="7135" spans="1:12" x14ac:dyDescent="0.35">
      <c r="A7135" t="s">
        <v>131</v>
      </c>
      <c r="B7135" s="1">
        <v>45734</v>
      </c>
      <c r="C7135" t="s">
        <v>5679</v>
      </c>
      <c r="D7135" t="s">
        <v>5679</v>
      </c>
      <c r="F7135" t="s">
        <v>8419</v>
      </c>
      <c r="H7135" t="s">
        <v>5522</v>
      </c>
      <c r="I7135" s="1">
        <v>45777</v>
      </c>
      <c r="K7135">
        <v>23760</v>
      </c>
      <c r="L7135" t="s">
        <v>6803</v>
      </c>
    </row>
    <row r="7136" spans="1:12" x14ac:dyDescent="0.35">
      <c r="A7136" t="s">
        <v>131</v>
      </c>
      <c r="B7136" s="1">
        <v>45734</v>
      </c>
      <c r="C7136" t="s">
        <v>5679</v>
      </c>
      <c r="D7136" t="s">
        <v>5679</v>
      </c>
      <c r="F7136" t="s">
        <v>8419</v>
      </c>
      <c r="H7136" t="s">
        <v>5680</v>
      </c>
      <c r="I7136" s="1">
        <v>45777</v>
      </c>
      <c r="K7136">
        <v>-23760</v>
      </c>
      <c r="L7136" t="s">
        <v>6803</v>
      </c>
    </row>
    <row r="7137" spans="1:12" x14ac:dyDescent="0.35">
      <c r="A7137" t="s">
        <v>131</v>
      </c>
      <c r="B7137" s="1">
        <v>45734</v>
      </c>
      <c r="C7137" t="s">
        <v>5679</v>
      </c>
      <c r="D7137" t="s">
        <v>5679</v>
      </c>
      <c r="F7137" t="s">
        <v>7701</v>
      </c>
      <c r="H7137" t="s">
        <v>5522</v>
      </c>
      <c r="I7137" s="1">
        <v>45777</v>
      </c>
      <c r="K7137">
        <v>59000</v>
      </c>
      <c r="L7137" t="s">
        <v>350</v>
      </c>
    </row>
    <row r="7138" spans="1:12" x14ac:dyDescent="0.35">
      <c r="A7138" t="s">
        <v>131</v>
      </c>
      <c r="B7138" s="1">
        <v>45734</v>
      </c>
      <c r="C7138" t="s">
        <v>5679</v>
      </c>
      <c r="D7138" t="s">
        <v>5679</v>
      </c>
      <c r="F7138" t="s">
        <v>7701</v>
      </c>
      <c r="H7138" t="s">
        <v>5522</v>
      </c>
      <c r="I7138" s="1">
        <v>45777</v>
      </c>
      <c r="K7138">
        <v>59000</v>
      </c>
      <c r="L7138" t="s">
        <v>350</v>
      </c>
    </row>
    <row r="7139" spans="1:12" x14ac:dyDescent="0.35">
      <c r="A7139" t="s">
        <v>131</v>
      </c>
      <c r="B7139" s="1">
        <v>45734</v>
      </c>
      <c r="C7139" t="s">
        <v>5679</v>
      </c>
      <c r="D7139" t="s">
        <v>5679</v>
      </c>
      <c r="F7139" t="s">
        <v>7701</v>
      </c>
      <c r="H7139" t="s">
        <v>5680</v>
      </c>
      <c r="I7139" s="1">
        <v>45777</v>
      </c>
      <c r="K7139">
        <v>-59000</v>
      </c>
      <c r="L7139" t="s">
        <v>350</v>
      </c>
    </row>
    <row r="7140" spans="1:12" x14ac:dyDescent="0.35">
      <c r="A7140" t="s">
        <v>131</v>
      </c>
      <c r="B7140" s="1">
        <v>45734</v>
      </c>
      <c r="C7140" t="s">
        <v>5679</v>
      </c>
      <c r="D7140" t="s">
        <v>5679</v>
      </c>
      <c r="F7140" t="s">
        <v>8423</v>
      </c>
      <c r="H7140" t="s">
        <v>5522</v>
      </c>
      <c r="I7140" s="1">
        <v>45777</v>
      </c>
      <c r="K7140">
        <v>132000</v>
      </c>
      <c r="L7140" t="s">
        <v>5972</v>
      </c>
    </row>
    <row r="7141" spans="1:12" x14ac:dyDescent="0.35">
      <c r="A7141" t="s">
        <v>131</v>
      </c>
      <c r="B7141" s="1">
        <v>45734</v>
      </c>
      <c r="C7141" t="s">
        <v>5679</v>
      </c>
      <c r="D7141" t="s">
        <v>5679</v>
      </c>
      <c r="F7141" t="s">
        <v>8423</v>
      </c>
      <c r="H7141" t="s">
        <v>5522</v>
      </c>
      <c r="I7141" s="1">
        <v>45777</v>
      </c>
      <c r="K7141">
        <v>132000</v>
      </c>
      <c r="L7141" t="s">
        <v>5972</v>
      </c>
    </row>
    <row r="7142" spans="1:12" x14ac:dyDescent="0.35">
      <c r="A7142" t="s">
        <v>131</v>
      </c>
      <c r="B7142" s="1">
        <v>45734</v>
      </c>
      <c r="C7142" t="s">
        <v>5679</v>
      </c>
      <c r="D7142" t="s">
        <v>5679</v>
      </c>
      <c r="F7142" t="s">
        <v>8423</v>
      </c>
      <c r="H7142" t="s">
        <v>5680</v>
      </c>
      <c r="I7142" s="1">
        <v>45777</v>
      </c>
      <c r="K7142">
        <v>-132000</v>
      </c>
      <c r="L7142" t="s">
        <v>5972</v>
      </c>
    </row>
    <row r="7143" spans="1:12" x14ac:dyDescent="0.35">
      <c r="A7143" t="s">
        <v>131</v>
      </c>
      <c r="B7143" s="1">
        <v>45734</v>
      </c>
      <c r="C7143" t="s">
        <v>5681</v>
      </c>
      <c r="D7143" t="s">
        <v>5681</v>
      </c>
      <c r="F7143" t="s">
        <v>7831</v>
      </c>
      <c r="G7143" t="s">
        <v>7521</v>
      </c>
      <c r="H7143" t="s">
        <v>5522</v>
      </c>
      <c r="I7143" s="1">
        <v>45777</v>
      </c>
      <c r="J7143">
        <v>536900</v>
      </c>
      <c r="L7143" t="s">
        <v>6803</v>
      </c>
    </row>
    <row r="7144" spans="1:12" x14ac:dyDescent="0.35">
      <c r="A7144" t="s">
        <v>131</v>
      </c>
      <c r="B7144" s="1">
        <v>45734</v>
      </c>
      <c r="C7144" t="s">
        <v>5681</v>
      </c>
      <c r="D7144" t="s">
        <v>5681</v>
      </c>
      <c r="F7144" t="s">
        <v>8419</v>
      </c>
      <c r="H7144" t="s">
        <v>5522</v>
      </c>
      <c r="I7144" s="1">
        <v>45777</v>
      </c>
      <c r="K7144">
        <v>59400</v>
      </c>
      <c r="L7144" t="s">
        <v>6803</v>
      </c>
    </row>
    <row r="7145" spans="1:12" x14ac:dyDescent="0.35">
      <c r="A7145" t="s">
        <v>131</v>
      </c>
      <c r="B7145" s="1">
        <v>45734</v>
      </c>
      <c r="C7145" t="s">
        <v>5681</v>
      </c>
      <c r="D7145" t="s">
        <v>5681</v>
      </c>
      <c r="F7145" t="s">
        <v>7701</v>
      </c>
      <c r="H7145" t="s">
        <v>5522</v>
      </c>
      <c r="I7145" s="1">
        <v>45777</v>
      </c>
      <c r="K7145">
        <v>147500</v>
      </c>
      <c r="L7145" t="s">
        <v>350</v>
      </c>
    </row>
    <row r="7146" spans="1:12" x14ac:dyDescent="0.35">
      <c r="A7146" t="s">
        <v>131</v>
      </c>
      <c r="B7146" s="1">
        <v>45734</v>
      </c>
      <c r="C7146" t="s">
        <v>5681</v>
      </c>
      <c r="D7146" t="s">
        <v>5681</v>
      </c>
      <c r="F7146" t="s">
        <v>8423</v>
      </c>
      <c r="H7146" t="s">
        <v>5522</v>
      </c>
      <c r="I7146" s="1">
        <v>45777</v>
      </c>
      <c r="K7146">
        <v>330000</v>
      </c>
      <c r="L7146" t="s">
        <v>5972</v>
      </c>
    </row>
    <row r="7147" spans="1:12" x14ac:dyDescent="0.35">
      <c r="A7147" t="s">
        <v>131</v>
      </c>
      <c r="B7147" s="1">
        <v>45734</v>
      </c>
      <c r="C7147" t="s">
        <v>5682</v>
      </c>
      <c r="D7147" t="s">
        <v>5682</v>
      </c>
      <c r="F7147" t="s">
        <v>7831</v>
      </c>
      <c r="G7147" t="s">
        <v>7521</v>
      </c>
      <c r="H7147" t="s">
        <v>5522</v>
      </c>
      <c r="I7147" s="1">
        <v>45777</v>
      </c>
      <c r="J7147">
        <v>536900</v>
      </c>
      <c r="L7147" t="s">
        <v>6803</v>
      </c>
    </row>
    <row r="7148" spans="1:12" x14ac:dyDescent="0.35">
      <c r="A7148" t="s">
        <v>131</v>
      </c>
      <c r="B7148" s="1">
        <v>45734</v>
      </c>
      <c r="C7148" t="s">
        <v>5682</v>
      </c>
      <c r="D7148" t="s">
        <v>5682</v>
      </c>
      <c r="F7148" t="s">
        <v>7831</v>
      </c>
      <c r="G7148" t="s">
        <v>7521</v>
      </c>
      <c r="H7148" t="s">
        <v>5522</v>
      </c>
      <c r="I7148" s="1">
        <v>45777</v>
      </c>
      <c r="J7148">
        <v>536900</v>
      </c>
      <c r="L7148" t="s">
        <v>6803</v>
      </c>
    </row>
    <row r="7149" spans="1:12" x14ac:dyDescent="0.35">
      <c r="A7149" t="s">
        <v>131</v>
      </c>
      <c r="B7149" s="1">
        <v>45734</v>
      </c>
      <c r="C7149" t="s">
        <v>5682</v>
      </c>
      <c r="D7149" t="s">
        <v>5682</v>
      </c>
      <c r="F7149" t="s">
        <v>7831</v>
      </c>
      <c r="G7149" t="s">
        <v>7521</v>
      </c>
      <c r="H7149" t="s">
        <v>5680</v>
      </c>
      <c r="I7149" s="1">
        <v>45777</v>
      </c>
      <c r="J7149">
        <v>-536900</v>
      </c>
      <c r="L7149" t="s">
        <v>6803</v>
      </c>
    </row>
    <row r="7150" spans="1:12" x14ac:dyDescent="0.35">
      <c r="A7150" t="s">
        <v>131</v>
      </c>
      <c r="B7150" s="1">
        <v>45734</v>
      </c>
      <c r="C7150" t="s">
        <v>5682</v>
      </c>
      <c r="D7150" t="s">
        <v>5682</v>
      </c>
      <c r="F7150" t="s">
        <v>8419</v>
      </c>
      <c r="H7150" t="s">
        <v>5522</v>
      </c>
      <c r="I7150" s="1">
        <v>45777</v>
      </c>
      <c r="K7150">
        <v>59400</v>
      </c>
      <c r="L7150" t="s">
        <v>6803</v>
      </c>
    </row>
    <row r="7151" spans="1:12" x14ac:dyDescent="0.35">
      <c r="A7151" t="s">
        <v>131</v>
      </c>
      <c r="B7151" s="1">
        <v>45734</v>
      </c>
      <c r="C7151" t="s">
        <v>5682</v>
      </c>
      <c r="D7151" t="s">
        <v>5682</v>
      </c>
      <c r="F7151" t="s">
        <v>8419</v>
      </c>
      <c r="H7151" t="s">
        <v>5522</v>
      </c>
      <c r="I7151" s="1">
        <v>45777</v>
      </c>
      <c r="K7151">
        <v>59400</v>
      </c>
      <c r="L7151" t="s">
        <v>6803</v>
      </c>
    </row>
    <row r="7152" spans="1:12" x14ac:dyDescent="0.35">
      <c r="A7152" t="s">
        <v>131</v>
      </c>
      <c r="B7152" s="1">
        <v>45734</v>
      </c>
      <c r="C7152" t="s">
        <v>5682</v>
      </c>
      <c r="D7152" t="s">
        <v>5682</v>
      </c>
      <c r="F7152" t="s">
        <v>8419</v>
      </c>
      <c r="H7152" t="s">
        <v>5680</v>
      </c>
      <c r="I7152" s="1">
        <v>45777</v>
      </c>
      <c r="K7152">
        <v>-59400</v>
      </c>
      <c r="L7152" t="s">
        <v>6803</v>
      </c>
    </row>
    <row r="7153" spans="1:12" x14ac:dyDescent="0.35">
      <c r="A7153" t="s">
        <v>131</v>
      </c>
      <c r="B7153" s="1">
        <v>45734</v>
      </c>
      <c r="C7153" t="s">
        <v>5682</v>
      </c>
      <c r="D7153" t="s">
        <v>5682</v>
      </c>
      <c r="F7153" t="s">
        <v>7701</v>
      </c>
      <c r="H7153" t="s">
        <v>5522</v>
      </c>
      <c r="I7153" s="1">
        <v>45777</v>
      </c>
      <c r="K7153">
        <v>147500</v>
      </c>
      <c r="L7153" t="s">
        <v>350</v>
      </c>
    </row>
    <row r="7154" spans="1:12" x14ac:dyDescent="0.35">
      <c r="A7154" t="s">
        <v>131</v>
      </c>
      <c r="B7154" s="1">
        <v>45734</v>
      </c>
      <c r="C7154" t="s">
        <v>5682</v>
      </c>
      <c r="D7154" t="s">
        <v>5682</v>
      </c>
      <c r="F7154" t="s">
        <v>7701</v>
      </c>
      <c r="H7154" t="s">
        <v>5522</v>
      </c>
      <c r="I7154" s="1">
        <v>45777</v>
      </c>
      <c r="K7154">
        <v>147500</v>
      </c>
      <c r="L7154" t="s">
        <v>350</v>
      </c>
    </row>
    <row r="7155" spans="1:12" x14ac:dyDescent="0.35">
      <c r="A7155" t="s">
        <v>131</v>
      </c>
      <c r="B7155" s="1">
        <v>45734</v>
      </c>
      <c r="C7155" t="s">
        <v>5682</v>
      </c>
      <c r="D7155" t="s">
        <v>5682</v>
      </c>
      <c r="F7155" t="s">
        <v>7701</v>
      </c>
      <c r="H7155" t="s">
        <v>5680</v>
      </c>
      <c r="I7155" s="1">
        <v>45777</v>
      </c>
      <c r="K7155">
        <v>-147500</v>
      </c>
      <c r="L7155" t="s">
        <v>350</v>
      </c>
    </row>
    <row r="7156" spans="1:12" x14ac:dyDescent="0.35">
      <c r="A7156" t="s">
        <v>131</v>
      </c>
      <c r="B7156" s="1">
        <v>45734</v>
      </c>
      <c r="C7156" t="s">
        <v>5682</v>
      </c>
      <c r="D7156" t="s">
        <v>5682</v>
      </c>
      <c r="F7156" t="s">
        <v>8423</v>
      </c>
      <c r="H7156" t="s">
        <v>5522</v>
      </c>
      <c r="I7156" s="1">
        <v>45777</v>
      </c>
      <c r="K7156">
        <v>330000</v>
      </c>
      <c r="L7156" t="s">
        <v>5972</v>
      </c>
    </row>
    <row r="7157" spans="1:12" x14ac:dyDescent="0.35">
      <c r="A7157" t="s">
        <v>131</v>
      </c>
      <c r="B7157" s="1">
        <v>45734</v>
      </c>
      <c r="C7157" t="s">
        <v>5682</v>
      </c>
      <c r="D7157" t="s">
        <v>5682</v>
      </c>
      <c r="F7157" t="s">
        <v>8423</v>
      </c>
      <c r="H7157" t="s">
        <v>5522</v>
      </c>
      <c r="I7157" s="1">
        <v>45777</v>
      </c>
      <c r="K7157">
        <v>330000</v>
      </c>
      <c r="L7157" t="s">
        <v>5972</v>
      </c>
    </row>
    <row r="7158" spans="1:12" x14ac:dyDescent="0.35">
      <c r="A7158" t="s">
        <v>131</v>
      </c>
      <c r="B7158" s="1">
        <v>45734</v>
      </c>
      <c r="C7158" t="s">
        <v>5682</v>
      </c>
      <c r="D7158" t="s">
        <v>5682</v>
      </c>
      <c r="F7158" t="s">
        <v>8423</v>
      </c>
      <c r="H7158" t="s">
        <v>5680</v>
      </c>
      <c r="I7158" s="1">
        <v>45777</v>
      </c>
      <c r="K7158">
        <v>-330000</v>
      </c>
      <c r="L7158" t="s">
        <v>5972</v>
      </c>
    </row>
    <row r="7159" spans="1:12" x14ac:dyDescent="0.35">
      <c r="A7159" t="s">
        <v>131</v>
      </c>
      <c r="B7159" s="1">
        <v>45734</v>
      </c>
      <c r="C7159" t="s">
        <v>5683</v>
      </c>
      <c r="D7159" t="s">
        <v>5683</v>
      </c>
      <c r="F7159" t="s">
        <v>7831</v>
      </c>
      <c r="G7159" t="s">
        <v>7521</v>
      </c>
      <c r="H7159" t="s">
        <v>5522</v>
      </c>
      <c r="I7159" s="1">
        <v>45777</v>
      </c>
      <c r="J7159">
        <v>214760</v>
      </c>
      <c r="L7159" t="s">
        <v>6803</v>
      </c>
    </row>
    <row r="7160" spans="1:12" x14ac:dyDescent="0.35">
      <c r="A7160" t="s">
        <v>131</v>
      </c>
      <c r="B7160" s="1">
        <v>45734</v>
      </c>
      <c r="C7160" t="s">
        <v>5683</v>
      </c>
      <c r="D7160" t="s">
        <v>5683</v>
      </c>
      <c r="F7160" t="s">
        <v>7831</v>
      </c>
      <c r="G7160" t="s">
        <v>7521</v>
      </c>
      <c r="H7160" t="s">
        <v>5522</v>
      </c>
      <c r="I7160" s="1">
        <v>45777</v>
      </c>
      <c r="J7160">
        <v>214760</v>
      </c>
      <c r="L7160" t="s">
        <v>6803</v>
      </c>
    </row>
    <row r="7161" spans="1:12" x14ac:dyDescent="0.35">
      <c r="A7161" t="s">
        <v>131</v>
      </c>
      <c r="B7161" s="1">
        <v>45734</v>
      </c>
      <c r="C7161" t="s">
        <v>5683</v>
      </c>
      <c r="D7161" t="s">
        <v>5683</v>
      </c>
      <c r="F7161" t="s">
        <v>7831</v>
      </c>
      <c r="G7161" t="s">
        <v>7521</v>
      </c>
      <c r="H7161" t="s">
        <v>5680</v>
      </c>
      <c r="I7161" s="1">
        <v>45777</v>
      </c>
      <c r="J7161">
        <v>-214760</v>
      </c>
      <c r="L7161" t="s">
        <v>6803</v>
      </c>
    </row>
    <row r="7162" spans="1:12" x14ac:dyDescent="0.35">
      <c r="A7162" t="s">
        <v>131</v>
      </c>
      <c r="B7162" s="1">
        <v>45734</v>
      </c>
      <c r="C7162" t="s">
        <v>5683</v>
      </c>
      <c r="D7162" t="s">
        <v>5683</v>
      </c>
      <c r="F7162" t="s">
        <v>8419</v>
      </c>
      <c r="H7162" t="s">
        <v>5522</v>
      </c>
      <c r="I7162" s="1">
        <v>45777</v>
      </c>
      <c r="K7162">
        <v>23760</v>
      </c>
      <c r="L7162" t="s">
        <v>6803</v>
      </c>
    </row>
    <row r="7163" spans="1:12" x14ac:dyDescent="0.35">
      <c r="A7163" t="s">
        <v>131</v>
      </c>
      <c r="B7163" s="1">
        <v>45734</v>
      </c>
      <c r="C7163" t="s">
        <v>5683</v>
      </c>
      <c r="D7163" t="s">
        <v>5683</v>
      </c>
      <c r="F7163" t="s">
        <v>8419</v>
      </c>
      <c r="H7163" t="s">
        <v>5522</v>
      </c>
      <c r="I7163" s="1">
        <v>45777</v>
      </c>
      <c r="K7163">
        <v>23760</v>
      </c>
      <c r="L7163" t="s">
        <v>6803</v>
      </c>
    </row>
    <row r="7164" spans="1:12" x14ac:dyDescent="0.35">
      <c r="A7164" t="s">
        <v>131</v>
      </c>
      <c r="B7164" s="1">
        <v>45734</v>
      </c>
      <c r="C7164" t="s">
        <v>5683</v>
      </c>
      <c r="D7164" t="s">
        <v>5683</v>
      </c>
      <c r="F7164" t="s">
        <v>8419</v>
      </c>
      <c r="H7164" t="s">
        <v>5680</v>
      </c>
      <c r="I7164" s="1">
        <v>45777</v>
      </c>
      <c r="K7164">
        <v>-23760</v>
      </c>
      <c r="L7164" t="s">
        <v>6803</v>
      </c>
    </row>
    <row r="7165" spans="1:12" x14ac:dyDescent="0.35">
      <c r="A7165" t="s">
        <v>131</v>
      </c>
      <c r="B7165" s="1">
        <v>45734</v>
      </c>
      <c r="C7165" t="s">
        <v>5683</v>
      </c>
      <c r="D7165" t="s">
        <v>5683</v>
      </c>
      <c r="F7165" t="s">
        <v>7701</v>
      </c>
      <c r="H7165" t="s">
        <v>5522</v>
      </c>
      <c r="I7165" s="1">
        <v>45777</v>
      </c>
      <c r="K7165">
        <v>59000</v>
      </c>
      <c r="L7165" t="s">
        <v>350</v>
      </c>
    </row>
    <row r="7166" spans="1:12" x14ac:dyDescent="0.35">
      <c r="A7166" t="s">
        <v>131</v>
      </c>
      <c r="B7166" s="1">
        <v>45734</v>
      </c>
      <c r="C7166" t="s">
        <v>5683</v>
      </c>
      <c r="D7166" t="s">
        <v>5683</v>
      </c>
      <c r="F7166" t="s">
        <v>7701</v>
      </c>
      <c r="H7166" t="s">
        <v>5522</v>
      </c>
      <c r="I7166" s="1">
        <v>45777</v>
      </c>
      <c r="K7166">
        <v>59000</v>
      </c>
      <c r="L7166" t="s">
        <v>350</v>
      </c>
    </row>
    <row r="7167" spans="1:12" x14ac:dyDescent="0.35">
      <c r="A7167" t="s">
        <v>131</v>
      </c>
      <c r="B7167" s="1">
        <v>45734</v>
      </c>
      <c r="C7167" t="s">
        <v>5683</v>
      </c>
      <c r="D7167" t="s">
        <v>5683</v>
      </c>
      <c r="F7167" t="s">
        <v>7701</v>
      </c>
      <c r="H7167" t="s">
        <v>5680</v>
      </c>
      <c r="I7167" s="1">
        <v>45777</v>
      </c>
      <c r="K7167">
        <v>-59000</v>
      </c>
      <c r="L7167" t="s">
        <v>350</v>
      </c>
    </row>
    <row r="7168" spans="1:12" x14ac:dyDescent="0.35">
      <c r="A7168" t="s">
        <v>131</v>
      </c>
      <c r="B7168" s="1">
        <v>45734</v>
      </c>
      <c r="C7168" t="s">
        <v>5683</v>
      </c>
      <c r="D7168" t="s">
        <v>5683</v>
      </c>
      <c r="F7168" t="s">
        <v>8423</v>
      </c>
      <c r="H7168" t="s">
        <v>5522</v>
      </c>
      <c r="I7168" s="1">
        <v>45777</v>
      </c>
      <c r="K7168">
        <v>132000</v>
      </c>
      <c r="L7168" t="s">
        <v>5972</v>
      </c>
    </row>
    <row r="7169" spans="1:12" x14ac:dyDescent="0.35">
      <c r="A7169" t="s">
        <v>131</v>
      </c>
      <c r="B7169" s="1">
        <v>45734</v>
      </c>
      <c r="C7169" t="s">
        <v>5683</v>
      </c>
      <c r="D7169" t="s">
        <v>5683</v>
      </c>
      <c r="F7169" t="s">
        <v>8423</v>
      </c>
      <c r="H7169" t="s">
        <v>5522</v>
      </c>
      <c r="I7169" s="1">
        <v>45777</v>
      </c>
      <c r="K7169">
        <v>132000</v>
      </c>
      <c r="L7169" t="s">
        <v>5972</v>
      </c>
    </row>
    <row r="7170" spans="1:12" x14ac:dyDescent="0.35">
      <c r="A7170" t="s">
        <v>131</v>
      </c>
      <c r="B7170" s="1">
        <v>45734</v>
      </c>
      <c r="C7170" t="s">
        <v>5683</v>
      </c>
      <c r="D7170" t="s">
        <v>5683</v>
      </c>
      <c r="F7170" t="s">
        <v>8423</v>
      </c>
      <c r="H7170" t="s">
        <v>5680</v>
      </c>
      <c r="I7170" s="1">
        <v>45777</v>
      </c>
      <c r="K7170">
        <v>-132000</v>
      </c>
      <c r="L7170" t="s">
        <v>5972</v>
      </c>
    </row>
    <row r="7171" spans="1:12" x14ac:dyDescent="0.35">
      <c r="A7171" t="s">
        <v>131</v>
      </c>
      <c r="B7171" s="1">
        <v>45734</v>
      </c>
      <c r="C7171" t="s">
        <v>5684</v>
      </c>
      <c r="D7171" t="s">
        <v>5684</v>
      </c>
      <c r="F7171" t="s">
        <v>7831</v>
      </c>
      <c r="G7171" t="s">
        <v>7521</v>
      </c>
      <c r="H7171" t="s">
        <v>5522</v>
      </c>
      <c r="I7171" s="1">
        <v>45777</v>
      </c>
      <c r="J7171">
        <v>536900</v>
      </c>
      <c r="L7171" t="s">
        <v>6803</v>
      </c>
    </row>
    <row r="7172" spans="1:12" x14ac:dyDescent="0.35">
      <c r="A7172" t="s">
        <v>131</v>
      </c>
      <c r="B7172" s="1">
        <v>45734</v>
      </c>
      <c r="C7172" t="s">
        <v>5684</v>
      </c>
      <c r="D7172" t="s">
        <v>5684</v>
      </c>
      <c r="F7172" t="s">
        <v>7831</v>
      </c>
      <c r="G7172" t="s">
        <v>7521</v>
      </c>
      <c r="H7172" t="s">
        <v>5522</v>
      </c>
      <c r="I7172" s="1">
        <v>45777</v>
      </c>
      <c r="J7172">
        <v>536900</v>
      </c>
      <c r="L7172" t="s">
        <v>6803</v>
      </c>
    </row>
    <row r="7173" spans="1:12" x14ac:dyDescent="0.35">
      <c r="A7173" t="s">
        <v>131</v>
      </c>
      <c r="B7173" s="1">
        <v>45734</v>
      </c>
      <c r="C7173" t="s">
        <v>5684</v>
      </c>
      <c r="D7173" t="s">
        <v>5684</v>
      </c>
      <c r="F7173" t="s">
        <v>7831</v>
      </c>
      <c r="G7173" t="s">
        <v>7521</v>
      </c>
      <c r="H7173" t="s">
        <v>5680</v>
      </c>
      <c r="I7173" s="1">
        <v>45777</v>
      </c>
      <c r="J7173">
        <v>-536900</v>
      </c>
      <c r="L7173" t="s">
        <v>6803</v>
      </c>
    </row>
    <row r="7174" spans="1:12" x14ac:dyDescent="0.35">
      <c r="A7174" t="s">
        <v>131</v>
      </c>
      <c r="B7174" s="1">
        <v>45734</v>
      </c>
      <c r="C7174" t="s">
        <v>5684</v>
      </c>
      <c r="D7174" t="s">
        <v>5684</v>
      </c>
      <c r="F7174" t="s">
        <v>8419</v>
      </c>
      <c r="H7174" t="s">
        <v>5522</v>
      </c>
      <c r="I7174" s="1">
        <v>45777</v>
      </c>
      <c r="K7174">
        <v>59400</v>
      </c>
      <c r="L7174" t="s">
        <v>6803</v>
      </c>
    </row>
    <row r="7175" spans="1:12" x14ac:dyDescent="0.35">
      <c r="A7175" t="s">
        <v>131</v>
      </c>
      <c r="B7175" s="1">
        <v>45734</v>
      </c>
      <c r="C7175" t="s">
        <v>5684</v>
      </c>
      <c r="D7175" t="s">
        <v>5684</v>
      </c>
      <c r="F7175" t="s">
        <v>8419</v>
      </c>
      <c r="H7175" t="s">
        <v>5522</v>
      </c>
      <c r="I7175" s="1">
        <v>45777</v>
      </c>
      <c r="K7175">
        <v>59400</v>
      </c>
      <c r="L7175" t="s">
        <v>6803</v>
      </c>
    </row>
    <row r="7176" spans="1:12" x14ac:dyDescent="0.35">
      <c r="A7176" t="s">
        <v>131</v>
      </c>
      <c r="B7176" s="1">
        <v>45734</v>
      </c>
      <c r="C7176" t="s">
        <v>5684</v>
      </c>
      <c r="D7176" t="s">
        <v>5684</v>
      </c>
      <c r="F7176" t="s">
        <v>8419</v>
      </c>
      <c r="H7176" t="s">
        <v>5680</v>
      </c>
      <c r="I7176" s="1">
        <v>45777</v>
      </c>
      <c r="K7176">
        <v>-59400</v>
      </c>
      <c r="L7176" t="s">
        <v>6803</v>
      </c>
    </row>
    <row r="7177" spans="1:12" x14ac:dyDescent="0.35">
      <c r="A7177" t="s">
        <v>131</v>
      </c>
      <c r="B7177" s="1">
        <v>45734</v>
      </c>
      <c r="C7177" t="s">
        <v>5684</v>
      </c>
      <c r="D7177" t="s">
        <v>5684</v>
      </c>
      <c r="F7177" t="s">
        <v>7701</v>
      </c>
      <c r="H7177" t="s">
        <v>5522</v>
      </c>
      <c r="I7177" s="1">
        <v>45777</v>
      </c>
      <c r="K7177">
        <v>147500</v>
      </c>
      <c r="L7177" t="s">
        <v>350</v>
      </c>
    </row>
    <row r="7178" spans="1:12" x14ac:dyDescent="0.35">
      <c r="A7178" t="s">
        <v>131</v>
      </c>
      <c r="B7178" s="1">
        <v>45734</v>
      </c>
      <c r="C7178" t="s">
        <v>5684</v>
      </c>
      <c r="D7178" t="s">
        <v>5684</v>
      </c>
      <c r="F7178" t="s">
        <v>7701</v>
      </c>
      <c r="H7178" t="s">
        <v>5522</v>
      </c>
      <c r="I7178" s="1">
        <v>45777</v>
      </c>
      <c r="K7178">
        <v>147500</v>
      </c>
      <c r="L7178" t="s">
        <v>350</v>
      </c>
    </row>
    <row r="7179" spans="1:12" x14ac:dyDescent="0.35">
      <c r="A7179" t="s">
        <v>131</v>
      </c>
      <c r="B7179" s="1">
        <v>45734</v>
      </c>
      <c r="C7179" t="s">
        <v>5684</v>
      </c>
      <c r="D7179" t="s">
        <v>5684</v>
      </c>
      <c r="F7179" t="s">
        <v>7701</v>
      </c>
      <c r="H7179" t="s">
        <v>5680</v>
      </c>
      <c r="I7179" s="1">
        <v>45777</v>
      </c>
      <c r="K7179">
        <v>-147500</v>
      </c>
      <c r="L7179" t="s">
        <v>350</v>
      </c>
    </row>
    <row r="7180" spans="1:12" x14ac:dyDescent="0.35">
      <c r="A7180" t="s">
        <v>131</v>
      </c>
      <c r="B7180" s="1">
        <v>45734</v>
      </c>
      <c r="C7180" t="s">
        <v>5684</v>
      </c>
      <c r="D7180" t="s">
        <v>5684</v>
      </c>
      <c r="F7180" t="s">
        <v>8423</v>
      </c>
      <c r="H7180" t="s">
        <v>5522</v>
      </c>
      <c r="I7180" s="1">
        <v>45777</v>
      </c>
      <c r="K7180">
        <v>330000</v>
      </c>
      <c r="L7180" t="s">
        <v>5972</v>
      </c>
    </row>
    <row r="7181" spans="1:12" x14ac:dyDescent="0.35">
      <c r="A7181" t="s">
        <v>131</v>
      </c>
      <c r="B7181" s="1">
        <v>45734</v>
      </c>
      <c r="C7181" t="s">
        <v>5684</v>
      </c>
      <c r="D7181" t="s">
        <v>5684</v>
      </c>
      <c r="F7181" t="s">
        <v>8423</v>
      </c>
      <c r="H7181" t="s">
        <v>5522</v>
      </c>
      <c r="I7181" s="1">
        <v>45777</v>
      </c>
      <c r="K7181">
        <v>330000</v>
      </c>
      <c r="L7181" t="s">
        <v>5972</v>
      </c>
    </row>
    <row r="7182" spans="1:12" x14ac:dyDescent="0.35">
      <c r="A7182" t="s">
        <v>131</v>
      </c>
      <c r="B7182" s="1">
        <v>45734</v>
      </c>
      <c r="C7182" t="s">
        <v>5684</v>
      </c>
      <c r="D7182" t="s">
        <v>5684</v>
      </c>
      <c r="F7182" t="s">
        <v>8423</v>
      </c>
      <c r="H7182" t="s">
        <v>5680</v>
      </c>
      <c r="I7182" s="1">
        <v>45777</v>
      </c>
      <c r="K7182">
        <v>-330000</v>
      </c>
      <c r="L7182" t="s">
        <v>5972</v>
      </c>
    </row>
    <row r="7183" spans="1:12" x14ac:dyDescent="0.35">
      <c r="A7183" t="s">
        <v>131</v>
      </c>
      <c r="B7183" s="1">
        <v>45736</v>
      </c>
      <c r="C7183" t="s">
        <v>5685</v>
      </c>
      <c r="D7183" t="s">
        <v>5685</v>
      </c>
      <c r="F7183" t="s">
        <v>7831</v>
      </c>
      <c r="G7183" t="s">
        <v>8391</v>
      </c>
      <c r="H7183" t="s">
        <v>5581</v>
      </c>
      <c r="I7183" s="1">
        <v>45767</v>
      </c>
      <c r="J7183">
        <v>24053283</v>
      </c>
      <c r="L7183" t="s">
        <v>6803</v>
      </c>
    </row>
    <row r="7184" spans="1:12" x14ac:dyDescent="0.35">
      <c r="A7184" t="s">
        <v>131</v>
      </c>
      <c r="B7184" s="1">
        <v>45736</v>
      </c>
      <c r="C7184" t="s">
        <v>5685</v>
      </c>
      <c r="D7184" t="s">
        <v>5685</v>
      </c>
      <c r="F7184" t="s">
        <v>7831</v>
      </c>
      <c r="G7184" t="s">
        <v>8391</v>
      </c>
      <c r="H7184" t="s">
        <v>5581</v>
      </c>
      <c r="I7184" s="1">
        <v>45767</v>
      </c>
      <c r="J7184">
        <v>24053283</v>
      </c>
      <c r="L7184" t="s">
        <v>6803</v>
      </c>
    </row>
    <row r="7185" spans="1:12" x14ac:dyDescent="0.35">
      <c r="A7185" t="s">
        <v>131</v>
      </c>
      <c r="B7185" s="1">
        <v>45736</v>
      </c>
      <c r="C7185" t="s">
        <v>5685</v>
      </c>
      <c r="D7185" t="s">
        <v>5685</v>
      </c>
      <c r="F7185" t="s">
        <v>7831</v>
      </c>
      <c r="G7185" t="s">
        <v>8391</v>
      </c>
      <c r="H7185" t="s">
        <v>5666</v>
      </c>
      <c r="I7185" s="1">
        <v>45767</v>
      </c>
      <c r="J7185">
        <v>-24053283</v>
      </c>
      <c r="L7185" t="s">
        <v>6803</v>
      </c>
    </row>
    <row r="7186" spans="1:12" x14ac:dyDescent="0.35">
      <c r="A7186" t="s">
        <v>131</v>
      </c>
      <c r="B7186" s="1">
        <v>45736</v>
      </c>
      <c r="C7186" t="s">
        <v>5685</v>
      </c>
      <c r="D7186" t="s">
        <v>5685</v>
      </c>
      <c r="F7186" t="s">
        <v>8419</v>
      </c>
      <c r="H7186" t="s">
        <v>5581</v>
      </c>
      <c r="I7186" s="1">
        <v>45767</v>
      </c>
      <c r="K7186">
        <v>3669145</v>
      </c>
      <c r="L7186" t="s">
        <v>6803</v>
      </c>
    </row>
    <row r="7187" spans="1:12" x14ac:dyDescent="0.35">
      <c r="A7187" t="s">
        <v>131</v>
      </c>
      <c r="B7187" s="1">
        <v>45736</v>
      </c>
      <c r="C7187" t="s">
        <v>5685</v>
      </c>
      <c r="D7187" t="s">
        <v>5685</v>
      </c>
      <c r="F7187" t="s">
        <v>8419</v>
      </c>
      <c r="H7187" t="s">
        <v>5581</v>
      </c>
      <c r="I7187" s="1">
        <v>45767</v>
      </c>
      <c r="K7187">
        <v>3669145</v>
      </c>
      <c r="L7187" t="s">
        <v>6803</v>
      </c>
    </row>
    <row r="7188" spans="1:12" x14ac:dyDescent="0.35">
      <c r="A7188" t="s">
        <v>131</v>
      </c>
      <c r="B7188" s="1">
        <v>45736</v>
      </c>
      <c r="C7188" t="s">
        <v>5685</v>
      </c>
      <c r="D7188" t="s">
        <v>5685</v>
      </c>
      <c r="F7188" t="s">
        <v>8419</v>
      </c>
      <c r="H7188" t="s">
        <v>5666</v>
      </c>
      <c r="I7188" s="1">
        <v>45767</v>
      </c>
      <c r="K7188">
        <v>-3669145</v>
      </c>
      <c r="L7188" t="s">
        <v>6803</v>
      </c>
    </row>
    <row r="7189" spans="1:12" x14ac:dyDescent="0.35">
      <c r="A7189" t="s">
        <v>131</v>
      </c>
      <c r="B7189" s="1">
        <v>45736</v>
      </c>
      <c r="C7189" t="s">
        <v>5685</v>
      </c>
      <c r="D7189" t="s">
        <v>5685</v>
      </c>
      <c r="F7189" t="s">
        <v>8423</v>
      </c>
      <c r="H7189" t="s">
        <v>5581</v>
      </c>
      <c r="I7189" s="1">
        <v>45767</v>
      </c>
      <c r="K7189">
        <v>20384138</v>
      </c>
      <c r="L7189" t="s">
        <v>5970</v>
      </c>
    </row>
    <row r="7190" spans="1:12" x14ac:dyDescent="0.35">
      <c r="A7190" t="s">
        <v>131</v>
      </c>
      <c r="B7190" s="1">
        <v>45736</v>
      </c>
      <c r="C7190" t="s">
        <v>5685</v>
      </c>
      <c r="D7190" t="s">
        <v>5685</v>
      </c>
      <c r="F7190" t="s">
        <v>8423</v>
      </c>
      <c r="H7190" t="s">
        <v>5581</v>
      </c>
      <c r="I7190" s="1">
        <v>45767</v>
      </c>
      <c r="K7190">
        <v>20384138</v>
      </c>
      <c r="L7190" t="s">
        <v>5970</v>
      </c>
    </row>
    <row r="7191" spans="1:12" x14ac:dyDescent="0.35">
      <c r="A7191" t="s">
        <v>131</v>
      </c>
      <c r="B7191" s="1">
        <v>45736</v>
      </c>
      <c r="C7191" t="s">
        <v>5685</v>
      </c>
      <c r="D7191" t="s">
        <v>5685</v>
      </c>
      <c r="F7191" t="s">
        <v>8423</v>
      </c>
      <c r="H7191" t="s">
        <v>5666</v>
      </c>
      <c r="I7191" s="1">
        <v>45767</v>
      </c>
      <c r="K7191">
        <v>-20384138</v>
      </c>
      <c r="L7191" t="s">
        <v>5970</v>
      </c>
    </row>
    <row r="7192" spans="1:12" x14ac:dyDescent="0.35">
      <c r="A7192" t="s">
        <v>131</v>
      </c>
      <c r="B7192" s="1">
        <v>45736</v>
      </c>
      <c r="C7192" t="s">
        <v>1780</v>
      </c>
      <c r="D7192" t="s">
        <v>1780</v>
      </c>
      <c r="F7192" t="s">
        <v>7823</v>
      </c>
      <c r="G7192" t="s">
        <v>7824</v>
      </c>
      <c r="H7192" t="s">
        <v>5686</v>
      </c>
      <c r="I7192" s="1">
        <v>45767</v>
      </c>
      <c r="J7192">
        <v>2950000</v>
      </c>
      <c r="L7192" t="s">
        <v>6803</v>
      </c>
    </row>
    <row r="7193" spans="1:12" x14ac:dyDescent="0.35">
      <c r="A7193" t="s">
        <v>131</v>
      </c>
      <c r="B7193" s="1">
        <v>45736</v>
      </c>
      <c r="C7193" t="s">
        <v>1780</v>
      </c>
      <c r="D7193" t="s">
        <v>1780</v>
      </c>
      <c r="F7193" t="s">
        <v>7823</v>
      </c>
      <c r="G7193" t="s">
        <v>7824</v>
      </c>
      <c r="H7193" t="s">
        <v>5686</v>
      </c>
      <c r="I7193" s="1">
        <v>45767</v>
      </c>
      <c r="J7193">
        <v>2950000</v>
      </c>
      <c r="L7193" t="s">
        <v>6803</v>
      </c>
    </row>
    <row r="7194" spans="1:12" x14ac:dyDescent="0.35">
      <c r="A7194" t="s">
        <v>131</v>
      </c>
      <c r="B7194" s="1">
        <v>45736</v>
      </c>
      <c r="C7194" t="s">
        <v>1780</v>
      </c>
      <c r="D7194" t="s">
        <v>1780</v>
      </c>
      <c r="F7194" t="s">
        <v>7823</v>
      </c>
      <c r="G7194" t="s">
        <v>7824</v>
      </c>
      <c r="H7194" t="s">
        <v>5687</v>
      </c>
      <c r="I7194" s="1">
        <v>45767</v>
      </c>
      <c r="J7194">
        <v>-2950000</v>
      </c>
      <c r="L7194" t="s">
        <v>6803</v>
      </c>
    </row>
    <row r="7195" spans="1:12" x14ac:dyDescent="0.35">
      <c r="A7195" t="s">
        <v>131</v>
      </c>
      <c r="B7195" s="1">
        <v>45736</v>
      </c>
      <c r="C7195" t="s">
        <v>1780</v>
      </c>
      <c r="D7195" t="s">
        <v>1780</v>
      </c>
      <c r="F7195" t="s">
        <v>8419</v>
      </c>
      <c r="H7195" t="s">
        <v>5686</v>
      </c>
      <c r="I7195" s="1">
        <v>45767</v>
      </c>
      <c r="K7195">
        <v>450000</v>
      </c>
      <c r="L7195" t="s">
        <v>6803</v>
      </c>
    </row>
    <row r="7196" spans="1:12" x14ac:dyDescent="0.35">
      <c r="A7196" t="s">
        <v>131</v>
      </c>
      <c r="B7196" s="1">
        <v>45736</v>
      </c>
      <c r="C7196" t="s">
        <v>1780</v>
      </c>
      <c r="D7196" t="s">
        <v>1780</v>
      </c>
      <c r="F7196" t="s">
        <v>8419</v>
      </c>
      <c r="H7196" t="s">
        <v>5686</v>
      </c>
      <c r="I7196" s="1">
        <v>45767</v>
      </c>
      <c r="K7196">
        <v>450000</v>
      </c>
      <c r="L7196" t="s">
        <v>6803</v>
      </c>
    </row>
    <row r="7197" spans="1:12" x14ac:dyDescent="0.35">
      <c r="A7197" t="s">
        <v>131</v>
      </c>
      <c r="B7197" s="1">
        <v>45736</v>
      </c>
      <c r="C7197" t="s">
        <v>1780</v>
      </c>
      <c r="D7197" t="s">
        <v>1780</v>
      </c>
      <c r="F7197" t="s">
        <v>8419</v>
      </c>
      <c r="H7197" t="s">
        <v>5687</v>
      </c>
      <c r="I7197" s="1">
        <v>45767</v>
      </c>
      <c r="K7197">
        <v>-450000</v>
      </c>
      <c r="L7197" t="s">
        <v>6803</v>
      </c>
    </row>
    <row r="7198" spans="1:12" x14ac:dyDescent="0.35">
      <c r="A7198" t="s">
        <v>131</v>
      </c>
      <c r="B7198" s="1">
        <v>45736</v>
      </c>
      <c r="C7198" t="s">
        <v>1780</v>
      </c>
      <c r="D7198" t="s">
        <v>1780</v>
      </c>
      <c r="F7198" t="s">
        <v>8423</v>
      </c>
      <c r="H7198" t="s">
        <v>5686</v>
      </c>
      <c r="I7198" s="1">
        <v>45767</v>
      </c>
      <c r="K7198">
        <v>1200000</v>
      </c>
      <c r="L7198" t="s">
        <v>5974</v>
      </c>
    </row>
    <row r="7199" spans="1:12" x14ac:dyDescent="0.35">
      <c r="A7199" t="s">
        <v>131</v>
      </c>
      <c r="B7199" s="1">
        <v>45736</v>
      </c>
      <c r="C7199" t="s">
        <v>1780</v>
      </c>
      <c r="D7199" t="s">
        <v>1780</v>
      </c>
      <c r="F7199" t="s">
        <v>8423</v>
      </c>
      <c r="H7199" t="s">
        <v>5686</v>
      </c>
      <c r="I7199" s="1">
        <v>45767</v>
      </c>
      <c r="K7199">
        <v>1200000</v>
      </c>
      <c r="L7199" t="s">
        <v>5974</v>
      </c>
    </row>
    <row r="7200" spans="1:12" x14ac:dyDescent="0.35">
      <c r="A7200" t="s">
        <v>131</v>
      </c>
      <c r="B7200" s="1">
        <v>45736</v>
      </c>
      <c r="C7200" t="s">
        <v>1780</v>
      </c>
      <c r="D7200" t="s">
        <v>1780</v>
      </c>
      <c r="F7200" t="s">
        <v>8423</v>
      </c>
      <c r="H7200" t="s">
        <v>5687</v>
      </c>
      <c r="I7200" s="1">
        <v>45767</v>
      </c>
      <c r="K7200">
        <v>-1200000</v>
      </c>
      <c r="L7200" t="s">
        <v>5974</v>
      </c>
    </row>
    <row r="7201" spans="1:12" x14ac:dyDescent="0.35">
      <c r="A7201" t="s">
        <v>131</v>
      </c>
      <c r="B7201" s="1">
        <v>45736</v>
      </c>
      <c r="C7201" t="s">
        <v>1780</v>
      </c>
      <c r="D7201" t="s">
        <v>1780</v>
      </c>
      <c r="F7201" t="s">
        <v>8426</v>
      </c>
      <c r="H7201" t="s">
        <v>5686</v>
      </c>
      <c r="I7201" s="1">
        <v>45767</v>
      </c>
      <c r="K7201">
        <v>1300000</v>
      </c>
      <c r="L7201" t="s">
        <v>5976</v>
      </c>
    </row>
    <row r="7202" spans="1:12" x14ac:dyDescent="0.35">
      <c r="A7202" t="s">
        <v>131</v>
      </c>
      <c r="B7202" s="1">
        <v>45736</v>
      </c>
      <c r="C7202" t="s">
        <v>1780</v>
      </c>
      <c r="D7202" t="s">
        <v>1780</v>
      </c>
      <c r="F7202" t="s">
        <v>8426</v>
      </c>
      <c r="H7202" t="s">
        <v>5686</v>
      </c>
      <c r="I7202" s="1">
        <v>45767</v>
      </c>
      <c r="K7202">
        <v>1300000</v>
      </c>
      <c r="L7202" t="s">
        <v>5976</v>
      </c>
    </row>
    <row r="7203" spans="1:12" x14ac:dyDescent="0.35">
      <c r="A7203" t="s">
        <v>131</v>
      </c>
      <c r="B7203" s="1">
        <v>45736</v>
      </c>
      <c r="C7203" t="s">
        <v>1780</v>
      </c>
      <c r="D7203" t="s">
        <v>1780</v>
      </c>
      <c r="F7203" t="s">
        <v>8426</v>
      </c>
      <c r="H7203" t="s">
        <v>5687</v>
      </c>
      <c r="I7203" s="1">
        <v>45767</v>
      </c>
      <c r="K7203">
        <v>-1300000</v>
      </c>
      <c r="L7203" t="s">
        <v>5976</v>
      </c>
    </row>
    <row r="7204" spans="1:12" x14ac:dyDescent="0.35">
      <c r="A7204" t="s">
        <v>131</v>
      </c>
      <c r="B7204" s="1">
        <v>45736</v>
      </c>
      <c r="C7204" t="s">
        <v>5688</v>
      </c>
      <c r="D7204" t="s">
        <v>5688</v>
      </c>
      <c r="F7204" t="s">
        <v>7831</v>
      </c>
      <c r="G7204" t="s">
        <v>7515</v>
      </c>
      <c r="H7204" t="s">
        <v>5512</v>
      </c>
      <c r="I7204" s="1">
        <v>45767</v>
      </c>
      <c r="J7204">
        <v>750480</v>
      </c>
      <c r="L7204" t="s">
        <v>6803</v>
      </c>
    </row>
    <row r="7205" spans="1:12" x14ac:dyDescent="0.35">
      <c r="A7205" t="s">
        <v>131</v>
      </c>
      <c r="B7205" s="1">
        <v>45736</v>
      </c>
      <c r="C7205" t="s">
        <v>5688</v>
      </c>
      <c r="D7205" t="s">
        <v>5688</v>
      </c>
      <c r="F7205" t="s">
        <v>7831</v>
      </c>
      <c r="G7205" t="s">
        <v>7515</v>
      </c>
      <c r="H7205" t="s">
        <v>5512</v>
      </c>
      <c r="I7205" s="1">
        <v>45767</v>
      </c>
      <c r="J7205">
        <v>750480</v>
      </c>
      <c r="L7205" t="s">
        <v>6803</v>
      </c>
    </row>
    <row r="7206" spans="1:12" x14ac:dyDescent="0.35">
      <c r="A7206" t="s">
        <v>131</v>
      </c>
      <c r="B7206" s="1">
        <v>45736</v>
      </c>
      <c r="C7206" t="s">
        <v>5688</v>
      </c>
      <c r="D7206" t="s">
        <v>5688</v>
      </c>
      <c r="F7206" t="s">
        <v>7831</v>
      </c>
      <c r="G7206" t="s">
        <v>7515</v>
      </c>
      <c r="H7206" t="s">
        <v>5689</v>
      </c>
      <c r="I7206" s="1">
        <v>45767</v>
      </c>
      <c r="J7206">
        <v>-750480</v>
      </c>
      <c r="L7206" t="s">
        <v>6803</v>
      </c>
    </row>
    <row r="7207" spans="1:12" x14ac:dyDescent="0.35">
      <c r="A7207" t="s">
        <v>131</v>
      </c>
      <c r="B7207" s="1">
        <v>45736</v>
      </c>
      <c r="C7207" t="s">
        <v>5688</v>
      </c>
      <c r="D7207" t="s">
        <v>5688</v>
      </c>
      <c r="F7207" t="s">
        <v>8419</v>
      </c>
      <c r="H7207" t="s">
        <v>5512</v>
      </c>
      <c r="I7207" s="1">
        <v>45767</v>
      </c>
      <c r="K7207">
        <v>96480</v>
      </c>
      <c r="L7207" t="s">
        <v>6803</v>
      </c>
    </row>
    <row r="7208" spans="1:12" x14ac:dyDescent="0.35">
      <c r="A7208" t="s">
        <v>131</v>
      </c>
      <c r="B7208" s="1">
        <v>45736</v>
      </c>
      <c r="C7208" t="s">
        <v>5688</v>
      </c>
      <c r="D7208" t="s">
        <v>5688</v>
      </c>
      <c r="F7208" t="s">
        <v>8419</v>
      </c>
      <c r="H7208" t="s">
        <v>5512</v>
      </c>
      <c r="I7208" s="1">
        <v>45767</v>
      </c>
      <c r="K7208">
        <v>96480</v>
      </c>
      <c r="L7208" t="s">
        <v>6803</v>
      </c>
    </row>
    <row r="7209" spans="1:12" x14ac:dyDescent="0.35">
      <c r="A7209" t="s">
        <v>131</v>
      </c>
      <c r="B7209" s="1">
        <v>45736</v>
      </c>
      <c r="C7209" t="s">
        <v>5688</v>
      </c>
      <c r="D7209" t="s">
        <v>5688</v>
      </c>
      <c r="F7209" t="s">
        <v>8419</v>
      </c>
      <c r="H7209" t="s">
        <v>5689</v>
      </c>
      <c r="I7209" s="1">
        <v>45767</v>
      </c>
      <c r="K7209">
        <v>-96480</v>
      </c>
      <c r="L7209" t="s">
        <v>6803</v>
      </c>
    </row>
    <row r="7210" spans="1:12" x14ac:dyDescent="0.35">
      <c r="A7210" t="s">
        <v>131</v>
      </c>
      <c r="B7210" s="1">
        <v>45736</v>
      </c>
      <c r="C7210" t="s">
        <v>5688</v>
      </c>
      <c r="D7210" t="s">
        <v>5688</v>
      </c>
      <c r="F7210" t="s">
        <v>7701</v>
      </c>
      <c r="H7210" t="s">
        <v>5512</v>
      </c>
      <c r="I7210" s="1">
        <v>45767</v>
      </c>
      <c r="K7210">
        <v>118000</v>
      </c>
      <c r="L7210" t="s">
        <v>350</v>
      </c>
    </row>
    <row r="7211" spans="1:12" x14ac:dyDescent="0.35">
      <c r="A7211" t="s">
        <v>131</v>
      </c>
      <c r="B7211" s="1">
        <v>45736</v>
      </c>
      <c r="C7211" t="s">
        <v>5688</v>
      </c>
      <c r="D7211" t="s">
        <v>5688</v>
      </c>
      <c r="F7211" t="s">
        <v>7701</v>
      </c>
      <c r="H7211" t="s">
        <v>5512</v>
      </c>
      <c r="I7211" s="1">
        <v>45767</v>
      </c>
      <c r="K7211">
        <v>118000</v>
      </c>
      <c r="L7211" t="s">
        <v>350</v>
      </c>
    </row>
    <row r="7212" spans="1:12" x14ac:dyDescent="0.35">
      <c r="A7212" t="s">
        <v>131</v>
      </c>
      <c r="B7212" s="1">
        <v>45736</v>
      </c>
      <c r="C7212" t="s">
        <v>5688</v>
      </c>
      <c r="D7212" t="s">
        <v>5688</v>
      </c>
      <c r="F7212" t="s">
        <v>7701</v>
      </c>
      <c r="H7212" t="s">
        <v>5689</v>
      </c>
      <c r="I7212" s="1">
        <v>45767</v>
      </c>
      <c r="K7212">
        <v>-118000</v>
      </c>
      <c r="L7212" t="s">
        <v>350</v>
      </c>
    </row>
    <row r="7213" spans="1:12" x14ac:dyDescent="0.35">
      <c r="A7213" t="s">
        <v>131</v>
      </c>
      <c r="B7213" s="1">
        <v>45736</v>
      </c>
      <c r="C7213" t="s">
        <v>5688</v>
      </c>
      <c r="D7213" t="s">
        <v>5688</v>
      </c>
      <c r="F7213" t="s">
        <v>8423</v>
      </c>
      <c r="H7213" t="s">
        <v>5512</v>
      </c>
      <c r="I7213" s="1">
        <v>45767</v>
      </c>
      <c r="K7213">
        <v>536000</v>
      </c>
      <c r="L7213" t="s">
        <v>5972</v>
      </c>
    </row>
    <row r="7214" spans="1:12" x14ac:dyDescent="0.35">
      <c r="A7214" t="s">
        <v>131</v>
      </c>
      <c r="B7214" s="1">
        <v>45736</v>
      </c>
      <c r="C7214" t="s">
        <v>5688</v>
      </c>
      <c r="D7214" t="s">
        <v>5688</v>
      </c>
      <c r="F7214" t="s">
        <v>8423</v>
      </c>
      <c r="H7214" t="s">
        <v>5512</v>
      </c>
      <c r="I7214" s="1">
        <v>45767</v>
      </c>
      <c r="K7214">
        <v>536000</v>
      </c>
      <c r="L7214" t="s">
        <v>5972</v>
      </c>
    </row>
    <row r="7215" spans="1:12" x14ac:dyDescent="0.35">
      <c r="A7215" t="s">
        <v>131</v>
      </c>
      <c r="B7215" s="1">
        <v>45736</v>
      </c>
      <c r="C7215" t="s">
        <v>5688</v>
      </c>
      <c r="D7215" t="s">
        <v>5688</v>
      </c>
      <c r="F7215" t="s">
        <v>8423</v>
      </c>
      <c r="H7215" t="s">
        <v>5689</v>
      </c>
      <c r="I7215" s="1">
        <v>45767</v>
      </c>
      <c r="K7215">
        <v>-536000</v>
      </c>
      <c r="L7215" t="s">
        <v>5972</v>
      </c>
    </row>
    <row r="7216" spans="1:12" x14ac:dyDescent="0.35">
      <c r="A7216" t="s">
        <v>131</v>
      </c>
      <c r="B7216" s="1">
        <v>45736</v>
      </c>
      <c r="C7216" t="s">
        <v>5690</v>
      </c>
      <c r="D7216" t="s">
        <v>5690</v>
      </c>
      <c r="F7216" t="s">
        <v>7831</v>
      </c>
      <c r="G7216" t="s">
        <v>7515</v>
      </c>
      <c r="H7216" t="s">
        <v>5512</v>
      </c>
      <c r="I7216" s="1">
        <v>45767</v>
      </c>
      <c r="J7216">
        <v>2371800</v>
      </c>
      <c r="L7216" t="s">
        <v>6803</v>
      </c>
    </row>
    <row r="7217" spans="1:12" x14ac:dyDescent="0.35">
      <c r="A7217" t="s">
        <v>131</v>
      </c>
      <c r="B7217" s="1">
        <v>45736</v>
      </c>
      <c r="C7217" t="s">
        <v>5690</v>
      </c>
      <c r="D7217" t="s">
        <v>5690</v>
      </c>
      <c r="F7217" t="s">
        <v>7831</v>
      </c>
      <c r="G7217" t="s">
        <v>7515</v>
      </c>
      <c r="H7217" t="s">
        <v>5512</v>
      </c>
      <c r="I7217" s="1">
        <v>45767</v>
      </c>
      <c r="J7217">
        <v>2371800</v>
      </c>
      <c r="L7217" t="s">
        <v>6803</v>
      </c>
    </row>
    <row r="7218" spans="1:12" x14ac:dyDescent="0.35">
      <c r="A7218" t="s">
        <v>131</v>
      </c>
      <c r="B7218" s="1">
        <v>45736</v>
      </c>
      <c r="C7218" t="s">
        <v>5690</v>
      </c>
      <c r="D7218" t="s">
        <v>5690</v>
      </c>
      <c r="F7218" t="s">
        <v>7831</v>
      </c>
      <c r="G7218" t="s">
        <v>7515</v>
      </c>
      <c r="H7218" t="s">
        <v>5689</v>
      </c>
      <c r="I7218" s="1">
        <v>45767</v>
      </c>
      <c r="J7218">
        <v>-2371800</v>
      </c>
      <c r="L7218" t="s">
        <v>6803</v>
      </c>
    </row>
    <row r="7219" spans="1:12" x14ac:dyDescent="0.35">
      <c r="A7219" t="s">
        <v>131</v>
      </c>
      <c r="B7219" s="1">
        <v>45736</v>
      </c>
      <c r="C7219" t="s">
        <v>5690</v>
      </c>
      <c r="D7219" t="s">
        <v>5690</v>
      </c>
      <c r="F7219" t="s">
        <v>8419</v>
      </c>
      <c r="H7219" t="s">
        <v>5512</v>
      </c>
      <c r="I7219" s="1">
        <v>45767</v>
      </c>
      <c r="K7219">
        <v>361800</v>
      </c>
      <c r="L7219" t="s">
        <v>6803</v>
      </c>
    </row>
    <row r="7220" spans="1:12" x14ac:dyDescent="0.35">
      <c r="A7220" t="s">
        <v>131</v>
      </c>
      <c r="B7220" s="1">
        <v>45736</v>
      </c>
      <c r="C7220" t="s">
        <v>5690</v>
      </c>
      <c r="D7220" t="s">
        <v>5690</v>
      </c>
      <c r="F7220" t="s">
        <v>8419</v>
      </c>
      <c r="H7220" t="s">
        <v>5512</v>
      </c>
      <c r="I7220" s="1">
        <v>45767</v>
      </c>
      <c r="K7220">
        <v>361800</v>
      </c>
      <c r="L7220" t="s">
        <v>6803</v>
      </c>
    </row>
    <row r="7221" spans="1:12" x14ac:dyDescent="0.35">
      <c r="A7221" t="s">
        <v>131</v>
      </c>
      <c r="B7221" s="1">
        <v>45736</v>
      </c>
      <c r="C7221" t="s">
        <v>5690</v>
      </c>
      <c r="D7221" t="s">
        <v>5690</v>
      </c>
      <c r="F7221" t="s">
        <v>8419</v>
      </c>
      <c r="H7221" t="s">
        <v>5689</v>
      </c>
      <c r="I7221" s="1">
        <v>45767</v>
      </c>
      <c r="K7221">
        <v>-361800</v>
      </c>
      <c r="L7221" t="s">
        <v>6803</v>
      </c>
    </row>
    <row r="7222" spans="1:12" x14ac:dyDescent="0.35">
      <c r="A7222" t="s">
        <v>131</v>
      </c>
      <c r="B7222" s="1">
        <v>45736</v>
      </c>
      <c r="C7222" t="s">
        <v>5690</v>
      </c>
      <c r="D7222" t="s">
        <v>5690</v>
      </c>
      <c r="F7222" t="s">
        <v>8423</v>
      </c>
      <c r="H7222" t="s">
        <v>5512</v>
      </c>
      <c r="I7222" s="1">
        <v>45767</v>
      </c>
      <c r="K7222">
        <v>2010000</v>
      </c>
      <c r="L7222" t="s">
        <v>5972</v>
      </c>
    </row>
    <row r="7223" spans="1:12" x14ac:dyDescent="0.35">
      <c r="A7223" t="s">
        <v>131</v>
      </c>
      <c r="B7223" s="1">
        <v>45736</v>
      </c>
      <c r="C7223" t="s">
        <v>5690</v>
      </c>
      <c r="D7223" t="s">
        <v>5690</v>
      </c>
      <c r="F7223" t="s">
        <v>8423</v>
      </c>
      <c r="H7223" t="s">
        <v>5512</v>
      </c>
      <c r="I7223" s="1">
        <v>45767</v>
      </c>
      <c r="K7223">
        <v>2010000</v>
      </c>
      <c r="L7223" t="s">
        <v>5972</v>
      </c>
    </row>
    <row r="7224" spans="1:12" x14ac:dyDescent="0.35">
      <c r="A7224" t="s">
        <v>131</v>
      </c>
      <c r="B7224" s="1">
        <v>45736</v>
      </c>
      <c r="C7224" t="s">
        <v>5690</v>
      </c>
      <c r="D7224" t="s">
        <v>5690</v>
      </c>
      <c r="F7224" t="s">
        <v>8423</v>
      </c>
      <c r="H7224" t="s">
        <v>5689</v>
      </c>
      <c r="I7224" s="1">
        <v>45767</v>
      </c>
      <c r="K7224">
        <v>-2010000</v>
      </c>
      <c r="L7224" t="s">
        <v>5972</v>
      </c>
    </row>
    <row r="7225" spans="1:12" x14ac:dyDescent="0.35">
      <c r="A7225" t="s">
        <v>131</v>
      </c>
      <c r="B7225" s="1">
        <v>45736</v>
      </c>
      <c r="C7225" t="s">
        <v>5691</v>
      </c>
      <c r="D7225" t="s">
        <v>5691</v>
      </c>
      <c r="F7225" t="s">
        <v>7831</v>
      </c>
      <c r="G7225" t="s">
        <v>7515</v>
      </c>
      <c r="H7225" t="s">
        <v>5512</v>
      </c>
      <c r="I7225" s="1">
        <v>45767</v>
      </c>
      <c r="J7225">
        <v>474360</v>
      </c>
      <c r="L7225" t="s">
        <v>6803</v>
      </c>
    </row>
    <row r="7226" spans="1:12" x14ac:dyDescent="0.35">
      <c r="A7226" t="s">
        <v>131</v>
      </c>
      <c r="B7226" s="1">
        <v>45736</v>
      </c>
      <c r="C7226" t="s">
        <v>5691</v>
      </c>
      <c r="D7226" t="s">
        <v>5691</v>
      </c>
      <c r="F7226" t="s">
        <v>7831</v>
      </c>
      <c r="G7226" t="s">
        <v>7515</v>
      </c>
      <c r="H7226" t="s">
        <v>5512</v>
      </c>
      <c r="I7226" s="1">
        <v>45767</v>
      </c>
      <c r="J7226">
        <v>474360</v>
      </c>
      <c r="L7226" t="s">
        <v>6803</v>
      </c>
    </row>
    <row r="7227" spans="1:12" x14ac:dyDescent="0.35">
      <c r="A7227" t="s">
        <v>131</v>
      </c>
      <c r="B7227" s="1">
        <v>45736</v>
      </c>
      <c r="C7227" t="s">
        <v>5691</v>
      </c>
      <c r="D7227" t="s">
        <v>5691</v>
      </c>
      <c r="F7227" t="s">
        <v>7831</v>
      </c>
      <c r="G7227" t="s">
        <v>7515</v>
      </c>
      <c r="H7227" t="s">
        <v>5689</v>
      </c>
      <c r="I7227" s="1">
        <v>45767</v>
      </c>
      <c r="J7227">
        <v>-474360</v>
      </c>
      <c r="L7227" t="s">
        <v>6803</v>
      </c>
    </row>
    <row r="7228" spans="1:12" x14ac:dyDescent="0.35">
      <c r="A7228" t="s">
        <v>131</v>
      </c>
      <c r="B7228" s="1">
        <v>45736</v>
      </c>
      <c r="C7228" t="s">
        <v>5691</v>
      </c>
      <c r="D7228" t="s">
        <v>5691</v>
      </c>
      <c r="F7228" t="s">
        <v>8419</v>
      </c>
      <c r="H7228" t="s">
        <v>5512</v>
      </c>
      <c r="I7228" s="1">
        <v>45767</v>
      </c>
      <c r="K7228">
        <v>72360</v>
      </c>
      <c r="L7228" t="s">
        <v>6803</v>
      </c>
    </row>
    <row r="7229" spans="1:12" x14ac:dyDescent="0.35">
      <c r="A7229" t="s">
        <v>131</v>
      </c>
      <c r="B7229" s="1">
        <v>45736</v>
      </c>
      <c r="C7229" t="s">
        <v>5691</v>
      </c>
      <c r="D7229" t="s">
        <v>5691</v>
      </c>
      <c r="F7229" t="s">
        <v>8419</v>
      </c>
      <c r="H7229" t="s">
        <v>5512</v>
      </c>
      <c r="I7229" s="1">
        <v>45767</v>
      </c>
      <c r="K7229">
        <v>72360</v>
      </c>
      <c r="L7229" t="s">
        <v>6803</v>
      </c>
    </row>
    <row r="7230" spans="1:12" x14ac:dyDescent="0.35">
      <c r="A7230" t="s">
        <v>131</v>
      </c>
      <c r="B7230" s="1">
        <v>45736</v>
      </c>
      <c r="C7230" t="s">
        <v>5691</v>
      </c>
      <c r="D7230" t="s">
        <v>5691</v>
      </c>
      <c r="F7230" t="s">
        <v>8419</v>
      </c>
      <c r="H7230" t="s">
        <v>5689</v>
      </c>
      <c r="I7230" s="1">
        <v>45767</v>
      </c>
      <c r="K7230">
        <v>-72360</v>
      </c>
      <c r="L7230" t="s">
        <v>6803</v>
      </c>
    </row>
    <row r="7231" spans="1:12" x14ac:dyDescent="0.35">
      <c r="A7231" t="s">
        <v>131</v>
      </c>
      <c r="B7231" s="1">
        <v>45736</v>
      </c>
      <c r="C7231" t="s">
        <v>5691</v>
      </c>
      <c r="D7231" t="s">
        <v>5691</v>
      </c>
      <c r="F7231" t="s">
        <v>8423</v>
      </c>
      <c r="H7231" t="s">
        <v>5512</v>
      </c>
      <c r="I7231" s="1">
        <v>45767</v>
      </c>
      <c r="K7231">
        <v>402000</v>
      </c>
      <c r="L7231" t="s">
        <v>5972</v>
      </c>
    </row>
    <row r="7232" spans="1:12" x14ac:dyDescent="0.35">
      <c r="A7232" t="s">
        <v>131</v>
      </c>
      <c r="B7232" s="1">
        <v>45736</v>
      </c>
      <c r="C7232" t="s">
        <v>5691</v>
      </c>
      <c r="D7232" t="s">
        <v>5691</v>
      </c>
      <c r="F7232" t="s">
        <v>8423</v>
      </c>
      <c r="H7232" t="s">
        <v>5512</v>
      </c>
      <c r="I7232" s="1">
        <v>45767</v>
      </c>
      <c r="K7232">
        <v>402000</v>
      </c>
      <c r="L7232" t="s">
        <v>5972</v>
      </c>
    </row>
    <row r="7233" spans="1:12" x14ac:dyDescent="0.35">
      <c r="A7233" t="s">
        <v>131</v>
      </c>
      <c r="B7233" s="1">
        <v>45736</v>
      </c>
      <c r="C7233" t="s">
        <v>5691</v>
      </c>
      <c r="D7233" t="s">
        <v>5691</v>
      </c>
      <c r="F7233" t="s">
        <v>8423</v>
      </c>
      <c r="H7233" t="s">
        <v>5689</v>
      </c>
      <c r="I7233" s="1">
        <v>45767</v>
      </c>
      <c r="K7233">
        <v>-402000</v>
      </c>
      <c r="L7233" t="s">
        <v>5972</v>
      </c>
    </row>
    <row r="7234" spans="1:12" x14ac:dyDescent="0.35">
      <c r="A7234" t="s">
        <v>131</v>
      </c>
      <c r="B7234" s="1">
        <v>45736</v>
      </c>
      <c r="C7234" t="s">
        <v>5692</v>
      </c>
      <c r="D7234" t="s">
        <v>5692</v>
      </c>
      <c r="F7234" t="s">
        <v>7831</v>
      </c>
      <c r="G7234" t="s">
        <v>7515</v>
      </c>
      <c r="H7234" t="s">
        <v>139</v>
      </c>
      <c r="I7234" s="1">
        <v>45777</v>
      </c>
      <c r="J7234">
        <v>750480</v>
      </c>
      <c r="L7234" t="s">
        <v>6803</v>
      </c>
    </row>
    <row r="7235" spans="1:12" x14ac:dyDescent="0.35">
      <c r="A7235" t="s">
        <v>131</v>
      </c>
      <c r="B7235" s="1">
        <v>45736</v>
      </c>
      <c r="C7235" t="s">
        <v>5692</v>
      </c>
      <c r="D7235" t="s">
        <v>5692</v>
      </c>
      <c r="F7235" t="s">
        <v>7831</v>
      </c>
      <c r="G7235" t="s">
        <v>7515</v>
      </c>
      <c r="H7235" t="s">
        <v>139</v>
      </c>
      <c r="I7235" s="1">
        <v>45777</v>
      </c>
      <c r="J7235">
        <v>750480</v>
      </c>
      <c r="L7235" t="s">
        <v>6803</v>
      </c>
    </row>
    <row r="7236" spans="1:12" x14ac:dyDescent="0.35">
      <c r="A7236" t="s">
        <v>131</v>
      </c>
      <c r="B7236" s="1">
        <v>45736</v>
      </c>
      <c r="C7236" t="s">
        <v>5692</v>
      </c>
      <c r="D7236" t="s">
        <v>5692</v>
      </c>
      <c r="F7236" t="s">
        <v>7831</v>
      </c>
      <c r="G7236" t="s">
        <v>7515</v>
      </c>
      <c r="H7236" t="s">
        <v>254</v>
      </c>
      <c r="I7236" s="1">
        <v>45777</v>
      </c>
      <c r="J7236">
        <v>-750480</v>
      </c>
      <c r="L7236" t="s">
        <v>6803</v>
      </c>
    </row>
    <row r="7237" spans="1:12" x14ac:dyDescent="0.35">
      <c r="A7237" t="s">
        <v>131</v>
      </c>
      <c r="B7237" s="1">
        <v>45736</v>
      </c>
      <c r="C7237" t="s">
        <v>5692</v>
      </c>
      <c r="D7237" t="s">
        <v>5692</v>
      </c>
      <c r="F7237" t="s">
        <v>8419</v>
      </c>
      <c r="H7237" t="s">
        <v>139</v>
      </c>
      <c r="I7237" s="1">
        <v>45777</v>
      </c>
      <c r="K7237">
        <v>96480</v>
      </c>
      <c r="L7237" t="s">
        <v>6803</v>
      </c>
    </row>
    <row r="7238" spans="1:12" x14ac:dyDescent="0.35">
      <c r="A7238" t="s">
        <v>131</v>
      </c>
      <c r="B7238" s="1">
        <v>45736</v>
      </c>
      <c r="C7238" t="s">
        <v>5692</v>
      </c>
      <c r="D7238" t="s">
        <v>5692</v>
      </c>
      <c r="F7238" t="s">
        <v>8419</v>
      </c>
      <c r="H7238" t="s">
        <v>139</v>
      </c>
      <c r="I7238" s="1">
        <v>45777</v>
      </c>
      <c r="K7238">
        <v>96480</v>
      </c>
      <c r="L7238" t="s">
        <v>6803</v>
      </c>
    </row>
    <row r="7239" spans="1:12" x14ac:dyDescent="0.35">
      <c r="A7239" t="s">
        <v>131</v>
      </c>
      <c r="B7239" s="1">
        <v>45736</v>
      </c>
      <c r="C7239" t="s">
        <v>5692</v>
      </c>
      <c r="D7239" t="s">
        <v>5692</v>
      </c>
      <c r="F7239" t="s">
        <v>8419</v>
      </c>
      <c r="H7239" t="s">
        <v>254</v>
      </c>
      <c r="I7239" s="1">
        <v>45777</v>
      </c>
      <c r="K7239">
        <v>-96480</v>
      </c>
      <c r="L7239" t="s">
        <v>6803</v>
      </c>
    </row>
    <row r="7240" spans="1:12" x14ac:dyDescent="0.35">
      <c r="A7240" t="s">
        <v>131</v>
      </c>
      <c r="B7240" s="1">
        <v>45736</v>
      </c>
      <c r="C7240" t="s">
        <v>5692</v>
      </c>
      <c r="D7240" t="s">
        <v>5692</v>
      </c>
      <c r="F7240" t="s">
        <v>7701</v>
      </c>
      <c r="H7240" t="s">
        <v>139</v>
      </c>
      <c r="I7240" s="1">
        <v>45777</v>
      </c>
      <c r="K7240">
        <v>118000</v>
      </c>
      <c r="L7240" t="s">
        <v>350</v>
      </c>
    </row>
    <row r="7241" spans="1:12" x14ac:dyDescent="0.35">
      <c r="A7241" t="s">
        <v>131</v>
      </c>
      <c r="B7241" s="1">
        <v>45736</v>
      </c>
      <c r="C7241" t="s">
        <v>5692</v>
      </c>
      <c r="D7241" t="s">
        <v>5692</v>
      </c>
      <c r="F7241" t="s">
        <v>7701</v>
      </c>
      <c r="H7241" t="s">
        <v>139</v>
      </c>
      <c r="I7241" s="1">
        <v>45777</v>
      </c>
      <c r="K7241">
        <v>118000</v>
      </c>
      <c r="L7241" t="s">
        <v>350</v>
      </c>
    </row>
    <row r="7242" spans="1:12" x14ac:dyDescent="0.35">
      <c r="A7242" t="s">
        <v>131</v>
      </c>
      <c r="B7242" s="1">
        <v>45736</v>
      </c>
      <c r="C7242" t="s">
        <v>5692</v>
      </c>
      <c r="D7242" t="s">
        <v>5692</v>
      </c>
      <c r="F7242" t="s">
        <v>7701</v>
      </c>
      <c r="H7242" t="s">
        <v>254</v>
      </c>
      <c r="I7242" s="1">
        <v>45777</v>
      </c>
      <c r="K7242">
        <v>-118000</v>
      </c>
      <c r="L7242" t="s">
        <v>350</v>
      </c>
    </row>
    <row r="7243" spans="1:12" x14ac:dyDescent="0.35">
      <c r="A7243" t="s">
        <v>131</v>
      </c>
      <c r="B7243" s="1">
        <v>45736</v>
      </c>
      <c r="C7243" t="s">
        <v>5692</v>
      </c>
      <c r="D7243" t="s">
        <v>5692</v>
      </c>
      <c r="F7243" t="s">
        <v>8423</v>
      </c>
      <c r="H7243" t="s">
        <v>139</v>
      </c>
      <c r="I7243" s="1">
        <v>45777</v>
      </c>
      <c r="K7243">
        <v>536000</v>
      </c>
      <c r="L7243" t="s">
        <v>5972</v>
      </c>
    </row>
    <row r="7244" spans="1:12" x14ac:dyDescent="0.35">
      <c r="A7244" t="s">
        <v>131</v>
      </c>
      <c r="B7244" s="1">
        <v>45736</v>
      </c>
      <c r="C7244" t="s">
        <v>5692</v>
      </c>
      <c r="D7244" t="s">
        <v>5692</v>
      </c>
      <c r="F7244" t="s">
        <v>8423</v>
      </c>
      <c r="H7244" t="s">
        <v>139</v>
      </c>
      <c r="I7244" s="1">
        <v>45777</v>
      </c>
      <c r="K7244">
        <v>536000</v>
      </c>
      <c r="L7244" t="s">
        <v>5972</v>
      </c>
    </row>
    <row r="7245" spans="1:12" x14ac:dyDescent="0.35">
      <c r="A7245" t="s">
        <v>131</v>
      </c>
      <c r="B7245" s="1">
        <v>45736</v>
      </c>
      <c r="C7245" t="s">
        <v>5692</v>
      </c>
      <c r="D7245" t="s">
        <v>5692</v>
      </c>
      <c r="F7245" t="s">
        <v>8423</v>
      </c>
      <c r="H7245" t="s">
        <v>254</v>
      </c>
      <c r="I7245" s="1">
        <v>45777</v>
      </c>
      <c r="K7245">
        <v>-536000</v>
      </c>
      <c r="L7245" t="s">
        <v>5972</v>
      </c>
    </row>
    <row r="7246" spans="1:12" x14ac:dyDescent="0.35">
      <c r="A7246" t="s">
        <v>131</v>
      </c>
      <c r="B7246" s="1">
        <v>45736</v>
      </c>
      <c r="C7246" t="s">
        <v>5693</v>
      </c>
      <c r="D7246" t="s">
        <v>5693</v>
      </c>
      <c r="F7246" t="s">
        <v>7831</v>
      </c>
      <c r="G7246" t="s">
        <v>8393</v>
      </c>
      <c r="H7246" t="s">
        <v>5518</v>
      </c>
      <c r="I7246" s="1">
        <v>45767</v>
      </c>
      <c r="J7246">
        <v>236000</v>
      </c>
      <c r="L7246" t="s">
        <v>6803</v>
      </c>
    </row>
    <row r="7247" spans="1:12" x14ac:dyDescent="0.35">
      <c r="A7247" t="s">
        <v>131</v>
      </c>
      <c r="B7247" s="1">
        <v>45736</v>
      </c>
      <c r="C7247" t="s">
        <v>5693</v>
      </c>
      <c r="D7247" t="s">
        <v>5693</v>
      </c>
      <c r="F7247" t="s">
        <v>7831</v>
      </c>
      <c r="G7247" t="s">
        <v>8393</v>
      </c>
      <c r="H7247" t="s">
        <v>5518</v>
      </c>
      <c r="I7247" s="1">
        <v>45767</v>
      </c>
      <c r="J7247">
        <v>236000</v>
      </c>
      <c r="L7247" t="s">
        <v>6803</v>
      </c>
    </row>
    <row r="7248" spans="1:12" x14ac:dyDescent="0.35">
      <c r="A7248" t="s">
        <v>131</v>
      </c>
      <c r="B7248" s="1">
        <v>45736</v>
      </c>
      <c r="C7248" t="s">
        <v>5693</v>
      </c>
      <c r="D7248" t="s">
        <v>5693</v>
      </c>
      <c r="F7248" t="s">
        <v>7831</v>
      </c>
      <c r="G7248" t="s">
        <v>8393</v>
      </c>
      <c r="H7248" t="s">
        <v>5676</v>
      </c>
      <c r="I7248" s="1">
        <v>45767</v>
      </c>
      <c r="J7248">
        <v>-236000</v>
      </c>
      <c r="L7248" t="s">
        <v>6803</v>
      </c>
    </row>
    <row r="7249" spans="1:12" x14ac:dyDescent="0.35">
      <c r="A7249" t="s">
        <v>131</v>
      </c>
      <c r="B7249" s="1">
        <v>45736</v>
      </c>
      <c r="C7249" t="s">
        <v>5693</v>
      </c>
      <c r="D7249" t="s">
        <v>5693</v>
      </c>
      <c r="F7249" t="s">
        <v>8419</v>
      </c>
      <c r="H7249" t="s">
        <v>5518</v>
      </c>
      <c r="I7249" s="1">
        <v>45767</v>
      </c>
      <c r="K7249">
        <v>27000</v>
      </c>
      <c r="L7249" t="s">
        <v>6803</v>
      </c>
    </row>
    <row r="7250" spans="1:12" x14ac:dyDescent="0.35">
      <c r="A7250" t="s">
        <v>131</v>
      </c>
      <c r="B7250" s="1">
        <v>45736</v>
      </c>
      <c r="C7250" t="s">
        <v>5693</v>
      </c>
      <c r="D7250" t="s">
        <v>5693</v>
      </c>
      <c r="F7250" t="s">
        <v>8419</v>
      </c>
      <c r="H7250" t="s">
        <v>5518</v>
      </c>
      <c r="I7250" s="1">
        <v>45767</v>
      </c>
      <c r="K7250">
        <v>27000</v>
      </c>
      <c r="L7250" t="s">
        <v>6803</v>
      </c>
    </row>
    <row r="7251" spans="1:12" x14ac:dyDescent="0.35">
      <c r="A7251" t="s">
        <v>131</v>
      </c>
      <c r="B7251" s="1">
        <v>45736</v>
      </c>
      <c r="C7251" t="s">
        <v>5693</v>
      </c>
      <c r="D7251" t="s">
        <v>5693</v>
      </c>
      <c r="F7251" t="s">
        <v>8419</v>
      </c>
      <c r="H7251" t="s">
        <v>5676</v>
      </c>
      <c r="I7251" s="1">
        <v>45767</v>
      </c>
      <c r="K7251">
        <v>-27000</v>
      </c>
      <c r="L7251" t="s">
        <v>6803</v>
      </c>
    </row>
    <row r="7252" spans="1:12" x14ac:dyDescent="0.35">
      <c r="A7252" t="s">
        <v>131</v>
      </c>
      <c r="B7252" s="1">
        <v>45736</v>
      </c>
      <c r="C7252" t="s">
        <v>5693</v>
      </c>
      <c r="D7252" t="s">
        <v>5693</v>
      </c>
      <c r="F7252" t="s">
        <v>7701</v>
      </c>
      <c r="H7252" t="s">
        <v>5518</v>
      </c>
      <c r="I7252" s="1">
        <v>45767</v>
      </c>
      <c r="K7252">
        <v>59000</v>
      </c>
      <c r="L7252" t="s">
        <v>350</v>
      </c>
    </row>
    <row r="7253" spans="1:12" x14ac:dyDescent="0.35">
      <c r="A7253" t="s">
        <v>131</v>
      </c>
      <c r="B7253" s="1">
        <v>45736</v>
      </c>
      <c r="C7253" t="s">
        <v>5693</v>
      </c>
      <c r="D7253" t="s">
        <v>5693</v>
      </c>
      <c r="F7253" t="s">
        <v>7701</v>
      </c>
      <c r="H7253" t="s">
        <v>5518</v>
      </c>
      <c r="I7253" s="1">
        <v>45767</v>
      </c>
      <c r="K7253">
        <v>59000</v>
      </c>
      <c r="L7253" t="s">
        <v>350</v>
      </c>
    </row>
    <row r="7254" spans="1:12" x14ac:dyDescent="0.35">
      <c r="A7254" t="s">
        <v>131</v>
      </c>
      <c r="B7254" s="1">
        <v>45736</v>
      </c>
      <c r="C7254" t="s">
        <v>5693</v>
      </c>
      <c r="D7254" t="s">
        <v>5693</v>
      </c>
      <c r="F7254" t="s">
        <v>7701</v>
      </c>
      <c r="H7254" t="s">
        <v>5676</v>
      </c>
      <c r="I7254" s="1">
        <v>45767</v>
      </c>
      <c r="K7254">
        <v>-59000</v>
      </c>
      <c r="L7254" t="s">
        <v>350</v>
      </c>
    </row>
    <row r="7255" spans="1:12" x14ac:dyDescent="0.35">
      <c r="A7255" t="s">
        <v>131</v>
      </c>
      <c r="B7255" s="1">
        <v>45736</v>
      </c>
      <c r="C7255" t="s">
        <v>5693</v>
      </c>
      <c r="D7255" t="s">
        <v>5693</v>
      </c>
      <c r="F7255" t="s">
        <v>8423</v>
      </c>
      <c r="H7255" t="s">
        <v>5518</v>
      </c>
      <c r="I7255" s="1">
        <v>45767</v>
      </c>
      <c r="K7255">
        <v>150000</v>
      </c>
      <c r="L7255" t="s">
        <v>5972</v>
      </c>
    </row>
    <row r="7256" spans="1:12" x14ac:dyDescent="0.35">
      <c r="A7256" t="s">
        <v>131</v>
      </c>
      <c r="B7256" s="1">
        <v>45736</v>
      </c>
      <c r="C7256" t="s">
        <v>5693</v>
      </c>
      <c r="D7256" t="s">
        <v>5693</v>
      </c>
      <c r="F7256" t="s">
        <v>8423</v>
      </c>
      <c r="H7256" t="s">
        <v>5518</v>
      </c>
      <c r="I7256" s="1">
        <v>45767</v>
      </c>
      <c r="K7256">
        <v>150000</v>
      </c>
      <c r="L7256" t="s">
        <v>5972</v>
      </c>
    </row>
    <row r="7257" spans="1:12" x14ac:dyDescent="0.35">
      <c r="A7257" t="s">
        <v>131</v>
      </c>
      <c r="B7257" s="1">
        <v>45736</v>
      </c>
      <c r="C7257" t="s">
        <v>5693</v>
      </c>
      <c r="D7257" t="s">
        <v>5693</v>
      </c>
      <c r="F7257" t="s">
        <v>8423</v>
      </c>
      <c r="H7257" t="s">
        <v>5676</v>
      </c>
      <c r="I7257" s="1">
        <v>45767</v>
      </c>
      <c r="K7257">
        <v>-150000</v>
      </c>
      <c r="L7257" t="s">
        <v>5972</v>
      </c>
    </row>
    <row r="7258" spans="1:12" x14ac:dyDescent="0.35">
      <c r="A7258" t="s">
        <v>131</v>
      </c>
      <c r="B7258" s="1">
        <v>45736</v>
      </c>
      <c r="C7258" t="s">
        <v>5694</v>
      </c>
      <c r="D7258" t="s">
        <v>5694</v>
      </c>
      <c r="F7258" t="s">
        <v>7831</v>
      </c>
      <c r="G7258" t="s">
        <v>7521</v>
      </c>
      <c r="H7258" t="s">
        <v>180</v>
      </c>
      <c r="I7258" s="1">
        <v>45777</v>
      </c>
      <c r="J7258">
        <v>409460</v>
      </c>
      <c r="L7258" t="s">
        <v>6803</v>
      </c>
    </row>
    <row r="7259" spans="1:12" x14ac:dyDescent="0.35">
      <c r="A7259" t="s">
        <v>131</v>
      </c>
      <c r="B7259" s="1">
        <v>45736</v>
      </c>
      <c r="C7259" t="s">
        <v>5694</v>
      </c>
      <c r="D7259" t="s">
        <v>5694</v>
      </c>
      <c r="F7259" t="s">
        <v>7831</v>
      </c>
      <c r="G7259" t="s">
        <v>7521</v>
      </c>
      <c r="H7259" t="s">
        <v>180</v>
      </c>
      <c r="I7259" s="1">
        <v>45777</v>
      </c>
      <c r="J7259">
        <v>409460</v>
      </c>
      <c r="L7259" t="s">
        <v>6803</v>
      </c>
    </row>
    <row r="7260" spans="1:12" x14ac:dyDescent="0.35">
      <c r="A7260" t="s">
        <v>131</v>
      </c>
      <c r="B7260" s="1">
        <v>45736</v>
      </c>
      <c r="C7260" t="s">
        <v>5694</v>
      </c>
      <c r="D7260" t="s">
        <v>5694</v>
      </c>
      <c r="F7260" t="s">
        <v>7831</v>
      </c>
      <c r="G7260" t="s">
        <v>7521</v>
      </c>
      <c r="H7260" t="s">
        <v>257</v>
      </c>
      <c r="I7260" s="1">
        <v>45777</v>
      </c>
      <c r="J7260">
        <v>-409460</v>
      </c>
      <c r="L7260" t="s">
        <v>6803</v>
      </c>
    </row>
    <row r="7261" spans="1:12" x14ac:dyDescent="0.35">
      <c r="A7261" t="s">
        <v>131</v>
      </c>
      <c r="B7261" s="1">
        <v>45736</v>
      </c>
      <c r="C7261" t="s">
        <v>5694</v>
      </c>
      <c r="D7261" t="s">
        <v>5694</v>
      </c>
      <c r="F7261" t="s">
        <v>8419</v>
      </c>
      <c r="H7261" t="s">
        <v>180</v>
      </c>
      <c r="I7261" s="1">
        <v>45777</v>
      </c>
      <c r="K7261">
        <v>53460</v>
      </c>
      <c r="L7261" t="s">
        <v>6803</v>
      </c>
    </row>
    <row r="7262" spans="1:12" x14ac:dyDescent="0.35">
      <c r="A7262" t="s">
        <v>131</v>
      </c>
      <c r="B7262" s="1">
        <v>45736</v>
      </c>
      <c r="C7262" t="s">
        <v>5694</v>
      </c>
      <c r="D7262" t="s">
        <v>5694</v>
      </c>
      <c r="F7262" t="s">
        <v>8419</v>
      </c>
      <c r="H7262" t="s">
        <v>180</v>
      </c>
      <c r="I7262" s="1">
        <v>45777</v>
      </c>
      <c r="K7262">
        <v>53460</v>
      </c>
      <c r="L7262" t="s">
        <v>6803</v>
      </c>
    </row>
    <row r="7263" spans="1:12" x14ac:dyDescent="0.35">
      <c r="A7263" t="s">
        <v>131</v>
      </c>
      <c r="B7263" s="1">
        <v>45736</v>
      </c>
      <c r="C7263" t="s">
        <v>5694</v>
      </c>
      <c r="D7263" t="s">
        <v>5694</v>
      </c>
      <c r="F7263" t="s">
        <v>8419</v>
      </c>
      <c r="H7263" t="s">
        <v>257</v>
      </c>
      <c r="I7263" s="1">
        <v>45777</v>
      </c>
      <c r="K7263">
        <v>-53460</v>
      </c>
      <c r="L7263" t="s">
        <v>6803</v>
      </c>
    </row>
    <row r="7264" spans="1:12" x14ac:dyDescent="0.35">
      <c r="A7264" t="s">
        <v>131</v>
      </c>
      <c r="B7264" s="1">
        <v>45736</v>
      </c>
      <c r="C7264" t="s">
        <v>5694</v>
      </c>
      <c r="D7264" t="s">
        <v>5694</v>
      </c>
      <c r="F7264" t="s">
        <v>7701</v>
      </c>
      <c r="H7264" t="s">
        <v>180</v>
      </c>
      <c r="I7264" s="1">
        <v>45777</v>
      </c>
      <c r="K7264">
        <v>59000</v>
      </c>
      <c r="L7264" t="s">
        <v>350</v>
      </c>
    </row>
    <row r="7265" spans="1:12" x14ac:dyDescent="0.35">
      <c r="A7265" t="s">
        <v>131</v>
      </c>
      <c r="B7265" s="1">
        <v>45736</v>
      </c>
      <c r="C7265" t="s">
        <v>5694</v>
      </c>
      <c r="D7265" t="s">
        <v>5694</v>
      </c>
      <c r="F7265" t="s">
        <v>7701</v>
      </c>
      <c r="H7265" t="s">
        <v>180</v>
      </c>
      <c r="I7265" s="1">
        <v>45777</v>
      </c>
      <c r="K7265">
        <v>59000</v>
      </c>
      <c r="L7265" t="s">
        <v>350</v>
      </c>
    </row>
    <row r="7266" spans="1:12" x14ac:dyDescent="0.35">
      <c r="A7266" t="s">
        <v>131</v>
      </c>
      <c r="B7266" s="1">
        <v>45736</v>
      </c>
      <c r="C7266" t="s">
        <v>5694</v>
      </c>
      <c r="D7266" t="s">
        <v>5694</v>
      </c>
      <c r="F7266" t="s">
        <v>7701</v>
      </c>
      <c r="H7266" t="s">
        <v>257</v>
      </c>
      <c r="I7266" s="1">
        <v>45777</v>
      </c>
      <c r="K7266">
        <v>-59000</v>
      </c>
      <c r="L7266" t="s">
        <v>350</v>
      </c>
    </row>
    <row r="7267" spans="1:12" x14ac:dyDescent="0.35">
      <c r="A7267" t="s">
        <v>131</v>
      </c>
      <c r="B7267" s="1">
        <v>45736</v>
      </c>
      <c r="C7267" t="s">
        <v>5694</v>
      </c>
      <c r="D7267" t="s">
        <v>5694</v>
      </c>
      <c r="F7267" t="s">
        <v>8423</v>
      </c>
      <c r="H7267" t="s">
        <v>180</v>
      </c>
      <c r="I7267" s="1">
        <v>45777</v>
      </c>
      <c r="K7267">
        <v>297000</v>
      </c>
      <c r="L7267" t="s">
        <v>5972</v>
      </c>
    </row>
    <row r="7268" spans="1:12" x14ac:dyDescent="0.35">
      <c r="A7268" t="s">
        <v>131</v>
      </c>
      <c r="B7268" s="1">
        <v>45736</v>
      </c>
      <c r="C7268" t="s">
        <v>5694</v>
      </c>
      <c r="D7268" t="s">
        <v>5694</v>
      </c>
      <c r="F7268" t="s">
        <v>8423</v>
      </c>
      <c r="H7268" t="s">
        <v>180</v>
      </c>
      <c r="I7268" s="1">
        <v>45777</v>
      </c>
      <c r="K7268">
        <v>297000</v>
      </c>
      <c r="L7268" t="s">
        <v>5972</v>
      </c>
    </row>
    <row r="7269" spans="1:12" x14ac:dyDescent="0.35">
      <c r="A7269" t="s">
        <v>131</v>
      </c>
      <c r="B7269" s="1">
        <v>45736</v>
      </c>
      <c r="C7269" t="s">
        <v>5694</v>
      </c>
      <c r="D7269" t="s">
        <v>5694</v>
      </c>
      <c r="F7269" t="s">
        <v>8423</v>
      </c>
      <c r="H7269" t="s">
        <v>257</v>
      </c>
      <c r="I7269" s="1">
        <v>45777</v>
      </c>
      <c r="K7269">
        <v>-297000</v>
      </c>
      <c r="L7269" t="s">
        <v>5972</v>
      </c>
    </row>
    <row r="7270" spans="1:12" x14ac:dyDescent="0.35">
      <c r="A7270" t="s">
        <v>131</v>
      </c>
      <c r="B7270" s="1">
        <v>45736</v>
      </c>
      <c r="C7270" t="s">
        <v>5695</v>
      </c>
      <c r="D7270" t="s">
        <v>5695</v>
      </c>
      <c r="F7270" t="s">
        <v>7823</v>
      </c>
      <c r="G7270" t="s">
        <v>7877</v>
      </c>
      <c r="H7270" t="s">
        <v>5508</v>
      </c>
      <c r="I7270" s="1">
        <v>45767</v>
      </c>
      <c r="J7270">
        <v>6032055</v>
      </c>
      <c r="L7270" t="s">
        <v>6803</v>
      </c>
    </row>
    <row r="7271" spans="1:12" x14ac:dyDescent="0.35">
      <c r="A7271" t="s">
        <v>131</v>
      </c>
      <c r="B7271" s="1">
        <v>45736</v>
      </c>
      <c r="C7271" t="s">
        <v>5695</v>
      </c>
      <c r="D7271" t="s">
        <v>5695</v>
      </c>
      <c r="F7271" t="s">
        <v>7823</v>
      </c>
      <c r="G7271" t="s">
        <v>7877</v>
      </c>
      <c r="H7271" t="s">
        <v>5508</v>
      </c>
      <c r="I7271" s="1">
        <v>45767</v>
      </c>
      <c r="J7271">
        <v>6032055</v>
      </c>
      <c r="L7271" t="s">
        <v>6803</v>
      </c>
    </row>
    <row r="7272" spans="1:12" x14ac:dyDescent="0.35">
      <c r="A7272" t="s">
        <v>131</v>
      </c>
      <c r="B7272" s="1">
        <v>45736</v>
      </c>
      <c r="C7272" t="s">
        <v>5695</v>
      </c>
      <c r="D7272" t="s">
        <v>5695</v>
      </c>
      <c r="F7272" t="s">
        <v>7823</v>
      </c>
      <c r="G7272" t="s">
        <v>7877</v>
      </c>
      <c r="H7272" t="s">
        <v>5611</v>
      </c>
      <c r="I7272" s="1">
        <v>45767</v>
      </c>
      <c r="J7272">
        <v>-6032055</v>
      </c>
      <c r="L7272" t="s">
        <v>6803</v>
      </c>
    </row>
    <row r="7273" spans="1:12" x14ac:dyDescent="0.35">
      <c r="A7273" t="s">
        <v>131</v>
      </c>
      <c r="B7273" s="1">
        <v>45736</v>
      </c>
      <c r="C7273" t="s">
        <v>5695</v>
      </c>
      <c r="D7273" t="s">
        <v>5695</v>
      </c>
      <c r="F7273" t="s">
        <v>8424</v>
      </c>
      <c r="H7273" t="s">
        <v>5508</v>
      </c>
      <c r="I7273" s="1">
        <v>45767</v>
      </c>
      <c r="K7273">
        <v>6032055</v>
      </c>
      <c r="L7273" t="s">
        <v>5977</v>
      </c>
    </row>
    <row r="7274" spans="1:12" x14ac:dyDescent="0.35">
      <c r="A7274" t="s">
        <v>131</v>
      </c>
      <c r="B7274" s="1">
        <v>45736</v>
      </c>
      <c r="C7274" t="s">
        <v>5695</v>
      </c>
      <c r="D7274" t="s">
        <v>5695</v>
      </c>
      <c r="F7274" t="s">
        <v>8424</v>
      </c>
      <c r="H7274" t="s">
        <v>5508</v>
      </c>
      <c r="I7274" s="1">
        <v>45767</v>
      </c>
      <c r="K7274">
        <v>6032055</v>
      </c>
      <c r="L7274" t="s">
        <v>5977</v>
      </c>
    </row>
    <row r="7275" spans="1:12" x14ac:dyDescent="0.35">
      <c r="A7275" t="s">
        <v>131</v>
      </c>
      <c r="B7275" s="1">
        <v>45736</v>
      </c>
      <c r="C7275" t="s">
        <v>5695</v>
      </c>
      <c r="D7275" t="s">
        <v>5695</v>
      </c>
      <c r="F7275" t="s">
        <v>8424</v>
      </c>
      <c r="H7275" t="s">
        <v>5611</v>
      </c>
      <c r="I7275" s="1">
        <v>45767</v>
      </c>
      <c r="K7275">
        <v>-6032055</v>
      </c>
      <c r="L7275" t="s">
        <v>5977</v>
      </c>
    </row>
    <row r="7276" spans="1:12" x14ac:dyDescent="0.35">
      <c r="A7276" t="s">
        <v>131</v>
      </c>
      <c r="B7276" s="1">
        <v>45736</v>
      </c>
      <c r="C7276" t="s">
        <v>5696</v>
      </c>
      <c r="D7276" t="s">
        <v>5696</v>
      </c>
      <c r="F7276" t="s">
        <v>7823</v>
      </c>
      <c r="G7276" t="s">
        <v>7877</v>
      </c>
      <c r="H7276" t="s">
        <v>5508</v>
      </c>
      <c r="I7276" s="1">
        <v>45767</v>
      </c>
      <c r="J7276">
        <v>1099170</v>
      </c>
      <c r="L7276" t="s">
        <v>6803</v>
      </c>
    </row>
    <row r="7277" spans="1:12" x14ac:dyDescent="0.35">
      <c r="A7277" t="s">
        <v>131</v>
      </c>
      <c r="B7277" s="1">
        <v>45736</v>
      </c>
      <c r="C7277" t="s">
        <v>5696</v>
      </c>
      <c r="D7277" t="s">
        <v>5696</v>
      </c>
      <c r="F7277" t="s">
        <v>7823</v>
      </c>
      <c r="G7277" t="s">
        <v>7877</v>
      </c>
      <c r="H7277" t="s">
        <v>5508</v>
      </c>
      <c r="I7277" s="1">
        <v>45767</v>
      </c>
      <c r="J7277">
        <v>1099170</v>
      </c>
      <c r="L7277" t="s">
        <v>6803</v>
      </c>
    </row>
    <row r="7278" spans="1:12" x14ac:dyDescent="0.35">
      <c r="A7278" t="s">
        <v>131</v>
      </c>
      <c r="B7278" s="1">
        <v>45736</v>
      </c>
      <c r="C7278" t="s">
        <v>5696</v>
      </c>
      <c r="D7278" t="s">
        <v>5696</v>
      </c>
      <c r="F7278" t="s">
        <v>7823</v>
      </c>
      <c r="G7278" t="s">
        <v>7877</v>
      </c>
      <c r="H7278" t="s">
        <v>5611</v>
      </c>
      <c r="I7278" s="1">
        <v>45767</v>
      </c>
      <c r="J7278">
        <v>-1099170</v>
      </c>
      <c r="L7278" t="s">
        <v>6803</v>
      </c>
    </row>
    <row r="7279" spans="1:12" x14ac:dyDescent="0.35">
      <c r="A7279" t="s">
        <v>131</v>
      </c>
      <c r="B7279" s="1">
        <v>45736</v>
      </c>
      <c r="C7279" t="s">
        <v>5696</v>
      </c>
      <c r="D7279" t="s">
        <v>5696</v>
      </c>
      <c r="F7279" t="s">
        <v>8419</v>
      </c>
      <c r="H7279" t="s">
        <v>5508</v>
      </c>
      <c r="I7279" s="1">
        <v>45767</v>
      </c>
      <c r="K7279">
        <v>167670</v>
      </c>
      <c r="L7279" t="s">
        <v>6803</v>
      </c>
    </row>
    <row r="7280" spans="1:12" x14ac:dyDescent="0.35">
      <c r="A7280" t="s">
        <v>131</v>
      </c>
      <c r="B7280" s="1">
        <v>45736</v>
      </c>
      <c r="C7280" t="s">
        <v>5696</v>
      </c>
      <c r="D7280" t="s">
        <v>5696</v>
      </c>
      <c r="F7280" t="s">
        <v>8419</v>
      </c>
      <c r="H7280" t="s">
        <v>5508</v>
      </c>
      <c r="I7280" s="1">
        <v>45767</v>
      </c>
      <c r="K7280">
        <v>167670</v>
      </c>
      <c r="L7280" t="s">
        <v>6803</v>
      </c>
    </row>
    <row r="7281" spans="1:12" x14ac:dyDescent="0.35">
      <c r="A7281" t="s">
        <v>131</v>
      </c>
      <c r="B7281" s="1">
        <v>45736</v>
      </c>
      <c r="C7281" t="s">
        <v>5696</v>
      </c>
      <c r="D7281" t="s">
        <v>5696</v>
      </c>
      <c r="F7281" t="s">
        <v>8419</v>
      </c>
      <c r="H7281" t="s">
        <v>5611</v>
      </c>
      <c r="I7281" s="1">
        <v>45767</v>
      </c>
      <c r="K7281">
        <v>-167670</v>
      </c>
      <c r="L7281" t="s">
        <v>6803</v>
      </c>
    </row>
    <row r="7282" spans="1:12" x14ac:dyDescent="0.35">
      <c r="A7282" t="s">
        <v>131</v>
      </c>
      <c r="B7282" s="1">
        <v>45736</v>
      </c>
      <c r="C7282" t="s">
        <v>5696</v>
      </c>
      <c r="D7282" t="s">
        <v>5696</v>
      </c>
      <c r="F7282" t="s">
        <v>8423</v>
      </c>
      <c r="H7282" t="s">
        <v>5508</v>
      </c>
      <c r="I7282" s="1">
        <v>45767</v>
      </c>
      <c r="K7282">
        <v>931500</v>
      </c>
      <c r="L7282" t="s">
        <v>5977</v>
      </c>
    </row>
    <row r="7283" spans="1:12" x14ac:dyDescent="0.35">
      <c r="A7283" t="s">
        <v>131</v>
      </c>
      <c r="B7283" s="1">
        <v>45736</v>
      </c>
      <c r="C7283" t="s">
        <v>5696</v>
      </c>
      <c r="D7283" t="s">
        <v>5696</v>
      </c>
      <c r="F7283" t="s">
        <v>8423</v>
      </c>
      <c r="H7283" t="s">
        <v>5508</v>
      </c>
      <c r="I7283" s="1">
        <v>45767</v>
      </c>
      <c r="K7283">
        <v>931500</v>
      </c>
      <c r="L7283" t="s">
        <v>5977</v>
      </c>
    </row>
    <row r="7284" spans="1:12" x14ac:dyDescent="0.35">
      <c r="A7284" t="s">
        <v>131</v>
      </c>
      <c r="B7284" s="1">
        <v>45736</v>
      </c>
      <c r="C7284" t="s">
        <v>5696</v>
      </c>
      <c r="D7284" t="s">
        <v>5696</v>
      </c>
      <c r="F7284" t="s">
        <v>8423</v>
      </c>
      <c r="H7284" t="s">
        <v>5611</v>
      </c>
      <c r="I7284" s="1">
        <v>45767</v>
      </c>
      <c r="K7284">
        <v>-931500</v>
      </c>
      <c r="L7284" t="s">
        <v>5977</v>
      </c>
    </row>
    <row r="7285" spans="1:12" x14ac:dyDescent="0.35">
      <c r="A7285" t="s">
        <v>131</v>
      </c>
      <c r="B7285" s="1">
        <v>45736</v>
      </c>
      <c r="C7285" t="s">
        <v>5697</v>
      </c>
      <c r="D7285" t="s">
        <v>5697</v>
      </c>
      <c r="F7285" t="s">
        <v>7823</v>
      </c>
      <c r="G7285" t="s">
        <v>7877</v>
      </c>
      <c r="H7285" t="s">
        <v>5508</v>
      </c>
      <c r="I7285" s="1">
        <v>45767</v>
      </c>
      <c r="J7285">
        <v>1966502</v>
      </c>
      <c r="L7285" t="s">
        <v>6803</v>
      </c>
    </row>
    <row r="7286" spans="1:12" x14ac:dyDescent="0.35">
      <c r="A7286" t="s">
        <v>131</v>
      </c>
      <c r="B7286" s="1">
        <v>45736</v>
      </c>
      <c r="C7286" t="s">
        <v>5697</v>
      </c>
      <c r="D7286" t="s">
        <v>5697</v>
      </c>
      <c r="F7286" t="s">
        <v>7823</v>
      </c>
      <c r="G7286" t="s">
        <v>7877</v>
      </c>
      <c r="H7286" t="s">
        <v>5508</v>
      </c>
      <c r="I7286" s="1">
        <v>45767</v>
      </c>
      <c r="J7286">
        <v>1966502</v>
      </c>
      <c r="L7286" t="s">
        <v>6803</v>
      </c>
    </row>
    <row r="7287" spans="1:12" x14ac:dyDescent="0.35">
      <c r="A7287" t="s">
        <v>131</v>
      </c>
      <c r="B7287" s="1">
        <v>45736</v>
      </c>
      <c r="C7287" t="s">
        <v>5697</v>
      </c>
      <c r="D7287" t="s">
        <v>5697</v>
      </c>
      <c r="F7287" t="s">
        <v>7823</v>
      </c>
      <c r="G7287" t="s">
        <v>7877</v>
      </c>
      <c r="H7287" t="s">
        <v>5611</v>
      </c>
      <c r="I7287" s="1">
        <v>45767</v>
      </c>
      <c r="J7287">
        <v>-1966502</v>
      </c>
      <c r="L7287" t="s">
        <v>6803</v>
      </c>
    </row>
    <row r="7288" spans="1:12" x14ac:dyDescent="0.35">
      <c r="A7288" t="s">
        <v>131</v>
      </c>
      <c r="B7288" s="1">
        <v>45736</v>
      </c>
      <c r="C7288" t="s">
        <v>5697</v>
      </c>
      <c r="D7288" t="s">
        <v>5697</v>
      </c>
      <c r="F7288" t="s">
        <v>8424</v>
      </c>
      <c r="H7288" t="s">
        <v>5508</v>
      </c>
      <c r="I7288" s="1">
        <v>45767</v>
      </c>
      <c r="K7288">
        <v>1966502</v>
      </c>
      <c r="L7288" t="s">
        <v>5977</v>
      </c>
    </row>
    <row r="7289" spans="1:12" x14ac:dyDescent="0.35">
      <c r="A7289" t="s">
        <v>131</v>
      </c>
      <c r="B7289" s="1">
        <v>45736</v>
      </c>
      <c r="C7289" t="s">
        <v>5697</v>
      </c>
      <c r="D7289" t="s">
        <v>5697</v>
      </c>
      <c r="F7289" t="s">
        <v>8424</v>
      </c>
      <c r="H7289" t="s">
        <v>5508</v>
      </c>
      <c r="I7289" s="1">
        <v>45767</v>
      </c>
      <c r="K7289">
        <v>1966502</v>
      </c>
      <c r="L7289" t="s">
        <v>5977</v>
      </c>
    </row>
    <row r="7290" spans="1:12" x14ac:dyDescent="0.35">
      <c r="A7290" t="s">
        <v>131</v>
      </c>
      <c r="B7290" s="1">
        <v>45736</v>
      </c>
      <c r="C7290" t="s">
        <v>5697</v>
      </c>
      <c r="D7290" t="s">
        <v>5697</v>
      </c>
      <c r="F7290" t="s">
        <v>8424</v>
      </c>
      <c r="H7290" t="s">
        <v>5611</v>
      </c>
      <c r="I7290" s="1">
        <v>45767</v>
      </c>
      <c r="K7290">
        <v>-1966502</v>
      </c>
      <c r="L7290" t="s">
        <v>5977</v>
      </c>
    </row>
    <row r="7291" spans="1:12" x14ac:dyDescent="0.35">
      <c r="A7291" t="s">
        <v>131</v>
      </c>
      <c r="B7291" s="1">
        <v>45736</v>
      </c>
      <c r="C7291" t="s">
        <v>5698</v>
      </c>
      <c r="D7291" t="s">
        <v>5698</v>
      </c>
      <c r="F7291" t="s">
        <v>7823</v>
      </c>
      <c r="G7291" t="s">
        <v>7877</v>
      </c>
      <c r="H7291" t="s">
        <v>5508</v>
      </c>
      <c r="I7291" s="1">
        <v>45767</v>
      </c>
      <c r="J7291">
        <v>7347902</v>
      </c>
      <c r="L7291" t="s">
        <v>6803</v>
      </c>
    </row>
    <row r="7292" spans="1:12" x14ac:dyDescent="0.35">
      <c r="A7292" t="s">
        <v>131</v>
      </c>
      <c r="B7292" s="1">
        <v>45736</v>
      </c>
      <c r="C7292" t="s">
        <v>5698</v>
      </c>
      <c r="D7292" t="s">
        <v>5698</v>
      </c>
      <c r="F7292" t="s">
        <v>7823</v>
      </c>
      <c r="G7292" t="s">
        <v>7877</v>
      </c>
      <c r="H7292" t="s">
        <v>5508</v>
      </c>
      <c r="I7292" s="1">
        <v>45767</v>
      </c>
      <c r="J7292">
        <v>7347902</v>
      </c>
      <c r="L7292" t="s">
        <v>6803</v>
      </c>
    </row>
    <row r="7293" spans="1:12" x14ac:dyDescent="0.35">
      <c r="A7293" t="s">
        <v>131</v>
      </c>
      <c r="B7293" s="1">
        <v>45736</v>
      </c>
      <c r="C7293" t="s">
        <v>5698</v>
      </c>
      <c r="D7293" t="s">
        <v>5698</v>
      </c>
      <c r="F7293" t="s">
        <v>7823</v>
      </c>
      <c r="G7293" t="s">
        <v>7877</v>
      </c>
      <c r="H7293" t="s">
        <v>5611</v>
      </c>
      <c r="I7293" s="1">
        <v>45767</v>
      </c>
      <c r="J7293">
        <v>-7347902</v>
      </c>
      <c r="L7293" t="s">
        <v>6803</v>
      </c>
    </row>
    <row r="7294" spans="1:12" x14ac:dyDescent="0.35">
      <c r="A7294" t="s">
        <v>131</v>
      </c>
      <c r="B7294" s="1">
        <v>45736</v>
      </c>
      <c r="C7294" t="s">
        <v>5698</v>
      </c>
      <c r="D7294" t="s">
        <v>5698</v>
      </c>
      <c r="F7294" t="s">
        <v>8423</v>
      </c>
      <c r="H7294" t="s">
        <v>5508</v>
      </c>
      <c r="I7294" s="1">
        <v>45767</v>
      </c>
      <c r="K7294">
        <v>7347902</v>
      </c>
      <c r="L7294" t="s">
        <v>5975</v>
      </c>
    </row>
    <row r="7295" spans="1:12" x14ac:dyDescent="0.35">
      <c r="A7295" t="s">
        <v>131</v>
      </c>
      <c r="B7295" s="1">
        <v>45736</v>
      </c>
      <c r="C7295" t="s">
        <v>5698</v>
      </c>
      <c r="D7295" t="s">
        <v>5698</v>
      </c>
      <c r="F7295" t="s">
        <v>8423</v>
      </c>
      <c r="H7295" t="s">
        <v>5508</v>
      </c>
      <c r="I7295" s="1">
        <v>45767</v>
      </c>
      <c r="K7295">
        <v>7347902</v>
      </c>
      <c r="L7295" t="s">
        <v>5975</v>
      </c>
    </row>
    <row r="7296" spans="1:12" x14ac:dyDescent="0.35">
      <c r="A7296" t="s">
        <v>131</v>
      </c>
      <c r="B7296" s="1">
        <v>45736</v>
      </c>
      <c r="C7296" t="s">
        <v>5698</v>
      </c>
      <c r="D7296" t="s">
        <v>5698</v>
      </c>
      <c r="F7296" t="s">
        <v>8423</v>
      </c>
      <c r="H7296" t="s">
        <v>5611</v>
      </c>
      <c r="I7296" s="1">
        <v>45767</v>
      </c>
      <c r="K7296">
        <v>-7347902</v>
      </c>
      <c r="L7296" t="s">
        <v>5975</v>
      </c>
    </row>
    <row r="7297" spans="1:12" x14ac:dyDescent="0.35">
      <c r="A7297" t="s">
        <v>131</v>
      </c>
      <c r="B7297" s="1">
        <v>45736</v>
      </c>
      <c r="C7297" t="s">
        <v>5699</v>
      </c>
      <c r="D7297" t="s">
        <v>5699</v>
      </c>
      <c r="F7297" t="s">
        <v>7823</v>
      </c>
      <c r="G7297" t="s">
        <v>7877</v>
      </c>
      <c r="H7297" t="s">
        <v>5508</v>
      </c>
      <c r="I7297" s="1">
        <v>45767</v>
      </c>
      <c r="J7297">
        <v>6032055</v>
      </c>
      <c r="L7297" t="s">
        <v>6803</v>
      </c>
    </row>
    <row r="7298" spans="1:12" x14ac:dyDescent="0.35">
      <c r="A7298" t="s">
        <v>131</v>
      </c>
      <c r="B7298" s="1">
        <v>45736</v>
      </c>
      <c r="C7298" t="s">
        <v>5699</v>
      </c>
      <c r="D7298" t="s">
        <v>5699</v>
      </c>
      <c r="F7298" t="s">
        <v>7823</v>
      </c>
      <c r="G7298" t="s">
        <v>7877</v>
      </c>
      <c r="H7298" t="s">
        <v>5508</v>
      </c>
      <c r="I7298" s="1">
        <v>45767</v>
      </c>
      <c r="J7298">
        <v>6032055</v>
      </c>
      <c r="L7298" t="s">
        <v>6803</v>
      </c>
    </row>
    <row r="7299" spans="1:12" x14ac:dyDescent="0.35">
      <c r="A7299" t="s">
        <v>131</v>
      </c>
      <c r="B7299" s="1">
        <v>45736</v>
      </c>
      <c r="C7299" t="s">
        <v>5699</v>
      </c>
      <c r="D7299" t="s">
        <v>5699</v>
      </c>
      <c r="F7299" t="s">
        <v>7823</v>
      </c>
      <c r="G7299" t="s">
        <v>7877</v>
      </c>
      <c r="H7299" t="s">
        <v>5611</v>
      </c>
      <c r="I7299" s="1">
        <v>45767</v>
      </c>
      <c r="J7299">
        <v>-6032055</v>
      </c>
      <c r="L7299" t="s">
        <v>6803</v>
      </c>
    </row>
    <row r="7300" spans="1:12" x14ac:dyDescent="0.35">
      <c r="A7300" t="s">
        <v>131</v>
      </c>
      <c r="B7300" s="1">
        <v>45736</v>
      </c>
      <c r="C7300" t="s">
        <v>5699</v>
      </c>
      <c r="D7300" t="s">
        <v>5699</v>
      </c>
      <c r="F7300" t="s">
        <v>8424</v>
      </c>
      <c r="H7300" t="s">
        <v>5508</v>
      </c>
      <c r="I7300" s="1">
        <v>45767</v>
      </c>
      <c r="K7300">
        <v>6032055</v>
      </c>
      <c r="L7300" t="s">
        <v>5977</v>
      </c>
    </row>
    <row r="7301" spans="1:12" x14ac:dyDescent="0.35">
      <c r="A7301" t="s">
        <v>131</v>
      </c>
      <c r="B7301" s="1">
        <v>45736</v>
      </c>
      <c r="C7301" t="s">
        <v>5699</v>
      </c>
      <c r="D7301" t="s">
        <v>5699</v>
      </c>
      <c r="F7301" t="s">
        <v>8424</v>
      </c>
      <c r="H7301" t="s">
        <v>5508</v>
      </c>
      <c r="I7301" s="1">
        <v>45767</v>
      </c>
      <c r="K7301">
        <v>6032055</v>
      </c>
      <c r="L7301" t="s">
        <v>5977</v>
      </c>
    </row>
    <row r="7302" spans="1:12" x14ac:dyDescent="0.35">
      <c r="A7302" t="s">
        <v>131</v>
      </c>
      <c r="B7302" s="1">
        <v>45736</v>
      </c>
      <c r="C7302" t="s">
        <v>5699</v>
      </c>
      <c r="D7302" t="s">
        <v>5699</v>
      </c>
      <c r="F7302" t="s">
        <v>8424</v>
      </c>
      <c r="H7302" t="s">
        <v>5611</v>
      </c>
      <c r="I7302" s="1">
        <v>45767</v>
      </c>
      <c r="K7302">
        <v>-6032055</v>
      </c>
      <c r="L7302" t="s">
        <v>5977</v>
      </c>
    </row>
    <row r="7303" spans="1:12" x14ac:dyDescent="0.35">
      <c r="A7303" t="s">
        <v>131</v>
      </c>
      <c r="B7303" s="1">
        <v>45737</v>
      </c>
      <c r="C7303" t="s">
        <v>5700</v>
      </c>
      <c r="D7303" t="s">
        <v>5700</v>
      </c>
      <c r="F7303" t="s">
        <v>7823</v>
      </c>
      <c r="G7303" t="s">
        <v>7877</v>
      </c>
      <c r="H7303" t="s">
        <v>5508</v>
      </c>
      <c r="I7303" s="1">
        <v>45768</v>
      </c>
      <c r="J7303">
        <v>304485</v>
      </c>
      <c r="L7303" t="s">
        <v>6803</v>
      </c>
    </row>
    <row r="7304" spans="1:12" x14ac:dyDescent="0.35">
      <c r="A7304" t="s">
        <v>131</v>
      </c>
      <c r="B7304" s="1">
        <v>45737</v>
      </c>
      <c r="C7304" t="s">
        <v>5700</v>
      </c>
      <c r="D7304" t="s">
        <v>5700</v>
      </c>
      <c r="F7304" t="s">
        <v>7823</v>
      </c>
      <c r="G7304" t="s">
        <v>7877</v>
      </c>
      <c r="H7304" t="s">
        <v>5508</v>
      </c>
      <c r="I7304" s="1">
        <v>45768</v>
      </c>
      <c r="J7304">
        <v>304485</v>
      </c>
      <c r="L7304" t="s">
        <v>6803</v>
      </c>
    </row>
    <row r="7305" spans="1:12" x14ac:dyDescent="0.35">
      <c r="A7305" t="s">
        <v>131</v>
      </c>
      <c r="B7305" s="1">
        <v>45737</v>
      </c>
      <c r="C7305" t="s">
        <v>5700</v>
      </c>
      <c r="D7305" t="s">
        <v>5700</v>
      </c>
      <c r="F7305" t="s">
        <v>7823</v>
      </c>
      <c r="G7305" t="s">
        <v>7877</v>
      </c>
      <c r="H7305" t="s">
        <v>5611</v>
      </c>
      <c r="I7305" s="1">
        <v>45768</v>
      </c>
      <c r="J7305">
        <v>-304485</v>
      </c>
      <c r="L7305" t="s">
        <v>6803</v>
      </c>
    </row>
    <row r="7306" spans="1:12" x14ac:dyDescent="0.35">
      <c r="A7306" t="s">
        <v>131</v>
      </c>
      <c r="B7306" s="1">
        <v>45737</v>
      </c>
      <c r="C7306" t="s">
        <v>5700</v>
      </c>
      <c r="D7306" t="s">
        <v>5700</v>
      </c>
      <c r="F7306" t="s">
        <v>8419</v>
      </c>
      <c r="H7306" t="s">
        <v>5508</v>
      </c>
      <c r="I7306" s="1">
        <v>45768</v>
      </c>
      <c r="K7306">
        <v>46447</v>
      </c>
      <c r="L7306" t="s">
        <v>6803</v>
      </c>
    </row>
    <row r="7307" spans="1:12" x14ac:dyDescent="0.35">
      <c r="A7307" t="s">
        <v>131</v>
      </c>
      <c r="B7307" s="1">
        <v>45737</v>
      </c>
      <c r="C7307" t="s">
        <v>5700</v>
      </c>
      <c r="D7307" t="s">
        <v>5700</v>
      </c>
      <c r="F7307" t="s">
        <v>8419</v>
      </c>
      <c r="H7307" t="s">
        <v>5508</v>
      </c>
      <c r="I7307" s="1">
        <v>45768</v>
      </c>
      <c r="K7307">
        <v>46447</v>
      </c>
      <c r="L7307" t="s">
        <v>6803</v>
      </c>
    </row>
    <row r="7308" spans="1:12" x14ac:dyDescent="0.35">
      <c r="A7308" t="s">
        <v>131</v>
      </c>
      <c r="B7308" s="1">
        <v>45737</v>
      </c>
      <c r="C7308" t="s">
        <v>5700</v>
      </c>
      <c r="D7308" t="s">
        <v>5700</v>
      </c>
      <c r="F7308" t="s">
        <v>8419</v>
      </c>
      <c r="H7308" t="s">
        <v>5611</v>
      </c>
      <c r="I7308" s="1">
        <v>45768</v>
      </c>
      <c r="K7308">
        <v>-46447</v>
      </c>
      <c r="L7308" t="s">
        <v>6803</v>
      </c>
    </row>
    <row r="7309" spans="1:12" x14ac:dyDescent="0.35">
      <c r="A7309" t="s">
        <v>131</v>
      </c>
      <c r="B7309" s="1">
        <v>45737</v>
      </c>
      <c r="C7309" t="s">
        <v>5700</v>
      </c>
      <c r="D7309" t="s">
        <v>5700</v>
      </c>
      <c r="F7309" t="s">
        <v>8423</v>
      </c>
      <c r="H7309" t="s">
        <v>5508</v>
      </c>
      <c r="I7309" s="1">
        <v>45768</v>
      </c>
      <c r="K7309">
        <v>258038</v>
      </c>
      <c r="L7309" t="s">
        <v>5975</v>
      </c>
    </row>
    <row r="7310" spans="1:12" x14ac:dyDescent="0.35">
      <c r="A7310" t="s">
        <v>131</v>
      </c>
      <c r="B7310" s="1">
        <v>45737</v>
      </c>
      <c r="C7310" t="s">
        <v>5700</v>
      </c>
      <c r="D7310" t="s">
        <v>5700</v>
      </c>
      <c r="F7310" t="s">
        <v>8423</v>
      </c>
      <c r="H7310" t="s">
        <v>5508</v>
      </c>
      <c r="I7310" s="1">
        <v>45768</v>
      </c>
      <c r="K7310">
        <v>258038</v>
      </c>
      <c r="L7310" t="s">
        <v>5975</v>
      </c>
    </row>
    <row r="7311" spans="1:12" x14ac:dyDescent="0.35">
      <c r="A7311" t="s">
        <v>131</v>
      </c>
      <c r="B7311" s="1">
        <v>45737</v>
      </c>
      <c r="C7311" t="s">
        <v>5700</v>
      </c>
      <c r="D7311" t="s">
        <v>5700</v>
      </c>
      <c r="F7311" t="s">
        <v>8423</v>
      </c>
      <c r="H7311" t="s">
        <v>5611</v>
      </c>
      <c r="I7311" s="1">
        <v>45768</v>
      </c>
      <c r="K7311">
        <v>-258038</v>
      </c>
      <c r="L7311" t="s">
        <v>5975</v>
      </c>
    </row>
    <row r="7312" spans="1:12" x14ac:dyDescent="0.35">
      <c r="A7312" t="s">
        <v>131</v>
      </c>
      <c r="B7312" s="1">
        <v>45737</v>
      </c>
      <c r="C7312" t="s">
        <v>5701</v>
      </c>
      <c r="D7312" t="s">
        <v>5701</v>
      </c>
      <c r="F7312" t="s">
        <v>7823</v>
      </c>
      <c r="G7312" t="s">
        <v>7877</v>
      </c>
      <c r="H7312" t="s">
        <v>5508</v>
      </c>
      <c r="I7312" s="1">
        <v>45768</v>
      </c>
      <c r="J7312">
        <v>304485</v>
      </c>
      <c r="L7312" t="s">
        <v>6803</v>
      </c>
    </row>
    <row r="7313" spans="1:12" x14ac:dyDescent="0.35">
      <c r="A7313" t="s">
        <v>131</v>
      </c>
      <c r="B7313" s="1">
        <v>45737</v>
      </c>
      <c r="C7313" t="s">
        <v>5701</v>
      </c>
      <c r="D7313" t="s">
        <v>5701</v>
      </c>
      <c r="F7313" t="s">
        <v>7823</v>
      </c>
      <c r="G7313" t="s">
        <v>7877</v>
      </c>
      <c r="H7313" t="s">
        <v>5508</v>
      </c>
      <c r="I7313" s="1">
        <v>45768</v>
      </c>
      <c r="J7313">
        <v>304485</v>
      </c>
      <c r="L7313" t="s">
        <v>6803</v>
      </c>
    </row>
    <row r="7314" spans="1:12" x14ac:dyDescent="0.35">
      <c r="A7314" t="s">
        <v>131</v>
      </c>
      <c r="B7314" s="1">
        <v>45737</v>
      </c>
      <c r="C7314" t="s">
        <v>5701</v>
      </c>
      <c r="D7314" t="s">
        <v>5701</v>
      </c>
      <c r="F7314" t="s">
        <v>7823</v>
      </c>
      <c r="G7314" t="s">
        <v>7877</v>
      </c>
      <c r="H7314" t="s">
        <v>5611</v>
      </c>
      <c r="I7314" s="1">
        <v>45768</v>
      </c>
      <c r="J7314">
        <v>-304485</v>
      </c>
      <c r="L7314" t="s">
        <v>6803</v>
      </c>
    </row>
    <row r="7315" spans="1:12" x14ac:dyDescent="0.35">
      <c r="A7315" t="s">
        <v>131</v>
      </c>
      <c r="B7315" s="1">
        <v>45737</v>
      </c>
      <c r="C7315" t="s">
        <v>5701</v>
      </c>
      <c r="D7315" t="s">
        <v>5701</v>
      </c>
      <c r="F7315" t="s">
        <v>8419</v>
      </c>
      <c r="H7315" t="s">
        <v>5508</v>
      </c>
      <c r="I7315" s="1">
        <v>45768</v>
      </c>
      <c r="K7315">
        <v>46447</v>
      </c>
      <c r="L7315" t="s">
        <v>6803</v>
      </c>
    </row>
    <row r="7316" spans="1:12" x14ac:dyDescent="0.35">
      <c r="A7316" t="s">
        <v>131</v>
      </c>
      <c r="B7316" s="1">
        <v>45737</v>
      </c>
      <c r="C7316" t="s">
        <v>5701</v>
      </c>
      <c r="D7316" t="s">
        <v>5701</v>
      </c>
      <c r="F7316" t="s">
        <v>8419</v>
      </c>
      <c r="H7316" t="s">
        <v>5508</v>
      </c>
      <c r="I7316" s="1">
        <v>45768</v>
      </c>
      <c r="K7316">
        <v>46447</v>
      </c>
      <c r="L7316" t="s">
        <v>6803</v>
      </c>
    </row>
    <row r="7317" spans="1:12" x14ac:dyDescent="0.35">
      <c r="A7317" t="s">
        <v>131</v>
      </c>
      <c r="B7317" s="1">
        <v>45737</v>
      </c>
      <c r="C7317" t="s">
        <v>5701</v>
      </c>
      <c r="D7317" t="s">
        <v>5701</v>
      </c>
      <c r="F7317" t="s">
        <v>8419</v>
      </c>
      <c r="H7317" t="s">
        <v>5611</v>
      </c>
      <c r="I7317" s="1">
        <v>45768</v>
      </c>
      <c r="K7317">
        <v>-46447</v>
      </c>
      <c r="L7317" t="s">
        <v>6803</v>
      </c>
    </row>
    <row r="7318" spans="1:12" x14ac:dyDescent="0.35">
      <c r="A7318" t="s">
        <v>131</v>
      </c>
      <c r="B7318" s="1">
        <v>45737</v>
      </c>
      <c r="C7318" t="s">
        <v>5701</v>
      </c>
      <c r="D7318" t="s">
        <v>5701</v>
      </c>
      <c r="F7318" t="s">
        <v>8423</v>
      </c>
      <c r="H7318" t="s">
        <v>5508</v>
      </c>
      <c r="I7318" s="1">
        <v>45768</v>
      </c>
      <c r="K7318">
        <v>258038</v>
      </c>
      <c r="L7318" t="s">
        <v>5975</v>
      </c>
    </row>
    <row r="7319" spans="1:12" x14ac:dyDescent="0.35">
      <c r="A7319" t="s">
        <v>131</v>
      </c>
      <c r="B7319" s="1">
        <v>45737</v>
      </c>
      <c r="C7319" t="s">
        <v>5701</v>
      </c>
      <c r="D7319" t="s">
        <v>5701</v>
      </c>
      <c r="F7319" t="s">
        <v>8423</v>
      </c>
      <c r="H7319" t="s">
        <v>5508</v>
      </c>
      <c r="I7319" s="1">
        <v>45768</v>
      </c>
      <c r="K7319">
        <v>258038</v>
      </c>
      <c r="L7319" t="s">
        <v>5975</v>
      </c>
    </row>
    <row r="7320" spans="1:12" x14ac:dyDescent="0.35">
      <c r="A7320" t="s">
        <v>131</v>
      </c>
      <c r="B7320" s="1">
        <v>45737</v>
      </c>
      <c r="C7320" t="s">
        <v>5701</v>
      </c>
      <c r="D7320" t="s">
        <v>5701</v>
      </c>
      <c r="F7320" t="s">
        <v>8423</v>
      </c>
      <c r="H7320" t="s">
        <v>5611</v>
      </c>
      <c r="I7320" s="1">
        <v>45768</v>
      </c>
      <c r="K7320">
        <v>-258038</v>
      </c>
      <c r="L7320" t="s">
        <v>5975</v>
      </c>
    </row>
    <row r="7321" spans="1:12" x14ac:dyDescent="0.35">
      <c r="A7321" t="s">
        <v>131</v>
      </c>
      <c r="B7321" s="1">
        <v>45737</v>
      </c>
      <c r="C7321" t="s">
        <v>1782</v>
      </c>
      <c r="D7321" t="s">
        <v>1782</v>
      </c>
      <c r="F7321" t="s">
        <v>7823</v>
      </c>
      <c r="G7321" t="s">
        <v>7824</v>
      </c>
      <c r="H7321" t="s">
        <v>5686</v>
      </c>
      <c r="I7321" s="1">
        <v>45768</v>
      </c>
      <c r="J7321">
        <v>1451400</v>
      </c>
      <c r="L7321" t="s">
        <v>6803</v>
      </c>
    </row>
    <row r="7322" spans="1:12" x14ac:dyDescent="0.35">
      <c r="A7322" t="s">
        <v>131</v>
      </c>
      <c r="B7322" s="1">
        <v>45737</v>
      </c>
      <c r="C7322" t="s">
        <v>1782</v>
      </c>
      <c r="D7322" t="s">
        <v>1782</v>
      </c>
      <c r="F7322" t="s">
        <v>7823</v>
      </c>
      <c r="G7322" t="s">
        <v>7824</v>
      </c>
      <c r="H7322" t="s">
        <v>5686</v>
      </c>
      <c r="I7322" s="1">
        <v>45768</v>
      </c>
      <c r="J7322">
        <v>1451400</v>
      </c>
      <c r="L7322" t="s">
        <v>6803</v>
      </c>
    </row>
    <row r="7323" spans="1:12" x14ac:dyDescent="0.35">
      <c r="A7323" t="s">
        <v>131</v>
      </c>
      <c r="B7323" s="1">
        <v>45737</v>
      </c>
      <c r="C7323" t="s">
        <v>1782</v>
      </c>
      <c r="D7323" t="s">
        <v>1782</v>
      </c>
      <c r="F7323" t="s">
        <v>7823</v>
      </c>
      <c r="G7323" t="s">
        <v>7824</v>
      </c>
      <c r="H7323" t="s">
        <v>5687</v>
      </c>
      <c r="I7323" s="1">
        <v>45768</v>
      </c>
      <c r="J7323">
        <v>-1451400</v>
      </c>
      <c r="L7323" t="s">
        <v>6803</v>
      </c>
    </row>
    <row r="7324" spans="1:12" x14ac:dyDescent="0.35">
      <c r="A7324" t="s">
        <v>131</v>
      </c>
      <c r="B7324" s="1">
        <v>45737</v>
      </c>
      <c r="C7324" t="s">
        <v>1782</v>
      </c>
      <c r="D7324" t="s">
        <v>1782</v>
      </c>
      <c r="F7324" t="s">
        <v>8419</v>
      </c>
      <c r="H7324" t="s">
        <v>5686</v>
      </c>
      <c r="I7324" s="1">
        <v>45768</v>
      </c>
      <c r="K7324">
        <v>221400</v>
      </c>
      <c r="L7324" t="s">
        <v>6803</v>
      </c>
    </row>
    <row r="7325" spans="1:12" x14ac:dyDescent="0.35">
      <c r="A7325" t="s">
        <v>131</v>
      </c>
      <c r="B7325" s="1">
        <v>45737</v>
      </c>
      <c r="C7325" t="s">
        <v>1782</v>
      </c>
      <c r="D7325" t="s">
        <v>1782</v>
      </c>
      <c r="F7325" t="s">
        <v>8419</v>
      </c>
      <c r="H7325" t="s">
        <v>5686</v>
      </c>
      <c r="I7325" s="1">
        <v>45768</v>
      </c>
      <c r="K7325">
        <v>221400</v>
      </c>
      <c r="L7325" t="s">
        <v>6803</v>
      </c>
    </row>
    <row r="7326" spans="1:12" x14ac:dyDescent="0.35">
      <c r="A7326" t="s">
        <v>131</v>
      </c>
      <c r="B7326" s="1">
        <v>45737</v>
      </c>
      <c r="C7326" t="s">
        <v>1782</v>
      </c>
      <c r="D7326" t="s">
        <v>1782</v>
      </c>
      <c r="F7326" t="s">
        <v>8419</v>
      </c>
      <c r="H7326" t="s">
        <v>5687</v>
      </c>
      <c r="I7326" s="1">
        <v>45768</v>
      </c>
      <c r="K7326">
        <v>-221400</v>
      </c>
      <c r="L7326" t="s">
        <v>6803</v>
      </c>
    </row>
    <row r="7327" spans="1:12" x14ac:dyDescent="0.35">
      <c r="A7327" t="s">
        <v>131</v>
      </c>
      <c r="B7327" s="1">
        <v>45737</v>
      </c>
      <c r="C7327" t="s">
        <v>1782</v>
      </c>
      <c r="D7327" t="s">
        <v>1782</v>
      </c>
      <c r="F7327" t="s">
        <v>8423</v>
      </c>
      <c r="H7327" t="s">
        <v>5686</v>
      </c>
      <c r="I7327" s="1">
        <v>45768</v>
      </c>
      <c r="K7327">
        <v>1230000</v>
      </c>
      <c r="L7327" t="s">
        <v>5975</v>
      </c>
    </row>
    <row r="7328" spans="1:12" x14ac:dyDescent="0.35">
      <c r="A7328" t="s">
        <v>131</v>
      </c>
      <c r="B7328" s="1">
        <v>45737</v>
      </c>
      <c r="C7328" t="s">
        <v>1782</v>
      </c>
      <c r="D7328" t="s">
        <v>1782</v>
      </c>
      <c r="F7328" t="s">
        <v>8423</v>
      </c>
      <c r="H7328" t="s">
        <v>5686</v>
      </c>
      <c r="I7328" s="1">
        <v>45768</v>
      </c>
      <c r="K7328">
        <v>1230000</v>
      </c>
      <c r="L7328" t="s">
        <v>5975</v>
      </c>
    </row>
    <row r="7329" spans="1:12" x14ac:dyDescent="0.35">
      <c r="A7329" t="s">
        <v>131</v>
      </c>
      <c r="B7329" s="1">
        <v>45737</v>
      </c>
      <c r="C7329" t="s">
        <v>1782</v>
      </c>
      <c r="D7329" t="s">
        <v>1782</v>
      </c>
      <c r="F7329" t="s">
        <v>8423</v>
      </c>
      <c r="H7329" t="s">
        <v>5687</v>
      </c>
      <c r="I7329" s="1">
        <v>45768</v>
      </c>
      <c r="K7329">
        <v>-1230000</v>
      </c>
      <c r="L7329" t="s">
        <v>5975</v>
      </c>
    </row>
    <row r="7330" spans="1:12" x14ac:dyDescent="0.35">
      <c r="A7330" t="s">
        <v>131</v>
      </c>
      <c r="B7330" s="1">
        <v>45737</v>
      </c>
      <c r="C7330" t="s">
        <v>1784</v>
      </c>
      <c r="D7330" t="s">
        <v>1784</v>
      </c>
      <c r="F7330" t="s">
        <v>7823</v>
      </c>
      <c r="G7330" t="s">
        <v>7824</v>
      </c>
      <c r="H7330" t="s">
        <v>5686</v>
      </c>
      <c r="I7330" s="1">
        <v>45768</v>
      </c>
      <c r="J7330">
        <v>1451400</v>
      </c>
      <c r="L7330" t="s">
        <v>6803</v>
      </c>
    </row>
    <row r="7331" spans="1:12" x14ac:dyDescent="0.35">
      <c r="A7331" t="s">
        <v>131</v>
      </c>
      <c r="B7331" s="1">
        <v>45737</v>
      </c>
      <c r="C7331" t="s">
        <v>1784</v>
      </c>
      <c r="D7331" t="s">
        <v>1784</v>
      </c>
      <c r="F7331" t="s">
        <v>7823</v>
      </c>
      <c r="G7331" t="s">
        <v>7824</v>
      </c>
      <c r="H7331" t="s">
        <v>5686</v>
      </c>
      <c r="I7331" s="1">
        <v>45768</v>
      </c>
      <c r="J7331">
        <v>1451400</v>
      </c>
      <c r="L7331" t="s">
        <v>6803</v>
      </c>
    </row>
    <row r="7332" spans="1:12" x14ac:dyDescent="0.35">
      <c r="A7332" t="s">
        <v>131</v>
      </c>
      <c r="B7332" s="1">
        <v>45737</v>
      </c>
      <c r="C7332" t="s">
        <v>1784</v>
      </c>
      <c r="D7332" t="s">
        <v>1784</v>
      </c>
      <c r="F7332" t="s">
        <v>7823</v>
      </c>
      <c r="G7332" t="s">
        <v>7824</v>
      </c>
      <c r="H7332" t="s">
        <v>5687</v>
      </c>
      <c r="I7332" s="1">
        <v>45768</v>
      </c>
      <c r="J7332">
        <v>-1451400</v>
      </c>
      <c r="L7332" t="s">
        <v>6803</v>
      </c>
    </row>
    <row r="7333" spans="1:12" x14ac:dyDescent="0.35">
      <c r="A7333" t="s">
        <v>131</v>
      </c>
      <c r="B7333" s="1">
        <v>45737</v>
      </c>
      <c r="C7333" t="s">
        <v>1784</v>
      </c>
      <c r="D7333" t="s">
        <v>1784</v>
      </c>
      <c r="F7333" t="s">
        <v>8419</v>
      </c>
      <c r="H7333" t="s">
        <v>5686</v>
      </c>
      <c r="I7333" s="1">
        <v>45768</v>
      </c>
      <c r="K7333">
        <v>221400</v>
      </c>
      <c r="L7333" t="s">
        <v>6803</v>
      </c>
    </row>
    <row r="7334" spans="1:12" x14ac:dyDescent="0.35">
      <c r="A7334" t="s">
        <v>131</v>
      </c>
      <c r="B7334" s="1">
        <v>45737</v>
      </c>
      <c r="C7334" t="s">
        <v>1784</v>
      </c>
      <c r="D7334" t="s">
        <v>1784</v>
      </c>
      <c r="F7334" t="s">
        <v>8419</v>
      </c>
      <c r="H7334" t="s">
        <v>5686</v>
      </c>
      <c r="I7334" s="1">
        <v>45768</v>
      </c>
      <c r="K7334">
        <v>221400</v>
      </c>
      <c r="L7334" t="s">
        <v>6803</v>
      </c>
    </row>
    <row r="7335" spans="1:12" x14ac:dyDescent="0.35">
      <c r="A7335" t="s">
        <v>131</v>
      </c>
      <c r="B7335" s="1">
        <v>45737</v>
      </c>
      <c r="C7335" t="s">
        <v>1784</v>
      </c>
      <c r="D7335" t="s">
        <v>1784</v>
      </c>
      <c r="F7335" t="s">
        <v>8419</v>
      </c>
      <c r="H7335" t="s">
        <v>5687</v>
      </c>
      <c r="I7335" s="1">
        <v>45768</v>
      </c>
      <c r="K7335">
        <v>-221400</v>
      </c>
      <c r="L7335" t="s">
        <v>6803</v>
      </c>
    </row>
    <row r="7336" spans="1:12" x14ac:dyDescent="0.35">
      <c r="A7336" t="s">
        <v>131</v>
      </c>
      <c r="B7336" s="1">
        <v>45737</v>
      </c>
      <c r="C7336" t="s">
        <v>1784</v>
      </c>
      <c r="D7336" t="s">
        <v>1784</v>
      </c>
      <c r="F7336" t="s">
        <v>8423</v>
      </c>
      <c r="H7336" t="s">
        <v>5686</v>
      </c>
      <c r="I7336" s="1">
        <v>45768</v>
      </c>
      <c r="K7336">
        <v>1230000</v>
      </c>
      <c r="L7336" t="s">
        <v>5975</v>
      </c>
    </row>
    <row r="7337" spans="1:12" x14ac:dyDescent="0.35">
      <c r="A7337" t="s">
        <v>131</v>
      </c>
      <c r="B7337" s="1">
        <v>45737</v>
      </c>
      <c r="C7337" t="s">
        <v>1784</v>
      </c>
      <c r="D7337" t="s">
        <v>1784</v>
      </c>
      <c r="F7337" t="s">
        <v>8423</v>
      </c>
      <c r="H7337" t="s">
        <v>5686</v>
      </c>
      <c r="I7337" s="1">
        <v>45768</v>
      </c>
      <c r="K7337">
        <v>1230000</v>
      </c>
      <c r="L7337" t="s">
        <v>5975</v>
      </c>
    </row>
    <row r="7338" spans="1:12" x14ac:dyDescent="0.35">
      <c r="A7338" t="s">
        <v>131</v>
      </c>
      <c r="B7338" s="1">
        <v>45737</v>
      </c>
      <c r="C7338" t="s">
        <v>1784</v>
      </c>
      <c r="D7338" t="s">
        <v>1784</v>
      </c>
      <c r="F7338" t="s">
        <v>8423</v>
      </c>
      <c r="H7338" t="s">
        <v>5687</v>
      </c>
      <c r="I7338" s="1">
        <v>45768</v>
      </c>
      <c r="K7338">
        <v>-1230000</v>
      </c>
      <c r="L7338" t="s">
        <v>5975</v>
      </c>
    </row>
    <row r="7339" spans="1:12" x14ac:dyDescent="0.35">
      <c r="A7339" t="s">
        <v>131</v>
      </c>
      <c r="B7339" s="1">
        <v>45737</v>
      </c>
      <c r="C7339" t="s">
        <v>5702</v>
      </c>
      <c r="D7339" t="s">
        <v>5702</v>
      </c>
      <c r="F7339" t="s">
        <v>7831</v>
      </c>
      <c r="G7339" t="s">
        <v>8393</v>
      </c>
      <c r="H7339" t="s">
        <v>5518</v>
      </c>
      <c r="I7339" s="1">
        <v>45768</v>
      </c>
      <c r="J7339">
        <v>236000</v>
      </c>
      <c r="L7339" t="s">
        <v>6803</v>
      </c>
    </row>
    <row r="7340" spans="1:12" x14ac:dyDescent="0.35">
      <c r="A7340" t="s">
        <v>131</v>
      </c>
      <c r="B7340" s="1">
        <v>45737</v>
      </c>
      <c r="C7340" t="s">
        <v>5702</v>
      </c>
      <c r="D7340" t="s">
        <v>5702</v>
      </c>
      <c r="F7340" t="s">
        <v>8419</v>
      </c>
      <c r="H7340" t="s">
        <v>5518</v>
      </c>
      <c r="I7340" s="1">
        <v>45768</v>
      </c>
      <c r="K7340">
        <v>27000</v>
      </c>
      <c r="L7340" t="s">
        <v>6803</v>
      </c>
    </row>
    <row r="7341" spans="1:12" x14ac:dyDescent="0.35">
      <c r="A7341" t="s">
        <v>131</v>
      </c>
      <c r="B7341" s="1">
        <v>45737</v>
      </c>
      <c r="C7341" t="s">
        <v>5702</v>
      </c>
      <c r="D7341" t="s">
        <v>5702</v>
      </c>
      <c r="F7341" t="s">
        <v>7701</v>
      </c>
      <c r="H7341" t="s">
        <v>5518</v>
      </c>
      <c r="I7341" s="1">
        <v>45768</v>
      </c>
      <c r="K7341">
        <v>59000</v>
      </c>
      <c r="L7341" t="s">
        <v>350</v>
      </c>
    </row>
    <row r="7342" spans="1:12" x14ac:dyDescent="0.35">
      <c r="A7342" t="s">
        <v>131</v>
      </c>
      <c r="B7342" s="1">
        <v>45737</v>
      </c>
      <c r="C7342" t="s">
        <v>5702</v>
      </c>
      <c r="D7342" t="s">
        <v>5702</v>
      </c>
      <c r="F7342" t="s">
        <v>8423</v>
      </c>
      <c r="H7342" t="s">
        <v>5518</v>
      </c>
      <c r="I7342" s="1">
        <v>45768</v>
      </c>
      <c r="K7342">
        <v>150000</v>
      </c>
      <c r="L7342" t="s">
        <v>5972</v>
      </c>
    </row>
    <row r="7343" spans="1:12" x14ac:dyDescent="0.35">
      <c r="A7343" t="s">
        <v>131</v>
      </c>
      <c r="B7343" s="1">
        <v>45737</v>
      </c>
      <c r="C7343" t="s">
        <v>5703</v>
      </c>
      <c r="D7343" t="s">
        <v>5703</v>
      </c>
      <c r="F7343" t="s">
        <v>7831</v>
      </c>
      <c r="G7343" t="s">
        <v>8393</v>
      </c>
      <c r="H7343" t="s">
        <v>5518</v>
      </c>
      <c r="I7343" s="1">
        <v>45768</v>
      </c>
      <c r="J7343">
        <v>236000</v>
      </c>
      <c r="L7343" t="s">
        <v>6803</v>
      </c>
    </row>
    <row r="7344" spans="1:12" x14ac:dyDescent="0.35">
      <c r="A7344" t="s">
        <v>131</v>
      </c>
      <c r="B7344" s="1">
        <v>45737</v>
      </c>
      <c r="C7344" t="s">
        <v>5703</v>
      </c>
      <c r="D7344" t="s">
        <v>5703</v>
      </c>
      <c r="F7344" t="s">
        <v>8419</v>
      </c>
      <c r="H7344" t="s">
        <v>5518</v>
      </c>
      <c r="I7344" s="1">
        <v>45768</v>
      </c>
      <c r="K7344">
        <v>27000</v>
      </c>
      <c r="L7344" t="s">
        <v>6803</v>
      </c>
    </row>
    <row r="7345" spans="1:12" x14ac:dyDescent="0.35">
      <c r="A7345" t="s">
        <v>131</v>
      </c>
      <c r="B7345" s="1">
        <v>45737</v>
      </c>
      <c r="C7345" t="s">
        <v>5703</v>
      </c>
      <c r="D7345" t="s">
        <v>5703</v>
      </c>
      <c r="F7345" t="s">
        <v>7701</v>
      </c>
      <c r="H7345" t="s">
        <v>5518</v>
      </c>
      <c r="I7345" s="1">
        <v>45768</v>
      </c>
      <c r="K7345">
        <v>59000</v>
      </c>
      <c r="L7345" t="s">
        <v>350</v>
      </c>
    </row>
    <row r="7346" spans="1:12" x14ac:dyDescent="0.35">
      <c r="A7346" t="s">
        <v>131</v>
      </c>
      <c r="B7346" s="1">
        <v>45737</v>
      </c>
      <c r="C7346" t="s">
        <v>5703</v>
      </c>
      <c r="D7346" t="s">
        <v>5703</v>
      </c>
      <c r="F7346" t="s">
        <v>8423</v>
      </c>
      <c r="H7346" t="s">
        <v>5518</v>
      </c>
      <c r="I7346" s="1">
        <v>45768</v>
      </c>
      <c r="K7346">
        <v>150000</v>
      </c>
      <c r="L7346" t="s">
        <v>5972</v>
      </c>
    </row>
    <row r="7347" spans="1:12" x14ac:dyDescent="0.35">
      <c r="A7347" t="s">
        <v>131</v>
      </c>
      <c r="B7347" s="1">
        <v>45737</v>
      </c>
      <c r="C7347" t="s">
        <v>5704</v>
      </c>
      <c r="D7347" t="s">
        <v>5704</v>
      </c>
      <c r="F7347" t="s">
        <v>7823</v>
      </c>
      <c r="G7347" t="s">
        <v>7877</v>
      </c>
      <c r="H7347" t="s">
        <v>5508</v>
      </c>
      <c r="I7347" s="1">
        <v>45768</v>
      </c>
      <c r="J7347">
        <v>1099170</v>
      </c>
      <c r="L7347" t="s">
        <v>6803</v>
      </c>
    </row>
    <row r="7348" spans="1:12" x14ac:dyDescent="0.35">
      <c r="A7348" t="s">
        <v>131</v>
      </c>
      <c r="B7348" s="1">
        <v>45737</v>
      </c>
      <c r="C7348" t="s">
        <v>5704</v>
      </c>
      <c r="D7348" t="s">
        <v>5704</v>
      </c>
      <c r="F7348" t="s">
        <v>7823</v>
      </c>
      <c r="G7348" t="s">
        <v>7877</v>
      </c>
      <c r="H7348" t="s">
        <v>5508</v>
      </c>
      <c r="I7348" s="1">
        <v>45768</v>
      </c>
      <c r="J7348">
        <v>1099170</v>
      </c>
      <c r="L7348" t="s">
        <v>6803</v>
      </c>
    </row>
    <row r="7349" spans="1:12" x14ac:dyDescent="0.35">
      <c r="A7349" t="s">
        <v>131</v>
      </c>
      <c r="B7349" s="1">
        <v>45737</v>
      </c>
      <c r="C7349" t="s">
        <v>5704</v>
      </c>
      <c r="D7349" t="s">
        <v>5704</v>
      </c>
      <c r="F7349" t="s">
        <v>7823</v>
      </c>
      <c r="G7349" t="s">
        <v>7877</v>
      </c>
      <c r="H7349" t="s">
        <v>5611</v>
      </c>
      <c r="I7349" s="1">
        <v>45768</v>
      </c>
      <c r="J7349">
        <v>-1099170</v>
      </c>
      <c r="L7349" t="s">
        <v>6803</v>
      </c>
    </row>
    <row r="7350" spans="1:12" x14ac:dyDescent="0.35">
      <c r="A7350" t="s">
        <v>131</v>
      </c>
      <c r="B7350" s="1">
        <v>45737</v>
      </c>
      <c r="C7350" t="s">
        <v>5704</v>
      </c>
      <c r="D7350" t="s">
        <v>5704</v>
      </c>
      <c r="F7350" t="s">
        <v>8419</v>
      </c>
      <c r="H7350" t="s">
        <v>5508</v>
      </c>
      <c r="I7350" s="1">
        <v>45768</v>
      </c>
      <c r="K7350">
        <v>167670</v>
      </c>
      <c r="L7350" t="s">
        <v>6803</v>
      </c>
    </row>
    <row r="7351" spans="1:12" x14ac:dyDescent="0.35">
      <c r="A7351" t="s">
        <v>131</v>
      </c>
      <c r="B7351" s="1">
        <v>45737</v>
      </c>
      <c r="C7351" t="s">
        <v>5704</v>
      </c>
      <c r="D7351" t="s">
        <v>5704</v>
      </c>
      <c r="F7351" t="s">
        <v>8419</v>
      </c>
      <c r="H7351" t="s">
        <v>5508</v>
      </c>
      <c r="I7351" s="1">
        <v>45768</v>
      </c>
      <c r="K7351">
        <v>167670</v>
      </c>
      <c r="L7351" t="s">
        <v>6803</v>
      </c>
    </row>
    <row r="7352" spans="1:12" x14ac:dyDescent="0.35">
      <c r="A7352" t="s">
        <v>131</v>
      </c>
      <c r="B7352" s="1">
        <v>45737</v>
      </c>
      <c r="C7352" t="s">
        <v>5704</v>
      </c>
      <c r="D7352" t="s">
        <v>5704</v>
      </c>
      <c r="F7352" t="s">
        <v>8419</v>
      </c>
      <c r="H7352" t="s">
        <v>5611</v>
      </c>
      <c r="I7352" s="1">
        <v>45768</v>
      </c>
      <c r="K7352">
        <v>-167670</v>
      </c>
      <c r="L7352" t="s">
        <v>6803</v>
      </c>
    </row>
    <row r="7353" spans="1:12" x14ac:dyDescent="0.35">
      <c r="A7353" t="s">
        <v>131</v>
      </c>
      <c r="B7353" s="1">
        <v>45737</v>
      </c>
      <c r="C7353" t="s">
        <v>5704</v>
      </c>
      <c r="D7353" t="s">
        <v>5704</v>
      </c>
      <c r="F7353" t="s">
        <v>8423</v>
      </c>
      <c r="H7353" t="s">
        <v>5508</v>
      </c>
      <c r="I7353" s="1">
        <v>45768</v>
      </c>
      <c r="K7353">
        <v>931500</v>
      </c>
      <c r="L7353" t="s">
        <v>5977</v>
      </c>
    </row>
    <row r="7354" spans="1:12" x14ac:dyDescent="0.35">
      <c r="A7354" t="s">
        <v>131</v>
      </c>
      <c r="B7354" s="1">
        <v>45737</v>
      </c>
      <c r="C7354" t="s">
        <v>5704</v>
      </c>
      <c r="D7354" t="s">
        <v>5704</v>
      </c>
      <c r="F7354" t="s">
        <v>8423</v>
      </c>
      <c r="H7354" t="s">
        <v>5508</v>
      </c>
      <c r="I7354" s="1">
        <v>45768</v>
      </c>
      <c r="K7354">
        <v>931500</v>
      </c>
      <c r="L7354" t="s">
        <v>5977</v>
      </c>
    </row>
    <row r="7355" spans="1:12" x14ac:dyDescent="0.35">
      <c r="A7355" t="s">
        <v>131</v>
      </c>
      <c r="B7355" s="1">
        <v>45737</v>
      </c>
      <c r="C7355" t="s">
        <v>5704</v>
      </c>
      <c r="D7355" t="s">
        <v>5704</v>
      </c>
      <c r="F7355" t="s">
        <v>8423</v>
      </c>
      <c r="H7355" t="s">
        <v>5611</v>
      </c>
      <c r="I7355" s="1">
        <v>45768</v>
      </c>
      <c r="K7355">
        <v>-931500</v>
      </c>
      <c r="L7355" t="s">
        <v>5977</v>
      </c>
    </row>
    <row r="7356" spans="1:12" x14ac:dyDescent="0.35">
      <c r="A7356" t="s">
        <v>131</v>
      </c>
      <c r="B7356" s="1">
        <v>45737</v>
      </c>
      <c r="C7356" t="s">
        <v>5705</v>
      </c>
      <c r="D7356" t="s">
        <v>5705</v>
      </c>
      <c r="F7356" t="s">
        <v>7823</v>
      </c>
      <c r="G7356" t="s">
        <v>7877</v>
      </c>
      <c r="H7356" t="s">
        <v>5508</v>
      </c>
      <c r="I7356" s="1">
        <v>45768</v>
      </c>
      <c r="J7356">
        <v>1099170</v>
      </c>
      <c r="L7356" t="s">
        <v>6803</v>
      </c>
    </row>
    <row r="7357" spans="1:12" x14ac:dyDescent="0.35">
      <c r="A7357" t="s">
        <v>131</v>
      </c>
      <c r="B7357" s="1">
        <v>45737</v>
      </c>
      <c r="C7357" t="s">
        <v>5705</v>
      </c>
      <c r="D7357" t="s">
        <v>5705</v>
      </c>
      <c r="F7357" t="s">
        <v>7823</v>
      </c>
      <c r="G7357" t="s">
        <v>7877</v>
      </c>
      <c r="H7357" t="s">
        <v>5508</v>
      </c>
      <c r="I7357" s="1">
        <v>45768</v>
      </c>
      <c r="J7357">
        <v>1099170</v>
      </c>
      <c r="L7357" t="s">
        <v>6803</v>
      </c>
    </row>
    <row r="7358" spans="1:12" x14ac:dyDescent="0.35">
      <c r="A7358" t="s">
        <v>131</v>
      </c>
      <c r="B7358" s="1">
        <v>45737</v>
      </c>
      <c r="C7358" t="s">
        <v>5705</v>
      </c>
      <c r="D7358" t="s">
        <v>5705</v>
      </c>
      <c r="F7358" t="s">
        <v>7823</v>
      </c>
      <c r="G7358" t="s">
        <v>7877</v>
      </c>
      <c r="H7358" t="s">
        <v>5611</v>
      </c>
      <c r="I7358" s="1">
        <v>45768</v>
      </c>
      <c r="J7358">
        <v>-1099170</v>
      </c>
      <c r="L7358" t="s">
        <v>6803</v>
      </c>
    </row>
    <row r="7359" spans="1:12" x14ac:dyDescent="0.35">
      <c r="A7359" t="s">
        <v>131</v>
      </c>
      <c r="B7359" s="1">
        <v>45737</v>
      </c>
      <c r="C7359" t="s">
        <v>5705</v>
      </c>
      <c r="D7359" t="s">
        <v>5705</v>
      </c>
      <c r="F7359" t="s">
        <v>8419</v>
      </c>
      <c r="H7359" t="s">
        <v>5508</v>
      </c>
      <c r="I7359" s="1">
        <v>45768</v>
      </c>
      <c r="K7359">
        <v>167670</v>
      </c>
      <c r="L7359" t="s">
        <v>6803</v>
      </c>
    </row>
    <row r="7360" spans="1:12" x14ac:dyDescent="0.35">
      <c r="A7360" t="s">
        <v>131</v>
      </c>
      <c r="B7360" s="1">
        <v>45737</v>
      </c>
      <c r="C7360" t="s">
        <v>5705</v>
      </c>
      <c r="D7360" t="s">
        <v>5705</v>
      </c>
      <c r="F7360" t="s">
        <v>8419</v>
      </c>
      <c r="H7360" t="s">
        <v>5508</v>
      </c>
      <c r="I7360" s="1">
        <v>45768</v>
      </c>
      <c r="K7360">
        <v>167670</v>
      </c>
      <c r="L7360" t="s">
        <v>6803</v>
      </c>
    </row>
    <row r="7361" spans="1:12" x14ac:dyDescent="0.35">
      <c r="A7361" t="s">
        <v>131</v>
      </c>
      <c r="B7361" s="1">
        <v>45737</v>
      </c>
      <c r="C7361" t="s">
        <v>5705</v>
      </c>
      <c r="D7361" t="s">
        <v>5705</v>
      </c>
      <c r="F7361" t="s">
        <v>8419</v>
      </c>
      <c r="H7361" t="s">
        <v>5611</v>
      </c>
      <c r="I7361" s="1">
        <v>45768</v>
      </c>
      <c r="K7361">
        <v>-167670</v>
      </c>
      <c r="L7361" t="s">
        <v>6803</v>
      </c>
    </row>
    <row r="7362" spans="1:12" x14ac:dyDescent="0.35">
      <c r="A7362" t="s">
        <v>131</v>
      </c>
      <c r="B7362" s="1">
        <v>45737</v>
      </c>
      <c r="C7362" t="s">
        <v>5705</v>
      </c>
      <c r="D7362" t="s">
        <v>5705</v>
      </c>
      <c r="F7362" t="s">
        <v>8423</v>
      </c>
      <c r="H7362" t="s">
        <v>5508</v>
      </c>
      <c r="I7362" s="1">
        <v>45768</v>
      </c>
      <c r="K7362">
        <v>931500</v>
      </c>
      <c r="L7362" t="s">
        <v>5977</v>
      </c>
    </row>
    <row r="7363" spans="1:12" x14ac:dyDescent="0.35">
      <c r="A7363" t="s">
        <v>131</v>
      </c>
      <c r="B7363" s="1">
        <v>45737</v>
      </c>
      <c r="C7363" t="s">
        <v>5705</v>
      </c>
      <c r="D7363" t="s">
        <v>5705</v>
      </c>
      <c r="F7363" t="s">
        <v>8423</v>
      </c>
      <c r="H7363" t="s">
        <v>5508</v>
      </c>
      <c r="I7363" s="1">
        <v>45768</v>
      </c>
      <c r="K7363">
        <v>931500</v>
      </c>
      <c r="L7363" t="s">
        <v>5977</v>
      </c>
    </row>
    <row r="7364" spans="1:12" x14ac:dyDescent="0.35">
      <c r="A7364" t="s">
        <v>131</v>
      </c>
      <c r="B7364" s="1">
        <v>45737</v>
      </c>
      <c r="C7364" t="s">
        <v>5705</v>
      </c>
      <c r="D7364" t="s">
        <v>5705</v>
      </c>
      <c r="F7364" t="s">
        <v>8423</v>
      </c>
      <c r="H7364" t="s">
        <v>5611</v>
      </c>
      <c r="I7364" s="1">
        <v>45768</v>
      </c>
      <c r="K7364">
        <v>-931500</v>
      </c>
      <c r="L7364" t="s">
        <v>5977</v>
      </c>
    </row>
    <row r="7365" spans="1:12" x14ac:dyDescent="0.35">
      <c r="A7365" t="s">
        <v>131</v>
      </c>
      <c r="B7365" s="1">
        <v>45738</v>
      </c>
      <c r="C7365" t="s">
        <v>5706</v>
      </c>
      <c r="D7365" t="s">
        <v>5706</v>
      </c>
      <c r="F7365" t="s">
        <v>7823</v>
      </c>
      <c r="G7365" t="s">
        <v>7877</v>
      </c>
      <c r="H7365" t="s">
        <v>5508</v>
      </c>
      <c r="I7365" s="1">
        <v>45769</v>
      </c>
      <c r="J7365">
        <v>5495850</v>
      </c>
      <c r="L7365" t="s">
        <v>6803</v>
      </c>
    </row>
    <row r="7366" spans="1:12" x14ac:dyDescent="0.35">
      <c r="A7366" t="s">
        <v>131</v>
      </c>
      <c r="B7366" s="1">
        <v>45738</v>
      </c>
      <c r="C7366" t="s">
        <v>5706</v>
      </c>
      <c r="D7366" t="s">
        <v>5706</v>
      </c>
      <c r="F7366" t="s">
        <v>7823</v>
      </c>
      <c r="G7366" t="s">
        <v>7877</v>
      </c>
      <c r="H7366" t="s">
        <v>5508</v>
      </c>
      <c r="I7366" s="1">
        <v>45769</v>
      </c>
      <c r="J7366">
        <v>5495850</v>
      </c>
      <c r="L7366" t="s">
        <v>6803</v>
      </c>
    </row>
    <row r="7367" spans="1:12" x14ac:dyDescent="0.35">
      <c r="A7367" t="s">
        <v>131</v>
      </c>
      <c r="B7367" s="1">
        <v>45738</v>
      </c>
      <c r="C7367" t="s">
        <v>5706</v>
      </c>
      <c r="D7367" t="s">
        <v>5706</v>
      </c>
      <c r="F7367" t="s">
        <v>7823</v>
      </c>
      <c r="G7367" t="s">
        <v>7877</v>
      </c>
      <c r="H7367" t="s">
        <v>5611</v>
      </c>
      <c r="I7367" s="1">
        <v>45769</v>
      </c>
      <c r="J7367">
        <v>-5495850</v>
      </c>
      <c r="L7367" t="s">
        <v>6803</v>
      </c>
    </row>
    <row r="7368" spans="1:12" x14ac:dyDescent="0.35">
      <c r="A7368" t="s">
        <v>131</v>
      </c>
      <c r="B7368" s="1">
        <v>45738</v>
      </c>
      <c r="C7368" t="s">
        <v>5706</v>
      </c>
      <c r="D7368" t="s">
        <v>5706</v>
      </c>
      <c r="F7368" t="s">
        <v>8419</v>
      </c>
      <c r="H7368" t="s">
        <v>5508</v>
      </c>
      <c r="I7368" s="1">
        <v>45769</v>
      </c>
      <c r="K7368">
        <v>838350</v>
      </c>
      <c r="L7368" t="s">
        <v>6803</v>
      </c>
    </row>
    <row r="7369" spans="1:12" x14ac:dyDescent="0.35">
      <c r="A7369" t="s">
        <v>131</v>
      </c>
      <c r="B7369" s="1">
        <v>45738</v>
      </c>
      <c r="C7369" t="s">
        <v>5706</v>
      </c>
      <c r="D7369" t="s">
        <v>5706</v>
      </c>
      <c r="F7369" t="s">
        <v>8419</v>
      </c>
      <c r="H7369" t="s">
        <v>5508</v>
      </c>
      <c r="I7369" s="1">
        <v>45769</v>
      </c>
      <c r="K7369">
        <v>838350</v>
      </c>
      <c r="L7369" t="s">
        <v>6803</v>
      </c>
    </row>
    <row r="7370" spans="1:12" x14ac:dyDescent="0.35">
      <c r="A7370" t="s">
        <v>131</v>
      </c>
      <c r="B7370" s="1">
        <v>45738</v>
      </c>
      <c r="C7370" t="s">
        <v>5706</v>
      </c>
      <c r="D7370" t="s">
        <v>5706</v>
      </c>
      <c r="F7370" t="s">
        <v>8419</v>
      </c>
      <c r="H7370" t="s">
        <v>5611</v>
      </c>
      <c r="I7370" s="1">
        <v>45769</v>
      </c>
      <c r="K7370">
        <v>-838350</v>
      </c>
      <c r="L7370" t="s">
        <v>6803</v>
      </c>
    </row>
    <row r="7371" spans="1:12" x14ac:dyDescent="0.35">
      <c r="A7371" t="s">
        <v>131</v>
      </c>
      <c r="B7371" s="1">
        <v>45738</v>
      </c>
      <c r="C7371" t="s">
        <v>5706</v>
      </c>
      <c r="D7371" t="s">
        <v>5706</v>
      </c>
      <c r="F7371" t="s">
        <v>8423</v>
      </c>
      <c r="H7371" t="s">
        <v>5508</v>
      </c>
      <c r="I7371" s="1">
        <v>45769</v>
      </c>
      <c r="K7371">
        <v>4657500</v>
      </c>
      <c r="L7371" t="s">
        <v>5975</v>
      </c>
    </row>
    <row r="7372" spans="1:12" x14ac:dyDescent="0.35">
      <c r="A7372" t="s">
        <v>131</v>
      </c>
      <c r="B7372" s="1">
        <v>45738</v>
      </c>
      <c r="C7372" t="s">
        <v>5706</v>
      </c>
      <c r="D7372" t="s">
        <v>5706</v>
      </c>
      <c r="F7372" t="s">
        <v>8423</v>
      </c>
      <c r="H7372" t="s">
        <v>5508</v>
      </c>
      <c r="I7372" s="1">
        <v>45769</v>
      </c>
      <c r="K7372">
        <v>4657500</v>
      </c>
      <c r="L7372" t="s">
        <v>5975</v>
      </c>
    </row>
    <row r="7373" spans="1:12" x14ac:dyDescent="0.35">
      <c r="A7373" t="s">
        <v>131</v>
      </c>
      <c r="B7373" s="1">
        <v>45738</v>
      </c>
      <c r="C7373" t="s">
        <v>5706</v>
      </c>
      <c r="D7373" t="s">
        <v>5706</v>
      </c>
      <c r="F7373" t="s">
        <v>8423</v>
      </c>
      <c r="H7373" t="s">
        <v>5611</v>
      </c>
      <c r="I7373" s="1">
        <v>45769</v>
      </c>
      <c r="K7373">
        <v>-4657500</v>
      </c>
      <c r="L7373" t="s">
        <v>5975</v>
      </c>
    </row>
    <row r="7374" spans="1:12" x14ac:dyDescent="0.35">
      <c r="A7374" t="s">
        <v>131</v>
      </c>
      <c r="B7374" s="1">
        <v>45738</v>
      </c>
      <c r="C7374" t="s">
        <v>5707</v>
      </c>
      <c r="D7374" t="s">
        <v>5707</v>
      </c>
      <c r="F7374" t="s">
        <v>7823</v>
      </c>
      <c r="G7374" t="s">
        <v>7877</v>
      </c>
      <c r="H7374" t="s">
        <v>5508</v>
      </c>
      <c r="I7374" s="1">
        <v>45769</v>
      </c>
      <c r="J7374">
        <v>5495850</v>
      </c>
      <c r="L7374" t="s">
        <v>6803</v>
      </c>
    </row>
    <row r="7375" spans="1:12" x14ac:dyDescent="0.35">
      <c r="A7375" t="s">
        <v>131</v>
      </c>
      <c r="B7375" s="1">
        <v>45738</v>
      </c>
      <c r="C7375" t="s">
        <v>5707</v>
      </c>
      <c r="D7375" t="s">
        <v>5707</v>
      </c>
      <c r="F7375" t="s">
        <v>7823</v>
      </c>
      <c r="G7375" t="s">
        <v>7877</v>
      </c>
      <c r="H7375" t="s">
        <v>5508</v>
      </c>
      <c r="I7375" s="1">
        <v>45769</v>
      </c>
      <c r="J7375">
        <v>5495850</v>
      </c>
      <c r="L7375" t="s">
        <v>6803</v>
      </c>
    </row>
    <row r="7376" spans="1:12" x14ac:dyDescent="0.35">
      <c r="A7376" t="s">
        <v>131</v>
      </c>
      <c r="B7376" s="1">
        <v>45738</v>
      </c>
      <c r="C7376" t="s">
        <v>5707</v>
      </c>
      <c r="D7376" t="s">
        <v>5707</v>
      </c>
      <c r="F7376" t="s">
        <v>7823</v>
      </c>
      <c r="G7376" t="s">
        <v>7877</v>
      </c>
      <c r="H7376" t="s">
        <v>5611</v>
      </c>
      <c r="I7376" s="1">
        <v>45769</v>
      </c>
      <c r="J7376">
        <v>-5495850</v>
      </c>
      <c r="L7376" t="s">
        <v>6803</v>
      </c>
    </row>
    <row r="7377" spans="1:12" x14ac:dyDescent="0.35">
      <c r="A7377" t="s">
        <v>131</v>
      </c>
      <c r="B7377" s="1">
        <v>45738</v>
      </c>
      <c r="C7377" t="s">
        <v>5707</v>
      </c>
      <c r="D7377" t="s">
        <v>5707</v>
      </c>
      <c r="F7377" t="s">
        <v>8419</v>
      </c>
      <c r="H7377" t="s">
        <v>5508</v>
      </c>
      <c r="I7377" s="1">
        <v>45769</v>
      </c>
      <c r="K7377">
        <v>838350</v>
      </c>
      <c r="L7377" t="s">
        <v>6803</v>
      </c>
    </row>
    <row r="7378" spans="1:12" x14ac:dyDescent="0.35">
      <c r="A7378" t="s">
        <v>131</v>
      </c>
      <c r="B7378" s="1">
        <v>45738</v>
      </c>
      <c r="C7378" t="s">
        <v>5707</v>
      </c>
      <c r="D7378" t="s">
        <v>5707</v>
      </c>
      <c r="F7378" t="s">
        <v>8419</v>
      </c>
      <c r="H7378" t="s">
        <v>5508</v>
      </c>
      <c r="I7378" s="1">
        <v>45769</v>
      </c>
      <c r="K7378">
        <v>838350</v>
      </c>
      <c r="L7378" t="s">
        <v>6803</v>
      </c>
    </row>
    <row r="7379" spans="1:12" x14ac:dyDescent="0.35">
      <c r="A7379" t="s">
        <v>131</v>
      </c>
      <c r="B7379" s="1">
        <v>45738</v>
      </c>
      <c r="C7379" t="s">
        <v>5707</v>
      </c>
      <c r="D7379" t="s">
        <v>5707</v>
      </c>
      <c r="F7379" t="s">
        <v>8419</v>
      </c>
      <c r="H7379" t="s">
        <v>5611</v>
      </c>
      <c r="I7379" s="1">
        <v>45769</v>
      </c>
      <c r="K7379">
        <v>-838350</v>
      </c>
      <c r="L7379" t="s">
        <v>6803</v>
      </c>
    </row>
    <row r="7380" spans="1:12" x14ac:dyDescent="0.35">
      <c r="A7380" t="s">
        <v>131</v>
      </c>
      <c r="B7380" s="1">
        <v>45738</v>
      </c>
      <c r="C7380" t="s">
        <v>5707</v>
      </c>
      <c r="D7380" t="s">
        <v>5707</v>
      </c>
      <c r="F7380" t="s">
        <v>8423</v>
      </c>
      <c r="H7380" t="s">
        <v>5508</v>
      </c>
      <c r="I7380" s="1">
        <v>45769</v>
      </c>
      <c r="K7380">
        <v>4657500</v>
      </c>
      <c r="L7380" t="s">
        <v>5975</v>
      </c>
    </row>
    <row r="7381" spans="1:12" x14ac:dyDescent="0.35">
      <c r="A7381" t="s">
        <v>131</v>
      </c>
      <c r="B7381" s="1">
        <v>45738</v>
      </c>
      <c r="C7381" t="s">
        <v>5707</v>
      </c>
      <c r="D7381" t="s">
        <v>5707</v>
      </c>
      <c r="F7381" t="s">
        <v>8423</v>
      </c>
      <c r="H7381" t="s">
        <v>5508</v>
      </c>
      <c r="I7381" s="1">
        <v>45769</v>
      </c>
      <c r="K7381">
        <v>4657500</v>
      </c>
      <c r="L7381" t="s">
        <v>5975</v>
      </c>
    </row>
    <row r="7382" spans="1:12" x14ac:dyDescent="0.35">
      <c r="A7382" t="s">
        <v>131</v>
      </c>
      <c r="B7382" s="1">
        <v>45738</v>
      </c>
      <c r="C7382" t="s">
        <v>5707</v>
      </c>
      <c r="D7382" t="s">
        <v>5707</v>
      </c>
      <c r="F7382" t="s">
        <v>8423</v>
      </c>
      <c r="H7382" t="s">
        <v>5611</v>
      </c>
      <c r="I7382" s="1">
        <v>45769</v>
      </c>
      <c r="K7382">
        <v>-4657500</v>
      </c>
      <c r="L7382" t="s">
        <v>5975</v>
      </c>
    </row>
    <row r="7383" spans="1:12" x14ac:dyDescent="0.35">
      <c r="A7383" t="s">
        <v>131</v>
      </c>
      <c r="B7383" s="1">
        <v>45740</v>
      </c>
      <c r="C7383" t="s">
        <v>5708</v>
      </c>
      <c r="D7383" t="s">
        <v>5708</v>
      </c>
      <c r="F7383" t="s">
        <v>7823</v>
      </c>
      <c r="G7383" t="s">
        <v>7877</v>
      </c>
      <c r="H7383" t="s">
        <v>5508</v>
      </c>
      <c r="I7383" s="1">
        <v>45771</v>
      </c>
      <c r="J7383">
        <v>1099170</v>
      </c>
      <c r="L7383" t="s">
        <v>6803</v>
      </c>
    </row>
    <row r="7384" spans="1:12" x14ac:dyDescent="0.35">
      <c r="A7384" t="s">
        <v>131</v>
      </c>
      <c r="B7384" s="1">
        <v>45740</v>
      </c>
      <c r="C7384" t="s">
        <v>5708</v>
      </c>
      <c r="D7384" t="s">
        <v>5708</v>
      </c>
      <c r="F7384" t="s">
        <v>8419</v>
      </c>
      <c r="H7384" t="s">
        <v>5508</v>
      </c>
      <c r="I7384" s="1">
        <v>45771</v>
      </c>
      <c r="K7384">
        <v>167670</v>
      </c>
      <c r="L7384" t="s">
        <v>6803</v>
      </c>
    </row>
    <row r="7385" spans="1:12" x14ac:dyDescent="0.35">
      <c r="A7385" t="s">
        <v>131</v>
      </c>
      <c r="B7385" s="1">
        <v>45740</v>
      </c>
      <c r="C7385" t="s">
        <v>5708</v>
      </c>
      <c r="D7385" t="s">
        <v>5708</v>
      </c>
      <c r="F7385" t="s">
        <v>8423</v>
      </c>
      <c r="H7385" t="s">
        <v>5508</v>
      </c>
      <c r="I7385" s="1">
        <v>45771</v>
      </c>
      <c r="K7385">
        <v>931500</v>
      </c>
      <c r="L7385" t="s">
        <v>5975</v>
      </c>
    </row>
    <row r="7386" spans="1:12" x14ac:dyDescent="0.35">
      <c r="A7386" t="s">
        <v>131</v>
      </c>
      <c r="B7386" s="1">
        <v>45740</v>
      </c>
      <c r="C7386" t="s">
        <v>5709</v>
      </c>
      <c r="D7386" t="s">
        <v>5709</v>
      </c>
      <c r="F7386" t="s">
        <v>7823</v>
      </c>
      <c r="G7386" t="s">
        <v>7877</v>
      </c>
      <c r="H7386" t="s">
        <v>5508</v>
      </c>
      <c r="I7386" s="1">
        <v>45771</v>
      </c>
      <c r="J7386">
        <v>1099170</v>
      </c>
      <c r="L7386" t="s">
        <v>6803</v>
      </c>
    </row>
    <row r="7387" spans="1:12" x14ac:dyDescent="0.35">
      <c r="A7387" t="s">
        <v>131</v>
      </c>
      <c r="B7387" s="1">
        <v>45740</v>
      </c>
      <c r="C7387" t="s">
        <v>5709</v>
      </c>
      <c r="D7387" t="s">
        <v>5709</v>
      </c>
      <c r="F7387" t="s">
        <v>8419</v>
      </c>
      <c r="H7387" t="s">
        <v>5508</v>
      </c>
      <c r="I7387" s="1">
        <v>45771</v>
      </c>
      <c r="K7387">
        <v>167670</v>
      </c>
      <c r="L7387" t="s">
        <v>6803</v>
      </c>
    </row>
    <row r="7388" spans="1:12" x14ac:dyDescent="0.35">
      <c r="A7388" t="s">
        <v>131</v>
      </c>
      <c r="B7388" s="1">
        <v>45740</v>
      </c>
      <c r="C7388" t="s">
        <v>5709</v>
      </c>
      <c r="D7388" t="s">
        <v>5709</v>
      </c>
      <c r="F7388" t="s">
        <v>8423</v>
      </c>
      <c r="H7388" t="s">
        <v>5508</v>
      </c>
      <c r="I7388" s="1">
        <v>45771</v>
      </c>
      <c r="K7388">
        <v>931500</v>
      </c>
      <c r="L7388" t="s">
        <v>5975</v>
      </c>
    </row>
    <row r="7389" spans="1:12" x14ac:dyDescent="0.35">
      <c r="A7389" t="s">
        <v>131</v>
      </c>
      <c r="B7389" s="1">
        <v>45740</v>
      </c>
      <c r="C7389" t="s">
        <v>5710</v>
      </c>
      <c r="D7389" t="s">
        <v>5710</v>
      </c>
      <c r="F7389" t="s">
        <v>7823</v>
      </c>
      <c r="G7389" t="s">
        <v>7877</v>
      </c>
      <c r="H7389" t="s">
        <v>5508</v>
      </c>
      <c r="I7389" s="1">
        <v>45771</v>
      </c>
      <c r="J7389">
        <v>1099170</v>
      </c>
      <c r="L7389" t="s">
        <v>6803</v>
      </c>
    </row>
    <row r="7390" spans="1:12" x14ac:dyDescent="0.35">
      <c r="A7390" t="s">
        <v>131</v>
      </c>
      <c r="B7390" s="1">
        <v>45740</v>
      </c>
      <c r="C7390" t="s">
        <v>5710</v>
      </c>
      <c r="D7390" t="s">
        <v>5710</v>
      </c>
      <c r="F7390" t="s">
        <v>8419</v>
      </c>
      <c r="H7390" t="s">
        <v>5508</v>
      </c>
      <c r="I7390" s="1">
        <v>45771</v>
      </c>
      <c r="K7390">
        <v>167670</v>
      </c>
      <c r="L7390" t="s">
        <v>6803</v>
      </c>
    </row>
    <row r="7391" spans="1:12" x14ac:dyDescent="0.35">
      <c r="A7391" t="s">
        <v>131</v>
      </c>
      <c r="B7391" s="1">
        <v>45740</v>
      </c>
      <c r="C7391" t="s">
        <v>5710</v>
      </c>
      <c r="D7391" t="s">
        <v>5710</v>
      </c>
      <c r="F7391" t="s">
        <v>8423</v>
      </c>
      <c r="H7391" t="s">
        <v>5508</v>
      </c>
      <c r="I7391" s="1">
        <v>45771</v>
      </c>
      <c r="K7391">
        <v>931500</v>
      </c>
      <c r="L7391" t="s">
        <v>5975</v>
      </c>
    </row>
    <row r="7392" spans="1:12" x14ac:dyDescent="0.35">
      <c r="A7392" t="s">
        <v>131</v>
      </c>
      <c r="B7392" s="1">
        <v>45740</v>
      </c>
      <c r="C7392" t="s">
        <v>5711</v>
      </c>
      <c r="D7392" t="s">
        <v>5711</v>
      </c>
      <c r="F7392" t="s">
        <v>7831</v>
      </c>
      <c r="G7392" t="s">
        <v>7515</v>
      </c>
      <c r="H7392" t="s">
        <v>139</v>
      </c>
      <c r="I7392" s="1">
        <v>45740</v>
      </c>
      <c r="J7392">
        <v>1529280</v>
      </c>
      <c r="L7392" t="s">
        <v>6803</v>
      </c>
    </row>
    <row r="7393" spans="1:12" x14ac:dyDescent="0.35">
      <c r="A7393" t="s">
        <v>131</v>
      </c>
      <c r="B7393" s="1">
        <v>45740</v>
      </c>
      <c r="C7393" t="s">
        <v>5711</v>
      </c>
      <c r="D7393" t="s">
        <v>5711</v>
      </c>
      <c r="F7393" t="s">
        <v>8419</v>
      </c>
      <c r="H7393" t="s">
        <v>139</v>
      </c>
      <c r="I7393" s="1">
        <v>45740</v>
      </c>
      <c r="K7393">
        <v>215280</v>
      </c>
      <c r="L7393" t="s">
        <v>6803</v>
      </c>
    </row>
    <row r="7394" spans="1:12" x14ac:dyDescent="0.35">
      <c r="A7394" t="s">
        <v>131</v>
      </c>
      <c r="B7394" s="1">
        <v>45740</v>
      </c>
      <c r="C7394" t="s">
        <v>5711</v>
      </c>
      <c r="D7394" t="s">
        <v>5711</v>
      </c>
      <c r="F7394" t="s">
        <v>7701</v>
      </c>
      <c r="H7394" t="s">
        <v>139</v>
      </c>
      <c r="I7394" s="1">
        <v>45740</v>
      </c>
      <c r="K7394">
        <v>118000</v>
      </c>
      <c r="L7394" t="s">
        <v>350</v>
      </c>
    </row>
    <row r="7395" spans="1:12" x14ac:dyDescent="0.35">
      <c r="A7395" t="s">
        <v>131</v>
      </c>
      <c r="B7395" s="1">
        <v>45740</v>
      </c>
      <c r="C7395" t="s">
        <v>5711</v>
      </c>
      <c r="D7395" t="s">
        <v>5711</v>
      </c>
      <c r="F7395" t="s">
        <v>8423</v>
      </c>
      <c r="H7395" t="s">
        <v>139</v>
      </c>
      <c r="I7395" s="1">
        <v>45740</v>
      </c>
      <c r="K7395">
        <v>800000</v>
      </c>
      <c r="L7395" t="s">
        <v>5972</v>
      </c>
    </row>
    <row r="7396" spans="1:12" x14ac:dyDescent="0.35">
      <c r="A7396" t="s">
        <v>131</v>
      </c>
      <c r="B7396" s="1">
        <v>45740</v>
      </c>
      <c r="C7396" t="s">
        <v>5711</v>
      </c>
      <c r="D7396" t="s">
        <v>5711</v>
      </c>
      <c r="F7396" t="s">
        <v>8428</v>
      </c>
      <c r="H7396" t="s">
        <v>139</v>
      </c>
      <c r="I7396" s="1">
        <v>45740</v>
      </c>
      <c r="K7396">
        <v>396000</v>
      </c>
      <c r="L7396" t="s">
        <v>5972</v>
      </c>
    </row>
    <row r="7397" spans="1:12" x14ac:dyDescent="0.35">
      <c r="A7397" t="s">
        <v>131</v>
      </c>
      <c r="B7397" s="1">
        <v>45740</v>
      </c>
      <c r="C7397" t="s">
        <v>5712</v>
      </c>
      <c r="D7397" t="s">
        <v>5712</v>
      </c>
      <c r="F7397" t="s">
        <v>7831</v>
      </c>
      <c r="G7397" t="s">
        <v>8393</v>
      </c>
      <c r="H7397" t="s">
        <v>5518</v>
      </c>
      <c r="I7397" s="1">
        <v>45771</v>
      </c>
      <c r="J7397">
        <v>206500</v>
      </c>
      <c r="L7397" t="s">
        <v>6803</v>
      </c>
    </row>
    <row r="7398" spans="1:12" x14ac:dyDescent="0.35">
      <c r="A7398" t="s">
        <v>131</v>
      </c>
      <c r="B7398" s="1">
        <v>45740</v>
      </c>
      <c r="C7398" t="s">
        <v>5712</v>
      </c>
      <c r="D7398" t="s">
        <v>5712</v>
      </c>
      <c r="F7398" t="s">
        <v>8419</v>
      </c>
      <c r="H7398" t="s">
        <v>5518</v>
      </c>
      <c r="I7398" s="1">
        <v>45771</v>
      </c>
      <c r="K7398">
        <v>27000</v>
      </c>
      <c r="L7398" t="s">
        <v>6803</v>
      </c>
    </row>
    <row r="7399" spans="1:12" x14ac:dyDescent="0.35">
      <c r="A7399" t="s">
        <v>131</v>
      </c>
      <c r="B7399" s="1">
        <v>45740</v>
      </c>
      <c r="C7399" t="s">
        <v>5712</v>
      </c>
      <c r="D7399" t="s">
        <v>5712</v>
      </c>
      <c r="F7399" t="s">
        <v>7701</v>
      </c>
      <c r="H7399" t="s">
        <v>5518</v>
      </c>
      <c r="I7399" s="1">
        <v>45771</v>
      </c>
      <c r="K7399">
        <v>29500</v>
      </c>
      <c r="L7399" t="s">
        <v>350</v>
      </c>
    </row>
    <row r="7400" spans="1:12" x14ac:dyDescent="0.35">
      <c r="A7400" t="s">
        <v>131</v>
      </c>
      <c r="B7400" s="1">
        <v>45740</v>
      </c>
      <c r="C7400" t="s">
        <v>5712</v>
      </c>
      <c r="D7400" t="s">
        <v>5712</v>
      </c>
      <c r="F7400" t="s">
        <v>8423</v>
      </c>
      <c r="H7400" t="s">
        <v>5518</v>
      </c>
      <c r="I7400" s="1">
        <v>45771</v>
      </c>
      <c r="K7400">
        <v>150000</v>
      </c>
      <c r="L7400" t="s">
        <v>5972</v>
      </c>
    </row>
    <row r="7401" spans="1:12" x14ac:dyDescent="0.35">
      <c r="A7401" t="s">
        <v>131</v>
      </c>
      <c r="B7401" s="1">
        <v>45740</v>
      </c>
      <c r="C7401" t="s">
        <v>5713</v>
      </c>
      <c r="D7401" t="s">
        <v>5713</v>
      </c>
      <c r="F7401" t="s">
        <v>7831</v>
      </c>
      <c r="G7401" t="s">
        <v>8393</v>
      </c>
      <c r="H7401" t="s">
        <v>5518</v>
      </c>
      <c r="I7401" s="1">
        <v>45771</v>
      </c>
      <c r="J7401">
        <v>206500</v>
      </c>
      <c r="L7401" t="s">
        <v>6803</v>
      </c>
    </row>
    <row r="7402" spans="1:12" x14ac:dyDescent="0.35">
      <c r="A7402" t="s">
        <v>131</v>
      </c>
      <c r="B7402" s="1">
        <v>45740</v>
      </c>
      <c r="C7402" t="s">
        <v>5713</v>
      </c>
      <c r="D7402" t="s">
        <v>5713</v>
      </c>
      <c r="F7402" t="s">
        <v>8419</v>
      </c>
      <c r="H7402" t="s">
        <v>5518</v>
      </c>
      <c r="I7402" s="1">
        <v>45771</v>
      </c>
      <c r="K7402">
        <v>27000</v>
      </c>
      <c r="L7402" t="s">
        <v>6803</v>
      </c>
    </row>
    <row r="7403" spans="1:12" x14ac:dyDescent="0.35">
      <c r="A7403" t="s">
        <v>131</v>
      </c>
      <c r="B7403" s="1">
        <v>45740</v>
      </c>
      <c r="C7403" t="s">
        <v>5713</v>
      </c>
      <c r="D7403" t="s">
        <v>5713</v>
      </c>
      <c r="F7403" t="s">
        <v>7701</v>
      </c>
      <c r="H7403" t="s">
        <v>5518</v>
      </c>
      <c r="I7403" s="1">
        <v>45771</v>
      </c>
      <c r="K7403">
        <v>29500</v>
      </c>
      <c r="L7403" t="s">
        <v>350</v>
      </c>
    </row>
    <row r="7404" spans="1:12" x14ac:dyDescent="0.35">
      <c r="A7404" t="s">
        <v>131</v>
      </c>
      <c r="B7404" s="1">
        <v>45740</v>
      </c>
      <c r="C7404" t="s">
        <v>5713</v>
      </c>
      <c r="D7404" t="s">
        <v>5713</v>
      </c>
      <c r="F7404" t="s">
        <v>8423</v>
      </c>
      <c r="H7404" t="s">
        <v>5518</v>
      </c>
      <c r="I7404" s="1">
        <v>45771</v>
      </c>
      <c r="K7404">
        <v>150000</v>
      </c>
      <c r="L7404" t="s">
        <v>5972</v>
      </c>
    </row>
    <row r="7405" spans="1:12" x14ac:dyDescent="0.35">
      <c r="A7405" t="s">
        <v>131</v>
      </c>
      <c r="B7405" s="1">
        <v>45740</v>
      </c>
      <c r="C7405" t="s">
        <v>5714</v>
      </c>
      <c r="D7405" t="s">
        <v>5714</v>
      </c>
      <c r="F7405" t="s">
        <v>7831</v>
      </c>
      <c r="G7405" t="s">
        <v>8393</v>
      </c>
      <c r="H7405" t="s">
        <v>5518</v>
      </c>
      <c r="I7405" s="1">
        <v>45771</v>
      </c>
      <c r="J7405">
        <v>206500</v>
      </c>
      <c r="L7405" t="s">
        <v>6803</v>
      </c>
    </row>
    <row r="7406" spans="1:12" x14ac:dyDescent="0.35">
      <c r="A7406" t="s">
        <v>131</v>
      </c>
      <c r="B7406" s="1">
        <v>45740</v>
      </c>
      <c r="C7406" t="s">
        <v>5714</v>
      </c>
      <c r="D7406" t="s">
        <v>5714</v>
      </c>
      <c r="F7406" t="s">
        <v>8419</v>
      </c>
      <c r="H7406" t="s">
        <v>5518</v>
      </c>
      <c r="I7406" s="1">
        <v>45771</v>
      </c>
      <c r="K7406">
        <v>27000</v>
      </c>
      <c r="L7406" t="s">
        <v>6803</v>
      </c>
    </row>
    <row r="7407" spans="1:12" x14ac:dyDescent="0.35">
      <c r="A7407" t="s">
        <v>131</v>
      </c>
      <c r="B7407" s="1">
        <v>45740</v>
      </c>
      <c r="C7407" t="s">
        <v>5714</v>
      </c>
      <c r="D7407" t="s">
        <v>5714</v>
      </c>
      <c r="F7407" t="s">
        <v>7701</v>
      </c>
      <c r="H7407" t="s">
        <v>5518</v>
      </c>
      <c r="I7407" s="1">
        <v>45771</v>
      </c>
      <c r="K7407">
        <v>29500</v>
      </c>
      <c r="L7407" t="s">
        <v>350</v>
      </c>
    </row>
    <row r="7408" spans="1:12" x14ac:dyDescent="0.35">
      <c r="A7408" t="s">
        <v>131</v>
      </c>
      <c r="B7408" s="1">
        <v>45740</v>
      </c>
      <c r="C7408" t="s">
        <v>5714</v>
      </c>
      <c r="D7408" t="s">
        <v>5714</v>
      </c>
      <c r="F7408" t="s">
        <v>8423</v>
      </c>
      <c r="H7408" t="s">
        <v>5518</v>
      </c>
      <c r="I7408" s="1">
        <v>45771</v>
      </c>
      <c r="K7408">
        <v>150000</v>
      </c>
      <c r="L7408" t="s">
        <v>5972</v>
      </c>
    </row>
    <row r="7409" spans="1:12" x14ac:dyDescent="0.35">
      <c r="A7409" t="s">
        <v>131</v>
      </c>
      <c r="B7409" s="1">
        <v>45740</v>
      </c>
      <c r="C7409" t="s">
        <v>5715</v>
      </c>
      <c r="D7409" t="s">
        <v>5715</v>
      </c>
      <c r="F7409" t="s">
        <v>7831</v>
      </c>
      <c r="G7409" t="s">
        <v>8393</v>
      </c>
      <c r="H7409" t="s">
        <v>5518</v>
      </c>
      <c r="I7409" s="1">
        <v>45771</v>
      </c>
      <c r="J7409">
        <v>206500</v>
      </c>
      <c r="L7409" t="s">
        <v>6803</v>
      </c>
    </row>
    <row r="7410" spans="1:12" x14ac:dyDescent="0.35">
      <c r="A7410" t="s">
        <v>131</v>
      </c>
      <c r="B7410" s="1">
        <v>45740</v>
      </c>
      <c r="C7410" t="s">
        <v>5715</v>
      </c>
      <c r="D7410" t="s">
        <v>5715</v>
      </c>
      <c r="F7410" t="s">
        <v>8419</v>
      </c>
      <c r="H7410" t="s">
        <v>5518</v>
      </c>
      <c r="I7410" s="1">
        <v>45771</v>
      </c>
      <c r="K7410">
        <v>27000</v>
      </c>
      <c r="L7410" t="s">
        <v>6803</v>
      </c>
    </row>
    <row r="7411" spans="1:12" x14ac:dyDescent="0.35">
      <c r="A7411" t="s">
        <v>131</v>
      </c>
      <c r="B7411" s="1">
        <v>45740</v>
      </c>
      <c r="C7411" t="s">
        <v>5715</v>
      </c>
      <c r="D7411" t="s">
        <v>5715</v>
      </c>
      <c r="F7411" t="s">
        <v>7701</v>
      </c>
      <c r="H7411" t="s">
        <v>5518</v>
      </c>
      <c r="I7411" s="1">
        <v>45771</v>
      </c>
      <c r="K7411">
        <v>29500</v>
      </c>
      <c r="L7411" t="s">
        <v>350</v>
      </c>
    </row>
    <row r="7412" spans="1:12" x14ac:dyDescent="0.35">
      <c r="A7412" t="s">
        <v>131</v>
      </c>
      <c r="B7412" s="1">
        <v>45740</v>
      </c>
      <c r="C7412" t="s">
        <v>5715</v>
      </c>
      <c r="D7412" t="s">
        <v>5715</v>
      </c>
      <c r="F7412" t="s">
        <v>8423</v>
      </c>
      <c r="H7412" t="s">
        <v>5518</v>
      </c>
      <c r="I7412" s="1">
        <v>45771</v>
      </c>
      <c r="K7412">
        <v>150000</v>
      </c>
      <c r="L7412" t="s">
        <v>5972</v>
      </c>
    </row>
    <row r="7413" spans="1:12" x14ac:dyDescent="0.35">
      <c r="A7413" t="s">
        <v>131</v>
      </c>
      <c r="B7413" s="1">
        <v>45740</v>
      </c>
      <c r="C7413" t="s">
        <v>5716</v>
      </c>
      <c r="D7413" t="s">
        <v>5716</v>
      </c>
      <c r="F7413" t="s">
        <v>7831</v>
      </c>
      <c r="G7413" t="s">
        <v>8393</v>
      </c>
      <c r="H7413" t="s">
        <v>5518</v>
      </c>
      <c r="I7413" s="1">
        <v>45771</v>
      </c>
      <c r="J7413">
        <v>206500</v>
      </c>
      <c r="L7413" t="s">
        <v>6803</v>
      </c>
    </row>
    <row r="7414" spans="1:12" x14ac:dyDescent="0.35">
      <c r="A7414" t="s">
        <v>131</v>
      </c>
      <c r="B7414" s="1">
        <v>45740</v>
      </c>
      <c r="C7414" t="s">
        <v>5716</v>
      </c>
      <c r="D7414" t="s">
        <v>5716</v>
      </c>
      <c r="F7414" t="s">
        <v>8419</v>
      </c>
      <c r="H7414" t="s">
        <v>5518</v>
      </c>
      <c r="I7414" s="1">
        <v>45771</v>
      </c>
      <c r="K7414">
        <v>27000</v>
      </c>
      <c r="L7414" t="s">
        <v>6803</v>
      </c>
    </row>
    <row r="7415" spans="1:12" x14ac:dyDescent="0.35">
      <c r="A7415" t="s">
        <v>131</v>
      </c>
      <c r="B7415" s="1">
        <v>45740</v>
      </c>
      <c r="C7415" t="s">
        <v>5716</v>
      </c>
      <c r="D7415" t="s">
        <v>5716</v>
      </c>
      <c r="F7415" t="s">
        <v>7701</v>
      </c>
      <c r="H7415" t="s">
        <v>5518</v>
      </c>
      <c r="I7415" s="1">
        <v>45771</v>
      </c>
      <c r="K7415">
        <v>29500</v>
      </c>
      <c r="L7415" t="s">
        <v>350</v>
      </c>
    </row>
    <row r="7416" spans="1:12" x14ac:dyDescent="0.35">
      <c r="A7416" t="s">
        <v>131</v>
      </c>
      <c r="B7416" s="1">
        <v>45740</v>
      </c>
      <c r="C7416" t="s">
        <v>5716</v>
      </c>
      <c r="D7416" t="s">
        <v>5716</v>
      </c>
      <c r="F7416" t="s">
        <v>8423</v>
      </c>
      <c r="H7416" t="s">
        <v>5518</v>
      </c>
      <c r="I7416" s="1">
        <v>45771</v>
      </c>
      <c r="K7416">
        <v>150000</v>
      </c>
      <c r="L7416" t="s">
        <v>5972</v>
      </c>
    </row>
    <row r="7417" spans="1:12" x14ac:dyDescent="0.35">
      <c r="A7417" t="s">
        <v>131</v>
      </c>
      <c r="B7417" s="1">
        <v>45740</v>
      </c>
      <c r="C7417" t="s">
        <v>5717</v>
      </c>
      <c r="D7417" t="s">
        <v>5717</v>
      </c>
      <c r="F7417" t="s">
        <v>7831</v>
      </c>
      <c r="G7417" t="s">
        <v>8393</v>
      </c>
      <c r="H7417" t="s">
        <v>5518</v>
      </c>
      <c r="I7417" s="1">
        <v>45771</v>
      </c>
      <c r="J7417">
        <v>206500</v>
      </c>
      <c r="L7417" t="s">
        <v>6803</v>
      </c>
    </row>
    <row r="7418" spans="1:12" x14ac:dyDescent="0.35">
      <c r="A7418" t="s">
        <v>131</v>
      </c>
      <c r="B7418" s="1">
        <v>45740</v>
      </c>
      <c r="C7418" t="s">
        <v>5717</v>
      </c>
      <c r="D7418" t="s">
        <v>5717</v>
      </c>
      <c r="F7418" t="s">
        <v>8419</v>
      </c>
      <c r="H7418" t="s">
        <v>5518</v>
      </c>
      <c r="I7418" s="1">
        <v>45771</v>
      </c>
      <c r="K7418">
        <v>27000</v>
      </c>
      <c r="L7418" t="s">
        <v>6803</v>
      </c>
    </row>
    <row r="7419" spans="1:12" x14ac:dyDescent="0.35">
      <c r="A7419" t="s">
        <v>131</v>
      </c>
      <c r="B7419" s="1">
        <v>45740</v>
      </c>
      <c r="C7419" t="s">
        <v>5717</v>
      </c>
      <c r="D7419" t="s">
        <v>5717</v>
      </c>
      <c r="F7419" t="s">
        <v>7701</v>
      </c>
      <c r="H7419" t="s">
        <v>5518</v>
      </c>
      <c r="I7419" s="1">
        <v>45771</v>
      </c>
      <c r="K7419">
        <v>29500</v>
      </c>
      <c r="L7419" t="s">
        <v>350</v>
      </c>
    </row>
    <row r="7420" spans="1:12" x14ac:dyDescent="0.35">
      <c r="A7420" t="s">
        <v>131</v>
      </c>
      <c r="B7420" s="1">
        <v>45740</v>
      </c>
      <c r="C7420" t="s">
        <v>5717</v>
      </c>
      <c r="D7420" t="s">
        <v>5717</v>
      </c>
      <c r="F7420" t="s">
        <v>8423</v>
      </c>
      <c r="H7420" t="s">
        <v>5518</v>
      </c>
      <c r="I7420" s="1">
        <v>45771</v>
      </c>
      <c r="K7420">
        <v>150000</v>
      </c>
      <c r="L7420" t="s">
        <v>5972</v>
      </c>
    </row>
    <row r="7421" spans="1:12" x14ac:dyDescent="0.35">
      <c r="A7421" t="s">
        <v>131</v>
      </c>
      <c r="B7421" s="1">
        <v>45740</v>
      </c>
      <c r="C7421" t="s">
        <v>5718</v>
      </c>
      <c r="D7421" t="s">
        <v>5718</v>
      </c>
      <c r="F7421" t="s">
        <v>7831</v>
      </c>
      <c r="G7421" t="s">
        <v>8393</v>
      </c>
      <c r="H7421" t="s">
        <v>5518</v>
      </c>
      <c r="I7421" s="1">
        <v>45771</v>
      </c>
      <c r="J7421">
        <v>206500</v>
      </c>
      <c r="L7421" t="s">
        <v>6803</v>
      </c>
    </row>
    <row r="7422" spans="1:12" x14ac:dyDescent="0.35">
      <c r="A7422" t="s">
        <v>131</v>
      </c>
      <c r="B7422" s="1">
        <v>45740</v>
      </c>
      <c r="C7422" t="s">
        <v>5718</v>
      </c>
      <c r="D7422" t="s">
        <v>5718</v>
      </c>
      <c r="F7422" t="s">
        <v>8419</v>
      </c>
      <c r="H7422" t="s">
        <v>5518</v>
      </c>
      <c r="I7422" s="1">
        <v>45771</v>
      </c>
      <c r="K7422">
        <v>27000</v>
      </c>
      <c r="L7422" t="s">
        <v>6803</v>
      </c>
    </row>
    <row r="7423" spans="1:12" x14ac:dyDescent="0.35">
      <c r="A7423" t="s">
        <v>131</v>
      </c>
      <c r="B7423" s="1">
        <v>45740</v>
      </c>
      <c r="C7423" t="s">
        <v>5718</v>
      </c>
      <c r="D7423" t="s">
        <v>5718</v>
      </c>
      <c r="F7423" t="s">
        <v>7701</v>
      </c>
      <c r="H7423" t="s">
        <v>5518</v>
      </c>
      <c r="I7423" s="1">
        <v>45771</v>
      </c>
      <c r="K7423">
        <v>29500</v>
      </c>
      <c r="L7423" t="s">
        <v>350</v>
      </c>
    </row>
    <row r="7424" spans="1:12" x14ac:dyDescent="0.35">
      <c r="A7424" t="s">
        <v>131</v>
      </c>
      <c r="B7424" s="1">
        <v>45740</v>
      </c>
      <c r="C7424" t="s">
        <v>5718</v>
      </c>
      <c r="D7424" t="s">
        <v>5718</v>
      </c>
      <c r="F7424" t="s">
        <v>8423</v>
      </c>
      <c r="H7424" t="s">
        <v>5518</v>
      </c>
      <c r="I7424" s="1">
        <v>45771</v>
      </c>
      <c r="K7424">
        <v>150000</v>
      </c>
      <c r="L7424" t="s">
        <v>5972</v>
      </c>
    </row>
    <row r="7425" spans="1:12" x14ac:dyDescent="0.35">
      <c r="A7425" t="s">
        <v>131</v>
      </c>
      <c r="B7425" s="1">
        <v>45740</v>
      </c>
      <c r="C7425" t="s">
        <v>5719</v>
      </c>
      <c r="D7425" t="s">
        <v>5719</v>
      </c>
      <c r="F7425" t="s">
        <v>7831</v>
      </c>
      <c r="G7425" t="s">
        <v>8393</v>
      </c>
      <c r="H7425" t="s">
        <v>5518</v>
      </c>
      <c r="I7425" s="1">
        <v>45771</v>
      </c>
      <c r="J7425">
        <v>206500</v>
      </c>
      <c r="L7425" t="s">
        <v>6803</v>
      </c>
    </row>
    <row r="7426" spans="1:12" x14ac:dyDescent="0.35">
      <c r="A7426" t="s">
        <v>131</v>
      </c>
      <c r="B7426" s="1">
        <v>45740</v>
      </c>
      <c r="C7426" t="s">
        <v>5719</v>
      </c>
      <c r="D7426" t="s">
        <v>5719</v>
      </c>
      <c r="F7426" t="s">
        <v>8419</v>
      </c>
      <c r="H7426" t="s">
        <v>5518</v>
      </c>
      <c r="I7426" s="1">
        <v>45771</v>
      </c>
      <c r="K7426">
        <v>27000</v>
      </c>
      <c r="L7426" t="s">
        <v>6803</v>
      </c>
    </row>
    <row r="7427" spans="1:12" x14ac:dyDescent="0.35">
      <c r="A7427" t="s">
        <v>131</v>
      </c>
      <c r="B7427" s="1">
        <v>45740</v>
      </c>
      <c r="C7427" t="s">
        <v>5719</v>
      </c>
      <c r="D7427" t="s">
        <v>5719</v>
      </c>
      <c r="F7427" t="s">
        <v>7701</v>
      </c>
      <c r="H7427" t="s">
        <v>5518</v>
      </c>
      <c r="I7427" s="1">
        <v>45771</v>
      </c>
      <c r="K7427">
        <v>29500</v>
      </c>
      <c r="L7427" t="s">
        <v>350</v>
      </c>
    </row>
    <row r="7428" spans="1:12" x14ac:dyDescent="0.35">
      <c r="A7428" t="s">
        <v>131</v>
      </c>
      <c r="B7428" s="1">
        <v>45740</v>
      </c>
      <c r="C7428" t="s">
        <v>5719</v>
      </c>
      <c r="D7428" t="s">
        <v>5719</v>
      </c>
      <c r="F7428" t="s">
        <v>8423</v>
      </c>
      <c r="H7428" t="s">
        <v>5518</v>
      </c>
      <c r="I7428" s="1">
        <v>45771</v>
      </c>
      <c r="K7428">
        <v>150000</v>
      </c>
      <c r="L7428" t="s">
        <v>5972</v>
      </c>
    </row>
    <row r="7429" spans="1:12" x14ac:dyDescent="0.35">
      <c r="A7429" t="s">
        <v>131</v>
      </c>
      <c r="B7429" s="1">
        <v>45740</v>
      </c>
      <c r="C7429" t="s">
        <v>5720</v>
      </c>
      <c r="D7429" t="s">
        <v>5720</v>
      </c>
      <c r="F7429" t="s">
        <v>7831</v>
      </c>
      <c r="G7429" t="s">
        <v>8393</v>
      </c>
      <c r="H7429" t="s">
        <v>5518</v>
      </c>
      <c r="I7429" s="1">
        <v>45771</v>
      </c>
      <c r="J7429">
        <v>236000</v>
      </c>
      <c r="L7429" t="s">
        <v>6803</v>
      </c>
    </row>
    <row r="7430" spans="1:12" x14ac:dyDescent="0.35">
      <c r="A7430" t="s">
        <v>131</v>
      </c>
      <c r="B7430" s="1">
        <v>45740</v>
      </c>
      <c r="C7430" t="s">
        <v>5720</v>
      </c>
      <c r="D7430" t="s">
        <v>5720</v>
      </c>
      <c r="F7430" t="s">
        <v>8419</v>
      </c>
      <c r="H7430" t="s">
        <v>5518</v>
      </c>
      <c r="I7430" s="1">
        <v>45771</v>
      </c>
      <c r="K7430">
        <v>27000</v>
      </c>
      <c r="L7430" t="s">
        <v>6803</v>
      </c>
    </row>
    <row r="7431" spans="1:12" x14ac:dyDescent="0.35">
      <c r="A7431" t="s">
        <v>131</v>
      </c>
      <c r="B7431" s="1">
        <v>45740</v>
      </c>
      <c r="C7431" t="s">
        <v>5720</v>
      </c>
      <c r="D7431" t="s">
        <v>5720</v>
      </c>
      <c r="F7431" t="s">
        <v>7701</v>
      </c>
      <c r="H7431" t="s">
        <v>5518</v>
      </c>
      <c r="I7431" s="1">
        <v>45771</v>
      </c>
      <c r="K7431">
        <v>59000</v>
      </c>
      <c r="L7431" t="s">
        <v>350</v>
      </c>
    </row>
    <row r="7432" spans="1:12" x14ac:dyDescent="0.35">
      <c r="A7432" t="s">
        <v>131</v>
      </c>
      <c r="B7432" s="1">
        <v>45740</v>
      </c>
      <c r="C7432" t="s">
        <v>5720</v>
      </c>
      <c r="D7432" t="s">
        <v>5720</v>
      </c>
      <c r="F7432" t="s">
        <v>8423</v>
      </c>
      <c r="H7432" t="s">
        <v>5518</v>
      </c>
      <c r="I7432" s="1">
        <v>45771</v>
      </c>
      <c r="K7432">
        <v>150000</v>
      </c>
      <c r="L7432" t="s">
        <v>5972</v>
      </c>
    </row>
    <row r="7433" spans="1:12" x14ac:dyDescent="0.35">
      <c r="A7433" t="s">
        <v>131</v>
      </c>
      <c r="B7433" s="1">
        <v>45740</v>
      </c>
      <c r="C7433" t="s">
        <v>5721</v>
      </c>
      <c r="D7433" t="s">
        <v>5721</v>
      </c>
      <c r="F7433" t="s">
        <v>7831</v>
      </c>
      <c r="G7433" t="s">
        <v>8393</v>
      </c>
      <c r="H7433" t="s">
        <v>5518</v>
      </c>
      <c r="I7433" s="1">
        <v>45771</v>
      </c>
      <c r="J7433">
        <v>236000</v>
      </c>
      <c r="L7433" t="s">
        <v>6803</v>
      </c>
    </row>
    <row r="7434" spans="1:12" x14ac:dyDescent="0.35">
      <c r="A7434" t="s">
        <v>131</v>
      </c>
      <c r="B7434" s="1">
        <v>45740</v>
      </c>
      <c r="C7434" t="s">
        <v>5721</v>
      </c>
      <c r="D7434" t="s">
        <v>5721</v>
      </c>
      <c r="F7434" t="s">
        <v>8419</v>
      </c>
      <c r="H7434" t="s">
        <v>5518</v>
      </c>
      <c r="I7434" s="1">
        <v>45771</v>
      </c>
      <c r="K7434">
        <v>27000</v>
      </c>
      <c r="L7434" t="s">
        <v>6803</v>
      </c>
    </row>
    <row r="7435" spans="1:12" x14ac:dyDescent="0.35">
      <c r="A7435" t="s">
        <v>131</v>
      </c>
      <c r="B7435" s="1">
        <v>45740</v>
      </c>
      <c r="C7435" t="s">
        <v>5721</v>
      </c>
      <c r="D7435" t="s">
        <v>5721</v>
      </c>
      <c r="F7435" t="s">
        <v>7701</v>
      </c>
      <c r="H7435" t="s">
        <v>5518</v>
      </c>
      <c r="I7435" s="1">
        <v>45771</v>
      </c>
      <c r="K7435">
        <v>59000</v>
      </c>
      <c r="L7435" t="s">
        <v>350</v>
      </c>
    </row>
    <row r="7436" spans="1:12" x14ac:dyDescent="0.35">
      <c r="A7436" t="s">
        <v>131</v>
      </c>
      <c r="B7436" s="1">
        <v>45740</v>
      </c>
      <c r="C7436" t="s">
        <v>5721</v>
      </c>
      <c r="D7436" t="s">
        <v>5721</v>
      </c>
      <c r="F7436" t="s">
        <v>8423</v>
      </c>
      <c r="H7436" t="s">
        <v>5518</v>
      </c>
      <c r="I7436" s="1">
        <v>45771</v>
      </c>
      <c r="K7436">
        <v>150000</v>
      </c>
      <c r="L7436" t="s">
        <v>5972</v>
      </c>
    </row>
    <row r="7437" spans="1:12" x14ac:dyDescent="0.35">
      <c r="A7437" t="s">
        <v>131</v>
      </c>
      <c r="B7437" s="1">
        <v>45740</v>
      </c>
      <c r="C7437" t="s">
        <v>5722</v>
      </c>
      <c r="D7437" t="s">
        <v>5722</v>
      </c>
      <c r="F7437" t="s">
        <v>7831</v>
      </c>
      <c r="G7437" t="s">
        <v>8393</v>
      </c>
      <c r="H7437" t="s">
        <v>5518</v>
      </c>
      <c r="I7437" s="1">
        <v>45771</v>
      </c>
      <c r="J7437">
        <v>472000</v>
      </c>
      <c r="L7437" t="s">
        <v>6803</v>
      </c>
    </row>
    <row r="7438" spans="1:12" x14ac:dyDescent="0.35">
      <c r="A7438" t="s">
        <v>131</v>
      </c>
      <c r="B7438" s="1">
        <v>45740</v>
      </c>
      <c r="C7438" t="s">
        <v>5722</v>
      </c>
      <c r="D7438" t="s">
        <v>5722</v>
      </c>
      <c r="F7438" t="s">
        <v>8419</v>
      </c>
      <c r="H7438" t="s">
        <v>5518</v>
      </c>
      <c r="I7438" s="1">
        <v>45771</v>
      </c>
      <c r="K7438">
        <v>54000</v>
      </c>
      <c r="L7438" t="s">
        <v>6803</v>
      </c>
    </row>
    <row r="7439" spans="1:12" x14ac:dyDescent="0.35">
      <c r="A7439" t="s">
        <v>131</v>
      </c>
      <c r="B7439" s="1">
        <v>45740</v>
      </c>
      <c r="C7439" t="s">
        <v>5722</v>
      </c>
      <c r="D7439" t="s">
        <v>5722</v>
      </c>
      <c r="F7439" t="s">
        <v>7701</v>
      </c>
      <c r="H7439" t="s">
        <v>5518</v>
      </c>
      <c r="I7439" s="1">
        <v>45771</v>
      </c>
      <c r="K7439">
        <v>118000</v>
      </c>
      <c r="L7439" t="s">
        <v>350</v>
      </c>
    </row>
    <row r="7440" spans="1:12" x14ac:dyDescent="0.35">
      <c r="A7440" t="s">
        <v>131</v>
      </c>
      <c r="B7440" s="1">
        <v>45740</v>
      </c>
      <c r="C7440" t="s">
        <v>5722</v>
      </c>
      <c r="D7440" t="s">
        <v>5722</v>
      </c>
      <c r="F7440" t="s">
        <v>8423</v>
      </c>
      <c r="H7440" t="s">
        <v>5518</v>
      </c>
      <c r="I7440" s="1">
        <v>45771</v>
      </c>
      <c r="K7440">
        <v>300000</v>
      </c>
      <c r="L7440" t="s">
        <v>5972</v>
      </c>
    </row>
    <row r="7441" spans="1:12" x14ac:dyDescent="0.35">
      <c r="A7441" t="s">
        <v>131</v>
      </c>
      <c r="B7441" s="1">
        <v>45740</v>
      </c>
      <c r="C7441" t="s">
        <v>5723</v>
      </c>
      <c r="D7441" t="s">
        <v>5723</v>
      </c>
      <c r="F7441" t="s">
        <v>7831</v>
      </c>
      <c r="G7441" t="s">
        <v>8393</v>
      </c>
      <c r="H7441" t="s">
        <v>5518</v>
      </c>
      <c r="I7441" s="1">
        <v>45771</v>
      </c>
      <c r="J7441">
        <v>236000</v>
      </c>
      <c r="L7441" t="s">
        <v>6803</v>
      </c>
    </row>
    <row r="7442" spans="1:12" x14ac:dyDescent="0.35">
      <c r="A7442" t="s">
        <v>131</v>
      </c>
      <c r="B7442" s="1">
        <v>45740</v>
      </c>
      <c r="C7442" t="s">
        <v>5723</v>
      </c>
      <c r="D7442" t="s">
        <v>5723</v>
      </c>
      <c r="F7442" t="s">
        <v>8419</v>
      </c>
      <c r="H7442" t="s">
        <v>5518</v>
      </c>
      <c r="I7442" s="1">
        <v>45771</v>
      </c>
      <c r="K7442">
        <v>27000</v>
      </c>
      <c r="L7442" t="s">
        <v>6803</v>
      </c>
    </row>
    <row r="7443" spans="1:12" x14ac:dyDescent="0.35">
      <c r="A7443" t="s">
        <v>131</v>
      </c>
      <c r="B7443" s="1">
        <v>45740</v>
      </c>
      <c r="C7443" t="s">
        <v>5723</v>
      </c>
      <c r="D7443" t="s">
        <v>5723</v>
      </c>
      <c r="F7443" t="s">
        <v>7701</v>
      </c>
      <c r="H7443" t="s">
        <v>5518</v>
      </c>
      <c r="I7443" s="1">
        <v>45771</v>
      </c>
      <c r="K7443">
        <v>59000</v>
      </c>
      <c r="L7443" t="s">
        <v>350</v>
      </c>
    </row>
    <row r="7444" spans="1:12" x14ac:dyDescent="0.35">
      <c r="A7444" t="s">
        <v>131</v>
      </c>
      <c r="B7444" s="1">
        <v>45740</v>
      </c>
      <c r="C7444" t="s">
        <v>5723</v>
      </c>
      <c r="D7444" t="s">
        <v>5723</v>
      </c>
      <c r="F7444" t="s">
        <v>8423</v>
      </c>
      <c r="H7444" t="s">
        <v>5518</v>
      </c>
      <c r="I7444" s="1">
        <v>45771</v>
      </c>
      <c r="K7444">
        <v>150000</v>
      </c>
      <c r="L7444" t="s">
        <v>5972</v>
      </c>
    </row>
    <row r="7445" spans="1:12" x14ac:dyDescent="0.35">
      <c r="A7445" t="s">
        <v>131</v>
      </c>
      <c r="B7445" s="1">
        <v>45740</v>
      </c>
      <c r="C7445" t="s">
        <v>5724</v>
      </c>
      <c r="D7445" t="s">
        <v>5724</v>
      </c>
      <c r="F7445" t="s">
        <v>7831</v>
      </c>
      <c r="G7445" t="s">
        <v>8393</v>
      </c>
      <c r="H7445" t="s">
        <v>5518</v>
      </c>
      <c r="I7445" s="1">
        <v>45771</v>
      </c>
      <c r="J7445">
        <v>236000</v>
      </c>
      <c r="L7445" t="s">
        <v>6803</v>
      </c>
    </row>
    <row r="7446" spans="1:12" x14ac:dyDescent="0.35">
      <c r="A7446" t="s">
        <v>131</v>
      </c>
      <c r="B7446" s="1">
        <v>45740</v>
      </c>
      <c r="C7446" t="s">
        <v>5724</v>
      </c>
      <c r="D7446" t="s">
        <v>5724</v>
      </c>
      <c r="F7446" t="s">
        <v>8419</v>
      </c>
      <c r="H7446" t="s">
        <v>5518</v>
      </c>
      <c r="I7446" s="1">
        <v>45771</v>
      </c>
      <c r="K7446">
        <v>27000</v>
      </c>
      <c r="L7446" t="s">
        <v>6803</v>
      </c>
    </row>
    <row r="7447" spans="1:12" x14ac:dyDescent="0.35">
      <c r="A7447" t="s">
        <v>131</v>
      </c>
      <c r="B7447" s="1">
        <v>45740</v>
      </c>
      <c r="C7447" t="s">
        <v>5724</v>
      </c>
      <c r="D7447" t="s">
        <v>5724</v>
      </c>
      <c r="F7447" t="s">
        <v>7701</v>
      </c>
      <c r="H7447" t="s">
        <v>5518</v>
      </c>
      <c r="I7447" s="1">
        <v>45771</v>
      </c>
      <c r="K7447">
        <v>59000</v>
      </c>
      <c r="L7447" t="s">
        <v>350</v>
      </c>
    </row>
    <row r="7448" spans="1:12" x14ac:dyDescent="0.35">
      <c r="A7448" t="s">
        <v>131</v>
      </c>
      <c r="B7448" s="1">
        <v>45740</v>
      </c>
      <c r="C7448" t="s">
        <v>5724</v>
      </c>
      <c r="D7448" t="s">
        <v>5724</v>
      </c>
      <c r="F7448" t="s">
        <v>8423</v>
      </c>
      <c r="H7448" t="s">
        <v>5518</v>
      </c>
      <c r="I7448" s="1">
        <v>45771</v>
      </c>
      <c r="K7448">
        <v>150000</v>
      </c>
      <c r="L7448" t="s">
        <v>5972</v>
      </c>
    </row>
    <row r="7449" spans="1:12" x14ac:dyDescent="0.35">
      <c r="A7449" t="s">
        <v>131</v>
      </c>
      <c r="B7449" s="1">
        <v>45740</v>
      </c>
      <c r="C7449" t="s">
        <v>5725</v>
      </c>
      <c r="D7449" t="s">
        <v>5725</v>
      </c>
      <c r="F7449" t="s">
        <v>7831</v>
      </c>
      <c r="G7449" t="s">
        <v>8393</v>
      </c>
      <c r="H7449" t="s">
        <v>5518</v>
      </c>
      <c r="I7449" s="1">
        <v>45771</v>
      </c>
      <c r="J7449">
        <v>236000</v>
      </c>
      <c r="L7449" t="s">
        <v>6803</v>
      </c>
    </row>
    <row r="7450" spans="1:12" x14ac:dyDescent="0.35">
      <c r="A7450" t="s">
        <v>131</v>
      </c>
      <c r="B7450" s="1">
        <v>45740</v>
      </c>
      <c r="C7450" t="s">
        <v>5725</v>
      </c>
      <c r="D7450" t="s">
        <v>5725</v>
      </c>
      <c r="F7450" t="s">
        <v>8419</v>
      </c>
      <c r="H7450" t="s">
        <v>5518</v>
      </c>
      <c r="I7450" s="1">
        <v>45771</v>
      </c>
      <c r="K7450">
        <v>27000</v>
      </c>
      <c r="L7450" t="s">
        <v>6803</v>
      </c>
    </row>
    <row r="7451" spans="1:12" x14ac:dyDescent="0.35">
      <c r="A7451" t="s">
        <v>131</v>
      </c>
      <c r="B7451" s="1">
        <v>45740</v>
      </c>
      <c r="C7451" t="s">
        <v>5725</v>
      </c>
      <c r="D7451" t="s">
        <v>5725</v>
      </c>
      <c r="F7451" t="s">
        <v>7701</v>
      </c>
      <c r="H7451" t="s">
        <v>5518</v>
      </c>
      <c r="I7451" s="1">
        <v>45771</v>
      </c>
      <c r="K7451">
        <v>59000</v>
      </c>
      <c r="L7451" t="s">
        <v>350</v>
      </c>
    </row>
    <row r="7452" spans="1:12" x14ac:dyDescent="0.35">
      <c r="A7452" t="s">
        <v>131</v>
      </c>
      <c r="B7452" s="1">
        <v>45740</v>
      </c>
      <c r="C7452" t="s">
        <v>5725</v>
      </c>
      <c r="D7452" t="s">
        <v>5725</v>
      </c>
      <c r="F7452" t="s">
        <v>8423</v>
      </c>
      <c r="H7452" t="s">
        <v>5518</v>
      </c>
      <c r="I7452" s="1">
        <v>45771</v>
      </c>
      <c r="K7452">
        <v>150000</v>
      </c>
      <c r="L7452" t="s">
        <v>5972</v>
      </c>
    </row>
    <row r="7453" spans="1:12" x14ac:dyDescent="0.35">
      <c r="A7453" t="s">
        <v>131</v>
      </c>
      <c r="B7453" s="1">
        <v>45740</v>
      </c>
      <c r="C7453" t="s">
        <v>5703</v>
      </c>
      <c r="D7453" t="s">
        <v>5703</v>
      </c>
      <c r="F7453" t="s">
        <v>7831</v>
      </c>
      <c r="G7453" t="s">
        <v>8393</v>
      </c>
      <c r="H7453" t="s">
        <v>5518</v>
      </c>
      <c r="I7453" s="1">
        <v>45771</v>
      </c>
      <c r="J7453">
        <v>236000</v>
      </c>
      <c r="L7453" t="s">
        <v>6803</v>
      </c>
    </row>
    <row r="7454" spans="1:12" x14ac:dyDescent="0.35">
      <c r="A7454" t="s">
        <v>131</v>
      </c>
      <c r="B7454" s="1">
        <v>45740</v>
      </c>
      <c r="C7454" t="s">
        <v>5703</v>
      </c>
      <c r="D7454" t="s">
        <v>5703</v>
      </c>
      <c r="F7454" t="s">
        <v>7831</v>
      </c>
      <c r="G7454" t="s">
        <v>8393</v>
      </c>
      <c r="H7454" t="s">
        <v>5676</v>
      </c>
      <c r="I7454" s="1">
        <v>45771</v>
      </c>
      <c r="J7454">
        <v>-236000</v>
      </c>
      <c r="L7454" t="s">
        <v>6803</v>
      </c>
    </row>
    <row r="7455" spans="1:12" x14ac:dyDescent="0.35">
      <c r="A7455" t="s">
        <v>131</v>
      </c>
      <c r="B7455" s="1">
        <v>45740</v>
      </c>
      <c r="C7455" t="s">
        <v>5703</v>
      </c>
      <c r="D7455" t="s">
        <v>5703</v>
      </c>
      <c r="F7455" t="s">
        <v>8419</v>
      </c>
      <c r="H7455" t="s">
        <v>5518</v>
      </c>
      <c r="I7455" s="1">
        <v>45771</v>
      </c>
      <c r="K7455">
        <v>27000</v>
      </c>
      <c r="L7455" t="s">
        <v>6803</v>
      </c>
    </row>
    <row r="7456" spans="1:12" x14ac:dyDescent="0.35">
      <c r="A7456" t="s">
        <v>131</v>
      </c>
      <c r="B7456" s="1">
        <v>45740</v>
      </c>
      <c r="C7456" t="s">
        <v>5703</v>
      </c>
      <c r="D7456" t="s">
        <v>5703</v>
      </c>
      <c r="F7456" t="s">
        <v>8419</v>
      </c>
      <c r="H7456" t="s">
        <v>5676</v>
      </c>
      <c r="I7456" s="1">
        <v>45771</v>
      </c>
      <c r="K7456">
        <v>-27000</v>
      </c>
      <c r="L7456" t="s">
        <v>6803</v>
      </c>
    </row>
    <row r="7457" spans="1:12" x14ac:dyDescent="0.35">
      <c r="A7457" t="s">
        <v>131</v>
      </c>
      <c r="B7457" s="1">
        <v>45740</v>
      </c>
      <c r="C7457" t="s">
        <v>5703</v>
      </c>
      <c r="D7457" t="s">
        <v>5703</v>
      </c>
      <c r="F7457" t="s">
        <v>7701</v>
      </c>
      <c r="H7457" t="s">
        <v>5518</v>
      </c>
      <c r="I7457" s="1">
        <v>45771</v>
      </c>
      <c r="K7457">
        <v>59000</v>
      </c>
      <c r="L7457" t="s">
        <v>350</v>
      </c>
    </row>
    <row r="7458" spans="1:12" x14ac:dyDescent="0.35">
      <c r="A7458" t="s">
        <v>131</v>
      </c>
      <c r="B7458" s="1">
        <v>45740</v>
      </c>
      <c r="C7458" t="s">
        <v>5703</v>
      </c>
      <c r="D7458" t="s">
        <v>5703</v>
      </c>
      <c r="F7458" t="s">
        <v>7701</v>
      </c>
      <c r="H7458" t="s">
        <v>5676</v>
      </c>
      <c r="I7458" s="1">
        <v>45771</v>
      </c>
      <c r="K7458">
        <v>-59000</v>
      </c>
      <c r="L7458" t="s">
        <v>350</v>
      </c>
    </row>
    <row r="7459" spans="1:12" x14ac:dyDescent="0.35">
      <c r="A7459" t="s">
        <v>131</v>
      </c>
      <c r="B7459" s="1">
        <v>45740</v>
      </c>
      <c r="C7459" t="s">
        <v>5703</v>
      </c>
      <c r="D7459" t="s">
        <v>5703</v>
      </c>
      <c r="F7459" t="s">
        <v>8423</v>
      </c>
      <c r="H7459" t="s">
        <v>5518</v>
      </c>
      <c r="I7459" s="1">
        <v>45771</v>
      </c>
      <c r="K7459">
        <v>150000</v>
      </c>
      <c r="L7459" t="s">
        <v>5972</v>
      </c>
    </row>
    <row r="7460" spans="1:12" x14ac:dyDescent="0.35">
      <c r="A7460" t="s">
        <v>131</v>
      </c>
      <c r="B7460" s="1">
        <v>45740</v>
      </c>
      <c r="C7460" t="s">
        <v>5703</v>
      </c>
      <c r="D7460" t="s">
        <v>5703</v>
      </c>
      <c r="F7460" t="s">
        <v>8423</v>
      </c>
      <c r="H7460" t="s">
        <v>5676</v>
      </c>
      <c r="I7460" s="1">
        <v>45771</v>
      </c>
      <c r="K7460">
        <v>-150000</v>
      </c>
      <c r="L7460" t="s">
        <v>5972</v>
      </c>
    </row>
    <row r="7461" spans="1:12" x14ac:dyDescent="0.35">
      <c r="A7461" t="s">
        <v>131</v>
      </c>
      <c r="B7461" s="1">
        <v>45740</v>
      </c>
      <c r="C7461" t="s">
        <v>5726</v>
      </c>
      <c r="D7461" t="s">
        <v>5726</v>
      </c>
      <c r="F7461" t="s">
        <v>7831</v>
      </c>
      <c r="G7461" t="s">
        <v>8393</v>
      </c>
      <c r="H7461" t="s">
        <v>5518</v>
      </c>
      <c r="I7461" s="1">
        <v>45771</v>
      </c>
      <c r="J7461">
        <v>472000</v>
      </c>
      <c r="L7461" t="s">
        <v>6803</v>
      </c>
    </row>
    <row r="7462" spans="1:12" x14ac:dyDescent="0.35">
      <c r="A7462" t="s">
        <v>131</v>
      </c>
      <c r="B7462" s="1">
        <v>45740</v>
      </c>
      <c r="C7462" t="s">
        <v>5726</v>
      </c>
      <c r="D7462" t="s">
        <v>5726</v>
      </c>
      <c r="F7462" t="s">
        <v>8419</v>
      </c>
      <c r="H7462" t="s">
        <v>5518</v>
      </c>
      <c r="I7462" s="1">
        <v>45771</v>
      </c>
      <c r="K7462">
        <v>54000</v>
      </c>
      <c r="L7462" t="s">
        <v>6803</v>
      </c>
    </row>
    <row r="7463" spans="1:12" x14ac:dyDescent="0.35">
      <c r="A7463" t="s">
        <v>131</v>
      </c>
      <c r="B7463" s="1">
        <v>45740</v>
      </c>
      <c r="C7463" t="s">
        <v>5726</v>
      </c>
      <c r="D7463" t="s">
        <v>5726</v>
      </c>
      <c r="F7463" t="s">
        <v>7701</v>
      </c>
      <c r="H7463" t="s">
        <v>5518</v>
      </c>
      <c r="I7463" s="1">
        <v>45771</v>
      </c>
      <c r="K7463">
        <v>118000</v>
      </c>
      <c r="L7463" t="s">
        <v>350</v>
      </c>
    </row>
    <row r="7464" spans="1:12" x14ac:dyDescent="0.35">
      <c r="A7464" t="s">
        <v>131</v>
      </c>
      <c r="B7464" s="1">
        <v>45740</v>
      </c>
      <c r="C7464" t="s">
        <v>5726</v>
      </c>
      <c r="D7464" t="s">
        <v>5726</v>
      </c>
      <c r="F7464" t="s">
        <v>8423</v>
      </c>
      <c r="H7464" t="s">
        <v>5518</v>
      </c>
      <c r="I7464" s="1">
        <v>45771</v>
      </c>
      <c r="K7464">
        <v>300000</v>
      </c>
      <c r="L7464" t="s">
        <v>5972</v>
      </c>
    </row>
    <row r="7465" spans="1:12" x14ac:dyDescent="0.35">
      <c r="A7465" t="s">
        <v>131</v>
      </c>
      <c r="B7465" s="1">
        <v>45740</v>
      </c>
      <c r="C7465" t="s">
        <v>5727</v>
      </c>
      <c r="D7465" t="s">
        <v>5727</v>
      </c>
      <c r="F7465" t="s">
        <v>7831</v>
      </c>
      <c r="G7465" t="s">
        <v>7521</v>
      </c>
      <c r="H7465" t="s">
        <v>180</v>
      </c>
      <c r="I7465" s="1">
        <v>45771</v>
      </c>
      <c r="J7465">
        <v>1052560</v>
      </c>
      <c r="L7465" t="s">
        <v>6803</v>
      </c>
    </row>
    <row r="7466" spans="1:12" x14ac:dyDescent="0.35">
      <c r="A7466" t="s">
        <v>131</v>
      </c>
      <c r="B7466" s="1">
        <v>45740</v>
      </c>
      <c r="C7466" t="s">
        <v>5727</v>
      </c>
      <c r="D7466" t="s">
        <v>5727</v>
      </c>
      <c r="F7466" t="s">
        <v>8419</v>
      </c>
      <c r="H7466" t="s">
        <v>180</v>
      </c>
      <c r="I7466" s="1">
        <v>45771</v>
      </c>
      <c r="K7466">
        <v>142560</v>
      </c>
      <c r="L7466" t="s">
        <v>6803</v>
      </c>
    </row>
    <row r="7467" spans="1:12" x14ac:dyDescent="0.35">
      <c r="A7467" t="s">
        <v>131</v>
      </c>
      <c r="B7467" s="1">
        <v>45740</v>
      </c>
      <c r="C7467" t="s">
        <v>5727</v>
      </c>
      <c r="D7467" t="s">
        <v>5727</v>
      </c>
      <c r="F7467" t="s">
        <v>7701</v>
      </c>
      <c r="H7467" t="s">
        <v>180</v>
      </c>
      <c r="I7467" s="1">
        <v>45771</v>
      </c>
      <c r="K7467">
        <v>118000</v>
      </c>
      <c r="L7467" t="s">
        <v>350</v>
      </c>
    </row>
    <row r="7468" spans="1:12" x14ac:dyDescent="0.35">
      <c r="A7468" t="s">
        <v>131</v>
      </c>
      <c r="B7468" s="1">
        <v>45740</v>
      </c>
      <c r="C7468" t="s">
        <v>5727</v>
      </c>
      <c r="D7468" t="s">
        <v>5727</v>
      </c>
      <c r="F7468" t="s">
        <v>8423</v>
      </c>
      <c r="H7468" t="s">
        <v>180</v>
      </c>
      <c r="I7468" s="1">
        <v>45771</v>
      </c>
      <c r="K7468">
        <v>396000</v>
      </c>
      <c r="L7468" t="s">
        <v>5972</v>
      </c>
    </row>
    <row r="7469" spans="1:12" x14ac:dyDescent="0.35">
      <c r="A7469" t="s">
        <v>131</v>
      </c>
      <c r="B7469" s="1">
        <v>45740</v>
      </c>
      <c r="C7469" t="s">
        <v>5727</v>
      </c>
      <c r="D7469" t="s">
        <v>5727</v>
      </c>
      <c r="F7469" t="s">
        <v>8428</v>
      </c>
      <c r="H7469" t="s">
        <v>180</v>
      </c>
      <c r="I7469" s="1">
        <v>45771</v>
      </c>
      <c r="K7469">
        <v>396000</v>
      </c>
      <c r="L7469" t="s">
        <v>5972</v>
      </c>
    </row>
    <row r="7470" spans="1:12" x14ac:dyDescent="0.35">
      <c r="A7470" t="s">
        <v>131</v>
      </c>
      <c r="B7470" s="1">
        <v>45740</v>
      </c>
      <c r="C7470" t="s">
        <v>5728</v>
      </c>
      <c r="D7470" t="s">
        <v>5728</v>
      </c>
      <c r="F7470" t="s">
        <v>7823</v>
      </c>
      <c r="G7470" t="s">
        <v>7877</v>
      </c>
      <c r="H7470" t="s">
        <v>5508</v>
      </c>
      <c r="I7470" s="1">
        <v>45771</v>
      </c>
      <c r="J7470">
        <v>25647</v>
      </c>
      <c r="L7470" t="s">
        <v>6803</v>
      </c>
    </row>
    <row r="7471" spans="1:12" x14ac:dyDescent="0.35">
      <c r="A7471" t="s">
        <v>131</v>
      </c>
      <c r="B7471" s="1">
        <v>45740</v>
      </c>
      <c r="C7471" t="s">
        <v>5728</v>
      </c>
      <c r="D7471" t="s">
        <v>5728</v>
      </c>
      <c r="F7471" t="s">
        <v>8419</v>
      </c>
      <c r="H7471" t="s">
        <v>5508</v>
      </c>
      <c r="I7471" s="1">
        <v>45771</v>
      </c>
      <c r="K7471">
        <v>3912</v>
      </c>
      <c r="L7471" t="s">
        <v>6803</v>
      </c>
    </row>
    <row r="7472" spans="1:12" x14ac:dyDescent="0.35">
      <c r="A7472" t="s">
        <v>131</v>
      </c>
      <c r="B7472" s="1">
        <v>45740</v>
      </c>
      <c r="C7472" t="s">
        <v>5728</v>
      </c>
      <c r="D7472" t="s">
        <v>5728</v>
      </c>
      <c r="F7472" t="s">
        <v>8423</v>
      </c>
      <c r="H7472" t="s">
        <v>5508</v>
      </c>
      <c r="I7472" s="1">
        <v>45771</v>
      </c>
      <c r="K7472">
        <v>21735</v>
      </c>
      <c r="L7472" t="s">
        <v>5977</v>
      </c>
    </row>
    <row r="7473" spans="1:12" x14ac:dyDescent="0.35">
      <c r="A7473" t="s">
        <v>131</v>
      </c>
      <c r="B7473" s="1">
        <v>45740</v>
      </c>
      <c r="C7473" t="s">
        <v>5729</v>
      </c>
      <c r="D7473" t="s">
        <v>5729</v>
      </c>
      <c r="F7473" t="s">
        <v>7823</v>
      </c>
      <c r="G7473" t="s">
        <v>7877</v>
      </c>
      <c r="H7473" t="s">
        <v>5508</v>
      </c>
      <c r="I7473" s="1">
        <v>45771</v>
      </c>
      <c r="J7473">
        <v>546959</v>
      </c>
      <c r="L7473" t="s">
        <v>6803</v>
      </c>
    </row>
    <row r="7474" spans="1:12" x14ac:dyDescent="0.35">
      <c r="A7474" t="s">
        <v>131</v>
      </c>
      <c r="B7474" s="1">
        <v>45740</v>
      </c>
      <c r="C7474" t="s">
        <v>5729</v>
      </c>
      <c r="D7474" t="s">
        <v>5729</v>
      </c>
      <c r="F7474" t="s">
        <v>8424</v>
      </c>
      <c r="H7474" t="s">
        <v>5508</v>
      </c>
      <c r="I7474" s="1">
        <v>45771</v>
      </c>
      <c r="K7474">
        <v>546959</v>
      </c>
      <c r="L7474" t="s">
        <v>5977</v>
      </c>
    </row>
    <row r="7475" spans="1:12" x14ac:dyDescent="0.35">
      <c r="A7475" t="s">
        <v>131</v>
      </c>
      <c r="B7475" s="1">
        <v>45740</v>
      </c>
      <c r="C7475" t="s">
        <v>5730</v>
      </c>
      <c r="D7475" t="s">
        <v>5730</v>
      </c>
      <c r="F7475" t="s">
        <v>7823</v>
      </c>
      <c r="G7475" t="s">
        <v>7877</v>
      </c>
      <c r="H7475" t="s">
        <v>5508</v>
      </c>
      <c r="I7475" s="1">
        <v>45771</v>
      </c>
      <c r="J7475">
        <v>250828</v>
      </c>
      <c r="L7475" t="s">
        <v>6803</v>
      </c>
    </row>
    <row r="7476" spans="1:12" x14ac:dyDescent="0.35">
      <c r="A7476" t="s">
        <v>131</v>
      </c>
      <c r="B7476" s="1">
        <v>45740</v>
      </c>
      <c r="C7476" t="s">
        <v>5730</v>
      </c>
      <c r="D7476" t="s">
        <v>5730</v>
      </c>
      <c r="F7476" t="s">
        <v>8424</v>
      </c>
      <c r="H7476" t="s">
        <v>5508</v>
      </c>
      <c r="I7476" s="1">
        <v>45771</v>
      </c>
      <c r="K7476">
        <v>250828</v>
      </c>
      <c r="L7476" t="s">
        <v>5977</v>
      </c>
    </row>
    <row r="7477" spans="1:12" x14ac:dyDescent="0.35">
      <c r="A7477" t="s">
        <v>131</v>
      </c>
      <c r="B7477" s="1">
        <v>45741</v>
      </c>
      <c r="C7477" t="s">
        <v>5731</v>
      </c>
      <c r="D7477" t="s">
        <v>5731</v>
      </c>
      <c r="F7477" t="s">
        <v>7831</v>
      </c>
      <c r="G7477" t="s">
        <v>8393</v>
      </c>
      <c r="H7477" t="s">
        <v>5518</v>
      </c>
      <c r="I7477" s="1">
        <v>45772</v>
      </c>
      <c r="J7477">
        <v>206500</v>
      </c>
      <c r="L7477" t="s">
        <v>6803</v>
      </c>
    </row>
    <row r="7478" spans="1:12" x14ac:dyDescent="0.35">
      <c r="A7478" t="s">
        <v>131</v>
      </c>
      <c r="B7478" s="1">
        <v>45741</v>
      </c>
      <c r="C7478" t="s">
        <v>5731</v>
      </c>
      <c r="D7478" t="s">
        <v>5731</v>
      </c>
      <c r="F7478" t="s">
        <v>8419</v>
      </c>
      <c r="H7478" t="s">
        <v>5518</v>
      </c>
      <c r="I7478" s="1">
        <v>45772</v>
      </c>
      <c r="K7478">
        <v>27000</v>
      </c>
      <c r="L7478" t="s">
        <v>6803</v>
      </c>
    </row>
    <row r="7479" spans="1:12" x14ac:dyDescent="0.35">
      <c r="A7479" t="s">
        <v>131</v>
      </c>
      <c r="B7479" s="1">
        <v>45741</v>
      </c>
      <c r="C7479" t="s">
        <v>5731</v>
      </c>
      <c r="D7479" t="s">
        <v>5731</v>
      </c>
      <c r="F7479" t="s">
        <v>7701</v>
      </c>
      <c r="H7479" t="s">
        <v>5518</v>
      </c>
      <c r="I7479" s="1">
        <v>45772</v>
      </c>
      <c r="K7479">
        <v>29500</v>
      </c>
      <c r="L7479" t="s">
        <v>350</v>
      </c>
    </row>
    <row r="7480" spans="1:12" x14ac:dyDescent="0.35">
      <c r="A7480" t="s">
        <v>131</v>
      </c>
      <c r="B7480" s="1">
        <v>45741</v>
      </c>
      <c r="C7480" t="s">
        <v>5731</v>
      </c>
      <c r="D7480" t="s">
        <v>5731</v>
      </c>
      <c r="F7480" t="s">
        <v>8423</v>
      </c>
      <c r="H7480" t="s">
        <v>5518</v>
      </c>
      <c r="I7480" s="1">
        <v>45772</v>
      </c>
      <c r="K7480">
        <v>150000</v>
      </c>
      <c r="L7480" t="s">
        <v>5972</v>
      </c>
    </row>
    <row r="7481" spans="1:12" x14ac:dyDescent="0.35">
      <c r="A7481" t="s">
        <v>131</v>
      </c>
      <c r="B7481" s="1">
        <v>45741</v>
      </c>
      <c r="C7481" t="s">
        <v>5732</v>
      </c>
      <c r="D7481" t="s">
        <v>5732</v>
      </c>
      <c r="F7481" t="s">
        <v>7831</v>
      </c>
      <c r="G7481" t="s">
        <v>8393</v>
      </c>
      <c r="H7481" t="s">
        <v>5518</v>
      </c>
      <c r="I7481" s="1">
        <v>45772</v>
      </c>
      <c r="J7481">
        <v>236000</v>
      </c>
      <c r="L7481" t="s">
        <v>6803</v>
      </c>
    </row>
    <row r="7482" spans="1:12" x14ac:dyDescent="0.35">
      <c r="A7482" t="s">
        <v>131</v>
      </c>
      <c r="B7482" s="1">
        <v>45741</v>
      </c>
      <c r="C7482" t="s">
        <v>5732</v>
      </c>
      <c r="D7482" t="s">
        <v>5732</v>
      </c>
      <c r="F7482" t="s">
        <v>8419</v>
      </c>
      <c r="H7482" t="s">
        <v>5518</v>
      </c>
      <c r="I7482" s="1">
        <v>45772</v>
      </c>
      <c r="K7482">
        <v>27000</v>
      </c>
      <c r="L7482" t="s">
        <v>6803</v>
      </c>
    </row>
    <row r="7483" spans="1:12" x14ac:dyDescent="0.35">
      <c r="A7483" t="s">
        <v>131</v>
      </c>
      <c r="B7483" s="1">
        <v>45741</v>
      </c>
      <c r="C7483" t="s">
        <v>5732</v>
      </c>
      <c r="D7483" t="s">
        <v>5732</v>
      </c>
      <c r="F7483" t="s">
        <v>7701</v>
      </c>
      <c r="H7483" t="s">
        <v>5518</v>
      </c>
      <c r="I7483" s="1">
        <v>45772</v>
      </c>
      <c r="K7483">
        <v>59000</v>
      </c>
      <c r="L7483" t="s">
        <v>350</v>
      </c>
    </row>
    <row r="7484" spans="1:12" x14ac:dyDescent="0.35">
      <c r="A7484" t="s">
        <v>131</v>
      </c>
      <c r="B7484" s="1">
        <v>45741</v>
      </c>
      <c r="C7484" t="s">
        <v>5732</v>
      </c>
      <c r="D7484" t="s">
        <v>5732</v>
      </c>
      <c r="F7484" t="s">
        <v>8423</v>
      </c>
      <c r="H7484" t="s">
        <v>5518</v>
      </c>
      <c r="I7484" s="1">
        <v>45772</v>
      </c>
      <c r="K7484">
        <v>150000</v>
      </c>
      <c r="L7484" t="s">
        <v>5972</v>
      </c>
    </row>
    <row r="7485" spans="1:12" x14ac:dyDescent="0.35">
      <c r="A7485" t="s">
        <v>131</v>
      </c>
      <c r="B7485" s="1">
        <v>45741</v>
      </c>
      <c r="C7485" t="s">
        <v>5733</v>
      </c>
      <c r="D7485" t="s">
        <v>5733</v>
      </c>
      <c r="F7485" t="s">
        <v>7831</v>
      </c>
      <c r="G7485" t="s">
        <v>7521</v>
      </c>
      <c r="H7485" t="s">
        <v>180</v>
      </c>
      <c r="I7485" s="1">
        <v>45777</v>
      </c>
      <c r="J7485">
        <v>409460</v>
      </c>
      <c r="L7485" t="s">
        <v>6803</v>
      </c>
    </row>
    <row r="7486" spans="1:12" x14ac:dyDescent="0.35">
      <c r="A7486" t="s">
        <v>131</v>
      </c>
      <c r="B7486" s="1">
        <v>45741</v>
      </c>
      <c r="C7486" t="s">
        <v>5733</v>
      </c>
      <c r="D7486" t="s">
        <v>5733</v>
      </c>
      <c r="F7486" t="s">
        <v>8419</v>
      </c>
      <c r="H7486" t="s">
        <v>180</v>
      </c>
      <c r="I7486" s="1">
        <v>45777</v>
      </c>
      <c r="K7486">
        <v>53460</v>
      </c>
      <c r="L7486" t="s">
        <v>6803</v>
      </c>
    </row>
    <row r="7487" spans="1:12" x14ac:dyDescent="0.35">
      <c r="A7487" t="s">
        <v>131</v>
      </c>
      <c r="B7487" s="1">
        <v>45741</v>
      </c>
      <c r="C7487" t="s">
        <v>5733</v>
      </c>
      <c r="D7487" t="s">
        <v>5733</v>
      </c>
      <c r="F7487" t="s">
        <v>7701</v>
      </c>
      <c r="H7487" t="s">
        <v>180</v>
      </c>
      <c r="I7487" s="1">
        <v>45777</v>
      </c>
      <c r="K7487">
        <v>59000</v>
      </c>
      <c r="L7487" t="s">
        <v>350</v>
      </c>
    </row>
    <row r="7488" spans="1:12" x14ac:dyDescent="0.35">
      <c r="A7488" t="s">
        <v>131</v>
      </c>
      <c r="B7488" s="1">
        <v>45741</v>
      </c>
      <c r="C7488" t="s">
        <v>5733</v>
      </c>
      <c r="D7488" t="s">
        <v>5733</v>
      </c>
      <c r="F7488" t="s">
        <v>8423</v>
      </c>
      <c r="H7488" t="s">
        <v>180</v>
      </c>
      <c r="I7488" s="1">
        <v>45777</v>
      </c>
      <c r="K7488">
        <v>297000</v>
      </c>
      <c r="L7488" t="s">
        <v>5972</v>
      </c>
    </row>
    <row r="7489" spans="1:12" x14ac:dyDescent="0.35">
      <c r="A7489" t="s">
        <v>131</v>
      </c>
      <c r="B7489" s="1">
        <v>45741</v>
      </c>
      <c r="C7489" t="s">
        <v>5734</v>
      </c>
      <c r="D7489" t="s">
        <v>5734</v>
      </c>
      <c r="F7489" t="s">
        <v>7831</v>
      </c>
      <c r="G7489" t="s">
        <v>7521</v>
      </c>
      <c r="H7489" t="s">
        <v>5551</v>
      </c>
      <c r="I7489" s="1">
        <v>45741</v>
      </c>
      <c r="J7489">
        <v>413000</v>
      </c>
      <c r="L7489" t="s">
        <v>6803</v>
      </c>
    </row>
    <row r="7490" spans="1:12" x14ac:dyDescent="0.35">
      <c r="A7490" t="s">
        <v>131</v>
      </c>
      <c r="B7490" s="1">
        <v>45741</v>
      </c>
      <c r="C7490" t="s">
        <v>5734</v>
      </c>
      <c r="D7490" t="s">
        <v>5734</v>
      </c>
      <c r="F7490" t="s">
        <v>8419</v>
      </c>
      <c r="H7490" t="s">
        <v>5551</v>
      </c>
      <c r="I7490" s="1">
        <v>45741</v>
      </c>
      <c r="K7490">
        <v>54000</v>
      </c>
      <c r="L7490" t="s">
        <v>6803</v>
      </c>
    </row>
    <row r="7491" spans="1:12" x14ac:dyDescent="0.35">
      <c r="A7491" t="s">
        <v>131</v>
      </c>
      <c r="B7491" s="1">
        <v>45741</v>
      </c>
      <c r="C7491" t="s">
        <v>5734</v>
      </c>
      <c r="D7491" t="s">
        <v>5734</v>
      </c>
      <c r="F7491" t="s">
        <v>7701</v>
      </c>
      <c r="H7491" t="s">
        <v>5551</v>
      </c>
      <c r="I7491" s="1">
        <v>45741</v>
      </c>
      <c r="K7491">
        <v>59000</v>
      </c>
      <c r="L7491" t="s">
        <v>350</v>
      </c>
    </row>
    <row r="7492" spans="1:12" x14ac:dyDescent="0.35">
      <c r="A7492" t="s">
        <v>131</v>
      </c>
      <c r="B7492" s="1">
        <v>45741</v>
      </c>
      <c r="C7492" t="s">
        <v>5734</v>
      </c>
      <c r="D7492" t="s">
        <v>5734</v>
      </c>
      <c r="F7492" t="s">
        <v>8423</v>
      </c>
      <c r="H7492" t="s">
        <v>5551</v>
      </c>
      <c r="I7492" s="1">
        <v>45741</v>
      </c>
      <c r="K7492">
        <v>300000</v>
      </c>
      <c r="L7492" t="s">
        <v>5972</v>
      </c>
    </row>
    <row r="7493" spans="1:12" x14ac:dyDescent="0.35">
      <c r="A7493" t="s">
        <v>131</v>
      </c>
      <c r="B7493" s="1">
        <v>45741</v>
      </c>
      <c r="C7493" t="s">
        <v>5735</v>
      </c>
      <c r="D7493" t="s">
        <v>5735</v>
      </c>
      <c r="F7493" t="s">
        <v>7831</v>
      </c>
      <c r="G7493" t="s">
        <v>7521</v>
      </c>
      <c r="H7493" t="s">
        <v>180</v>
      </c>
      <c r="I7493" s="1">
        <v>45777</v>
      </c>
      <c r="J7493">
        <v>146320</v>
      </c>
      <c r="L7493" t="s">
        <v>6803</v>
      </c>
    </row>
    <row r="7494" spans="1:12" x14ac:dyDescent="0.35">
      <c r="A7494" t="s">
        <v>131</v>
      </c>
      <c r="B7494" s="1">
        <v>45741</v>
      </c>
      <c r="C7494" t="s">
        <v>5735</v>
      </c>
      <c r="D7494" t="s">
        <v>5735</v>
      </c>
      <c r="F7494" t="s">
        <v>8419</v>
      </c>
      <c r="H7494" t="s">
        <v>180</v>
      </c>
      <c r="I7494" s="1">
        <v>45777</v>
      </c>
      <c r="K7494">
        <v>17820</v>
      </c>
      <c r="L7494" t="s">
        <v>6803</v>
      </c>
    </row>
    <row r="7495" spans="1:12" x14ac:dyDescent="0.35">
      <c r="A7495" t="s">
        <v>131</v>
      </c>
      <c r="B7495" s="1">
        <v>45741</v>
      </c>
      <c r="C7495" t="s">
        <v>5735</v>
      </c>
      <c r="D7495" t="s">
        <v>5735</v>
      </c>
      <c r="F7495" t="s">
        <v>7701</v>
      </c>
      <c r="H7495" t="s">
        <v>180</v>
      </c>
      <c r="I7495" s="1">
        <v>45777</v>
      </c>
      <c r="K7495">
        <v>29500</v>
      </c>
      <c r="L7495" t="s">
        <v>350</v>
      </c>
    </row>
    <row r="7496" spans="1:12" x14ac:dyDescent="0.35">
      <c r="A7496" t="s">
        <v>131</v>
      </c>
      <c r="B7496" s="1">
        <v>45741</v>
      </c>
      <c r="C7496" t="s">
        <v>5735</v>
      </c>
      <c r="D7496" t="s">
        <v>5735</v>
      </c>
      <c r="F7496" t="s">
        <v>8423</v>
      </c>
      <c r="H7496" t="s">
        <v>180</v>
      </c>
      <c r="I7496" s="1">
        <v>45777</v>
      </c>
      <c r="K7496">
        <v>99000</v>
      </c>
      <c r="L7496" t="s">
        <v>5972</v>
      </c>
    </row>
    <row r="7497" spans="1:12" x14ac:dyDescent="0.35">
      <c r="A7497" t="s">
        <v>131</v>
      </c>
      <c r="B7497" s="1">
        <v>45741</v>
      </c>
      <c r="C7497" t="s">
        <v>5736</v>
      </c>
      <c r="D7497" t="s">
        <v>5736</v>
      </c>
      <c r="F7497" t="s">
        <v>7831</v>
      </c>
      <c r="G7497" t="s">
        <v>7521</v>
      </c>
      <c r="H7497" t="s">
        <v>180</v>
      </c>
      <c r="I7497" s="1">
        <v>45777</v>
      </c>
      <c r="J7497">
        <v>146320</v>
      </c>
      <c r="L7497" t="s">
        <v>6803</v>
      </c>
    </row>
    <row r="7498" spans="1:12" x14ac:dyDescent="0.35">
      <c r="A7498" t="s">
        <v>131</v>
      </c>
      <c r="B7498" s="1">
        <v>45741</v>
      </c>
      <c r="C7498" t="s">
        <v>5736</v>
      </c>
      <c r="D7498" t="s">
        <v>5736</v>
      </c>
      <c r="F7498" t="s">
        <v>8419</v>
      </c>
      <c r="H7498" t="s">
        <v>180</v>
      </c>
      <c r="I7498" s="1">
        <v>45777</v>
      </c>
      <c r="K7498">
        <v>17820</v>
      </c>
      <c r="L7498" t="s">
        <v>6803</v>
      </c>
    </row>
    <row r="7499" spans="1:12" x14ac:dyDescent="0.35">
      <c r="A7499" t="s">
        <v>131</v>
      </c>
      <c r="B7499" s="1">
        <v>45741</v>
      </c>
      <c r="C7499" t="s">
        <v>5736</v>
      </c>
      <c r="D7499" t="s">
        <v>5736</v>
      </c>
      <c r="F7499" t="s">
        <v>7701</v>
      </c>
      <c r="H7499" t="s">
        <v>180</v>
      </c>
      <c r="I7499" s="1">
        <v>45777</v>
      </c>
      <c r="K7499">
        <v>29500</v>
      </c>
      <c r="L7499" t="s">
        <v>350</v>
      </c>
    </row>
    <row r="7500" spans="1:12" x14ac:dyDescent="0.35">
      <c r="A7500" t="s">
        <v>131</v>
      </c>
      <c r="B7500" s="1">
        <v>45741</v>
      </c>
      <c r="C7500" t="s">
        <v>5736</v>
      </c>
      <c r="D7500" t="s">
        <v>5736</v>
      </c>
      <c r="F7500" t="s">
        <v>8423</v>
      </c>
      <c r="H7500" t="s">
        <v>180</v>
      </c>
      <c r="I7500" s="1">
        <v>45777</v>
      </c>
      <c r="K7500">
        <v>99000</v>
      </c>
      <c r="L7500" t="s">
        <v>5972</v>
      </c>
    </row>
    <row r="7501" spans="1:12" x14ac:dyDescent="0.35">
      <c r="A7501" t="s">
        <v>131</v>
      </c>
      <c r="B7501" s="1">
        <v>45741</v>
      </c>
      <c r="C7501" t="s">
        <v>5737</v>
      </c>
      <c r="D7501" t="s">
        <v>5737</v>
      </c>
      <c r="F7501" t="s">
        <v>7831</v>
      </c>
      <c r="G7501" t="s">
        <v>7521</v>
      </c>
      <c r="H7501" t="s">
        <v>180</v>
      </c>
      <c r="I7501" s="1">
        <v>45777</v>
      </c>
      <c r="J7501">
        <v>146320</v>
      </c>
      <c r="L7501" t="s">
        <v>6803</v>
      </c>
    </row>
    <row r="7502" spans="1:12" x14ac:dyDescent="0.35">
      <c r="A7502" t="s">
        <v>131</v>
      </c>
      <c r="B7502" s="1">
        <v>45741</v>
      </c>
      <c r="C7502" t="s">
        <v>5737</v>
      </c>
      <c r="D7502" t="s">
        <v>5737</v>
      </c>
      <c r="F7502" t="s">
        <v>8419</v>
      </c>
      <c r="H7502" t="s">
        <v>180</v>
      </c>
      <c r="I7502" s="1">
        <v>45777</v>
      </c>
      <c r="K7502">
        <v>17820</v>
      </c>
      <c r="L7502" t="s">
        <v>6803</v>
      </c>
    </row>
    <row r="7503" spans="1:12" x14ac:dyDescent="0.35">
      <c r="A7503" t="s">
        <v>131</v>
      </c>
      <c r="B7503" s="1">
        <v>45741</v>
      </c>
      <c r="C7503" t="s">
        <v>5737</v>
      </c>
      <c r="D7503" t="s">
        <v>5737</v>
      </c>
      <c r="F7503" t="s">
        <v>7701</v>
      </c>
      <c r="H7503" t="s">
        <v>180</v>
      </c>
      <c r="I7503" s="1">
        <v>45777</v>
      </c>
      <c r="K7503">
        <v>29500</v>
      </c>
      <c r="L7503" t="s">
        <v>350</v>
      </c>
    </row>
    <row r="7504" spans="1:12" x14ac:dyDescent="0.35">
      <c r="A7504" t="s">
        <v>131</v>
      </c>
      <c r="B7504" s="1">
        <v>45741</v>
      </c>
      <c r="C7504" t="s">
        <v>5737</v>
      </c>
      <c r="D7504" t="s">
        <v>5737</v>
      </c>
      <c r="F7504" t="s">
        <v>8423</v>
      </c>
      <c r="H7504" t="s">
        <v>180</v>
      </c>
      <c r="I7504" s="1">
        <v>45777</v>
      </c>
      <c r="K7504">
        <v>99000</v>
      </c>
      <c r="L7504" t="s">
        <v>5972</v>
      </c>
    </row>
    <row r="7505" spans="1:12" x14ac:dyDescent="0.35">
      <c r="A7505" t="s">
        <v>131</v>
      </c>
      <c r="B7505" s="1">
        <v>45741</v>
      </c>
      <c r="C7505" t="s">
        <v>5738</v>
      </c>
      <c r="D7505" t="s">
        <v>5738</v>
      </c>
      <c r="F7505" t="s">
        <v>7831</v>
      </c>
      <c r="G7505" t="s">
        <v>7521</v>
      </c>
      <c r="H7505" t="s">
        <v>180</v>
      </c>
      <c r="I7505" s="1">
        <v>45777</v>
      </c>
      <c r="J7505">
        <v>146320</v>
      </c>
      <c r="L7505" t="s">
        <v>6803</v>
      </c>
    </row>
    <row r="7506" spans="1:12" x14ac:dyDescent="0.35">
      <c r="A7506" t="s">
        <v>131</v>
      </c>
      <c r="B7506" s="1">
        <v>45741</v>
      </c>
      <c r="C7506" t="s">
        <v>5738</v>
      </c>
      <c r="D7506" t="s">
        <v>5738</v>
      </c>
      <c r="F7506" t="s">
        <v>8419</v>
      </c>
      <c r="H7506" t="s">
        <v>180</v>
      </c>
      <c r="I7506" s="1">
        <v>45777</v>
      </c>
      <c r="K7506">
        <v>17820</v>
      </c>
      <c r="L7506" t="s">
        <v>6803</v>
      </c>
    </row>
    <row r="7507" spans="1:12" x14ac:dyDescent="0.35">
      <c r="A7507" t="s">
        <v>131</v>
      </c>
      <c r="B7507" s="1">
        <v>45741</v>
      </c>
      <c r="C7507" t="s">
        <v>5738</v>
      </c>
      <c r="D7507" t="s">
        <v>5738</v>
      </c>
      <c r="F7507" t="s">
        <v>7701</v>
      </c>
      <c r="H7507" t="s">
        <v>180</v>
      </c>
      <c r="I7507" s="1">
        <v>45777</v>
      </c>
      <c r="K7507">
        <v>29500</v>
      </c>
      <c r="L7507" t="s">
        <v>350</v>
      </c>
    </row>
    <row r="7508" spans="1:12" x14ac:dyDescent="0.35">
      <c r="A7508" t="s">
        <v>131</v>
      </c>
      <c r="B7508" s="1">
        <v>45741</v>
      </c>
      <c r="C7508" t="s">
        <v>5738</v>
      </c>
      <c r="D7508" t="s">
        <v>5738</v>
      </c>
      <c r="F7508" t="s">
        <v>8423</v>
      </c>
      <c r="H7508" t="s">
        <v>180</v>
      </c>
      <c r="I7508" s="1">
        <v>45777</v>
      </c>
      <c r="K7508">
        <v>99000</v>
      </c>
      <c r="L7508" t="s">
        <v>5972</v>
      </c>
    </row>
    <row r="7509" spans="1:12" x14ac:dyDescent="0.35">
      <c r="A7509" t="s">
        <v>131</v>
      </c>
      <c r="B7509" s="1">
        <v>45741</v>
      </c>
      <c r="C7509" t="s">
        <v>5739</v>
      </c>
      <c r="D7509" t="s">
        <v>5739</v>
      </c>
      <c r="F7509" t="s">
        <v>7831</v>
      </c>
      <c r="G7509" t="s">
        <v>9905</v>
      </c>
      <c r="H7509" t="s">
        <v>5740</v>
      </c>
      <c r="I7509" s="1">
        <v>45741</v>
      </c>
      <c r="J7509">
        <v>1982400</v>
      </c>
      <c r="L7509" t="s">
        <v>6803</v>
      </c>
    </row>
    <row r="7510" spans="1:12" x14ac:dyDescent="0.35">
      <c r="A7510" t="s">
        <v>131</v>
      </c>
      <c r="B7510" s="1">
        <v>45741</v>
      </c>
      <c r="C7510" t="s">
        <v>5739</v>
      </c>
      <c r="D7510" t="s">
        <v>5739</v>
      </c>
      <c r="F7510" t="s">
        <v>8419</v>
      </c>
      <c r="H7510" t="s">
        <v>5740</v>
      </c>
      <c r="I7510" s="1">
        <v>45741</v>
      </c>
      <c r="K7510">
        <v>302400</v>
      </c>
      <c r="L7510" t="s">
        <v>6803</v>
      </c>
    </row>
    <row r="7511" spans="1:12" x14ac:dyDescent="0.35">
      <c r="A7511" t="s">
        <v>131</v>
      </c>
      <c r="B7511" s="1">
        <v>45741</v>
      </c>
      <c r="C7511" t="s">
        <v>5739</v>
      </c>
      <c r="D7511" t="s">
        <v>5739</v>
      </c>
      <c r="F7511" t="s">
        <v>8423</v>
      </c>
      <c r="H7511" t="s">
        <v>5740</v>
      </c>
      <c r="I7511" s="1">
        <v>45741</v>
      </c>
      <c r="K7511">
        <v>1680000</v>
      </c>
      <c r="L7511" t="s">
        <v>5975</v>
      </c>
    </row>
    <row r="7512" spans="1:12" x14ac:dyDescent="0.35">
      <c r="A7512" t="s">
        <v>131</v>
      </c>
      <c r="B7512" s="1">
        <v>45741</v>
      </c>
      <c r="C7512" t="s">
        <v>5741</v>
      </c>
      <c r="D7512" t="s">
        <v>5741</v>
      </c>
      <c r="F7512" t="s">
        <v>7831</v>
      </c>
      <c r="G7512" t="s">
        <v>7515</v>
      </c>
      <c r="H7512" t="s">
        <v>5512</v>
      </c>
      <c r="I7512" s="1">
        <v>45772</v>
      </c>
      <c r="J7512">
        <v>266680</v>
      </c>
      <c r="L7512" t="s">
        <v>6803</v>
      </c>
    </row>
    <row r="7513" spans="1:12" x14ac:dyDescent="0.35">
      <c r="A7513" t="s">
        <v>131</v>
      </c>
      <c r="B7513" s="1">
        <v>45741</v>
      </c>
      <c r="C7513" t="s">
        <v>5741</v>
      </c>
      <c r="D7513" t="s">
        <v>5741</v>
      </c>
      <c r="F7513" t="s">
        <v>8419</v>
      </c>
      <c r="H7513" t="s">
        <v>5512</v>
      </c>
      <c r="I7513" s="1">
        <v>45772</v>
      </c>
      <c r="K7513">
        <v>36180</v>
      </c>
      <c r="L7513" t="s">
        <v>6803</v>
      </c>
    </row>
    <row r="7514" spans="1:12" x14ac:dyDescent="0.35">
      <c r="A7514" t="s">
        <v>131</v>
      </c>
      <c r="B7514" s="1">
        <v>45741</v>
      </c>
      <c r="C7514" t="s">
        <v>5741</v>
      </c>
      <c r="D7514" t="s">
        <v>5741</v>
      </c>
      <c r="F7514" t="s">
        <v>7701</v>
      </c>
      <c r="H7514" t="s">
        <v>5512</v>
      </c>
      <c r="I7514" s="1">
        <v>45772</v>
      </c>
      <c r="K7514">
        <v>29500</v>
      </c>
      <c r="L7514" t="s">
        <v>350</v>
      </c>
    </row>
    <row r="7515" spans="1:12" x14ac:dyDescent="0.35">
      <c r="A7515" t="s">
        <v>131</v>
      </c>
      <c r="B7515" s="1">
        <v>45741</v>
      </c>
      <c r="C7515" t="s">
        <v>5741</v>
      </c>
      <c r="D7515" t="s">
        <v>5741</v>
      </c>
      <c r="F7515" t="s">
        <v>8423</v>
      </c>
      <c r="H7515" t="s">
        <v>5512</v>
      </c>
      <c r="I7515" s="1">
        <v>45772</v>
      </c>
      <c r="K7515">
        <v>201000</v>
      </c>
      <c r="L7515" t="s">
        <v>5972</v>
      </c>
    </row>
    <row r="7516" spans="1:12" x14ac:dyDescent="0.35">
      <c r="A7516" t="s">
        <v>131</v>
      </c>
      <c r="B7516" s="1">
        <v>45741</v>
      </c>
      <c r="C7516" t="s">
        <v>5742</v>
      </c>
      <c r="D7516" t="s">
        <v>5742</v>
      </c>
      <c r="F7516" t="s">
        <v>7831</v>
      </c>
      <c r="G7516" t="s">
        <v>7881</v>
      </c>
      <c r="H7516" t="s">
        <v>5526</v>
      </c>
      <c r="I7516" s="1">
        <v>45741</v>
      </c>
      <c r="J7516">
        <v>3342072</v>
      </c>
      <c r="L7516" t="s">
        <v>6803</v>
      </c>
    </row>
    <row r="7517" spans="1:12" x14ac:dyDescent="0.35">
      <c r="A7517" t="s">
        <v>131</v>
      </c>
      <c r="B7517" s="1">
        <v>45741</v>
      </c>
      <c r="C7517" t="s">
        <v>5742</v>
      </c>
      <c r="D7517" t="s">
        <v>5742</v>
      </c>
      <c r="F7517" t="s">
        <v>8424</v>
      </c>
      <c r="H7517" t="s">
        <v>5526</v>
      </c>
      <c r="I7517" s="1">
        <v>45741</v>
      </c>
      <c r="K7517">
        <v>3342072</v>
      </c>
      <c r="L7517" t="s">
        <v>5977</v>
      </c>
    </row>
    <row r="7518" spans="1:12" x14ac:dyDescent="0.35">
      <c r="A7518" t="s">
        <v>131</v>
      </c>
      <c r="B7518" s="1">
        <v>45741</v>
      </c>
      <c r="C7518" t="s">
        <v>5743</v>
      </c>
      <c r="D7518" t="s">
        <v>5743</v>
      </c>
      <c r="F7518" t="s">
        <v>7823</v>
      </c>
      <c r="G7518" t="s">
        <v>7877</v>
      </c>
      <c r="H7518" t="s">
        <v>5508</v>
      </c>
      <c r="I7518" s="1">
        <v>45772</v>
      </c>
      <c r="J7518">
        <v>7347902</v>
      </c>
      <c r="L7518" t="s">
        <v>6803</v>
      </c>
    </row>
    <row r="7519" spans="1:12" x14ac:dyDescent="0.35">
      <c r="A7519" t="s">
        <v>131</v>
      </c>
      <c r="B7519" s="1">
        <v>45741</v>
      </c>
      <c r="C7519" t="s">
        <v>5743</v>
      </c>
      <c r="D7519" t="s">
        <v>5743</v>
      </c>
      <c r="F7519" t="s">
        <v>8423</v>
      </c>
      <c r="H7519" t="s">
        <v>5508</v>
      </c>
      <c r="I7519" s="1">
        <v>45772</v>
      </c>
      <c r="K7519">
        <v>7347902</v>
      </c>
      <c r="L7519" t="s">
        <v>5975</v>
      </c>
    </row>
    <row r="7520" spans="1:12" x14ac:dyDescent="0.35">
      <c r="A7520" t="s">
        <v>131</v>
      </c>
      <c r="B7520" s="1">
        <v>45741</v>
      </c>
      <c r="C7520" t="s">
        <v>5744</v>
      </c>
      <c r="D7520" t="s">
        <v>5744</v>
      </c>
      <c r="F7520" t="s">
        <v>7823</v>
      </c>
      <c r="G7520" t="s">
        <v>7877</v>
      </c>
      <c r="H7520" t="s">
        <v>5508</v>
      </c>
      <c r="I7520" s="1">
        <v>45772</v>
      </c>
      <c r="J7520">
        <v>304485</v>
      </c>
      <c r="L7520" t="s">
        <v>6803</v>
      </c>
    </row>
    <row r="7521" spans="1:12" x14ac:dyDescent="0.35">
      <c r="A7521" t="s">
        <v>131</v>
      </c>
      <c r="B7521" s="1">
        <v>45741</v>
      </c>
      <c r="C7521" t="s">
        <v>5744</v>
      </c>
      <c r="D7521" t="s">
        <v>5744</v>
      </c>
      <c r="F7521" t="s">
        <v>8419</v>
      </c>
      <c r="H7521" t="s">
        <v>5508</v>
      </c>
      <c r="I7521" s="1">
        <v>45772</v>
      </c>
      <c r="K7521">
        <v>46447</v>
      </c>
      <c r="L7521" t="s">
        <v>6803</v>
      </c>
    </row>
    <row r="7522" spans="1:12" x14ac:dyDescent="0.35">
      <c r="A7522" t="s">
        <v>131</v>
      </c>
      <c r="B7522" s="1">
        <v>45741</v>
      </c>
      <c r="C7522" t="s">
        <v>5744</v>
      </c>
      <c r="D7522" t="s">
        <v>5744</v>
      </c>
      <c r="F7522" t="s">
        <v>8423</v>
      </c>
      <c r="H7522" t="s">
        <v>5508</v>
      </c>
      <c r="I7522" s="1">
        <v>45772</v>
      </c>
      <c r="K7522">
        <v>258038</v>
      </c>
      <c r="L7522" t="s">
        <v>5977</v>
      </c>
    </row>
    <row r="7523" spans="1:12" x14ac:dyDescent="0.35">
      <c r="A7523" t="s">
        <v>131</v>
      </c>
      <c r="B7523" s="1">
        <v>45741</v>
      </c>
      <c r="C7523" t="s">
        <v>5745</v>
      </c>
      <c r="D7523" t="s">
        <v>5745</v>
      </c>
      <c r="F7523" t="s">
        <v>7823</v>
      </c>
      <c r="G7523" t="s">
        <v>7877</v>
      </c>
      <c r="H7523" t="s">
        <v>5508</v>
      </c>
      <c r="I7523" s="1">
        <v>45772</v>
      </c>
      <c r="J7523">
        <v>304485</v>
      </c>
      <c r="L7523" t="s">
        <v>6803</v>
      </c>
    </row>
    <row r="7524" spans="1:12" x14ac:dyDescent="0.35">
      <c r="A7524" t="s">
        <v>131</v>
      </c>
      <c r="B7524" s="1">
        <v>45741</v>
      </c>
      <c r="C7524" t="s">
        <v>5745</v>
      </c>
      <c r="D7524" t="s">
        <v>5745</v>
      </c>
      <c r="F7524" t="s">
        <v>8419</v>
      </c>
      <c r="H7524" t="s">
        <v>5508</v>
      </c>
      <c r="I7524" s="1">
        <v>45772</v>
      </c>
      <c r="K7524">
        <v>46447</v>
      </c>
      <c r="L7524" t="s">
        <v>6803</v>
      </c>
    </row>
    <row r="7525" spans="1:12" x14ac:dyDescent="0.35">
      <c r="A7525" t="s">
        <v>131</v>
      </c>
      <c r="B7525" s="1">
        <v>45741</v>
      </c>
      <c r="C7525" t="s">
        <v>5745</v>
      </c>
      <c r="D7525" t="s">
        <v>5745</v>
      </c>
      <c r="F7525" t="s">
        <v>8423</v>
      </c>
      <c r="H7525" t="s">
        <v>5508</v>
      </c>
      <c r="I7525" s="1">
        <v>45772</v>
      </c>
      <c r="K7525">
        <v>258038</v>
      </c>
      <c r="L7525" t="s">
        <v>5977</v>
      </c>
    </row>
    <row r="7526" spans="1:12" x14ac:dyDescent="0.35">
      <c r="A7526" t="s">
        <v>131</v>
      </c>
      <c r="B7526" s="1">
        <v>45742</v>
      </c>
      <c r="C7526" t="s">
        <v>5746</v>
      </c>
      <c r="D7526" t="s">
        <v>5746</v>
      </c>
      <c r="F7526" t="s">
        <v>7831</v>
      </c>
      <c r="G7526" t="s">
        <v>7515</v>
      </c>
      <c r="H7526" t="s">
        <v>165</v>
      </c>
      <c r="I7526" s="1">
        <v>45742</v>
      </c>
      <c r="J7526">
        <v>1067310</v>
      </c>
      <c r="L7526" t="s">
        <v>6803</v>
      </c>
    </row>
    <row r="7527" spans="1:12" x14ac:dyDescent="0.35">
      <c r="A7527" t="s">
        <v>131</v>
      </c>
      <c r="B7527" s="1">
        <v>45742</v>
      </c>
      <c r="C7527" t="s">
        <v>5746</v>
      </c>
      <c r="D7527" t="s">
        <v>5746</v>
      </c>
      <c r="F7527" t="s">
        <v>8419</v>
      </c>
      <c r="H7527" t="s">
        <v>165</v>
      </c>
      <c r="I7527" s="1">
        <v>45742</v>
      </c>
      <c r="K7527">
        <v>162810</v>
      </c>
      <c r="L7527" t="s">
        <v>6803</v>
      </c>
    </row>
    <row r="7528" spans="1:12" x14ac:dyDescent="0.35">
      <c r="A7528" t="s">
        <v>131</v>
      </c>
      <c r="B7528" s="1">
        <v>45742</v>
      </c>
      <c r="C7528" t="s">
        <v>5746</v>
      </c>
      <c r="D7528" t="s">
        <v>5746</v>
      </c>
      <c r="F7528" t="s">
        <v>8423</v>
      </c>
      <c r="H7528" t="s">
        <v>165</v>
      </c>
      <c r="I7528" s="1">
        <v>45742</v>
      </c>
      <c r="K7528">
        <v>904500</v>
      </c>
      <c r="L7528" t="s">
        <v>5972</v>
      </c>
    </row>
    <row r="7529" spans="1:12" x14ac:dyDescent="0.35">
      <c r="A7529" t="s">
        <v>131</v>
      </c>
      <c r="B7529" s="1">
        <v>45742</v>
      </c>
      <c r="C7529" t="s">
        <v>5747</v>
      </c>
      <c r="D7529" t="s">
        <v>5747</v>
      </c>
      <c r="F7529" t="s">
        <v>7823</v>
      </c>
      <c r="G7529" t="s">
        <v>8392</v>
      </c>
      <c r="H7529" t="s">
        <v>5748</v>
      </c>
      <c r="I7529" s="1">
        <v>45777</v>
      </c>
      <c r="J7529">
        <v>1548000</v>
      </c>
      <c r="L7529" t="s">
        <v>6803</v>
      </c>
    </row>
    <row r="7530" spans="1:12" x14ac:dyDescent="0.35">
      <c r="A7530" t="s">
        <v>131</v>
      </c>
      <c r="B7530" s="1">
        <v>45742</v>
      </c>
      <c r="C7530" t="s">
        <v>5747</v>
      </c>
      <c r="D7530" t="s">
        <v>5747</v>
      </c>
      <c r="F7530" t="s">
        <v>7701</v>
      </c>
      <c r="H7530" t="s">
        <v>5748</v>
      </c>
      <c r="I7530" s="1">
        <v>45777</v>
      </c>
      <c r="K7530">
        <v>300000</v>
      </c>
      <c r="L7530" t="s">
        <v>350</v>
      </c>
    </row>
    <row r="7531" spans="1:12" x14ac:dyDescent="0.35">
      <c r="A7531" t="s">
        <v>131</v>
      </c>
      <c r="B7531" s="1">
        <v>45742</v>
      </c>
      <c r="C7531" t="s">
        <v>5747</v>
      </c>
      <c r="D7531" t="s">
        <v>5747</v>
      </c>
      <c r="F7531" t="s">
        <v>8423</v>
      </c>
      <c r="H7531" t="s">
        <v>5748</v>
      </c>
      <c r="I7531" s="1">
        <v>45777</v>
      </c>
      <c r="K7531">
        <v>1248000</v>
      </c>
      <c r="L7531" t="s">
        <v>5975</v>
      </c>
    </row>
    <row r="7532" spans="1:12" x14ac:dyDescent="0.35">
      <c r="A7532" t="s">
        <v>131</v>
      </c>
      <c r="B7532" s="1">
        <v>45742</v>
      </c>
      <c r="C7532" t="s">
        <v>5749</v>
      </c>
      <c r="D7532" t="s">
        <v>5749</v>
      </c>
      <c r="F7532" t="s">
        <v>7823</v>
      </c>
      <c r="G7532" t="s">
        <v>8392</v>
      </c>
      <c r="H7532" t="s">
        <v>5748</v>
      </c>
      <c r="I7532" s="1">
        <v>45777</v>
      </c>
      <c r="J7532">
        <v>1290000</v>
      </c>
      <c r="L7532" t="s">
        <v>6803</v>
      </c>
    </row>
    <row r="7533" spans="1:12" x14ac:dyDescent="0.35">
      <c r="A7533" t="s">
        <v>131</v>
      </c>
      <c r="B7533" s="1">
        <v>45742</v>
      </c>
      <c r="C7533" t="s">
        <v>5749</v>
      </c>
      <c r="D7533" t="s">
        <v>5749</v>
      </c>
      <c r="F7533" t="s">
        <v>7701</v>
      </c>
      <c r="H7533" t="s">
        <v>5748</v>
      </c>
      <c r="I7533" s="1">
        <v>45777</v>
      </c>
      <c r="K7533">
        <v>250000</v>
      </c>
      <c r="L7533" t="s">
        <v>350</v>
      </c>
    </row>
    <row r="7534" spans="1:12" x14ac:dyDescent="0.35">
      <c r="A7534" t="s">
        <v>131</v>
      </c>
      <c r="B7534" s="1">
        <v>45742</v>
      </c>
      <c r="C7534" t="s">
        <v>5749</v>
      </c>
      <c r="D7534" t="s">
        <v>5749</v>
      </c>
      <c r="F7534" t="s">
        <v>8423</v>
      </c>
      <c r="H7534" t="s">
        <v>5748</v>
      </c>
      <c r="I7534" s="1">
        <v>45777</v>
      </c>
      <c r="K7534">
        <v>1040000</v>
      </c>
      <c r="L7534" t="s">
        <v>5975</v>
      </c>
    </row>
    <row r="7535" spans="1:12" x14ac:dyDescent="0.35">
      <c r="A7535" t="s">
        <v>131</v>
      </c>
      <c r="B7535" s="1">
        <v>45742</v>
      </c>
      <c r="C7535" t="s">
        <v>5750</v>
      </c>
      <c r="D7535" t="s">
        <v>5750</v>
      </c>
      <c r="F7535" t="s">
        <v>7823</v>
      </c>
      <c r="G7535" t="s">
        <v>8392</v>
      </c>
      <c r="H7535" t="s">
        <v>5748</v>
      </c>
      <c r="I7535" s="1">
        <v>45777</v>
      </c>
      <c r="J7535">
        <v>3096000</v>
      </c>
      <c r="L7535" t="s">
        <v>6803</v>
      </c>
    </row>
    <row r="7536" spans="1:12" x14ac:dyDescent="0.35">
      <c r="A7536" t="s">
        <v>131</v>
      </c>
      <c r="B7536" s="1">
        <v>45742</v>
      </c>
      <c r="C7536" t="s">
        <v>5750</v>
      </c>
      <c r="D7536" t="s">
        <v>5750</v>
      </c>
      <c r="F7536" t="s">
        <v>7701</v>
      </c>
      <c r="H7536" t="s">
        <v>5748</v>
      </c>
      <c r="I7536" s="1">
        <v>45777</v>
      </c>
      <c r="K7536">
        <v>600000</v>
      </c>
      <c r="L7536" t="s">
        <v>350</v>
      </c>
    </row>
    <row r="7537" spans="1:12" x14ac:dyDescent="0.35">
      <c r="A7537" t="s">
        <v>131</v>
      </c>
      <c r="B7537" s="1">
        <v>45742</v>
      </c>
      <c r="C7537" t="s">
        <v>5750</v>
      </c>
      <c r="D7537" t="s">
        <v>5750</v>
      </c>
      <c r="F7537" t="s">
        <v>8423</v>
      </c>
      <c r="H7537" t="s">
        <v>5748</v>
      </c>
      <c r="I7537" s="1">
        <v>45777</v>
      </c>
      <c r="K7537">
        <v>2496000</v>
      </c>
      <c r="L7537" t="s">
        <v>5975</v>
      </c>
    </row>
    <row r="7538" spans="1:12" x14ac:dyDescent="0.35">
      <c r="A7538" t="s">
        <v>131</v>
      </c>
      <c r="B7538" s="1">
        <v>45742</v>
      </c>
      <c r="C7538" t="s">
        <v>5751</v>
      </c>
      <c r="D7538" t="s">
        <v>5751</v>
      </c>
      <c r="F7538" t="s">
        <v>7823</v>
      </c>
      <c r="G7538" t="s">
        <v>8392</v>
      </c>
      <c r="H7538" t="s">
        <v>5748</v>
      </c>
      <c r="I7538" s="1">
        <v>45777</v>
      </c>
      <c r="J7538">
        <v>1548000</v>
      </c>
      <c r="L7538" t="s">
        <v>6803</v>
      </c>
    </row>
    <row r="7539" spans="1:12" x14ac:dyDescent="0.35">
      <c r="A7539" t="s">
        <v>131</v>
      </c>
      <c r="B7539" s="1">
        <v>45742</v>
      </c>
      <c r="C7539" t="s">
        <v>5751</v>
      </c>
      <c r="D7539" t="s">
        <v>5751</v>
      </c>
      <c r="F7539" t="s">
        <v>7701</v>
      </c>
      <c r="H7539" t="s">
        <v>5748</v>
      </c>
      <c r="I7539" s="1">
        <v>45777</v>
      </c>
      <c r="K7539">
        <v>300000</v>
      </c>
      <c r="L7539" t="s">
        <v>350</v>
      </c>
    </row>
    <row r="7540" spans="1:12" x14ac:dyDescent="0.35">
      <c r="A7540" t="s">
        <v>131</v>
      </c>
      <c r="B7540" s="1">
        <v>45742</v>
      </c>
      <c r="C7540" t="s">
        <v>5751</v>
      </c>
      <c r="D7540" t="s">
        <v>5751</v>
      </c>
      <c r="F7540" t="s">
        <v>8423</v>
      </c>
      <c r="H7540" t="s">
        <v>5748</v>
      </c>
      <c r="I7540" s="1">
        <v>45777</v>
      </c>
      <c r="K7540">
        <v>1248000</v>
      </c>
      <c r="L7540" t="s">
        <v>5975</v>
      </c>
    </row>
    <row r="7541" spans="1:12" x14ac:dyDescent="0.35">
      <c r="A7541" t="s">
        <v>131</v>
      </c>
      <c r="B7541" s="1">
        <v>45742</v>
      </c>
      <c r="C7541" t="s">
        <v>5752</v>
      </c>
      <c r="D7541" t="s">
        <v>5752</v>
      </c>
      <c r="F7541" t="s">
        <v>7823</v>
      </c>
      <c r="G7541" t="s">
        <v>8392</v>
      </c>
      <c r="H7541" t="s">
        <v>5748</v>
      </c>
      <c r="I7541" s="1">
        <v>45777</v>
      </c>
      <c r="J7541">
        <v>1290000</v>
      </c>
      <c r="L7541" t="s">
        <v>6803</v>
      </c>
    </row>
    <row r="7542" spans="1:12" x14ac:dyDescent="0.35">
      <c r="A7542" t="s">
        <v>131</v>
      </c>
      <c r="B7542" s="1">
        <v>45742</v>
      </c>
      <c r="C7542" t="s">
        <v>5752</v>
      </c>
      <c r="D7542" t="s">
        <v>5752</v>
      </c>
      <c r="F7542" t="s">
        <v>7701</v>
      </c>
      <c r="H7542" t="s">
        <v>5748</v>
      </c>
      <c r="I7542" s="1">
        <v>45777</v>
      </c>
      <c r="K7542">
        <v>250000</v>
      </c>
      <c r="L7542" t="s">
        <v>350</v>
      </c>
    </row>
    <row r="7543" spans="1:12" x14ac:dyDescent="0.35">
      <c r="A7543" t="s">
        <v>131</v>
      </c>
      <c r="B7543" s="1">
        <v>45742</v>
      </c>
      <c r="C7543" t="s">
        <v>5752</v>
      </c>
      <c r="D7543" t="s">
        <v>5752</v>
      </c>
      <c r="F7543" t="s">
        <v>8423</v>
      </c>
      <c r="H7543" t="s">
        <v>5748</v>
      </c>
      <c r="I7543" s="1">
        <v>45777</v>
      </c>
      <c r="K7543">
        <v>1040000</v>
      </c>
      <c r="L7543" t="s">
        <v>5975</v>
      </c>
    </row>
    <row r="7544" spans="1:12" x14ac:dyDescent="0.35">
      <c r="A7544" t="s">
        <v>131</v>
      </c>
      <c r="B7544" s="1">
        <v>45742</v>
      </c>
      <c r="C7544" t="s">
        <v>5753</v>
      </c>
      <c r="D7544" t="s">
        <v>5753</v>
      </c>
      <c r="F7544" t="s">
        <v>7823</v>
      </c>
      <c r="G7544" t="s">
        <v>8392</v>
      </c>
      <c r="H7544" t="s">
        <v>5748</v>
      </c>
      <c r="I7544" s="1">
        <v>45777</v>
      </c>
      <c r="J7544">
        <v>1290000</v>
      </c>
      <c r="L7544" t="s">
        <v>6803</v>
      </c>
    </row>
    <row r="7545" spans="1:12" x14ac:dyDescent="0.35">
      <c r="A7545" t="s">
        <v>131</v>
      </c>
      <c r="B7545" s="1">
        <v>45742</v>
      </c>
      <c r="C7545" t="s">
        <v>5753</v>
      </c>
      <c r="D7545" t="s">
        <v>5753</v>
      </c>
      <c r="F7545" t="s">
        <v>7701</v>
      </c>
      <c r="H7545" t="s">
        <v>5748</v>
      </c>
      <c r="I7545" s="1">
        <v>45777</v>
      </c>
      <c r="K7545">
        <v>250000</v>
      </c>
      <c r="L7545" t="s">
        <v>350</v>
      </c>
    </row>
    <row r="7546" spans="1:12" x14ac:dyDescent="0.35">
      <c r="A7546" t="s">
        <v>131</v>
      </c>
      <c r="B7546" s="1">
        <v>45742</v>
      </c>
      <c r="C7546" t="s">
        <v>5753</v>
      </c>
      <c r="D7546" t="s">
        <v>5753</v>
      </c>
      <c r="F7546" t="s">
        <v>8423</v>
      </c>
      <c r="H7546" t="s">
        <v>5748</v>
      </c>
      <c r="I7546" s="1">
        <v>45777</v>
      </c>
      <c r="K7546">
        <v>1040000</v>
      </c>
      <c r="L7546" t="s">
        <v>5975</v>
      </c>
    </row>
    <row r="7547" spans="1:12" x14ac:dyDescent="0.35">
      <c r="A7547" t="s">
        <v>131</v>
      </c>
      <c r="B7547" s="1">
        <v>45742</v>
      </c>
      <c r="C7547" t="s">
        <v>5754</v>
      </c>
      <c r="D7547" t="s">
        <v>5754</v>
      </c>
      <c r="F7547" t="s">
        <v>7823</v>
      </c>
      <c r="G7547" t="s">
        <v>8392</v>
      </c>
      <c r="H7547" t="s">
        <v>5748</v>
      </c>
      <c r="I7547" s="1">
        <v>45777</v>
      </c>
      <c r="J7547">
        <v>1290000</v>
      </c>
      <c r="L7547" t="s">
        <v>6803</v>
      </c>
    </row>
    <row r="7548" spans="1:12" x14ac:dyDescent="0.35">
      <c r="A7548" t="s">
        <v>131</v>
      </c>
      <c r="B7548" s="1">
        <v>45742</v>
      </c>
      <c r="C7548" t="s">
        <v>5754</v>
      </c>
      <c r="D7548" t="s">
        <v>5754</v>
      </c>
      <c r="F7548" t="s">
        <v>7701</v>
      </c>
      <c r="H7548" t="s">
        <v>5748</v>
      </c>
      <c r="I7548" s="1">
        <v>45777</v>
      </c>
      <c r="K7548">
        <v>250000</v>
      </c>
      <c r="L7548" t="s">
        <v>350</v>
      </c>
    </row>
    <row r="7549" spans="1:12" x14ac:dyDescent="0.35">
      <c r="A7549" t="s">
        <v>131</v>
      </c>
      <c r="B7549" s="1">
        <v>45742</v>
      </c>
      <c r="C7549" t="s">
        <v>5754</v>
      </c>
      <c r="D7549" t="s">
        <v>5754</v>
      </c>
      <c r="F7549" t="s">
        <v>8423</v>
      </c>
      <c r="H7549" t="s">
        <v>5748</v>
      </c>
      <c r="I7549" s="1">
        <v>45777</v>
      </c>
      <c r="K7549">
        <v>1040000</v>
      </c>
      <c r="L7549" t="s">
        <v>5975</v>
      </c>
    </row>
    <row r="7550" spans="1:12" x14ac:dyDescent="0.35">
      <c r="A7550" t="s">
        <v>131</v>
      </c>
      <c r="B7550" s="1">
        <v>45742</v>
      </c>
      <c r="C7550" t="s">
        <v>5755</v>
      </c>
      <c r="D7550" t="s">
        <v>5755</v>
      </c>
      <c r="F7550" t="s">
        <v>7823</v>
      </c>
      <c r="G7550" t="s">
        <v>8392</v>
      </c>
      <c r="H7550" t="s">
        <v>5748</v>
      </c>
      <c r="I7550" s="1">
        <v>45777</v>
      </c>
      <c r="J7550">
        <v>1290000</v>
      </c>
      <c r="L7550" t="s">
        <v>6803</v>
      </c>
    </row>
    <row r="7551" spans="1:12" x14ac:dyDescent="0.35">
      <c r="A7551" t="s">
        <v>131</v>
      </c>
      <c r="B7551" s="1">
        <v>45742</v>
      </c>
      <c r="C7551" t="s">
        <v>5755</v>
      </c>
      <c r="D7551" t="s">
        <v>5755</v>
      </c>
      <c r="F7551" t="s">
        <v>7701</v>
      </c>
      <c r="H7551" t="s">
        <v>5748</v>
      </c>
      <c r="I7551" s="1">
        <v>45777</v>
      </c>
      <c r="K7551">
        <v>250000</v>
      </c>
      <c r="L7551" t="s">
        <v>350</v>
      </c>
    </row>
    <row r="7552" spans="1:12" x14ac:dyDescent="0.35">
      <c r="A7552" t="s">
        <v>131</v>
      </c>
      <c r="B7552" s="1">
        <v>45742</v>
      </c>
      <c r="C7552" t="s">
        <v>5755</v>
      </c>
      <c r="D7552" t="s">
        <v>5755</v>
      </c>
      <c r="F7552" t="s">
        <v>8423</v>
      </c>
      <c r="H7552" t="s">
        <v>5748</v>
      </c>
      <c r="I7552" s="1">
        <v>45777</v>
      </c>
      <c r="K7552">
        <v>1040000</v>
      </c>
      <c r="L7552" t="s">
        <v>5975</v>
      </c>
    </row>
    <row r="7553" spans="1:12" x14ac:dyDescent="0.35">
      <c r="A7553" t="s">
        <v>131</v>
      </c>
      <c r="B7553" s="1">
        <v>45742</v>
      </c>
      <c r="C7553" t="s">
        <v>5756</v>
      </c>
      <c r="D7553" t="s">
        <v>5756</v>
      </c>
      <c r="F7553" t="s">
        <v>7823</v>
      </c>
      <c r="G7553" t="s">
        <v>8392</v>
      </c>
      <c r="H7553" t="s">
        <v>5748</v>
      </c>
      <c r="I7553" s="1">
        <v>45777</v>
      </c>
      <c r="J7553">
        <v>516000</v>
      </c>
      <c r="L7553" t="s">
        <v>6803</v>
      </c>
    </row>
    <row r="7554" spans="1:12" x14ac:dyDescent="0.35">
      <c r="A7554" t="s">
        <v>131</v>
      </c>
      <c r="B7554" s="1">
        <v>45742</v>
      </c>
      <c r="C7554" t="s">
        <v>5756</v>
      </c>
      <c r="D7554" t="s">
        <v>5756</v>
      </c>
      <c r="F7554" t="s">
        <v>7701</v>
      </c>
      <c r="H7554" t="s">
        <v>5748</v>
      </c>
      <c r="I7554" s="1">
        <v>45777</v>
      </c>
      <c r="K7554">
        <v>100000</v>
      </c>
      <c r="L7554" t="s">
        <v>350</v>
      </c>
    </row>
    <row r="7555" spans="1:12" x14ac:dyDescent="0.35">
      <c r="A7555" t="s">
        <v>131</v>
      </c>
      <c r="B7555" s="1">
        <v>45742</v>
      </c>
      <c r="C7555" t="s">
        <v>5756</v>
      </c>
      <c r="D7555" t="s">
        <v>5756</v>
      </c>
      <c r="F7555" t="s">
        <v>8423</v>
      </c>
      <c r="H7555" t="s">
        <v>5748</v>
      </c>
      <c r="I7555" s="1">
        <v>45777</v>
      </c>
      <c r="K7555">
        <v>416000</v>
      </c>
      <c r="L7555" t="s">
        <v>5975</v>
      </c>
    </row>
    <row r="7556" spans="1:12" x14ac:dyDescent="0.35">
      <c r="A7556" t="s">
        <v>131</v>
      </c>
      <c r="B7556" s="1">
        <v>45742</v>
      </c>
      <c r="C7556" t="s">
        <v>5757</v>
      </c>
      <c r="D7556" t="s">
        <v>5757</v>
      </c>
      <c r="F7556" t="s">
        <v>7823</v>
      </c>
      <c r="G7556" t="s">
        <v>8392</v>
      </c>
      <c r="H7556" t="s">
        <v>5748</v>
      </c>
      <c r="I7556" s="1">
        <v>45777</v>
      </c>
      <c r="J7556">
        <v>1548000</v>
      </c>
      <c r="L7556" t="s">
        <v>6803</v>
      </c>
    </row>
    <row r="7557" spans="1:12" x14ac:dyDescent="0.35">
      <c r="A7557" t="s">
        <v>131</v>
      </c>
      <c r="B7557" s="1">
        <v>45742</v>
      </c>
      <c r="C7557" t="s">
        <v>5757</v>
      </c>
      <c r="D7557" t="s">
        <v>5757</v>
      </c>
      <c r="F7557" t="s">
        <v>7701</v>
      </c>
      <c r="H7557" t="s">
        <v>5748</v>
      </c>
      <c r="I7557" s="1">
        <v>45777</v>
      </c>
      <c r="K7557">
        <v>300000</v>
      </c>
      <c r="L7557" t="s">
        <v>350</v>
      </c>
    </row>
    <row r="7558" spans="1:12" x14ac:dyDescent="0.35">
      <c r="A7558" t="s">
        <v>131</v>
      </c>
      <c r="B7558" s="1">
        <v>45742</v>
      </c>
      <c r="C7558" t="s">
        <v>5757</v>
      </c>
      <c r="D7558" t="s">
        <v>5757</v>
      </c>
      <c r="F7558" t="s">
        <v>8423</v>
      </c>
      <c r="H7558" t="s">
        <v>5748</v>
      </c>
      <c r="I7558" s="1">
        <v>45777</v>
      </c>
      <c r="K7558">
        <v>1248000</v>
      </c>
      <c r="L7558" t="s">
        <v>5975</v>
      </c>
    </row>
    <row r="7559" spans="1:12" x14ac:dyDescent="0.35">
      <c r="A7559" t="s">
        <v>131</v>
      </c>
      <c r="B7559" s="1">
        <v>45742</v>
      </c>
      <c r="C7559" t="s">
        <v>5758</v>
      </c>
      <c r="D7559" t="s">
        <v>5758</v>
      </c>
      <c r="F7559" t="s">
        <v>7823</v>
      </c>
      <c r="G7559" t="s">
        <v>7877</v>
      </c>
      <c r="H7559" t="s">
        <v>5508</v>
      </c>
      <c r="I7559" s="1">
        <v>45773</v>
      </c>
      <c r="J7559">
        <v>1099170</v>
      </c>
      <c r="L7559" t="s">
        <v>6803</v>
      </c>
    </row>
    <row r="7560" spans="1:12" x14ac:dyDescent="0.35">
      <c r="A7560" t="s">
        <v>131</v>
      </c>
      <c r="B7560" s="1">
        <v>45742</v>
      </c>
      <c r="C7560" t="s">
        <v>5758</v>
      </c>
      <c r="D7560" t="s">
        <v>5758</v>
      </c>
      <c r="F7560" t="s">
        <v>8419</v>
      </c>
      <c r="H7560" t="s">
        <v>5508</v>
      </c>
      <c r="I7560" s="1">
        <v>45773</v>
      </c>
      <c r="K7560">
        <v>167670</v>
      </c>
      <c r="L7560" t="s">
        <v>6803</v>
      </c>
    </row>
    <row r="7561" spans="1:12" x14ac:dyDescent="0.35">
      <c r="A7561" t="s">
        <v>131</v>
      </c>
      <c r="B7561" s="1">
        <v>45742</v>
      </c>
      <c r="C7561" t="s">
        <v>5758</v>
      </c>
      <c r="D7561" t="s">
        <v>5758</v>
      </c>
      <c r="F7561" t="s">
        <v>8423</v>
      </c>
      <c r="H7561" t="s">
        <v>5508</v>
      </c>
      <c r="I7561" s="1">
        <v>45773</v>
      </c>
      <c r="K7561">
        <v>931500</v>
      </c>
      <c r="L7561" t="s">
        <v>5977</v>
      </c>
    </row>
    <row r="7562" spans="1:12" x14ac:dyDescent="0.35">
      <c r="A7562" t="s">
        <v>131</v>
      </c>
      <c r="B7562" s="1">
        <v>45742</v>
      </c>
      <c r="C7562" t="s">
        <v>5759</v>
      </c>
      <c r="D7562" t="s">
        <v>5759</v>
      </c>
      <c r="F7562" t="s">
        <v>7823</v>
      </c>
      <c r="G7562" t="s">
        <v>7877</v>
      </c>
      <c r="H7562" t="s">
        <v>5508</v>
      </c>
      <c r="I7562" s="1">
        <v>45773</v>
      </c>
      <c r="J7562">
        <v>25636</v>
      </c>
      <c r="L7562" t="s">
        <v>6803</v>
      </c>
    </row>
    <row r="7563" spans="1:12" x14ac:dyDescent="0.35">
      <c r="A7563" t="s">
        <v>131</v>
      </c>
      <c r="B7563" s="1">
        <v>45742</v>
      </c>
      <c r="C7563" t="s">
        <v>5759</v>
      </c>
      <c r="D7563" t="s">
        <v>5759</v>
      </c>
      <c r="F7563" t="s">
        <v>8419</v>
      </c>
      <c r="H7563" t="s">
        <v>5508</v>
      </c>
      <c r="I7563" s="1">
        <v>45773</v>
      </c>
      <c r="K7563">
        <v>3911</v>
      </c>
      <c r="L7563" t="s">
        <v>6803</v>
      </c>
    </row>
    <row r="7564" spans="1:12" x14ac:dyDescent="0.35">
      <c r="A7564" t="s">
        <v>131</v>
      </c>
      <c r="B7564" s="1">
        <v>45742</v>
      </c>
      <c r="C7564" t="s">
        <v>5759</v>
      </c>
      <c r="D7564" t="s">
        <v>5759</v>
      </c>
      <c r="F7564" t="s">
        <v>8423</v>
      </c>
      <c r="H7564" t="s">
        <v>5508</v>
      </c>
      <c r="I7564" s="1">
        <v>45773</v>
      </c>
      <c r="K7564">
        <v>21725</v>
      </c>
      <c r="L7564" t="s">
        <v>5977</v>
      </c>
    </row>
    <row r="7565" spans="1:12" x14ac:dyDescent="0.35">
      <c r="A7565" t="s">
        <v>131</v>
      </c>
      <c r="B7565" s="1">
        <v>45742</v>
      </c>
      <c r="C7565" t="s">
        <v>5760</v>
      </c>
      <c r="D7565" t="s">
        <v>5760</v>
      </c>
      <c r="F7565" t="s">
        <v>7823</v>
      </c>
      <c r="G7565" t="s">
        <v>7877</v>
      </c>
      <c r="H7565" t="s">
        <v>5508</v>
      </c>
      <c r="I7565" s="1">
        <v>45773</v>
      </c>
      <c r="J7565">
        <v>128237</v>
      </c>
      <c r="L7565" t="s">
        <v>6803</v>
      </c>
    </row>
    <row r="7566" spans="1:12" x14ac:dyDescent="0.35">
      <c r="A7566" t="s">
        <v>131</v>
      </c>
      <c r="B7566" s="1">
        <v>45742</v>
      </c>
      <c r="C7566" t="s">
        <v>5760</v>
      </c>
      <c r="D7566" t="s">
        <v>5760</v>
      </c>
      <c r="F7566" t="s">
        <v>8419</v>
      </c>
      <c r="H7566" t="s">
        <v>5508</v>
      </c>
      <c r="I7566" s="1">
        <v>45773</v>
      </c>
      <c r="K7566">
        <v>19562</v>
      </c>
      <c r="L7566" t="s">
        <v>6803</v>
      </c>
    </row>
    <row r="7567" spans="1:12" x14ac:dyDescent="0.35">
      <c r="A7567" t="s">
        <v>131</v>
      </c>
      <c r="B7567" s="1">
        <v>45742</v>
      </c>
      <c r="C7567" t="s">
        <v>5760</v>
      </c>
      <c r="D7567" t="s">
        <v>5760</v>
      </c>
      <c r="F7567" t="s">
        <v>8423</v>
      </c>
      <c r="H7567" t="s">
        <v>5508</v>
      </c>
      <c r="I7567" s="1">
        <v>45773</v>
      </c>
      <c r="K7567">
        <v>108675</v>
      </c>
      <c r="L7567" t="s">
        <v>5977</v>
      </c>
    </row>
    <row r="7568" spans="1:12" x14ac:dyDescent="0.35">
      <c r="A7568" t="s">
        <v>131</v>
      </c>
      <c r="B7568" s="1">
        <v>45742</v>
      </c>
      <c r="C7568" t="s">
        <v>5761</v>
      </c>
      <c r="D7568" t="s">
        <v>5761</v>
      </c>
      <c r="F7568" t="s">
        <v>7823</v>
      </c>
      <c r="G7568" t="s">
        <v>7877</v>
      </c>
      <c r="H7568" t="s">
        <v>5508</v>
      </c>
      <c r="I7568" s="1">
        <v>45773</v>
      </c>
      <c r="J7568">
        <v>51295</v>
      </c>
      <c r="L7568" t="s">
        <v>6803</v>
      </c>
    </row>
    <row r="7569" spans="1:12" x14ac:dyDescent="0.35">
      <c r="A7569" t="s">
        <v>131</v>
      </c>
      <c r="B7569" s="1">
        <v>45742</v>
      </c>
      <c r="C7569" t="s">
        <v>5761</v>
      </c>
      <c r="D7569" t="s">
        <v>5761</v>
      </c>
      <c r="F7569" t="s">
        <v>8419</v>
      </c>
      <c r="H7569" t="s">
        <v>5508</v>
      </c>
      <c r="I7569" s="1">
        <v>45773</v>
      </c>
      <c r="K7569">
        <v>7825</v>
      </c>
      <c r="L7569" t="s">
        <v>6803</v>
      </c>
    </row>
    <row r="7570" spans="1:12" x14ac:dyDescent="0.35">
      <c r="A7570" t="s">
        <v>131</v>
      </c>
      <c r="B7570" s="1">
        <v>45742</v>
      </c>
      <c r="C7570" t="s">
        <v>5761</v>
      </c>
      <c r="D7570" t="s">
        <v>5761</v>
      </c>
      <c r="F7570" t="s">
        <v>8423</v>
      </c>
      <c r="H7570" t="s">
        <v>5508</v>
      </c>
      <c r="I7570" s="1">
        <v>45773</v>
      </c>
      <c r="K7570">
        <v>43470</v>
      </c>
      <c r="L7570" t="s">
        <v>5977</v>
      </c>
    </row>
    <row r="7571" spans="1:12" x14ac:dyDescent="0.35">
      <c r="A7571" t="s">
        <v>131</v>
      </c>
      <c r="B7571" s="1">
        <v>45742</v>
      </c>
      <c r="C7571" t="s">
        <v>5762</v>
      </c>
      <c r="D7571" t="s">
        <v>5762</v>
      </c>
      <c r="F7571" t="s">
        <v>7823</v>
      </c>
      <c r="G7571" t="s">
        <v>7877</v>
      </c>
      <c r="H7571" t="s">
        <v>5508</v>
      </c>
      <c r="I7571" s="1">
        <v>45773</v>
      </c>
      <c r="J7571">
        <v>25647</v>
      </c>
      <c r="L7571" t="s">
        <v>6803</v>
      </c>
    </row>
    <row r="7572" spans="1:12" x14ac:dyDescent="0.35">
      <c r="A7572" t="s">
        <v>131</v>
      </c>
      <c r="B7572" s="1">
        <v>45742</v>
      </c>
      <c r="C7572" t="s">
        <v>5762</v>
      </c>
      <c r="D7572" t="s">
        <v>5762</v>
      </c>
      <c r="F7572" t="s">
        <v>8419</v>
      </c>
      <c r="H7572" t="s">
        <v>5508</v>
      </c>
      <c r="I7572" s="1">
        <v>45773</v>
      </c>
      <c r="K7572">
        <v>3912</v>
      </c>
      <c r="L7572" t="s">
        <v>6803</v>
      </c>
    </row>
    <row r="7573" spans="1:12" x14ac:dyDescent="0.35">
      <c r="A7573" t="s">
        <v>131</v>
      </c>
      <c r="B7573" s="1">
        <v>45742</v>
      </c>
      <c r="C7573" t="s">
        <v>5762</v>
      </c>
      <c r="D7573" t="s">
        <v>5762</v>
      </c>
      <c r="F7573" t="s">
        <v>8423</v>
      </c>
      <c r="H7573" t="s">
        <v>5508</v>
      </c>
      <c r="I7573" s="1">
        <v>45773</v>
      </c>
      <c r="K7573">
        <v>21735</v>
      </c>
      <c r="L7573" t="s">
        <v>5977</v>
      </c>
    </row>
    <row r="7574" spans="1:12" x14ac:dyDescent="0.35">
      <c r="A7574" t="s">
        <v>131</v>
      </c>
      <c r="B7574" s="1">
        <v>45742</v>
      </c>
      <c r="C7574" t="s">
        <v>5763</v>
      </c>
      <c r="D7574" t="s">
        <v>5763</v>
      </c>
      <c r="F7574" t="s">
        <v>7823</v>
      </c>
      <c r="G7574" t="s">
        <v>7877</v>
      </c>
      <c r="H7574" t="s">
        <v>5508</v>
      </c>
      <c r="I7574" s="1">
        <v>45773</v>
      </c>
      <c r="J7574">
        <v>51295</v>
      </c>
      <c r="L7574" t="s">
        <v>6803</v>
      </c>
    </row>
    <row r="7575" spans="1:12" x14ac:dyDescent="0.35">
      <c r="A7575" t="s">
        <v>131</v>
      </c>
      <c r="B7575" s="1">
        <v>45742</v>
      </c>
      <c r="C7575" t="s">
        <v>5763</v>
      </c>
      <c r="D7575" t="s">
        <v>5763</v>
      </c>
      <c r="F7575" t="s">
        <v>8419</v>
      </c>
      <c r="H7575" t="s">
        <v>5508</v>
      </c>
      <c r="I7575" s="1">
        <v>45773</v>
      </c>
      <c r="K7575">
        <v>7825</v>
      </c>
      <c r="L7575" t="s">
        <v>6803</v>
      </c>
    </row>
    <row r="7576" spans="1:12" x14ac:dyDescent="0.35">
      <c r="A7576" t="s">
        <v>131</v>
      </c>
      <c r="B7576" s="1">
        <v>45742</v>
      </c>
      <c r="C7576" t="s">
        <v>5763</v>
      </c>
      <c r="D7576" t="s">
        <v>5763</v>
      </c>
      <c r="F7576" t="s">
        <v>8423</v>
      </c>
      <c r="H7576" t="s">
        <v>5508</v>
      </c>
      <c r="I7576" s="1">
        <v>45773</v>
      </c>
      <c r="K7576">
        <v>43470</v>
      </c>
      <c r="L7576" t="s">
        <v>5977</v>
      </c>
    </row>
    <row r="7577" spans="1:12" x14ac:dyDescent="0.35">
      <c r="A7577" t="s">
        <v>131</v>
      </c>
      <c r="B7577" s="1">
        <v>45742</v>
      </c>
      <c r="C7577" t="s">
        <v>5764</v>
      </c>
      <c r="D7577" t="s">
        <v>5764</v>
      </c>
      <c r="F7577" t="s">
        <v>7823</v>
      </c>
      <c r="G7577" t="s">
        <v>7877</v>
      </c>
      <c r="H7577" t="s">
        <v>5508</v>
      </c>
      <c r="I7577" s="1">
        <v>45773</v>
      </c>
      <c r="J7577">
        <v>1099170</v>
      </c>
      <c r="L7577" t="s">
        <v>6803</v>
      </c>
    </row>
    <row r="7578" spans="1:12" x14ac:dyDescent="0.35">
      <c r="A7578" t="s">
        <v>131</v>
      </c>
      <c r="B7578" s="1">
        <v>45742</v>
      </c>
      <c r="C7578" t="s">
        <v>5764</v>
      </c>
      <c r="D7578" t="s">
        <v>5764</v>
      </c>
      <c r="F7578" t="s">
        <v>8419</v>
      </c>
      <c r="H7578" t="s">
        <v>5508</v>
      </c>
      <c r="I7578" s="1">
        <v>45773</v>
      </c>
      <c r="K7578">
        <v>167670</v>
      </c>
      <c r="L7578" t="s">
        <v>6803</v>
      </c>
    </row>
    <row r="7579" spans="1:12" x14ac:dyDescent="0.35">
      <c r="A7579" t="s">
        <v>131</v>
      </c>
      <c r="B7579" s="1">
        <v>45742</v>
      </c>
      <c r="C7579" t="s">
        <v>5764</v>
      </c>
      <c r="D7579" t="s">
        <v>5764</v>
      </c>
      <c r="F7579" t="s">
        <v>8423</v>
      </c>
      <c r="H7579" t="s">
        <v>5508</v>
      </c>
      <c r="I7579" s="1">
        <v>45773</v>
      </c>
      <c r="K7579">
        <v>931500</v>
      </c>
      <c r="L7579" t="s">
        <v>5977</v>
      </c>
    </row>
    <row r="7580" spans="1:12" x14ac:dyDescent="0.35">
      <c r="A7580" t="s">
        <v>131</v>
      </c>
      <c r="B7580" s="1">
        <v>45742</v>
      </c>
      <c r="C7580" t="s">
        <v>5765</v>
      </c>
      <c r="D7580" t="s">
        <v>5765</v>
      </c>
      <c r="F7580" t="s">
        <v>7823</v>
      </c>
      <c r="G7580" t="s">
        <v>7877</v>
      </c>
      <c r="H7580" t="s">
        <v>5508</v>
      </c>
      <c r="I7580" s="1">
        <v>45773</v>
      </c>
      <c r="J7580">
        <v>1099170</v>
      </c>
      <c r="L7580" t="s">
        <v>6803</v>
      </c>
    </row>
    <row r="7581" spans="1:12" x14ac:dyDescent="0.35">
      <c r="A7581" t="s">
        <v>131</v>
      </c>
      <c r="B7581" s="1">
        <v>45742</v>
      </c>
      <c r="C7581" t="s">
        <v>5765</v>
      </c>
      <c r="D7581" t="s">
        <v>5765</v>
      </c>
      <c r="F7581" t="s">
        <v>8419</v>
      </c>
      <c r="H7581" t="s">
        <v>5508</v>
      </c>
      <c r="I7581" s="1">
        <v>45773</v>
      </c>
      <c r="K7581">
        <v>167670</v>
      </c>
      <c r="L7581" t="s">
        <v>6803</v>
      </c>
    </row>
    <row r="7582" spans="1:12" x14ac:dyDescent="0.35">
      <c r="A7582" t="s">
        <v>131</v>
      </c>
      <c r="B7582" s="1">
        <v>45742</v>
      </c>
      <c r="C7582" t="s">
        <v>5765</v>
      </c>
      <c r="D7582" t="s">
        <v>5765</v>
      </c>
      <c r="F7582" t="s">
        <v>8423</v>
      </c>
      <c r="H7582" t="s">
        <v>5508</v>
      </c>
      <c r="I7582" s="1">
        <v>45773</v>
      </c>
      <c r="K7582">
        <v>931500</v>
      </c>
      <c r="L7582" t="s">
        <v>5977</v>
      </c>
    </row>
    <row r="7583" spans="1:12" x14ac:dyDescent="0.35">
      <c r="A7583" t="s">
        <v>131</v>
      </c>
      <c r="B7583" s="1">
        <v>45742</v>
      </c>
      <c r="C7583" t="s">
        <v>5766</v>
      </c>
      <c r="D7583" t="s">
        <v>5766</v>
      </c>
      <c r="F7583" t="s">
        <v>7823</v>
      </c>
      <c r="G7583" t="s">
        <v>7877</v>
      </c>
      <c r="H7583" t="s">
        <v>5508</v>
      </c>
      <c r="I7583" s="1">
        <v>45773</v>
      </c>
      <c r="J7583">
        <v>1099170</v>
      </c>
      <c r="L7583" t="s">
        <v>6803</v>
      </c>
    </row>
    <row r="7584" spans="1:12" x14ac:dyDescent="0.35">
      <c r="A7584" t="s">
        <v>131</v>
      </c>
      <c r="B7584" s="1">
        <v>45742</v>
      </c>
      <c r="C7584" t="s">
        <v>5766</v>
      </c>
      <c r="D7584" t="s">
        <v>5766</v>
      </c>
      <c r="F7584" t="s">
        <v>8419</v>
      </c>
      <c r="H7584" t="s">
        <v>5508</v>
      </c>
      <c r="I7584" s="1">
        <v>45773</v>
      </c>
      <c r="K7584">
        <v>167670</v>
      </c>
      <c r="L7584" t="s">
        <v>6803</v>
      </c>
    </row>
    <row r="7585" spans="1:12" x14ac:dyDescent="0.35">
      <c r="A7585" t="s">
        <v>131</v>
      </c>
      <c r="B7585" s="1">
        <v>45742</v>
      </c>
      <c r="C7585" t="s">
        <v>5766</v>
      </c>
      <c r="D7585" t="s">
        <v>5766</v>
      </c>
      <c r="F7585" t="s">
        <v>8423</v>
      </c>
      <c r="H7585" t="s">
        <v>5508</v>
      </c>
      <c r="I7585" s="1">
        <v>45773</v>
      </c>
      <c r="K7585">
        <v>931500</v>
      </c>
      <c r="L7585" t="s">
        <v>5977</v>
      </c>
    </row>
    <row r="7586" spans="1:12" x14ac:dyDescent="0.35">
      <c r="A7586" t="s">
        <v>131</v>
      </c>
      <c r="B7586" s="1">
        <v>45742</v>
      </c>
      <c r="C7586" t="s">
        <v>5767</v>
      </c>
      <c r="D7586" t="s">
        <v>5767</v>
      </c>
      <c r="F7586" t="s">
        <v>7823</v>
      </c>
      <c r="G7586" t="s">
        <v>7877</v>
      </c>
      <c r="H7586" t="s">
        <v>5508</v>
      </c>
      <c r="I7586" s="1">
        <v>45773</v>
      </c>
      <c r="J7586">
        <v>1099170</v>
      </c>
      <c r="L7586" t="s">
        <v>6803</v>
      </c>
    </row>
    <row r="7587" spans="1:12" x14ac:dyDescent="0.35">
      <c r="A7587" t="s">
        <v>131</v>
      </c>
      <c r="B7587" s="1">
        <v>45742</v>
      </c>
      <c r="C7587" t="s">
        <v>5767</v>
      </c>
      <c r="D7587" t="s">
        <v>5767</v>
      </c>
      <c r="F7587" t="s">
        <v>8419</v>
      </c>
      <c r="H7587" t="s">
        <v>5508</v>
      </c>
      <c r="I7587" s="1">
        <v>45773</v>
      </c>
      <c r="K7587">
        <v>167670</v>
      </c>
      <c r="L7587" t="s">
        <v>6803</v>
      </c>
    </row>
    <row r="7588" spans="1:12" x14ac:dyDescent="0.35">
      <c r="A7588" t="s">
        <v>131</v>
      </c>
      <c r="B7588" s="1">
        <v>45742</v>
      </c>
      <c r="C7588" t="s">
        <v>5767</v>
      </c>
      <c r="D7588" t="s">
        <v>5767</v>
      </c>
      <c r="F7588" t="s">
        <v>8423</v>
      </c>
      <c r="H7588" t="s">
        <v>5508</v>
      </c>
      <c r="I7588" s="1">
        <v>45773</v>
      </c>
      <c r="K7588">
        <v>931500</v>
      </c>
      <c r="L7588" t="s">
        <v>5977</v>
      </c>
    </row>
    <row r="7589" spans="1:12" x14ac:dyDescent="0.35">
      <c r="A7589" t="s">
        <v>131</v>
      </c>
      <c r="B7589" s="1">
        <v>45742</v>
      </c>
      <c r="C7589" t="s">
        <v>5768</v>
      </c>
      <c r="D7589" t="s">
        <v>5768</v>
      </c>
      <c r="F7589" t="s">
        <v>7823</v>
      </c>
      <c r="G7589" t="s">
        <v>7877</v>
      </c>
      <c r="H7589" t="s">
        <v>5508</v>
      </c>
      <c r="I7589" s="1">
        <v>45773</v>
      </c>
      <c r="J7589">
        <v>546959</v>
      </c>
      <c r="L7589" t="s">
        <v>6803</v>
      </c>
    </row>
    <row r="7590" spans="1:12" x14ac:dyDescent="0.35">
      <c r="A7590" t="s">
        <v>131</v>
      </c>
      <c r="B7590" s="1">
        <v>45742</v>
      </c>
      <c r="C7590" t="s">
        <v>5768</v>
      </c>
      <c r="D7590" t="s">
        <v>5768</v>
      </c>
      <c r="F7590" t="s">
        <v>8424</v>
      </c>
      <c r="H7590" t="s">
        <v>5508</v>
      </c>
      <c r="I7590" s="1">
        <v>45773</v>
      </c>
      <c r="K7590">
        <v>546959</v>
      </c>
      <c r="L7590" t="s">
        <v>5977</v>
      </c>
    </row>
    <row r="7591" spans="1:12" x14ac:dyDescent="0.35">
      <c r="A7591" t="s">
        <v>131</v>
      </c>
      <c r="B7591" s="1">
        <v>45744</v>
      </c>
      <c r="C7591" t="s">
        <v>5769</v>
      </c>
      <c r="D7591" t="s">
        <v>5769</v>
      </c>
      <c r="F7591" t="s">
        <v>7831</v>
      </c>
      <c r="G7591" t="s">
        <v>9907</v>
      </c>
      <c r="H7591" t="s">
        <v>5770</v>
      </c>
      <c r="I7591" s="1">
        <v>45775</v>
      </c>
      <c r="J7591">
        <v>94400</v>
      </c>
      <c r="L7591" t="s">
        <v>6803</v>
      </c>
    </row>
    <row r="7592" spans="1:12" x14ac:dyDescent="0.35">
      <c r="A7592" t="s">
        <v>131</v>
      </c>
      <c r="B7592" s="1">
        <v>45744</v>
      </c>
      <c r="C7592" t="s">
        <v>5769</v>
      </c>
      <c r="D7592" t="s">
        <v>5769</v>
      </c>
      <c r="F7592" t="s">
        <v>8419</v>
      </c>
      <c r="H7592" t="s">
        <v>5770</v>
      </c>
      <c r="I7592" s="1">
        <v>45775</v>
      </c>
      <c r="K7592">
        <v>14400</v>
      </c>
      <c r="L7592" t="s">
        <v>6803</v>
      </c>
    </row>
    <row r="7593" spans="1:12" x14ac:dyDescent="0.35">
      <c r="A7593" t="s">
        <v>131</v>
      </c>
      <c r="B7593" s="1">
        <v>45744</v>
      </c>
      <c r="C7593" t="s">
        <v>5769</v>
      </c>
      <c r="D7593" t="s">
        <v>5769</v>
      </c>
      <c r="F7593" t="s">
        <v>8423</v>
      </c>
      <c r="H7593" t="s">
        <v>5770</v>
      </c>
      <c r="I7593" s="1">
        <v>45775</v>
      </c>
      <c r="K7593">
        <v>80000</v>
      </c>
      <c r="L7593" t="s">
        <v>5975</v>
      </c>
    </row>
    <row r="7594" spans="1:12" x14ac:dyDescent="0.35">
      <c r="A7594" t="s">
        <v>131</v>
      </c>
      <c r="B7594" s="1">
        <v>45744</v>
      </c>
      <c r="C7594" t="s">
        <v>5771</v>
      </c>
      <c r="D7594" t="s">
        <v>5771</v>
      </c>
      <c r="F7594" t="s">
        <v>7823</v>
      </c>
      <c r="G7594" t="s">
        <v>9901</v>
      </c>
      <c r="H7594" t="s">
        <v>5516</v>
      </c>
      <c r="I7594" s="1">
        <v>45775</v>
      </c>
      <c r="J7594">
        <v>1902160</v>
      </c>
      <c r="L7594" t="s">
        <v>6803</v>
      </c>
    </row>
    <row r="7595" spans="1:12" x14ac:dyDescent="0.35">
      <c r="A7595" t="s">
        <v>131</v>
      </c>
      <c r="B7595" s="1">
        <v>45744</v>
      </c>
      <c r="C7595" t="s">
        <v>5771</v>
      </c>
      <c r="D7595" t="s">
        <v>5771</v>
      </c>
      <c r="F7595" t="s">
        <v>8419</v>
      </c>
      <c r="H7595" t="s">
        <v>5516</v>
      </c>
      <c r="I7595" s="1">
        <v>45775</v>
      </c>
      <c r="K7595">
        <v>290160</v>
      </c>
      <c r="L7595" t="s">
        <v>6803</v>
      </c>
    </row>
    <row r="7596" spans="1:12" x14ac:dyDescent="0.35">
      <c r="A7596" t="s">
        <v>131</v>
      </c>
      <c r="B7596" s="1">
        <v>45744</v>
      </c>
      <c r="C7596" t="s">
        <v>5771</v>
      </c>
      <c r="D7596" t="s">
        <v>5771</v>
      </c>
      <c r="F7596" t="s">
        <v>8423</v>
      </c>
      <c r="H7596" t="s">
        <v>5516</v>
      </c>
      <c r="I7596" s="1">
        <v>45775</v>
      </c>
      <c r="K7596">
        <v>1612000</v>
      </c>
      <c r="L7596" t="s">
        <v>5975</v>
      </c>
    </row>
    <row r="7597" spans="1:12" x14ac:dyDescent="0.35">
      <c r="A7597" t="s">
        <v>131</v>
      </c>
      <c r="B7597" s="1">
        <v>45744</v>
      </c>
      <c r="C7597" t="s">
        <v>5772</v>
      </c>
      <c r="D7597" t="s">
        <v>5772</v>
      </c>
      <c r="F7597" t="s">
        <v>7823</v>
      </c>
      <c r="G7597" t="s">
        <v>7824</v>
      </c>
      <c r="H7597" t="s">
        <v>5686</v>
      </c>
      <c r="I7597" s="1">
        <v>45775</v>
      </c>
      <c r="J7597">
        <v>2065000</v>
      </c>
      <c r="L7597" t="s">
        <v>6803</v>
      </c>
    </row>
    <row r="7598" spans="1:12" x14ac:dyDescent="0.35">
      <c r="A7598" t="s">
        <v>131</v>
      </c>
      <c r="B7598" s="1">
        <v>45744</v>
      </c>
      <c r="C7598" t="s">
        <v>5772</v>
      </c>
      <c r="D7598" t="s">
        <v>5772</v>
      </c>
      <c r="F7598" t="s">
        <v>8419</v>
      </c>
      <c r="H7598" t="s">
        <v>5686</v>
      </c>
      <c r="I7598" s="1">
        <v>45775</v>
      </c>
      <c r="K7598">
        <v>315000</v>
      </c>
      <c r="L7598" t="s">
        <v>6803</v>
      </c>
    </row>
    <row r="7599" spans="1:12" x14ac:dyDescent="0.35">
      <c r="A7599" t="s">
        <v>131</v>
      </c>
      <c r="B7599" s="1">
        <v>45744</v>
      </c>
      <c r="C7599" t="s">
        <v>5772</v>
      </c>
      <c r="D7599" t="s">
        <v>5772</v>
      </c>
      <c r="F7599" t="s">
        <v>8423</v>
      </c>
      <c r="H7599" t="s">
        <v>5686</v>
      </c>
      <c r="I7599" s="1">
        <v>45775</v>
      </c>
      <c r="K7599">
        <v>1750000</v>
      </c>
      <c r="L7599" t="s">
        <v>5969</v>
      </c>
    </row>
    <row r="7600" spans="1:12" x14ac:dyDescent="0.35">
      <c r="A7600" t="s">
        <v>131</v>
      </c>
      <c r="B7600" s="1">
        <v>45744</v>
      </c>
      <c r="C7600" t="s">
        <v>5773</v>
      </c>
      <c r="D7600" t="s">
        <v>5773</v>
      </c>
      <c r="F7600" t="s">
        <v>7823</v>
      </c>
      <c r="G7600" t="s">
        <v>7877</v>
      </c>
      <c r="H7600" t="s">
        <v>5508</v>
      </c>
      <c r="I7600" s="1">
        <v>45775</v>
      </c>
      <c r="J7600">
        <v>7347902</v>
      </c>
      <c r="L7600" t="s">
        <v>6803</v>
      </c>
    </row>
    <row r="7601" spans="1:12" x14ac:dyDescent="0.35">
      <c r="A7601" t="s">
        <v>131</v>
      </c>
      <c r="B7601" s="1">
        <v>45744</v>
      </c>
      <c r="C7601" t="s">
        <v>5773</v>
      </c>
      <c r="D7601" t="s">
        <v>5773</v>
      </c>
      <c r="F7601" t="s">
        <v>8423</v>
      </c>
      <c r="H7601" t="s">
        <v>5508</v>
      </c>
      <c r="I7601" s="1">
        <v>45775</v>
      </c>
      <c r="K7601">
        <v>7347902</v>
      </c>
      <c r="L7601" t="s">
        <v>5975</v>
      </c>
    </row>
    <row r="7602" spans="1:12" x14ac:dyDescent="0.35">
      <c r="A7602" t="s">
        <v>131</v>
      </c>
      <c r="B7602" s="1">
        <v>45744</v>
      </c>
      <c r="C7602" t="s">
        <v>5774</v>
      </c>
      <c r="D7602" t="s">
        <v>5774</v>
      </c>
      <c r="F7602" t="s">
        <v>7831</v>
      </c>
      <c r="G7602" t="s">
        <v>7515</v>
      </c>
      <c r="H7602" t="s">
        <v>139</v>
      </c>
      <c r="I7602" s="1">
        <v>45744</v>
      </c>
      <c r="J7602">
        <v>885000</v>
      </c>
      <c r="L7602" t="s">
        <v>6803</v>
      </c>
    </row>
    <row r="7603" spans="1:12" x14ac:dyDescent="0.35">
      <c r="A7603" t="s">
        <v>131</v>
      </c>
      <c r="B7603" s="1">
        <v>45744</v>
      </c>
      <c r="C7603" t="s">
        <v>5774</v>
      </c>
      <c r="D7603" t="s">
        <v>5774</v>
      </c>
      <c r="F7603" t="s">
        <v>8419</v>
      </c>
      <c r="H7603" t="s">
        <v>139</v>
      </c>
      <c r="I7603" s="1">
        <v>45744</v>
      </c>
      <c r="K7603">
        <v>108000</v>
      </c>
      <c r="L7603" t="s">
        <v>6803</v>
      </c>
    </row>
    <row r="7604" spans="1:12" x14ac:dyDescent="0.35">
      <c r="A7604" t="s">
        <v>131</v>
      </c>
      <c r="B7604" s="1">
        <v>45744</v>
      </c>
      <c r="C7604" t="s">
        <v>5774</v>
      </c>
      <c r="D7604" t="s">
        <v>5774</v>
      </c>
      <c r="F7604" t="s">
        <v>7701</v>
      </c>
      <c r="H7604" t="s">
        <v>139</v>
      </c>
      <c r="I7604" s="1">
        <v>45744</v>
      </c>
      <c r="K7604">
        <v>177000</v>
      </c>
      <c r="L7604" t="s">
        <v>350</v>
      </c>
    </row>
    <row r="7605" spans="1:12" x14ac:dyDescent="0.35">
      <c r="A7605" t="s">
        <v>131</v>
      </c>
      <c r="B7605" s="1">
        <v>45744</v>
      </c>
      <c r="C7605" t="s">
        <v>5774</v>
      </c>
      <c r="D7605" t="s">
        <v>5774</v>
      </c>
      <c r="F7605" t="s">
        <v>8423</v>
      </c>
      <c r="H7605" t="s">
        <v>139</v>
      </c>
      <c r="I7605" s="1">
        <v>45744</v>
      </c>
      <c r="K7605">
        <v>600000</v>
      </c>
      <c r="L7605" t="s">
        <v>5972</v>
      </c>
    </row>
    <row r="7606" spans="1:12" x14ac:dyDescent="0.35">
      <c r="A7606" t="s">
        <v>131</v>
      </c>
      <c r="B7606" s="1">
        <v>45744</v>
      </c>
      <c r="C7606" t="s">
        <v>5775</v>
      </c>
      <c r="D7606" t="s">
        <v>5775</v>
      </c>
      <c r="F7606" t="s">
        <v>7831</v>
      </c>
      <c r="G7606" t="s">
        <v>7515</v>
      </c>
      <c r="H7606" t="s">
        <v>139</v>
      </c>
      <c r="I7606" s="1">
        <v>45744</v>
      </c>
      <c r="J7606">
        <v>590000</v>
      </c>
      <c r="L7606" t="s">
        <v>6803</v>
      </c>
    </row>
    <row r="7607" spans="1:12" x14ac:dyDescent="0.35">
      <c r="A7607" t="s">
        <v>131</v>
      </c>
      <c r="B7607" s="1">
        <v>45744</v>
      </c>
      <c r="C7607" t="s">
        <v>5775</v>
      </c>
      <c r="D7607" t="s">
        <v>5775</v>
      </c>
      <c r="F7607" t="s">
        <v>8419</v>
      </c>
      <c r="H7607" t="s">
        <v>139</v>
      </c>
      <c r="I7607" s="1">
        <v>45744</v>
      </c>
      <c r="K7607">
        <v>72000</v>
      </c>
      <c r="L7607" t="s">
        <v>6803</v>
      </c>
    </row>
    <row r="7608" spans="1:12" x14ac:dyDescent="0.35">
      <c r="A7608" t="s">
        <v>131</v>
      </c>
      <c r="B7608" s="1">
        <v>45744</v>
      </c>
      <c r="C7608" t="s">
        <v>5775</v>
      </c>
      <c r="D7608" t="s">
        <v>5775</v>
      </c>
      <c r="F7608" t="s">
        <v>7701</v>
      </c>
      <c r="H7608" t="s">
        <v>139</v>
      </c>
      <c r="I7608" s="1">
        <v>45744</v>
      </c>
      <c r="K7608">
        <v>118000</v>
      </c>
      <c r="L7608" t="s">
        <v>350</v>
      </c>
    </row>
    <row r="7609" spans="1:12" x14ac:dyDescent="0.35">
      <c r="A7609" t="s">
        <v>131</v>
      </c>
      <c r="B7609" s="1">
        <v>45744</v>
      </c>
      <c r="C7609" t="s">
        <v>5775</v>
      </c>
      <c r="D7609" t="s">
        <v>5775</v>
      </c>
      <c r="F7609" t="s">
        <v>8423</v>
      </c>
      <c r="H7609" t="s">
        <v>139</v>
      </c>
      <c r="I7609" s="1">
        <v>45744</v>
      </c>
      <c r="K7609">
        <v>400000</v>
      </c>
      <c r="L7609" t="s">
        <v>5972</v>
      </c>
    </row>
    <row r="7610" spans="1:12" x14ac:dyDescent="0.35">
      <c r="A7610" t="s">
        <v>131</v>
      </c>
      <c r="B7610" s="1">
        <v>45744</v>
      </c>
      <c r="C7610" t="s">
        <v>5776</v>
      </c>
      <c r="D7610" t="s">
        <v>5776</v>
      </c>
      <c r="F7610" t="s">
        <v>7831</v>
      </c>
      <c r="G7610" t="s">
        <v>7515</v>
      </c>
      <c r="H7610" t="s">
        <v>139</v>
      </c>
      <c r="I7610" s="1">
        <v>45744</v>
      </c>
      <c r="J7610">
        <v>442500</v>
      </c>
      <c r="L7610" t="s">
        <v>6803</v>
      </c>
    </row>
    <row r="7611" spans="1:12" x14ac:dyDescent="0.35">
      <c r="A7611" t="s">
        <v>131</v>
      </c>
      <c r="B7611" s="1">
        <v>45744</v>
      </c>
      <c r="C7611" t="s">
        <v>5776</v>
      </c>
      <c r="D7611" t="s">
        <v>5776</v>
      </c>
      <c r="F7611" t="s">
        <v>8419</v>
      </c>
      <c r="H7611" t="s">
        <v>139</v>
      </c>
      <c r="I7611" s="1">
        <v>45744</v>
      </c>
      <c r="K7611">
        <v>54000</v>
      </c>
      <c r="L7611" t="s">
        <v>6803</v>
      </c>
    </row>
    <row r="7612" spans="1:12" x14ac:dyDescent="0.35">
      <c r="A7612" t="s">
        <v>131</v>
      </c>
      <c r="B7612" s="1">
        <v>45744</v>
      </c>
      <c r="C7612" t="s">
        <v>5776</v>
      </c>
      <c r="D7612" t="s">
        <v>5776</v>
      </c>
      <c r="F7612" t="s">
        <v>7701</v>
      </c>
      <c r="H7612" t="s">
        <v>139</v>
      </c>
      <c r="I7612" s="1">
        <v>45744</v>
      </c>
      <c r="K7612">
        <v>88500</v>
      </c>
      <c r="L7612" t="s">
        <v>350</v>
      </c>
    </row>
    <row r="7613" spans="1:12" x14ac:dyDescent="0.35">
      <c r="A7613" t="s">
        <v>131</v>
      </c>
      <c r="B7613" s="1">
        <v>45744</v>
      </c>
      <c r="C7613" t="s">
        <v>5776</v>
      </c>
      <c r="D7613" t="s">
        <v>5776</v>
      </c>
      <c r="F7613" t="s">
        <v>8423</v>
      </c>
      <c r="H7613" t="s">
        <v>139</v>
      </c>
      <c r="I7613" s="1">
        <v>45744</v>
      </c>
      <c r="K7613">
        <v>300000</v>
      </c>
      <c r="L7613" t="s">
        <v>5972</v>
      </c>
    </row>
    <row r="7614" spans="1:12" x14ac:dyDescent="0.35">
      <c r="A7614" t="s">
        <v>131</v>
      </c>
      <c r="B7614" s="1">
        <v>45744</v>
      </c>
      <c r="C7614" t="s">
        <v>5777</v>
      </c>
      <c r="D7614" t="s">
        <v>5777</v>
      </c>
      <c r="F7614" t="s">
        <v>7831</v>
      </c>
      <c r="G7614" t="s">
        <v>7515</v>
      </c>
      <c r="H7614" t="s">
        <v>139</v>
      </c>
      <c r="I7614" s="1">
        <v>45744</v>
      </c>
      <c r="J7614">
        <v>1217760</v>
      </c>
      <c r="L7614" t="s">
        <v>6803</v>
      </c>
    </row>
    <row r="7615" spans="1:12" x14ac:dyDescent="0.35">
      <c r="A7615" t="s">
        <v>131</v>
      </c>
      <c r="B7615" s="1">
        <v>45744</v>
      </c>
      <c r="C7615" t="s">
        <v>5777</v>
      </c>
      <c r="D7615" t="s">
        <v>5777</v>
      </c>
      <c r="F7615" t="s">
        <v>8419</v>
      </c>
      <c r="H7615" t="s">
        <v>139</v>
      </c>
      <c r="I7615" s="1">
        <v>45744</v>
      </c>
      <c r="K7615">
        <v>167760</v>
      </c>
      <c r="L7615" t="s">
        <v>6803</v>
      </c>
    </row>
    <row r="7616" spans="1:12" x14ac:dyDescent="0.35">
      <c r="A7616" t="s">
        <v>131</v>
      </c>
      <c r="B7616" s="1">
        <v>45744</v>
      </c>
      <c r="C7616" t="s">
        <v>5777</v>
      </c>
      <c r="D7616" t="s">
        <v>5777</v>
      </c>
      <c r="F7616" t="s">
        <v>7701</v>
      </c>
      <c r="H7616" t="s">
        <v>139</v>
      </c>
      <c r="I7616" s="1">
        <v>45744</v>
      </c>
      <c r="K7616">
        <v>118000</v>
      </c>
      <c r="L7616" t="s">
        <v>350</v>
      </c>
    </row>
    <row r="7617" spans="1:12" x14ac:dyDescent="0.35">
      <c r="A7617" t="s">
        <v>131</v>
      </c>
      <c r="B7617" s="1">
        <v>45744</v>
      </c>
      <c r="C7617" t="s">
        <v>5777</v>
      </c>
      <c r="D7617" t="s">
        <v>5777</v>
      </c>
      <c r="F7617" t="s">
        <v>8423</v>
      </c>
      <c r="H7617" t="s">
        <v>139</v>
      </c>
      <c r="I7617" s="1">
        <v>45744</v>
      </c>
      <c r="K7617">
        <v>536000</v>
      </c>
      <c r="L7617" t="s">
        <v>5972</v>
      </c>
    </row>
    <row r="7618" spans="1:12" x14ac:dyDescent="0.35">
      <c r="A7618" t="s">
        <v>131</v>
      </c>
      <c r="B7618" s="1">
        <v>45744</v>
      </c>
      <c r="C7618" t="s">
        <v>5777</v>
      </c>
      <c r="D7618" t="s">
        <v>5777</v>
      </c>
      <c r="F7618" t="s">
        <v>8428</v>
      </c>
      <c r="H7618" t="s">
        <v>139</v>
      </c>
      <c r="I7618" s="1">
        <v>45744</v>
      </c>
      <c r="K7618">
        <v>396000</v>
      </c>
      <c r="L7618" t="s">
        <v>5972</v>
      </c>
    </row>
    <row r="7619" spans="1:12" x14ac:dyDescent="0.35">
      <c r="A7619" t="s">
        <v>131</v>
      </c>
      <c r="B7619" s="1">
        <v>45744</v>
      </c>
      <c r="C7619" t="s">
        <v>5778</v>
      </c>
      <c r="D7619" t="s">
        <v>5778</v>
      </c>
      <c r="F7619" t="s">
        <v>7831</v>
      </c>
      <c r="G7619" t="s">
        <v>7515</v>
      </c>
      <c r="H7619" t="s">
        <v>5512</v>
      </c>
      <c r="I7619" s="1">
        <v>45775</v>
      </c>
      <c r="J7619">
        <v>750480</v>
      </c>
      <c r="L7619" t="s">
        <v>6803</v>
      </c>
    </row>
    <row r="7620" spans="1:12" x14ac:dyDescent="0.35">
      <c r="A7620" t="s">
        <v>131</v>
      </c>
      <c r="B7620" s="1">
        <v>45744</v>
      </c>
      <c r="C7620" t="s">
        <v>5778</v>
      </c>
      <c r="D7620" t="s">
        <v>5778</v>
      </c>
      <c r="F7620" t="s">
        <v>8419</v>
      </c>
      <c r="H7620" t="s">
        <v>5512</v>
      </c>
      <c r="I7620" s="1">
        <v>45775</v>
      </c>
      <c r="K7620">
        <v>96480</v>
      </c>
      <c r="L7620" t="s">
        <v>6803</v>
      </c>
    </row>
    <row r="7621" spans="1:12" x14ac:dyDescent="0.35">
      <c r="A7621" t="s">
        <v>131</v>
      </c>
      <c r="B7621" s="1">
        <v>45744</v>
      </c>
      <c r="C7621" t="s">
        <v>5778</v>
      </c>
      <c r="D7621" t="s">
        <v>5778</v>
      </c>
      <c r="F7621" t="s">
        <v>7701</v>
      </c>
      <c r="H7621" t="s">
        <v>5512</v>
      </c>
      <c r="I7621" s="1">
        <v>45775</v>
      </c>
      <c r="K7621">
        <v>118000</v>
      </c>
      <c r="L7621" t="s">
        <v>350</v>
      </c>
    </row>
    <row r="7622" spans="1:12" x14ac:dyDescent="0.35">
      <c r="A7622" t="s">
        <v>131</v>
      </c>
      <c r="B7622" s="1">
        <v>45744</v>
      </c>
      <c r="C7622" t="s">
        <v>5778</v>
      </c>
      <c r="D7622" t="s">
        <v>5778</v>
      </c>
      <c r="F7622" t="s">
        <v>8423</v>
      </c>
      <c r="H7622" t="s">
        <v>5512</v>
      </c>
      <c r="I7622" s="1">
        <v>45775</v>
      </c>
      <c r="K7622">
        <v>536000</v>
      </c>
      <c r="L7622" t="s">
        <v>5972</v>
      </c>
    </row>
    <row r="7623" spans="1:12" x14ac:dyDescent="0.35">
      <c r="A7623" t="s">
        <v>131</v>
      </c>
      <c r="B7623" s="1">
        <v>45744</v>
      </c>
      <c r="C7623" t="s">
        <v>5779</v>
      </c>
      <c r="D7623" t="s">
        <v>5779</v>
      </c>
      <c r="F7623" t="s">
        <v>7831</v>
      </c>
      <c r="G7623" t="s">
        <v>7515</v>
      </c>
      <c r="H7623" t="s">
        <v>5512</v>
      </c>
      <c r="I7623" s="1">
        <v>45775</v>
      </c>
      <c r="J7623">
        <v>375240</v>
      </c>
      <c r="L7623" t="s">
        <v>6803</v>
      </c>
    </row>
    <row r="7624" spans="1:12" x14ac:dyDescent="0.35">
      <c r="A7624" t="s">
        <v>131</v>
      </c>
      <c r="B7624" s="1">
        <v>45744</v>
      </c>
      <c r="C7624" t="s">
        <v>5779</v>
      </c>
      <c r="D7624" t="s">
        <v>5779</v>
      </c>
      <c r="F7624" t="s">
        <v>8419</v>
      </c>
      <c r="H7624" t="s">
        <v>5512</v>
      </c>
      <c r="I7624" s="1">
        <v>45775</v>
      </c>
      <c r="K7624">
        <v>48240</v>
      </c>
      <c r="L7624" t="s">
        <v>6803</v>
      </c>
    </row>
    <row r="7625" spans="1:12" x14ac:dyDescent="0.35">
      <c r="A7625" t="s">
        <v>131</v>
      </c>
      <c r="B7625" s="1">
        <v>45744</v>
      </c>
      <c r="C7625" t="s">
        <v>5779</v>
      </c>
      <c r="D7625" t="s">
        <v>5779</v>
      </c>
      <c r="F7625" t="s">
        <v>7701</v>
      </c>
      <c r="H7625" t="s">
        <v>5512</v>
      </c>
      <c r="I7625" s="1">
        <v>45775</v>
      </c>
      <c r="K7625">
        <v>59000</v>
      </c>
      <c r="L7625" t="s">
        <v>350</v>
      </c>
    </row>
    <row r="7626" spans="1:12" x14ac:dyDescent="0.35">
      <c r="A7626" t="s">
        <v>131</v>
      </c>
      <c r="B7626" s="1">
        <v>45744</v>
      </c>
      <c r="C7626" t="s">
        <v>5779</v>
      </c>
      <c r="D7626" t="s">
        <v>5779</v>
      </c>
      <c r="F7626" t="s">
        <v>8423</v>
      </c>
      <c r="H7626" t="s">
        <v>5512</v>
      </c>
      <c r="I7626" s="1">
        <v>45775</v>
      </c>
      <c r="K7626">
        <v>268000</v>
      </c>
      <c r="L7626" t="s">
        <v>5972</v>
      </c>
    </row>
    <row r="7627" spans="1:12" x14ac:dyDescent="0.35">
      <c r="A7627" t="s">
        <v>131</v>
      </c>
      <c r="B7627" s="1">
        <v>45744</v>
      </c>
      <c r="C7627" t="s">
        <v>5780</v>
      </c>
      <c r="D7627" t="s">
        <v>5780</v>
      </c>
      <c r="F7627" t="s">
        <v>7831</v>
      </c>
      <c r="G7627" t="s">
        <v>8393</v>
      </c>
      <c r="H7627" t="s">
        <v>5518</v>
      </c>
      <c r="I7627" s="1">
        <v>45775</v>
      </c>
      <c r="J7627">
        <v>236000</v>
      </c>
      <c r="L7627" t="s">
        <v>6803</v>
      </c>
    </row>
    <row r="7628" spans="1:12" x14ac:dyDescent="0.35">
      <c r="A7628" t="s">
        <v>131</v>
      </c>
      <c r="B7628" s="1">
        <v>45744</v>
      </c>
      <c r="C7628" t="s">
        <v>5780</v>
      </c>
      <c r="D7628" t="s">
        <v>5780</v>
      </c>
      <c r="F7628" t="s">
        <v>8419</v>
      </c>
      <c r="H7628" t="s">
        <v>5518</v>
      </c>
      <c r="I7628" s="1">
        <v>45775</v>
      </c>
      <c r="K7628">
        <v>27000</v>
      </c>
      <c r="L7628" t="s">
        <v>6803</v>
      </c>
    </row>
    <row r="7629" spans="1:12" x14ac:dyDescent="0.35">
      <c r="A7629" t="s">
        <v>131</v>
      </c>
      <c r="B7629" s="1">
        <v>45744</v>
      </c>
      <c r="C7629" t="s">
        <v>5780</v>
      </c>
      <c r="D7629" t="s">
        <v>5780</v>
      </c>
      <c r="F7629" t="s">
        <v>7701</v>
      </c>
      <c r="H7629" t="s">
        <v>5518</v>
      </c>
      <c r="I7629" s="1">
        <v>45775</v>
      </c>
      <c r="K7629">
        <v>59000</v>
      </c>
      <c r="L7629" t="s">
        <v>350</v>
      </c>
    </row>
    <row r="7630" spans="1:12" x14ac:dyDescent="0.35">
      <c r="A7630" t="s">
        <v>131</v>
      </c>
      <c r="B7630" s="1">
        <v>45744</v>
      </c>
      <c r="C7630" t="s">
        <v>5780</v>
      </c>
      <c r="D7630" t="s">
        <v>5780</v>
      </c>
      <c r="F7630" t="s">
        <v>8423</v>
      </c>
      <c r="H7630" t="s">
        <v>5518</v>
      </c>
      <c r="I7630" s="1">
        <v>45775</v>
      </c>
      <c r="K7630">
        <v>150000</v>
      </c>
      <c r="L7630" t="s">
        <v>5972</v>
      </c>
    </row>
    <row r="7631" spans="1:12" x14ac:dyDescent="0.35">
      <c r="A7631" t="s">
        <v>131</v>
      </c>
      <c r="B7631" s="1">
        <v>45744</v>
      </c>
      <c r="C7631" t="s">
        <v>5781</v>
      </c>
      <c r="D7631" t="s">
        <v>5781</v>
      </c>
      <c r="F7631" t="s">
        <v>7831</v>
      </c>
      <c r="G7631" t="s">
        <v>8393</v>
      </c>
      <c r="H7631" t="s">
        <v>5518</v>
      </c>
      <c r="I7631" s="1">
        <v>45775</v>
      </c>
      <c r="J7631">
        <v>236000</v>
      </c>
      <c r="L7631" t="s">
        <v>6803</v>
      </c>
    </row>
    <row r="7632" spans="1:12" x14ac:dyDescent="0.35">
      <c r="A7632" t="s">
        <v>131</v>
      </c>
      <c r="B7632" s="1">
        <v>45744</v>
      </c>
      <c r="C7632" t="s">
        <v>5781</v>
      </c>
      <c r="D7632" t="s">
        <v>5781</v>
      </c>
      <c r="F7632" t="s">
        <v>8419</v>
      </c>
      <c r="H7632" t="s">
        <v>5518</v>
      </c>
      <c r="I7632" s="1">
        <v>45775</v>
      </c>
      <c r="K7632">
        <v>27000</v>
      </c>
      <c r="L7632" t="s">
        <v>6803</v>
      </c>
    </row>
    <row r="7633" spans="1:12" x14ac:dyDescent="0.35">
      <c r="A7633" t="s">
        <v>131</v>
      </c>
      <c r="B7633" s="1">
        <v>45744</v>
      </c>
      <c r="C7633" t="s">
        <v>5781</v>
      </c>
      <c r="D7633" t="s">
        <v>5781</v>
      </c>
      <c r="F7633" t="s">
        <v>7701</v>
      </c>
      <c r="H7633" t="s">
        <v>5518</v>
      </c>
      <c r="I7633" s="1">
        <v>45775</v>
      </c>
      <c r="K7633">
        <v>59000</v>
      </c>
      <c r="L7633" t="s">
        <v>350</v>
      </c>
    </row>
    <row r="7634" spans="1:12" x14ac:dyDescent="0.35">
      <c r="A7634" t="s">
        <v>131</v>
      </c>
      <c r="B7634" s="1">
        <v>45744</v>
      </c>
      <c r="C7634" t="s">
        <v>5781</v>
      </c>
      <c r="D7634" t="s">
        <v>5781</v>
      </c>
      <c r="F7634" t="s">
        <v>8423</v>
      </c>
      <c r="H7634" t="s">
        <v>5518</v>
      </c>
      <c r="I7634" s="1">
        <v>45775</v>
      </c>
      <c r="K7634">
        <v>150000</v>
      </c>
      <c r="L7634" t="s">
        <v>5972</v>
      </c>
    </row>
    <row r="7635" spans="1:12" x14ac:dyDescent="0.35">
      <c r="A7635" t="s">
        <v>131</v>
      </c>
      <c r="B7635" s="1">
        <v>45744</v>
      </c>
      <c r="C7635" t="s">
        <v>5782</v>
      </c>
      <c r="D7635" t="s">
        <v>5782</v>
      </c>
      <c r="F7635" t="s">
        <v>7831</v>
      </c>
      <c r="G7635" t="s">
        <v>8393</v>
      </c>
      <c r="H7635" t="s">
        <v>5518</v>
      </c>
      <c r="I7635" s="1">
        <v>45775</v>
      </c>
      <c r="J7635">
        <v>236000</v>
      </c>
      <c r="L7635" t="s">
        <v>6803</v>
      </c>
    </row>
    <row r="7636" spans="1:12" x14ac:dyDescent="0.35">
      <c r="A7636" t="s">
        <v>131</v>
      </c>
      <c r="B7636" s="1">
        <v>45744</v>
      </c>
      <c r="C7636" t="s">
        <v>5782</v>
      </c>
      <c r="D7636" t="s">
        <v>5782</v>
      </c>
      <c r="F7636" t="s">
        <v>8419</v>
      </c>
      <c r="H7636" t="s">
        <v>5518</v>
      </c>
      <c r="I7636" s="1">
        <v>45775</v>
      </c>
      <c r="K7636">
        <v>27000</v>
      </c>
      <c r="L7636" t="s">
        <v>6803</v>
      </c>
    </row>
    <row r="7637" spans="1:12" x14ac:dyDescent="0.35">
      <c r="A7637" t="s">
        <v>131</v>
      </c>
      <c r="B7637" s="1">
        <v>45744</v>
      </c>
      <c r="C7637" t="s">
        <v>5782</v>
      </c>
      <c r="D7637" t="s">
        <v>5782</v>
      </c>
      <c r="F7637" t="s">
        <v>7701</v>
      </c>
      <c r="H7637" t="s">
        <v>5518</v>
      </c>
      <c r="I7637" s="1">
        <v>45775</v>
      </c>
      <c r="K7637">
        <v>59000</v>
      </c>
      <c r="L7637" t="s">
        <v>350</v>
      </c>
    </row>
    <row r="7638" spans="1:12" x14ac:dyDescent="0.35">
      <c r="A7638" t="s">
        <v>131</v>
      </c>
      <c r="B7638" s="1">
        <v>45744</v>
      </c>
      <c r="C7638" t="s">
        <v>5782</v>
      </c>
      <c r="D7638" t="s">
        <v>5782</v>
      </c>
      <c r="F7638" t="s">
        <v>8423</v>
      </c>
      <c r="H7638" t="s">
        <v>5518</v>
      </c>
      <c r="I7638" s="1">
        <v>45775</v>
      </c>
      <c r="K7638">
        <v>150000</v>
      </c>
      <c r="L7638" t="s">
        <v>5972</v>
      </c>
    </row>
    <row r="7639" spans="1:12" x14ac:dyDescent="0.35">
      <c r="A7639" t="s">
        <v>131</v>
      </c>
      <c r="B7639" s="1">
        <v>45744</v>
      </c>
      <c r="C7639" t="s">
        <v>5783</v>
      </c>
      <c r="D7639" t="s">
        <v>5783</v>
      </c>
      <c r="F7639" t="s">
        <v>7831</v>
      </c>
      <c r="G7639" t="s">
        <v>8393</v>
      </c>
      <c r="H7639" t="s">
        <v>5518</v>
      </c>
      <c r="I7639" s="1">
        <v>45775</v>
      </c>
      <c r="J7639">
        <v>236000</v>
      </c>
      <c r="L7639" t="s">
        <v>6803</v>
      </c>
    </row>
    <row r="7640" spans="1:12" x14ac:dyDescent="0.35">
      <c r="A7640" t="s">
        <v>131</v>
      </c>
      <c r="B7640" s="1">
        <v>45744</v>
      </c>
      <c r="C7640" t="s">
        <v>5783</v>
      </c>
      <c r="D7640" t="s">
        <v>5783</v>
      </c>
      <c r="F7640" t="s">
        <v>8419</v>
      </c>
      <c r="H7640" t="s">
        <v>5518</v>
      </c>
      <c r="I7640" s="1">
        <v>45775</v>
      </c>
      <c r="K7640">
        <v>27000</v>
      </c>
      <c r="L7640" t="s">
        <v>6803</v>
      </c>
    </row>
    <row r="7641" spans="1:12" x14ac:dyDescent="0.35">
      <c r="A7641" t="s">
        <v>131</v>
      </c>
      <c r="B7641" s="1">
        <v>45744</v>
      </c>
      <c r="C7641" t="s">
        <v>5783</v>
      </c>
      <c r="D7641" t="s">
        <v>5783</v>
      </c>
      <c r="F7641" t="s">
        <v>7701</v>
      </c>
      <c r="H7641" t="s">
        <v>5518</v>
      </c>
      <c r="I7641" s="1">
        <v>45775</v>
      </c>
      <c r="K7641">
        <v>59000</v>
      </c>
      <c r="L7641" t="s">
        <v>350</v>
      </c>
    </row>
    <row r="7642" spans="1:12" x14ac:dyDescent="0.35">
      <c r="A7642" t="s">
        <v>131</v>
      </c>
      <c r="B7642" s="1">
        <v>45744</v>
      </c>
      <c r="C7642" t="s">
        <v>5783</v>
      </c>
      <c r="D7642" t="s">
        <v>5783</v>
      </c>
      <c r="F7642" t="s">
        <v>8423</v>
      </c>
      <c r="H7642" t="s">
        <v>5518</v>
      </c>
      <c r="I7642" s="1">
        <v>45775</v>
      </c>
      <c r="K7642">
        <v>150000</v>
      </c>
      <c r="L7642" t="s">
        <v>5972</v>
      </c>
    </row>
    <row r="7643" spans="1:12" x14ac:dyDescent="0.35">
      <c r="A7643" t="s">
        <v>131</v>
      </c>
      <c r="B7643" s="1">
        <v>45744</v>
      </c>
      <c r="C7643" t="s">
        <v>5784</v>
      </c>
      <c r="D7643" t="s">
        <v>5784</v>
      </c>
      <c r="F7643" t="s">
        <v>7831</v>
      </c>
      <c r="G7643" t="s">
        <v>8393</v>
      </c>
      <c r="H7643" t="s">
        <v>5518</v>
      </c>
      <c r="I7643" s="1">
        <v>45775</v>
      </c>
      <c r="J7643">
        <v>236000</v>
      </c>
      <c r="L7643" t="s">
        <v>6803</v>
      </c>
    </row>
    <row r="7644" spans="1:12" x14ac:dyDescent="0.35">
      <c r="A7644" t="s">
        <v>131</v>
      </c>
      <c r="B7644" s="1">
        <v>45744</v>
      </c>
      <c r="C7644" t="s">
        <v>5784</v>
      </c>
      <c r="D7644" t="s">
        <v>5784</v>
      </c>
      <c r="F7644" t="s">
        <v>8419</v>
      </c>
      <c r="H7644" t="s">
        <v>5518</v>
      </c>
      <c r="I7644" s="1">
        <v>45775</v>
      </c>
      <c r="K7644">
        <v>27000</v>
      </c>
      <c r="L7644" t="s">
        <v>6803</v>
      </c>
    </row>
    <row r="7645" spans="1:12" x14ac:dyDescent="0.35">
      <c r="A7645" t="s">
        <v>131</v>
      </c>
      <c r="B7645" s="1">
        <v>45744</v>
      </c>
      <c r="C7645" t="s">
        <v>5784</v>
      </c>
      <c r="D7645" t="s">
        <v>5784</v>
      </c>
      <c r="F7645" t="s">
        <v>7701</v>
      </c>
      <c r="H7645" t="s">
        <v>5518</v>
      </c>
      <c r="I7645" s="1">
        <v>45775</v>
      </c>
      <c r="K7645">
        <v>59000</v>
      </c>
      <c r="L7645" t="s">
        <v>350</v>
      </c>
    </row>
    <row r="7646" spans="1:12" x14ac:dyDescent="0.35">
      <c r="A7646" t="s">
        <v>131</v>
      </c>
      <c r="B7646" s="1">
        <v>45744</v>
      </c>
      <c r="C7646" t="s">
        <v>5784</v>
      </c>
      <c r="D7646" t="s">
        <v>5784</v>
      </c>
      <c r="F7646" t="s">
        <v>8423</v>
      </c>
      <c r="H7646" t="s">
        <v>5518</v>
      </c>
      <c r="I7646" s="1">
        <v>45775</v>
      </c>
      <c r="K7646">
        <v>150000</v>
      </c>
      <c r="L7646" t="s">
        <v>5972</v>
      </c>
    </row>
    <row r="7647" spans="1:12" x14ac:dyDescent="0.35">
      <c r="A7647" t="s">
        <v>131</v>
      </c>
      <c r="B7647" s="1">
        <v>45744</v>
      </c>
      <c r="C7647" t="s">
        <v>5785</v>
      </c>
      <c r="D7647" t="s">
        <v>5785</v>
      </c>
      <c r="F7647" t="s">
        <v>7831</v>
      </c>
      <c r="G7647" t="s">
        <v>8393</v>
      </c>
      <c r="H7647" t="s">
        <v>5518</v>
      </c>
      <c r="I7647" s="1">
        <v>45775</v>
      </c>
      <c r="J7647">
        <v>236000</v>
      </c>
      <c r="L7647" t="s">
        <v>6803</v>
      </c>
    </row>
    <row r="7648" spans="1:12" x14ac:dyDescent="0.35">
      <c r="A7648" t="s">
        <v>131</v>
      </c>
      <c r="B7648" s="1">
        <v>45744</v>
      </c>
      <c r="C7648" t="s">
        <v>5785</v>
      </c>
      <c r="D7648" t="s">
        <v>5785</v>
      </c>
      <c r="F7648" t="s">
        <v>8419</v>
      </c>
      <c r="H7648" t="s">
        <v>5518</v>
      </c>
      <c r="I7648" s="1">
        <v>45775</v>
      </c>
      <c r="K7648">
        <v>27000</v>
      </c>
      <c r="L7648" t="s">
        <v>6803</v>
      </c>
    </row>
    <row r="7649" spans="1:12" x14ac:dyDescent="0.35">
      <c r="A7649" t="s">
        <v>131</v>
      </c>
      <c r="B7649" s="1">
        <v>45744</v>
      </c>
      <c r="C7649" t="s">
        <v>5785</v>
      </c>
      <c r="D7649" t="s">
        <v>5785</v>
      </c>
      <c r="F7649" t="s">
        <v>7701</v>
      </c>
      <c r="H7649" t="s">
        <v>5518</v>
      </c>
      <c r="I7649" s="1">
        <v>45775</v>
      </c>
      <c r="K7649">
        <v>59000</v>
      </c>
      <c r="L7649" t="s">
        <v>350</v>
      </c>
    </row>
    <row r="7650" spans="1:12" x14ac:dyDescent="0.35">
      <c r="A7650" t="s">
        <v>131</v>
      </c>
      <c r="B7650" s="1">
        <v>45744</v>
      </c>
      <c r="C7650" t="s">
        <v>5785</v>
      </c>
      <c r="D7650" t="s">
        <v>5785</v>
      </c>
      <c r="F7650" t="s">
        <v>8423</v>
      </c>
      <c r="H7650" t="s">
        <v>5518</v>
      </c>
      <c r="I7650" s="1">
        <v>45775</v>
      </c>
      <c r="K7650">
        <v>150000</v>
      </c>
      <c r="L7650" t="s">
        <v>5972</v>
      </c>
    </row>
    <row r="7651" spans="1:12" x14ac:dyDescent="0.35">
      <c r="A7651" t="s">
        <v>131</v>
      </c>
      <c r="B7651" s="1">
        <v>45744</v>
      </c>
      <c r="C7651" t="s">
        <v>5786</v>
      </c>
      <c r="D7651" t="s">
        <v>5786</v>
      </c>
      <c r="F7651" t="s">
        <v>7831</v>
      </c>
      <c r="G7651" t="s">
        <v>7521</v>
      </c>
      <c r="H7651" t="s">
        <v>180</v>
      </c>
      <c r="I7651" s="1">
        <v>45775</v>
      </c>
      <c r="J7651">
        <v>263140</v>
      </c>
      <c r="L7651" t="s">
        <v>6803</v>
      </c>
    </row>
    <row r="7652" spans="1:12" x14ac:dyDescent="0.35">
      <c r="A7652" t="s">
        <v>131</v>
      </c>
      <c r="B7652" s="1">
        <v>45744</v>
      </c>
      <c r="C7652" t="s">
        <v>5786</v>
      </c>
      <c r="D7652" t="s">
        <v>5786</v>
      </c>
      <c r="F7652" t="s">
        <v>8419</v>
      </c>
      <c r="H7652" t="s">
        <v>180</v>
      </c>
      <c r="I7652" s="1">
        <v>45775</v>
      </c>
      <c r="K7652">
        <v>35640</v>
      </c>
      <c r="L7652" t="s">
        <v>6803</v>
      </c>
    </row>
    <row r="7653" spans="1:12" x14ac:dyDescent="0.35">
      <c r="A7653" t="s">
        <v>131</v>
      </c>
      <c r="B7653" s="1">
        <v>45744</v>
      </c>
      <c r="C7653" t="s">
        <v>5786</v>
      </c>
      <c r="D7653" t="s">
        <v>5786</v>
      </c>
      <c r="F7653" t="s">
        <v>7701</v>
      </c>
      <c r="H7653" t="s">
        <v>180</v>
      </c>
      <c r="I7653" s="1">
        <v>45775</v>
      </c>
      <c r="K7653">
        <v>29500</v>
      </c>
      <c r="L7653" t="s">
        <v>350</v>
      </c>
    </row>
    <row r="7654" spans="1:12" x14ac:dyDescent="0.35">
      <c r="A7654" t="s">
        <v>131</v>
      </c>
      <c r="B7654" s="1">
        <v>45744</v>
      </c>
      <c r="C7654" t="s">
        <v>5786</v>
      </c>
      <c r="D7654" t="s">
        <v>5786</v>
      </c>
      <c r="F7654" t="s">
        <v>8423</v>
      </c>
      <c r="H7654" t="s">
        <v>180</v>
      </c>
      <c r="I7654" s="1">
        <v>45775</v>
      </c>
      <c r="K7654">
        <v>99000</v>
      </c>
      <c r="L7654" t="s">
        <v>5972</v>
      </c>
    </row>
    <row r="7655" spans="1:12" x14ac:dyDescent="0.35">
      <c r="A7655" t="s">
        <v>131</v>
      </c>
      <c r="B7655" s="1">
        <v>45744</v>
      </c>
      <c r="C7655" t="s">
        <v>5786</v>
      </c>
      <c r="D7655" t="s">
        <v>5786</v>
      </c>
      <c r="F7655" t="s">
        <v>8428</v>
      </c>
      <c r="H7655" t="s">
        <v>180</v>
      </c>
      <c r="I7655" s="1">
        <v>45775</v>
      </c>
      <c r="K7655">
        <v>99000</v>
      </c>
      <c r="L7655" t="s">
        <v>5972</v>
      </c>
    </row>
    <row r="7656" spans="1:12" x14ac:dyDescent="0.35">
      <c r="A7656" t="s">
        <v>131</v>
      </c>
      <c r="B7656" s="1">
        <v>45744</v>
      </c>
      <c r="C7656" t="s">
        <v>5787</v>
      </c>
      <c r="D7656" t="s">
        <v>5787</v>
      </c>
      <c r="F7656" t="s">
        <v>7823</v>
      </c>
      <c r="G7656" t="s">
        <v>9903</v>
      </c>
      <c r="H7656" t="s">
        <v>5578</v>
      </c>
      <c r="I7656" s="1">
        <v>45777</v>
      </c>
      <c r="J7656">
        <v>590000</v>
      </c>
      <c r="L7656" t="s">
        <v>6803</v>
      </c>
    </row>
    <row r="7657" spans="1:12" x14ac:dyDescent="0.35">
      <c r="A7657" t="s">
        <v>131</v>
      </c>
      <c r="B7657" s="1">
        <v>45744</v>
      </c>
      <c r="C7657" t="s">
        <v>5787</v>
      </c>
      <c r="D7657" t="s">
        <v>5787</v>
      </c>
      <c r="F7657" t="s">
        <v>8419</v>
      </c>
      <c r="H7657" t="s">
        <v>5578</v>
      </c>
      <c r="I7657" s="1">
        <v>45777</v>
      </c>
      <c r="K7657">
        <v>90000</v>
      </c>
      <c r="L7657" t="s">
        <v>6803</v>
      </c>
    </row>
    <row r="7658" spans="1:12" x14ac:dyDescent="0.35">
      <c r="A7658" t="s">
        <v>131</v>
      </c>
      <c r="B7658" s="1">
        <v>45744</v>
      </c>
      <c r="C7658" t="s">
        <v>5787</v>
      </c>
      <c r="D7658" t="s">
        <v>5787</v>
      </c>
      <c r="F7658" t="s">
        <v>8426</v>
      </c>
      <c r="H7658" t="s">
        <v>5578</v>
      </c>
      <c r="I7658" s="1">
        <v>45777</v>
      </c>
      <c r="K7658">
        <v>500000</v>
      </c>
      <c r="L7658" t="s">
        <v>5976</v>
      </c>
    </row>
    <row r="7659" spans="1:12" x14ac:dyDescent="0.35">
      <c r="A7659" t="s">
        <v>131</v>
      </c>
      <c r="B7659" s="1">
        <v>45744</v>
      </c>
      <c r="C7659" t="s">
        <v>5788</v>
      </c>
      <c r="D7659" t="s">
        <v>5788</v>
      </c>
      <c r="F7659" t="s">
        <v>7831</v>
      </c>
      <c r="G7659" t="s">
        <v>9900</v>
      </c>
      <c r="H7659" t="s">
        <v>5789</v>
      </c>
      <c r="I7659" s="1">
        <v>45744</v>
      </c>
      <c r="J7659">
        <v>1062000</v>
      </c>
      <c r="L7659" t="s">
        <v>6803</v>
      </c>
    </row>
    <row r="7660" spans="1:12" x14ac:dyDescent="0.35">
      <c r="A7660" t="s">
        <v>131</v>
      </c>
      <c r="B7660" s="1">
        <v>45744</v>
      </c>
      <c r="C7660" t="s">
        <v>5788</v>
      </c>
      <c r="D7660" t="s">
        <v>5788</v>
      </c>
      <c r="F7660" t="s">
        <v>8419</v>
      </c>
      <c r="H7660" t="s">
        <v>5789</v>
      </c>
      <c r="I7660" s="1">
        <v>45744</v>
      </c>
      <c r="K7660">
        <v>162000</v>
      </c>
      <c r="L7660" t="s">
        <v>6803</v>
      </c>
    </row>
    <row r="7661" spans="1:12" x14ac:dyDescent="0.35">
      <c r="A7661" t="s">
        <v>131</v>
      </c>
      <c r="B7661" s="1">
        <v>45744</v>
      </c>
      <c r="C7661" t="s">
        <v>5788</v>
      </c>
      <c r="D7661" t="s">
        <v>5788</v>
      </c>
      <c r="F7661" t="s">
        <v>8423</v>
      </c>
      <c r="H7661" t="s">
        <v>5789</v>
      </c>
      <c r="I7661" s="1">
        <v>45744</v>
      </c>
      <c r="K7661">
        <v>150000</v>
      </c>
      <c r="L7661" t="s">
        <v>5974</v>
      </c>
    </row>
    <row r="7662" spans="1:12" x14ac:dyDescent="0.35">
      <c r="A7662" t="s">
        <v>131</v>
      </c>
      <c r="B7662" s="1">
        <v>45744</v>
      </c>
      <c r="C7662" t="s">
        <v>5788</v>
      </c>
      <c r="D7662" t="s">
        <v>5788</v>
      </c>
      <c r="F7662" t="s">
        <v>8426</v>
      </c>
      <c r="H7662" t="s">
        <v>5789</v>
      </c>
      <c r="I7662" s="1">
        <v>45744</v>
      </c>
      <c r="K7662">
        <v>750000</v>
      </c>
      <c r="L7662" t="s">
        <v>5976</v>
      </c>
    </row>
    <row r="7663" spans="1:12" x14ac:dyDescent="0.35">
      <c r="A7663" t="s">
        <v>131</v>
      </c>
      <c r="B7663" s="1">
        <v>45744</v>
      </c>
      <c r="C7663" t="s">
        <v>5790</v>
      </c>
      <c r="D7663" t="s">
        <v>5790</v>
      </c>
      <c r="F7663" t="s">
        <v>7831</v>
      </c>
      <c r="G7663" t="s">
        <v>8397</v>
      </c>
      <c r="H7663" t="s">
        <v>5671</v>
      </c>
      <c r="I7663" s="1">
        <v>45744</v>
      </c>
      <c r="J7663">
        <v>2242000</v>
      </c>
      <c r="L7663" t="s">
        <v>6803</v>
      </c>
    </row>
    <row r="7664" spans="1:12" x14ac:dyDescent="0.35">
      <c r="A7664" t="s">
        <v>131</v>
      </c>
      <c r="B7664" s="1">
        <v>45744</v>
      </c>
      <c r="C7664" t="s">
        <v>5790</v>
      </c>
      <c r="D7664" t="s">
        <v>5790</v>
      </c>
      <c r="F7664" t="s">
        <v>8419</v>
      </c>
      <c r="H7664" t="s">
        <v>5671</v>
      </c>
      <c r="I7664" s="1">
        <v>45744</v>
      </c>
      <c r="K7664">
        <v>342000</v>
      </c>
      <c r="L7664" t="s">
        <v>6803</v>
      </c>
    </row>
    <row r="7665" spans="1:12" x14ac:dyDescent="0.35">
      <c r="A7665" t="s">
        <v>131</v>
      </c>
      <c r="B7665" s="1">
        <v>45744</v>
      </c>
      <c r="C7665" t="s">
        <v>5790</v>
      </c>
      <c r="D7665" t="s">
        <v>5790</v>
      </c>
      <c r="F7665" t="s">
        <v>8423</v>
      </c>
      <c r="H7665" t="s">
        <v>5671</v>
      </c>
      <c r="I7665" s="1">
        <v>45744</v>
      </c>
      <c r="K7665">
        <v>1900000</v>
      </c>
      <c r="L7665" t="s">
        <v>5974</v>
      </c>
    </row>
    <row r="7666" spans="1:12" x14ac:dyDescent="0.35">
      <c r="A7666" t="s">
        <v>131</v>
      </c>
      <c r="B7666" s="1">
        <v>45744</v>
      </c>
      <c r="C7666" t="s">
        <v>5791</v>
      </c>
      <c r="D7666" t="s">
        <v>5791</v>
      </c>
      <c r="F7666" t="s">
        <v>7831</v>
      </c>
      <c r="G7666" t="s">
        <v>9908</v>
      </c>
      <c r="H7666" t="s">
        <v>5792</v>
      </c>
      <c r="I7666" s="1">
        <v>45777</v>
      </c>
      <c r="J7666">
        <v>295000</v>
      </c>
      <c r="L7666" t="s">
        <v>6803</v>
      </c>
    </row>
    <row r="7667" spans="1:12" x14ac:dyDescent="0.35">
      <c r="A7667" t="s">
        <v>131</v>
      </c>
      <c r="B7667" s="1">
        <v>45744</v>
      </c>
      <c r="C7667" t="s">
        <v>5791</v>
      </c>
      <c r="D7667" t="s">
        <v>5791</v>
      </c>
      <c r="F7667" t="s">
        <v>8419</v>
      </c>
      <c r="H7667" t="s">
        <v>5792</v>
      </c>
      <c r="I7667" s="1">
        <v>45777</v>
      </c>
      <c r="K7667">
        <v>45000</v>
      </c>
      <c r="L7667" t="s">
        <v>6803</v>
      </c>
    </row>
    <row r="7668" spans="1:12" x14ac:dyDescent="0.35">
      <c r="A7668" t="s">
        <v>131</v>
      </c>
      <c r="B7668" s="1">
        <v>45744</v>
      </c>
      <c r="C7668" t="s">
        <v>5791</v>
      </c>
      <c r="D7668" t="s">
        <v>5791</v>
      </c>
      <c r="F7668" t="s">
        <v>8423</v>
      </c>
      <c r="H7668" t="s">
        <v>5792</v>
      </c>
      <c r="I7668" s="1">
        <v>45777</v>
      </c>
      <c r="K7668">
        <v>250000</v>
      </c>
      <c r="L7668" t="s">
        <v>5974</v>
      </c>
    </row>
    <row r="7669" spans="1:12" x14ac:dyDescent="0.35">
      <c r="A7669" t="s">
        <v>131</v>
      </c>
      <c r="B7669" s="1">
        <v>45744</v>
      </c>
      <c r="C7669" t="s">
        <v>5793</v>
      </c>
      <c r="D7669" t="s">
        <v>5793</v>
      </c>
      <c r="F7669" t="s">
        <v>7831</v>
      </c>
      <c r="G7669" t="s">
        <v>9909</v>
      </c>
      <c r="H7669" t="s">
        <v>5794</v>
      </c>
      <c r="I7669" s="1">
        <v>45775</v>
      </c>
      <c r="J7669">
        <v>2438522</v>
      </c>
      <c r="L7669" t="s">
        <v>6803</v>
      </c>
    </row>
    <row r="7670" spans="1:12" x14ac:dyDescent="0.35">
      <c r="A7670" t="s">
        <v>131</v>
      </c>
      <c r="B7670" s="1">
        <v>45744</v>
      </c>
      <c r="C7670" t="s">
        <v>5793</v>
      </c>
      <c r="D7670" t="s">
        <v>5793</v>
      </c>
      <c r="F7670" t="s">
        <v>8424</v>
      </c>
      <c r="H7670" t="s">
        <v>5794</v>
      </c>
      <c r="I7670" s="1">
        <v>45775</v>
      </c>
      <c r="K7670">
        <v>2438522</v>
      </c>
      <c r="L7670" t="s">
        <v>5977</v>
      </c>
    </row>
    <row r="7671" spans="1:12" x14ac:dyDescent="0.35">
      <c r="A7671" t="s">
        <v>131</v>
      </c>
      <c r="B7671" s="1">
        <v>45744</v>
      </c>
      <c r="C7671" t="s">
        <v>5795</v>
      </c>
      <c r="D7671" t="s">
        <v>5795</v>
      </c>
      <c r="F7671" t="s">
        <v>7823</v>
      </c>
      <c r="G7671" t="s">
        <v>7877</v>
      </c>
      <c r="H7671" t="s">
        <v>5508</v>
      </c>
      <c r="I7671" s="1">
        <v>45775</v>
      </c>
      <c r="J7671">
        <v>6032055</v>
      </c>
      <c r="L7671" t="s">
        <v>6803</v>
      </c>
    </row>
    <row r="7672" spans="1:12" x14ac:dyDescent="0.35">
      <c r="A7672" t="s">
        <v>131</v>
      </c>
      <c r="B7672" s="1">
        <v>45744</v>
      </c>
      <c r="C7672" t="s">
        <v>5795</v>
      </c>
      <c r="D7672" t="s">
        <v>5795</v>
      </c>
      <c r="F7672" t="s">
        <v>8424</v>
      </c>
      <c r="H7672" t="s">
        <v>5508</v>
      </c>
      <c r="I7672" s="1">
        <v>45775</v>
      </c>
      <c r="K7672">
        <v>6032055</v>
      </c>
      <c r="L7672" t="s">
        <v>5977</v>
      </c>
    </row>
    <row r="7673" spans="1:12" x14ac:dyDescent="0.35">
      <c r="A7673" t="s">
        <v>131</v>
      </c>
      <c r="B7673" s="1">
        <v>45744</v>
      </c>
      <c r="C7673" t="s">
        <v>5796</v>
      </c>
      <c r="D7673" t="s">
        <v>5796</v>
      </c>
      <c r="F7673" t="s">
        <v>7823</v>
      </c>
      <c r="G7673" t="s">
        <v>7877</v>
      </c>
      <c r="H7673" t="s">
        <v>5508</v>
      </c>
      <c r="I7673" s="1">
        <v>45775</v>
      </c>
      <c r="J7673">
        <v>304485</v>
      </c>
      <c r="L7673" t="s">
        <v>6803</v>
      </c>
    </row>
    <row r="7674" spans="1:12" x14ac:dyDescent="0.35">
      <c r="A7674" t="s">
        <v>131</v>
      </c>
      <c r="B7674" s="1">
        <v>45744</v>
      </c>
      <c r="C7674" t="s">
        <v>5796</v>
      </c>
      <c r="D7674" t="s">
        <v>5796</v>
      </c>
      <c r="F7674" t="s">
        <v>8419</v>
      </c>
      <c r="H7674" t="s">
        <v>5508</v>
      </c>
      <c r="I7674" s="1">
        <v>45775</v>
      </c>
      <c r="K7674">
        <v>46447</v>
      </c>
      <c r="L7674" t="s">
        <v>6803</v>
      </c>
    </row>
    <row r="7675" spans="1:12" x14ac:dyDescent="0.35">
      <c r="A7675" t="s">
        <v>131</v>
      </c>
      <c r="B7675" s="1">
        <v>45744</v>
      </c>
      <c r="C7675" t="s">
        <v>5796</v>
      </c>
      <c r="D7675" t="s">
        <v>5796</v>
      </c>
      <c r="F7675" t="s">
        <v>8423</v>
      </c>
      <c r="H7675" t="s">
        <v>5508</v>
      </c>
      <c r="I7675" s="1">
        <v>45775</v>
      </c>
      <c r="K7675">
        <v>258038</v>
      </c>
      <c r="L7675" t="s">
        <v>5977</v>
      </c>
    </row>
    <row r="7676" spans="1:12" x14ac:dyDescent="0.35">
      <c r="A7676" t="s">
        <v>131</v>
      </c>
      <c r="B7676" s="1">
        <v>45744</v>
      </c>
      <c r="C7676" t="s">
        <v>5797</v>
      </c>
      <c r="D7676" t="s">
        <v>5797</v>
      </c>
      <c r="F7676" t="s">
        <v>7823</v>
      </c>
      <c r="G7676" t="s">
        <v>7877</v>
      </c>
      <c r="H7676" t="s">
        <v>5508</v>
      </c>
      <c r="I7676" s="1">
        <v>45775</v>
      </c>
      <c r="J7676">
        <v>304485</v>
      </c>
      <c r="L7676" t="s">
        <v>6803</v>
      </c>
    </row>
    <row r="7677" spans="1:12" x14ac:dyDescent="0.35">
      <c r="A7677" t="s">
        <v>131</v>
      </c>
      <c r="B7677" s="1">
        <v>45744</v>
      </c>
      <c r="C7677" t="s">
        <v>5797</v>
      </c>
      <c r="D7677" t="s">
        <v>5797</v>
      </c>
      <c r="F7677" t="s">
        <v>8419</v>
      </c>
      <c r="H7677" t="s">
        <v>5508</v>
      </c>
      <c r="I7677" s="1">
        <v>45775</v>
      </c>
      <c r="K7677">
        <v>46447</v>
      </c>
      <c r="L7677" t="s">
        <v>6803</v>
      </c>
    </row>
    <row r="7678" spans="1:12" x14ac:dyDescent="0.35">
      <c r="A7678" t="s">
        <v>131</v>
      </c>
      <c r="B7678" s="1">
        <v>45744</v>
      </c>
      <c r="C7678" t="s">
        <v>5797</v>
      </c>
      <c r="D7678" t="s">
        <v>5797</v>
      </c>
      <c r="F7678" t="s">
        <v>8423</v>
      </c>
      <c r="H7678" t="s">
        <v>5508</v>
      </c>
      <c r="I7678" s="1">
        <v>45775</v>
      </c>
      <c r="K7678">
        <v>258038</v>
      </c>
      <c r="L7678" t="s">
        <v>5977</v>
      </c>
    </row>
    <row r="7679" spans="1:12" x14ac:dyDescent="0.35">
      <c r="A7679" t="s">
        <v>131</v>
      </c>
      <c r="B7679" s="1">
        <v>45744</v>
      </c>
      <c r="C7679" t="s">
        <v>5798</v>
      </c>
      <c r="D7679" t="s">
        <v>5798</v>
      </c>
      <c r="F7679" t="s">
        <v>7823</v>
      </c>
      <c r="G7679" t="s">
        <v>7877</v>
      </c>
      <c r="H7679" t="s">
        <v>5508</v>
      </c>
      <c r="I7679" s="1">
        <v>45775</v>
      </c>
      <c r="J7679">
        <v>304485</v>
      </c>
      <c r="L7679" t="s">
        <v>6803</v>
      </c>
    </row>
    <row r="7680" spans="1:12" x14ac:dyDescent="0.35">
      <c r="A7680" t="s">
        <v>131</v>
      </c>
      <c r="B7680" s="1">
        <v>45744</v>
      </c>
      <c r="C7680" t="s">
        <v>5798</v>
      </c>
      <c r="D7680" t="s">
        <v>5798</v>
      </c>
      <c r="F7680" t="s">
        <v>8419</v>
      </c>
      <c r="H7680" t="s">
        <v>5508</v>
      </c>
      <c r="I7680" s="1">
        <v>45775</v>
      </c>
      <c r="K7680">
        <v>46447</v>
      </c>
      <c r="L7680" t="s">
        <v>6803</v>
      </c>
    </row>
    <row r="7681" spans="1:12" x14ac:dyDescent="0.35">
      <c r="A7681" t="s">
        <v>131</v>
      </c>
      <c r="B7681" s="1">
        <v>45744</v>
      </c>
      <c r="C7681" t="s">
        <v>5798</v>
      </c>
      <c r="D7681" t="s">
        <v>5798</v>
      </c>
      <c r="F7681" t="s">
        <v>8423</v>
      </c>
      <c r="H7681" t="s">
        <v>5508</v>
      </c>
      <c r="I7681" s="1">
        <v>45775</v>
      </c>
      <c r="K7681">
        <v>258038</v>
      </c>
      <c r="L7681" t="s">
        <v>5977</v>
      </c>
    </row>
    <row r="7682" spans="1:12" x14ac:dyDescent="0.35">
      <c r="A7682" t="s">
        <v>131</v>
      </c>
      <c r="B7682" s="1">
        <v>45744</v>
      </c>
      <c r="C7682" t="s">
        <v>5799</v>
      </c>
      <c r="D7682" t="s">
        <v>5799</v>
      </c>
      <c r="F7682" t="s">
        <v>7823</v>
      </c>
      <c r="G7682" t="s">
        <v>7877</v>
      </c>
      <c r="H7682" t="s">
        <v>5508</v>
      </c>
      <c r="I7682" s="1">
        <v>45775</v>
      </c>
      <c r="J7682">
        <v>304485</v>
      </c>
      <c r="L7682" t="s">
        <v>6803</v>
      </c>
    </row>
    <row r="7683" spans="1:12" x14ac:dyDescent="0.35">
      <c r="A7683" t="s">
        <v>131</v>
      </c>
      <c r="B7683" s="1">
        <v>45744</v>
      </c>
      <c r="C7683" t="s">
        <v>5799</v>
      </c>
      <c r="D7683" t="s">
        <v>5799</v>
      </c>
      <c r="F7683" t="s">
        <v>8419</v>
      </c>
      <c r="H7683" t="s">
        <v>5508</v>
      </c>
      <c r="I7683" s="1">
        <v>45775</v>
      </c>
      <c r="K7683">
        <v>46447</v>
      </c>
      <c r="L7683" t="s">
        <v>6803</v>
      </c>
    </row>
    <row r="7684" spans="1:12" x14ac:dyDescent="0.35">
      <c r="A7684" t="s">
        <v>131</v>
      </c>
      <c r="B7684" s="1">
        <v>45744</v>
      </c>
      <c r="C7684" t="s">
        <v>5799</v>
      </c>
      <c r="D7684" t="s">
        <v>5799</v>
      </c>
      <c r="F7684" t="s">
        <v>8423</v>
      </c>
      <c r="H7684" t="s">
        <v>5508</v>
      </c>
      <c r="I7684" s="1">
        <v>45775</v>
      </c>
      <c r="K7684">
        <v>258038</v>
      </c>
      <c r="L7684" t="s">
        <v>5977</v>
      </c>
    </row>
    <row r="7685" spans="1:12" x14ac:dyDescent="0.35">
      <c r="A7685" t="s">
        <v>131</v>
      </c>
      <c r="B7685" s="1">
        <v>45744</v>
      </c>
      <c r="C7685" t="s">
        <v>5800</v>
      </c>
      <c r="D7685" t="s">
        <v>5800</v>
      </c>
      <c r="F7685" t="s">
        <v>7823</v>
      </c>
      <c r="G7685" t="s">
        <v>7877</v>
      </c>
      <c r="H7685" t="s">
        <v>5508</v>
      </c>
      <c r="I7685" s="1">
        <v>45775</v>
      </c>
      <c r="J7685">
        <v>304485</v>
      </c>
      <c r="L7685" t="s">
        <v>6803</v>
      </c>
    </row>
    <row r="7686" spans="1:12" x14ac:dyDescent="0.35">
      <c r="A7686" t="s">
        <v>131</v>
      </c>
      <c r="B7686" s="1">
        <v>45744</v>
      </c>
      <c r="C7686" t="s">
        <v>5800</v>
      </c>
      <c r="D7686" t="s">
        <v>5800</v>
      </c>
      <c r="F7686" t="s">
        <v>8419</v>
      </c>
      <c r="H7686" t="s">
        <v>5508</v>
      </c>
      <c r="I7686" s="1">
        <v>45775</v>
      </c>
      <c r="K7686">
        <v>46447</v>
      </c>
      <c r="L7686" t="s">
        <v>6803</v>
      </c>
    </row>
    <row r="7687" spans="1:12" x14ac:dyDescent="0.35">
      <c r="A7687" t="s">
        <v>131</v>
      </c>
      <c r="B7687" s="1">
        <v>45744</v>
      </c>
      <c r="C7687" t="s">
        <v>5800</v>
      </c>
      <c r="D7687" t="s">
        <v>5800</v>
      </c>
      <c r="F7687" t="s">
        <v>8423</v>
      </c>
      <c r="H7687" t="s">
        <v>5508</v>
      </c>
      <c r="I7687" s="1">
        <v>45775</v>
      </c>
      <c r="K7687">
        <v>258038</v>
      </c>
      <c r="L7687" t="s">
        <v>5977</v>
      </c>
    </row>
    <row r="7688" spans="1:12" x14ac:dyDescent="0.35">
      <c r="A7688" t="s">
        <v>131</v>
      </c>
      <c r="B7688" s="1">
        <v>45744</v>
      </c>
      <c r="C7688" t="s">
        <v>5801</v>
      </c>
      <c r="D7688" t="s">
        <v>5801</v>
      </c>
      <c r="F7688" t="s">
        <v>7823</v>
      </c>
      <c r="G7688" t="s">
        <v>7877</v>
      </c>
      <c r="H7688" t="s">
        <v>5508</v>
      </c>
      <c r="I7688" s="1">
        <v>45775</v>
      </c>
      <c r="J7688">
        <v>304485</v>
      </c>
      <c r="L7688" t="s">
        <v>6803</v>
      </c>
    </row>
    <row r="7689" spans="1:12" x14ac:dyDescent="0.35">
      <c r="A7689" t="s">
        <v>131</v>
      </c>
      <c r="B7689" s="1">
        <v>45744</v>
      </c>
      <c r="C7689" t="s">
        <v>5801</v>
      </c>
      <c r="D7689" t="s">
        <v>5801</v>
      </c>
      <c r="F7689" t="s">
        <v>8419</v>
      </c>
      <c r="H7689" t="s">
        <v>5508</v>
      </c>
      <c r="I7689" s="1">
        <v>45775</v>
      </c>
      <c r="K7689">
        <v>46447</v>
      </c>
      <c r="L7689" t="s">
        <v>6803</v>
      </c>
    </row>
    <row r="7690" spans="1:12" x14ac:dyDescent="0.35">
      <c r="A7690" t="s">
        <v>131</v>
      </c>
      <c r="B7690" s="1">
        <v>45744</v>
      </c>
      <c r="C7690" t="s">
        <v>5801</v>
      </c>
      <c r="D7690" t="s">
        <v>5801</v>
      </c>
      <c r="F7690" t="s">
        <v>8423</v>
      </c>
      <c r="H7690" t="s">
        <v>5508</v>
      </c>
      <c r="I7690" s="1">
        <v>45775</v>
      </c>
      <c r="K7690">
        <v>258038</v>
      </c>
      <c r="L7690" t="s">
        <v>5977</v>
      </c>
    </row>
    <row r="7691" spans="1:12" x14ac:dyDescent="0.35">
      <c r="A7691" t="s">
        <v>131</v>
      </c>
      <c r="B7691" s="1">
        <v>45744</v>
      </c>
      <c r="C7691" t="s">
        <v>5802</v>
      </c>
      <c r="D7691" t="s">
        <v>5802</v>
      </c>
      <c r="F7691" t="s">
        <v>7823</v>
      </c>
      <c r="G7691" t="s">
        <v>7877</v>
      </c>
      <c r="H7691" t="s">
        <v>5508</v>
      </c>
      <c r="I7691" s="1">
        <v>45775</v>
      </c>
      <c r="J7691">
        <v>304485</v>
      </c>
      <c r="L7691" t="s">
        <v>6803</v>
      </c>
    </row>
    <row r="7692" spans="1:12" x14ac:dyDescent="0.35">
      <c r="A7692" t="s">
        <v>131</v>
      </c>
      <c r="B7692" s="1">
        <v>45744</v>
      </c>
      <c r="C7692" t="s">
        <v>5802</v>
      </c>
      <c r="D7692" t="s">
        <v>5802</v>
      </c>
      <c r="F7692" t="s">
        <v>8419</v>
      </c>
      <c r="H7692" t="s">
        <v>5508</v>
      </c>
      <c r="I7692" s="1">
        <v>45775</v>
      </c>
      <c r="K7692">
        <v>46447</v>
      </c>
      <c r="L7692" t="s">
        <v>6803</v>
      </c>
    </row>
    <row r="7693" spans="1:12" x14ac:dyDescent="0.35">
      <c r="A7693" t="s">
        <v>131</v>
      </c>
      <c r="B7693" s="1">
        <v>45744</v>
      </c>
      <c r="C7693" t="s">
        <v>5802</v>
      </c>
      <c r="D7693" t="s">
        <v>5802</v>
      </c>
      <c r="F7693" t="s">
        <v>8423</v>
      </c>
      <c r="H7693" t="s">
        <v>5508</v>
      </c>
      <c r="I7693" s="1">
        <v>45775</v>
      </c>
      <c r="K7693">
        <v>258038</v>
      </c>
      <c r="L7693" t="s">
        <v>5977</v>
      </c>
    </row>
    <row r="7694" spans="1:12" x14ac:dyDescent="0.35">
      <c r="A7694" t="s">
        <v>131</v>
      </c>
      <c r="B7694" s="1">
        <v>45744</v>
      </c>
      <c r="C7694" t="s">
        <v>5803</v>
      </c>
      <c r="D7694" t="s">
        <v>5803</v>
      </c>
      <c r="F7694" t="s">
        <v>7823</v>
      </c>
      <c r="G7694" t="s">
        <v>7877</v>
      </c>
      <c r="H7694" t="s">
        <v>5508</v>
      </c>
      <c r="I7694" s="1">
        <v>45775</v>
      </c>
      <c r="J7694">
        <v>1099170</v>
      </c>
      <c r="L7694" t="s">
        <v>6803</v>
      </c>
    </row>
    <row r="7695" spans="1:12" x14ac:dyDescent="0.35">
      <c r="A7695" t="s">
        <v>131</v>
      </c>
      <c r="B7695" s="1">
        <v>45744</v>
      </c>
      <c r="C7695" t="s">
        <v>5803</v>
      </c>
      <c r="D7695" t="s">
        <v>5803</v>
      </c>
      <c r="F7695" t="s">
        <v>8419</v>
      </c>
      <c r="H7695" t="s">
        <v>5508</v>
      </c>
      <c r="I7695" s="1">
        <v>45775</v>
      </c>
      <c r="K7695">
        <v>167670</v>
      </c>
      <c r="L7695" t="s">
        <v>6803</v>
      </c>
    </row>
    <row r="7696" spans="1:12" x14ac:dyDescent="0.35">
      <c r="A7696" t="s">
        <v>131</v>
      </c>
      <c r="B7696" s="1">
        <v>45744</v>
      </c>
      <c r="C7696" t="s">
        <v>5803</v>
      </c>
      <c r="D7696" t="s">
        <v>5803</v>
      </c>
      <c r="F7696" t="s">
        <v>8423</v>
      </c>
      <c r="H7696" t="s">
        <v>5508</v>
      </c>
      <c r="I7696" s="1">
        <v>45775</v>
      </c>
      <c r="K7696">
        <v>931500</v>
      </c>
      <c r="L7696" t="s">
        <v>5977</v>
      </c>
    </row>
    <row r="7697" spans="1:12" x14ac:dyDescent="0.35">
      <c r="A7697" t="s">
        <v>131</v>
      </c>
      <c r="B7697" s="1">
        <v>45744</v>
      </c>
      <c r="C7697" t="s">
        <v>5804</v>
      </c>
      <c r="D7697" t="s">
        <v>5804</v>
      </c>
      <c r="F7697" t="s">
        <v>7823</v>
      </c>
      <c r="G7697" t="s">
        <v>7877</v>
      </c>
      <c r="H7697" t="s">
        <v>5508</v>
      </c>
      <c r="I7697" s="1">
        <v>45775</v>
      </c>
      <c r="J7697">
        <v>1099170</v>
      </c>
      <c r="L7697" t="s">
        <v>6803</v>
      </c>
    </row>
    <row r="7698" spans="1:12" x14ac:dyDescent="0.35">
      <c r="A7698" t="s">
        <v>131</v>
      </c>
      <c r="B7698" s="1">
        <v>45744</v>
      </c>
      <c r="C7698" t="s">
        <v>5804</v>
      </c>
      <c r="D7698" t="s">
        <v>5804</v>
      </c>
      <c r="F7698" t="s">
        <v>8419</v>
      </c>
      <c r="H7698" t="s">
        <v>5508</v>
      </c>
      <c r="I7698" s="1">
        <v>45775</v>
      </c>
      <c r="K7698">
        <v>167670</v>
      </c>
      <c r="L7698" t="s">
        <v>6803</v>
      </c>
    </row>
    <row r="7699" spans="1:12" x14ac:dyDescent="0.35">
      <c r="A7699" t="s">
        <v>131</v>
      </c>
      <c r="B7699" s="1">
        <v>45744</v>
      </c>
      <c r="C7699" t="s">
        <v>5804</v>
      </c>
      <c r="D7699" t="s">
        <v>5804</v>
      </c>
      <c r="F7699" t="s">
        <v>8423</v>
      </c>
      <c r="H7699" t="s">
        <v>5508</v>
      </c>
      <c r="I7699" s="1">
        <v>45775</v>
      </c>
      <c r="K7699">
        <v>931500</v>
      </c>
      <c r="L7699" t="s">
        <v>5977</v>
      </c>
    </row>
    <row r="7700" spans="1:12" x14ac:dyDescent="0.35">
      <c r="A7700" t="s">
        <v>131</v>
      </c>
      <c r="B7700" s="1">
        <v>45744</v>
      </c>
      <c r="C7700" t="s">
        <v>5805</v>
      </c>
      <c r="D7700" t="s">
        <v>5805</v>
      </c>
      <c r="F7700" t="s">
        <v>7823</v>
      </c>
      <c r="G7700" t="s">
        <v>7877</v>
      </c>
      <c r="H7700" t="s">
        <v>5508</v>
      </c>
      <c r="I7700" s="1">
        <v>45775</v>
      </c>
      <c r="J7700">
        <v>1099170</v>
      </c>
      <c r="L7700" t="s">
        <v>6803</v>
      </c>
    </row>
    <row r="7701" spans="1:12" x14ac:dyDescent="0.35">
      <c r="A7701" t="s">
        <v>131</v>
      </c>
      <c r="B7701" s="1">
        <v>45744</v>
      </c>
      <c r="C7701" t="s">
        <v>5805</v>
      </c>
      <c r="D7701" t="s">
        <v>5805</v>
      </c>
      <c r="F7701" t="s">
        <v>8419</v>
      </c>
      <c r="H7701" t="s">
        <v>5508</v>
      </c>
      <c r="I7701" s="1">
        <v>45775</v>
      </c>
      <c r="K7701">
        <v>167670</v>
      </c>
      <c r="L7701" t="s">
        <v>6803</v>
      </c>
    </row>
    <row r="7702" spans="1:12" x14ac:dyDescent="0.35">
      <c r="A7702" t="s">
        <v>131</v>
      </c>
      <c r="B7702" s="1">
        <v>45744</v>
      </c>
      <c r="C7702" t="s">
        <v>5805</v>
      </c>
      <c r="D7702" t="s">
        <v>5805</v>
      </c>
      <c r="F7702" t="s">
        <v>8423</v>
      </c>
      <c r="H7702" t="s">
        <v>5508</v>
      </c>
      <c r="I7702" s="1">
        <v>45775</v>
      </c>
      <c r="K7702">
        <v>931500</v>
      </c>
      <c r="L7702" t="s">
        <v>5977</v>
      </c>
    </row>
    <row r="7703" spans="1:12" x14ac:dyDescent="0.35">
      <c r="A7703" t="s">
        <v>131</v>
      </c>
      <c r="B7703" s="1">
        <v>45744</v>
      </c>
      <c r="C7703" t="s">
        <v>5806</v>
      </c>
      <c r="D7703" t="s">
        <v>5806</v>
      </c>
      <c r="F7703" t="s">
        <v>7823</v>
      </c>
      <c r="G7703" t="s">
        <v>7877</v>
      </c>
      <c r="H7703" t="s">
        <v>5508</v>
      </c>
      <c r="I7703" s="1">
        <v>45775</v>
      </c>
      <c r="J7703">
        <v>1099170</v>
      </c>
      <c r="L7703" t="s">
        <v>6803</v>
      </c>
    </row>
    <row r="7704" spans="1:12" x14ac:dyDescent="0.35">
      <c r="A7704" t="s">
        <v>131</v>
      </c>
      <c r="B7704" s="1">
        <v>45744</v>
      </c>
      <c r="C7704" t="s">
        <v>5806</v>
      </c>
      <c r="D7704" t="s">
        <v>5806</v>
      </c>
      <c r="F7704" t="s">
        <v>7823</v>
      </c>
      <c r="G7704" t="s">
        <v>7877</v>
      </c>
      <c r="H7704" t="s">
        <v>5611</v>
      </c>
      <c r="I7704" s="1">
        <v>45775</v>
      </c>
      <c r="J7704">
        <v>-1099170</v>
      </c>
      <c r="L7704" t="s">
        <v>6803</v>
      </c>
    </row>
    <row r="7705" spans="1:12" x14ac:dyDescent="0.35">
      <c r="A7705" t="s">
        <v>131</v>
      </c>
      <c r="B7705" s="1">
        <v>45744</v>
      </c>
      <c r="C7705" t="s">
        <v>5806</v>
      </c>
      <c r="D7705" t="s">
        <v>5806</v>
      </c>
      <c r="F7705" t="s">
        <v>8419</v>
      </c>
      <c r="H7705" t="s">
        <v>5508</v>
      </c>
      <c r="I7705" s="1">
        <v>45775</v>
      </c>
      <c r="K7705">
        <v>167670</v>
      </c>
      <c r="L7705" t="s">
        <v>6803</v>
      </c>
    </row>
    <row r="7706" spans="1:12" x14ac:dyDescent="0.35">
      <c r="A7706" t="s">
        <v>131</v>
      </c>
      <c r="B7706" s="1">
        <v>45744</v>
      </c>
      <c r="C7706" t="s">
        <v>5806</v>
      </c>
      <c r="D7706" t="s">
        <v>5806</v>
      </c>
      <c r="F7706" t="s">
        <v>8419</v>
      </c>
      <c r="H7706" t="s">
        <v>5611</v>
      </c>
      <c r="I7706" s="1">
        <v>45775</v>
      </c>
      <c r="K7706">
        <v>-167670</v>
      </c>
      <c r="L7706" t="s">
        <v>6803</v>
      </c>
    </row>
    <row r="7707" spans="1:12" x14ac:dyDescent="0.35">
      <c r="A7707" t="s">
        <v>131</v>
      </c>
      <c r="B7707" s="1">
        <v>45744</v>
      </c>
      <c r="C7707" t="s">
        <v>5806</v>
      </c>
      <c r="D7707" t="s">
        <v>5806</v>
      </c>
      <c r="F7707" t="s">
        <v>8423</v>
      </c>
      <c r="H7707" t="s">
        <v>5508</v>
      </c>
      <c r="I7707" s="1">
        <v>45775</v>
      </c>
      <c r="K7707">
        <v>931500</v>
      </c>
      <c r="L7707" t="s">
        <v>5977</v>
      </c>
    </row>
    <row r="7708" spans="1:12" x14ac:dyDescent="0.35">
      <c r="A7708" t="s">
        <v>131</v>
      </c>
      <c r="B7708" s="1">
        <v>45744</v>
      </c>
      <c r="C7708" t="s">
        <v>5806</v>
      </c>
      <c r="D7708" t="s">
        <v>5806</v>
      </c>
      <c r="F7708" t="s">
        <v>8423</v>
      </c>
      <c r="H7708" t="s">
        <v>5611</v>
      </c>
      <c r="I7708" s="1">
        <v>45775</v>
      </c>
      <c r="K7708">
        <v>-931500</v>
      </c>
      <c r="L7708" t="s">
        <v>5977</v>
      </c>
    </row>
    <row r="7709" spans="1:12" x14ac:dyDescent="0.35">
      <c r="A7709" t="s">
        <v>131</v>
      </c>
      <c r="B7709" s="1">
        <v>45744</v>
      </c>
      <c r="C7709" t="s">
        <v>5807</v>
      </c>
      <c r="D7709" t="s">
        <v>5807</v>
      </c>
      <c r="F7709" t="s">
        <v>7823</v>
      </c>
      <c r="G7709" t="s">
        <v>7824</v>
      </c>
      <c r="H7709" t="s">
        <v>5686</v>
      </c>
      <c r="I7709" s="1">
        <v>45775</v>
      </c>
      <c r="J7709">
        <v>885000</v>
      </c>
      <c r="L7709" t="s">
        <v>6803</v>
      </c>
    </row>
    <row r="7710" spans="1:12" x14ac:dyDescent="0.35">
      <c r="A7710" t="s">
        <v>131</v>
      </c>
      <c r="B7710" s="1">
        <v>45744</v>
      </c>
      <c r="C7710" t="s">
        <v>5807</v>
      </c>
      <c r="D7710" t="s">
        <v>5807</v>
      </c>
      <c r="F7710" t="s">
        <v>8419</v>
      </c>
      <c r="H7710" t="s">
        <v>5686</v>
      </c>
      <c r="I7710" s="1">
        <v>45775</v>
      </c>
      <c r="K7710">
        <v>135000</v>
      </c>
      <c r="L7710" t="s">
        <v>6803</v>
      </c>
    </row>
    <row r="7711" spans="1:12" x14ac:dyDescent="0.35">
      <c r="A7711" t="s">
        <v>131</v>
      </c>
      <c r="B7711" s="1">
        <v>45744</v>
      </c>
      <c r="C7711" t="s">
        <v>5807</v>
      </c>
      <c r="D7711" t="s">
        <v>5807</v>
      </c>
      <c r="F7711" t="s">
        <v>8423</v>
      </c>
      <c r="H7711" t="s">
        <v>5686</v>
      </c>
      <c r="I7711" s="1">
        <v>45775</v>
      </c>
      <c r="K7711">
        <v>750000</v>
      </c>
      <c r="L7711" t="s">
        <v>5969</v>
      </c>
    </row>
    <row r="7712" spans="1:12" x14ac:dyDescent="0.35">
      <c r="A7712" t="s">
        <v>131</v>
      </c>
      <c r="B7712" s="1">
        <v>45744</v>
      </c>
      <c r="C7712" t="s">
        <v>5808</v>
      </c>
      <c r="D7712" t="s">
        <v>5808</v>
      </c>
      <c r="F7712" t="s">
        <v>7823</v>
      </c>
      <c r="G7712" t="s">
        <v>7824</v>
      </c>
      <c r="H7712" t="s">
        <v>5686</v>
      </c>
      <c r="I7712" s="1">
        <v>45775</v>
      </c>
      <c r="J7712">
        <v>590000</v>
      </c>
      <c r="L7712" t="s">
        <v>6803</v>
      </c>
    </row>
    <row r="7713" spans="1:12" x14ac:dyDescent="0.35">
      <c r="A7713" t="s">
        <v>131</v>
      </c>
      <c r="B7713" s="1">
        <v>45744</v>
      </c>
      <c r="C7713" t="s">
        <v>5808</v>
      </c>
      <c r="D7713" t="s">
        <v>5808</v>
      </c>
      <c r="F7713" t="s">
        <v>8419</v>
      </c>
      <c r="H7713" t="s">
        <v>5686</v>
      </c>
      <c r="I7713" s="1">
        <v>45775</v>
      </c>
      <c r="K7713">
        <v>90000</v>
      </c>
      <c r="L7713" t="s">
        <v>6803</v>
      </c>
    </row>
    <row r="7714" spans="1:12" x14ac:dyDescent="0.35">
      <c r="A7714" t="s">
        <v>131</v>
      </c>
      <c r="B7714" s="1">
        <v>45744</v>
      </c>
      <c r="C7714" t="s">
        <v>5808</v>
      </c>
      <c r="D7714" t="s">
        <v>5808</v>
      </c>
      <c r="F7714" t="s">
        <v>8423</v>
      </c>
      <c r="H7714" t="s">
        <v>5686</v>
      </c>
      <c r="I7714" s="1">
        <v>45775</v>
      </c>
      <c r="K7714">
        <v>500000</v>
      </c>
      <c r="L7714" t="s">
        <v>5969</v>
      </c>
    </row>
    <row r="7715" spans="1:12" x14ac:dyDescent="0.35">
      <c r="A7715" t="s">
        <v>131</v>
      </c>
      <c r="B7715" s="1">
        <v>45745</v>
      </c>
      <c r="C7715" t="s">
        <v>5809</v>
      </c>
      <c r="D7715" t="s">
        <v>5809</v>
      </c>
      <c r="F7715" t="s">
        <v>7823</v>
      </c>
      <c r="G7715" t="s">
        <v>7877</v>
      </c>
      <c r="H7715" t="s">
        <v>5508</v>
      </c>
      <c r="I7715" s="1">
        <v>45776</v>
      </c>
      <c r="J7715">
        <v>4396680</v>
      </c>
      <c r="L7715" t="s">
        <v>6803</v>
      </c>
    </row>
    <row r="7716" spans="1:12" x14ac:dyDescent="0.35">
      <c r="A7716" t="s">
        <v>131</v>
      </c>
      <c r="B7716" s="1">
        <v>45745</v>
      </c>
      <c r="C7716" t="s">
        <v>5809</v>
      </c>
      <c r="D7716" t="s">
        <v>5809</v>
      </c>
      <c r="F7716" t="s">
        <v>8419</v>
      </c>
      <c r="H7716" t="s">
        <v>5508</v>
      </c>
      <c r="I7716" s="1">
        <v>45776</v>
      </c>
      <c r="K7716">
        <v>670680</v>
      </c>
      <c r="L7716" t="s">
        <v>6803</v>
      </c>
    </row>
    <row r="7717" spans="1:12" x14ac:dyDescent="0.35">
      <c r="A7717" t="s">
        <v>131</v>
      </c>
      <c r="B7717" s="1">
        <v>45745</v>
      </c>
      <c r="C7717" t="s">
        <v>5809</v>
      </c>
      <c r="D7717" t="s">
        <v>5809</v>
      </c>
      <c r="F7717" t="s">
        <v>8423</v>
      </c>
      <c r="H7717" t="s">
        <v>5508</v>
      </c>
      <c r="I7717" s="1">
        <v>45776</v>
      </c>
      <c r="K7717">
        <v>3726000</v>
      </c>
      <c r="L7717" t="s">
        <v>5975</v>
      </c>
    </row>
    <row r="7718" spans="1:12" x14ac:dyDescent="0.35">
      <c r="A7718" t="s">
        <v>131</v>
      </c>
      <c r="B7718" s="1">
        <v>45745</v>
      </c>
      <c r="C7718" t="s">
        <v>5810</v>
      </c>
      <c r="D7718" t="s">
        <v>5810</v>
      </c>
      <c r="F7718" t="s">
        <v>7823</v>
      </c>
      <c r="G7718" t="s">
        <v>7877</v>
      </c>
      <c r="H7718" t="s">
        <v>5508</v>
      </c>
      <c r="I7718" s="1">
        <v>45776</v>
      </c>
      <c r="J7718">
        <v>2198340</v>
      </c>
      <c r="L7718" t="s">
        <v>6803</v>
      </c>
    </row>
    <row r="7719" spans="1:12" x14ac:dyDescent="0.35">
      <c r="A7719" t="s">
        <v>131</v>
      </c>
      <c r="B7719" s="1">
        <v>45745</v>
      </c>
      <c r="C7719" t="s">
        <v>5810</v>
      </c>
      <c r="D7719" t="s">
        <v>5810</v>
      </c>
      <c r="F7719" t="s">
        <v>8419</v>
      </c>
      <c r="H7719" t="s">
        <v>5508</v>
      </c>
      <c r="I7719" s="1">
        <v>45776</v>
      </c>
      <c r="K7719">
        <v>335340</v>
      </c>
      <c r="L7719" t="s">
        <v>6803</v>
      </c>
    </row>
    <row r="7720" spans="1:12" x14ac:dyDescent="0.35">
      <c r="A7720" t="s">
        <v>131</v>
      </c>
      <c r="B7720" s="1">
        <v>45745</v>
      </c>
      <c r="C7720" t="s">
        <v>5810</v>
      </c>
      <c r="D7720" t="s">
        <v>5810</v>
      </c>
      <c r="F7720" t="s">
        <v>8423</v>
      </c>
      <c r="H7720" t="s">
        <v>5508</v>
      </c>
      <c r="I7720" s="1">
        <v>45776</v>
      </c>
      <c r="K7720">
        <v>1863000</v>
      </c>
      <c r="L7720" t="s">
        <v>5975</v>
      </c>
    </row>
    <row r="7721" spans="1:12" x14ac:dyDescent="0.35">
      <c r="A7721" t="s">
        <v>131</v>
      </c>
      <c r="B7721" s="1">
        <v>45745</v>
      </c>
      <c r="C7721" t="s">
        <v>5811</v>
      </c>
      <c r="D7721" t="s">
        <v>5811</v>
      </c>
      <c r="F7721" t="s">
        <v>7823</v>
      </c>
      <c r="G7721" t="s">
        <v>7877</v>
      </c>
      <c r="H7721" t="s">
        <v>5508</v>
      </c>
      <c r="I7721" s="1">
        <v>45776</v>
      </c>
      <c r="J7721">
        <v>6595020</v>
      </c>
      <c r="L7721" t="s">
        <v>6803</v>
      </c>
    </row>
    <row r="7722" spans="1:12" x14ac:dyDescent="0.35">
      <c r="A7722" t="s">
        <v>131</v>
      </c>
      <c r="B7722" s="1">
        <v>45745</v>
      </c>
      <c r="C7722" t="s">
        <v>5811</v>
      </c>
      <c r="D7722" t="s">
        <v>5811</v>
      </c>
      <c r="F7722" t="s">
        <v>8419</v>
      </c>
      <c r="H7722" t="s">
        <v>5508</v>
      </c>
      <c r="I7722" s="1">
        <v>45776</v>
      </c>
      <c r="K7722">
        <v>1006020</v>
      </c>
      <c r="L7722" t="s">
        <v>6803</v>
      </c>
    </row>
    <row r="7723" spans="1:12" x14ac:dyDescent="0.35">
      <c r="A7723" t="s">
        <v>131</v>
      </c>
      <c r="B7723" s="1">
        <v>45745</v>
      </c>
      <c r="C7723" t="s">
        <v>5811</v>
      </c>
      <c r="D7723" t="s">
        <v>5811</v>
      </c>
      <c r="F7723" t="s">
        <v>8423</v>
      </c>
      <c r="H7723" t="s">
        <v>5508</v>
      </c>
      <c r="I7723" s="1">
        <v>45776</v>
      </c>
      <c r="K7723">
        <v>5589000</v>
      </c>
      <c r="L7723" t="s">
        <v>5975</v>
      </c>
    </row>
    <row r="7724" spans="1:12" x14ac:dyDescent="0.35">
      <c r="A7724" t="s">
        <v>131</v>
      </c>
      <c r="B7724" s="1">
        <v>45745</v>
      </c>
      <c r="C7724" t="s">
        <v>5812</v>
      </c>
      <c r="D7724" t="s">
        <v>5812</v>
      </c>
      <c r="F7724" t="s">
        <v>7831</v>
      </c>
      <c r="G7724" t="s">
        <v>7881</v>
      </c>
      <c r="H7724" t="s">
        <v>5526</v>
      </c>
      <c r="I7724" s="1">
        <v>45745</v>
      </c>
      <c r="J7724">
        <v>241153</v>
      </c>
      <c r="L7724" t="s">
        <v>6803</v>
      </c>
    </row>
    <row r="7725" spans="1:12" x14ac:dyDescent="0.35">
      <c r="A7725" t="s">
        <v>131</v>
      </c>
      <c r="B7725" s="1">
        <v>45745</v>
      </c>
      <c r="C7725" t="s">
        <v>5812</v>
      </c>
      <c r="D7725" t="s">
        <v>5812</v>
      </c>
      <c r="F7725" t="s">
        <v>8424</v>
      </c>
      <c r="H7725" t="s">
        <v>5526</v>
      </c>
      <c r="I7725" s="1">
        <v>45745</v>
      </c>
      <c r="K7725">
        <v>241153</v>
      </c>
      <c r="L7725" t="s">
        <v>5977</v>
      </c>
    </row>
    <row r="7726" spans="1:12" x14ac:dyDescent="0.35">
      <c r="A7726" t="s">
        <v>131</v>
      </c>
      <c r="B7726" s="1">
        <v>45745</v>
      </c>
      <c r="C7726" t="s">
        <v>5813</v>
      </c>
      <c r="D7726" t="s">
        <v>5813</v>
      </c>
      <c r="F7726" t="s">
        <v>7823</v>
      </c>
      <c r="G7726" t="s">
        <v>7877</v>
      </c>
      <c r="H7726" t="s">
        <v>5508</v>
      </c>
      <c r="I7726" s="1">
        <v>45776</v>
      </c>
      <c r="J7726">
        <v>546959</v>
      </c>
      <c r="L7726" t="s">
        <v>6803</v>
      </c>
    </row>
    <row r="7727" spans="1:12" x14ac:dyDescent="0.35">
      <c r="A7727" t="s">
        <v>131</v>
      </c>
      <c r="B7727" s="1">
        <v>45745</v>
      </c>
      <c r="C7727" t="s">
        <v>5813</v>
      </c>
      <c r="D7727" t="s">
        <v>5813</v>
      </c>
      <c r="F7727" t="s">
        <v>8424</v>
      </c>
      <c r="H7727" t="s">
        <v>5508</v>
      </c>
      <c r="I7727" s="1">
        <v>45776</v>
      </c>
      <c r="K7727">
        <v>546959</v>
      </c>
      <c r="L7727" t="s">
        <v>5977</v>
      </c>
    </row>
    <row r="7728" spans="1:12" x14ac:dyDescent="0.35">
      <c r="A7728" t="s">
        <v>131</v>
      </c>
      <c r="B7728" s="1">
        <v>45747</v>
      </c>
      <c r="C7728" t="s">
        <v>5814</v>
      </c>
      <c r="D7728" t="s">
        <v>5814</v>
      </c>
      <c r="F7728" t="s">
        <v>7823</v>
      </c>
      <c r="G7728" t="s">
        <v>7824</v>
      </c>
      <c r="H7728" t="s">
        <v>5686</v>
      </c>
      <c r="I7728" s="1">
        <v>45777</v>
      </c>
      <c r="J7728">
        <v>4248000</v>
      </c>
      <c r="L7728" t="s">
        <v>6803</v>
      </c>
    </row>
    <row r="7729" spans="1:12" x14ac:dyDescent="0.35">
      <c r="A7729" t="s">
        <v>131</v>
      </c>
      <c r="B7729" s="1">
        <v>45747</v>
      </c>
      <c r="C7729" t="s">
        <v>5814</v>
      </c>
      <c r="D7729" t="s">
        <v>5814</v>
      </c>
      <c r="F7729" t="s">
        <v>8419</v>
      </c>
      <c r="H7729" t="s">
        <v>5686</v>
      </c>
      <c r="I7729" s="1">
        <v>45777</v>
      </c>
      <c r="K7729">
        <v>648000</v>
      </c>
      <c r="L7729" t="s">
        <v>6803</v>
      </c>
    </row>
    <row r="7730" spans="1:12" x14ac:dyDescent="0.35">
      <c r="A7730" t="s">
        <v>131</v>
      </c>
      <c r="B7730" s="1">
        <v>45747</v>
      </c>
      <c r="C7730" t="s">
        <v>5814</v>
      </c>
      <c r="D7730" t="s">
        <v>5814</v>
      </c>
      <c r="F7730" t="s">
        <v>8423</v>
      </c>
      <c r="H7730" t="s">
        <v>5686</v>
      </c>
      <c r="I7730" s="1">
        <v>45777</v>
      </c>
      <c r="K7730">
        <v>3600000</v>
      </c>
      <c r="L7730" t="s">
        <v>5969</v>
      </c>
    </row>
    <row r="7731" spans="1:12" x14ac:dyDescent="0.35">
      <c r="A7731" t="s">
        <v>131</v>
      </c>
      <c r="B7731" s="1">
        <v>45747</v>
      </c>
      <c r="C7731" t="s">
        <v>5815</v>
      </c>
      <c r="D7731" t="s">
        <v>5815</v>
      </c>
      <c r="F7731" t="s">
        <v>7823</v>
      </c>
      <c r="G7731" t="s">
        <v>9910</v>
      </c>
      <c r="H7731" t="s">
        <v>5816</v>
      </c>
      <c r="I7731" s="1">
        <v>45777</v>
      </c>
      <c r="J7731">
        <v>1062000</v>
      </c>
      <c r="L7731" t="s">
        <v>6803</v>
      </c>
    </row>
    <row r="7732" spans="1:12" x14ac:dyDescent="0.35">
      <c r="A7732" t="s">
        <v>131</v>
      </c>
      <c r="B7732" s="1">
        <v>45747</v>
      </c>
      <c r="C7732" t="s">
        <v>5815</v>
      </c>
      <c r="D7732" t="s">
        <v>5815</v>
      </c>
      <c r="F7732" t="s">
        <v>8419</v>
      </c>
      <c r="H7732" t="s">
        <v>5816</v>
      </c>
      <c r="I7732" s="1">
        <v>45777</v>
      </c>
      <c r="K7732">
        <v>162000</v>
      </c>
      <c r="L7732" t="s">
        <v>6803</v>
      </c>
    </row>
    <row r="7733" spans="1:12" x14ac:dyDescent="0.35">
      <c r="A7733" t="s">
        <v>131</v>
      </c>
      <c r="B7733" s="1">
        <v>45747</v>
      </c>
      <c r="C7733" t="s">
        <v>5815</v>
      </c>
      <c r="D7733" t="s">
        <v>5815</v>
      </c>
      <c r="F7733" t="s">
        <v>8423</v>
      </c>
      <c r="H7733" t="s">
        <v>5816</v>
      </c>
      <c r="I7733" s="1">
        <v>45777</v>
      </c>
      <c r="K7733">
        <v>900000</v>
      </c>
      <c r="L7733" t="s">
        <v>5975</v>
      </c>
    </row>
    <row r="7734" spans="1:12" x14ac:dyDescent="0.35">
      <c r="A7734" t="s">
        <v>131</v>
      </c>
      <c r="B7734" s="1">
        <v>45747</v>
      </c>
      <c r="C7734" t="s">
        <v>5817</v>
      </c>
      <c r="D7734" t="s">
        <v>5817</v>
      </c>
      <c r="F7734" t="s">
        <v>7823</v>
      </c>
      <c r="G7734" t="s">
        <v>7845</v>
      </c>
      <c r="H7734" t="s">
        <v>5576</v>
      </c>
      <c r="I7734" s="1">
        <v>45747</v>
      </c>
      <c r="J7734">
        <v>9451800</v>
      </c>
      <c r="L7734" t="s">
        <v>6803</v>
      </c>
    </row>
    <row r="7735" spans="1:12" x14ac:dyDescent="0.35">
      <c r="A7735" t="s">
        <v>131</v>
      </c>
      <c r="B7735" s="1">
        <v>45747</v>
      </c>
      <c r="C7735" t="s">
        <v>5817</v>
      </c>
      <c r="D7735" t="s">
        <v>5817</v>
      </c>
      <c r="F7735" t="s">
        <v>8419</v>
      </c>
      <c r="H7735" t="s">
        <v>5576</v>
      </c>
      <c r="I7735" s="1">
        <v>45747</v>
      </c>
      <c r="K7735">
        <v>1441800</v>
      </c>
      <c r="L7735" t="s">
        <v>6803</v>
      </c>
    </row>
    <row r="7736" spans="1:12" x14ac:dyDescent="0.35">
      <c r="A7736" t="s">
        <v>131</v>
      </c>
      <c r="B7736" s="1">
        <v>45747</v>
      </c>
      <c r="C7736" t="s">
        <v>5817</v>
      </c>
      <c r="D7736" t="s">
        <v>5817</v>
      </c>
      <c r="F7736" t="s">
        <v>8423</v>
      </c>
      <c r="H7736" t="s">
        <v>5576</v>
      </c>
      <c r="I7736" s="1">
        <v>45747</v>
      </c>
      <c r="K7736">
        <v>8010000</v>
      </c>
      <c r="L7736" t="s">
        <v>5975</v>
      </c>
    </row>
    <row r="7737" spans="1:12" x14ac:dyDescent="0.35">
      <c r="A7737" t="s">
        <v>131</v>
      </c>
      <c r="B7737" s="1">
        <v>45747</v>
      </c>
      <c r="C7737" t="s">
        <v>5818</v>
      </c>
      <c r="D7737" t="s">
        <v>5818</v>
      </c>
      <c r="F7737" t="s">
        <v>7831</v>
      </c>
      <c r="G7737" t="s">
        <v>7515</v>
      </c>
      <c r="H7737" t="s">
        <v>5819</v>
      </c>
      <c r="I7737" s="1">
        <v>45747</v>
      </c>
      <c r="K7737">
        <v>1529280</v>
      </c>
      <c r="L7737" t="s">
        <v>6803</v>
      </c>
    </row>
    <row r="7738" spans="1:12" x14ac:dyDescent="0.35">
      <c r="A7738" t="s">
        <v>131</v>
      </c>
      <c r="B7738" s="1">
        <v>45747</v>
      </c>
      <c r="C7738" t="s">
        <v>5818</v>
      </c>
      <c r="D7738" t="s">
        <v>5818</v>
      </c>
      <c r="F7738" t="s">
        <v>8419</v>
      </c>
      <c r="H7738" t="s">
        <v>5819</v>
      </c>
      <c r="I7738" s="1">
        <v>45747</v>
      </c>
      <c r="J7738">
        <v>215280</v>
      </c>
      <c r="L7738" t="s">
        <v>6803</v>
      </c>
    </row>
    <row r="7739" spans="1:12" x14ac:dyDescent="0.35">
      <c r="A7739" t="s">
        <v>131</v>
      </c>
      <c r="B7739" s="1">
        <v>45747</v>
      </c>
      <c r="C7739" t="s">
        <v>5818</v>
      </c>
      <c r="D7739" t="s">
        <v>5818</v>
      </c>
      <c r="F7739" t="s">
        <v>7701</v>
      </c>
      <c r="H7739" t="s">
        <v>5819</v>
      </c>
      <c r="I7739" s="1">
        <v>45747</v>
      </c>
      <c r="J7739">
        <v>118000</v>
      </c>
      <c r="L7739" t="s">
        <v>350</v>
      </c>
    </row>
    <row r="7740" spans="1:12" x14ac:dyDescent="0.35">
      <c r="A7740" t="s">
        <v>131</v>
      </c>
      <c r="B7740" s="1">
        <v>45747</v>
      </c>
      <c r="C7740" t="s">
        <v>5818</v>
      </c>
      <c r="D7740" t="s">
        <v>5818</v>
      </c>
      <c r="F7740" t="s">
        <v>8423</v>
      </c>
      <c r="H7740" t="s">
        <v>5819</v>
      </c>
      <c r="I7740" s="1">
        <v>45747</v>
      </c>
      <c r="J7740">
        <v>800000</v>
      </c>
      <c r="L7740" t="s">
        <v>5972</v>
      </c>
    </row>
    <row r="7741" spans="1:12" x14ac:dyDescent="0.35">
      <c r="A7741" t="s">
        <v>131</v>
      </c>
      <c r="B7741" s="1">
        <v>45747</v>
      </c>
      <c r="C7741" t="s">
        <v>5818</v>
      </c>
      <c r="D7741" t="s">
        <v>5818</v>
      </c>
      <c r="F7741" t="s">
        <v>8428</v>
      </c>
      <c r="H7741" t="s">
        <v>5819</v>
      </c>
      <c r="I7741" s="1">
        <v>45747</v>
      </c>
      <c r="J7741">
        <v>396000</v>
      </c>
      <c r="L7741" t="s">
        <v>5972</v>
      </c>
    </row>
    <row r="7742" spans="1:12" x14ac:dyDescent="0.35">
      <c r="A7742" t="s">
        <v>131</v>
      </c>
      <c r="B7742" s="1">
        <v>45747</v>
      </c>
      <c r="C7742" t="s">
        <v>5820</v>
      </c>
      <c r="D7742" t="s">
        <v>5820</v>
      </c>
      <c r="F7742" t="s">
        <v>7823</v>
      </c>
      <c r="G7742" t="s">
        <v>7824</v>
      </c>
      <c r="H7742" t="s">
        <v>5686</v>
      </c>
      <c r="I7742" s="1">
        <v>45777</v>
      </c>
      <c r="J7742">
        <v>46757913</v>
      </c>
      <c r="L7742" t="s">
        <v>6803</v>
      </c>
    </row>
    <row r="7743" spans="1:12" x14ac:dyDescent="0.35">
      <c r="A7743" t="s">
        <v>131</v>
      </c>
      <c r="B7743" s="1">
        <v>45747</v>
      </c>
      <c r="C7743" t="s">
        <v>5820</v>
      </c>
      <c r="D7743" t="s">
        <v>5820</v>
      </c>
      <c r="F7743" t="s">
        <v>8419</v>
      </c>
      <c r="H7743" t="s">
        <v>5686</v>
      </c>
      <c r="I7743" s="1">
        <v>45777</v>
      </c>
      <c r="K7743">
        <v>7132563</v>
      </c>
      <c r="L7743" t="s">
        <v>6803</v>
      </c>
    </row>
    <row r="7744" spans="1:12" x14ac:dyDescent="0.35">
      <c r="A7744" t="s">
        <v>131</v>
      </c>
      <c r="B7744" s="1">
        <v>45747</v>
      </c>
      <c r="C7744" t="s">
        <v>5820</v>
      </c>
      <c r="D7744" t="s">
        <v>5820</v>
      </c>
      <c r="F7744" t="s">
        <v>8423</v>
      </c>
      <c r="H7744" t="s">
        <v>5686</v>
      </c>
      <c r="I7744" s="1">
        <v>45777</v>
      </c>
      <c r="K7744">
        <v>39625350</v>
      </c>
      <c r="L7744" t="s">
        <v>5969</v>
      </c>
    </row>
    <row r="7745" spans="1:12" x14ac:dyDescent="0.35">
      <c r="A7745" t="s">
        <v>131</v>
      </c>
      <c r="B7745" s="1">
        <v>45747</v>
      </c>
      <c r="C7745" t="s">
        <v>5821</v>
      </c>
      <c r="D7745" t="s">
        <v>5821</v>
      </c>
      <c r="F7745" t="s">
        <v>7831</v>
      </c>
      <c r="G7745" t="s">
        <v>7515</v>
      </c>
      <c r="H7745" t="s">
        <v>139</v>
      </c>
      <c r="I7745" s="1">
        <v>45747</v>
      </c>
      <c r="J7745">
        <v>4741200</v>
      </c>
      <c r="L7745" t="s">
        <v>6803</v>
      </c>
    </row>
    <row r="7746" spans="1:12" x14ac:dyDescent="0.35">
      <c r="A7746" t="s">
        <v>131</v>
      </c>
      <c r="B7746" s="1">
        <v>45747</v>
      </c>
      <c r="C7746" t="s">
        <v>5821</v>
      </c>
      <c r="D7746" t="s">
        <v>5821</v>
      </c>
      <c r="F7746" t="s">
        <v>8423</v>
      </c>
      <c r="H7746" t="s">
        <v>139</v>
      </c>
      <c r="I7746" s="1">
        <v>45747</v>
      </c>
      <c r="K7746">
        <v>4741200</v>
      </c>
      <c r="L7746" t="s">
        <v>5975</v>
      </c>
    </row>
    <row r="7747" spans="1:12" x14ac:dyDescent="0.35">
      <c r="A7747" t="s">
        <v>131</v>
      </c>
      <c r="B7747" s="1">
        <v>45747</v>
      </c>
      <c r="C7747" t="s">
        <v>5822</v>
      </c>
      <c r="D7747" t="s">
        <v>5822</v>
      </c>
      <c r="F7747" t="s">
        <v>7831</v>
      </c>
      <c r="G7747" t="s">
        <v>7515</v>
      </c>
      <c r="H7747" t="s">
        <v>139</v>
      </c>
      <c r="I7747" s="1">
        <v>45747</v>
      </c>
      <c r="J7747">
        <v>864000</v>
      </c>
      <c r="L7747" t="s">
        <v>6803</v>
      </c>
    </row>
    <row r="7748" spans="1:12" x14ac:dyDescent="0.35">
      <c r="A7748" t="s">
        <v>131</v>
      </c>
      <c r="B7748" s="1">
        <v>45747</v>
      </c>
      <c r="C7748" t="s">
        <v>5822</v>
      </c>
      <c r="D7748" t="s">
        <v>5822</v>
      </c>
      <c r="F7748" t="s">
        <v>8423</v>
      </c>
      <c r="H7748" t="s">
        <v>139</v>
      </c>
      <c r="I7748" s="1">
        <v>45747</v>
      </c>
      <c r="K7748">
        <v>864000</v>
      </c>
      <c r="L7748" t="s">
        <v>5975</v>
      </c>
    </row>
    <row r="7749" spans="1:12" x14ac:dyDescent="0.35">
      <c r="A7749" t="s">
        <v>131</v>
      </c>
      <c r="B7749" s="1">
        <v>45747</v>
      </c>
      <c r="C7749" t="s">
        <v>5823</v>
      </c>
      <c r="D7749" t="s">
        <v>5823</v>
      </c>
      <c r="F7749" t="s">
        <v>7831</v>
      </c>
      <c r="G7749" t="s">
        <v>7515</v>
      </c>
      <c r="H7749" t="s">
        <v>139</v>
      </c>
      <c r="I7749" s="1">
        <v>45777</v>
      </c>
      <c r="J7749">
        <v>2933480</v>
      </c>
      <c r="L7749" t="s">
        <v>6803</v>
      </c>
    </row>
    <row r="7750" spans="1:12" x14ac:dyDescent="0.35">
      <c r="A7750" t="s">
        <v>131</v>
      </c>
      <c r="B7750" s="1">
        <v>45747</v>
      </c>
      <c r="C7750" t="s">
        <v>5823</v>
      </c>
      <c r="D7750" t="s">
        <v>5823</v>
      </c>
      <c r="F7750" t="s">
        <v>8419</v>
      </c>
      <c r="H7750" t="s">
        <v>139</v>
      </c>
      <c r="I7750" s="1">
        <v>45777</v>
      </c>
      <c r="K7750">
        <v>397980</v>
      </c>
      <c r="L7750" t="s">
        <v>6803</v>
      </c>
    </row>
    <row r="7751" spans="1:12" x14ac:dyDescent="0.35">
      <c r="A7751" t="s">
        <v>131</v>
      </c>
      <c r="B7751" s="1">
        <v>45747</v>
      </c>
      <c r="C7751" t="s">
        <v>5823</v>
      </c>
      <c r="D7751" t="s">
        <v>5823</v>
      </c>
      <c r="F7751" t="s">
        <v>7701</v>
      </c>
      <c r="H7751" t="s">
        <v>139</v>
      </c>
      <c r="I7751" s="1">
        <v>45777</v>
      </c>
      <c r="K7751">
        <v>324500</v>
      </c>
      <c r="L7751" t="s">
        <v>350</v>
      </c>
    </row>
    <row r="7752" spans="1:12" x14ac:dyDescent="0.35">
      <c r="A7752" t="s">
        <v>131</v>
      </c>
      <c r="B7752" s="1">
        <v>45747</v>
      </c>
      <c r="C7752" t="s">
        <v>5823</v>
      </c>
      <c r="D7752" t="s">
        <v>5823</v>
      </c>
      <c r="F7752" t="s">
        <v>8423</v>
      </c>
      <c r="H7752" t="s">
        <v>139</v>
      </c>
      <c r="I7752" s="1">
        <v>45777</v>
      </c>
      <c r="K7752">
        <v>2211000</v>
      </c>
      <c r="L7752" t="s">
        <v>5972</v>
      </c>
    </row>
    <row r="7753" spans="1:12" x14ac:dyDescent="0.35">
      <c r="A7753" t="s">
        <v>131</v>
      </c>
      <c r="B7753" s="1">
        <v>45747</v>
      </c>
      <c r="C7753" t="s">
        <v>5824</v>
      </c>
      <c r="D7753" t="s">
        <v>5824</v>
      </c>
      <c r="F7753" t="s">
        <v>7831</v>
      </c>
      <c r="G7753" t="s">
        <v>7515</v>
      </c>
      <c r="H7753" t="s">
        <v>5825</v>
      </c>
      <c r="I7753" s="1">
        <v>45777</v>
      </c>
      <c r="J7753">
        <v>585280</v>
      </c>
      <c r="L7753" t="s">
        <v>6803</v>
      </c>
    </row>
    <row r="7754" spans="1:12" x14ac:dyDescent="0.35">
      <c r="A7754" t="s">
        <v>131</v>
      </c>
      <c r="B7754" s="1">
        <v>45747</v>
      </c>
      <c r="C7754" t="s">
        <v>5824</v>
      </c>
      <c r="D7754" t="s">
        <v>5824</v>
      </c>
      <c r="F7754" t="s">
        <v>8419</v>
      </c>
      <c r="H7754" t="s">
        <v>5825</v>
      </c>
      <c r="I7754" s="1">
        <v>45777</v>
      </c>
      <c r="K7754">
        <v>71280</v>
      </c>
      <c r="L7754" t="s">
        <v>6803</v>
      </c>
    </row>
    <row r="7755" spans="1:12" x14ac:dyDescent="0.35">
      <c r="A7755" t="s">
        <v>131</v>
      </c>
      <c r="B7755" s="1">
        <v>45747</v>
      </c>
      <c r="C7755" t="s">
        <v>5824</v>
      </c>
      <c r="D7755" t="s">
        <v>5824</v>
      </c>
      <c r="F7755" t="s">
        <v>7701</v>
      </c>
      <c r="H7755" t="s">
        <v>5825</v>
      </c>
      <c r="I7755" s="1">
        <v>45777</v>
      </c>
      <c r="K7755">
        <v>118000</v>
      </c>
      <c r="L7755" t="s">
        <v>350</v>
      </c>
    </row>
    <row r="7756" spans="1:12" x14ac:dyDescent="0.35">
      <c r="A7756" t="s">
        <v>131</v>
      </c>
      <c r="B7756" s="1">
        <v>45747</v>
      </c>
      <c r="C7756" t="s">
        <v>5824</v>
      </c>
      <c r="D7756" t="s">
        <v>5824</v>
      </c>
      <c r="F7756" t="s">
        <v>8423</v>
      </c>
      <c r="H7756" t="s">
        <v>5825</v>
      </c>
      <c r="I7756" s="1">
        <v>45777</v>
      </c>
      <c r="K7756">
        <v>396000</v>
      </c>
      <c r="L7756" t="s">
        <v>5972</v>
      </c>
    </row>
    <row r="7757" spans="1:12" x14ac:dyDescent="0.35">
      <c r="A7757" t="s">
        <v>131</v>
      </c>
      <c r="B7757" s="1">
        <v>45747</v>
      </c>
      <c r="C7757" t="s">
        <v>5826</v>
      </c>
      <c r="D7757" t="s">
        <v>5826</v>
      </c>
      <c r="F7757" t="s">
        <v>7831</v>
      </c>
      <c r="G7757" t="s">
        <v>8393</v>
      </c>
      <c r="H7757" t="s">
        <v>5518</v>
      </c>
      <c r="I7757" s="1">
        <v>45777</v>
      </c>
      <c r="J7757">
        <v>236000</v>
      </c>
      <c r="L7757" t="s">
        <v>6803</v>
      </c>
    </row>
    <row r="7758" spans="1:12" x14ac:dyDescent="0.35">
      <c r="A7758" t="s">
        <v>131</v>
      </c>
      <c r="B7758" s="1">
        <v>45747</v>
      </c>
      <c r="C7758" t="s">
        <v>5826</v>
      </c>
      <c r="D7758" t="s">
        <v>5826</v>
      </c>
      <c r="F7758" t="s">
        <v>8419</v>
      </c>
      <c r="H7758" t="s">
        <v>5518</v>
      </c>
      <c r="I7758" s="1">
        <v>45777</v>
      </c>
      <c r="K7758">
        <v>27000</v>
      </c>
      <c r="L7758" t="s">
        <v>6803</v>
      </c>
    </row>
    <row r="7759" spans="1:12" x14ac:dyDescent="0.35">
      <c r="A7759" t="s">
        <v>131</v>
      </c>
      <c r="B7759" s="1">
        <v>45747</v>
      </c>
      <c r="C7759" t="s">
        <v>5826</v>
      </c>
      <c r="D7759" t="s">
        <v>5826</v>
      </c>
      <c r="F7759" t="s">
        <v>7701</v>
      </c>
      <c r="H7759" t="s">
        <v>5518</v>
      </c>
      <c r="I7759" s="1">
        <v>45777</v>
      </c>
      <c r="K7759">
        <v>59000</v>
      </c>
      <c r="L7759" t="s">
        <v>350</v>
      </c>
    </row>
    <row r="7760" spans="1:12" x14ac:dyDescent="0.35">
      <c r="A7760" t="s">
        <v>131</v>
      </c>
      <c r="B7760" s="1">
        <v>45747</v>
      </c>
      <c r="C7760" t="s">
        <v>5826</v>
      </c>
      <c r="D7760" t="s">
        <v>5826</v>
      </c>
      <c r="F7760" t="s">
        <v>8423</v>
      </c>
      <c r="H7760" t="s">
        <v>5518</v>
      </c>
      <c r="I7760" s="1">
        <v>45777</v>
      </c>
      <c r="K7760">
        <v>150000</v>
      </c>
      <c r="L7760" t="s">
        <v>5972</v>
      </c>
    </row>
    <row r="7761" spans="1:12" x14ac:dyDescent="0.35">
      <c r="A7761" t="s">
        <v>131</v>
      </c>
      <c r="B7761" s="1">
        <v>45747</v>
      </c>
      <c r="C7761" t="s">
        <v>5827</v>
      </c>
      <c r="D7761" t="s">
        <v>5827</v>
      </c>
      <c r="F7761" t="s">
        <v>7831</v>
      </c>
      <c r="G7761" t="s">
        <v>8393</v>
      </c>
      <c r="H7761" t="s">
        <v>5518</v>
      </c>
      <c r="I7761" s="1">
        <v>45777</v>
      </c>
      <c r="J7761">
        <v>236000</v>
      </c>
      <c r="L7761" t="s">
        <v>6803</v>
      </c>
    </row>
    <row r="7762" spans="1:12" x14ac:dyDescent="0.35">
      <c r="A7762" t="s">
        <v>131</v>
      </c>
      <c r="B7762" s="1">
        <v>45747</v>
      </c>
      <c r="C7762" t="s">
        <v>5827</v>
      </c>
      <c r="D7762" t="s">
        <v>5827</v>
      </c>
      <c r="F7762" t="s">
        <v>8419</v>
      </c>
      <c r="H7762" t="s">
        <v>5518</v>
      </c>
      <c r="I7762" s="1">
        <v>45777</v>
      </c>
      <c r="K7762">
        <v>27000</v>
      </c>
      <c r="L7762" t="s">
        <v>6803</v>
      </c>
    </row>
    <row r="7763" spans="1:12" x14ac:dyDescent="0.35">
      <c r="A7763" t="s">
        <v>131</v>
      </c>
      <c r="B7763" s="1">
        <v>45747</v>
      </c>
      <c r="C7763" t="s">
        <v>5827</v>
      </c>
      <c r="D7763" t="s">
        <v>5827</v>
      </c>
      <c r="F7763" t="s">
        <v>7701</v>
      </c>
      <c r="H7763" t="s">
        <v>5518</v>
      </c>
      <c r="I7763" s="1">
        <v>45777</v>
      </c>
      <c r="K7763">
        <v>59000</v>
      </c>
      <c r="L7763" t="s">
        <v>350</v>
      </c>
    </row>
    <row r="7764" spans="1:12" x14ac:dyDescent="0.35">
      <c r="A7764" t="s">
        <v>131</v>
      </c>
      <c r="B7764" s="1">
        <v>45747</v>
      </c>
      <c r="C7764" t="s">
        <v>5827</v>
      </c>
      <c r="D7764" t="s">
        <v>5827</v>
      </c>
      <c r="F7764" t="s">
        <v>8423</v>
      </c>
      <c r="H7764" t="s">
        <v>5518</v>
      </c>
      <c r="I7764" s="1">
        <v>45777</v>
      </c>
      <c r="K7764">
        <v>150000</v>
      </c>
      <c r="L7764" t="s">
        <v>5972</v>
      </c>
    </row>
    <row r="7765" spans="1:12" x14ac:dyDescent="0.35">
      <c r="A7765" t="s">
        <v>131</v>
      </c>
      <c r="B7765" s="1">
        <v>45747</v>
      </c>
      <c r="C7765" t="s">
        <v>5828</v>
      </c>
      <c r="D7765" t="s">
        <v>5828</v>
      </c>
      <c r="F7765" t="s">
        <v>7831</v>
      </c>
      <c r="G7765" t="s">
        <v>8393</v>
      </c>
      <c r="H7765" t="s">
        <v>5518</v>
      </c>
      <c r="I7765" s="1">
        <v>45777</v>
      </c>
      <c r="J7765">
        <v>206500</v>
      </c>
      <c r="L7765" t="s">
        <v>6803</v>
      </c>
    </row>
    <row r="7766" spans="1:12" x14ac:dyDescent="0.35">
      <c r="A7766" t="s">
        <v>131</v>
      </c>
      <c r="B7766" s="1">
        <v>45747</v>
      </c>
      <c r="C7766" t="s">
        <v>5828</v>
      </c>
      <c r="D7766" t="s">
        <v>5828</v>
      </c>
      <c r="F7766" t="s">
        <v>8419</v>
      </c>
      <c r="H7766" t="s">
        <v>5518</v>
      </c>
      <c r="I7766" s="1">
        <v>45777</v>
      </c>
      <c r="K7766">
        <v>27000</v>
      </c>
      <c r="L7766" t="s">
        <v>6803</v>
      </c>
    </row>
    <row r="7767" spans="1:12" x14ac:dyDescent="0.35">
      <c r="A7767" t="s">
        <v>131</v>
      </c>
      <c r="B7767" s="1">
        <v>45747</v>
      </c>
      <c r="C7767" t="s">
        <v>5828</v>
      </c>
      <c r="D7767" t="s">
        <v>5828</v>
      </c>
      <c r="F7767" t="s">
        <v>7701</v>
      </c>
      <c r="H7767" t="s">
        <v>5518</v>
      </c>
      <c r="I7767" s="1">
        <v>45777</v>
      </c>
      <c r="K7767">
        <v>29500</v>
      </c>
      <c r="L7767" t="s">
        <v>350</v>
      </c>
    </row>
    <row r="7768" spans="1:12" x14ac:dyDescent="0.35">
      <c r="A7768" t="s">
        <v>131</v>
      </c>
      <c r="B7768" s="1">
        <v>45747</v>
      </c>
      <c r="C7768" t="s">
        <v>5828</v>
      </c>
      <c r="D7768" t="s">
        <v>5828</v>
      </c>
      <c r="F7768" t="s">
        <v>8423</v>
      </c>
      <c r="H7768" t="s">
        <v>5518</v>
      </c>
      <c r="I7768" s="1">
        <v>45777</v>
      </c>
      <c r="K7768">
        <v>150000</v>
      </c>
      <c r="L7768" t="s">
        <v>5972</v>
      </c>
    </row>
    <row r="7769" spans="1:12" x14ac:dyDescent="0.35">
      <c r="A7769" t="s">
        <v>131</v>
      </c>
      <c r="B7769" s="1">
        <v>45747</v>
      </c>
      <c r="C7769" t="s">
        <v>5829</v>
      </c>
      <c r="D7769" t="s">
        <v>5829</v>
      </c>
      <c r="F7769" t="s">
        <v>7831</v>
      </c>
      <c r="G7769" t="s">
        <v>8393</v>
      </c>
      <c r="H7769" t="s">
        <v>5518</v>
      </c>
      <c r="I7769" s="1">
        <v>45777</v>
      </c>
      <c r="J7769">
        <v>206500</v>
      </c>
      <c r="L7769" t="s">
        <v>6803</v>
      </c>
    </row>
    <row r="7770" spans="1:12" x14ac:dyDescent="0.35">
      <c r="A7770" t="s">
        <v>131</v>
      </c>
      <c r="B7770" s="1">
        <v>45747</v>
      </c>
      <c r="C7770" t="s">
        <v>5829</v>
      </c>
      <c r="D7770" t="s">
        <v>5829</v>
      </c>
      <c r="F7770" t="s">
        <v>8419</v>
      </c>
      <c r="H7770" t="s">
        <v>5518</v>
      </c>
      <c r="I7770" s="1">
        <v>45777</v>
      </c>
      <c r="K7770">
        <v>27000</v>
      </c>
      <c r="L7770" t="s">
        <v>6803</v>
      </c>
    </row>
    <row r="7771" spans="1:12" x14ac:dyDescent="0.35">
      <c r="A7771" t="s">
        <v>131</v>
      </c>
      <c r="B7771" s="1">
        <v>45747</v>
      </c>
      <c r="C7771" t="s">
        <v>5829</v>
      </c>
      <c r="D7771" t="s">
        <v>5829</v>
      </c>
      <c r="F7771" t="s">
        <v>7701</v>
      </c>
      <c r="H7771" t="s">
        <v>5518</v>
      </c>
      <c r="I7771" s="1">
        <v>45777</v>
      </c>
      <c r="K7771">
        <v>29500</v>
      </c>
      <c r="L7771" t="s">
        <v>350</v>
      </c>
    </row>
    <row r="7772" spans="1:12" x14ac:dyDescent="0.35">
      <c r="A7772" t="s">
        <v>131</v>
      </c>
      <c r="B7772" s="1">
        <v>45747</v>
      </c>
      <c r="C7772" t="s">
        <v>5829</v>
      </c>
      <c r="D7772" t="s">
        <v>5829</v>
      </c>
      <c r="F7772" t="s">
        <v>8423</v>
      </c>
      <c r="H7772" t="s">
        <v>5518</v>
      </c>
      <c r="I7772" s="1">
        <v>45777</v>
      </c>
      <c r="K7772">
        <v>150000</v>
      </c>
      <c r="L7772" t="s">
        <v>5972</v>
      </c>
    </row>
    <row r="7773" spans="1:12" x14ac:dyDescent="0.35">
      <c r="A7773" t="s">
        <v>131</v>
      </c>
      <c r="B7773" s="1">
        <v>45747</v>
      </c>
      <c r="C7773" t="s">
        <v>5830</v>
      </c>
      <c r="D7773" t="s">
        <v>5830</v>
      </c>
      <c r="F7773" t="s">
        <v>7831</v>
      </c>
      <c r="G7773" t="s">
        <v>8393</v>
      </c>
      <c r="H7773" t="s">
        <v>5518</v>
      </c>
      <c r="I7773" s="1">
        <v>45777</v>
      </c>
      <c r="J7773">
        <v>236000</v>
      </c>
      <c r="L7773" t="s">
        <v>6803</v>
      </c>
    </row>
    <row r="7774" spans="1:12" x14ac:dyDescent="0.35">
      <c r="A7774" t="s">
        <v>131</v>
      </c>
      <c r="B7774" s="1">
        <v>45747</v>
      </c>
      <c r="C7774" t="s">
        <v>5830</v>
      </c>
      <c r="D7774" t="s">
        <v>5830</v>
      </c>
      <c r="F7774" t="s">
        <v>8419</v>
      </c>
      <c r="H7774" t="s">
        <v>5518</v>
      </c>
      <c r="I7774" s="1">
        <v>45777</v>
      </c>
      <c r="K7774">
        <v>27000</v>
      </c>
      <c r="L7774" t="s">
        <v>6803</v>
      </c>
    </row>
    <row r="7775" spans="1:12" x14ac:dyDescent="0.35">
      <c r="A7775" t="s">
        <v>131</v>
      </c>
      <c r="B7775" s="1">
        <v>45747</v>
      </c>
      <c r="C7775" t="s">
        <v>5830</v>
      </c>
      <c r="D7775" t="s">
        <v>5830</v>
      </c>
      <c r="F7775" t="s">
        <v>7701</v>
      </c>
      <c r="H7775" t="s">
        <v>5518</v>
      </c>
      <c r="I7775" s="1">
        <v>45777</v>
      </c>
      <c r="K7775">
        <v>59000</v>
      </c>
      <c r="L7775" t="s">
        <v>350</v>
      </c>
    </row>
    <row r="7776" spans="1:12" x14ac:dyDescent="0.35">
      <c r="A7776" t="s">
        <v>131</v>
      </c>
      <c r="B7776" s="1">
        <v>45747</v>
      </c>
      <c r="C7776" t="s">
        <v>5830</v>
      </c>
      <c r="D7776" t="s">
        <v>5830</v>
      </c>
      <c r="F7776" t="s">
        <v>8423</v>
      </c>
      <c r="H7776" t="s">
        <v>5518</v>
      </c>
      <c r="I7776" s="1">
        <v>45777</v>
      </c>
      <c r="K7776">
        <v>150000</v>
      </c>
      <c r="L7776" t="s">
        <v>5972</v>
      </c>
    </row>
    <row r="7777" spans="1:12" x14ac:dyDescent="0.35">
      <c r="A7777" t="s">
        <v>131</v>
      </c>
      <c r="B7777" s="1">
        <v>45747</v>
      </c>
      <c r="C7777" t="s">
        <v>5831</v>
      </c>
      <c r="D7777" t="s">
        <v>5831</v>
      </c>
      <c r="F7777" t="s">
        <v>7831</v>
      </c>
      <c r="G7777" t="s">
        <v>8393</v>
      </c>
      <c r="H7777" t="s">
        <v>5518</v>
      </c>
      <c r="I7777" s="1">
        <v>45777</v>
      </c>
      <c r="J7777">
        <v>236000</v>
      </c>
      <c r="L7777" t="s">
        <v>6803</v>
      </c>
    </row>
    <row r="7778" spans="1:12" x14ac:dyDescent="0.35">
      <c r="A7778" t="s">
        <v>131</v>
      </c>
      <c r="B7778" s="1">
        <v>45747</v>
      </c>
      <c r="C7778" t="s">
        <v>5831</v>
      </c>
      <c r="D7778" t="s">
        <v>5831</v>
      </c>
      <c r="F7778" t="s">
        <v>8419</v>
      </c>
      <c r="H7778" t="s">
        <v>5518</v>
      </c>
      <c r="I7778" s="1">
        <v>45777</v>
      </c>
      <c r="K7778">
        <v>27000</v>
      </c>
      <c r="L7778" t="s">
        <v>6803</v>
      </c>
    </row>
    <row r="7779" spans="1:12" x14ac:dyDescent="0.35">
      <c r="A7779" t="s">
        <v>131</v>
      </c>
      <c r="B7779" s="1">
        <v>45747</v>
      </c>
      <c r="C7779" t="s">
        <v>5831</v>
      </c>
      <c r="D7779" t="s">
        <v>5831</v>
      </c>
      <c r="F7779" t="s">
        <v>7701</v>
      </c>
      <c r="H7779" t="s">
        <v>5518</v>
      </c>
      <c r="I7779" s="1">
        <v>45777</v>
      </c>
      <c r="K7779">
        <v>59000</v>
      </c>
      <c r="L7779" t="s">
        <v>350</v>
      </c>
    </row>
    <row r="7780" spans="1:12" x14ac:dyDescent="0.35">
      <c r="A7780" t="s">
        <v>131</v>
      </c>
      <c r="B7780" s="1">
        <v>45747</v>
      </c>
      <c r="C7780" t="s">
        <v>5831</v>
      </c>
      <c r="D7780" t="s">
        <v>5831</v>
      </c>
      <c r="F7780" t="s">
        <v>8423</v>
      </c>
      <c r="H7780" t="s">
        <v>5518</v>
      </c>
      <c r="I7780" s="1">
        <v>45777</v>
      </c>
      <c r="K7780">
        <v>150000</v>
      </c>
      <c r="L7780" t="s">
        <v>5972</v>
      </c>
    </row>
    <row r="7781" spans="1:12" x14ac:dyDescent="0.35">
      <c r="A7781" t="s">
        <v>131</v>
      </c>
      <c r="B7781" s="1">
        <v>45747</v>
      </c>
      <c r="C7781" t="s">
        <v>5832</v>
      </c>
      <c r="D7781" t="s">
        <v>5832</v>
      </c>
      <c r="F7781" t="s">
        <v>7831</v>
      </c>
      <c r="G7781" t="s">
        <v>8393</v>
      </c>
      <c r="H7781" t="s">
        <v>5518</v>
      </c>
      <c r="I7781" s="1">
        <v>45777</v>
      </c>
      <c r="J7781">
        <v>236000</v>
      </c>
      <c r="L7781" t="s">
        <v>6803</v>
      </c>
    </row>
    <row r="7782" spans="1:12" x14ac:dyDescent="0.35">
      <c r="A7782" t="s">
        <v>131</v>
      </c>
      <c r="B7782" s="1">
        <v>45747</v>
      </c>
      <c r="C7782" t="s">
        <v>5832</v>
      </c>
      <c r="D7782" t="s">
        <v>5832</v>
      </c>
      <c r="F7782" t="s">
        <v>8419</v>
      </c>
      <c r="H7782" t="s">
        <v>5518</v>
      </c>
      <c r="I7782" s="1">
        <v>45777</v>
      </c>
      <c r="K7782">
        <v>27000</v>
      </c>
      <c r="L7782" t="s">
        <v>6803</v>
      </c>
    </row>
    <row r="7783" spans="1:12" x14ac:dyDescent="0.35">
      <c r="A7783" t="s">
        <v>131</v>
      </c>
      <c r="B7783" s="1">
        <v>45747</v>
      </c>
      <c r="C7783" t="s">
        <v>5832</v>
      </c>
      <c r="D7783" t="s">
        <v>5832</v>
      </c>
      <c r="F7783" t="s">
        <v>7701</v>
      </c>
      <c r="H7783" t="s">
        <v>5518</v>
      </c>
      <c r="I7783" s="1">
        <v>45777</v>
      </c>
      <c r="K7783">
        <v>59000</v>
      </c>
      <c r="L7783" t="s">
        <v>350</v>
      </c>
    </row>
    <row r="7784" spans="1:12" x14ac:dyDescent="0.35">
      <c r="A7784" t="s">
        <v>131</v>
      </c>
      <c r="B7784" s="1">
        <v>45747</v>
      </c>
      <c r="C7784" t="s">
        <v>5832</v>
      </c>
      <c r="D7784" t="s">
        <v>5832</v>
      </c>
      <c r="F7784" t="s">
        <v>8423</v>
      </c>
      <c r="H7784" t="s">
        <v>5518</v>
      </c>
      <c r="I7784" s="1">
        <v>45777</v>
      </c>
      <c r="K7784">
        <v>150000</v>
      </c>
      <c r="L7784" t="s">
        <v>5972</v>
      </c>
    </row>
    <row r="7785" spans="1:12" x14ac:dyDescent="0.35">
      <c r="A7785" t="s">
        <v>131</v>
      </c>
      <c r="B7785" s="1">
        <v>45747</v>
      </c>
      <c r="C7785" t="s">
        <v>5833</v>
      </c>
      <c r="D7785" t="s">
        <v>5833</v>
      </c>
      <c r="F7785" t="s">
        <v>7831</v>
      </c>
      <c r="G7785" t="s">
        <v>8393</v>
      </c>
      <c r="H7785" t="s">
        <v>5518</v>
      </c>
      <c r="I7785" s="1">
        <v>45777</v>
      </c>
      <c r="J7785">
        <v>206500</v>
      </c>
      <c r="L7785" t="s">
        <v>6803</v>
      </c>
    </row>
    <row r="7786" spans="1:12" x14ac:dyDescent="0.35">
      <c r="A7786" t="s">
        <v>131</v>
      </c>
      <c r="B7786" s="1">
        <v>45747</v>
      </c>
      <c r="C7786" t="s">
        <v>5833</v>
      </c>
      <c r="D7786" t="s">
        <v>5833</v>
      </c>
      <c r="F7786" t="s">
        <v>8419</v>
      </c>
      <c r="H7786" t="s">
        <v>5518</v>
      </c>
      <c r="I7786" s="1">
        <v>45777</v>
      </c>
      <c r="K7786">
        <v>27000</v>
      </c>
      <c r="L7786" t="s">
        <v>6803</v>
      </c>
    </row>
    <row r="7787" spans="1:12" x14ac:dyDescent="0.35">
      <c r="A7787" t="s">
        <v>131</v>
      </c>
      <c r="B7787" s="1">
        <v>45747</v>
      </c>
      <c r="C7787" t="s">
        <v>5833</v>
      </c>
      <c r="D7787" t="s">
        <v>5833</v>
      </c>
      <c r="F7787" t="s">
        <v>7701</v>
      </c>
      <c r="H7787" t="s">
        <v>5518</v>
      </c>
      <c r="I7787" s="1">
        <v>45777</v>
      </c>
      <c r="K7787">
        <v>29500</v>
      </c>
      <c r="L7787" t="s">
        <v>350</v>
      </c>
    </row>
    <row r="7788" spans="1:12" x14ac:dyDescent="0.35">
      <c r="A7788" t="s">
        <v>131</v>
      </c>
      <c r="B7788" s="1">
        <v>45747</v>
      </c>
      <c r="C7788" t="s">
        <v>5833</v>
      </c>
      <c r="D7788" t="s">
        <v>5833</v>
      </c>
      <c r="F7788" t="s">
        <v>8423</v>
      </c>
      <c r="H7788" t="s">
        <v>5518</v>
      </c>
      <c r="I7788" s="1">
        <v>45777</v>
      </c>
      <c r="K7788">
        <v>150000</v>
      </c>
      <c r="L7788" t="s">
        <v>5972</v>
      </c>
    </row>
    <row r="7789" spans="1:12" x14ac:dyDescent="0.35">
      <c r="A7789" t="s">
        <v>131</v>
      </c>
      <c r="B7789" s="1">
        <v>45747</v>
      </c>
      <c r="C7789" t="s">
        <v>5834</v>
      </c>
      <c r="D7789" t="s">
        <v>5834</v>
      </c>
      <c r="F7789" t="s">
        <v>7831</v>
      </c>
      <c r="G7789" t="s">
        <v>8393</v>
      </c>
      <c r="H7789" t="s">
        <v>5518</v>
      </c>
      <c r="I7789" s="1">
        <v>45777</v>
      </c>
      <c r="J7789">
        <v>206500</v>
      </c>
      <c r="L7789" t="s">
        <v>6803</v>
      </c>
    </row>
    <row r="7790" spans="1:12" x14ac:dyDescent="0.35">
      <c r="A7790" t="s">
        <v>131</v>
      </c>
      <c r="B7790" s="1">
        <v>45747</v>
      </c>
      <c r="C7790" t="s">
        <v>5834</v>
      </c>
      <c r="D7790" t="s">
        <v>5834</v>
      </c>
      <c r="F7790" t="s">
        <v>8419</v>
      </c>
      <c r="H7790" t="s">
        <v>5518</v>
      </c>
      <c r="I7790" s="1">
        <v>45777</v>
      </c>
      <c r="K7790">
        <v>27000</v>
      </c>
      <c r="L7790" t="s">
        <v>6803</v>
      </c>
    </row>
    <row r="7791" spans="1:12" x14ac:dyDescent="0.35">
      <c r="A7791" t="s">
        <v>131</v>
      </c>
      <c r="B7791" s="1">
        <v>45747</v>
      </c>
      <c r="C7791" t="s">
        <v>5834</v>
      </c>
      <c r="D7791" t="s">
        <v>5834</v>
      </c>
      <c r="F7791" t="s">
        <v>7701</v>
      </c>
      <c r="H7791" t="s">
        <v>5518</v>
      </c>
      <c r="I7791" s="1">
        <v>45777</v>
      </c>
      <c r="K7791">
        <v>29500</v>
      </c>
      <c r="L7791" t="s">
        <v>350</v>
      </c>
    </row>
    <row r="7792" spans="1:12" x14ac:dyDescent="0.35">
      <c r="A7792" t="s">
        <v>131</v>
      </c>
      <c r="B7792" s="1">
        <v>45747</v>
      </c>
      <c r="C7792" t="s">
        <v>5834</v>
      </c>
      <c r="D7792" t="s">
        <v>5834</v>
      </c>
      <c r="F7792" t="s">
        <v>8423</v>
      </c>
      <c r="H7792" t="s">
        <v>5518</v>
      </c>
      <c r="I7792" s="1">
        <v>45777</v>
      </c>
      <c r="K7792">
        <v>150000</v>
      </c>
      <c r="L7792" t="s">
        <v>5972</v>
      </c>
    </row>
    <row r="7793" spans="1:12" x14ac:dyDescent="0.35">
      <c r="A7793" t="s">
        <v>131</v>
      </c>
      <c r="B7793" s="1">
        <v>45747</v>
      </c>
      <c r="C7793" t="s">
        <v>5835</v>
      </c>
      <c r="D7793" t="s">
        <v>5835</v>
      </c>
      <c r="F7793" t="s">
        <v>7831</v>
      </c>
      <c r="G7793" t="s">
        <v>8393</v>
      </c>
      <c r="H7793" t="s">
        <v>5518</v>
      </c>
      <c r="I7793" s="1">
        <v>45777</v>
      </c>
      <c r="J7793">
        <v>236000</v>
      </c>
      <c r="L7793" t="s">
        <v>6803</v>
      </c>
    </row>
    <row r="7794" spans="1:12" x14ac:dyDescent="0.35">
      <c r="A7794" t="s">
        <v>131</v>
      </c>
      <c r="B7794" s="1">
        <v>45747</v>
      </c>
      <c r="C7794" t="s">
        <v>5835</v>
      </c>
      <c r="D7794" t="s">
        <v>5835</v>
      </c>
      <c r="F7794" t="s">
        <v>8419</v>
      </c>
      <c r="H7794" t="s">
        <v>5518</v>
      </c>
      <c r="I7794" s="1">
        <v>45777</v>
      </c>
      <c r="K7794">
        <v>27000</v>
      </c>
      <c r="L7794" t="s">
        <v>6803</v>
      </c>
    </row>
    <row r="7795" spans="1:12" x14ac:dyDescent="0.35">
      <c r="A7795" t="s">
        <v>131</v>
      </c>
      <c r="B7795" s="1">
        <v>45747</v>
      </c>
      <c r="C7795" t="s">
        <v>5835</v>
      </c>
      <c r="D7795" t="s">
        <v>5835</v>
      </c>
      <c r="F7795" t="s">
        <v>7701</v>
      </c>
      <c r="H7795" t="s">
        <v>5518</v>
      </c>
      <c r="I7795" s="1">
        <v>45777</v>
      </c>
      <c r="K7795">
        <v>59000</v>
      </c>
      <c r="L7795" t="s">
        <v>350</v>
      </c>
    </row>
    <row r="7796" spans="1:12" x14ac:dyDescent="0.35">
      <c r="A7796" t="s">
        <v>131</v>
      </c>
      <c r="B7796" s="1">
        <v>45747</v>
      </c>
      <c r="C7796" t="s">
        <v>5835</v>
      </c>
      <c r="D7796" t="s">
        <v>5835</v>
      </c>
      <c r="F7796" t="s">
        <v>8423</v>
      </c>
      <c r="H7796" t="s">
        <v>5518</v>
      </c>
      <c r="I7796" s="1">
        <v>45777</v>
      </c>
      <c r="K7796">
        <v>150000</v>
      </c>
      <c r="L7796" t="s">
        <v>5972</v>
      </c>
    </row>
    <row r="7797" spans="1:12" x14ac:dyDescent="0.35">
      <c r="A7797" t="s">
        <v>131</v>
      </c>
      <c r="B7797" s="1">
        <v>45747</v>
      </c>
      <c r="C7797" t="s">
        <v>5836</v>
      </c>
      <c r="D7797" t="s">
        <v>5836</v>
      </c>
      <c r="F7797" t="s">
        <v>7831</v>
      </c>
      <c r="G7797" t="s">
        <v>8393</v>
      </c>
      <c r="H7797" t="s">
        <v>5518</v>
      </c>
      <c r="I7797" s="1">
        <v>45777</v>
      </c>
      <c r="J7797">
        <v>236000</v>
      </c>
      <c r="L7797" t="s">
        <v>6803</v>
      </c>
    </row>
    <row r="7798" spans="1:12" x14ac:dyDescent="0.35">
      <c r="A7798" t="s">
        <v>131</v>
      </c>
      <c r="B7798" s="1">
        <v>45747</v>
      </c>
      <c r="C7798" t="s">
        <v>5836</v>
      </c>
      <c r="D7798" t="s">
        <v>5836</v>
      </c>
      <c r="F7798" t="s">
        <v>8419</v>
      </c>
      <c r="H7798" t="s">
        <v>5518</v>
      </c>
      <c r="I7798" s="1">
        <v>45777</v>
      </c>
      <c r="K7798">
        <v>27000</v>
      </c>
      <c r="L7798" t="s">
        <v>6803</v>
      </c>
    </row>
    <row r="7799" spans="1:12" x14ac:dyDescent="0.35">
      <c r="A7799" t="s">
        <v>131</v>
      </c>
      <c r="B7799" s="1">
        <v>45747</v>
      </c>
      <c r="C7799" t="s">
        <v>5836</v>
      </c>
      <c r="D7799" t="s">
        <v>5836</v>
      </c>
      <c r="F7799" t="s">
        <v>7701</v>
      </c>
      <c r="H7799" t="s">
        <v>5518</v>
      </c>
      <c r="I7799" s="1">
        <v>45777</v>
      </c>
      <c r="K7799">
        <v>59000</v>
      </c>
      <c r="L7799" t="s">
        <v>350</v>
      </c>
    </row>
    <row r="7800" spans="1:12" x14ac:dyDescent="0.35">
      <c r="A7800" t="s">
        <v>131</v>
      </c>
      <c r="B7800" s="1">
        <v>45747</v>
      </c>
      <c r="C7800" t="s">
        <v>5836</v>
      </c>
      <c r="D7800" t="s">
        <v>5836</v>
      </c>
      <c r="F7800" t="s">
        <v>8423</v>
      </c>
      <c r="H7800" t="s">
        <v>5518</v>
      </c>
      <c r="I7800" s="1">
        <v>45777</v>
      </c>
      <c r="K7800">
        <v>150000</v>
      </c>
      <c r="L7800" t="s">
        <v>5972</v>
      </c>
    </row>
    <row r="7801" spans="1:12" x14ac:dyDescent="0.35">
      <c r="A7801" t="s">
        <v>131</v>
      </c>
      <c r="B7801" s="1">
        <v>45747</v>
      </c>
      <c r="C7801" t="s">
        <v>5837</v>
      </c>
      <c r="D7801" t="s">
        <v>5837</v>
      </c>
      <c r="F7801" t="s">
        <v>7831</v>
      </c>
      <c r="G7801" t="s">
        <v>8393</v>
      </c>
      <c r="H7801" t="s">
        <v>5518</v>
      </c>
      <c r="I7801" s="1">
        <v>45777</v>
      </c>
      <c r="J7801">
        <v>236000</v>
      </c>
      <c r="L7801" t="s">
        <v>6803</v>
      </c>
    </row>
    <row r="7802" spans="1:12" x14ac:dyDescent="0.35">
      <c r="A7802" t="s">
        <v>131</v>
      </c>
      <c r="B7802" s="1">
        <v>45747</v>
      </c>
      <c r="C7802" t="s">
        <v>5837</v>
      </c>
      <c r="D7802" t="s">
        <v>5837</v>
      </c>
      <c r="F7802" t="s">
        <v>8419</v>
      </c>
      <c r="H7802" t="s">
        <v>5518</v>
      </c>
      <c r="I7802" s="1">
        <v>45777</v>
      </c>
      <c r="K7802">
        <v>27000</v>
      </c>
      <c r="L7802" t="s">
        <v>6803</v>
      </c>
    </row>
    <row r="7803" spans="1:12" x14ac:dyDescent="0.35">
      <c r="A7803" t="s">
        <v>131</v>
      </c>
      <c r="B7803" s="1">
        <v>45747</v>
      </c>
      <c r="C7803" t="s">
        <v>5837</v>
      </c>
      <c r="D7803" t="s">
        <v>5837</v>
      </c>
      <c r="F7803" t="s">
        <v>7701</v>
      </c>
      <c r="H7803" t="s">
        <v>5518</v>
      </c>
      <c r="I7803" s="1">
        <v>45777</v>
      </c>
      <c r="K7803">
        <v>59000</v>
      </c>
      <c r="L7803" t="s">
        <v>350</v>
      </c>
    </row>
    <row r="7804" spans="1:12" x14ac:dyDescent="0.35">
      <c r="A7804" t="s">
        <v>131</v>
      </c>
      <c r="B7804" s="1">
        <v>45747</v>
      </c>
      <c r="C7804" t="s">
        <v>5837</v>
      </c>
      <c r="D7804" t="s">
        <v>5837</v>
      </c>
      <c r="F7804" t="s">
        <v>8423</v>
      </c>
      <c r="H7804" t="s">
        <v>5518</v>
      </c>
      <c r="I7804" s="1">
        <v>45777</v>
      </c>
      <c r="K7804">
        <v>150000</v>
      </c>
      <c r="L7804" t="s">
        <v>5972</v>
      </c>
    </row>
    <row r="7805" spans="1:12" x14ac:dyDescent="0.35">
      <c r="A7805" t="s">
        <v>131</v>
      </c>
      <c r="B7805" s="1">
        <v>45747</v>
      </c>
      <c r="C7805" t="s">
        <v>5838</v>
      </c>
      <c r="D7805" t="s">
        <v>5838</v>
      </c>
      <c r="F7805" t="s">
        <v>7831</v>
      </c>
      <c r="G7805" t="s">
        <v>8393</v>
      </c>
      <c r="H7805" t="s">
        <v>5518</v>
      </c>
      <c r="I7805" s="1">
        <v>45777</v>
      </c>
      <c r="J7805">
        <v>206500</v>
      </c>
      <c r="L7805" t="s">
        <v>6803</v>
      </c>
    </row>
    <row r="7806" spans="1:12" x14ac:dyDescent="0.35">
      <c r="A7806" t="s">
        <v>131</v>
      </c>
      <c r="B7806" s="1">
        <v>45747</v>
      </c>
      <c r="C7806" t="s">
        <v>5838</v>
      </c>
      <c r="D7806" t="s">
        <v>5838</v>
      </c>
      <c r="F7806" t="s">
        <v>8419</v>
      </c>
      <c r="H7806" t="s">
        <v>5518</v>
      </c>
      <c r="I7806" s="1">
        <v>45777</v>
      </c>
      <c r="K7806">
        <v>27000</v>
      </c>
      <c r="L7806" t="s">
        <v>6803</v>
      </c>
    </row>
    <row r="7807" spans="1:12" x14ac:dyDescent="0.35">
      <c r="A7807" t="s">
        <v>131</v>
      </c>
      <c r="B7807" s="1">
        <v>45747</v>
      </c>
      <c r="C7807" t="s">
        <v>5838</v>
      </c>
      <c r="D7807" t="s">
        <v>5838</v>
      </c>
      <c r="F7807" t="s">
        <v>7701</v>
      </c>
      <c r="H7807" t="s">
        <v>5518</v>
      </c>
      <c r="I7807" s="1">
        <v>45777</v>
      </c>
      <c r="K7807">
        <v>29500</v>
      </c>
      <c r="L7807" t="s">
        <v>350</v>
      </c>
    </row>
    <row r="7808" spans="1:12" x14ac:dyDescent="0.35">
      <c r="A7808" t="s">
        <v>131</v>
      </c>
      <c r="B7808" s="1">
        <v>45747</v>
      </c>
      <c r="C7808" t="s">
        <v>5838</v>
      </c>
      <c r="D7808" t="s">
        <v>5838</v>
      </c>
      <c r="F7808" t="s">
        <v>8423</v>
      </c>
      <c r="H7808" t="s">
        <v>5518</v>
      </c>
      <c r="I7808" s="1">
        <v>45777</v>
      </c>
      <c r="K7808">
        <v>150000</v>
      </c>
      <c r="L7808" t="s">
        <v>5972</v>
      </c>
    </row>
    <row r="7809" spans="1:12" x14ac:dyDescent="0.35">
      <c r="A7809" t="s">
        <v>131</v>
      </c>
      <c r="B7809" s="1">
        <v>45747</v>
      </c>
      <c r="C7809" t="s">
        <v>5839</v>
      </c>
      <c r="D7809" t="s">
        <v>5839</v>
      </c>
      <c r="F7809" t="s">
        <v>7831</v>
      </c>
      <c r="G7809" t="s">
        <v>8393</v>
      </c>
      <c r="H7809" t="s">
        <v>5518</v>
      </c>
      <c r="I7809" s="1">
        <v>45777</v>
      </c>
      <c r="J7809">
        <v>472000</v>
      </c>
      <c r="L7809" t="s">
        <v>6803</v>
      </c>
    </row>
    <row r="7810" spans="1:12" x14ac:dyDescent="0.35">
      <c r="A7810" t="s">
        <v>131</v>
      </c>
      <c r="B7810" s="1">
        <v>45747</v>
      </c>
      <c r="C7810" t="s">
        <v>5839</v>
      </c>
      <c r="D7810" t="s">
        <v>5839</v>
      </c>
      <c r="F7810" t="s">
        <v>8419</v>
      </c>
      <c r="H7810" t="s">
        <v>5518</v>
      </c>
      <c r="I7810" s="1">
        <v>45777</v>
      </c>
      <c r="K7810">
        <v>54000</v>
      </c>
      <c r="L7810" t="s">
        <v>6803</v>
      </c>
    </row>
    <row r="7811" spans="1:12" x14ac:dyDescent="0.35">
      <c r="A7811" t="s">
        <v>131</v>
      </c>
      <c r="B7811" s="1">
        <v>45747</v>
      </c>
      <c r="C7811" t="s">
        <v>5839</v>
      </c>
      <c r="D7811" t="s">
        <v>5839</v>
      </c>
      <c r="F7811" t="s">
        <v>7701</v>
      </c>
      <c r="H7811" t="s">
        <v>5518</v>
      </c>
      <c r="I7811" s="1">
        <v>45777</v>
      </c>
      <c r="K7811">
        <v>118000</v>
      </c>
      <c r="L7811" t="s">
        <v>350</v>
      </c>
    </row>
    <row r="7812" spans="1:12" x14ac:dyDescent="0.35">
      <c r="A7812" t="s">
        <v>131</v>
      </c>
      <c r="B7812" s="1">
        <v>45747</v>
      </c>
      <c r="C7812" t="s">
        <v>5839</v>
      </c>
      <c r="D7812" t="s">
        <v>5839</v>
      </c>
      <c r="F7812" t="s">
        <v>8423</v>
      </c>
      <c r="H7812" t="s">
        <v>5518</v>
      </c>
      <c r="I7812" s="1">
        <v>45777</v>
      </c>
      <c r="K7812">
        <v>300000</v>
      </c>
      <c r="L7812" t="s">
        <v>5972</v>
      </c>
    </row>
    <row r="7813" spans="1:12" x14ac:dyDescent="0.35">
      <c r="A7813" t="s">
        <v>131</v>
      </c>
      <c r="B7813" s="1">
        <v>45747</v>
      </c>
      <c r="C7813" t="s">
        <v>5840</v>
      </c>
      <c r="D7813" t="s">
        <v>5840</v>
      </c>
      <c r="F7813" t="s">
        <v>7831</v>
      </c>
      <c r="G7813" t="s">
        <v>8393</v>
      </c>
      <c r="H7813" t="s">
        <v>5518</v>
      </c>
      <c r="I7813" s="1">
        <v>45777</v>
      </c>
      <c r="J7813">
        <v>442500</v>
      </c>
      <c r="L7813" t="s">
        <v>6803</v>
      </c>
    </row>
    <row r="7814" spans="1:12" x14ac:dyDescent="0.35">
      <c r="A7814" t="s">
        <v>131</v>
      </c>
      <c r="B7814" s="1">
        <v>45747</v>
      </c>
      <c r="C7814" t="s">
        <v>5840</v>
      </c>
      <c r="D7814" t="s">
        <v>5840</v>
      </c>
      <c r="F7814" t="s">
        <v>8419</v>
      </c>
      <c r="H7814" t="s">
        <v>5518</v>
      </c>
      <c r="I7814" s="1">
        <v>45777</v>
      </c>
      <c r="K7814">
        <v>54000</v>
      </c>
      <c r="L7814" t="s">
        <v>6803</v>
      </c>
    </row>
    <row r="7815" spans="1:12" x14ac:dyDescent="0.35">
      <c r="A7815" t="s">
        <v>131</v>
      </c>
      <c r="B7815" s="1">
        <v>45747</v>
      </c>
      <c r="C7815" t="s">
        <v>5840</v>
      </c>
      <c r="D7815" t="s">
        <v>5840</v>
      </c>
      <c r="F7815" t="s">
        <v>7701</v>
      </c>
      <c r="H7815" t="s">
        <v>5518</v>
      </c>
      <c r="I7815" s="1">
        <v>45777</v>
      </c>
      <c r="K7815">
        <v>88500</v>
      </c>
      <c r="L7815" t="s">
        <v>350</v>
      </c>
    </row>
    <row r="7816" spans="1:12" x14ac:dyDescent="0.35">
      <c r="A7816" t="s">
        <v>131</v>
      </c>
      <c r="B7816" s="1">
        <v>45747</v>
      </c>
      <c r="C7816" t="s">
        <v>5840</v>
      </c>
      <c r="D7816" t="s">
        <v>5840</v>
      </c>
      <c r="F7816" t="s">
        <v>8423</v>
      </c>
      <c r="H7816" t="s">
        <v>5518</v>
      </c>
      <c r="I7816" s="1">
        <v>45777</v>
      </c>
      <c r="K7816">
        <v>300000</v>
      </c>
      <c r="L7816" t="s">
        <v>5972</v>
      </c>
    </row>
    <row r="7817" spans="1:12" x14ac:dyDescent="0.35">
      <c r="A7817" t="s">
        <v>131</v>
      </c>
      <c r="B7817" s="1">
        <v>45747</v>
      </c>
      <c r="C7817" t="s">
        <v>5841</v>
      </c>
      <c r="D7817" t="s">
        <v>5841</v>
      </c>
      <c r="F7817" t="s">
        <v>7831</v>
      </c>
      <c r="G7817" t="s">
        <v>7521</v>
      </c>
      <c r="H7817" t="s">
        <v>5551</v>
      </c>
      <c r="I7817" s="1">
        <v>45747</v>
      </c>
      <c r="J7817">
        <v>409460</v>
      </c>
      <c r="L7817" t="s">
        <v>6803</v>
      </c>
    </row>
    <row r="7818" spans="1:12" x14ac:dyDescent="0.35">
      <c r="A7818" t="s">
        <v>131</v>
      </c>
      <c r="B7818" s="1">
        <v>45747</v>
      </c>
      <c r="C7818" t="s">
        <v>5841</v>
      </c>
      <c r="D7818" t="s">
        <v>5841</v>
      </c>
      <c r="F7818" t="s">
        <v>8419</v>
      </c>
      <c r="H7818" t="s">
        <v>5551</v>
      </c>
      <c r="I7818" s="1">
        <v>45747</v>
      </c>
      <c r="K7818">
        <v>53460</v>
      </c>
      <c r="L7818" t="s">
        <v>6803</v>
      </c>
    </row>
    <row r="7819" spans="1:12" x14ac:dyDescent="0.35">
      <c r="A7819" t="s">
        <v>131</v>
      </c>
      <c r="B7819" s="1">
        <v>45747</v>
      </c>
      <c r="C7819" t="s">
        <v>5841</v>
      </c>
      <c r="D7819" t="s">
        <v>5841</v>
      </c>
      <c r="F7819" t="s">
        <v>7701</v>
      </c>
      <c r="H7819" t="s">
        <v>5551</v>
      </c>
      <c r="I7819" s="1">
        <v>45747</v>
      </c>
      <c r="K7819">
        <v>59000</v>
      </c>
      <c r="L7819" t="s">
        <v>350</v>
      </c>
    </row>
    <row r="7820" spans="1:12" x14ac:dyDescent="0.35">
      <c r="A7820" t="s">
        <v>131</v>
      </c>
      <c r="B7820" s="1">
        <v>45747</v>
      </c>
      <c r="C7820" t="s">
        <v>5841</v>
      </c>
      <c r="D7820" t="s">
        <v>5841</v>
      </c>
      <c r="F7820" t="s">
        <v>8423</v>
      </c>
      <c r="H7820" t="s">
        <v>5551</v>
      </c>
      <c r="I7820" s="1">
        <v>45747</v>
      </c>
      <c r="K7820">
        <v>297000</v>
      </c>
      <c r="L7820" t="s">
        <v>5972</v>
      </c>
    </row>
    <row r="7821" spans="1:12" x14ac:dyDescent="0.35">
      <c r="A7821" t="s">
        <v>131</v>
      </c>
      <c r="B7821" s="1">
        <v>45747</v>
      </c>
      <c r="C7821" t="s">
        <v>5842</v>
      </c>
      <c r="D7821" t="s">
        <v>5842</v>
      </c>
      <c r="F7821" t="s">
        <v>7831</v>
      </c>
      <c r="G7821" t="s">
        <v>7521</v>
      </c>
      <c r="H7821" t="s">
        <v>5551</v>
      </c>
      <c r="I7821" s="1">
        <v>45747</v>
      </c>
      <c r="J7821">
        <v>409460</v>
      </c>
      <c r="L7821" t="s">
        <v>6803</v>
      </c>
    </row>
    <row r="7822" spans="1:12" x14ac:dyDescent="0.35">
      <c r="A7822" t="s">
        <v>131</v>
      </c>
      <c r="B7822" s="1">
        <v>45747</v>
      </c>
      <c r="C7822" t="s">
        <v>5842</v>
      </c>
      <c r="D7822" t="s">
        <v>5842</v>
      </c>
      <c r="F7822" t="s">
        <v>8419</v>
      </c>
      <c r="H7822" t="s">
        <v>5551</v>
      </c>
      <c r="I7822" s="1">
        <v>45747</v>
      </c>
      <c r="K7822">
        <v>53460</v>
      </c>
      <c r="L7822" t="s">
        <v>6803</v>
      </c>
    </row>
    <row r="7823" spans="1:12" x14ac:dyDescent="0.35">
      <c r="A7823" t="s">
        <v>131</v>
      </c>
      <c r="B7823" s="1">
        <v>45747</v>
      </c>
      <c r="C7823" t="s">
        <v>5842</v>
      </c>
      <c r="D7823" t="s">
        <v>5842</v>
      </c>
      <c r="F7823" t="s">
        <v>7701</v>
      </c>
      <c r="H7823" t="s">
        <v>5551</v>
      </c>
      <c r="I7823" s="1">
        <v>45747</v>
      </c>
      <c r="K7823">
        <v>59000</v>
      </c>
      <c r="L7823" t="s">
        <v>350</v>
      </c>
    </row>
    <row r="7824" spans="1:12" x14ac:dyDescent="0.35">
      <c r="A7824" t="s">
        <v>131</v>
      </c>
      <c r="B7824" s="1">
        <v>45747</v>
      </c>
      <c r="C7824" t="s">
        <v>5842</v>
      </c>
      <c r="D7824" t="s">
        <v>5842</v>
      </c>
      <c r="F7824" t="s">
        <v>8423</v>
      </c>
      <c r="H7824" t="s">
        <v>5551</v>
      </c>
      <c r="I7824" s="1">
        <v>45747</v>
      </c>
      <c r="K7824">
        <v>297000</v>
      </c>
      <c r="L7824" t="s">
        <v>5972</v>
      </c>
    </row>
    <row r="7825" spans="1:12" x14ac:dyDescent="0.35">
      <c r="A7825" t="s">
        <v>131</v>
      </c>
      <c r="B7825" s="1">
        <v>45747</v>
      </c>
      <c r="C7825" t="s">
        <v>5843</v>
      </c>
      <c r="D7825" t="s">
        <v>5843</v>
      </c>
      <c r="F7825" t="s">
        <v>7831</v>
      </c>
      <c r="G7825" t="s">
        <v>7521</v>
      </c>
      <c r="H7825" t="s">
        <v>180</v>
      </c>
      <c r="I7825" s="1">
        <v>45777</v>
      </c>
      <c r="J7825">
        <v>409460</v>
      </c>
      <c r="L7825" t="s">
        <v>6803</v>
      </c>
    </row>
    <row r="7826" spans="1:12" x14ac:dyDescent="0.35">
      <c r="A7826" t="s">
        <v>131</v>
      </c>
      <c r="B7826" s="1">
        <v>45747</v>
      </c>
      <c r="C7826" t="s">
        <v>5843</v>
      </c>
      <c r="D7826" t="s">
        <v>5843</v>
      </c>
      <c r="F7826" t="s">
        <v>8419</v>
      </c>
      <c r="H7826" t="s">
        <v>180</v>
      </c>
      <c r="I7826" s="1">
        <v>45777</v>
      </c>
      <c r="K7826">
        <v>53460</v>
      </c>
      <c r="L7826" t="s">
        <v>6803</v>
      </c>
    </row>
    <row r="7827" spans="1:12" x14ac:dyDescent="0.35">
      <c r="A7827" t="s">
        <v>131</v>
      </c>
      <c r="B7827" s="1">
        <v>45747</v>
      </c>
      <c r="C7827" t="s">
        <v>5843</v>
      </c>
      <c r="D7827" t="s">
        <v>5843</v>
      </c>
      <c r="F7827" t="s">
        <v>7701</v>
      </c>
      <c r="H7827" t="s">
        <v>180</v>
      </c>
      <c r="I7827" s="1">
        <v>45777</v>
      </c>
      <c r="K7827">
        <v>59000</v>
      </c>
      <c r="L7827" t="s">
        <v>350</v>
      </c>
    </row>
    <row r="7828" spans="1:12" x14ac:dyDescent="0.35">
      <c r="A7828" t="s">
        <v>131</v>
      </c>
      <c r="B7828" s="1">
        <v>45747</v>
      </c>
      <c r="C7828" t="s">
        <v>5843</v>
      </c>
      <c r="D7828" t="s">
        <v>5843</v>
      </c>
      <c r="F7828" t="s">
        <v>8423</v>
      </c>
      <c r="H7828" t="s">
        <v>180</v>
      </c>
      <c r="I7828" s="1">
        <v>45777</v>
      </c>
      <c r="K7828">
        <v>297000</v>
      </c>
      <c r="L7828" t="s">
        <v>5972</v>
      </c>
    </row>
    <row r="7829" spans="1:12" x14ac:dyDescent="0.35">
      <c r="A7829" t="s">
        <v>131</v>
      </c>
      <c r="B7829" s="1">
        <v>45747</v>
      </c>
      <c r="C7829" t="s">
        <v>5844</v>
      </c>
      <c r="D7829" t="s">
        <v>5844</v>
      </c>
      <c r="F7829" t="s">
        <v>7831</v>
      </c>
      <c r="G7829" t="s">
        <v>7521</v>
      </c>
      <c r="H7829" t="s">
        <v>180</v>
      </c>
      <c r="I7829" s="1">
        <v>45777</v>
      </c>
      <c r="J7829">
        <v>146320</v>
      </c>
      <c r="L7829" t="s">
        <v>6803</v>
      </c>
    </row>
    <row r="7830" spans="1:12" x14ac:dyDescent="0.35">
      <c r="A7830" t="s">
        <v>131</v>
      </c>
      <c r="B7830" s="1">
        <v>45747</v>
      </c>
      <c r="C7830" t="s">
        <v>5844</v>
      </c>
      <c r="D7830" t="s">
        <v>5844</v>
      </c>
      <c r="F7830" t="s">
        <v>8419</v>
      </c>
      <c r="H7830" t="s">
        <v>180</v>
      </c>
      <c r="I7830" s="1">
        <v>45777</v>
      </c>
      <c r="K7830">
        <v>17820</v>
      </c>
      <c r="L7830" t="s">
        <v>6803</v>
      </c>
    </row>
    <row r="7831" spans="1:12" x14ac:dyDescent="0.35">
      <c r="A7831" t="s">
        <v>131</v>
      </c>
      <c r="B7831" s="1">
        <v>45747</v>
      </c>
      <c r="C7831" t="s">
        <v>5844</v>
      </c>
      <c r="D7831" t="s">
        <v>5844</v>
      </c>
      <c r="F7831" t="s">
        <v>7701</v>
      </c>
      <c r="H7831" t="s">
        <v>180</v>
      </c>
      <c r="I7831" s="1">
        <v>45777</v>
      </c>
      <c r="K7831">
        <v>29500</v>
      </c>
      <c r="L7831" t="s">
        <v>350</v>
      </c>
    </row>
    <row r="7832" spans="1:12" x14ac:dyDescent="0.35">
      <c r="A7832" t="s">
        <v>131</v>
      </c>
      <c r="B7832" s="1">
        <v>45747</v>
      </c>
      <c r="C7832" t="s">
        <v>5844</v>
      </c>
      <c r="D7832" t="s">
        <v>5844</v>
      </c>
      <c r="F7832" t="s">
        <v>8423</v>
      </c>
      <c r="H7832" t="s">
        <v>180</v>
      </c>
      <c r="I7832" s="1">
        <v>45777</v>
      </c>
      <c r="K7832">
        <v>99000</v>
      </c>
      <c r="L7832" t="s">
        <v>5972</v>
      </c>
    </row>
    <row r="7833" spans="1:12" x14ac:dyDescent="0.35">
      <c r="A7833" t="s">
        <v>131</v>
      </c>
      <c r="B7833" s="1">
        <v>45747</v>
      </c>
      <c r="C7833" t="s">
        <v>5845</v>
      </c>
      <c r="D7833" t="s">
        <v>5845</v>
      </c>
      <c r="F7833" t="s">
        <v>7831</v>
      </c>
      <c r="G7833" t="s">
        <v>7521</v>
      </c>
      <c r="H7833" t="s">
        <v>5522</v>
      </c>
      <c r="I7833" s="1">
        <v>45777</v>
      </c>
      <c r="J7833">
        <v>322140</v>
      </c>
      <c r="L7833" t="s">
        <v>6803</v>
      </c>
    </row>
    <row r="7834" spans="1:12" x14ac:dyDescent="0.35">
      <c r="A7834" t="s">
        <v>131</v>
      </c>
      <c r="B7834" s="1">
        <v>45747</v>
      </c>
      <c r="C7834" t="s">
        <v>5845</v>
      </c>
      <c r="D7834" t="s">
        <v>5845</v>
      </c>
      <c r="F7834" t="s">
        <v>8419</v>
      </c>
      <c r="H7834" t="s">
        <v>5522</v>
      </c>
      <c r="I7834" s="1">
        <v>45777</v>
      </c>
      <c r="K7834">
        <v>35640</v>
      </c>
      <c r="L7834" t="s">
        <v>6803</v>
      </c>
    </row>
    <row r="7835" spans="1:12" x14ac:dyDescent="0.35">
      <c r="A7835" t="s">
        <v>131</v>
      </c>
      <c r="B7835" s="1">
        <v>45747</v>
      </c>
      <c r="C7835" t="s">
        <v>5845</v>
      </c>
      <c r="D7835" t="s">
        <v>5845</v>
      </c>
      <c r="F7835" t="s">
        <v>7701</v>
      </c>
      <c r="H7835" t="s">
        <v>5522</v>
      </c>
      <c r="I7835" s="1">
        <v>45777</v>
      </c>
      <c r="K7835">
        <v>88500</v>
      </c>
      <c r="L7835" t="s">
        <v>350</v>
      </c>
    </row>
    <row r="7836" spans="1:12" x14ac:dyDescent="0.35">
      <c r="A7836" t="s">
        <v>131</v>
      </c>
      <c r="B7836" s="1">
        <v>45747</v>
      </c>
      <c r="C7836" t="s">
        <v>5845</v>
      </c>
      <c r="D7836" t="s">
        <v>5845</v>
      </c>
      <c r="F7836" t="s">
        <v>8423</v>
      </c>
      <c r="H7836" t="s">
        <v>5522</v>
      </c>
      <c r="I7836" s="1">
        <v>45777</v>
      </c>
      <c r="K7836">
        <v>198000</v>
      </c>
      <c r="L7836" t="s">
        <v>5972</v>
      </c>
    </row>
    <row r="7837" spans="1:12" x14ac:dyDescent="0.35">
      <c r="A7837" t="s">
        <v>131</v>
      </c>
      <c r="B7837" s="1">
        <v>45747</v>
      </c>
      <c r="C7837" t="s">
        <v>5846</v>
      </c>
      <c r="D7837" t="s">
        <v>5846</v>
      </c>
      <c r="F7837" t="s">
        <v>7823</v>
      </c>
      <c r="G7837" t="s">
        <v>7877</v>
      </c>
      <c r="H7837" t="s">
        <v>5508</v>
      </c>
      <c r="I7837" s="1">
        <v>45777</v>
      </c>
      <c r="J7837">
        <v>656080</v>
      </c>
      <c r="L7837" t="s">
        <v>6803</v>
      </c>
    </row>
    <row r="7838" spans="1:12" x14ac:dyDescent="0.35">
      <c r="A7838" t="s">
        <v>131</v>
      </c>
      <c r="B7838" s="1">
        <v>45747</v>
      </c>
      <c r="C7838" t="s">
        <v>5846</v>
      </c>
      <c r="D7838" t="s">
        <v>5846</v>
      </c>
      <c r="F7838" t="s">
        <v>8419</v>
      </c>
      <c r="H7838" t="s">
        <v>5508</v>
      </c>
      <c r="I7838" s="1">
        <v>45777</v>
      </c>
      <c r="K7838">
        <v>100080</v>
      </c>
      <c r="L7838" t="s">
        <v>6803</v>
      </c>
    </row>
    <row r="7839" spans="1:12" x14ac:dyDescent="0.35">
      <c r="A7839" t="s">
        <v>131</v>
      </c>
      <c r="B7839" s="1">
        <v>45747</v>
      </c>
      <c r="C7839" t="s">
        <v>5846</v>
      </c>
      <c r="D7839" t="s">
        <v>5846</v>
      </c>
      <c r="F7839" t="s">
        <v>8423</v>
      </c>
      <c r="H7839" t="s">
        <v>5508</v>
      </c>
      <c r="I7839" s="1">
        <v>45777</v>
      </c>
      <c r="K7839">
        <v>556000</v>
      </c>
      <c r="L7839" t="s">
        <v>5975</v>
      </c>
    </row>
    <row r="7840" spans="1:12" x14ac:dyDescent="0.35">
      <c r="A7840" t="s">
        <v>131</v>
      </c>
      <c r="B7840" s="1">
        <v>45747</v>
      </c>
      <c r="C7840" t="s">
        <v>5847</v>
      </c>
      <c r="D7840" t="s">
        <v>5847</v>
      </c>
      <c r="F7840" t="s">
        <v>7823</v>
      </c>
      <c r="G7840" t="s">
        <v>7877</v>
      </c>
      <c r="H7840" t="s">
        <v>5508</v>
      </c>
      <c r="I7840" s="1">
        <v>45777</v>
      </c>
      <c r="J7840">
        <v>656080</v>
      </c>
      <c r="L7840" t="s">
        <v>6803</v>
      </c>
    </row>
    <row r="7841" spans="1:12" x14ac:dyDescent="0.35">
      <c r="A7841" t="s">
        <v>131</v>
      </c>
      <c r="B7841" s="1">
        <v>45747</v>
      </c>
      <c r="C7841" t="s">
        <v>5847</v>
      </c>
      <c r="D7841" t="s">
        <v>5847</v>
      </c>
      <c r="F7841" t="s">
        <v>8419</v>
      </c>
      <c r="H7841" t="s">
        <v>5508</v>
      </c>
      <c r="I7841" s="1">
        <v>45777</v>
      </c>
      <c r="K7841">
        <v>100080</v>
      </c>
      <c r="L7841" t="s">
        <v>6803</v>
      </c>
    </row>
    <row r="7842" spans="1:12" x14ac:dyDescent="0.35">
      <c r="A7842" t="s">
        <v>131</v>
      </c>
      <c r="B7842" s="1">
        <v>45747</v>
      </c>
      <c r="C7842" t="s">
        <v>5847</v>
      </c>
      <c r="D7842" t="s">
        <v>5847</v>
      </c>
      <c r="F7842" t="s">
        <v>8423</v>
      </c>
      <c r="H7842" t="s">
        <v>5508</v>
      </c>
      <c r="I7842" s="1">
        <v>45777</v>
      </c>
      <c r="K7842">
        <v>556000</v>
      </c>
      <c r="L7842" t="s">
        <v>5975</v>
      </c>
    </row>
    <row r="7843" spans="1:12" x14ac:dyDescent="0.35">
      <c r="A7843" t="s">
        <v>131</v>
      </c>
      <c r="B7843" s="1">
        <v>45747</v>
      </c>
      <c r="C7843" t="s">
        <v>5848</v>
      </c>
      <c r="D7843" t="s">
        <v>5848</v>
      </c>
      <c r="F7843" t="s">
        <v>7823</v>
      </c>
      <c r="G7843" t="s">
        <v>7877</v>
      </c>
      <c r="H7843" t="s">
        <v>5508</v>
      </c>
      <c r="I7843" s="1">
        <v>45777</v>
      </c>
      <c r="J7843">
        <v>4396680</v>
      </c>
      <c r="L7843" t="s">
        <v>6803</v>
      </c>
    </row>
    <row r="7844" spans="1:12" x14ac:dyDescent="0.35">
      <c r="A7844" t="s">
        <v>131</v>
      </c>
      <c r="B7844" s="1">
        <v>45747</v>
      </c>
      <c r="C7844" t="s">
        <v>5848</v>
      </c>
      <c r="D7844" t="s">
        <v>5848</v>
      </c>
      <c r="F7844" t="s">
        <v>8419</v>
      </c>
      <c r="H7844" t="s">
        <v>5508</v>
      </c>
      <c r="I7844" s="1">
        <v>45777</v>
      </c>
      <c r="K7844">
        <v>670680</v>
      </c>
      <c r="L7844" t="s">
        <v>6803</v>
      </c>
    </row>
    <row r="7845" spans="1:12" x14ac:dyDescent="0.35">
      <c r="A7845" t="s">
        <v>131</v>
      </c>
      <c r="B7845" s="1">
        <v>45747</v>
      </c>
      <c r="C7845" t="s">
        <v>5848</v>
      </c>
      <c r="D7845" t="s">
        <v>5848</v>
      </c>
      <c r="F7845" t="s">
        <v>8423</v>
      </c>
      <c r="H7845" t="s">
        <v>5508</v>
      </c>
      <c r="I7845" s="1">
        <v>45777</v>
      </c>
      <c r="K7845">
        <v>3726000</v>
      </c>
      <c r="L7845" t="s">
        <v>5975</v>
      </c>
    </row>
    <row r="7846" spans="1:12" x14ac:dyDescent="0.35">
      <c r="A7846" t="s">
        <v>131</v>
      </c>
      <c r="B7846" s="1">
        <v>45747</v>
      </c>
      <c r="C7846" t="s">
        <v>5849</v>
      </c>
      <c r="D7846" t="s">
        <v>5849</v>
      </c>
      <c r="F7846" t="s">
        <v>7831</v>
      </c>
      <c r="G7846" t="s">
        <v>7515</v>
      </c>
      <c r="H7846" t="s">
        <v>139</v>
      </c>
      <c r="I7846" s="1">
        <v>45747</v>
      </c>
      <c r="J7846">
        <v>1115600</v>
      </c>
      <c r="L7846" t="s">
        <v>6803</v>
      </c>
    </row>
    <row r="7847" spans="1:12" x14ac:dyDescent="0.35">
      <c r="A7847" t="s">
        <v>131</v>
      </c>
      <c r="B7847" s="1">
        <v>45747</v>
      </c>
      <c r="C7847" t="s">
        <v>5849</v>
      </c>
      <c r="D7847" t="s">
        <v>5849</v>
      </c>
      <c r="F7847" t="s">
        <v>8423</v>
      </c>
      <c r="H7847" t="s">
        <v>139</v>
      </c>
      <c r="I7847" s="1">
        <v>45747</v>
      </c>
      <c r="K7847">
        <v>1115600</v>
      </c>
      <c r="L7847" t="s">
        <v>5975</v>
      </c>
    </row>
    <row r="7848" spans="1:12" x14ac:dyDescent="0.35">
      <c r="A7848" t="s">
        <v>131</v>
      </c>
      <c r="B7848" s="1">
        <v>45747</v>
      </c>
      <c r="C7848" t="s">
        <v>5850</v>
      </c>
      <c r="D7848" t="s">
        <v>5850</v>
      </c>
      <c r="F7848" t="s">
        <v>7831</v>
      </c>
      <c r="G7848" t="s">
        <v>7515</v>
      </c>
      <c r="H7848" t="s">
        <v>139</v>
      </c>
      <c r="I7848" s="1">
        <v>45747</v>
      </c>
      <c r="J7848">
        <v>683600</v>
      </c>
      <c r="L7848" t="s">
        <v>6803</v>
      </c>
    </row>
    <row r="7849" spans="1:12" x14ac:dyDescent="0.35">
      <c r="A7849" t="s">
        <v>131</v>
      </c>
      <c r="B7849" s="1">
        <v>45747</v>
      </c>
      <c r="C7849" t="s">
        <v>5850</v>
      </c>
      <c r="D7849" t="s">
        <v>5850</v>
      </c>
      <c r="F7849" t="s">
        <v>8423</v>
      </c>
      <c r="H7849" t="s">
        <v>139</v>
      </c>
      <c r="I7849" s="1">
        <v>45747</v>
      </c>
      <c r="K7849">
        <v>683600</v>
      </c>
      <c r="L7849" t="s">
        <v>5975</v>
      </c>
    </row>
    <row r="7850" spans="1:12" x14ac:dyDescent="0.35">
      <c r="A7850" t="s">
        <v>131</v>
      </c>
      <c r="B7850" s="1">
        <v>45747</v>
      </c>
      <c r="C7850" t="s">
        <v>5851</v>
      </c>
      <c r="D7850" t="s">
        <v>5851</v>
      </c>
      <c r="F7850" t="s">
        <v>7831</v>
      </c>
      <c r="G7850" t="s">
        <v>7515</v>
      </c>
      <c r="H7850" t="s">
        <v>139</v>
      </c>
      <c r="I7850" s="1">
        <v>45747</v>
      </c>
      <c r="J7850">
        <v>432000</v>
      </c>
      <c r="L7850" t="s">
        <v>6803</v>
      </c>
    </row>
    <row r="7851" spans="1:12" x14ac:dyDescent="0.35">
      <c r="A7851" t="s">
        <v>131</v>
      </c>
      <c r="B7851" s="1">
        <v>45747</v>
      </c>
      <c r="C7851" t="s">
        <v>5851</v>
      </c>
      <c r="D7851" t="s">
        <v>5851</v>
      </c>
      <c r="F7851" t="s">
        <v>8423</v>
      </c>
      <c r="H7851" t="s">
        <v>139</v>
      </c>
      <c r="I7851" s="1">
        <v>45747</v>
      </c>
      <c r="K7851">
        <v>432000</v>
      </c>
      <c r="L7851" t="s">
        <v>5975</v>
      </c>
    </row>
    <row r="7852" spans="1:12" x14ac:dyDescent="0.35">
      <c r="A7852" t="s">
        <v>131</v>
      </c>
      <c r="B7852" s="1">
        <v>45747</v>
      </c>
      <c r="C7852" t="s">
        <v>5852</v>
      </c>
      <c r="D7852" t="s">
        <v>5852</v>
      </c>
      <c r="F7852" t="s">
        <v>7831</v>
      </c>
      <c r="G7852" t="s">
        <v>7515</v>
      </c>
      <c r="H7852" t="s">
        <v>139</v>
      </c>
      <c r="I7852" s="1">
        <v>45747</v>
      </c>
      <c r="J7852">
        <v>1115600</v>
      </c>
      <c r="L7852" t="s">
        <v>6803</v>
      </c>
    </row>
    <row r="7853" spans="1:12" x14ac:dyDescent="0.35">
      <c r="A7853" t="s">
        <v>131</v>
      </c>
      <c r="B7853" s="1">
        <v>45747</v>
      </c>
      <c r="C7853" t="s">
        <v>5852</v>
      </c>
      <c r="D7853" t="s">
        <v>5852</v>
      </c>
      <c r="F7853" t="s">
        <v>8423</v>
      </c>
      <c r="H7853" t="s">
        <v>139</v>
      </c>
      <c r="I7853" s="1">
        <v>45747</v>
      </c>
      <c r="K7853">
        <v>1115600</v>
      </c>
      <c r="L7853" t="s">
        <v>5975</v>
      </c>
    </row>
    <row r="7854" spans="1:12" x14ac:dyDescent="0.35">
      <c r="A7854" t="s">
        <v>131</v>
      </c>
      <c r="B7854" s="1">
        <v>45747</v>
      </c>
      <c r="C7854" t="s">
        <v>5853</v>
      </c>
      <c r="D7854" t="s">
        <v>5853</v>
      </c>
      <c r="F7854" t="s">
        <v>7831</v>
      </c>
      <c r="G7854" t="s">
        <v>9908</v>
      </c>
      <c r="H7854" t="s">
        <v>5792</v>
      </c>
      <c r="I7854" s="1">
        <v>45777</v>
      </c>
      <c r="J7854">
        <v>2360000</v>
      </c>
      <c r="L7854" t="s">
        <v>6803</v>
      </c>
    </row>
    <row r="7855" spans="1:12" x14ac:dyDescent="0.35">
      <c r="A7855" t="s">
        <v>131</v>
      </c>
      <c r="B7855" s="1">
        <v>45747</v>
      </c>
      <c r="C7855" t="s">
        <v>5853</v>
      </c>
      <c r="D7855" t="s">
        <v>5853</v>
      </c>
      <c r="F7855" t="s">
        <v>8419</v>
      </c>
      <c r="H7855" t="s">
        <v>5792</v>
      </c>
      <c r="I7855" s="1">
        <v>45777</v>
      </c>
      <c r="K7855">
        <v>360000</v>
      </c>
      <c r="L7855" t="s">
        <v>6803</v>
      </c>
    </row>
    <row r="7856" spans="1:12" x14ac:dyDescent="0.35">
      <c r="A7856" t="s">
        <v>131</v>
      </c>
      <c r="B7856" s="1">
        <v>45747</v>
      </c>
      <c r="C7856" t="s">
        <v>5853</v>
      </c>
      <c r="D7856" t="s">
        <v>5853</v>
      </c>
      <c r="F7856" t="s">
        <v>8425</v>
      </c>
      <c r="H7856" t="s">
        <v>5792</v>
      </c>
      <c r="I7856" s="1">
        <v>45777</v>
      </c>
      <c r="K7856">
        <v>2000000</v>
      </c>
      <c r="L7856" t="s">
        <v>5978</v>
      </c>
    </row>
    <row r="7857" spans="1:12" x14ac:dyDescent="0.35">
      <c r="A7857" t="s">
        <v>131</v>
      </c>
      <c r="B7857" s="1">
        <v>45747</v>
      </c>
      <c r="C7857" t="s">
        <v>5854</v>
      </c>
      <c r="D7857" t="s">
        <v>5854</v>
      </c>
      <c r="F7857" t="s">
        <v>7831</v>
      </c>
      <c r="G7857" t="s">
        <v>9908</v>
      </c>
      <c r="H7857" t="s">
        <v>5792</v>
      </c>
      <c r="I7857" s="1">
        <v>45777</v>
      </c>
      <c r="J7857">
        <v>1180000</v>
      </c>
      <c r="L7857" t="s">
        <v>6803</v>
      </c>
    </row>
    <row r="7858" spans="1:12" x14ac:dyDescent="0.35">
      <c r="A7858" t="s">
        <v>131</v>
      </c>
      <c r="B7858" s="1">
        <v>45747</v>
      </c>
      <c r="C7858" t="s">
        <v>5854</v>
      </c>
      <c r="D7858" t="s">
        <v>5854</v>
      </c>
      <c r="F7858" t="s">
        <v>8419</v>
      </c>
      <c r="H7858" t="s">
        <v>5792</v>
      </c>
      <c r="I7858" s="1">
        <v>45777</v>
      </c>
      <c r="K7858">
        <v>180000</v>
      </c>
      <c r="L7858" t="s">
        <v>6803</v>
      </c>
    </row>
    <row r="7859" spans="1:12" x14ac:dyDescent="0.35">
      <c r="A7859" t="s">
        <v>131</v>
      </c>
      <c r="B7859" s="1">
        <v>45747</v>
      </c>
      <c r="C7859" t="s">
        <v>5854</v>
      </c>
      <c r="D7859" t="s">
        <v>5854</v>
      </c>
      <c r="F7859" t="s">
        <v>8425</v>
      </c>
      <c r="H7859" t="s">
        <v>5792</v>
      </c>
      <c r="I7859" s="1">
        <v>45777</v>
      </c>
      <c r="K7859">
        <v>1000000</v>
      </c>
      <c r="L7859" t="s">
        <v>5978</v>
      </c>
    </row>
    <row r="7860" spans="1:12" x14ac:dyDescent="0.35">
      <c r="A7860" t="s">
        <v>131</v>
      </c>
      <c r="B7860" s="1">
        <v>45747</v>
      </c>
      <c r="C7860" t="s">
        <v>5855</v>
      </c>
      <c r="D7860" t="s">
        <v>5855</v>
      </c>
      <c r="F7860" t="s">
        <v>7831</v>
      </c>
      <c r="G7860" t="s">
        <v>9911</v>
      </c>
      <c r="H7860" t="s">
        <v>5856</v>
      </c>
      <c r="I7860" s="1">
        <v>45747</v>
      </c>
      <c r="J7860">
        <v>2891000</v>
      </c>
      <c r="L7860" t="s">
        <v>6803</v>
      </c>
    </row>
    <row r="7861" spans="1:12" x14ac:dyDescent="0.35">
      <c r="A7861" t="s">
        <v>131</v>
      </c>
      <c r="B7861" s="1">
        <v>45747</v>
      </c>
      <c r="C7861" t="s">
        <v>5855</v>
      </c>
      <c r="D7861" t="s">
        <v>5855</v>
      </c>
      <c r="F7861" t="s">
        <v>8419</v>
      </c>
      <c r="H7861" t="s">
        <v>5856</v>
      </c>
      <c r="I7861" s="1">
        <v>45747</v>
      </c>
      <c r="K7861">
        <v>441000</v>
      </c>
      <c r="L7861" t="s">
        <v>6803</v>
      </c>
    </row>
    <row r="7862" spans="1:12" x14ac:dyDescent="0.35">
      <c r="A7862" t="s">
        <v>131</v>
      </c>
      <c r="B7862" s="1">
        <v>45747</v>
      </c>
      <c r="C7862" t="s">
        <v>5855</v>
      </c>
      <c r="D7862" t="s">
        <v>5855</v>
      </c>
      <c r="F7862" t="s">
        <v>8426</v>
      </c>
      <c r="H7862" t="s">
        <v>5856</v>
      </c>
      <c r="I7862" s="1">
        <v>45747</v>
      </c>
      <c r="K7862">
        <v>2450000</v>
      </c>
      <c r="L7862" t="s">
        <v>5976</v>
      </c>
    </row>
    <row r="7863" spans="1:12" x14ac:dyDescent="0.35">
      <c r="A7863" t="s">
        <v>131</v>
      </c>
      <c r="B7863" s="1">
        <v>45747</v>
      </c>
      <c r="C7863" t="s">
        <v>5857</v>
      </c>
      <c r="D7863" t="s">
        <v>5857</v>
      </c>
      <c r="F7863" t="s">
        <v>7823</v>
      </c>
      <c r="G7863" t="s">
        <v>7877</v>
      </c>
      <c r="H7863" t="s">
        <v>5508</v>
      </c>
      <c r="I7863" s="1">
        <v>45777</v>
      </c>
      <c r="J7863">
        <v>9832510</v>
      </c>
      <c r="L7863" t="s">
        <v>6803</v>
      </c>
    </row>
    <row r="7864" spans="1:12" x14ac:dyDescent="0.35">
      <c r="A7864" t="s">
        <v>131</v>
      </c>
      <c r="B7864" s="1">
        <v>45747</v>
      </c>
      <c r="C7864" t="s">
        <v>5857</v>
      </c>
      <c r="D7864" t="s">
        <v>5857</v>
      </c>
      <c r="F7864" t="s">
        <v>8424</v>
      </c>
      <c r="H7864" t="s">
        <v>5508</v>
      </c>
      <c r="I7864" s="1">
        <v>45777</v>
      </c>
      <c r="K7864">
        <v>9832510</v>
      </c>
      <c r="L7864" t="s">
        <v>5977</v>
      </c>
    </row>
    <row r="7865" spans="1:12" x14ac:dyDescent="0.35">
      <c r="A7865" t="s">
        <v>131</v>
      </c>
      <c r="B7865" s="1">
        <v>45747</v>
      </c>
      <c r="C7865" t="s">
        <v>5858</v>
      </c>
      <c r="D7865" t="s">
        <v>5858</v>
      </c>
      <c r="F7865" t="s">
        <v>7823</v>
      </c>
      <c r="G7865" t="s">
        <v>7877</v>
      </c>
      <c r="H7865" t="s">
        <v>5508</v>
      </c>
      <c r="I7865" s="1">
        <v>45777</v>
      </c>
      <c r="J7865">
        <v>9832510</v>
      </c>
      <c r="L7865" t="s">
        <v>6803</v>
      </c>
    </row>
    <row r="7866" spans="1:12" x14ac:dyDescent="0.35">
      <c r="A7866" t="s">
        <v>131</v>
      </c>
      <c r="B7866" s="1">
        <v>45747</v>
      </c>
      <c r="C7866" t="s">
        <v>5858</v>
      </c>
      <c r="D7866" t="s">
        <v>5858</v>
      </c>
      <c r="F7866" t="s">
        <v>8424</v>
      </c>
      <c r="H7866" t="s">
        <v>5508</v>
      </c>
      <c r="I7866" s="1">
        <v>45777</v>
      </c>
      <c r="K7866">
        <v>9832510</v>
      </c>
      <c r="L7866" t="s">
        <v>5977</v>
      </c>
    </row>
    <row r="7867" spans="1:12" x14ac:dyDescent="0.35">
      <c r="A7867" t="s">
        <v>131</v>
      </c>
      <c r="B7867" s="1">
        <v>45747</v>
      </c>
      <c r="C7867" t="s">
        <v>5859</v>
      </c>
      <c r="D7867" t="s">
        <v>5859</v>
      </c>
      <c r="F7867" t="s">
        <v>7823</v>
      </c>
      <c r="G7867" t="s">
        <v>7877</v>
      </c>
      <c r="H7867" t="s">
        <v>5508</v>
      </c>
      <c r="I7867" s="1">
        <v>45777</v>
      </c>
      <c r="J7867">
        <v>9832510</v>
      </c>
      <c r="L7867" t="s">
        <v>6803</v>
      </c>
    </row>
    <row r="7868" spans="1:12" x14ac:dyDescent="0.35">
      <c r="A7868" t="s">
        <v>131</v>
      </c>
      <c r="B7868" s="1">
        <v>45747</v>
      </c>
      <c r="C7868" t="s">
        <v>5859</v>
      </c>
      <c r="D7868" t="s">
        <v>5859</v>
      </c>
      <c r="F7868" t="s">
        <v>8424</v>
      </c>
      <c r="H7868" t="s">
        <v>5508</v>
      </c>
      <c r="I7868" s="1">
        <v>45777</v>
      </c>
      <c r="K7868">
        <v>9832510</v>
      </c>
      <c r="L7868" t="s">
        <v>5977</v>
      </c>
    </row>
    <row r="7869" spans="1:12" x14ac:dyDescent="0.35">
      <c r="A7869" t="s">
        <v>131</v>
      </c>
      <c r="B7869" s="1">
        <v>45747</v>
      </c>
      <c r="C7869" t="s">
        <v>5860</v>
      </c>
      <c r="D7869" t="s">
        <v>5860</v>
      </c>
      <c r="F7869" t="s">
        <v>7823</v>
      </c>
      <c r="G7869" t="s">
        <v>7877</v>
      </c>
      <c r="H7869" t="s">
        <v>5508</v>
      </c>
      <c r="I7869" s="1">
        <v>45777</v>
      </c>
      <c r="J7869">
        <v>1206411</v>
      </c>
      <c r="L7869" t="s">
        <v>6803</v>
      </c>
    </row>
    <row r="7870" spans="1:12" x14ac:dyDescent="0.35">
      <c r="A7870" t="s">
        <v>131</v>
      </c>
      <c r="B7870" s="1">
        <v>45747</v>
      </c>
      <c r="C7870" t="s">
        <v>5860</v>
      </c>
      <c r="D7870" t="s">
        <v>5860</v>
      </c>
      <c r="F7870" t="s">
        <v>8424</v>
      </c>
      <c r="H7870" t="s">
        <v>5508</v>
      </c>
      <c r="I7870" s="1">
        <v>45777</v>
      </c>
      <c r="K7870">
        <v>1206411</v>
      </c>
      <c r="L7870" t="s">
        <v>5977</v>
      </c>
    </row>
    <row r="7871" spans="1:12" x14ac:dyDescent="0.35">
      <c r="A7871" t="s">
        <v>131</v>
      </c>
      <c r="B7871" s="1">
        <v>45747</v>
      </c>
      <c r="C7871" t="s">
        <v>5861</v>
      </c>
      <c r="D7871" t="s">
        <v>5861</v>
      </c>
      <c r="F7871" t="s">
        <v>7823</v>
      </c>
      <c r="G7871" t="s">
        <v>7877</v>
      </c>
      <c r="H7871" t="s">
        <v>5508</v>
      </c>
      <c r="I7871" s="1">
        <v>45777</v>
      </c>
      <c r="J7871">
        <v>7347902</v>
      </c>
      <c r="L7871" t="s">
        <v>6803</v>
      </c>
    </row>
    <row r="7872" spans="1:12" x14ac:dyDescent="0.35">
      <c r="A7872" t="s">
        <v>131</v>
      </c>
      <c r="B7872" s="1">
        <v>45747</v>
      </c>
      <c r="C7872" t="s">
        <v>5861</v>
      </c>
      <c r="D7872" t="s">
        <v>5861</v>
      </c>
      <c r="F7872" t="s">
        <v>8423</v>
      </c>
      <c r="H7872" t="s">
        <v>5508</v>
      </c>
      <c r="I7872" s="1">
        <v>45777</v>
      </c>
      <c r="K7872">
        <v>7347902</v>
      </c>
      <c r="L7872" t="s">
        <v>5975</v>
      </c>
    </row>
    <row r="7873" spans="1:12" x14ac:dyDescent="0.35">
      <c r="A7873" t="s">
        <v>131</v>
      </c>
      <c r="B7873" s="1">
        <v>45747</v>
      </c>
      <c r="C7873" t="s">
        <v>5862</v>
      </c>
      <c r="D7873" t="s">
        <v>5862</v>
      </c>
      <c r="F7873" t="s">
        <v>7823</v>
      </c>
      <c r="G7873" t="s">
        <v>7877</v>
      </c>
      <c r="H7873" t="s">
        <v>5508</v>
      </c>
      <c r="I7873" s="1">
        <v>45777</v>
      </c>
      <c r="J7873">
        <v>9832510</v>
      </c>
      <c r="L7873" t="s">
        <v>6803</v>
      </c>
    </row>
    <row r="7874" spans="1:12" x14ac:dyDescent="0.35">
      <c r="A7874" t="s">
        <v>131</v>
      </c>
      <c r="B7874" s="1">
        <v>45747</v>
      </c>
      <c r="C7874" t="s">
        <v>5862</v>
      </c>
      <c r="D7874" t="s">
        <v>5862</v>
      </c>
      <c r="F7874" t="s">
        <v>8423</v>
      </c>
      <c r="H7874" t="s">
        <v>5508</v>
      </c>
      <c r="I7874" s="1">
        <v>45777</v>
      </c>
      <c r="K7874">
        <v>1966502</v>
      </c>
      <c r="L7874" t="s">
        <v>5975</v>
      </c>
    </row>
    <row r="7875" spans="1:12" x14ac:dyDescent="0.35">
      <c r="A7875" t="s">
        <v>131</v>
      </c>
      <c r="B7875" s="1">
        <v>45747</v>
      </c>
      <c r="C7875" t="s">
        <v>5862</v>
      </c>
      <c r="D7875" t="s">
        <v>5862</v>
      </c>
      <c r="F7875" t="s">
        <v>8424</v>
      </c>
      <c r="H7875" t="s">
        <v>5508</v>
      </c>
      <c r="I7875" s="1">
        <v>45777</v>
      </c>
      <c r="K7875">
        <v>7866008</v>
      </c>
      <c r="L7875" t="s">
        <v>5977</v>
      </c>
    </row>
    <row r="7876" spans="1:12" x14ac:dyDescent="0.35">
      <c r="A7876" t="s">
        <v>131</v>
      </c>
      <c r="B7876" s="1">
        <v>45747</v>
      </c>
      <c r="C7876" t="s">
        <v>5863</v>
      </c>
      <c r="D7876" t="s">
        <v>5863</v>
      </c>
      <c r="F7876" t="s">
        <v>7823</v>
      </c>
      <c r="G7876" t="s">
        <v>7877</v>
      </c>
      <c r="H7876" t="s">
        <v>5508</v>
      </c>
      <c r="I7876" s="1">
        <v>45777</v>
      </c>
      <c r="J7876">
        <v>1099170</v>
      </c>
      <c r="L7876" t="s">
        <v>6803</v>
      </c>
    </row>
    <row r="7877" spans="1:12" x14ac:dyDescent="0.35">
      <c r="A7877" t="s">
        <v>131</v>
      </c>
      <c r="B7877" s="1">
        <v>45747</v>
      </c>
      <c r="C7877" t="s">
        <v>5863</v>
      </c>
      <c r="D7877" t="s">
        <v>5863</v>
      </c>
      <c r="F7877" t="s">
        <v>8419</v>
      </c>
      <c r="H7877" t="s">
        <v>5508</v>
      </c>
      <c r="I7877" s="1">
        <v>45777</v>
      </c>
      <c r="K7877">
        <v>167670</v>
      </c>
      <c r="L7877" t="s">
        <v>6803</v>
      </c>
    </row>
    <row r="7878" spans="1:12" x14ac:dyDescent="0.35">
      <c r="A7878" t="s">
        <v>131</v>
      </c>
      <c r="B7878" s="1">
        <v>45747</v>
      </c>
      <c r="C7878" t="s">
        <v>5863</v>
      </c>
      <c r="D7878" t="s">
        <v>5863</v>
      </c>
      <c r="F7878" t="s">
        <v>8423</v>
      </c>
      <c r="H7878" t="s">
        <v>5508</v>
      </c>
      <c r="I7878" s="1">
        <v>45777</v>
      </c>
      <c r="K7878">
        <v>931500</v>
      </c>
      <c r="L7878" t="s">
        <v>5977</v>
      </c>
    </row>
    <row r="7879" spans="1:12" x14ac:dyDescent="0.35">
      <c r="A7879" t="s">
        <v>131</v>
      </c>
      <c r="B7879" s="1">
        <v>45747</v>
      </c>
      <c r="C7879" t="s">
        <v>5864</v>
      </c>
      <c r="D7879" t="s">
        <v>5864</v>
      </c>
      <c r="F7879" t="s">
        <v>7823</v>
      </c>
      <c r="G7879" t="s">
        <v>7877</v>
      </c>
      <c r="H7879" t="s">
        <v>5508</v>
      </c>
      <c r="I7879" s="1">
        <v>45777</v>
      </c>
      <c r="J7879">
        <v>1099170</v>
      </c>
      <c r="L7879" t="s">
        <v>6803</v>
      </c>
    </row>
    <row r="7880" spans="1:12" x14ac:dyDescent="0.35">
      <c r="A7880" t="s">
        <v>131</v>
      </c>
      <c r="B7880" s="1">
        <v>45747</v>
      </c>
      <c r="C7880" t="s">
        <v>5864</v>
      </c>
      <c r="D7880" t="s">
        <v>5864</v>
      </c>
      <c r="F7880" t="s">
        <v>8419</v>
      </c>
      <c r="H7880" t="s">
        <v>5508</v>
      </c>
      <c r="I7880" s="1">
        <v>45777</v>
      </c>
      <c r="K7880">
        <v>167670</v>
      </c>
      <c r="L7880" t="s">
        <v>6803</v>
      </c>
    </row>
    <row r="7881" spans="1:12" x14ac:dyDescent="0.35">
      <c r="A7881" t="s">
        <v>131</v>
      </c>
      <c r="B7881" s="1">
        <v>45747</v>
      </c>
      <c r="C7881" t="s">
        <v>5864</v>
      </c>
      <c r="D7881" t="s">
        <v>5864</v>
      </c>
      <c r="F7881" t="s">
        <v>8423</v>
      </c>
      <c r="H7881" t="s">
        <v>5508</v>
      </c>
      <c r="I7881" s="1">
        <v>45777</v>
      </c>
      <c r="K7881">
        <v>931500</v>
      </c>
      <c r="L7881" t="s">
        <v>5977</v>
      </c>
    </row>
    <row r="7882" spans="1:12" x14ac:dyDescent="0.35">
      <c r="A7882" t="s">
        <v>131</v>
      </c>
      <c r="B7882" s="1">
        <v>45747</v>
      </c>
      <c r="C7882" t="s">
        <v>5865</v>
      </c>
      <c r="D7882" t="s">
        <v>5865</v>
      </c>
      <c r="F7882" t="s">
        <v>7831</v>
      </c>
      <c r="G7882" t="s">
        <v>7879</v>
      </c>
      <c r="H7882" t="s">
        <v>5506</v>
      </c>
      <c r="I7882" s="1">
        <v>45777</v>
      </c>
      <c r="J7882">
        <v>6589665</v>
      </c>
      <c r="L7882" t="s">
        <v>6803</v>
      </c>
    </row>
    <row r="7883" spans="1:12" x14ac:dyDescent="0.35">
      <c r="A7883" t="s">
        <v>131</v>
      </c>
      <c r="B7883" s="1">
        <v>45747</v>
      </c>
      <c r="C7883" t="s">
        <v>5865</v>
      </c>
      <c r="D7883" t="s">
        <v>5865</v>
      </c>
      <c r="F7883" t="s">
        <v>8419</v>
      </c>
      <c r="H7883" t="s">
        <v>5506</v>
      </c>
      <c r="I7883" s="1">
        <v>45777</v>
      </c>
      <c r="K7883">
        <v>1005203</v>
      </c>
      <c r="L7883" t="s">
        <v>6803</v>
      </c>
    </row>
    <row r="7884" spans="1:12" x14ac:dyDescent="0.35">
      <c r="A7884" t="s">
        <v>131</v>
      </c>
      <c r="B7884" s="1">
        <v>45747</v>
      </c>
      <c r="C7884" t="s">
        <v>5865</v>
      </c>
      <c r="D7884" t="s">
        <v>5865</v>
      </c>
      <c r="F7884" t="s">
        <v>8423</v>
      </c>
      <c r="H7884" t="s">
        <v>5506</v>
      </c>
      <c r="I7884" s="1">
        <v>45777</v>
      </c>
      <c r="K7884">
        <v>5584462</v>
      </c>
      <c r="L7884" t="s">
        <v>5977</v>
      </c>
    </row>
    <row r="7885" spans="1:12" x14ac:dyDescent="0.35">
      <c r="A7885" t="s">
        <v>131</v>
      </c>
      <c r="B7885" s="1">
        <v>45747</v>
      </c>
      <c r="C7885" t="s">
        <v>5866</v>
      </c>
      <c r="D7885" t="s">
        <v>5866</v>
      </c>
      <c r="F7885" t="s">
        <v>7831</v>
      </c>
      <c r="G7885" t="s">
        <v>7879</v>
      </c>
      <c r="H7885" t="s">
        <v>5506</v>
      </c>
      <c r="I7885" s="1">
        <v>45777</v>
      </c>
      <c r="J7885">
        <v>6375598</v>
      </c>
      <c r="L7885" t="s">
        <v>6803</v>
      </c>
    </row>
    <row r="7886" spans="1:12" x14ac:dyDescent="0.35">
      <c r="A7886" t="s">
        <v>131</v>
      </c>
      <c r="B7886" s="1">
        <v>45747</v>
      </c>
      <c r="C7886" t="s">
        <v>5866</v>
      </c>
      <c r="D7886" t="s">
        <v>5866</v>
      </c>
      <c r="F7886" t="s">
        <v>8419</v>
      </c>
      <c r="H7886" t="s">
        <v>5506</v>
      </c>
      <c r="I7886" s="1">
        <v>45777</v>
      </c>
      <c r="K7886">
        <v>972549</v>
      </c>
      <c r="L7886" t="s">
        <v>6803</v>
      </c>
    </row>
    <row r="7887" spans="1:12" x14ac:dyDescent="0.35">
      <c r="A7887" t="s">
        <v>131</v>
      </c>
      <c r="B7887" s="1">
        <v>45747</v>
      </c>
      <c r="C7887" t="s">
        <v>5866</v>
      </c>
      <c r="D7887" t="s">
        <v>5866</v>
      </c>
      <c r="F7887" t="s">
        <v>8423</v>
      </c>
      <c r="H7887" t="s">
        <v>5506</v>
      </c>
      <c r="I7887" s="1">
        <v>45777</v>
      </c>
      <c r="K7887">
        <v>5403049</v>
      </c>
      <c r="L7887" t="s">
        <v>5977</v>
      </c>
    </row>
    <row r="7888" spans="1:12" x14ac:dyDescent="0.35">
      <c r="A7888" t="s">
        <v>131</v>
      </c>
      <c r="B7888" s="1">
        <v>45747</v>
      </c>
      <c r="C7888" t="s">
        <v>5867</v>
      </c>
      <c r="D7888" t="s">
        <v>5867</v>
      </c>
      <c r="F7888" t="s">
        <v>7831</v>
      </c>
      <c r="G7888" t="s">
        <v>7879</v>
      </c>
      <c r="H7888" t="s">
        <v>5506</v>
      </c>
      <c r="I7888" s="1">
        <v>45777</v>
      </c>
      <c r="J7888">
        <v>15074127</v>
      </c>
      <c r="L7888" t="s">
        <v>6803</v>
      </c>
    </row>
    <row r="7889" spans="1:12" x14ac:dyDescent="0.35">
      <c r="A7889" t="s">
        <v>131</v>
      </c>
      <c r="B7889" s="1">
        <v>45747</v>
      </c>
      <c r="C7889" t="s">
        <v>5867</v>
      </c>
      <c r="D7889" t="s">
        <v>5867</v>
      </c>
      <c r="F7889" t="s">
        <v>8419</v>
      </c>
      <c r="H7889" t="s">
        <v>5506</v>
      </c>
      <c r="I7889" s="1">
        <v>45777</v>
      </c>
      <c r="K7889">
        <v>2299443</v>
      </c>
      <c r="L7889" t="s">
        <v>6803</v>
      </c>
    </row>
    <row r="7890" spans="1:12" x14ac:dyDescent="0.35">
      <c r="A7890" t="s">
        <v>131</v>
      </c>
      <c r="B7890" s="1">
        <v>45747</v>
      </c>
      <c r="C7890" t="s">
        <v>5867</v>
      </c>
      <c r="D7890" t="s">
        <v>5867</v>
      </c>
      <c r="F7890" t="s">
        <v>8423</v>
      </c>
      <c r="H7890" t="s">
        <v>5506</v>
      </c>
      <c r="I7890" s="1">
        <v>45777</v>
      </c>
      <c r="K7890">
        <v>12774684</v>
      </c>
      <c r="L7890" t="s">
        <v>5977</v>
      </c>
    </row>
    <row r="7891" spans="1:12" x14ac:dyDescent="0.35">
      <c r="A7891" t="s">
        <v>131</v>
      </c>
      <c r="B7891" s="1">
        <v>45747</v>
      </c>
      <c r="C7891" t="s">
        <v>5868</v>
      </c>
      <c r="D7891" t="s">
        <v>5868</v>
      </c>
      <c r="F7891" t="s">
        <v>7831</v>
      </c>
      <c r="G7891" t="s">
        <v>7879</v>
      </c>
      <c r="H7891" t="s">
        <v>5506</v>
      </c>
      <c r="I7891" s="1">
        <v>45777</v>
      </c>
      <c r="J7891">
        <v>14555281</v>
      </c>
      <c r="L7891" t="s">
        <v>6803</v>
      </c>
    </row>
    <row r="7892" spans="1:12" x14ac:dyDescent="0.35">
      <c r="A7892" t="s">
        <v>131</v>
      </c>
      <c r="B7892" s="1">
        <v>45747</v>
      </c>
      <c r="C7892" t="s">
        <v>5868</v>
      </c>
      <c r="D7892" t="s">
        <v>5868</v>
      </c>
      <c r="F7892" t="s">
        <v>8419</v>
      </c>
      <c r="H7892" t="s">
        <v>5506</v>
      </c>
      <c r="I7892" s="1">
        <v>45777</v>
      </c>
      <c r="K7892">
        <v>2220297</v>
      </c>
      <c r="L7892" t="s">
        <v>6803</v>
      </c>
    </row>
    <row r="7893" spans="1:12" x14ac:dyDescent="0.35">
      <c r="A7893" t="s">
        <v>131</v>
      </c>
      <c r="B7893" s="1">
        <v>45747</v>
      </c>
      <c r="C7893" t="s">
        <v>5868</v>
      </c>
      <c r="D7893" t="s">
        <v>5868</v>
      </c>
      <c r="F7893" t="s">
        <v>8423</v>
      </c>
      <c r="H7893" t="s">
        <v>5506</v>
      </c>
      <c r="I7893" s="1">
        <v>45777</v>
      </c>
      <c r="K7893">
        <v>12334984</v>
      </c>
      <c r="L7893" t="s">
        <v>5977</v>
      </c>
    </row>
    <row r="7894" spans="1:12" x14ac:dyDescent="0.35">
      <c r="A7894" t="s">
        <v>131</v>
      </c>
      <c r="B7894" s="1">
        <v>45747</v>
      </c>
      <c r="C7894" t="s">
        <v>5869</v>
      </c>
      <c r="D7894" t="s">
        <v>5869</v>
      </c>
      <c r="F7894" t="s">
        <v>7823</v>
      </c>
      <c r="G7894" t="s">
        <v>7877</v>
      </c>
      <c r="H7894" t="s">
        <v>5508</v>
      </c>
      <c r="I7894" s="1">
        <v>45777</v>
      </c>
      <c r="J7894">
        <v>1099170</v>
      </c>
      <c r="L7894" t="s">
        <v>6803</v>
      </c>
    </row>
    <row r="7895" spans="1:12" x14ac:dyDescent="0.35">
      <c r="A7895" t="s">
        <v>131</v>
      </c>
      <c r="B7895" s="1">
        <v>45747</v>
      </c>
      <c r="C7895" t="s">
        <v>5869</v>
      </c>
      <c r="D7895" t="s">
        <v>5869</v>
      </c>
      <c r="F7895" t="s">
        <v>8419</v>
      </c>
      <c r="H7895" t="s">
        <v>5508</v>
      </c>
      <c r="I7895" s="1">
        <v>45777</v>
      </c>
      <c r="K7895">
        <v>167670</v>
      </c>
      <c r="L7895" t="s">
        <v>6803</v>
      </c>
    </row>
    <row r="7896" spans="1:12" x14ac:dyDescent="0.35">
      <c r="A7896" t="s">
        <v>131</v>
      </c>
      <c r="B7896" s="1">
        <v>45747</v>
      </c>
      <c r="C7896" t="s">
        <v>5869</v>
      </c>
      <c r="D7896" t="s">
        <v>5869</v>
      </c>
      <c r="F7896" t="s">
        <v>8423</v>
      </c>
      <c r="H7896" t="s">
        <v>5508</v>
      </c>
      <c r="I7896" s="1">
        <v>45777</v>
      </c>
      <c r="K7896">
        <v>931500</v>
      </c>
      <c r="L7896" t="s">
        <v>5977</v>
      </c>
    </row>
    <row r="7897" spans="1:12" x14ac:dyDescent="0.35">
      <c r="A7897" t="s">
        <v>131</v>
      </c>
      <c r="B7897" s="1">
        <v>45747</v>
      </c>
      <c r="C7897" t="s">
        <v>5870</v>
      </c>
      <c r="D7897" t="s">
        <v>5870</v>
      </c>
      <c r="F7897" t="s">
        <v>7823</v>
      </c>
      <c r="G7897" t="s">
        <v>7835</v>
      </c>
      <c r="H7897" t="s">
        <v>5585</v>
      </c>
      <c r="I7897" s="1">
        <v>45762</v>
      </c>
      <c r="J7897">
        <v>173319925</v>
      </c>
      <c r="L7897" t="s">
        <v>6803</v>
      </c>
    </row>
    <row r="7898" spans="1:12" x14ac:dyDescent="0.35">
      <c r="A7898" t="s">
        <v>131</v>
      </c>
      <c r="B7898" s="1">
        <v>45747</v>
      </c>
      <c r="C7898" t="s">
        <v>5870</v>
      </c>
      <c r="D7898" t="s">
        <v>5870</v>
      </c>
      <c r="F7898" t="s">
        <v>8419</v>
      </c>
      <c r="H7898" t="s">
        <v>5585</v>
      </c>
      <c r="I7898" s="1">
        <v>45762</v>
      </c>
      <c r="K7898">
        <v>26438633</v>
      </c>
      <c r="L7898" t="s">
        <v>6803</v>
      </c>
    </row>
    <row r="7899" spans="1:12" x14ac:dyDescent="0.35">
      <c r="A7899" t="s">
        <v>131</v>
      </c>
      <c r="B7899" s="1">
        <v>45747</v>
      </c>
      <c r="C7899" t="s">
        <v>5870</v>
      </c>
      <c r="D7899" t="s">
        <v>5870</v>
      </c>
      <c r="F7899" t="s">
        <v>8423</v>
      </c>
      <c r="H7899" t="s">
        <v>5585</v>
      </c>
      <c r="I7899" s="1">
        <v>45762</v>
      </c>
      <c r="K7899">
        <v>146881292</v>
      </c>
      <c r="L7899" t="s">
        <v>5971</v>
      </c>
    </row>
    <row r="7900" spans="1:12" x14ac:dyDescent="0.35">
      <c r="A7900" t="s">
        <v>131</v>
      </c>
      <c r="B7900" s="1">
        <v>45747</v>
      </c>
      <c r="C7900" t="s">
        <v>5871</v>
      </c>
      <c r="D7900" t="s">
        <v>5871</v>
      </c>
      <c r="F7900" t="s">
        <v>7823</v>
      </c>
      <c r="G7900" t="s">
        <v>7835</v>
      </c>
      <c r="H7900" t="s">
        <v>5585</v>
      </c>
      <c r="I7900" s="1">
        <v>45762</v>
      </c>
      <c r="J7900">
        <v>7516600</v>
      </c>
      <c r="L7900" t="s">
        <v>6803</v>
      </c>
    </row>
    <row r="7901" spans="1:12" x14ac:dyDescent="0.35">
      <c r="A7901" t="s">
        <v>131</v>
      </c>
      <c r="B7901" s="1">
        <v>45747</v>
      </c>
      <c r="C7901" t="s">
        <v>5871</v>
      </c>
      <c r="D7901" t="s">
        <v>5871</v>
      </c>
      <c r="F7901" t="s">
        <v>8419</v>
      </c>
      <c r="H7901" t="s">
        <v>5585</v>
      </c>
      <c r="I7901" s="1">
        <v>45762</v>
      </c>
      <c r="K7901">
        <v>1146600</v>
      </c>
      <c r="L7901" t="s">
        <v>6803</v>
      </c>
    </row>
    <row r="7902" spans="1:12" x14ac:dyDescent="0.35">
      <c r="A7902" t="s">
        <v>131</v>
      </c>
      <c r="B7902" s="1">
        <v>45747</v>
      </c>
      <c r="C7902" t="s">
        <v>5871</v>
      </c>
      <c r="D7902" t="s">
        <v>5871</v>
      </c>
      <c r="F7902" t="s">
        <v>8423</v>
      </c>
      <c r="H7902" t="s">
        <v>5585</v>
      </c>
      <c r="I7902" s="1">
        <v>45762</v>
      </c>
      <c r="K7902">
        <v>6370000</v>
      </c>
      <c r="L7902" t="s">
        <v>5971</v>
      </c>
    </row>
    <row r="7903" spans="1:12" x14ac:dyDescent="0.35">
      <c r="A7903" t="s">
        <v>131</v>
      </c>
      <c r="B7903" s="1">
        <v>45747</v>
      </c>
      <c r="C7903" t="s">
        <v>5872</v>
      </c>
      <c r="D7903" t="s">
        <v>5872</v>
      </c>
      <c r="F7903" t="s">
        <v>7823</v>
      </c>
      <c r="G7903" t="s">
        <v>7824</v>
      </c>
      <c r="H7903" t="s">
        <v>5686</v>
      </c>
      <c r="I7903" s="1">
        <v>45777</v>
      </c>
      <c r="J7903">
        <v>68023696</v>
      </c>
      <c r="L7903" t="s">
        <v>6803</v>
      </c>
    </row>
    <row r="7904" spans="1:12" x14ac:dyDescent="0.35">
      <c r="A7904" t="s">
        <v>131</v>
      </c>
      <c r="B7904" s="1">
        <v>45747</v>
      </c>
      <c r="C7904" t="s">
        <v>5872</v>
      </c>
      <c r="D7904" t="s">
        <v>5872</v>
      </c>
      <c r="F7904" t="s">
        <v>8419</v>
      </c>
      <c r="H7904" t="s">
        <v>5686</v>
      </c>
      <c r="I7904" s="1">
        <v>45777</v>
      </c>
      <c r="K7904">
        <v>10376496</v>
      </c>
      <c r="L7904" t="s">
        <v>6803</v>
      </c>
    </row>
    <row r="7905" spans="1:12" x14ac:dyDescent="0.35">
      <c r="A7905" t="s">
        <v>131</v>
      </c>
      <c r="B7905" s="1">
        <v>45747</v>
      </c>
      <c r="C7905" t="s">
        <v>5872</v>
      </c>
      <c r="D7905" t="s">
        <v>5872</v>
      </c>
      <c r="F7905" t="s">
        <v>8423</v>
      </c>
      <c r="H7905" t="s">
        <v>5686</v>
      </c>
      <c r="I7905" s="1">
        <v>45777</v>
      </c>
      <c r="K7905">
        <v>57647200</v>
      </c>
      <c r="L7905" t="s">
        <v>6018</v>
      </c>
    </row>
  </sheetData>
  <autoFilter ref="A1:L7905" xr:uid="{44B18312-0287-46AF-A3CD-65B91702998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1F0B9-28D2-4D01-B2E8-B33B920E9464}">
  <dimension ref="A1:N3753"/>
  <sheetViews>
    <sheetView workbookViewId="0">
      <selection activeCell="A2" sqref="A2:A3753"/>
    </sheetView>
  </sheetViews>
  <sheetFormatPr baseColWidth="10" defaultRowHeight="14.5" x14ac:dyDescent="0.35"/>
  <cols>
    <col min="1" max="1" width="20.1796875" customWidth="1"/>
  </cols>
  <sheetData>
    <row r="1" spans="1:14" x14ac:dyDescent="0.35">
      <c r="A1" t="s">
        <v>6797</v>
      </c>
      <c r="B1" t="s">
        <v>0</v>
      </c>
      <c r="C1" t="s">
        <v>1</v>
      </c>
      <c r="D1" t="s">
        <v>2</v>
      </c>
      <c r="E1" t="s">
        <v>5</v>
      </c>
      <c r="F1" t="s">
        <v>7</v>
      </c>
      <c r="G1" t="s">
        <v>335</v>
      </c>
      <c r="H1" t="s">
        <v>336</v>
      </c>
      <c r="I1" t="s">
        <v>337</v>
      </c>
      <c r="J1" t="s">
        <v>338</v>
      </c>
      <c r="K1" t="s">
        <v>339</v>
      </c>
      <c r="L1" t="s">
        <v>340</v>
      </c>
      <c r="M1" t="s">
        <v>9</v>
      </c>
      <c r="N1" t="s">
        <v>10</v>
      </c>
    </row>
    <row r="2" spans="1:14" x14ac:dyDescent="0.35">
      <c r="A2" t="str">
        <f>CONCATENATE(B2,C2,D2,E2)</f>
        <v>AA4571948962420000</v>
      </c>
      <c r="B2" t="s">
        <v>354</v>
      </c>
      <c r="C2" s="1">
        <v>45719</v>
      </c>
      <c r="D2" t="str">
        <f>"489"</f>
        <v>489</v>
      </c>
      <c r="E2" t="str">
        <f t="shared" ref="E2:E19" si="0">"62420000"</f>
        <v>62420000</v>
      </c>
      <c r="F2" t="s">
        <v>369</v>
      </c>
      <c r="G2" t="s">
        <v>336</v>
      </c>
      <c r="H2" t="s">
        <v>5873</v>
      </c>
      <c r="I2">
        <v>0</v>
      </c>
      <c r="J2" t="s">
        <v>343</v>
      </c>
      <c r="K2">
        <v>15120</v>
      </c>
      <c r="M2">
        <v>15120</v>
      </c>
    </row>
    <row r="3" spans="1:14" x14ac:dyDescent="0.35">
      <c r="A3" t="str">
        <f t="shared" ref="A3:A66" si="1">CONCATENATE(B3,C3,D3,E3)</f>
        <v>AA4572048462420000</v>
      </c>
      <c r="B3" t="s">
        <v>354</v>
      </c>
      <c r="C3" s="1">
        <v>45720</v>
      </c>
      <c r="D3" t="str">
        <f>"484"</f>
        <v>484</v>
      </c>
      <c r="E3" t="str">
        <f t="shared" si="0"/>
        <v>62420000</v>
      </c>
      <c r="F3" t="s">
        <v>513</v>
      </c>
      <c r="G3" t="s">
        <v>336</v>
      </c>
      <c r="H3" t="s">
        <v>5874</v>
      </c>
      <c r="I3">
        <v>0</v>
      </c>
      <c r="J3" t="s">
        <v>343</v>
      </c>
      <c r="K3">
        <v>96000</v>
      </c>
      <c r="M3">
        <v>96000</v>
      </c>
    </row>
    <row r="4" spans="1:14" x14ac:dyDescent="0.35">
      <c r="A4" t="str">
        <f t="shared" si="1"/>
        <v>AA4572057862420000</v>
      </c>
      <c r="B4" t="s">
        <v>354</v>
      </c>
      <c r="C4" s="1">
        <v>45720</v>
      </c>
      <c r="D4" t="str">
        <f>"578"</f>
        <v>578</v>
      </c>
      <c r="E4" t="str">
        <f t="shared" si="0"/>
        <v>62420000</v>
      </c>
      <c r="F4" t="s">
        <v>515</v>
      </c>
      <c r="G4" t="s">
        <v>336</v>
      </c>
      <c r="H4" t="s">
        <v>5875</v>
      </c>
      <c r="I4">
        <v>0</v>
      </c>
      <c r="J4" t="s">
        <v>343</v>
      </c>
      <c r="K4">
        <v>450000</v>
      </c>
      <c r="M4">
        <v>450000</v>
      </c>
    </row>
    <row r="5" spans="1:14" x14ac:dyDescent="0.35">
      <c r="A5" t="str">
        <f t="shared" si="1"/>
        <v>AA4572254462420000</v>
      </c>
      <c r="B5" t="s">
        <v>354</v>
      </c>
      <c r="C5" s="1">
        <v>45722</v>
      </c>
      <c r="D5" t="str">
        <f>"544"</f>
        <v>544</v>
      </c>
      <c r="E5" t="str">
        <f t="shared" si="0"/>
        <v>62420000</v>
      </c>
      <c r="F5" t="s">
        <v>545</v>
      </c>
      <c r="G5" t="s">
        <v>336</v>
      </c>
      <c r="H5" t="s">
        <v>5876</v>
      </c>
      <c r="I5">
        <v>0</v>
      </c>
      <c r="J5" t="s">
        <v>343</v>
      </c>
      <c r="K5">
        <v>174900</v>
      </c>
      <c r="M5">
        <v>174900</v>
      </c>
    </row>
    <row r="6" spans="1:14" x14ac:dyDescent="0.35">
      <c r="A6" t="str">
        <f t="shared" si="1"/>
        <v>AA4572654062420000</v>
      </c>
      <c r="B6" t="s">
        <v>354</v>
      </c>
      <c r="C6" s="1">
        <v>45726</v>
      </c>
      <c r="D6" t="str">
        <f>"540"</f>
        <v>540</v>
      </c>
      <c r="E6" t="str">
        <f t="shared" si="0"/>
        <v>62420000</v>
      </c>
      <c r="F6" t="s">
        <v>679</v>
      </c>
      <c r="G6" t="s">
        <v>336</v>
      </c>
      <c r="H6" t="s">
        <v>5877</v>
      </c>
      <c r="I6">
        <v>0</v>
      </c>
      <c r="J6" t="s">
        <v>343</v>
      </c>
      <c r="K6">
        <v>103717</v>
      </c>
      <c r="M6">
        <v>103717</v>
      </c>
    </row>
    <row r="7" spans="1:14" x14ac:dyDescent="0.35">
      <c r="A7" t="str">
        <f t="shared" si="1"/>
        <v>AA4572654162420000</v>
      </c>
      <c r="B7" t="s">
        <v>354</v>
      </c>
      <c r="C7" s="1">
        <v>45726</v>
      </c>
      <c r="D7" t="str">
        <f>"541"</f>
        <v>541</v>
      </c>
      <c r="E7" t="str">
        <f t="shared" si="0"/>
        <v>62420000</v>
      </c>
      <c r="F7" t="s">
        <v>681</v>
      </c>
      <c r="G7" t="s">
        <v>336</v>
      </c>
      <c r="H7" t="s">
        <v>5878</v>
      </c>
      <c r="I7">
        <v>0</v>
      </c>
      <c r="J7" t="s">
        <v>343</v>
      </c>
      <c r="K7">
        <v>127119</v>
      </c>
      <c r="M7">
        <v>127119</v>
      </c>
    </row>
    <row r="8" spans="1:14" x14ac:dyDescent="0.35">
      <c r="A8" t="str">
        <f t="shared" si="1"/>
        <v>AA4572654262420000</v>
      </c>
      <c r="B8" t="s">
        <v>354</v>
      </c>
      <c r="C8" s="1">
        <v>45726</v>
      </c>
      <c r="D8" t="str">
        <f>"542"</f>
        <v>542</v>
      </c>
      <c r="E8" t="str">
        <f t="shared" si="0"/>
        <v>62420000</v>
      </c>
      <c r="F8" t="s">
        <v>683</v>
      </c>
      <c r="G8" t="s">
        <v>336</v>
      </c>
      <c r="H8" t="s">
        <v>5873</v>
      </c>
      <c r="I8">
        <v>0</v>
      </c>
      <c r="J8" t="s">
        <v>343</v>
      </c>
      <c r="K8">
        <v>656431</v>
      </c>
      <c r="M8">
        <v>656431</v>
      </c>
    </row>
    <row r="9" spans="1:14" x14ac:dyDescent="0.35">
      <c r="A9" t="str">
        <f t="shared" si="1"/>
        <v>AA4572654362420000</v>
      </c>
      <c r="B9" t="s">
        <v>354</v>
      </c>
      <c r="C9" s="1">
        <v>45726</v>
      </c>
      <c r="D9" t="str">
        <f>"543"</f>
        <v>543</v>
      </c>
      <c r="E9" t="str">
        <f t="shared" si="0"/>
        <v>62420000</v>
      </c>
      <c r="F9" t="s">
        <v>685</v>
      </c>
      <c r="G9" t="s">
        <v>336</v>
      </c>
      <c r="H9" t="s">
        <v>5879</v>
      </c>
      <c r="I9">
        <v>0</v>
      </c>
      <c r="J9" t="s">
        <v>343</v>
      </c>
      <c r="K9">
        <v>150388</v>
      </c>
      <c r="M9">
        <v>150388</v>
      </c>
    </row>
    <row r="10" spans="1:14" x14ac:dyDescent="0.35">
      <c r="A10" t="str">
        <f t="shared" si="1"/>
        <v>AA4573575462420000</v>
      </c>
      <c r="B10" t="s">
        <v>354</v>
      </c>
      <c r="C10" s="1">
        <v>45735</v>
      </c>
      <c r="D10" t="str">
        <f>"754"</f>
        <v>754</v>
      </c>
      <c r="E10" t="str">
        <f t="shared" si="0"/>
        <v>62420000</v>
      </c>
      <c r="F10" t="s">
        <v>911</v>
      </c>
      <c r="G10" t="s">
        <v>336</v>
      </c>
      <c r="H10" t="s">
        <v>5880</v>
      </c>
      <c r="I10">
        <v>0</v>
      </c>
      <c r="J10" t="s">
        <v>343</v>
      </c>
      <c r="K10">
        <v>48000</v>
      </c>
      <c r="M10">
        <v>48000</v>
      </c>
    </row>
    <row r="11" spans="1:14" x14ac:dyDescent="0.35">
      <c r="A11" t="str">
        <f t="shared" si="1"/>
        <v>AA4573575562420000</v>
      </c>
      <c r="B11" t="s">
        <v>354</v>
      </c>
      <c r="C11" s="1">
        <v>45735</v>
      </c>
      <c r="D11" t="str">
        <f>"755"</f>
        <v>755</v>
      </c>
      <c r="E11" t="str">
        <f t="shared" si="0"/>
        <v>62420000</v>
      </c>
      <c r="F11" t="s">
        <v>914</v>
      </c>
      <c r="G11" t="s">
        <v>336</v>
      </c>
      <c r="H11" t="s">
        <v>5880</v>
      </c>
      <c r="I11">
        <v>0</v>
      </c>
      <c r="J11" t="s">
        <v>343</v>
      </c>
      <c r="K11">
        <v>96000</v>
      </c>
      <c r="M11">
        <v>96000</v>
      </c>
    </row>
    <row r="12" spans="1:14" x14ac:dyDescent="0.35">
      <c r="A12" t="str">
        <f t="shared" si="1"/>
        <v>AA4573667462420000</v>
      </c>
      <c r="B12" t="s">
        <v>354</v>
      </c>
      <c r="C12" s="1">
        <v>45736</v>
      </c>
      <c r="D12" t="str">
        <f>"674"</f>
        <v>674</v>
      </c>
      <c r="E12" t="str">
        <f t="shared" si="0"/>
        <v>62420000</v>
      </c>
      <c r="F12" t="s">
        <v>921</v>
      </c>
      <c r="G12" t="s">
        <v>336</v>
      </c>
      <c r="H12" t="s">
        <v>5878</v>
      </c>
      <c r="I12">
        <v>0</v>
      </c>
      <c r="J12" t="s">
        <v>343</v>
      </c>
      <c r="K12">
        <v>208535</v>
      </c>
      <c r="M12">
        <v>208535</v>
      </c>
    </row>
    <row r="13" spans="1:14" x14ac:dyDescent="0.35">
      <c r="A13" t="str">
        <f t="shared" si="1"/>
        <v>AA4573667562420000</v>
      </c>
      <c r="B13" t="s">
        <v>354</v>
      </c>
      <c r="C13" s="1">
        <v>45736</v>
      </c>
      <c r="D13" t="str">
        <f>"675"</f>
        <v>675</v>
      </c>
      <c r="E13" t="str">
        <f t="shared" si="0"/>
        <v>62420000</v>
      </c>
      <c r="F13" t="s">
        <v>923</v>
      </c>
      <c r="G13" t="s">
        <v>336</v>
      </c>
      <c r="H13" t="s">
        <v>5879</v>
      </c>
      <c r="I13">
        <v>0</v>
      </c>
      <c r="J13" t="s">
        <v>343</v>
      </c>
      <c r="K13">
        <v>740804</v>
      </c>
      <c r="M13">
        <v>740804</v>
      </c>
    </row>
    <row r="14" spans="1:14" x14ac:dyDescent="0.35">
      <c r="A14" t="str">
        <f t="shared" si="1"/>
        <v>AA4573675862420000</v>
      </c>
      <c r="B14" t="s">
        <v>354</v>
      </c>
      <c r="C14" s="1">
        <v>45736</v>
      </c>
      <c r="D14" t="str">
        <f>"758"</f>
        <v>758</v>
      </c>
      <c r="E14" t="str">
        <f t="shared" si="0"/>
        <v>62420000</v>
      </c>
      <c r="F14" t="s">
        <v>936</v>
      </c>
      <c r="G14" t="s">
        <v>336</v>
      </c>
      <c r="H14" t="s">
        <v>5880</v>
      </c>
      <c r="I14">
        <v>0</v>
      </c>
      <c r="J14" t="s">
        <v>343</v>
      </c>
      <c r="K14">
        <v>121745</v>
      </c>
      <c r="M14">
        <v>121745</v>
      </c>
    </row>
    <row r="15" spans="1:14" x14ac:dyDescent="0.35">
      <c r="A15" t="str">
        <f t="shared" si="1"/>
        <v>AA4574076062420000</v>
      </c>
      <c r="B15" t="s">
        <v>354</v>
      </c>
      <c r="C15" s="1">
        <v>45740</v>
      </c>
      <c r="D15" t="str">
        <f>"760"</f>
        <v>760</v>
      </c>
      <c r="E15" t="str">
        <f t="shared" si="0"/>
        <v>62420000</v>
      </c>
      <c r="F15" t="s">
        <v>1002</v>
      </c>
      <c r="G15" t="s">
        <v>336</v>
      </c>
      <c r="H15" t="s">
        <v>5881</v>
      </c>
      <c r="I15">
        <v>0</v>
      </c>
      <c r="J15" t="s">
        <v>343</v>
      </c>
      <c r="K15">
        <v>1183955</v>
      </c>
      <c r="M15">
        <v>1183955</v>
      </c>
    </row>
    <row r="16" spans="1:14" x14ac:dyDescent="0.35">
      <c r="A16" t="str">
        <f t="shared" si="1"/>
        <v>AA4574172162420000</v>
      </c>
      <c r="B16" t="s">
        <v>354</v>
      </c>
      <c r="C16" s="1">
        <v>45741</v>
      </c>
      <c r="D16" t="str">
        <f>"721"</f>
        <v>721</v>
      </c>
      <c r="E16" t="str">
        <f t="shared" si="0"/>
        <v>62420000</v>
      </c>
      <c r="F16" t="s">
        <v>1035</v>
      </c>
      <c r="G16" t="s">
        <v>336</v>
      </c>
      <c r="H16" t="s">
        <v>5882</v>
      </c>
      <c r="I16">
        <v>0</v>
      </c>
      <c r="J16" t="s">
        <v>343</v>
      </c>
      <c r="K16">
        <v>200000</v>
      </c>
      <c r="M16">
        <v>200000</v>
      </c>
    </row>
    <row r="17" spans="1:14" x14ac:dyDescent="0.35">
      <c r="A17" t="str">
        <f t="shared" si="1"/>
        <v>AA4574172262420000</v>
      </c>
      <c r="B17" t="s">
        <v>354</v>
      </c>
      <c r="C17" s="1">
        <v>45741</v>
      </c>
      <c r="D17" t="str">
        <f>"722"</f>
        <v>722</v>
      </c>
      <c r="E17" t="str">
        <f t="shared" si="0"/>
        <v>62420000</v>
      </c>
      <c r="F17" t="s">
        <v>1038</v>
      </c>
      <c r="G17" t="s">
        <v>336</v>
      </c>
      <c r="H17" t="s">
        <v>5883</v>
      </c>
      <c r="I17">
        <v>0</v>
      </c>
      <c r="J17" t="s">
        <v>343</v>
      </c>
      <c r="K17">
        <v>680830</v>
      </c>
      <c r="M17">
        <v>680830</v>
      </c>
    </row>
    <row r="18" spans="1:14" x14ac:dyDescent="0.35">
      <c r="A18" t="str">
        <f t="shared" si="1"/>
        <v>AA4574172362420000</v>
      </c>
      <c r="B18" t="s">
        <v>354</v>
      </c>
      <c r="C18" s="1">
        <v>45741</v>
      </c>
      <c r="D18" t="str">
        <f>"723"</f>
        <v>723</v>
      </c>
      <c r="E18" t="str">
        <f t="shared" si="0"/>
        <v>62420000</v>
      </c>
      <c r="F18" t="s">
        <v>1041</v>
      </c>
      <c r="G18" t="s">
        <v>336</v>
      </c>
      <c r="H18" t="s">
        <v>5884</v>
      </c>
      <c r="I18">
        <v>0</v>
      </c>
      <c r="J18" t="s">
        <v>343</v>
      </c>
      <c r="K18">
        <v>200000</v>
      </c>
      <c r="M18">
        <v>200000</v>
      </c>
    </row>
    <row r="19" spans="1:14" x14ac:dyDescent="0.35">
      <c r="A19" t="str">
        <f t="shared" si="1"/>
        <v>AA4574172462420000</v>
      </c>
      <c r="B19" t="s">
        <v>354</v>
      </c>
      <c r="C19" s="1">
        <v>45741</v>
      </c>
      <c r="D19" t="str">
        <f>"724"</f>
        <v>724</v>
      </c>
      <c r="E19" t="str">
        <f t="shared" si="0"/>
        <v>62420000</v>
      </c>
      <c r="F19" t="s">
        <v>1044</v>
      </c>
      <c r="G19" t="s">
        <v>336</v>
      </c>
      <c r="H19" t="s">
        <v>5883</v>
      </c>
      <c r="I19">
        <v>0</v>
      </c>
      <c r="J19" t="s">
        <v>343</v>
      </c>
      <c r="K19">
        <v>680830</v>
      </c>
      <c r="M19">
        <v>680830</v>
      </c>
    </row>
    <row r="20" spans="1:14" x14ac:dyDescent="0.35">
      <c r="A20" t="str">
        <f t="shared" si="1"/>
        <v>ABN4571710762220000</v>
      </c>
      <c r="B20" t="s">
        <v>11</v>
      </c>
      <c r="C20" s="1">
        <v>45717</v>
      </c>
      <c r="D20" t="str">
        <f>"107"</f>
        <v>107</v>
      </c>
      <c r="E20" t="str">
        <f>"62220000"</f>
        <v>62220000</v>
      </c>
      <c r="F20" t="s">
        <v>1180</v>
      </c>
      <c r="G20" t="s">
        <v>336</v>
      </c>
      <c r="H20" t="s">
        <v>5882</v>
      </c>
      <c r="I20">
        <v>0</v>
      </c>
      <c r="J20" t="s">
        <v>343</v>
      </c>
      <c r="K20">
        <v>-17500000</v>
      </c>
      <c r="M20">
        <v>-17500000</v>
      </c>
    </row>
    <row r="21" spans="1:14" x14ac:dyDescent="0.35">
      <c r="A21" t="str">
        <f t="shared" si="1"/>
        <v>ABN4571720262220000</v>
      </c>
      <c r="B21" t="s">
        <v>11</v>
      </c>
      <c r="C21" s="1">
        <v>45717</v>
      </c>
      <c r="D21" t="str">
        <f>"202"</f>
        <v>202</v>
      </c>
      <c r="E21" t="str">
        <f>"62220000"</f>
        <v>62220000</v>
      </c>
      <c r="F21" t="s">
        <v>1180</v>
      </c>
      <c r="G21" t="s">
        <v>336</v>
      </c>
      <c r="H21" t="s">
        <v>5882</v>
      </c>
      <c r="I21">
        <v>0</v>
      </c>
      <c r="J21" t="s">
        <v>343</v>
      </c>
      <c r="K21">
        <v>-17500000</v>
      </c>
      <c r="M21">
        <v>-17500000</v>
      </c>
    </row>
    <row r="22" spans="1:14" x14ac:dyDescent="0.35">
      <c r="A22" t="str">
        <f t="shared" si="1"/>
        <v>ABN4571720375880000</v>
      </c>
      <c r="B22" t="s">
        <v>11</v>
      </c>
      <c r="C22" s="1">
        <v>45717</v>
      </c>
      <c r="D22" t="str">
        <f>"203"</f>
        <v>203</v>
      </c>
      <c r="E22" t="str">
        <f>"75880000"</f>
        <v>75880000</v>
      </c>
      <c r="F22" t="s">
        <v>1182</v>
      </c>
      <c r="G22" t="s">
        <v>5885</v>
      </c>
      <c r="H22" t="s">
        <v>350</v>
      </c>
      <c r="I22">
        <v>0</v>
      </c>
      <c r="J22" t="s">
        <v>343</v>
      </c>
      <c r="L22">
        <v>63343</v>
      </c>
      <c r="N22">
        <v>63343</v>
      </c>
    </row>
    <row r="23" spans="1:14" x14ac:dyDescent="0.35">
      <c r="A23" t="str">
        <f t="shared" si="1"/>
        <v>ABN4571720463430000</v>
      </c>
      <c r="B23" t="s">
        <v>11</v>
      </c>
      <c r="C23" s="1">
        <v>45717</v>
      </c>
      <c r="D23" t="str">
        <f>"204"</f>
        <v>204</v>
      </c>
      <c r="E23" t="str">
        <f>"63430000"</f>
        <v>63430000</v>
      </c>
      <c r="F23" t="s">
        <v>1184</v>
      </c>
      <c r="G23" t="s">
        <v>336</v>
      </c>
      <c r="H23" t="s">
        <v>347</v>
      </c>
      <c r="I23">
        <v>0</v>
      </c>
      <c r="J23" t="s">
        <v>343</v>
      </c>
      <c r="K23">
        <v>208333</v>
      </c>
      <c r="M23">
        <v>208333</v>
      </c>
    </row>
    <row r="24" spans="1:14" x14ac:dyDescent="0.35">
      <c r="A24" t="str">
        <f t="shared" si="1"/>
        <v>ABN4571720563430000</v>
      </c>
      <c r="B24" t="s">
        <v>11</v>
      </c>
      <c r="C24" s="1">
        <v>45717</v>
      </c>
      <c r="D24" t="str">
        <f>"205"</f>
        <v>205</v>
      </c>
      <c r="E24" t="str">
        <f>"63430000"</f>
        <v>63430000</v>
      </c>
      <c r="F24" t="s">
        <v>1187</v>
      </c>
      <c r="G24" t="s">
        <v>336</v>
      </c>
      <c r="H24" t="s">
        <v>342</v>
      </c>
      <c r="I24">
        <v>0</v>
      </c>
      <c r="J24" t="s">
        <v>343</v>
      </c>
      <c r="K24">
        <v>59225</v>
      </c>
      <c r="M24">
        <v>59225</v>
      </c>
    </row>
    <row r="25" spans="1:14" x14ac:dyDescent="0.35">
      <c r="A25" t="str">
        <f t="shared" si="1"/>
        <v>ABN4571720666850010</v>
      </c>
      <c r="B25" t="s">
        <v>11</v>
      </c>
      <c r="C25" s="1">
        <v>45717</v>
      </c>
      <c r="D25" t="str">
        <f>"206"</f>
        <v>206</v>
      </c>
      <c r="E25" t="str">
        <f>"66850010"</f>
        <v>66850010</v>
      </c>
      <c r="F25" t="s">
        <v>1188</v>
      </c>
      <c r="G25" t="s">
        <v>336</v>
      </c>
      <c r="H25" t="s">
        <v>5886</v>
      </c>
      <c r="I25">
        <v>0</v>
      </c>
      <c r="J25" t="s">
        <v>343</v>
      </c>
      <c r="K25">
        <v>137482</v>
      </c>
      <c r="M25">
        <v>137482</v>
      </c>
    </row>
    <row r="26" spans="1:14" x14ac:dyDescent="0.35">
      <c r="A26" t="str">
        <f t="shared" si="1"/>
        <v>ABN4571720763430000</v>
      </c>
      <c r="B26" t="s">
        <v>11</v>
      </c>
      <c r="C26" s="1">
        <v>45717</v>
      </c>
      <c r="D26" t="str">
        <f>"207"</f>
        <v>207</v>
      </c>
      <c r="E26" t="str">
        <f>"63430000"</f>
        <v>63430000</v>
      </c>
      <c r="F26" t="s">
        <v>1190</v>
      </c>
      <c r="G26" t="s">
        <v>336</v>
      </c>
      <c r="H26" t="s">
        <v>5887</v>
      </c>
      <c r="I26">
        <v>0</v>
      </c>
      <c r="J26" t="s">
        <v>343</v>
      </c>
      <c r="K26">
        <v>220139</v>
      </c>
      <c r="M26">
        <v>290670</v>
      </c>
    </row>
    <row r="27" spans="1:14" x14ac:dyDescent="0.35">
      <c r="A27" t="str">
        <f t="shared" si="1"/>
        <v>ABN4571720763430000</v>
      </c>
      <c r="B27" t="s">
        <v>11</v>
      </c>
      <c r="C27" s="1">
        <v>45717</v>
      </c>
      <c r="D27" t="str">
        <f>"207"</f>
        <v>207</v>
      </c>
      <c r="E27" t="str">
        <f>"63430000"</f>
        <v>63430000</v>
      </c>
      <c r="F27" t="s">
        <v>1190</v>
      </c>
      <c r="G27" t="s">
        <v>336</v>
      </c>
      <c r="H27" t="s">
        <v>347</v>
      </c>
      <c r="I27">
        <v>0</v>
      </c>
      <c r="J27" t="s">
        <v>343</v>
      </c>
      <c r="K27">
        <v>70531</v>
      </c>
      <c r="M27">
        <v>290670</v>
      </c>
    </row>
    <row r="28" spans="1:14" x14ac:dyDescent="0.35">
      <c r="A28" t="str">
        <f t="shared" si="1"/>
        <v>ABN4571720866381000</v>
      </c>
      <c r="B28" t="s">
        <v>11</v>
      </c>
      <c r="C28" s="1">
        <v>45717</v>
      </c>
      <c r="D28" t="str">
        <f>"208"</f>
        <v>208</v>
      </c>
      <c r="E28" t="str">
        <f>"66381000"</f>
        <v>66381000</v>
      </c>
      <c r="F28" t="s">
        <v>1192</v>
      </c>
      <c r="G28" t="s">
        <v>336</v>
      </c>
      <c r="H28" t="s">
        <v>5888</v>
      </c>
      <c r="I28">
        <v>0</v>
      </c>
      <c r="J28" t="s">
        <v>343</v>
      </c>
      <c r="K28">
        <v>250000</v>
      </c>
      <c r="M28">
        <v>250000</v>
      </c>
    </row>
    <row r="29" spans="1:14" x14ac:dyDescent="0.35">
      <c r="A29" t="str">
        <f t="shared" si="1"/>
        <v>ABN4571720963430000</v>
      </c>
      <c r="B29" t="s">
        <v>11</v>
      </c>
      <c r="C29" s="1">
        <v>45717</v>
      </c>
      <c r="D29" t="str">
        <f>"209"</f>
        <v>209</v>
      </c>
      <c r="E29" t="str">
        <f>"63430000"</f>
        <v>63430000</v>
      </c>
      <c r="F29" t="s">
        <v>1194</v>
      </c>
      <c r="G29" t="s">
        <v>336</v>
      </c>
      <c r="H29" t="s">
        <v>5889</v>
      </c>
      <c r="I29">
        <v>0</v>
      </c>
      <c r="J29" t="s">
        <v>343</v>
      </c>
      <c r="K29">
        <v>863677</v>
      </c>
      <c r="M29">
        <v>863677</v>
      </c>
    </row>
    <row r="30" spans="1:14" x14ac:dyDescent="0.35">
      <c r="A30" t="str">
        <f t="shared" si="1"/>
        <v>ABN4571721064630100</v>
      </c>
      <c r="B30" t="s">
        <v>11</v>
      </c>
      <c r="C30" s="1">
        <v>45717</v>
      </c>
      <c r="D30" t="str">
        <f t="shared" ref="D30:D40" si="2">"210"</f>
        <v>210</v>
      </c>
      <c r="E30" t="str">
        <f t="shared" ref="E30:E43" si="3">"64630100"</f>
        <v>64630100</v>
      </c>
      <c r="F30" t="s">
        <v>1196</v>
      </c>
      <c r="G30" t="s">
        <v>336</v>
      </c>
      <c r="H30" t="s">
        <v>5873</v>
      </c>
      <c r="I30">
        <v>0</v>
      </c>
      <c r="J30" t="s">
        <v>343</v>
      </c>
      <c r="K30">
        <v>17000</v>
      </c>
      <c r="M30">
        <v>1026000</v>
      </c>
    </row>
    <row r="31" spans="1:14" x14ac:dyDescent="0.35">
      <c r="A31" t="str">
        <f t="shared" si="1"/>
        <v>ABN4571721064630100</v>
      </c>
      <c r="B31" t="s">
        <v>11</v>
      </c>
      <c r="C31" s="1">
        <v>45717</v>
      </c>
      <c r="D31" t="str">
        <f t="shared" si="2"/>
        <v>210</v>
      </c>
      <c r="E31" t="str">
        <f t="shared" si="3"/>
        <v>64630100</v>
      </c>
      <c r="F31" t="s">
        <v>1196</v>
      </c>
      <c r="G31" t="s">
        <v>336</v>
      </c>
      <c r="H31" t="s">
        <v>5890</v>
      </c>
      <c r="I31">
        <v>0</v>
      </c>
      <c r="J31" t="s">
        <v>343</v>
      </c>
      <c r="K31">
        <v>2000</v>
      </c>
      <c r="M31">
        <v>1026000</v>
      </c>
    </row>
    <row r="32" spans="1:14" x14ac:dyDescent="0.35">
      <c r="A32" t="str">
        <f t="shared" si="1"/>
        <v>ABN4571721064630100</v>
      </c>
      <c r="B32" t="s">
        <v>11</v>
      </c>
      <c r="C32" s="1">
        <v>45717</v>
      </c>
      <c r="D32" t="str">
        <f t="shared" si="2"/>
        <v>210</v>
      </c>
      <c r="E32" t="str">
        <f t="shared" si="3"/>
        <v>64630100</v>
      </c>
      <c r="F32" t="s">
        <v>1196</v>
      </c>
      <c r="G32" t="s">
        <v>336</v>
      </c>
      <c r="H32" t="s">
        <v>5878</v>
      </c>
      <c r="I32">
        <v>0</v>
      </c>
      <c r="J32" t="s">
        <v>343</v>
      </c>
      <c r="K32">
        <v>1000</v>
      </c>
      <c r="M32">
        <v>1026000</v>
      </c>
    </row>
    <row r="33" spans="1:13" x14ac:dyDescent="0.35">
      <c r="A33" t="str">
        <f t="shared" si="1"/>
        <v>ABN4571721064630100</v>
      </c>
      <c r="B33" t="s">
        <v>11</v>
      </c>
      <c r="C33" s="1">
        <v>45717</v>
      </c>
      <c r="D33" t="str">
        <f t="shared" si="2"/>
        <v>210</v>
      </c>
      <c r="E33" t="str">
        <f t="shared" si="3"/>
        <v>64630100</v>
      </c>
      <c r="F33" t="s">
        <v>1196</v>
      </c>
      <c r="G33" t="s">
        <v>336</v>
      </c>
      <c r="H33" t="s">
        <v>5891</v>
      </c>
      <c r="I33">
        <v>0</v>
      </c>
      <c r="J33" t="s">
        <v>343</v>
      </c>
      <c r="K33">
        <v>70000</v>
      </c>
      <c r="M33">
        <v>1026000</v>
      </c>
    </row>
    <row r="34" spans="1:13" x14ac:dyDescent="0.35">
      <c r="A34" t="str">
        <f t="shared" si="1"/>
        <v>ABN4571721064630100</v>
      </c>
      <c r="B34" t="s">
        <v>11</v>
      </c>
      <c r="C34" s="1">
        <v>45717</v>
      </c>
      <c r="D34" t="str">
        <f t="shared" si="2"/>
        <v>210</v>
      </c>
      <c r="E34" t="str">
        <f t="shared" si="3"/>
        <v>64630100</v>
      </c>
      <c r="F34" t="s">
        <v>1196</v>
      </c>
      <c r="G34" t="s">
        <v>336</v>
      </c>
      <c r="H34" t="s">
        <v>5892</v>
      </c>
      <c r="I34">
        <v>0</v>
      </c>
      <c r="J34" t="s">
        <v>343</v>
      </c>
      <c r="K34">
        <v>22000</v>
      </c>
      <c r="M34">
        <v>1026000</v>
      </c>
    </row>
    <row r="35" spans="1:13" x14ac:dyDescent="0.35">
      <c r="A35" t="str">
        <f t="shared" si="1"/>
        <v>ABN4571721064630100</v>
      </c>
      <c r="B35" t="s">
        <v>11</v>
      </c>
      <c r="C35" s="1">
        <v>45717</v>
      </c>
      <c r="D35" t="str">
        <f t="shared" si="2"/>
        <v>210</v>
      </c>
      <c r="E35" t="str">
        <f t="shared" si="3"/>
        <v>64630100</v>
      </c>
      <c r="F35" t="s">
        <v>1196</v>
      </c>
      <c r="G35" t="s">
        <v>336</v>
      </c>
      <c r="H35" t="s">
        <v>5893</v>
      </c>
      <c r="I35">
        <v>0</v>
      </c>
      <c r="J35" t="s">
        <v>343</v>
      </c>
      <c r="K35">
        <v>1000</v>
      </c>
      <c r="M35">
        <v>1026000</v>
      </c>
    </row>
    <row r="36" spans="1:13" x14ac:dyDescent="0.35">
      <c r="A36" t="str">
        <f t="shared" si="1"/>
        <v>ABN4571721064630100</v>
      </c>
      <c r="B36" t="s">
        <v>11</v>
      </c>
      <c r="C36" s="1">
        <v>45717</v>
      </c>
      <c r="D36" t="str">
        <f t="shared" si="2"/>
        <v>210</v>
      </c>
      <c r="E36" t="str">
        <f t="shared" si="3"/>
        <v>64630100</v>
      </c>
      <c r="F36" t="s">
        <v>1196</v>
      </c>
      <c r="G36" t="s">
        <v>336</v>
      </c>
      <c r="H36" t="s">
        <v>5894</v>
      </c>
      <c r="I36">
        <v>0</v>
      </c>
      <c r="J36" t="s">
        <v>343</v>
      </c>
      <c r="K36">
        <v>311000</v>
      </c>
      <c r="M36">
        <v>1026000</v>
      </c>
    </row>
    <row r="37" spans="1:13" x14ac:dyDescent="0.35">
      <c r="A37" t="str">
        <f t="shared" si="1"/>
        <v>ABN4571721064630100</v>
      </c>
      <c r="B37" t="s">
        <v>11</v>
      </c>
      <c r="C37" s="1">
        <v>45717</v>
      </c>
      <c r="D37" t="str">
        <f t="shared" si="2"/>
        <v>210</v>
      </c>
      <c r="E37" t="str">
        <f t="shared" si="3"/>
        <v>64630100</v>
      </c>
      <c r="F37" t="s">
        <v>1196</v>
      </c>
      <c r="G37" t="s">
        <v>336</v>
      </c>
      <c r="H37" t="s">
        <v>5895</v>
      </c>
      <c r="I37">
        <v>0</v>
      </c>
      <c r="J37" t="s">
        <v>343</v>
      </c>
      <c r="K37">
        <v>114000</v>
      </c>
      <c r="M37">
        <v>1026000</v>
      </c>
    </row>
    <row r="38" spans="1:13" x14ac:dyDescent="0.35">
      <c r="A38" t="str">
        <f t="shared" si="1"/>
        <v>ABN4571721064630100</v>
      </c>
      <c r="B38" t="s">
        <v>11</v>
      </c>
      <c r="C38" s="1">
        <v>45717</v>
      </c>
      <c r="D38" t="str">
        <f t="shared" si="2"/>
        <v>210</v>
      </c>
      <c r="E38" t="str">
        <f t="shared" si="3"/>
        <v>64630100</v>
      </c>
      <c r="F38" t="s">
        <v>1196</v>
      </c>
      <c r="G38" t="s">
        <v>336</v>
      </c>
      <c r="H38" t="s">
        <v>5896</v>
      </c>
      <c r="I38">
        <v>0</v>
      </c>
      <c r="J38" t="s">
        <v>343</v>
      </c>
      <c r="K38">
        <v>188000</v>
      </c>
      <c r="M38">
        <v>1026000</v>
      </c>
    </row>
    <row r="39" spans="1:13" x14ac:dyDescent="0.35">
      <c r="A39" t="str">
        <f t="shared" si="1"/>
        <v>ABN4571721064630100</v>
      </c>
      <c r="B39" t="s">
        <v>11</v>
      </c>
      <c r="C39" s="1">
        <v>45717</v>
      </c>
      <c r="D39" t="str">
        <f t="shared" si="2"/>
        <v>210</v>
      </c>
      <c r="E39" t="str">
        <f t="shared" si="3"/>
        <v>64630100</v>
      </c>
      <c r="F39" t="s">
        <v>1196</v>
      </c>
      <c r="G39" t="s">
        <v>336</v>
      </c>
      <c r="H39" t="s">
        <v>5897</v>
      </c>
      <c r="I39">
        <v>0</v>
      </c>
      <c r="J39" t="s">
        <v>343</v>
      </c>
      <c r="K39">
        <v>292000</v>
      </c>
      <c r="M39">
        <v>1026000</v>
      </c>
    </row>
    <row r="40" spans="1:13" x14ac:dyDescent="0.35">
      <c r="A40" t="str">
        <f t="shared" si="1"/>
        <v>ABN4571721064630100</v>
      </c>
      <c r="B40" t="s">
        <v>11</v>
      </c>
      <c r="C40" s="1">
        <v>45717</v>
      </c>
      <c r="D40" t="str">
        <f t="shared" si="2"/>
        <v>210</v>
      </c>
      <c r="E40" t="str">
        <f t="shared" si="3"/>
        <v>64630100</v>
      </c>
      <c r="F40" t="s">
        <v>1196</v>
      </c>
      <c r="G40" t="s">
        <v>336</v>
      </c>
      <c r="H40" t="s">
        <v>5898</v>
      </c>
      <c r="I40">
        <v>0</v>
      </c>
      <c r="J40" t="s">
        <v>343</v>
      </c>
      <c r="K40">
        <v>8000</v>
      </c>
      <c r="M40">
        <v>1026000</v>
      </c>
    </row>
    <row r="41" spans="1:13" x14ac:dyDescent="0.35">
      <c r="A41" t="str">
        <f t="shared" si="1"/>
        <v>ABN4571721164630100</v>
      </c>
      <c r="B41" t="s">
        <v>11</v>
      </c>
      <c r="C41" s="1">
        <v>45717</v>
      </c>
      <c r="D41" t="str">
        <f>"211"</f>
        <v>211</v>
      </c>
      <c r="E41" t="str">
        <f t="shared" si="3"/>
        <v>64630100</v>
      </c>
      <c r="F41" t="s">
        <v>1198</v>
      </c>
      <c r="G41" t="s">
        <v>336</v>
      </c>
      <c r="H41" t="s">
        <v>5899</v>
      </c>
      <c r="I41">
        <v>0</v>
      </c>
      <c r="J41" t="s">
        <v>343</v>
      </c>
      <c r="K41">
        <v>52708</v>
      </c>
      <c r="M41">
        <v>52708</v>
      </c>
    </row>
    <row r="42" spans="1:13" x14ac:dyDescent="0.35">
      <c r="A42" t="str">
        <f t="shared" si="1"/>
        <v>ABN4571721264630100</v>
      </c>
      <c r="B42" t="s">
        <v>11</v>
      </c>
      <c r="C42" s="1">
        <v>45717</v>
      </c>
      <c r="D42" t="str">
        <f>"212"</f>
        <v>212</v>
      </c>
      <c r="E42" t="str">
        <f t="shared" si="3"/>
        <v>64630100</v>
      </c>
      <c r="F42" t="s">
        <v>1199</v>
      </c>
      <c r="G42" t="s">
        <v>336</v>
      </c>
      <c r="H42" t="s">
        <v>5900</v>
      </c>
      <c r="I42">
        <v>0</v>
      </c>
      <c r="J42" t="s">
        <v>343</v>
      </c>
      <c r="K42">
        <v>128166</v>
      </c>
      <c r="M42">
        <v>130333</v>
      </c>
    </row>
    <row r="43" spans="1:13" x14ac:dyDescent="0.35">
      <c r="A43" t="str">
        <f t="shared" si="1"/>
        <v>ABN4571721264630100</v>
      </c>
      <c r="B43" t="s">
        <v>11</v>
      </c>
      <c r="C43" s="1">
        <v>45717</v>
      </c>
      <c r="D43" t="str">
        <f>"212"</f>
        <v>212</v>
      </c>
      <c r="E43" t="str">
        <f t="shared" si="3"/>
        <v>64630100</v>
      </c>
      <c r="F43" t="s">
        <v>1199</v>
      </c>
      <c r="G43" t="s">
        <v>336</v>
      </c>
      <c r="H43" t="s">
        <v>5901</v>
      </c>
      <c r="I43">
        <v>0</v>
      </c>
      <c r="J43" t="s">
        <v>343</v>
      </c>
      <c r="K43">
        <v>2167</v>
      </c>
      <c r="M43">
        <v>130333</v>
      </c>
    </row>
    <row r="44" spans="1:13" x14ac:dyDescent="0.35">
      <c r="A44" t="str">
        <f t="shared" si="1"/>
        <v>ABN4571721366850010</v>
      </c>
      <c r="B44" t="s">
        <v>11</v>
      </c>
      <c r="C44" s="1">
        <v>45717</v>
      </c>
      <c r="D44" t="str">
        <f>"213"</f>
        <v>213</v>
      </c>
      <c r="E44" t="str">
        <f>"66850010"</f>
        <v>66850010</v>
      </c>
      <c r="F44" t="s">
        <v>1202</v>
      </c>
      <c r="G44" t="s">
        <v>336</v>
      </c>
      <c r="H44" t="s">
        <v>5886</v>
      </c>
      <c r="I44">
        <v>0</v>
      </c>
      <c r="J44" t="s">
        <v>343</v>
      </c>
      <c r="K44">
        <v>558875</v>
      </c>
      <c r="M44">
        <v>1105288</v>
      </c>
    </row>
    <row r="45" spans="1:13" x14ac:dyDescent="0.35">
      <c r="A45" t="str">
        <f t="shared" si="1"/>
        <v>ABN4571721366850010</v>
      </c>
      <c r="B45" t="s">
        <v>11</v>
      </c>
      <c r="C45" s="1">
        <v>45717</v>
      </c>
      <c r="D45" t="str">
        <f>"213"</f>
        <v>213</v>
      </c>
      <c r="E45" t="str">
        <f>"66850010"</f>
        <v>66850010</v>
      </c>
      <c r="F45" t="s">
        <v>1202</v>
      </c>
      <c r="G45" t="s">
        <v>336</v>
      </c>
      <c r="H45" t="s">
        <v>5902</v>
      </c>
      <c r="I45">
        <v>0</v>
      </c>
      <c r="J45" t="s">
        <v>343</v>
      </c>
      <c r="K45">
        <v>546413</v>
      </c>
      <c r="M45">
        <v>1105288</v>
      </c>
    </row>
    <row r="46" spans="1:13" x14ac:dyDescent="0.35">
      <c r="A46" t="str">
        <f t="shared" si="1"/>
        <v>ABN4571721466410000</v>
      </c>
      <c r="B46" t="s">
        <v>11</v>
      </c>
      <c r="C46" s="1">
        <v>45717</v>
      </c>
      <c r="D46" t="str">
        <f>"214"</f>
        <v>214</v>
      </c>
      <c r="E46" t="str">
        <f>"66410000"</f>
        <v>66410000</v>
      </c>
      <c r="F46" t="s">
        <v>1204</v>
      </c>
      <c r="G46" t="s">
        <v>336</v>
      </c>
      <c r="H46" t="s">
        <v>5903</v>
      </c>
      <c r="I46">
        <v>0</v>
      </c>
      <c r="J46" t="s">
        <v>343</v>
      </c>
      <c r="K46">
        <v>6000000</v>
      </c>
      <c r="M46">
        <v>6000000</v>
      </c>
    </row>
    <row r="47" spans="1:13" x14ac:dyDescent="0.35">
      <c r="A47" t="str">
        <f t="shared" si="1"/>
        <v>ABN4571721563270000</v>
      </c>
      <c r="B47" t="s">
        <v>11</v>
      </c>
      <c r="C47" s="1">
        <v>45717</v>
      </c>
      <c r="D47" t="str">
        <f>"215"</f>
        <v>215</v>
      </c>
      <c r="E47" t="str">
        <f>"63270000"</f>
        <v>63270000</v>
      </c>
      <c r="F47" t="s">
        <v>1206</v>
      </c>
      <c r="G47" t="s">
        <v>336</v>
      </c>
      <c r="H47" t="s">
        <v>347</v>
      </c>
      <c r="I47">
        <v>0</v>
      </c>
      <c r="J47" t="s">
        <v>343</v>
      </c>
      <c r="K47">
        <v>345000</v>
      </c>
      <c r="M47">
        <v>345000</v>
      </c>
    </row>
    <row r="48" spans="1:13" x14ac:dyDescent="0.35">
      <c r="A48" t="str">
        <f t="shared" si="1"/>
        <v>ABN4571721663271000</v>
      </c>
      <c r="B48" t="s">
        <v>11</v>
      </c>
      <c r="C48" s="1">
        <v>45717</v>
      </c>
      <c r="D48" t="str">
        <f>"216"</f>
        <v>216</v>
      </c>
      <c r="E48" t="str">
        <f>"63271000"</f>
        <v>63271000</v>
      </c>
      <c r="F48" t="s">
        <v>1208</v>
      </c>
      <c r="G48" t="s">
        <v>336</v>
      </c>
      <c r="H48" t="s">
        <v>5904</v>
      </c>
      <c r="I48">
        <v>0</v>
      </c>
      <c r="J48" t="s">
        <v>343</v>
      </c>
      <c r="K48">
        <v>600000</v>
      </c>
      <c r="M48">
        <v>600000</v>
      </c>
    </row>
    <row r="49" spans="1:13" x14ac:dyDescent="0.35">
      <c r="A49" t="str">
        <f t="shared" si="1"/>
        <v>ABN4571721763271000</v>
      </c>
      <c r="B49" t="s">
        <v>11</v>
      </c>
      <c r="C49" s="1">
        <v>45717</v>
      </c>
      <c r="D49" t="str">
        <f>"217"</f>
        <v>217</v>
      </c>
      <c r="E49" t="str">
        <f>"63271000"</f>
        <v>63271000</v>
      </c>
      <c r="F49" t="s">
        <v>1210</v>
      </c>
      <c r="G49" t="s">
        <v>336</v>
      </c>
      <c r="H49" t="s">
        <v>5883</v>
      </c>
      <c r="I49">
        <v>0</v>
      </c>
      <c r="J49" t="s">
        <v>343</v>
      </c>
      <c r="K49">
        <v>400000</v>
      </c>
      <c r="M49">
        <v>400000</v>
      </c>
    </row>
    <row r="50" spans="1:13" x14ac:dyDescent="0.35">
      <c r="A50" t="str">
        <f t="shared" si="1"/>
        <v>ABN4571721863240000</v>
      </c>
      <c r="B50" t="s">
        <v>11</v>
      </c>
      <c r="C50" s="1">
        <v>45717</v>
      </c>
      <c r="D50" t="str">
        <f>"218"</f>
        <v>218</v>
      </c>
      <c r="E50" t="str">
        <f>"63240000"</f>
        <v>63240000</v>
      </c>
      <c r="F50" t="s">
        <v>1212</v>
      </c>
      <c r="G50" t="s">
        <v>336</v>
      </c>
      <c r="H50" t="s">
        <v>342</v>
      </c>
      <c r="I50">
        <v>0</v>
      </c>
      <c r="J50" t="s">
        <v>343</v>
      </c>
      <c r="K50">
        <v>700000</v>
      </c>
      <c r="M50">
        <v>700000</v>
      </c>
    </row>
    <row r="51" spans="1:13" x14ac:dyDescent="0.35">
      <c r="A51" t="str">
        <f t="shared" si="1"/>
        <v>ABN4571721962880000</v>
      </c>
      <c r="B51" t="s">
        <v>11</v>
      </c>
      <c r="C51" s="1">
        <v>45717</v>
      </c>
      <c r="D51" t="str">
        <f>"219"</f>
        <v>219</v>
      </c>
      <c r="E51" t="str">
        <f>"62880000"</f>
        <v>62880000</v>
      </c>
      <c r="F51" t="s">
        <v>1213</v>
      </c>
      <c r="G51" t="s">
        <v>336</v>
      </c>
      <c r="H51" t="s">
        <v>5905</v>
      </c>
      <c r="I51">
        <v>0</v>
      </c>
      <c r="J51" t="s">
        <v>343</v>
      </c>
      <c r="K51">
        <v>86821</v>
      </c>
      <c r="M51">
        <v>86821</v>
      </c>
    </row>
    <row r="52" spans="1:13" x14ac:dyDescent="0.35">
      <c r="A52" t="str">
        <f t="shared" si="1"/>
        <v>ABN4571722062880000</v>
      </c>
      <c r="B52" t="s">
        <v>11</v>
      </c>
      <c r="C52" s="1">
        <v>45717</v>
      </c>
      <c r="D52" t="str">
        <f>"220"</f>
        <v>220</v>
      </c>
      <c r="E52" t="str">
        <f>"62880000"</f>
        <v>62880000</v>
      </c>
      <c r="F52" t="s">
        <v>1214</v>
      </c>
      <c r="G52" t="s">
        <v>336</v>
      </c>
      <c r="H52" t="s">
        <v>5905</v>
      </c>
      <c r="I52">
        <v>0</v>
      </c>
      <c r="J52" t="s">
        <v>343</v>
      </c>
      <c r="K52">
        <v>1430000</v>
      </c>
      <c r="M52">
        <v>1430000</v>
      </c>
    </row>
    <row r="53" spans="1:13" x14ac:dyDescent="0.35">
      <c r="A53" t="str">
        <f t="shared" si="1"/>
        <v>ABN4571722162220000</v>
      </c>
      <c r="B53" t="s">
        <v>11</v>
      </c>
      <c r="C53" s="1">
        <v>45717</v>
      </c>
      <c r="D53" t="str">
        <f>"221"</f>
        <v>221</v>
      </c>
      <c r="E53" t="str">
        <f>"62220000"</f>
        <v>62220000</v>
      </c>
      <c r="F53" t="s">
        <v>1217</v>
      </c>
      <c r="G53" t="s">
        <v>336</v>
      </c>
      <c r="H53" t="s">
        <v>5906</v>
      </c>
      <c r="I53">
        <v>0</v>
      </c>
      <c r="J53" t="s">
        <v>343</v>
      </c>
      <c r="K53">
        <v>240000</v>
      </c>
      <c r="M53">
        <v>240000</v>
      </c>
    </row>
    <row r="54" spans="1:13" x14ac:dyDescent="0.35">
      <c r="A54" t="str">
        <f t="shared" si="1"/>
        <v>ABN4571722262582000</v>
      </c>
      <c r="B54" t="s">
        <v>11</v>
      </c>
      <c r="C54" s="1">
        <v>45717</v>
      </c>
      <c r="D54" t="str">
        <f>"222"</f>
        <v>222</v>
      </c>
      <c r="E54" t="str">
        <f>"62582000"</f>
        <v>62582000</v>
      </c>
      <c r="F54" t="s">
        <v>1219</v>
      </c>
      <c r="G54" t="s">
        <v>336</v>
      </c>
      <c r="H54" t="s">
        <v>5907</v>
      </c>
      <c r="I54">
        <v>0</v>
      </c>
      <c r="J54" t="s">
        <v>343</v>
      </c>
      <c r="K54">
        <v>24650</v>
      </c>
      <c r="M54">
        <v>24650</v>
      </c>
    </row>
    <row r="55" spans="1:13" x14ac:dyDescent="0.35">
      <c r="A55" t="str">
        <f t="shared" si="1"/>
        <v>ABN4571722362582000</v>
      </c>
      <c r="B55" t="s">
        <v>11</v>
      </c>
      <c r="C55" s="1">
        <v>45717</v>
      </c>
      <c r="D55" t="str">
        <f>"223"</f>
        <v>223</v>
      </c>
      <c r="E55" t="str">
        <f>"62582000"</f>
        <v>62582000</v>
      </c>
      <c r="F55" t="s">
        <v>1220</v>
      </c>
      <c r="G55" t="s">
        <v>336</v>
      </c>
      <c r="H55" t="s">
        <v>342</v>
      </c>
      <c r="I55">
        <v>0</v>
      </c>
      <c r="J55" t="s">
        <v>343</v>
      </c>
      <c r="K55">
        <v>176942</v>
      </c>
      <c r="M55">
        <v>176942</v>
      </c>
    </row>
    <row r="56" spans="1:13" x14ac:dyDescent="0.35">
      <c r="A56" t="str">
        <f t="shared" si="1"/>
        <v>ABN4571722466381000</v>
      </c>
      <c r="B56" t="s">
        <v>11</v>
      </c>
      <c r="C56" s="1">
        <v>45717</v>
      </c>
      <c r="D56" t="str">
        <f>"224"</f>
        <v>224</v>
      </c>
      <c r="E56" t="str">
        <f>"66381000"</f>
        <v>66381000</v>
      </c>
      <c r="F56" t="s">
        <v>1222</v>
      </c>
      <c r="G56" t="s">
        <v>336</v>
      </c>
      <c r="H56" t="s">
        <v>5902</v>
      </c>
      <c r="I56">
        <v>0</v>
      </c>
      <c r="J56" t="s">
        <v>343</v>
      </c>
      <c r="K56">
        <v>15589</v>
      </c>
      <c r="M56">
        <v>15589</v>
      </c>
    </row>
    <row r="57" spans="1:13" x14ac:dyDescent="0.35">
      <c r="A57" t="str">
        <f t="shared" si="1"/>
        <v>ABN4571722564121000</v>
      </c>
      <c r="B57" t="s">
        <v>11</v>
      </c>
      <c r="C57" s="1">
        <v>45717</v>
      </c>
      <c r="D57" t="str">
        <f t="shared" ref="D57:D69" si="4">"225"</f>
        <v>225</v>
      </c>
      <c r="E57" t="str">
        <f t="shared" ref="E57:E69" si="5">"64121000"</f>
        <v>64121000</v>
      </c>
      <c r="F57" t="s">
        <v>1223</v>
      </c>
      <c r="G57" t="s">
        <v>336</v>
      </c>
      <c r="H57" t="s">
        <v>5873</v>
      </c>
      <c r="I57">
        <v>0</v>
      </c>
      <c r="J57" t="s">
        <v>343</v>
      </c>
      <c r="K57">
        <v>30333</v>
      </c>
      <c r="M57">
        <v>3413578</v>
      </c>
    </row>
    <row r="58" spans="1:13" x14ac:dyDescent="0.35">
      <c r="A58" t="str">
        <f t="shared" si="1"/>
        <v>ABN4571722564121000</v>
      </c>
      <c r="B58" t="s">
        <v>11</v>
      </c>
      <c r="C58" s="1">
        <v>45717</v>
      </c>
      <c r="D58" t="str">
        <f t="shared" si="4"/>
        <v>225</v>
      </c>
      <c r="E58" t="str">
        <f t="shared" si="5"/>
        <v>64121000</v>
      </c>
      <c r="F58" t="s">
        <v>1223</v>
      </c>
      <c r="G58" t="s">
        <v>336</v>
      </c>
      <c r="H58" t="s">
        <v>5890</v>
      </c>
      <c r="I58">
        <v>0</v>
      </c>
      <c r="J58" t="s">
        <v>343</v>
      </c>
      <c r="K58">
        <v>4000</v>
      </c>
      <c r="M58">
        <v>3413578</v>
      </c>
    </row>
    <row r="59" spans="1:13" x14ac:dyDescent="0.35">
      <c r="A59" t="str">
        <f t="shared" si="1"/>
        <v>ABN4571722564121000</v>
      </c>
      <c r="B59" t="s">
        <v>11</v>
      </c>
      <c r="C59" s="1">
        <v>45717</v>
      </c>
      <c r="D59" t="str">
        <f t="shared" si="4"/>
        <v>225</v>
      </c>
      <c r="E59" t="str">
        <f t="shared" si="5"/>
        <v>64121000</v>
      </c>
      <c r="F59" t="s">
        <v>1223</v>
      </c>
      <c r="G59" t="s">
        <v>336</v>
      </c>
      <c r="H59" t="s">
        <v>5878</v>
      </c>
      <c r="I59">
        <v>0</v>
      </c>
      <c r="J59" t="s">
        <v>343</v>
      </c>
      <c r="K59">
        <v>2500</v>
      </c>
      <c r="M59">
        <v>3413578</v>
      </c>
    </row>
    <row r="60" spans="1:13" x14ac:dyDescent="0.35">
      <c r="A60" t="str">
        <f t="shared" si="1"/>
        <v>ABN4571722564121000</v>
      </c>
      <c r="B60" t="s">
        <v>11</v>
      </c>
      <c r="C60" s="1">
        <v>45717</v>
      </c>
      <c r="D60" t="str">
        <f t="shared" si="4"/>
        <v>225</v>
      </c>
      <c r="E60" t="str">
        <f t="shared" si="5"/>
        <v>64121000</v>
      </c>
      <c r="F60" t="s">
        <v>1223</v>
      </c>
      <c r="G60" t="s">
        <v>336</v>
      </c>
      <c r="H60" t="s">
        <v>5891</v>
      </c>
      <c r="I60">
        <v>0</v>
      </c>
      <c r="J60" t="s">
        <v>343</v>
      </c>
      <c r="K60">
        <v>169670</v>
      </c>
      <c r="M60">
        <v>3413578</v>
      </c>
    </row>
    <row r="61" spans="1:13" x14ac:dyDescent="0.35">
      <c r="A61" t="str">
        <f t="shared" si="1"/>
        <v>ABN4571722564121000</v>
      </c>
      <c r="B61" t="s">
        <v>11</v>
      </c>
      <c r="C61" s="1">
        <v>45717</v>
      </c>
      <c r="D61" t="str">
        <f t="shared" si="4"/>
        <v>225</v>
      </c>
      <c r="E61" t="str">
        <f t="shared" si="5"/>
        <v>64121000</v>
      </c>
      <c r="F61" t="s">
        <v>1223</v>
      </c>
      <c r="G61" t="s">
        <v>336</v>
      </c>
      <c r="H61" t="s">
        <v>5892</v>
      </c>
      <c r="I61">
        <v>0</v>
      </c>
      <c r="J61" t="s">
        <v>343</v>
      </c>
      <c r="K61">
        <v>52259</v>
      </c>
      <c r="M61">
        <v>3413578</v>
      </c>
    </row>
    <row r="62" spans="1:13" x14ac:dyDescent="0.35">
      <c r="A62" t="str">
        <f t="shared" si="1"/>
        <v>ABN4571722564121000</v>
      </c>
      <c r="B62" t="s">
        <v>11</v>
      </c>
      <c r="C62" s="1">
        <v>45717</v>
      </c>
      <c r="D62" t="str">
        <f t="shared" si="4"/>
        <v>225</v>
      </c>
      <c r="E62" t="str">
        <f t="shared" si="5"/>
        <v>64121000</v>
      </c>
      <c r="F62" t="s">
        <v>1223</v>
      </c>
      <c r="G62" t="s">
        <v>336</v>
      </c>
      <c r="H62" t="s">
        <v>5899</v>
      </c>
      <c r="I62">
        <v>0</v>
      </c>
      <c r="J62" t="s">
        <v>343</v>
      </c>
      <c r="K62">
        <v>102408</v>
      </c>
      <c r="M62">
        <v>3413578</v>
      </c>
    </row>
    <row r="63" spans="1:13" x14ac:dyDescent="0.35">
      <c r="A63" t="str">
        <f t="shared" si="1"/>
        <v>ABN4571722564121000</v>
      </c>
      <c r="B63" t="s">
        <v>11</v>
      </c>
      <c r="C63" s="1">
        <v>45717</v>
      </c>
      <c r="D63" t="str">
        <f t="shared" si="4"/>
        <v>225</v>
      </c>
      <c r="E63" t="str">
        <f t="shared" si="5"/>
        <v>64121000</v>
      </c>
      <c r="F63" t="s">
        <v>1223</v>
      </c>
      <c r="G63" t="s">
        <v>336</v>
      </c>
      <c r="H63" t="s">
        <v>5893</v>
      </c>
      <c r="I63">
        <v>0</v>
      </c>
      <c r="J63" t="s">
        <v>343</v>
      </c>
      <c r="K63">
        <v>601247</v>
      </c>
      <c r="M63">
        <v>3413578</v>
      </c>
    </row>
    <row r="64" spans="1:13" x14ac:dyDescent="0.35">
      <c r="A64" t="str">
        <f t="shared" si="1"/>
        <v>ABN4571722564121000</v>
      </c>
      <c r="B64" t="s">
        <v>11</v>
      </c>
      <c r="C64" s="1">
        <v>45717</v>
      </c>
      <c r="D64" t="str">
        <f t="shared" si="4"/>
        <v>225</v>
      </c>
      <c r="E64" t="str">
        <f t="shared" si="5"/>
        <v>64121000</v>
      </c>
      <c r="F64" t="s">
        <v>1223</v>
      </c>
      <c r="G64" t="s">
        <v>336</v>
      </c>
      <c r="H64" t="s">
        <v>5894</v>
      </c>
      <c r="I64">
        <v>0</v>
      </c>
      <c r="J64" t="s">
        <v>343</v>
      </c>
      <c r="K64">
        <v>674767</v>
      </c>
      <c r="M64">
        <v>3413578</v>
      </c>
    </row>
    <row r="65" spans="1:13" x14ac:dyDescent="0.35">
      <c r="A65" t="str">
        <f t="shared" si="1"/>
        <v>ABN4571722564121000</v>
      </c>
      <c r="B65" t="s">
        <v>11</v>
      </c>
      <c r="C65" s="1">
        <v>45717</v>
      </c>
      <c r="D65" t="str">
        <f t="shared" si="4"/>
        <v>225</v>
      </c>
      <c r="E65" t="str">
        <f t="shared" si="5"/>
        <v>64121000</v>
      </c>
      <c r="F65" t="s">
        <v>1223</v>
      </c>
      <c r="G65" t="s">
        <v>336</v>
      </c>
      <c r="H65" t="s">
        <v>5895</v>
      </c>
      <c r="I65">
        <v>0</v>
      </c>
      <c r="J65" t="s">
        <v>343</v>
      </c>
      <c r="K65">
        <v>242264</v>
      </c>
      <c r="M65">
        <v>3413578</v>
      </c>
    </row>
    <row r="66" spans="1:13" x14ac:dyDescent="0.35">
      <c r="A66" t="str">
        <f t="shared" si="1"/>
        <v>ABN4571722564121000</v>
      </c>
      <c r="B66" t="s">
        <v>11</v>
      </c>
      <c r="C66" s="1">
        <v>45717</v>
      </c>
      <c r="D66" t="str">
        <f t="shared" si="4"/>
        <v>225</v>
      </c>
      <c r="E66" t="str">
        <f t="shared" si="5"/>
        <v>64121000</v>
      </c>
      <c r="F66" t="s">
        <v>1223</v>
      </c>
      <c r="G66" t="s">
        <v>336</v>
      </c>
      <c r="H66" t="s">
        <v>5900</v>
      </c>
      <c r="I66">
        <v>0</v>
      </c>
      <c r="J66" t="s">
        <v>343</v>
      </c>
      <c r="K66">
        <v>274378</v>
      </c>
      <c r="M66">
        <v>3413578</v>
      </c>
    </row>
    <row r="67" spans="1:13" x14ac:dyDescent="0.35">
      <c r="A67" t="str">
        <f t="shared" ref="A67:A130" si="6">CONCATENATE(B67,C67,D67,E67)</f>
        <v>ABN4571722564121000</v>
      </c>
      <c r="B67" t="s">
        <v>11</v>
      </c>
      <c r="C67" s="1">
        <v>45717</v>
      </c>
      <c r="D67" t="str">
        <f t="shared" si="4"/>
        <v>225</v>
      </c>
      <c r="E67" t="str">
        <f t="shared" si="5"/>
        <v>64121000</v>
      </c>
      <c r="F67" t="s">
        <v>1223</v>
      </c>
      <c r="G67" t="s">
        <v>336</v>
      </c>
      <c r="H67" t="s">
        <v>5896</v>
      </c>
      <c r="I67">
        <v>0</v>
      </c>
      <c r="J67" t="s">
        <v>343</v>
      </c>
      <c r="K67">
        <v>364472</v>
      </c>
      <c r="M67">
        <v>3413578</v>
      </c>
    </row>
    <row r="68" spans="1:13" x14ac:dyDescent="0.35">
      <c r="A68" t="str">
        <f t="shared" si="6"/>
        <v>ABN4571722564121000</v>
      </c>
      <c r="B68" t="s">
        <v>11</v>
      </c>
      <c r="C68" s="1">
        <v>45717</v>
      </c>
      <c r="D68" t="str">
        <f t="shared" si="4"/>
        <v>225</v>
      </c>
      <c r="E68" t="str">
        <f t="shared" si="5"/>
        <v>64121000</v>
      </c>
      <c r="F68" t="s">
        <v>1223</v>
      </c>
      <c r="G68" t="s">
        <v>336</v>
      </c>
      <c r="H68" t="s">
        <v>5897</v>
      </c>
      <c r="I68">
        <v>0</v>
      </c>
      <c r="J68" t="s">
        <v>343</v>
      </c>
      <c r="K68">
        <v>874211</v>
      </c>
      <c r="M68">
        <v>3413578</v>
      </c>
    </row>
    <row r="69" spans="1:13" x14ac:dyDescent="0.35">
      <c r="A69" t="str">
        <f t="shared" si="6"/>
        <v>ABN4571722564121000</v>
      </c>
      <c r="B69" t="s">
        <v>11</v>
      </c>
      <c r="C69" s="1">
        <v>45717</v>
      </c>
      <c r="D69" t="str">
        <f t="shared" si="4"/>
        <v>225</v>
      </c>
      <c r="E69" t="str">
        <f t="shared" si="5"/>
        <v>64121000</v>
      </c>
      <c r="F69" t="s">
        <v>1223</v>
      </c>
      <c r="G69" t="s">
        <v>336</v>
      </c>
      <c r="H69" t="s">
        <v>5898</v>
      </c>
      <c r="I69">
        <v>0</v>
      </c>
      <c r="J69" t="s">
        <v>343</v>
      </c>
      <c r="K69">
        <v>21069</v>
      </c>
      <c r="M69">
        <v>3413578</v>
      </c>
    </row>
    <row r="70" spans="1:13" x14ac:dyDescent="0.35">
      <c r="A70" t="str">
        <f t="shared" si="6"/>
        <v>ABN4571722664130000</v>
      </c>
      <c r="B70" t="s">
        <v>11</v>
      </c>
      <c r="C70" s="1">
        <v>45717</v>
      </c>
      <c r="D70" t="str">
        <f>"226"</f>
        <v>226</v>
      </c>
      <c r="E70" t="str">
        <f>"64130000"</f>
        <v>64130000</v>
      </c>
      <c r="F70" t="s">
        <v>1225</v>
      </c>
      <c r="G70" t="s">
        <v>336</v>
      </c>
      <c r="H70" t="s">
        <v>5903</v>
      </c>
      <c r="I70">
        <v>0</v>
      </c>
      <c r="J70" t="s">
        <v>343</v>
      </c>
      <c r="K70">
        <v>2830381</v>
      </c>
      <c r="M70">
        <v>2830381</v>
      </c>
    </row>
    <row r="71" spans="1:13" x14ac:dyDescent="0.35">
      <c r="A71" t="str">
        <f t="shared" si="6"/>
        <v>ABN4571722764680000</v>
      </c>
      <c r="B71" t="s">
        <v>11</v>
      </c>
      <c r="C71" s="1">
        <v>45717</v>
      </c>
      <c r="D71" t="str">
        <f>"227"</f>
        <v>227</v>
      </c>
      <c r="E71" t="str">
        <f>"64680000"</f>
        <v>64680000</v>
      </c>
      <c r="F71" t="s">
        <v>1227</v>
      </c>
      <c r="G71" t="s">
        <v>336</v>
      </c>
      <c r="H71" t="s">
        <v>5908</v>
      </c>
      <c r="I71">
        <v>0</v>
      </c>
      <c r="J71" t="s">
        <v>343</v>
      </c>
      <c r="K71">
        <v>45000</v>
      </c>
      <c r="M71">
        <v>45000</v>
      </c>
    </row>
    <row r="72" spans="1:13" x14ac:dyDescent="0.35">
      <c r="A72" t="str">
        <f t="shared" si="6"/>
        <v>ABN4571722865810000</v>
      </c>
      <c r="B72" t="s">
        <v>11</v>
      </c>
      <c r="C72" s="1">
        <v>45717</v>
      </c>
      <c r="D72" t="str">
        <f>"228"</f>
        <v>228</v>
      </c>
      <c r="E72" t="str">
        <f>"65810000"</f>
        <v>65810000</v>
      </c>
      <c r="F72" t="s">
        <v>1228</v>
      </c>
      <c r="G72" t="s">
        <v>336</v>
      </c>
      <c r="H72" t="s">
        <v>352</v>
      </c>
      <c r="I72">
        <v>0</v>
      </c>
      <c r="J72" t="s">
        <v>343</v>
      </c>
      <c r="K72">
        <v>2058825</v>
      </c>
      <c r="M72">
        <v>2058825</v>
      </c>
    </row>
    <row r="73" spans="1:13" x14ac:dyDescent="0.35">
      <c r="A73" t="str">
        <f t="shared" si="6"/>
        <v>ABN4571722962880000</v>
      </c>
      <c r="B73" t="s">
        <v>11</v>
      </c>
      <c r="C73" s="1">
        <v>45717</v>
      </c>
      <c r="D73" t="str">
        <f>"229"</f>
        <v>229</v>
      </c>
      <c r="E73" t="str">
        <f>"62880000"</f>
        <v>62880000</v>
      </c>
      <c r="F73" t="s">
        <v>1229</v>
      </c>
      <c r="G73" t="s">
        <v>336</v>
      </c>
      <c r="H73" t="s">
        <v>5905</v>
      </c>
      <c r="I73">
        <v>0</v>
      </c>
      <c r="J73" t="s">
        <v>343</v>
      </c>
      <c r="K73">
        <v>927000</v>
      </c>
      <c r="M73">
        <v>927000</v>
      </c>
    </row>
    <row r="74" spans="1:13" x14ac:dyDescent="0.35">
      <c r="A74" t="str">
        <f t="shared" si="6"/>
        <v>ABN4571723062439000</v>
      </c>
      <c r="B74" t="s">
        <v>11</v>
      </c>
      <c r="C74" s="1">
        <v>45717</v>
      </c>
      <c r="D74" t="str">
        <f>"230"</f>
        <v>230</v>
      </c>
      <c r="E74" t="str">
        <f>"62439000"</f>
        <v>62439000</v>
      </c>
      <c r="F74" t="s">
        <v>1231</v>
      </c>
      <c r="G74" t="s">
        <v>336</v>
      </c>
      <c r="H74" t="s">
        <v>347</v>
      </c>
      <c r="I74">
        <v>0</v>
      </c>
      <c r="J74" t="s">
        <v>343</v>
      </c>
      <c r="K74">
        <v>847458</v>
      </c>
      <c r="M74">
        <v>847458</v>
      </c>
    </row>
    <row r="75" spans="1:13" x14ac:dyDescent="0.35">
      <c r="A75" t="str">
        <f t="shared" si="6"/>
        <v>ABN4571723166850000</v>
      </c>
      <c r="B75" t="s">
        <v>11</v>
      </c>
      <c r="C75" s="1">
        <v>45717</v>
      </c>
      <c r="D75" t="str">
        <f t="shared" ref="D75:D95" si="7">"231"</f>
        <v>231</v>
      </c>
      <c r="E75" t="str">
        <f t="shared" ref="E75:E95" si="8">"66850000"</f>
        <v>66850000</v>
      </c>
      <c r="F75" t="s">
        <v>1233</v>
      </c>
      <c r="G75" t="s">
        <v>336</v>
      </c>
      <c r="H75" t="s">
        <v>5909</v>
      </c>
      <c r="I75">
        <v>0</v>
      </c>
      <c r="J75" t="s">
        <v>343</v>
      </c>
      <c r="K75">
        <v>378370</v>
      </c>
      <c r="M75">
        <v>11078181</v>
      </c>
    </row>
    <row r="76" spans="1:13" x14ac:dyDescent="0.35">
      <c r="A76" t="str">
        <f t="shared" si="6"/>
        <v>ABN4571723166850000</v>
      </c>
      <c r="B76" t="s">
        <v>11</v>
      </c>
      <c r="C76" s="1">
        <v>45717</v>
      </c>
      <c r="D76" t="str">
        <f t="shared" si="7"/>
        <v>231</v>
      </c>
      <c r="E76" t="str">
        <f t="shared" si="8"/>
        <v>66850000</v>
      </c>
      <c r="F76" t="s">
        <v>1233</v>
      </c>
      <c r="G76" t="s">
        <v>336</v>
      </c>
      <c r="H76" t="s">
        <v>5886</v>
      </c>
      <c r="I76">
        <v>0</v>
      </c>
      <c r="J76" t="s">
        <v>343</v>
      </c>
      <c r="K76">
        <v>34304</v>
      </c>
      <c r="M76">
        <v>11078181</v>
      </c>
    </row>
    <row r="77" spans="1:13" x14ac:dyDescent="0.35">
      <c r="A77" t="str">
        <f t="shared" si="6"/>
        <v>ABN4571723166850000</v>
      </c>
      <c r="B77" t="s">
        <v>11</v>
      </c>
      <c r="C77" s="1">
        <v>45717</v>
      </c>
      <c r="D77" t="str">
        <f t="shared" si="7"/>
        <v>231</v>
      </c>
      <c r="E77" t="str">
        <f t="shared" si="8"/>
        <v>66850000</v>
      </c>
      <c r="F77" t="s">
        <v>1233</v>
      </c>
      <c r="G77" t="s">
        <v>336</v>
      </c>
      <c r="H77" t="s">
        <v>5902</v>
      </c>
      <c r="I77">
        <v>0</v>
      </c>
      <c r="J77" t="s">
        <v>343</v>
      </c>
      <c r="K77">
        <v>2812660</v>
      </c>
      <c r="M77">
        <v>11078181</v>
      </c>
    </row>
    <row r="78" spans="1:13" x14ac:dyDescent="0.35">
      <c r="A78" t="str">
        <f t="shared" si="6"/>
        <v>ABN4571723166850000</v>
      </c>
      <c r="B78" t="s">
        <v>11</v>
      </c>
      <c r="C78" s="1">
        <v>45717</v>
      </c>
      <c r="D78" t="str">
        <f t="shared" si="7"/>
        <v>231</v>
      </c>
      <c r="E78" t="str">
        <f t="shared" si="8"/>
        <v>66850000</v>
      </c>
      <c r="F78" t="s">
        <v>1233</v>
      </c>
      <c r="G78" t="s">
        <v>336</v>
      </c>
      <c r="H78" t="s">
        <v>5910</v>
      </c>
      <c r="I78">
        <v>0</v>
      </c>
      <c r="J78" t="s">
        <v>343</v>
      </c>
      <c r="K78">
        <v>358560</v>
      </c>
      <c r="M78">
        <v>11078181</v>
      </c>
    </row>
    <row r="79" spans="1:13" x14ac:dyDescent="0.35">
      <c r="A79" t="str">
        <f t="shared" si="6"/>
        <v>ABN4571723166850000</v>
      </c>
      <c r="B79" t="s">
        <v>11</v>
      </c>
      <c r="C79" s="1">
        <v>45717</v>
      </c>
      <c r="D79" t="str">
        <f t="shared" si="7"/>
        <v>231</v>
      </c>
      <c r="E79" t="str">
        <f t="shared" si="8"/>
        <v>66850000</v>
      </c>
      <c r="F79" t="s">
        <v>1233</v>
      </c>
      <c r="G79" t="s">
        <v>336</v>
      </c>
      <c r="H79" t="s">
        <v>5911</v>
      </c>
      <c r="I79">
        <v>0</v>
      </c>
      <c r="J79" t="s">
        <v>343</v>
      </c>
      <c r="K79">
        <v>176808</v>
      </c>
      <c r="M79">
        <v>11078181</v>
      </c>
    </row>
    <row r="80" spans="1:13" x14ac:dyDescent="0.35">
      <c r="A80" t="str">
        <f t="shared" si="6"/>
        <v>ABN4571723166850000</v>
      </c>
      <c r="B80" t="s">
        <v>11</v>
      </c>
      <c r="C80" s="1">
        <v>45717</v>
      </c>
      <c r="D80" t="str">
        <f t="shared" si="7"/>
        <v>231</v>
      </c>
      <c r="E80" t="str">
        <f t="shared" si="8"/>
        <v>66850000</v>
      </c>
      <c r="F80" t="s">
        <v>1233</v>
      </c>
      <c r="G80" t="s">
        <v>336</v>
      </c>
      <c r="H80" t="s">
        <v>5912</v>
      </c>
      <c r="I80">
        <v>0</v>
      </c>
      <c r="J80" t="s">
        <v>343</v>
      </c>
      <c r="K80">
        <v>117931</v>
      </c>
      <c r="M80">
        <v>11078181</v>
      </c>
    </row>
    <row r="81" spans="1:13" x14ac:dyDescent="0.35">
      <c r="A81" t="str">
        <f t="shared" si="6"/>
        <v>ABN4571723166850000</v>
      </c>
      <c r="B81" t="s">
        <v>11</v>
      </c>
      <c r="C81" s="1">
        <v>45717</v>
      </c>
      <c r="D81" t="str">
        <f t="shared" si="7"/>
        <v>231</v>
      </c>
      <c r="E81" t="str">
        <f t="shared" si="8"/>
        <v>66850000</v>
      </c>
      <c r="F81" t="s">
        <v>1233</v>
      </c>
      <c r="G81" t="s">
        <v>336</v>
      </c>
      <c r="H81" t="s">
        <v>5913</v>
      </c>
      <c r="I81">
        <v>0</v>
      </c>
      <c r="J81" t="s">
        <v>343</v>
      </c>
      <c r="K81">
        <v>399476</v>
      </c>
      <c r="M81">
        <v>11078181</v>
      </c>
    </row>
    <row r="82" spans="1:13" x14ac:dyDescent="0.35">
      <c r="A82" t="str">
        <f t="shared" si="6"/>
        <v>ABN4571723166850000</v>
      </c>
      <c r="B82" t="s">
        <v>11</v>
      </c>
      <c r="C82" s="1">
        <v>45717</v>
      </c>
      <c r="D82" t="str">
        <f t="shared" si="7"/>
        <v>231</v>
      </c>
      <c r="E82" t="str">
        <f t="shared" si="8"/>
        <v>66850000</v>
      </c>
      <c r="F82" t="s">
        <v>1233</v>
      </c>
      <c r="G82" t="s">
        <v>336</v>
      </c>
      <c r="H82" t="s">
        <v>5914</v>
      </c>
      <c r="I82">
        <v>0</v>
      </c>
      <c r="J82" t="s">
        <v>343</v>
      </c>
      <c r="K82">
        <v>452482</v>
      </c>
      <c r="M82">
        <v>11078181</v>
      </c>
    </row>
    <row r="83" spans="1:13" x14ac:dyDescent="0.35">
      <c r="A83" t="str">
        <f t="shared" si="6"/>
        <v>ABN4571723166850000</v>
      </c>
      <c r="B83" t="s">
        <v>11</v>
      </c>
      <c r="C83" s="1">
        <v>45717</v>
      </c>
      <c r="D83" t="str">
        <f t="shared" si="7"/>
        <v>231</v>
      </c>
      <c r="E83" t="str">
        <f t="shared" si="8"/>
        <v>66850000</v>
      </c>
      <c r="F83" t="s">
        <v>1233</v>
      </c>
      <c r="G83" t="s">
        <v>336</v>
      </c>
      <c r="H83" t="s">
        <v>5903</v>
      </c>
      <c r="I83">
        <v>0</v>
      </c>
      <c r="J83" t="s">
        <v>343</v>
      </c>
      <c r="K83">
        <v>664843</v>
      </c>
      <c r="M83">
        <v>11078181</v>
      </c>
    </row>
    <row r="84" spans="1:13" x14ac:dyDescent="0.35">
      <c r="A84" t="str">
        <f t="shared" si="6"/>
        <v>ABN4571723166850000</v>
      </c>
      <c r="B84" t="s">
        <v>11</v>
      </c>
      <c r="C84" s="1">
        <v>45717</v>
      </c>
      <c r="D84" t="str">
        <f t="shared" si="7"/>
        <v>231</v>
      </c>
      <c r="E84" t="str">
        <f t="shared" si="8"/>
        <v>66850000</v>
      </c>
      <c r="F84" t="s">
        <v>1233</v>
      </c>
      <c r="G84" t="s">
        <v>336</v>
      </c>
      <c r="H84" t="s">
        <v>5915</v>
      </c>
      <c r="I84">
        <v>0</v>
      </c>
      <c r="J84" t="s">
        <v>343</v>
      </c>
      <c r="K84">
        <v>482890</v>
      </c>
      <c r="M84">
        <v>11078181</v>
      </c>
    </row>
    <row r="85" spans="1:13" x14ac:dyDescent="0.35">
      <c r="A85" t="str">
        <f t="shared" si="6"/>
        <v>ABN4571723166850000</v>
      </c>
      <c r="B85" t="s">
        <v>11</v>
      </c>
      <c r="C85" s="1">
        <v>45717</v>
      </c>
      <c r="D85" t="str">
        <f t="shared" si="7"/>
        <v>231</v>
      </c>
      <c r="E85" t="str">
        <f t="shared" si="8"/>
        <v>66850000</v>
      </c>
      <c r="F85" t="s">
        <v>1233</v>
      </c>
      <c r="G85" t="s">
        <v>336</v>
      </c>
      <c r="H85" t="s">
        <v>5916</v>
      </c>
      <c r="I85">
        <v>0</v>
      </c>
      <c r="J85" t="s">
        <v>343</v>
      </c>
      <c r="K85">
        <v>451891</v>
      </c>
      <c r="M85">
        <v>11078181</v>
      </c>
    </row>
    <row r="86" spans="1:13" x14ac:dyDescent="0.35">
      <c r="A86" t="str">
        <f t="shared" si="6"/>
        <v>ABN4571723166850000</v>
      </c>
      <c r="B86" t="s">
        <v>11</v>
      </c>
      <c r="C86" s="1">
        <v>45717</v>
      </c>
      <c r="D86" t="str">
        <f t="shared" si="7"/>
        <v>231</v>
      </c>
      <c r="E86" t="str">
        <f t="shared" si="8"/>
        <v>66850000</v>
      </c>
      <c r="F86" t="s">
        <v>1233</v>
      </c>
      <c r="G86" t="s">
        <v>336</v>
      </c>
      <c r="H86" t="s">
        <v>5917</v>
      </c>
      <c r="I86">
        <v>0</v>
      </c>
      <c r="J86" t="s">
        <v>343</v>
      </c>
      <c r="K86">
        <v>70540</v>
      </c>
      <c r="M86">
        <v>11078181</v>
      </c>
    </row>
    <row r="87" spans="1:13" x14ac:dyDescent="0.35">
      <c r="A87" t="str">
        <f t="shared" si="6"/>
        <v>ABN4571723166850000</v>
      </c>
      <c r="B87" t="s">
        <v>11</v>
      </c>
      <c r="C87" s="1">
        <v>45717</v>
      </c>
      <c r="D87" t="str">
        <f t="shared" si="7"/>
        <v>231</v>
      </c>
      <c r="E87" t="str">
        <f t="shared" si="8"/>
        <v>66850000</v>
      </c>
      <c r="F87" t="s">
        <v>1233</v>
      </c>
      <c r="G87" t="s">
        <v>336</v>
      </c>
      <c r="H87" t="s">
        <v>5918</v>
      </c>
      <c r="I87">
        <v>0</v>
      </c>
      <c r="J87" t="s">
        <v>343</v>
      </c>
      <c r="K87">
        <v>715926</v>
      </c>
      <c r="M87">
        <v>11078181</v>
      </c>
    </row>
    <row r="88" spans="1:13" x14ac:dyDescent="0.35">
      <c r="A88" t="str">
        <f t="shared" si="6"/>
        <v>ABN4571723166850000</v>
      </c>
      <c r="B88" t="s">
        <v>11</v>
      </c>
      <c r="C88" s="1">
        <v>45717</v>
      </c>
      <c r="D88" t="str">
        <f t="shared" si="7"/>
        <v>231</v>
      </c>
      <c r="E88" t="str">
        <f t="shared" si="8"/>
        <v>66850000</v>
      </c>
      <c r="F88" t="s">
        <v>1233</v>
      </c>
      <c r="G88" t="s">
        <v>336</v>
      </c>
      <c r="H88" t="s">
        <v>5919</v>
      </c>
      <c r="I88">
        <v>0</v>
      </c>
      <c r="J88" t="s">
        <v>343</v>
      </c>
      <c r="K88">
        <v>316478</v>
      </c>
      <c r="M88">
        <v>11078181</v>
      </c>
    </row>
    <row r="89" spans="1:13" x14ac:dyDescent="0.35">
      <c r="A89" t="str">
        <f t="shared" si="6"/>
        <v>ABN4571723166850000</v>
      </c>
      <c r="B89" t="s">
        <v>11</v>
      </c>
      <c r="C89" s="1">
        <v>45717</v>
      </c>
      <c r="D89" t="str">
        <f t="shared" si="7"/>
        <v>231</v>
      </c>
      <c r="E89" t="str">
        <f t="shared" si="8"/>
        <v>66850000</v>
      </c>
      <c r="F89" t="s">
        <v>1233</v>
      </c>
      <c r="G89" t="s">
        <v>336</v>
      </c>
      <c r="H89" t="s">
        <v>5920</v>
      </c>
      <c r="I89">
        <v>0</v>
      </c>
      <c r="J89" t="s">
        <v>343</v>
      </c>
      <c r="K89">
        <v>809343</v>
      </c>
      <c r="M89">
        <v>11078181</v>
      </c>
    </row>
    <row r="90" spans="1:13" x14ac:dyDescent="0.35">
      <c r="A90" t="str">
        <f t="shared" si="6"/>
        <v>ABN4571723166850000</v>
      </c>
      <c r="B90" t="s">
        <v>11</v>
      </c>
      <c r="C90" s="1">
        <v>45717</v>
      </c>
      <c r="D90" t="str">
        <f t="shared" si="7"/>
        <v>231</v>
      </c>
      <c r="E90" t="str">
        <f t="shared" si="8"/>
        <v>66850000</v>
      </c>
      <c r="F90" t="s">
        <v>1233</v>
      </c>
      <c r="G90" t="s">
        <v>336</v>
      </c>
      <c r="H90" t="s">
        <v>5888</v>
      </c>
      <c r="I90">
        <v>0</v>
      </c>
      <c r="J90" t="s">
        <v>343</v>
      </c>
      <c r="K90">
        <v>722346</v>
      </c>
      <c r="M90">
        <v>11078181</v>
      </c>
    </row>
    <row r="91" spans="1:13" x14ac:dyDescent="0.35">
      <c r="A91" t="str">
        <f t="shared" si="6"/>
        <v>ABN4571723166850000</v>
      </c>
      <c r="B91" t="s">
        <v>11</v>
      </c>
      <c r="C91" s="1">
        <v>45717</v>
      </c>
      <c r="D91" t="str">
        <f t="shared" si="7"/>
        <v>231</v>
      </c>
      <c r="E91" t="str">
        <f t="shared" si="8"/>
        <v>66850000</v>
      </c>
      <c r="F91" t="s">
        <v>1233</v>
      </c>
      <c r="G91" t="s">
        <v>336</v>
      </c>
      <c r="H91" t="s">
        <v>5921</v>
      </c>
      <c r="I91">
        <v>0</v>
      </c>
      <c r="J91" t="s">
        <v>343</v>
      </c>
      <c r="K91">
        <v>1405663</v>
      </c>
      <c r="M91">
        <v>11078181</v>
      </c>
    </row>
    <row r="92" spans="1:13" x14ac:dyDescent="0.35">
      <c r="A92" t="str">
        <f t="shared" si="6"/>
        <v>ABN4571723166850000</v>
      </c>
      <c r="B92" t="s">
        <v>11</v>
      </c>
      <c r="C92" s="1">
        <v>45717</v>
      </c>
      <c r="D92" t="str">
        <f t="shared" si="7"/>
        <v>231</v>
      </c>
      <c r="E92" t="str">
        <f t="shared" si="8"/>
        <v>66850000</v>
      </c>
      <c r="F92" t="s">
        <v>1233</v>
      </c>
      <c r="G92" t="s">
        <v>336</v>
      </c>
      <c r="H92" t="s">
        <v>5922</v>
      </c>
      <c r="I92">
        <v>0</v>
      </c>
      <c r="J92" t="s">
        <v>343</v>
      </c>
      <c r="K92">
        <v>539441</v>
      </c>
      <c r="M92">
        <v>11078181</v>
      </c>
    </row>
    <row r="93" spans="1:13" x14ac:dyDescent="0.35">
      <c r="A93" t="str">
        <f t="shared" si="6"/>
        <v>ABN4571723166850000</v>
      </c>
      <c r="B93" t="s">
        <v>11</v>
      </c>
      <c r="C93" s="1">
        <v>45717</v>
      </c>
      <c r="D93" t="str">
        <f t="shared" si="7"/>
        <v>231</v>
      </c>
      <c r="E93" t="str">
        <f t="shared" si="8"/>
        <v>66850000</v>
      </c>
      <c r="F93" t="s">
        <v>1233</v>
      </c>
      <c r="G93" t="s">
        <v>336</v>
      </c>
      <c r="H93" t="s">
        <v>5923</v>
      </c>
      <c r="I93">
        <v>0</v>
      </c>
      <c r="J93" t="s">
        <v>343</v>
      </c>
      <c r="K93">
        <v>26318</v>
      </c>
      <c r="M93">
        <v>11078181</v>
      </c>
    </row>
    <row r="94" spans="1:13" x14ac:dyDescent="0.35">
      <c r="A94" t="str">
        <f t="shared" si="6"/>
        <v>ABN4571723166850000</v>
      </c>
      <c r="B94" t="s">
        <v>11</v>
      </c>
      <c r="C94" s="1">
        <v>45717</v>
      </c>
      <c r="D94" t="str">
        <f t="shared" si="7"/>
        <v>231</v>
      </c>
      <c r="E94" t="str">
        <f t="shared" si="8"/>
        <v>66850000</v>
      </c>
      <c r="F94" t="s">
        <v>1233</v>
      </c>
      <c r="G94" t="s">
        <v>336</v>
      </c>
      <c r="H94" t="s">
        <v>5924</v>
      </c>
      <c r="I94">
        <v>0</v>
      </c>
      <c r="J94" t="s">
        <v>343</v>
      </c>
      <c r="K94">
        <v>96694</v>
      </c>
      <c r="M94">
        <v>11078181</v>
      </c>
    </row>
    <row r="95" spans="1:13" x14ac:dyDescent="0.35">
      <c r="A95" t="str">
        <f t="shared" si="6"/>
        <v>ABN4571723166850000</v>
      </c>
      <c r="B95" t="s">
        <v>11</v>
      </c>
      <c r="C95" s="1">
        <v>45717</v>
      </c>
      <c r="D95" t="str">
        <f t="shared" si="7"/>
        <v>231</v>
      </c>
      <c r="E95" t="str">
        <f t="shared" si="8"/>
        <v>66850000</v>
      </c>
      <c r="F95" t="s">
        <v>1233</v>
      </c>
      <c r="G95" t="s">
        <v>336</v>
      </c>
      <c r="H95" t="s">
        <v>5925</v>
      </c>
      <c r="I95">
        <v>0</v>
      </c>
      <c r="J95" t="s">
        <v>343</v>
      </c>
      <c r="K95">
        <v>45217</v>
      </c>
      <c r="M95">
        <v>11078181</v>
      </c>
    </row>
    <row r="96" spans="1:13" x14ac:dyDescent="0.35">
      <c r="A96" t="str">
        <f t="shared" si="6"/>
        <v>ABN4571723262540000</v>
      </c>
      <c r="B96" t="s">
        <v>11</v>
      </c>
      <c r="C96" s="1">
        <v>45717</v>
      </c>
      <c r="D96" t="str">
        <f>"232"</f>
        <v>232</v>
      </c>
      <c r="E96" t="str">
        <f>"62540000"</f>
        <v>62540000</v>
      </c>
      <c r="F96" t="s">
        <v>1235</v>
      </c>
      <c r="G96" t="s">
        <v>336</v>
      </c>
      <c r="H96" t="s">
        <v>342</v>
      </c>
      <c r="I96">
        <v>0</v>
      </c>
      <c r="J96" t="s">
        <v>343</v>
      </c>
      <c r="K96">
        <v>399458</v>
      </c>
      <c r="M96">
        <v>399458</v>
      </c>
    </row>
    <row r="97" spans="1:13" x14ac:dyDescent="0.35">
      <c r="A97" t="str">
        <f t="shared" si="6"/>
        <v>ABN4571723362531000</v>
      </c>
      <c r="B97" t="s">
        <v>11</v>
      </c>
      <c r="C97" s="1">
        <v>45717</v>
      </c>
      <c r="D97" t="str">
        <f>"233"</f>
        <v>233</v>
      </c>
      <c r="E97" t="str">
        <f>"62531000"</f>
        <v>62531000</v>
      </c>
      <c r="F97" t="s">
        <v>1236</v>
      </c>
      <c r="G97" t="s">
        <v>336</v>
      </c>
      <c r="H97" t="s">
        <v>5889</v>
      </c>
      <c r="I97">
        <v>0</v>
      </c>
      <c r="J97" t="s">
        <v>343</v>
      </c>
      <c r="K97">
        <v>4188043</v>
      </c>
      <c r="M97">
        <v>4188043</v>
      </c>
    </row>
    <row r="98" spans="1:13" x14ac:dyDescent="0.35">
      <c r="A98" t="str">
        <f t="shared" si="6"/>
        <v>ABN4571723462880000</v>
      </c>
      <c r="B98" t="s">
        <v>11</v>
      </c>
      <c r="C98" s="1">
        <v>45717</v>
      </c>
      <c r="D98" t="str">
        <f>"234"</f>
        <v>234</v>
      </c>
      <c r="E98" t="str">
        <f>"62880000"</f>
        <v>62880000</v>
      </c>
      <c r="F98" t="s">
        <v>1238</v>
      </c>
      <c r="G98" t="s">
        <v>336</v>
      </c>
      <c r="H98" t="s">
        <v>5905</v>
      </c>
      <c r="I98">
        <v>0</v>
      </c>
      <c r="J98" t="s">
        <v>343</v>
      </c>
      <c r="K98">
        <v>300000</v>
      </c>
      <c r="M98">
        <v>300000</v>
      </c>
    </row>
    <row r="99" spans="1:13" x14ac:dyDescent="0.35">
      <c r="A99" t="str">
        <f t="shared" si="6"/>
        <v>ABN4571723563271000</v>
      </c>
      <c r="B99" t="s">
        <v>11</v>
      </c>
      <c r="C99" s="1">
        <v>45717</v>
      </c>
      <c r="D99" t="str">
        <f>"235"</f>
        <v>235</v>
      </c>
      <c r="E99" t="str">
        <f>"63271000"</f>
        <v>63271000</v>
      </c>
      <c r="F99" t="s">
        <v>1240</v>
      </c>
      <c r="G99" t="s">
        <v>336</v>
      </c>
      <c r="H99" t="s">
        <v>5926</v>
      </c>
      <c r="I99">
        <v>0</v>
      </c>
      <c r="J99" t="s">
        <v>343</v>
      </c>
      <c r="K99">
        <v>390000</v>
      </c>
      <c r="M99">
        <v>390000</v>
      </c>
    </row>
    <row r="100" spans="1:13" x14ac:dyDescent="0.35">
      <c r="A100" t="str">
        <f t="shared" si="6"/>
        <v>ABN4571723663271000</v>
      </c>
      <c r="B100" t="s">
        <v>11</v>
      </c>
      <c r="C100" s="1">
        <v>45717</v>
      </c>
      <c r="D100" t="str">
        <f>"236"</f>
        <v>236</v>
      </c>
      <c r="E100" t="str">
        <f>"63271000"</f>
        <v>63271000</v>
      </c>
      <c r="F100" t="s">
        <v>1242</v>
      </c>
      <c r="G100" t="s">
        <v>336</v>
      </c>
      <c r="H100" t="s">
        <v>5927</v>
      </c>
      <c r="I100">
        <v>0</v>
      </c>
      <c r="J100" t="s">
        <v>343</v>
      </c>
      <c r="K100">
        <v>90300</v>
      </c>
      <c r="M100">
        <v>90300</v>
      </c>
    </row>
    <row r="101" spans="1:13" x14ac:dyDescent="0.35">
      <c r="A101" t="str">
        <f t="shared" si="6"/>
        <v>ABN4571723766381000</v>
      </c>
      <c r="B101" t="s">
        <v>11</v>
      </c>
      <c r="C101" s="1">
        <v>45717</v>
      </c>
      <c r="D101" t="str">
        <f>"237"</f>
        <v>237</v>
      </c>
      <c r="E101" t="str">
        <f>"66381000"</f>
        <v>66381000</v>
      </c>
      <c r="F101" t="s">
        <v>1244</v>
      </c>
      <c r="G101" t="s">
        <v>336</v>
      </c>
      <c r="H101" t="s">
        <v>5886</v>
      </c>
      <c r="I101">
        <v>0</v>
      </c>
      <c r="J101" t="s">
        <v>343</v>
      </c>
      <c r="K101">
        <v>264084</v>
      </c>
      <c r="M101">
        <v>264084</v>
      </c>
    </row>
    <row r="102" spans="1:13" x14ac:dyDescent="0.35">
      <c r="A102" t="str">
        <f t="shared" si="6"/>
        <v>ABN4571723862881000</v>
      </c>
      <c r="B102" t="s">
        <v>11</v>
      </c>
      <c r="C102" s="1">
        <v>45717</v>
      </c>
      <c r="D102" t="str">
        <f>"238"</f>
        <v>238</v>
      </c>
      <c r="E102" t="str">
        <f>"62881000"</f>
        <v>62881000</v>
      </c>
      <c r="F102" t="s">
        <v>1246</v>
      </c>
      <c r="G102" t="s">
        <v>336</v>
      </c>
      <c r="H102" t="s">
        <v>5889</v>
      </c>
      <c r="I102">
        <v>0</v>
      </c>
      <c r="J102" t="s">
        <v>343</v>
      </c>
      <c r="K102">
        <v>1350000</v>
      </c>
      <c r="M102">
        <v>1350000</v>
      </c>
    </row>
    <row r="103" spans="1:13" x14ac:dyDescent="0.35">
      <c r="A103" t="str">
        <f t="shared" si="6"/>
        <v>ABN4571723962880000</v>
      </c>
      <c r="B103" t="s">
        <v>11</v>
      </c>
      <c r="C103" s="1">
        <v>45717</v>
      </c>
      <c r="D103" t="str">
        <f>"239"</f>
        <v>239</v>
      </c>
      <c r="E103" t="str">
        <f>"62880000"</f>
        <v>62880000</v>
      </c>
      <c r="F103" t="s">
        <v>1248</v>
      </c>
      <c r="G103" t="s">
        <v>336</v>
      </c>
      <c r="H103" t="s">
        <v>5928</v>
      </c>
      <c r="I103">
        <v>0</v>
      </c>
      <c r="J103" t="s">
        <v>343</v>
      </c>
      <c r="K103">
        <v>28367</v>
      </c>
      <c r="M103">
        <v>56733</v>
      </c>
    </row>
    <row r="104" spans="1:13" x14ac:dyDescent="0.35">
      <c r="A104" t="str">
        <f t="shared" si="6"/>
        <v>ABN4571723962880000</v>
      </c>
      <c r="B104" t="s">
        <v>11</v>
      </c>
      <c r="C104" s="1">
        <v>45717</v>
      </c>
      <c r="D104" t="str">
        <f>"239"</f>
        <v>239</v>
      </c>
      <c r="E104" t="str">
        <f>"62880000"</f>
        <v>62880000</v>
      </c>
      <c r="F104" t="s">
        <v>1248</v>
      </c>
      <c r="G104" t="s">
        <v>336</v>
      </c>
      <c r="H104" t="s">
        <v>5905</v>
      </c>
      <c r="I104">
        <v>0</v>
      </c>
      <c r="J104" t="s">
        <v>343</v>
      </c>
      <c r="K104">
        <v>28366</v>
      </c>
      <c r="M104">
        <v>56733</v>
      </c>
    </row>
    <row r="105" spans="1:13" x14ac:dyDescent="0.35">
      <c r="A105" t="str">
        <f t="shared" si="6"/>
        <v>ABN4571724062880000</v>
      </c>
      <c r="B105" t="s">
        <v>11</v>
      </c>
      <c r="C105" s="1">
        <v>45717</v>
      </c>
      <c r="D105" t="str">
        <f>"240"</f>
        <v>240</v>
      </c>
      <c r="E105" t="str">
        <f>"62880000"</f>
        <v>62880000</v>
      </c>
      <c r="F105" t="s">
        <v>1249</v>
      </c>
      <c r="G105" t="s">
        <v>336</v>
      </c>
      <c r="H105" t="s">
        <v>5905</v>
      </c>
      <c r="I105">
        <v>0</v>
      </c>
      <c r="J105" t="s">
        <v>343</v>
      </c>
      <c r="K105">
        <v>2200000</v>
      </c>
      <c r="M105">
        <v>2200000</v>
      </c>
    </row>
    <row r="106" spans="1:13" x14ac:dyDescent="0.35">
      <c r="A106" t="str">
        <f t="shared" si="6"/>
        <v>ABN4571724162439000</v>
      </c>
      <c r="B106" t="s">
        <v>11</v>
      </c>
      <c r="C106" s="1">
        <v>45717</v>
      </c>
      <c r="D106" t="str">
        <f>"241"</f>
        <v>241</v>
      </c>
      <c r="E106" t="str">
        <f>"62439000"</f>
        <v>62439000</v>
      </c>
      <c r="F106" t="s">
        <v>1251</v>
      </c>
      <c r="G106" t="s">
        <v>336</v>
      </c>
      <c r="H106" t="s">
        <v>342</v>
      </c>
      <c r="I106">
        <v>0</v>
      </c>
      <c r="J106" t="s">
        <v>343</v>
      </c>
      <c r="K106">
        <v>100000</v>
      </c>
      <c r="M106">
        <v>100000</v>
      </c>
    </row>
    <row r="107" spans="1:13" x14ac:dyDescent="0.35">
      <c r="A107" t="str">
        <f t="shared" si="6"/>
        <v>ABN4571724262280000</v>
      </c>
      <c r="B107" t="s">
        <v>11</v>
      </c>
      <c r="C107" s="1">
        <v>45717</v>
      </c>
      <c r="D107" t="str">
        <f>"242"</f>
        <v>242</v>
      </c>
      <c r="E107" t="str">
        <f>"62280000"</f>
        <v>62280000</v>
      </c>
      <c r="F107" t="s">
        <v>1253</v>
      </c>
      <c r="G107" t="s">
        <v>336</v>
      </c>
      <c r="H107" t="s">
        <v>342</v>
      </c>
      <c r="I107">
        <v>0</v>
      </c>
      <c r="J107" t="s">
        <v>343</v>
      </c>
      <c r="K107">
        <v>600000</v>
      </c>
      <c r="M107">
        <v>600000</v>
      </c>
    </row>
    <row r="108" spans="1:13" x14ac:dyDescent="0.35">
      <c r="A108" t="str">
        <f t="shared" si="6"/>
        <v>ABN4571724362280000</v>
      </c>
      <c r="B108" t="s">
        <v>11</v>
      </c>
      <c r="C108" s="1">
        <v>45717</v>
      </c>
      <c r="D108" t="str">
        <f>"243"</f>
        <v>243</v>
      </c>
      <c r="E108" t="str">
        <f>"62280000"</f>
        <v>62280000</v>
      </c>
      <c r="F108" t="s">
        <v>1255</v>
      </c>
      <c r="G108" t="s">
        <v>336</v>
      </c>
      <c r="H108" t="s">
        <v>5929</v>
      </c>
      <c r="I108">
        <v>0</v>
      </c>
      <c r="J108" t="s">
        <v>343</v>
      </c>
      <c r="K108">
        <v>317672</v>
      </c>
      <c r="M108">
        <v>317672</v>
      </c>
    </row>
    <row r="109" spans="1:13" x14ac:dyDescent="0.35">
      <c r="A109" t="str">
        <f t="shared" si="6"/>
        <v>ABN4571724466381000</v>
      </c>
      <c r="B109" t="s">
        <v>11</v>
      </c>
      <c r="C109" s="1">
        <v>45717</v>
      </c>
      <c r="D109" t="str">
        <f>"244"</f>
        <v>244</v>
      </c>
      <c r="E109" t="str">
        <f>"66381000"</f>
        <v>66381000</v>
      </c>
      <c r="F109" t="s">
        <v>1256</v>
      </c>
      <c r="G109" t="s">
        <v>336</v>
      </c>
      <c r="H109" t="s">
        <v>5886</v>
      </c>
      <c r="I109">
        <v>0</v>
      </c>
      <c r="J109" t="s">
        <v>343</v>
      </c>
      <c r="K109">
        <v>2000000</v>
      </c>
      <c r="M109">
        <v>2000000</v>
      </c>
    </row>
    <row r="110" spans="1:13" x14ac:dyDescent="0.35">
      <c r="A110" t="str">
        <f t="shared" si="6"/>
        <v>ABN4571724566381000</v>
      </c>
      <c r="B110" t="s">
        <v>11</v>
      </c>
      <c r="C110" s="1">
        <v>45717</v>
      </c>
      <c r="D110" t="str">
        <f>"245"</f>
        <v>245</v>
      </c>
      <c r="E110" t="str">
        <f>"66381000"</f>
        <v>66381000</v>
      </c>
      <c r="F110" t="s">
        <v>1258</v>
      </c>
      <c r="G110" t="s">
        <v>336</v>
      </c>
      <c r="H110" t="s">
        <v>5902</v>
      </c>
      <c r="I110">
        <v>0</v>
      </c>
      <c r="J110" t="s">
        <v>343</v>
      </c>
      <c r="K110">
        <v>1800000</v>
      </c>
      <c r="M110">
        <v>1800000</v>
      </c>
    </row>
    <row r="111" spans="1:13" x14ac:dyDescent="0.35">
      <c r="A111" t="str">
        <f t="shared" si="6"/>
        <v>ABN4571724662210000</v>
      </c>
      <c r="B111" t="s">
        <v>11</v>
      </c>
      <c r="C111" s="1">
        <v>45717</v>
      </c>
      <c r="D111" t="str">
        <f>"246"</f>
        <v>246</v>
      </c>
      <c r="E111" t="str">
        <f>"62210000"</f>
        <v>62210000</v>
      </c>
      <c r="F111" t="s">
        <v>1260</v>
      </c>
      <c r="G111" t="s">
        <v>336</v>
      </c>
      <c r="H111" t="s">
        <v>5883</v>
      </c>
      <c r="I111">
        <v>0</v>
      </c>
      <c r="J111" t="s">
        <v>343</v>
      </c>
      <c r="K111">
        <v>370500</v>
      </c>
      <c r="M111">
        <v>370500</v>
      </c>
    </row>
    <row r="112" spans="1:13" x14ac:dyDescent="0.35">
      <c r="A112" t="str">
        <f t="shared" si="6"/>
        <v>ABN4571724762220000</v>
      </c>
      <c r="B112" t="s">
        <v>11</v>
      </c>
      <c r="C112" s="1">
        <v>45717</v>
      </c>
      <c r="D112" t="str">
        <f>"247"</f>
        <v>247</v>
      </c>
      <c r="E112" t="str">
        <f>"62220000"</f>
        <v>62220000</v>
      </c>
      <c r="F112" t="s">
        <v>1262</v>
      </c>
      <c r="G112" t="s">
        <v>336</v>
      </c>
      <c r="H112" t="s">
        <v>5905</v>
      </c>
      <c r="I112">
        <v>0</v>
      </c>
      <c r="J112" t="s">
        <v>343</v>
      </c>
      <c r="K112">
        <v>935000</v>
      </c>
      <c r="M112">
        <v>935000</v>
      </c>
    </row>
    <row r="113" spans="1:13" x14ac:dyDescent="0.35">
      <c r="A113" t="str">
        <f t="shared" si="6"/>
        <v>ABN4571724862530000</v>
      </c>
      <c r="B113" t="s">
        <v>11</v>
      </c>
      <c r="C113" s="1">
        <v>45717</v>
      </c>
      <c r="D113" t="str">
        <f>"248"</f>
        <v>248</v>
      </c>
      <c r="E113" t="str">
        <f>"62530000"</f>
        <v>62530000</v>
      </c>
      <c r="F113" t="s">
        <v>1264</v>
      </c>
      <c r="G113" t="s">
        <v>336</v>
      </c>
      <c r="H113" t="s">
        <v>342</v>
      </c>
      <c r="I113">
        <v>0</v>
      </c>
      <c r="J113" t="s">
        <v>343</v>
      </c>
      <c r="K113">
        <v>1032703</v>
      </c>
      <c r="M113">
        <v>1032703</v>
      </c>
    </row>
    <row r="114" spans="1:13" x14ac:dyDescent="0.35">
      <c r="A114" t="str">
        <f t="shared" si="6"/>
        <v>ABN4571724962210000</v>
      </c>
      <c r="B114" t="s">
        <v>11</v>
      </c>
      <c r="C114" s="1">
        <v>45717</v>
      </c>
      <c r="D114" t="str">
        <f>"249"</f>
        <v>249</v>
      </c>
      <c r="E114" t="str">
        <f>"62210000"</f>
        <v>62210000</v>
      </c>
      <c r="F114" t="s">
        <v>1266</v>
      </c>
      <c r="G114" t="s">
        <v>336</v>
      </c>
      <c r="H114" t="s">
        <v>5905</v>
      </c>
      <c r="I114">
        <v>0</v>
      </c>
      <c r="J114" t="s">
        <v>343</v>
      </c>
      <c r="K114">
        <v>2772470</v>
      </c>
      <c r="M114">
        <v>2772470</v>
      </c>
    </row>
    <row r="115" spans="1:13" x14ac:dyDescent="0.35">
      <c r="A115" t="str">
        <f t="shared" si="6"/>
        <v>ABN4571725064111000</v>
      </c>
      <c r="B115" t="s">
        <v>11</v>
      </c>
      <c r="C115" s="1">
        <v>45717</v>
      </c>
      <c r="D115" t="str">
        <f>"250"</f>
        <v>250</v>
      </c>
      <c r="E115" t="str">
        <f>"64111000"</f>
        <v>64111000</v>
      </c>
      <c r="F115" t="s">
        <v>1268</v>
      </c>
      <c r="G115" t="s">
        <v>336</v>
      </c>
      <c r="H115" t="s">
        <v>5930</v>
      </c>
      <c r="I115">
        <v>0</v>
      </c>
      <c r="J115" t="s">
        <v>343</v>
      </c>
      <c r="K115">
        <v>668083</v>
      </c>
      <c r="M115">
        <v>668083</v>
      </c>
    </row>
    <row r="116" spans="1:13" x14ac:dyDescent="0.35">
      <c r="A116" t="str">
        <f t="shared" si="6"/>
        <v>ABN4571725162881000</v>
      </c>
      <c r="B116" t="s">
        <v>11</v>
      </c>
      <c r="C116" s="1">
        <v>45717</v>
      </c>
      <c r="D116" t="str">
        <f>"251"</f>
        <v>251</v>
      </c>
      <c r="E116" t="str">
        <f>"62881000"</f>
        <v>62881000</v>
      </c>
      <c r="F116" t="s">
        <v>1270</v>
      </c>
      <c r="G116" t="s">
        <v>336</v>
      </c>
      <c r="H116" t="s">
        <v>5882</v>
      </c>
      <c r="I116">
        <v>0</v>
      </c>
      <c r="J116" t="s">
        <v>343</v>
      </c>
      <c r="K116">
        <v>183750</v>
      </c>
      <c r="M116">
        <v>330000</v>
      </c>
    </row>
    <row r="117" spans="1:13" x14ac:dyDescent="0.35">
      <c r="A117" t="str">
        <f t="shared" si="6"/>
        <v>ABN4571725162881000</v>
      </c>
      <c r="B117" t="s">
        <v>11</v>
      </c>
      <c r="C117" s="1">
        <v>45717</v>
      </c>
      <c r="D117" t="str">
        <f>"251"</f>
        <v>251</v>
      </c>
      <c r="E117" t="str">
        <f>"62881000"</f>
        <v>62881000</v>
      </c>
      <c r="F117" t="s">
        <v>1270</v>
      </c>
      <c r="G117" t="s">
        <v>336</v>
      </c>
      <c r="H117" t="s">
        <v>5883</v>
      </c>
      <c r="I117">
        <v>0</v>
      </c>
      <c r="J117" t="s">
        <v>343</v>
      </c>
      <c r="K117">
        <v>146250</v>
      </c>
      <c r="M117">
        <v>330000</v>
      </c>
    </row>
    <row r="118" spans="1:13" x14ac:dyDescent="0.35">
      <c r="A118" t="str">
        <f t="shared" si="6"/>
        <v>ABN4571725264620000</v>
      </c>
      <c r="B118" t="s">
        <v>11</v>
      </c>
      <c r="C118" s="1">
        <v>45717</v>
      </c>
      <c r="D118" t="str">
        <f>"252"</f>
        <v>252</v>
      </c>
      <c r="E118" t="str">
        <f>"64620000"</f>
        <v>64620000</v>
      </c>
      <c r="F118" t="s">
        <v>1271</v>
      </c>
      <c r="G118" t="s">
        <v>336</v>
      </c>
      <c r="H118" t="s">
        <v>5902</v>
      </c>
      <c r="I118">
        <v>0</v>
      </c>
      <c r="J118" t="s">
        <v>343</v>
      </c>
      <c r="K118">
        <v>49091</v>
      </c>
      <c r="M118">
        <v>49091</v>
      </c>
    </row>
    <row r="119" spans="1:13" x14ac:dyDescent="0.35">
      <c r="A119" t="str">
        <f t="shared" si="6"/>
        <v>ABN4571725364620000</v>
      </c>
      <c r="B119" t="s">
        <v>11</v>
      </c>
      <c r="C119" s="1">
        <v>45717</v>
      </c>
      <c r="D119" t="str">
        <f>"253"</f>
        <v>253</v>
      </c>
      <c r="E119" t="str">
        <f>"64620000"</f>
        <v>64620000</v>
      </c>
      <c r="F119" t="s">
        <v>1272</v>
      </c>
      <c r="G119" t="s">
        <v>336</v>
      </c>
      <c r="H119" t="s">
        <v>5883</v>
      </c>
      <c r="I119">
        <v>0</v>
      </c>
      <c r="J119" t="s">
        <v>343</v>
      </c>
      <c r="K119">
        <v>9263</v>
      </c>
      <c r="M119">
        <v>9263</v>
      </c>
    </row>
    <row r="120" spans="1:13" x14ac:dyDescent="0.35">
      <c r="A120" t="str">
        <f t="shared" si="6"/>
        <v>ABN4571725464620000</v>
      </c>
      <c r="B120" t="s">
        <v>11</v>
      </c>
      <c r="C120" s="1">
        <v>45717</v>
      </c>
      <c r="D120" t="str">
        <f>"254"</f>
        <v>254</v>
      </c>
      <c r="E120" t="str">
        <f>"64620000"</f>
        <v>64620000</v>
      </c>
      <c r="F120" t="s">
        <v>1273</v>
      </c>
      <c r="G120" t="s">
        <v>336</v>
      </c>
      <c r="H120" t="s">
        <v>5905</v>
      </c>
      <c r="I120">
        <v>0</v>
      </c>
      <c r="J120" t="s">
        <v>343</v>
      </c>
      <c r="K120">
        <v>23375</v>
      </c>
      <c r="M120">
        <v>23375</v>
      </c>
    </row>
    <row r="121" spans="1:13" x14ac:dyDescent="0.35">
      <c r="A121" t="str">
        <f t="shared" si="6"/>
        <v>ABN4571725564810000</v>
      </c>
      <c r="B121" t="s">
        <v>11</v>
      </c>
      <c r="C121" s="1">
        <v>45717</v>
      </c>
      <c r="D121" t="str">
        <f>"255"</f>
        <v>255</v>
      </c>
      <c r="E121" t="str">
        <f>"64810000"</f>
        <v>64810000</v>
      </c>
      <c r="F121" t="s">
        <v>1275</v>
      </c>
      <c r="G121" t="s">
        <v>336</v>
      </c>
      <c r="H121" t="s">
        <v>5889</v>
      </c>
      <c r="I121">
        <v>0</v>
      </c>
      <c r="J121" t="s">
        <v>343</v>
      </c>
      <c r="K121">
        <v>3412000</v>
      </c>
      <c r="M121">
        <v>3412000</v>
      </c>
    </row>
    <row r="122" spans="1:13" x14ac:dyDescent="0.35">
      <c r="A122" t="str">
        <f t="shared" si="6"/>
        <v>ABN4571725667450000</v>
      </c>
      <c r="B122" t="s">
        <v>11</v>
      </c>
      <c r="C122" s="1">
        <v>45717</v>
      </c>
      <c r="D122" t="str">
        <f>"256"</f>
        <v>256</v>
      </c>
      <c r="E122" t="str">
        <f>"67450000"</f>
        <v>67450000</v>
      </c>
      <c r="F122" t="s">
        <v>1276</v>
      </c>
      <c r="G122" t="s">
        <v>336</v>
      </c>
      <c r="H122" t="s">
        <v>342</v>
      </c>
      <c r="I122">
        <v>0</v>
      </c>
      <c r="J122" t="s">
        <v>343</v>
      </c>
      <c r="K122">
        <v>2821694</v>
      </c>
      <c r="M122">
        <v>2821694</v>
      </c>
    </row>
    <row r="123" spans="1:13" x14ac:dyDescent="0.35">
      <c r="A123" t="str">
        <f t="shared" si="6"/>
        <v>ABN4571725762521000</v>
      </c>
      <c r="B123" t="s">
        <v>11</v>
      </c>
      <c r="C123" s="1">
        <v>45717</v>
      </c>
      <c r="D123" t="str">
        <f t="shared" ref="D123:D133" si="9">"257"</f>
        <v>257</v>
      </c>
      <c r="E123" t="str">
        <f t="shared" ref="E123:E133" si="10">"62521000"</f>
        <v>62521000</v>
      </c>
      <c r="F123" t="s">
        <v>1277</v>
      </c>
      <c r="G123" t="s">
        <v>336</v>
      </c>
      <c r="H123" t="s">
        <v>5891</v>
      </c>
      <c r="I123">
        <v>0</v>
      </c>
      <c r="J123" t="s">
        <v>343</v>
      </c>
      <c r="K123">
        <v>817908</v>
      </c>
      <c r="M123">
        <v>21891568</v>
      </c>
    </row>
    <row r="124" spans="1:13" x14ac:dyDescent="0.35">
      <c r="A124" t="str">
        <f t="shared" si="6"/>
        <v>ABN4571725762521000</v>
      </c>
      <c r="B124" t="s">
        <v>11</v>
      </c>
      <c r="C124" s="1">
        <v>45717</v>
      </c>
      <c r="D124" t="str">
        <f t="shared" si="9"/>
        <v>257</v>
      </c>
      <c r="E124" t="str">
        <f t="shared" si="10"/>
        <v>62521000</v>
      </c>
      <c r="F124" t="s">
        <v>1277</v>
      </c>
      <c r="G124" t="s">
        <v>336</v>
      </c>
      <c r="H124" t="s">
        <v>5892</v>
      </c>
      <c r="I124">
        <v>0</v>
      </c>
      <c r="J124" t="s">
        <v>343</v>
      </c>
      <c r="K124">
        <v>435307</v>
      </c>
      <c r="M124">
        <v>21891568</v>
      </c>
    </row>
    <row r="125" spans="1:13" x14ac:dyDescent="0.35">
      <c r="A125" t="str">
        <f t="shared" si="6"/>
        <v>ABN4571725762521000</v>
      </c>
      <c r="B125" t="s">
        <v>11</v>
      </c>
      <c r="C125" s="1">
        <v>45717</v>
      </c>
      <c r="D125" t="str">
        <f t="shared" si="9"/>
        <v>257</v>
      </c>
      <c r="E125" t="str">
        <f t="shared" si="10"/>
        <v>62521000</v>
      </c>
      <c r="F125" t="s">
        <v>1277</v>
      </c>
      <c r="G125" t="s">
        <v>336</v>
      </c>
      <c r="H125" t="s">
        <v>5899</v>
      </c>
      <c r="I125">
        <v>0</v>
      </c>
      <c r="J125" t="s">
        <v>343</v>
      </c>
      <c r="K125">
        <v>1610211</v>
      </c>
      <c r="M125">
        <v>21891568</v>
      </c>
    </row>
    <row r="126" spans="1:13" x14ac:dyDescent="0.35">
      <c r="A126" t="str">
        <f t="shared" si="6"/>
        <v>ABN4571725762521000</v>
      </c>
      <c r="B126" t="s">
        <v>11</v>
      </c>
      <c r="C126" s="1">
        <v>45717</v>
      </c>
      <c r="D126" t="str">
        <f t="shared" si="9"/>
        <v>257</v>
      </c>
      <c r="E126" t="str">
        <f t="shared" si="10"/>
        <v>62521000</v>
      </c>
      <c r="F126" t="s">
        <v>1277</v>
      </c>
      <c r="G126" t="s">
        <v>336</v>
      </c>
      <c r="H126" t="s">
        <v>5893</v>
      </c>
      <c r="I126">
        <v>0</v>
      </c>
      <c r="J126" t="s">
        <v>343</v>
      </c>
      <c r="K126">
        <v>3251909</v>
      </c>
      <c r="M126">
        <v>21891568</v>
      </c>
    </row>
    <row r="127" spans="1:13" x14ac:dyDescent="0.35">
      <c r="A127" t="str">
        <f t="shared" si="6"/>
        <v>ABN4571725762521000</v>
      </c>
      <c r="B127" t="s">
        <v>11</v>
      </c>
      <c r="C127" s="1">
        <v>45717</v>
      </c>
      <c r="D127" t="str">
        <f t="shared" si="9"/>
        <v>257</v>
      </c>
      <c r="E127" t="str">
        <f t="shared" si="10"/>
        <v>62521000</v>
      </c>
      <c r="F127" t="s">
        <v>1277</v>
      </c>
      <c r="G127" t="s">
        <v>336</v>
      </c>
      <c r="H127" t="s">
        <v>5894</v>
      </c>
      <c r="I127">
        <v>0</v>
      </c>
      <c r="J127" t="s">
        <v>343</v>
      </c>
      <c r="K127">
        <v>5513014</v>
      </c>
      <c r="M127">
        <v>21891568</v>
      </c>
    </row>
    <row r="128" spans="1:13" x14ac:dyDescent="0.35">
      <c r="A128" t="str">
        <f t="shared" si="6"/>
        <v>ABN4571725762521000</v>
      </c>
      <c r="B128" t="s">
        <v>11</v>
      </c>
      <c r="C128" s="1">
        <v>45717</v>
      </c>
      <c r="D128" t="str">
        <f t="shared" si="9"/>
        <v>257</v>
      </c>
      <c r="E128" t="str">
        <f t="shared" si="10"/>
        <v>62521000</v>
      </c>
      <c r="F128" t="s">
        <v>1277</v>
      </c>
      <c r="G128" t="s">
        <v>336</v>
      </c>
      <c r="H128" t="s">
        <v>5895</v>
      </c>
      <c r="I128">
        <v>0</v>
      </c>
      <c r="J128" t="s">
        <v>343</v>
      </c>
      <c r="K128">
        <v>848925</v>
      </c>
      <c r="M128">
        <v>21891568</v>
      </c>
    </row>
    <row r="129" spans="1:13" x14ac:dyDescent="0.35">
      <c r="A129" t="str">
        <f t="shared" si="6"/>
        <v>ABN4571725762521000</v>
      </c>
      <c r="B129" t="s">
        <v>11</v>
      </c>
      <c r="C129" s="1">
        <v>45717</v>
      </c>
      <c r="D129" t="str">
        <f t="shared" si="9"/>
        <v>257</v>
      </c>
      <c r="E129" t="str">
        <f t="shared" si="10"/>
        <v>62521000</v>
      </c>
      <c r="F129" t="s">
        <v>1277</v>
      </c>
      <c r="G129" t="s">
        <v>336</v>
      </c>
      <c r="H129" t="s">
        <v>5900</v>
      </c>
      <c r="I129">
        <v>0</v>
      </c>
      <c r="J129" t="s">
        <v>343</v>
      </c>
      <c r="K129">
        <v>1830490</v>
      </c>
      <c r="M129">
        <v>21891568</v>
      </c>
    </row>
    <row r="130" spans="1:13" x14ac:dyDescent="0.35">
      <c r="A130" t="str">
        <f t="shared" si="6"/>
        <v>ABN4571725762521000</v>
      </c>
      <c r="B130" t="s">
        <v>11</v>
      </c>
      <c r="C130" s="1">
        <v>45717</v>
      </c>
      <c r="D130" t="str">
        <f t="shared" si="9"/>
        <v>257</v>
      </c>
      <c r="E130" t="str">
        <f t="shared" si="10"/>
        <v>62521000</v>
      </c>
      <c r="F130" t="s">
        <v>1277</v>
      </c>
      <c r="G130" t="s">
        <v>336</v>
      </c>
      <c r="H130" t="s">
        <v>5896</v>
      </c>
      <c r="I130">
        <v>0</v>
      </c>
      <c r="J130" t="s">
        <v>343</v>
      </c>
      <c r="K130">
        <v>2277297</v>
      </c>
      <c r="M130">
        <v>21891568</v>
      </c>
    </row>
    <row r="131" spans="1:13" x14ac:dyDescent="0.35">
      <c r="A131" t="str">
        <f t="shared" ref="A131:A194" si="11">CONCATENATE(B131,C131,D131,E131)</f>
        <v>ABN4571725762521000</v>
      </c>
      <c r="B131" t="s">
        <v>11</v>
      </c>
      <c r="C131" s="1">
        <v>45717</v>
      </c>
      <c r="D131" t="str">
        <f t="shared" si="9"/>
        <v>257</v>
      </c>
      <c r="E131" t="str">
        <f t="shared" si="10"/>
        <v>62521000</v>
      </c>
      <c r="F131" t="s">
        <v>1277</v>
      </c>
      <c r="G131" t="s">
        <v>336</v>
      </c>
      <c r="H131" t="s">
        <v>5897</v>
      </c>
      <c r="I131">
        <v>0</v>
      </c>
      <c r="J131" t="s">
        <v>343</v>
      </c>
      <c r="K131">
        <v>2743447</v>
      </c>
      <c r="M131">
        <v>21891568</v>
      </c>
    </row>
    <row r="132" spans="1:13" x14ac:dyDescent="0.35">
      <c r="A132" t="str">
        <f t="shared" si="11"/>
        <v>ABN4571725762521000</v>
      </c>
      <c r="B132" t="s">
        <v>11</v>
      </c>
      <c r="C132" s="1">
        <v>45717</v>
      </c>
      <c r="D132" t="str">
        <f t="shared" si="9"/>
        <v>257</v>
      </c>
      <c r="E132" t="str">
        <f t="shared" si="10"/>
        <v>62521000</v>
      </c>
      <c r="F132" t="s">
        <v>1277</v>
      </c>
      <c r="G132" t="s">
        <v>336</v>
      </c>
      <c r="H132" t="s">
        <v>5892</v>
      </c>
      <c r="I132">
        <v>0</v>
      </c>
      <c r="J132" t="s">
        <v>343</v>
      </c>
      <c r="K132">
        <v>2277297</v>
      </c>
      <c r="M132">
        <v>21891568</v>
      </c>
    </row>
    <row r="133" spans="1:13" x14ac:dyDescent="0.35">
      <c r="A133" t="str">
        <f t="shared" si="11"/>
        <v>ABN4571725762521000</v>
      </c>
      <c r="B133" t="s">
        <v>11</v>
      </c>
      <c r="C133" s="1">
        <v>45717</v>
      </c>
      <c r="D133" t="str">
        <f t="shared" si="9"/>
        <v>257</v>
      </c>
      <c r="E133" t="str">
        <f t="shared" si="10"/>
        <v>62521000</v>
      </c>
      <c r="F133" t="s">
        <v>1277</v>
      </c>
      <c r="G133" t="s">
        <v>336</v>
      </c>
      <c r="H133" t="s">
        <v>5898</v>
      </c>
      <c r="I133">
        <v>0</v>
      </c>
      <c r="J133" t="s">
        <v>343</v>
      </c>
      <c r="K133">
        <v>285763</v>
      </c>
      <c r="M133">
        <v>21891568</v>
      </c>
    </row>
    <row r="134" spans="1:13" x14ac:dyDescent="0.35">
      <c r="A134" t="str">
        <f t="shared" si="11"/>
        <v>ABN4571725862881000</v>
      </c>
      <c r="B134" t="s">
        <v>11</v>
      </c>
      <c r="C134" s="1">
        <v>45717</v>
      </c>
      <c r="D134" t="str">
        <f>"258"</f>
        <v>258</v>
      </c>
      <c r="E134" t="str">
        <f>"62881000"</f>
        <v>62881000</v>
      </c>
      <c r="F134" t="s">
        <v>1278</v>
      </c>
      <c r="G134" t="s">
        <v>336</v>
      </c>
      <c r="H134" t="s">
        <v>5883</v>
      </c>
      <c r="I134">
        <v>0</v>
      </c>
      <c r="J134" t="s">
        <v>343</v>
      </c>
      <c r="K134">
        <v>1800000</v>
      </c>
      <c r="M134">
        <v>1800000</v>
      </c>
    </row>
    <row r="135" spans="1:13" x14ac:dyDescent="0.35">
      <c r="A135" t="str">
        <f t="shared" si="11"/>
        <v>ABN4571725964110000</v>
      </c>
      <c r="B135" t="s">
        <v>11</v>
      </c>
      <c r="C135" s="1">
        <v>45717</v>
      </c>
      <c r="D135" t="str">
        <f>"259"</f>
        <v>259</v>
      </c>
      <c r="E135" t="str">
        <f>"64110000"</f>
        <v>64110000</v>
      </c>
      <c r="F135" t="s">
        <v>1279</v>
      </c>
      <c r="G135" t="s">
        <v>336</v>
      </c>
      <c r="H135" t="s">
        <v>5930</v>
      </c>
      <c r="I135">
        <v>0</v>
      </c>
      <c r="J135" t="s">
        <v>343</v>
      </c>
      <c r="K135">
        <v>2417280</v>
      </c>
      <c r="M135">
        <v>2417280</v>
      </c>
    </row>
    <row r="136" spans="1:13" x14ac:dyDescent="0.35">
      <c r="A136" t="str">
        <f t="shared" si="11"/>
        <v>ABN4571726064110000</v>
      </c>
      <c r="B136" t="s">
        <v>11</v>
      </c>
      <c r="C136" s="1">
        <v>45717</v>
      </c>
      <c r="D136" t="str">
        <f>"260"</f>
        <v>260</v>
      </c>
      <c r="E136" t="str">
        <f>"64110000"</f>
        <v>64110000</v>
      </c>
      <c r="F136" t="s">
        <v>1281</v>
      </c>
      <c r="G136" t="s">
        <v>336</v>
      </c>
      <c r="H136" t="s">
        <v>5906</v>
      </c>
      <c r="I136">
        <v>0</v>
      </c>
      <c r="J136" t="s">
        <v>343</v>
      </c>
      <c r="K136">
        <v>521163</v>
      </c>
      <c r="M136">
        <v>521163</v>
      </c>
    </row>
    <row r="137" spans="1:13" x14ac:dyDescent="0.35">
      <c r="A137" t="str">
        <f t="shared" si="11"/>
        <v>ABN4571726164110000</v>
      </c>
      <c r="B137" t="s">
        <v>11</v>
      </c>
      <c r="C137" s="1">
        <v>45717</v>
      </c>
      <c r="D137" t="str">
        <f>"261"</f>
        <v>261</v>
      </c>
      <c r="E137" t="str">
        <f>"64110000"</f>
        <v>64110000</v>
      </c>
      <c r="F137" t="s">
        <v>1282</v>
      </c>
      <c r="G137" t="s">
        <v>336</v>
      </c>
      <c r="H137" t="s">
        <v>5906</v>
      </c>
      <c r="I137">
        <v>0</v>
      </c>
      <c r="J137" t="s">
        <v>343</v>
      </c>
      <c r="K137">
        <v>1100</v>
      </c>
      <c r="M137">
        <v>1100</v>
      </c>
    </row>
    <row r="138" spans="1:13" x14ac:dyDescent="0.35">
      <c r="A138" t="str">
        <f t="shared" si="11"/>
        <v>ABN4571726264110000</v>
      </c>
      <c r="B138" t="s">
        <v>11</v>
      </c>
      <c r="C138" s="1">
        <v>45717</v>
      </c>
      <c r="D138" t="str">
        <f>"262"</f>
        <v>262</v>
      </c>
      <c r="E138" t="str">
        <f>"64110000"</f>
        <v>64110000</v>
      </c>
      <c r="F138" t="s">
        <v>1284</v>
      </c>
      <c r="G138" t="s">
        <v>336</v>
      </c>
      <c r="H138" t="s">
        <v>5905</v>
      </c>
      <c r="I138">
        <v>0</v>
      </c>
      <c r="J138" t="s">
        <v>343</v>
      </c>
      <c r="K138">
        <v>11613443</v>
      </c>
      <c r="M138">
        <v>11613443</v>
      </c>
    </row>
    <row r="139" spans="1:13" x14ac:dyDescent="0.35">
      <c r="A139" t="str">
        <f t="shared" si="11"/>
        <v>ABN4571726363510000</v>
      </c>
      <c r="B139" t="s">
        <v>11</v>
      </c>
      <c r="C139" s="1">
        <v>45717</v>
      </c>
      <c r="D139" t="str">
        <f>"263"</f>
        <v>263</v>
      </c>
      <c r="E139" t="str">
        <f>"63510000"</f>
        <v>63510000</v>
      </c>
      <c r="F139" t="s">
        <v>1285</v>
      </c>
      <c r="G139" t="s">
        <v>336</v>
      </c>
      <c r="H139" t="s">
        <v>5931</v>
      </c>
      <c r="I139">
        <v>0</v>
      </c>
      <c r="J139" t="s">
        <v>343</v>
      </c>
      <c r="K139">
        <v>454546</v>
      </c>
      <c r="M139">
        <v>454546</v>
      </c>
    </row>
    <row r="140" spans="1:13" x14ac:dyDescent="0.35">
      <c r="A140" t="str">
        <f t="shared" si="11"/>
        <v>ABN4571726464630100</v>
      </c>
      <c r="B140" t="s">
        <v>11</v>
      </c>
      <c r="C140" s="1">
        <v>45717</v>
      </c>
      <c r="D140" t="str">
        <f t="shared" ref="D140:D148" si="12">"264"</f>
        <v>264</v>
      </c>
      <c r="E140" t="str">
        <f t="shared" ref="E140:E148" si="13">"64630100"</f>
        <v>64630100</v>
      </c>
      <c r="F140" t="s">
        <v>1287</v>
      </c>
      <c r="G140" t="s">
        <v>336</v>
      </c>
      <c r="H140" t="s">
        <v>5928</v>
      </c>
      <c r="I140">
        <v>0</v>
      </c>
      <c r="J140" t="s">
        <v>343</v>
      </c>
      <c r="K140">
        <v>285000</v>
      </c>
      <c r="M140">
        <v>1055000</v>
      </c>
    </row>
    <row r="141" spans="1:13" x14ac:dyDescent="0.35">
      <c r="A141" t="str">
        <f t="shared" si="11"/>
        <v>ABN4571726464630100</v>
      </c>
      <c r="B141" t="s">
        <v>11</v>
      </c>
      <c r="C141" s="1">
        <v>45717</v>
      </c>
      <c r="D141" t="str">
        <f t="shared" si="12"/>
        <v>264</v>
      </c>
      <c r="E141" t="str">
        <f t="shared" si="13"/>
        <v>64630100</v>
      </c>
      <c r="F141" t="s">
        <v>1287</v>
      </c>
      <c r="G141" t="s">
        <v>336</v>
      </c>
      <c r="H141" t="s">
        <v>5932</v>
      </c>
      <c r="I141">
        <v>0</v>
      </c>
      <c r="J141" t="s">
        <v>343</v>
      </c>
      <c r="K141">
        <v>245000</v>
      </c>
      <c r="M141">
        <v>1055000</v>
      </c>
    </row>
    <row r="142" spans="1:13" x14ac:dyDescent="0.35">
      <c r="A142" t="str">
        <f t="shared" si="11"/>
        <v>ABN4571726464630100</v>
      </c>
      <c r="B142" t="s">
        <v>11</v>
      </c>
      <c r="C142" s="1">
        <v>45717</v>
      </c>
      <c r="D142" t="str">
        <f t="shared" si="12"/>
        <v>264</v>
      </c>
      <c r="E142" t="str">
        <f t="shared" si="13"/>
        <v>64630100</v>
      </c>
      <c r="F142" t="s">
        <v>1287</v>
      </c>
      <c r="G142" t="s">
        <v>336</v>
      </c>
      <c r="H142" t="s">
        <v>5882</v>
      </c>
      <c r="I142">
        <v>0</v>
      </c>
      <c r="J142" t="s">
        <v>343</v>
      </c>
      <c r="K142">
        <v>168000</v>
      </c>
      <c r="M142">
        <v>1055000</v>
      </c>
    </row>
    <row r="143" spans="1:13" x14ac:dyDescent="0.35">
      <c r="A143" t="str">
        <f t="shared" si="11"/>
        <v>ABN4571726464630100</v>
      </c>
      <c r="B143" t="s">
        <v>11</v>
      </c>
      <c r="C143" s="1">
        <v>45717</v>
      </c>
      <c r="D143" t="str">
        <f t="shared" si="12"/>
        <v>264</v>
      </c>
      <c r="E143" t="str">
        <f t="shared" si="13"/>
        <v>64630100</v>
      </c>
      <c r="F143" t="s">
        <v>1287</v>
      </c>
      <c r="G143" t="s">
        <v>336</v>
      </c>
      <c r="H143" t="s">
        <v>5933</v>
      </c>
      <c r="I143">
        <v>0</v>
      </c>
      <c r="J143" t="s">
        <v>343</v>
      </c>
      <c r="K143">
        <v>128000</v>
      </c>
      <c r="M143">
        <v>1055000</v>
      </c>
    </row>
    <row r="144" spans="1:13" x14ac:dyDescent="0.35">
      <c r="A144" t="str">
        <f t="shared" si="11"/>
        <v>ABN4571726464630100</v>
      </c>
      <c r="B144" t="s">
        <v>11</v>
      </c>
      <c r="C144" s="1">
        <v>45717</v>
      </c>
      <c r="D144" t="str">
        <f t="shared" si="12"/>
        <v>264</v>
      </c>
      <c r="E144" t="str">
        <f t="shared" si="13"/>
        <v>64630100</v>
      </c>
      <c r="F144" t="s">
        <v>1287</v>
      </c>
      <c r="G144" t="s">
        <v>336</v>
      </c>
      <c r="H144" t="s">
        <v>5873</v>
      </c>
      <c r="I144">
        <v>0</v>
      </c>
      <c r="J144" t="s">
        <v>343</v>
      </c>
      <c r="K144">
        <v>136000</v>
      </c>
      <c r="M144">
        <v>1055000</v>
      </c>
    </row>
    <row r="145" spans="1:14" x14ac:dyDescent="0.35">
      <c r="A145" t="str">
        <f t="shared" si="11"/>
        <v>ABN4571726464630100</v>
      </c>
      <c r="B145" t="s">
        <v>11</v>
      </c>
      <c r="C145" s="1">
        <v>45717</v>
      </c>
      <c r="D145" t="str">
        <f t="shared" si="12"/>
        <v>264</v>
      </c>
      <c r="E145" t="str">
        <f t="shared" si="13"/>
        <v>64630100</v>
      </c>
      <c r="F145" t="s">
        <v>1287</v>
      </c>
      <c r="G145" t="s">
        <v>336</v>
      </c>
      <c r="H145" t="s">
        <v>5904</v>
      </c>
      <c r="I145">
        <v>0</v>
      </c>
      <c r="J145" t="s">
        <v>343</v>
      </c>
      <c r="K145">
        <v>49000</v>
      </c>
      <c r="M145">
        <v>1055000</v>
      </c>
    </row>
    <row r="146" spans="1:14" x14ac:dyDescent="0.35">
      <c r="A146" t="str">
        <f t="shared" si="11"/>
        <v>ABN4571726464630100</v>
      </c>
      <c r="B146" t="s">
        <v>11</v>
      </c>
      <c r="C146" s="1">
        <v>45717</v>
      </c>
      <c r="D146" t="str">
        <f t="shared" si="12"/>
        <v>264</v>
      </c>
      <c r="E146" t="str">
        <f t="shared" si="13"/>
        <v>64630100</v>
      </c>
      <c r="F146" t="s">
        <v>1287</v>
      </c>
      <c r="G146" t="s">
        <v>336</v>
      </c>
      <c r="H146" t="s">
        <v>5878</v>
      </c>
      <c r="I146">
        <v>0</v>
      </c>
      <c r="J146" t="s">
        <v>343</v>
      </c>
      <c r="K146">
        <v>176000</v>
      </c>
      <c r="M146">
        <v>1055000</v>
      </c>
    </row>
    <row r="147" spans="1:14" x14ac:dyDescent="0.35">
      <c r="A147" t="str">
        <f t="shared" si="11"/>
        <v>ABN4571726464630100</v>
      </c>
      <c r="B147" t="s">
        <v>11</v>
      </c>
      <c r="C147" s="1">
        <v>45717</v>
      </c>
      <c r="D147" t="str">
        <f t="shared" si="12"/>
        <v>264</v>
      </c>
      <c r="E147" t="str">
        <f t="shared" si="13"/>
        <v>64630100</v>
      </c>
      <c r="F147" t="s">
        <v>1287</v>
      </c>
      <c r="G147" t="s">
        <v>336</v>
      </c>
      <c r="H147" t="s">
        <v>5879</v>
      </c>
      <c r="I147">
        <v>0</v>
      </c>
      <c r="J147" t="s">
        <v>343</v>
      </c>
      <c r="K147">
        <v>176000</v>
      </c>
      <c r="M147">
        <v>1055000</v>
      </c>
    </row>
    <row r="148" spans="1:14" x14ac:dyDescent="0.35">
      <c r="A148" t="str">
        <f t="shared" si="11"/>
        <v>ABN4571726464630100</v>
      </c>
      <c r="B148" t="s">
        <v>11</v>
      </c>
      <c r="C148" s="1">
        <v>45717</v>
      </c>
      <c r="D148" t="str">
        <f t="shared" si="12"/>
        <v>264</v>
      </c>
      <c r="E148" t="str">
        <f t="shared" si="13"/>
        <v>64630100</v>
      </c>
      <c r="F148" t="s">
        <v>1287</v>
      </c>
      <c r="G148" t="s">
        <v>336</v>
      </c>
      <c r="H148" t="s">
        <v>5877</v>
      </c>
      <c r="I148">
        <v>0</v>
      </c>
      <c r="J148" t="s">
        <v>343</v>
      </c>
      <c r="K148">
        <v>-308000</v>
      </c>
      <c r="M148">
        <v>1055000</v>
      </c>
    </row>
    <row r="149" spans="1:14" x14ac:dyDescent="0.35">
      <c r="A149" t="str">
        <f t="shared" si="11"/>
        <v>ABN4571726564110000</v>
      </c>
      <c r="B149" t="s">
        <v>11</v>
      </c>
      <c r="C149" s="1">
        <v>45717</v>
      </c>
      <c r="D149" t="str">
        <f>"265"</f>
        <v>265</v>
      </c>
      <c r="E149" t="str">
        <f>"64110000"</f>
        <v>64110000</v>
      </c>
      <c r="F149" t="s">
        <v>1288</v>
      </c>
      <c r="G149" t="s">
        <v>336</v>
      </c>
      <c r="H149" t="s">
        <v>5934</v>
      </c>
      <c r="I149">
        <v>0</v>
      </c>
      <c r="J149" t="s">
        <v>343</v>
      </c>
      <c r="K149">
        <v>483034</v>
      </c>
      <c r="M149">
        <v>483034</v>
      </c>
    </row>
    <row r="150" spans="1:14" x14ac:dyDescent="0.35">
      <c r="A150" t="str">
        <f t="shared" si="11"/>
        <v>ABN4571726664110000</v>
      </c>
      <c r="B150" t="s">
        <v>11</v>
      </c>
      <c r="C150" s="1">
        <v>45717</v>
      </c>
      <c r="D150" t="str">
        <f>"266"</f>
        <v>266</v>
      </c>
      <c r="E150" t="str">
        <f>"64110000"</f>
        <v>64110000</v>
      </c>
      <c r="F150" t="s">
        <v>1290</v>
      </c>
      <c r="G150" t="s">
        <v>336</v>
      </c>
      <c r="H150" t="s">
        <v>5883</v>
      </c>
      <c r="I150">
        <v>0</v>
      </c>
      <c r="J150" t="s">
        <v>343</v>
      </c>
      <c r="K150">
        <v>101118</v>
      </c>
      <c r="M150">
        <v>101118</v>
      </c>
    </row>
    <row r="151" spans="1:14" x14ac:dyDescent="0.35">
      <c r="A151" t="str">
        <f t="shared" si="11"/>
        <v>ABN4571729862521000</v>
      </c>
      <c r="B151" t="s">
        <v>11</v>
      </c>
      <c r="C151" s="1">
        <v>45717</v>
      </c>
      <c r="D151" t="str">
        <f>"298"</f>
        <v>298</v>
      </c>
      <c r="E151" t="str">
        <f>"62521000"</f>
        <v>62521000</v>
      </c>
      <c r="F151" t="s">
        <v>1291</v>
      </c>
      <c r="G151" t="s">
        <v>336</v>
      </c>
      <c r="H151" t="s">
        <v>5932</v>
      </c>
      <c r="I151">
        <v>0</v>
      </c>
      <c r="J151" t="s">
        <v>343</v>
      </c>
      <c r="L151">
        <v>304719</v>
      </c>
      <c r="N151">
        <v>304719</v>
      </c>
    </row>
    <row r="152" spans="1:14" x14ac:dyDescent="0.35">
      <c r="A152" t="str">
        <f t="shared" si="11"/>
        <v>ABN4571729962521000</v>
      </c>
      <c r="B152" t="s">
        <v>11</v>
      </c>
      <c r="C152" s="1">
        <v>45717</v>
      </c>
      <c r="D152" t="str">
        <f>"299"</f>
        <v>299</v>
      </c>
      <c r="E152" t="str">
        <f>"62521000"</f>
        <v>62521000</v>
      </c>
      <c r="F152" t="s">
        <v>1292</v>
      </c>
      <c r="G152" t="s">
        <v>336</v>
      </c>
      <c r="H152" t="s">
        <v>5897</v>
      </c>
      <c r="I152">
        <v>0</v>
      </c>
      <c r="J152" t="s">
        <v>343</v>
      </c>
      <c r="L152">
        <v>542066</v>
      </c>
      <c r="N152">
        <v>542066</v>
      </c>
    </row>
    <row r="153" spans="1:14" x14ac:dyDescent="0.35">
      <c r="A153" t="str">
        <f t="shared" si="11"/>
        <v>ABN4571730062521000</v>
      </c>
      <c r="B153" t="s">
        <v>11</v>
      </c>
      <c r="C153" s="1">
        <v>45717</v>
      </c>
      <c r="D153" t="str">
        <f>"300"</f>
        <v>300</v>
      </c>
      <c r="E153" t="str">
        <f>"62521000"</f>
        <v>62521000</v>
      </c>
      <c r="F153" t="s">
        <v>1293</v>
      </c>
      <c r="G153" t="s">
        <v>336</v>
      </c>
      <c r="H153" t="s">
        <v>5894</v>
      </c>
      <c r="I153">
        <v>0</v>
      </c>
      <c r="J153" t="s">
        <v>343</v>
      </c>
      <c r="L153">
        <v>271147</v>
      </c>
      <c r="N153">
        <v>271147</v>
      </c>
    </row>
    <row r="154" spans="1:14" x14ac:dyDescent="0.35">
      <c r="A154" t="str">
        <f t="shared" si="11"/>
        <v>ABN4571730162521000</v>
      </c>
      <c r="B154" t="s">
        <v>11</v>
      </c>
      <c r="C154" s="1">
        <v>45717</v>
      </c>
      <c r="D154" t="str">
        <f>"301"</f>
        <v>301</v>
      </c>
      <c r="E154" t="str">
        <f>"62521000"</f>
        <v>62521000</v>
      </c>
      <c r="F154" t="s">
        <v>1294</v>
      </c>
      <c r="G154" t="s">
        <v>336</v>
      </c>
      <c r="H154" t="s">
        <v>5891</v>
      </c>
      <c r="I154">
        <v>0</v>
      </c>
      <c r="J154" t="s">
        <v>343</v>
      </c>
      <c r="L154">
        <v>259330</v>
      </c>
      <c r="N154">
        <v>259330</v>
      </c>
    </row>
    <row r="155" spans="1:14" x14ac:dyDescent="0.35">
      <c r="A155" t="str">
        <f t="shared" si="11"/>
        <v>ABN4571730262521000</v>
      </c>
      <c r="B155" t="s">
        <v>11</v>
      </c>
      <c r="C155" s="1">
        <v>45717</v>
      </c>
      <c r="D155" t="str">
        <f>"302"</f>
        <v>302</v>
      </c>
      <c r="E155" t="str">
        <f>"62521000"</f>
        <v>62521000</v>
      </c>
      <c r="F155" t="s">
        <v>1295</v>
      </c>
      <c r="G155" t="s">
        <v>336</v>
      </c>
      <c r="H155" t="s">
        <v>5897</v>
      </c>
      <c r="I155">
        <v>0</v>
      </c>
      <c r="J155" t="s">
        <v>343</v>
      </c>
      <c r="L155">
        <v>132764</v>
      </c>
      <c r="N155">
        <v>132764</v>
      </c>
    </row>
    <row r="156" spans="1:14" x14ac:dyDescent="0.35">
      <c r="A156" t="str">
        <f t="shared" si="11"/>
        <v>ABN4571826763240000</v>
      </c>
      <c r="B156" t="s">
        <v>11</v>
      </c>
      <c r="C156" s="1">
        <v>45718</v>
      </c>
      <c r="D156" t="str">
        <f>"267"</f>
        <v>267</v>
      </c>
      <c r="E156" t="str">
        <f>"63240000"</f>
        <v>63240000</v>
      </c>
      <c r="F156" t="s">
        <v>25</v>
      </c>
      <c r="G156" t="s">
        <v>336</v>
      </c>
      <c r="H156" t="s">
        <v>347</v>
      </c>
      <c r="I156">
        <v>0</v>
      </c>
      <c r="J156" t="s">
        <v>343</v>
      </c>
      <c r="K156">
        <v>1461797</v>
      </c>
      <c r="M156">
        <v>1461797</v>
      </c>
    </row>
    <row r="157" spans="1:14" x14ac:dyDescent="0.35">
      <c r="A157" t="str">
        <f t="shared" si="11"/>
        <v>ABN4571826866840000</v>
      </c>
      <c r="B157" t="s">
        <v>11</v>
      </c>
      <c r="C157" s="1">
        <v>45718</v>
      </c>
      <c r="D157" t="str">
        <f>"268"</f>
        <v>268</v>
      </c>
      <c r="E157" t="str">
        <f>"66840000"</f>
        <v>66840000</v>
      </c>
      <c r="F157" t="s">
        <v>1297</v>
      </c>
      <c r="G157" t="s">
        <v>336</v>
      </c>
      <c r="H157" t="s">
        <v>5903</v>
      </c>
      <c r="I157">
        <v>0</v>
      </c>
      <c r="J157" t="s">
        <v>343</v>
      </c>
      <c r="K157">
        <v>2691550</v>
      </c>
      <c r="M157">
        <v>2691550</v>
      </c>
    </row>
    <row r="158" spans="1:14" x14ac:dyDescent="0.35">
      <c r="A158" t="str">
        <f t="shared" si="11"/>
        <v>ABN4571826966183000</v>
      </c>
      <c r="B158" t="s">
        <v>11</v>
      </c>
      <c r="C158" s="1">
        <v>45718</v>
      </c>
      <c r="D158" t="str">
        <f t="shared" ref="D158:D165" si="14">"269"</f>
        <v>269</v>
      </c>
      <c r="E158" t="str">
        <f t="shared" ref="E158:E165" si="15">"66183000"</f>
        <v>66183000</v>
      </c>
      <c r="F158" t="s">
        <v>1300</v>
      </c>
      <c r="G158" t="s">
        <v>336</v>
      </c>
      <c r="H158" t="s">
        <v>5909</v>
      </c>
      <c r="I158">
        <v>0</v>
      </c>
      <c r="J158" t="s">
        <v>343</v>
      </c>
      <c r="K158">
        <v>2557522</v>
      </c>
      <c r="M158">
        <v>18501542</v>
      </c>
    </row>
    <row r="159" spans="1:14" x14ac:dyDescent="0.35">
      <c r="A159" t="str">
        <f t="shared" si="11"/>
        <v>ABN4571826966183000</v>
      </c>
      <c r="B159" t="s">
        <v>11</v>
      </c>
      <c r="C159" s="1">
        <v>45718</v>
      </c>
      <c r="D159" t="str">
        <f t="shared" si="14"/>
        <v>269</v>
      </c>
      <c r="E159" t="str">
        <f t="shared" si="15"/>
        <v>66183000</v>
      </c>
      <c r="F159" t="s">
        <v>1300</v>
      </c>
      <c r="G159" t="s">
        <v>336</v>
      </c>
      <c r="H159" t="s">
        <v>5886</v>
      </c>
      <c r="I159">
        <v>0</v>
      </c>
      <c r="J159" t="s">
        <v>343</v>
      </c>
      <c r="K159">
        <v>3198291</v>
      </c>
      <c r="M159">
        <v>18501542</v>
      </c>
    </row>
    <row r="160" spans="1:14" x14ac:dyDescent="0.35">
      <c r="A160" t="str">
        <f t="shared" si="11"/>
        <v>ABN4571826966183000</v>
      </c>
      <c r="B160" t="s">
        <v>11</v>
      </c>
      <c r="C160" s="1">
        <v>45718</v>
      </c>
      <c r="D160" t="str">
        <f t="shared" si="14"/>
        <v>269</v>
      </c>
      <c r="E160" t="str">
        <f t="shared" si="15"/>
        <v>66183000</v>
      </c>
      <c r="F160" t="s">
        <v>1300</v>
      </c>
      <c r="G160" t="s">
        <v>336</v>
      </c>
      <c r="H160" t="s">
        <v>5913</v>
      </c>
      <c r="I160">
        <v>0</v>
      </c>
      <c r="J160" t="s">
        <v>343</v>
      </c>
      <c r="K160">
        <v>3385116</v>
      </c>
      <c r="M160">
        <v>18501542</v>
      </c>
    </row>
    <row r="161" spans="1:13" x14ac:dyDescent="0.35">
      <c r="A161" t="str">
        <f t="shared" si="11"/>
        <v>ABN4571826966183000</v>
      </c>
      <c r="B161" t="s">
        <v>11</v>
      </c>
      <c r="C161" s="1">
        <v>45718</v>
      </c>
      <c r="D161" t="str">
        <f t="shared" si="14"/>
        <v>269</v>
      </c>
      <c r="E161" t="str">
        <f t="shared" si="15"/>
        <v>66183000</v>
      </c>
      <c r="F161" t="s">
        <v>1300</v>
      </c>
      <c r="G161" t="s">
        <v>336</v>
      </c>
      <c r="H161" t="s">
        <v>5914</v>
      </c>
      <c r="I161">
        <v>0</v>
      </c>
      <c r="J161" t="s">
        <v>343</v>
      </c>
      <c r="K161">
        <v>2207566</v>
      </c>
      <c r="M161">
        <v>18501542</v>
      </c>
    </row>
    <row r="162" spans="1:13" x14ac:dyDescent="0.35">
      <c r="A162" t="str">
        <f t="shared" si="11"/>
        <v>ABN4571826966183000</v>
      </c>
      <c r="B162" t="s">
        <v>11</v>
      </c>
      <c r="C162" s="1">
        <v>45718</v>
      </c>
      <c r="D162" t="str">
        <f t="shared" si="14"/>
        <v>269</v>
      </c>
      <c r="E162" t="str">
        <f t="shared" si="15"/>
        <v>66183000</v>
      </c>
      <c r="F162" t="s">
        <v>1300</v>
      </c>
      <c r="G162" t="s">
        <v>336</v>
      </c>
      <c r="H162" t="s">
        <v>5935</v>
      </c>
      <c r="I162">
        <v>0</v>
      </c>
      <c r="J162" t="s">
        <v>343</v>
      </c>
      <c r="K162">
        <v>1859050</v>
      </c>
      <c r="M162">
        <v>18501542</v>
      </c>
    </row>
    <row r="163" spans="1:13" x14ac:dyDescent="0.35">
      <c r="A163" t="str">
        <f t="shared" si="11"/>
        <v>ABN4571826966183000</v>
      </c>
      <c r="B163" t="s">
        <v>11</v>
      </c>
      <c r="C163" s="1">
        <v>45718</v>
      </c>
      <c r="D163" t="str">
        <f t="shared" si="14"/>
        <v>269</v>
      </c>
      <c r="E163" t="str">
        <f t="shared" si="15"/>
        <v>66183000</v>
      </c>
      <c r="F163" t="s">
        <v>1300</v>
      </c>
      <c r="G163" t="s">
        <v>336</v>
      </c>
      <c r="H163" t="s">
        <v>5936</v>
      </c>
      <c r="I163">
        <v>0</v>
      </c>
      <c r="J163" t="s">
        <v>343</v>
      </c>
      <c r="K163">
        <v>1311361</v>
      </c>
      <c r="M163">
        <v>18501542</v>
      </c>
    </row>
    <row r="164" spans="1:13" x14ac:dyDescent="0.35">
      <c r="A164" t="str">
        <f t="shared" si="11"/>
        <v>ABN4571826966183000</v>
      </c>
      <c r="B164" t="s">
        <v>11</v>
      </c>
      <c r="C164" s="1">
        <v>45718</v>
      </c>
      <c r="D164" t="str">
        <f t="shared" si="14"/>
        <v>269</v>
      </c>
      <c r="E164" t="str">
        <f t="shared" si="15"/>
        <v>66183000</v>
      </c>
      <c r="F164" t="s">
        <v>1300</v>
      </c>
      <c r="G164" t="s">
        <v>336</v>
      </c>
      <c r="H164" t="s">
        <v>5902</v>
      </c>
      <c r="I164">
        <v>0</v>
      </c>
      <c r="J164" t="s">
        <v>343</v>
      </c>
      <c r="K164">
        <v>1515663</v>
      </c>
      <c r="M164">
        <v>18501542</v>
      </c>
    </row>
    <row r="165" spans="1:13" x14ac:dyDescent="0.35">
      <c r="A165" t="str">
        <f t="shared" si="11"/>
        <v>ABN4571826966183000</v>
      </c>
      <c r="B165" t="s">
        <v>11</v>
      </c>
      <c r="C165" s="1">
        <v>45718</v>
      </c>
      <c r="D165" t="str">
        <f t="shared" si="14"/>
        <v>269</v>
      </c>
      <c r="E165" t="str">
        <f t="shared" si="15"/>
        <v>66183000</v>
      </c>
      <c r="F165" t="s">
        <v>1300</v>
      </c>
      <c r="G165" t="s">
        <v>336</v>
      </c>
      <c r="H165" t="s">
        <v>5912</v>
      </c>
      <c r="I165">
        <v>0</v>
      </c>
      <c r="J165" t="s">
        <v>343</v>
      </c>
      <c r="K165">
        <v>2466973</v>
      </c>
      <c r="M165">
        <v>18501542</v>
      </c>
    </row>
    <row r="166" spans="1:13" x14ac:dyDescent="0.35">
      <c r="A166" t="str">
        <f t="shared" si="11"/>
        <v>ABN4573127062330000</v>
      </c>
      <c r="B166" t="s">
        <v>11</v>
      </c>
      <c r="C166" s="1">
        <v>45731</v>
      </c>
      <c r="D166" t="str">
        <f>"270"</f>
        <v>270</v>
      </c>
      <c r="E166" t="str">
        <f t="shared" ref="E166:E182" si="16">"62330000"</f>
        <v>62330000</v>
      </c>
      <c r="F166" t="s">
        <v>1302</v>
      </c>
      <c r="G166" t="s">
        <v>336</v>
      </c>
      <c r="H166" t="s">
        <v>5937</v>
      </c>
      <c r="I166">
        <v>0</v>
      </c>
      <c r="J166" t="s">
        <v>343</v>
      </c>
      <c r="K166">
        <v>320963</v>
      </c>
      <c r="M166">
        <v>1604817</v>
      </c>
    </row>
    <row r="167" spans="1:13" x14ac:dyDescent="0.35">
      <c r="A167" t="str">
        <f t="shared" si="11"/>
        <v>ABN4573127062330000</v>
      </c>
      <c r="B167" t="s">
        <v>11</v>
      </c>
      <c r="C167" s="1">
        <v>45731</v>
      </c>
      <c r="D167" t="str">
        <f>"270"</f>
        <v>270</v>
      </c>
      <c r="E167" t="str">
        <f t="shared" si="16"/>
        <v>62330000</v>
      </c>
      <c r="F167" t="s">
        <v>1302</v>
      </c>
      <c r="G167" t="s">
        <v>336</v>
      </c>
      <c r="H167" t="s">
        <v>5901</v>
      </c>
      <c r="I167">
        <v>0</v>
      </c>
      <c r="J167" t="s">
        <v>343</v>
      </c>
      <c r="K167">
        <v>320963</v>
      </c>
      <c r="M167">
        <v>1604817</v>
      </c>
    </row>
    <row r="168" spans="1:13" x14ac:dyDescent="0.35">
      <c r="A168" t="str">
        <f t="shared" si="11"/>
        <v>ABN4573127062330000</v>
      </c>
      <c r="B168" t="s">
        <v>11</v>
      </c>
      <c r="C168" s="1">
        <v>45731</v>
      </c>
      <c r="D168" t="str">
        <f>"270"</f>
        <v>270</v>
      </c>
      <c r="E168" t="str">
        <f t="shared" si="16"/>
        <v>62330000</v>
      </c>
      <c r="F168" t="s">
        <v>1302</v>
      </c>
      <c r="G168" t="s">
        <v>336</v>
      </c>
      <c r="H168" t="s">
        <v>5873</v>
      </c>
      <c r="I168">
        <v>0</v>
      </c>
      <c r="J168" t="s">
        <v>343</v>
      </c>
      <c r="K168">
        <v>962891</v>
      </c>
      <c r="M168">
        <v>1604817</v>
      </c>
    </row>
    <row r="169" spans="1:13" x14ac:dyDescent="0.35">
      <c r="A169" t="str">
        <f t="shared" si="11"/>
        <v>ABN4573127162330000</v>
      </c>
      <c r="B169" t="s">
        <v>11</v>
      </c>
      <c r="C169" s="1">
        <v>45731</v>
      </c>
      <c r="D169" t="str">
        <f>"271"</f>
        <v>271</v>
      </c>
      <c r="E169" t="str">
        <f t="shared" si="16"/>
        <v>62330000</v>
      </c>
      <c r="F169" t="s">
        <v>1304</v>
      </c>
      <c r="G169" t="s">
        <v>336</v>
      </c>
      <c r="H169" t="s">
        <v>5878</v>
      </c>
      <c r="I169">
        <v>0</v>
      </c>
      <c r="J169" t="s">
        <v>343</v>
      </c>
      <c r="K169">
        <v>363469</v>
      </c>
      <c r="M169">
        <v>363469</v>
      </c>
    </row>
    <row r="170" spans="1:13" x14ac:dyDescent="0.35">
      <c r="A170" t="str">
        <f t="shared" si="11"/>
        <v>ABN4573127262330000</v>
      </c>
      <c r="B170" t="s">
        <v>11</v>
      </c>
      <c r="C170" s="1">
        <v>45731</v>
      </c>
      <c r="D170" t="str">
        <f>"272"</f>
        <v>272</v>
      </c>
      <c r="E170" t="str">
        <f t="shared" si="16"/>
        <v>62330000</v>
      </c>
      <c r="F170" t="s">
        <v>1306</v>
      </c>
      <c r="G170" t="s">
        <v>336</v>
      </c>
      <c r="H170" t="s">
        <v>5879</v>
      </c>
      <c r="I170">
        <v>0</v>
      </c>
      <c r="J170" t="s">
        <v>343</v>
      </c>
      <c r="K170">
        <v>355662</v>
      </c>
      <c r="M170">
        <v>1066987</v>
      </c>
    </row>
    <row r="171" spans="1:13" x14ac:dyDescent="0.35">
      <c r="A171" t="str">
        <f t="shared" si="11"/>
        <v>ABN4573127262330000</v>
      </c>
      <c r="B171" t="s">
        <v>11</v>
      </c>
      <c r="C171" s="1">
        <v>45731</v>
      </c>
      <c r="D171" t="str">
        <f>"272"</f>
        <v>272</v>
      </c>
      <c r="E171" t="str">
        <f t="shared" si="16"/>
        <v>62330000</v>
      </c>
      <c r="F171" t="s">
        <v>1306</v>
      </c>
      <c r="G171" t="s">
        <v>336</v>
      </c>
      <c r="H171" t="s">
        <v>5928</v>
      </c>
      <c r="I171">
        <v>0</v>
      </c>
      <c r="J171" t="s">
        <v>343</v>
      </c>
      <c r="K171">
        <v>711325</v>
      </c>
      <c r="M171">
        <v>1066987</v>
      </c>
    </row>
    <row r="172" spans="1:13" x14ac:dyDescent="0.35">
      <c r="A172" t="str">
        <f t="shared" si="11"/>
        <v>ABN4573127362330000</v>
      </c>
      <c r="B172" t="s">
        <v>11</v>
      </c>
      <c r="C172" s="1">
        <v>45731</v>
      </c>
      <c r="D172" t="str">
        <f>"273"</f>
        <v>273</v>
      </c>
      <c r="E172" t="str">
        <f t="shared" si="16"/>
        <v>62330000</v>
      </c>
      <c r="F172" t="s">
        <v>1308</v>
      </c>
      <c r="G172" t="s">
        <v>336</v>
      </c>
      <c r="H172" t="s">
        <v>5878</v>
      </c>
      <c r="I172">
        <v>0</v>
      </c>
      <c r="J172" t="s">
        <v>343</v>
      </c>
      <c r="K172">
        <v>288589</v>
      </c>
      <c r="M172">
        <v>288589</v>
      </c>
    </row>
    <row r="173" spans="1:13" x14ac:dyDescent="0.35">
      <c r="A173" t="str">
        <f t="shared" si="11"/>
        <v>ABN4573127462330000</v>
      </c>
      <c r="B173" t="s">
        <v>11</v>
      </c>
      <c r="C173" s="1">
        <v>45731</v>
      </c>
      <c r="D173" t="str">
        <f>"274"</f>
        <v>274</v>
      </c>
      <c r="E173" t="str">
        <f t="shared" si="16"/>
        <v>62330000</v>
      </c>
      <c r="F173" t="s">
        <v>1310</v>
      </c>
      <c r="G173" t="s">
        <v>336</v>
      </c>
      <c r="H173" t="s">
        <v>5873</v>
      </c>
      <c r="I173">
        <v>0</v>
      </c>
      <c r="J173" t="s">
        <v>343</v>
      </c>
      <c r="K173">
        <v>288589</v>
      </c>
      <c r="M173">
        <v>288589</v>
      </c>
    </row>
    <row r="174" spans="1:13" x14ac:dyDescent="0.35">
      <c r="A174" t="str">
        <f t="shared" si="11"/>
        <v>ABN4573127562330000</v>
      </c>
      <c r="B174" t="s">
        <v>11</v>
      </c>
      <c r="C174" s="1">
        <v>45731</v>
      </c>
      <c r="D174" t="str">
        <f>"275"</f>
        <v>275</v>
      </c>
      <c r="E174" t="str">
        <f t="shared" si="16"/>
        <v>62330000</v>
      </c>
      <c r="F174" t="s">
        <v>1312</v>
      </c>
      <c r="G174" t="s">
        <v>336</v>
      </c>
      <c r="H174" t="s">
        <v>5873</v>
      </c>
      <c r="I174">
        <v>0</v>
      </c>
      <c r="J174" t="s">
        <v>343</v>
      </c>
      <c r="K174">
        <v>288589</v>
      </c>
      <c r="M174">
        <v>288589</v>
      </c>
    </row>
    <row r="175" spans="1:13" x14ac:dyDescent="0.35">
      <c r="A175" t="str">
        <f t="shared" si="11"/>
        <v>ABN4573127662330000</v>
      </c>
      <c r="B175" t="s">
        <v>11</v>
      </c>
      <c r="C175" s="1">
        <v>45731</v>
      </c>
      <c r="D175" t="str">
        <f>"276"</f>
        <v>276</v>
      </c>
      <c r="E175" t="str">
        <f t="shared" si="16"/>
        <v>62330000</v>
      </c>
      <c r="F175" t="s">
        <v>1314</v>
      </c>
      <c r="G175" t="s">
        <v>336</v>
      </c>
      <c r="H175" t="s">
        <v>5877</v>
      </c>
      <c r="I175">
        <v>0</v>
      </c>
      <c r="J175" t="s">
        <v>343</v>
      </c>
      <c r="K175">
        <v>154409</v>
      </c>
      <c r="M175">
        <v>154409</v>
      </c>
    </row>
    <row r="176" spans="1:13" x14ac:dyDescent="0.35">
      <c r="A176" t="str">
        <f t="shared" si="11"/>
        <v>ABN4573127762330000</v>
      </c>
      <c r="B176" t="s">
        <v>11</v>
      </c>
      <c r="C176" s="1">
        <v>45731</v>
      </c>
      <c r="D176" t="str">
        <f>"277"</f>
        <v>277</v>
      </c>
      <c r="E176" t="str">
        <f t="shared" si="16"/>
        <v>62330000</v>
      </c>
      <c r="F176" t="s">
        <v>1316</v>
      </c>
      <c r="G176" t="s">
        <v>336</v>
      </c>
      <c r="H176" t="s">
        <v>5873</v>
      </c>
      <c r="I176">
        <v>0</v>
      </c>
      <c r="J176" t="s">
        <v>343</v>
      </c>
      <c r="K176">
        <v>154409</v>
      </c>
      <c r="M176">
        <v>154409</v>
      </c>
    </row>
    <row r="177" spans="1:13" x14ac:dyDescent="0.35">
      <c r="A177" t="str">
        <f t="shared" si="11"/>
        <v>ABN4573127862330000</v>
      </c>
      <c r="B177" t="s">
        <v>11</v>
      </c>
      <c r="C177" s="1">
        <v>45731</v>
      </c>
      <c r="D177" t="str">
        <f>"278"</f>
        <v>278</v>
      </c>
      <c r="E177" t="str">
        <f t="shared" si="16"/>
        <v>62330000</v>
      </c>
      <c r="F177" t="s">
        <v>1318</v>
      </c>
      <c r="G177" t="s">
        <v>336</v>
      </c>
      <c r="H177" t="s">
        <v>5878</v>
      </c>
      <c r="I177">
        <v>0</v>
      </c>
      <c r="J177" t="s">
        <v>343</v>
      </c>
      <c r="K177">
        <v>154409</v>
      </c>
      <c r="M177">
        <v>154409</v>
      </c>
    </row>
    <row r="178" spans="1:13" x14ac:dyDescent="0.35">
      <c r="A178" t="str">
        <f t="shared" si="11"/>
        <v>ABN4573127962330000</v>
      </c>
      <c r="B178" t="s">
        <v>11</v>
      </c>
      <c r="C178" s="1">
        <v>45731</v>
      </c>
      <c r="D178" t="str">
        <f>"279"</f>
        <v>279</v>
      </c>
      <c r="E178" t="str">
        <f t="shared" si="16"/>
        <v>62330000</v>
      </c>
      <c r="F178" t="s">
        <v>1320</v>
      </c>
      <c r="G178" t="s">
        <v>336</v>
      </c>
      <c r="H178" t="s">
        <v>5873</v>
      </c>
      <c r="I178">
        <v>0</v>
      </c>
      <c r="J178" t="s">
        <v>343</v>
      </c>
      <c r="K178">
        <v>362602</v>
      </c>
      <c r="M178">
        <v>362602</v>
      </c>
    </row>
    <row r="179" spans="1:13" x14ac:dyDescent="0.35">
      <c r="A179" t="str">
        <f t="shared" si="11"/>
        <v>ABN4573128062330000</v>
      </c>
      <c r="B179" t="s">
        <v>11</v>
      </c>
      <c r="C179" s="1">
        <v>45731</v>
      </c>
      <c r="D179" t="str">
        <f>"280"</f>
        <v>280</v>
      </c>
      <c r="E179" t="str">
        <f t="shared" si="16"/>
        <v>62330000</v>
      </c>
      <c r="F179" t="s">
        <v>1322</v>
      </c>
      <c r="G179" t="s">
        <v>336</v>
      </c>
      <c r="H179" t="s">
        <v>5938</v>
      </c>
      <c r="I179">
        <v>0</v>
      </c>
      <c r="J179" t="s">
        <v>343</v>
      </c>
      <c r="K179">
        <v>1239910</v>
      </c>
      <c r="M179">
        <v>1239910</v>
      </c>
    </row>
    <row r="180" spans="1:13" x14ac:dyDescent="0.35">
      <c r="A180" t="str">
        <f t="shared" si="11"/>
        <v>ABN4573128162330000</v>
      </c>
      <c r="B180" t="s">
        <v>11</v>
      </c>
      <c r="C180" s="1">
        <v>45731</v>
      </c>
      <c r="D180" t="str">
        <f>"281"</f>
        <v>281</v>
      </c>
      <c r="E180" t="str">
        <f t="shared" si="16"/>
        <v>62330000</v>
      </c>
      <c r="F180" t="s">
        <v>1324</v>
      </c>
      <c r="G180" t="s">
        <v>336</v>
      </c>
      <c r="H180" t="s">
        <v>5873</v>
      </c>
      <c r="I180">
        <v>0</v>
      </c>
      <c r="J180" t="s">
        <v>343</v>
      </c>
      <c r="K180">
        <v>916455</v>
      </c>
      <c r="M180">
        <v>916455</v>
      </c>
    </row>
    <row r="181" spans="1:13" x14ac:dyDescent="0.35">
      <c r="A181" t="str">
        <f t="shared" si="11"/>
        <v>ABN4573128262330000</v>
      </c>
      <c r="B181" t="s">
        <v>11</v>
      </c>
      <c r="C181" s="1">
        <v>45731</v>
      </c>
      <c r="D181" t="str">
        <f>"282"</f>
        <v>282</v>
      </c>
      <c r="E181" t="str">
        <f t="shared" si="16"/>
        <v>62330000</v>
      </c>
      <c r="F181" t="s">
        <v>1326</v>
      </c>
      <c r="G181" t="s">
        <v>336</v>
      </c>
      <c r="H181" t="s">
        <v>5939</v>
      </c>
      <c r="I181">
        <v>0</v>
      </c>
      <c r="J181" t="s">
        <v>343</v>
      </c>
      <c r="K181">
        <v>970364</v>
      </c>
      <c r="M181">
        <v>970364</v>
      </c>
    </row>
    <row r="182" spans="1:13" x14ac:dyDescent="0.35">
      <c r="A182" t="str">
        <f t="shared" si="11"/>
        <v>ABN4573128362330000</v>
      </c>
      <c r="B182" t="s">
        <v>11</v>
      </c>
      <c r="C182" s="1">
        <v>45731</v>
      </c>
      <c r="D182" t="str">
        <f>"283"</f>
        <v>283</v>
      </c>
      <c r="E182" t="str">
        <f t="shared" si="16"/>
        <v>62330000</v>
      </c>
      <c r="F182" t="s">
        <v>1328</v>
      </c>
      <c r="G182" t="s">
        <v>336</v>
      </c>
      <c r="H182" t="s">
        <v>5878</v>
      </c>
      <c r="I182">
        <v>0</v>
      </c>
      <c r="J182" t="s">
        <v>343</v>
      </c>
      <c r="K182">
        <v>2746670</v>
      </c>
      <c r="M182">
        <v>2746670</v>
      </c>
    </row>
    <row r="183" spans="1:13" x14ac:dyDescent="0.35">
      <c r="A183" t="str">
        <f t="shared" si="11"/>
        <v>ABN4573128462330100</v>
      </c>
      <c r="B183" t="s">
        <v>11</v>
      </c>
      <c r="C183" s="1">
        <v>45731</v>
      </c>
      <c r="D183" t="str">
        <f>"284"</f>
        <v>284</v>
      </c>
      <c r="E183" t="str">
        <f>"62330100"</f>
        <v>62330100</v>
      </c>
      <c r="F183" t="s">
        <v>1330</v>
      </c>
      <c r="G183" t="s">
        <v>336</v>
      </c>
      <c r="H183" t="s">
        <v>5940</v>
      </c>
      <c r="I183">
        <v>0</v>
      </c>
      <c r="J183" t="s">
        <v>343</v>
      </c>
      <c r="K183">
        <v>2071868</v>
      </c>
      <c r="M183">
        <v>2071868</v>
      </c>
    </row>
    <row r="184" spans="1:13" x14ac:dyDescent="0.35">
      <c r="A184" t="str">
        <f t="shared" si="11"/>
        <v>ABN4573128562330100</v>
      </c>
      <c r="B184" t="s">
        <v>11</v>
      </c>
      <c r="C184" s="1">
        <v>45731</v>
      </c>
      <c r="D184" t="str">
        <f>"285"</f>
        <v>285</v>
      </c>
      <c r="E184" t="str">
        <f>"62330100"</f>
        <v>62330100</v>
      </c>
      <c r="F184" t="s">
        <v>1332</v>
      </c>
      <c r="G184" t="s">
        <v>336</v>
      </c>
      <c r="H184" t="s">
        <v>5940</v>
      </c>
      <c r="I184">
        <v>0</v>
      </c>
      <c r="J184" t="s">
        <v>343</v>
      </c>
      <c r="K184">
        <v>4143735</v>
      </c>
      <c r="M184">
        <v>4143735</v>
      </c>
    </row>
    <row r="185" spans="1:13" x14ac:dyDescent="0.35">
      <c r="A185" t="str">
        <f t="shared" si="11"/>
        <v>ABN4573128662330100</v>
      </c>
      <c r="B185" t="s">
        <v>11</v>
      </c>
      <c r="C185" s="1">
        <v>45731</v>
      </c>
      <c r="D185" t="str">
        <f>"286"</f>
        <v>286</v>
      </c>
      <c r="E185" t="str">
        <f>"62330100"</f>
        <v>62330100</v>
      </c>
      <c r="F185" t="s">
        <v>1334</v>
      </c>
      <c r="G185" t="s">
        <v>336</v>
      </c>
      <c r="H185" t="s">
        <v>5940</v>
      </c>
      <c r="I185">
        <v>0</v>
      </c>
      <c r="J185" t="s">
        <v>343</v>
      </c>
      <c r="K185">
        <v>4143735</v>
      </c>
      <c r="M185">
        <v>4143735</v>
      </c>
    </row>
    <row r="186" spans="1:13" x14ac:dyDescent="0.35">
      <c r="A186" t="str">
        <f t="shared" si="11"/>
        <v>ABN4573128762330100</v>
      </c>
      <c r="B186" t="s">
        <v>11</v>
      </c>
      <c r="C186" s="1">
        <v>45731</v>
      </c>
      <c r="D186" t="str">
        <f>"287"</f>
        <v>287</v>
      </c>
      <c r="E186" t="str">
        <f>"62330100"</f>
        <v>62330100</v>
      </c>
      <c r="F186" t="s">
        <v>1336</v>
      </c>
      <c r="G186" t="s">
        <v>336</v>
      </c>
      <c r="H186" t="s">
        <v>5940</v>
      </c>
      <c r="I186">
        <v>0</v>
      </c>
      <c r="J186" t="s">
        <v>343</v>
      </c>
      <c r="K186">
        <v>2071868</v>
      </c>
      <c r="M186">
        <v>2071868</v>
      </c>
    </row>
    <row r="187" spans="1:13" x14ac:dyDescent="0.35">
      <c r="A187" t="str">
        <f t="shared" si="11"/>
        <v>ABN4573128862330000</v>
      </c>
      <c r="B187" t="s">
        <v>11</v>
      </c>
      <c r="C187" s="1">
        <v>45731</v>
      </c>
      <c r="D187" t="str">
        <f>"288"</f>
        <v>288</v>
      </c>
      <c r="E187" t="str">
        <f>"62330000"</f>
        <v>62330000</v>
      </c>
      <c r="F187" t="s">
        <v>1338</v>
      </c>
      <c r="G187" t="s">
        <v>336</v>
      </c>
      <c r="H187" t="s">
        <v>5941</v>
      </c>
      <c r="I187">
        <v>0</v>
      </c>
      <c r="J187" t="s">
        <v>343</v>
      </c>
      <c r="K187">
        <v>1272255</v>
      </c>
      <c r="M187">
        <v>1272255</v>
      </c>
    </row>
    <row r="188" spans="1:13" x14ac:dyDescent="0.35">
      <c r="A188" t="str">
        <f t="shared" si="11"/>
        <v>ABN4573128962330000</v>
      </c>
      <c r="B188" t="s">
        <v>11</v>
      </c>
      <c r="C188" s="1">
        <v>45731</v>
      </c>
      <c r="D188" t="str">
        <f>"289"</f>
        <v>289</v>
      </c>
      <c r="E188" t="str">
        <f>"62330000"</f>
        <v>62330000</v>
      </c>
      <c r="F188" t="s">
        <v>1340</v>
      </c>
      <c r="G188" t="s">
        <v>336</v>
      </c>
      <c r="H188" t="s">
        <v>5873</v>
      </c>
      <c r="I188">
        <v>0</v>
      </c>
      <c r="J188" t="s">
        <v>343</v>
      </c>
      <c r="K188">
        <v>741250</v>
      </c>
      <c r="M188">
        <v>741250</v>
      </c>
    </row>
    <row r="189" spans="1:13" x14ac:dyDescent="0.35">
      <c r="A189" t="str">
        <f t="shared" si="11"/>
        <v>ABN4573129062330000</v>
      </c>
      <c r="B189" t="s">
        <v>11</v>
      </c>
      <c r="C189" s="1">
        <v>45731</v>
      </c>
      <c r="D189" t="str">
        <f>"290"</f>
        <v>290</v>
      </c>
      <c r="E189" t="str">
        <f>"62330000"</f>
        <v>62330000</v>
      </c>
      <c r="F189" t="s">
        <v>1342</v>
      </c>
      <c r="G189" t="s">
        <v>336</v>
      </c>
      <c r="H189" t="s">
        <v>5932</v>
      </c>
      <c r="I189">
        <v>0</v>
      </c>
      <c r="J189" t="s">
        <v>343</v>
      </c>
      <c r="K189">
        <v>633432</v>
      </c>
      <c r="M189">
        <v>633432</v>
      </c>
    </row>
    <row r="190" spans="1:13" x14ac:dyDescent="0.35">
      <c r="A190" t="str">
        <f t="shared" si="11"/>
        <v>ABN4573129162330000</v>
      </c>
      <c r="B190" t="s">
        <v>11</v>
      </c>
      <c r="C190" s="1">
        <v>45731</v>
      </c>
      <c r="D190" t="str">
        <f>"291"</f>
        <v>291</v>
      </c>
      <c r="E190" t="str">
        <f>"62330000"</f>
        <v>62330000</v>
      </c>
      <c r="F190" t="s">
        <v>1344</v>
      </c>
      <c r="G190" t="s">
        <v>336</v>
      </c>
      <c r="H190" t="s">
        <v>5873</v>
      </c>
      <c r="I190">
        <v>0</v>
      </c>
      <c r="J190" t="s">
        <v>343</v>
      </c>
      <c r="K190">
        <v>606478</v>
      </c>
      <c r="M190">
        <v>606478</v>
      </c>
    </row>
    <row r="191" spans="1:13" x14ac:dyDescent="0.35">
      <c r="A191" t="str">
        <f t="shared" si="11"/>
        <v>ABN4573129262330000</v>
      </c>
      <c r="B191" t="s">
        <v>11</v>
      </c>
      <c r="C191" s="1">
        <v>45731</v>
      </c>
      <c r="D191" t="str">
        <f>"292"</f>
        <v>292</v>
      </c>
      <c r="E191" t="str">
        <f>"62330000"</f>
        <v>62330000</v>
      </c>
      <c r="F191" t="s">
        <v>1346</v>
      </c>
      <c r="G191" t="s">
        <v>336</v>
      </c>
      <c r="H191" t="s">
        <v>5877</v>
      </c>
      <c r="I191">
        <v>0</v>
      </c>
      <c r="J191" t="s">
        <v>343</v>
      </c>
      <c r="K191">
        <v>1132091</v>
      </c>
      <c r="M191">
        <v>1132091</v>
      </c>
    </row>
    <row r="192" spans="1:13" x14ac:dyDescent="0.35">
      <c r="A192" t="str">
        <f t="shared" si="11"/>
        <v>ABN4573129562330100</v>
      </c>
      <c r="B192" t="s">
        <v>11</v>
      </c>
      <c r="C192" s="1">
        <v>45731</v>
      </c>
      <c r="D192" t="str">
        <f>"295"</f>
        <v>295</v>
      </c>
      <c r="E192" t="str">
        <f>"62330100"</f>
        <v>62330100</v>
      </c>
      <c r="F192" t="s">
        <v>1348</v>
      </c>
      <c r="G192" t="s">
        <v>336</v>
      </c>
      <c r="H192" t="s">
        <v>5942</v>
      </c>
      <c r="I192">
        <v>0</v>
      </c>
      <c r="J192" t="s">
        <v>343</v>
      </c>
      <c r="K192">
        <v>2946650</v>
      </c>
      <c r="M192">
        <v>2946650</v>
      </c>
    </row>
    <row r="193" spans="1:13" x14ac:dyDescent="0.35">
      <c r="A193" t="str">
        <f t="shared" si="11"/>
        <v>ABN4573129662330100</v>
      </c>
      <c r="B193" t="s">
        <v>11</v>
      </c>
      <c r="C193" s="1">
        <v>45731</v>
      </c>
      <c r="D193" t="str">
        <f>"296"</f>
        <v>296</v>
      </c>
      <c r="E193" t="str">
        <f>"62330100"</f>
        <v>62330100</v>
      </c>
      <c r="F193" t="s">
        <v>1350</v>
      </c>
      <c r="G193" t="s">
        <v>336</v>
      </c>
      <c r="H193" t="s">
        <v>5942</v>
      </c>
      <c r="I193">
        <v>0</v>
      </c>
      <c r="J193" t="s">
        <v>343</v>
      </c>
      <c r="K193">
        <v>2946650</v>
      </c>
      <c r="M193">
        <v>2946650</v>
      </c>
    </row>
    <row r="194" spans="1:13" x14ac:dyDescent="0.35">
      <c r="A194" t="str">
        <f t="shared" si="11"/>
        <v>ABN4573129762330100</v>
      </c>
      <c r="B194" t="s">
        <v>11</v>
      </c>
      <c r="C194" s="1">
        <v>45731</v>
      </c>
      <c r="D194" t="str">
        <f>"297"</f>
        <v>297</v>
      </c>
      <c r="E194" t="str">
        <f>"62330100"</f>
        <v>62330100</v>
      </c>
      <c r="F194" t="s">
        <v>1352</v>
      </c>
      <c r="G194" t="s">
        <v>336</v>
      </c>
      <c r="H194" t="s">
        <v>5942</v>
      </c>
      <c r="I194">
        <v>0</v>
      </c>
      <c r="J194" t="s">
        <v>343</v>
      </c>
      <c r="K194">
        <v>3928866</v>
      </c>
      <c r="M194">
        <v>3928866</v>
      </c>
    </row>
    <row r="195" spans="1:13" x14ac:dyDescent="0.35">
      <c r="A195" t="str">
        <f t="shared" ref="A195:A258" si="17">CONCATENATE(B195,C195,D195,E195)</f>
        <v>ABN4574629362330100</v>
      </c>
      <c r="B195" t="s">
        <v>11</v>
      </c>
      <c r="C195" s="1">
        <v>45746</v>
      </c>
      <c r="D195" t="str">
        <f>"293"</f>
        <v>293</v>
      </c>
      <c r="E195" t="str">
        <f>"62330100"</f>
        <v>62330100</v>
      </c>
      <c r="F195" t="s">
        <v>1355</v>
      </c>
      <c r="G195" t="s">
        <v>336</v>
      </c>
      <c r="H195" t="s">
        <v>5928</v>
      </c>
      <c r="I195">
        <v>0</v>
      </c>
      <c r="J195" t="s">
        <v>343</v>
      </c>
      <c r="K195">
        <v>3137491</v>
      </c>
      <c r="M195">
        <v>3137491</v>
      </c>
    </row>
    <row r="196" spans="1:13" x14ac:dyDescent="0.35">
      <c r="A196" t="str">
        <f t="shared" si="17"/>
        <v>ABN4574629462330100</v>
      </c>
      <c r="B196" t="s">
        <v>11</v>
      </c>
      <c r="C196" s="1">
        <v>45746</v>
      </c>
      <c r="D196" t="str">
        <f>"294"</f>
        <v>294</v>
      </c>
      <c r="E196" t="str">
        <f>"62330100"</f>
        <v>62330100</v>
      </c>
      <c r="F196" t="s">
        <v>1357</v>
      </c>
      <c r="G196" t="s">
        <v>336</v>
      </c>
      <c r="H196" t="s">
        <v>5928</v>
      </c>
      <c r="I196">
        <v>0</v>
      </c>
      <c r="J196" t="s">
        <v>343</v>
      </c>
      <c r="K196">
        <v>844097</v>
      </c>
      <c r="M196">
        <v>844097</v>
      </c>
    </row>
    <row r="197" spans="1:13" x14ac:dyDescent="0.35">
      <c r="A197" t="str">
        <f t="shared" si="17"/>
        <v>AC45717162521000</v>
      </c>
      <c r="B197" t="s">
        <v>26</v>
      </c>
      <c r="C197" s="1">
        <v>45717</v>
      </c>
      <c r="D197" t="str">
        <f>"1"</f>
        <v>1</v>
      </c>
      <c r="E197" t="str">
        <f>"62521000"</f>
        <v>62521000</v>
      </c>
      <c r="F197" t="s">
        <v>1360</v>
      </c>
      <c r="G197" t="s">
        <v>336</v>
      </c>
      <c r="H197" t="s">
        <v>5898</v>
      </c>
      <c r="I197">
        <v>0</v>
      </c>
      <c r="J197" t="s">
        <v>343</v>
      </c>
      <c r="K197">
        <v>-19925</v>
      </c>
      <c r="M197">
        <v>-19925</v>
      </c>
    </row>
    <row r="198" spans="1:13" x14ac:dyDescent="0.35">
      <c r="A198" t="str">
        <f t="shared" si="17"/>
        <v>AC45717262521000</v>
      </c>
      <c r="B198" t="s">
        <v>26</v>
      </c>
      <c r="C198" s="1">
        <v>45717</v>
      </c>
      <c r="D198" t="str">
        <f>"2"</f>
        <v>2</v>
      </c>
      <c r="E198" t="str">
        <f>"62521000"</f>
        <v>62521000</v>
      </c>
      <c r="F198" t="s">
        <v>1363</v>
      </c>
      <c r="G198" t="s">
        <v>336</v>
      </c>
      <c r="H198" t="s">
        <v>5893</v>
      </c>
      <c r="I198">
        <v>0</v>
      </c>
      <c r="J198" t="s">
        <v>343</v>
      </c>
      <c r="K198">
        <v>1000</v>
      </c>
      <c r="M198">
        <v>2000</v>
      </c>
    </row>
    <row r="199" spans="1:13" x14ac:dyDescent="0.35">
      <c r="A199" t="str">
        <f t="shared" si="17"/>
        <v>AC45717262521000</v>
      </c>
      <c r="B199" t="s">
        <v>26</v>
      </c>
      <c r="C199" s="1">
        <v>45717</v>
      </c>
      <c r="D199" t="str">
        <f>"2"</f>
        <v>2</v>
      </c>
      <c r="E199" t="str">
        <f>"62521000"</f>
        <v>62521000</v>
      </c>
      <c r="F199" t="s">
        <v>1363</v>
      </c>
      <c r="G199" t="s">
        <v>336</v>
      </c>
      <c r="H199" t="s">
        <v>5892</v>
      </c>
      <c r="I199">
        <v>0</v>
      </c>
      <c r="J199" t="s">
        <v>343</v>
      </c>
      <c r="K199">
        <v>1000</v>
      </c>
      <c r="M199">
        <v>2000</v>
      </c>
    </row>
    <row r="200" spans="1:13" x14ac:dyDescent="0.35">
      <c r="A200" t="str">
        <f t="shared" si="17"/>
        <v>AC457171162100200</v>
      </c>
      <c r="B200" t="s">
        <v>26</v>
      </c>
      <c r="C200" s="1">
        <v>45717</v>
      </c>
      <c r="D200" t="str">
        <f>"11"</f>
        <v>11</v>
      </c>
      <c r="E200" t="str">
        <f>"62100200"</f>
        <v>62100200</v>
      </c>
      <c r="F200" t="s">
        <v>1366</v>
      </c>
      <c r="G200" t="s">
        <v>336</v>
      </c>
      <c r="H200" t="s">
        <v>5943</v>
      </c>
      <c r="I200">
        <v>0</v>
      </c>
      <c r="J200" t="s">
        <v>343</v>
      </c>
      <c r="K200">
        <v>1092500</v>
      </c>
      <c r="M200">
        <v>1092500</v>
      </c>
    </row>
    <row r="201" spans="1:13" x14ac:dyDescent="0.35">
      <c r="A201" t="str">
        <f t="shared" si="17"/>
        <v>AC457171262100200</v>
      </c>
      <c r="B201" t="s">
        <v>26</v>
      </c>
      <c r="C201" s="1">
        <v>45717</v>
      </c>
      <c r="D201" t="str">
        <f>"12"</f>
        <v>12</v>
      </c>
      <c r="E201" t="str">
        <f>"62100200"</f>
        <v>62100200</v>
      </c>
      <c r="F201" t="s">
        <v>1369</v>
      </c>
      <c r="G201" t="s">
        <v>336</v>
      </c>
      <c r="H201" t="s">
        <v>5943</v>
      </c>
      <c r="I201">
        <v>0</v>
      </c>
      <c r="J201" t="s">
        <v>343</v>
      </c>
      <c r="K201">
        <v>1045000</v>
      </c>
      <c r="M201">
        <v>1045000</v>
      </c>
    </row>
    <row r="202" spans="1:13" x14ac:dyDescent="0.35">
      <c r="A202" t="str">
        <f t="shared" si="17"/>
        <v>AC457171362100200</v>
      </c>
      <c r="B202" t="s">
        <v>26</v>
      </c>
      <c r="C202" s="1">
        <v>45717</v>
      </c>
      <c r="D202" t="str">
        <f>"13"</f>
        <v>13</v>
      </c>
      <c r="E202" t="str">
        <f>"62100200"</f>
        <v>62100200</v>
      </c>
      <c r="F202" t="s">
        <v>1369</v>
      </c>
      <c r="G202" t="s">
        <v>336</v>
      </c>
      <c r="H202" t="s">
        <v>5943</v>
      </c>
      <c r="I202">
        <v>0</v>
      </c>
      <c r="J202" t="s">
        <v>343</v>
      </c>
      <c r="K202">
        <v>1045000</v>
      </c>
      <c r="M202">
        <v>1045000</v>
      </c>
    </row>
    <row r="203" spans="1:13" x14ac:dyDescent="0.35">
      <c r="A203" t="str">
        <f t="shared" si="17"/>
        <v>AC457171462100200</v>
      </c>
      <c r="B203" t="s">
        <v>26</v>
      </c>
      <c r="C203" s="1">
        <v>45717</v>
      </c>
      <c r="D203" t="str">
        <f>"14"</f>
        <v>14</v>
      </c>
      <c r="E203" t="str">
        <f>"62100200"</f>
        <v>62100200</v>
      </c>
      <c r="F203" t="s">
        <v>1369</v>
      </c>
      <c r="G203" t="s">
        <v>336</v>
      </c>
      <c r="H203" t="s">
        <v>5943</v>
      </c>
      <c r="I203">
        <v>0</v>
      </c>
      <c r="J203" t="s">
        <v>343</v>
      </c>
      <c r="K203">
        <v>1045000</v>
      </c>
      <c r="M203">
        <v>1045000</v>
      </c>
    </row>
    <row r="204" spans="1:13" x14ac:dyDescent="0.35">
      <c r="A204" t="str">
        <f t="shared" si="17"/>
        <v>AC457174766850000</v>
      </c>
      <c r="B204" t="s">
        <v>26</v>
      </c>
      <c r="C204" s="1">
        <v>45717</v>
      </c>
      <c r="D204" t="str">
        <f>"47"</f>
        <v>47</v>
      </c>
      <c r="E204" t="str">
        <f>"66850000"</f>
        <v>66850000</v>
      </c>
      <c r="F204" t="s">
        <v>1374</v>
      </c>
      <c r="G204" t="s">
        <v>336</v>
      </c>
      <c r="H204" t="s">
        <v>5903</v>
      </c>
      <c r="I204">
        <v>0</v>
      </c>
      <c r="J204" t="s">
        <v>343</v>
      </c>
      <c r="K204">
        <v>94071</v>
      </c>
      <c r="M204">
        <v>94071</v>
      </c>
    </row>
    <row r="205" spans="1:13" x14ac:dyDescent="0.35">
      <c r="A205" t="str">
        <f t="shared" si="17"/>
        <v>AC457174866850000</v>
      </c>
      <c r="B205" t="s">
        <v>26</v>
      </c>
      <c r="C205" s="1">
        <v>45717</v>
      </c>
      <c r="D205" t="str">
        <f>"48"</f>
        <v>48</v>
      </c>
      <c r="E205" t="str">
        <f>"66850000"</f>
        <v>66850000</v>
      </c>
      <c r="F205" t="s">
        <v>1377</v>
      </c>
      <c r="G205" t="s">
        <v>336</v>
      </c>
      <c r="H205" t="s">
        <v>5903</v>
      </c>
      <c r="I205">
        <v>0</v>
      </c>
      <c r="J205" t="s">
        <v>343</v>
      </c>
      <c r="K205">
        <v>60727</v>
      </c>
      <c r="M205">
        <v>60727</v>
      </c>
    </row>
    <row r="206" spans="1:13" x14ac:dyDescent="0.35">
      <c r="A206" t="str">
        <f t="shared" si="17"/>
        <v>AC457174966850000</v>
      </c>
      <c r="B206" t="s">
        <v>26</v>
      </c>
      <c r="C206" s="1">
        <v>45717</v>
      </c>
      <c r="D206" t="str">
        <f>"49"</f>
        <v>49</v>
      </c>
      <c r="E206" t="str">
        <f>"66850000"</f>
        <v>66850000</v>
      </c>
      <c r="F206" t="s">
        <v>1380</v>
      </c>
      <c r="G206" t="s">
        <v>336</v>
      </c>
      <c r="H206" t="s">
        <v>5903</v>
      </c>
      <c r="I206">
        <v>0</v>
      </c>
      <c r="J206" t="s">
        <v>343</v>
      </c>
      <c r="K206">
        <v>68966</v>
      </c>
      <c r="M206">
        <v>68966</v>
      </c>
    </row>
    <row r="207" spans="1:13" x14ac:dyDescent="0.35">
      <c r="A207" t="str">
        <f t="shared" si="17"/>
        <v>AC457175062521000</v>
      </c>
      <c r="B207" t="s">
        <v>26</v>
      </c>
      <c r="C207" s="1">
        <v>45717</v>
      </c>
      <c r="D207" t="str">
        <f>"50"</f>
        <v>50</v>
      </c>
      <c r="E207" t="str">
        <f>"62521000"</f>
        <v>62521000</v>
      </c>
      <c r="F207" t="s">
        <v>1383</v>
      </c>
      <c r="G207" t="s">
        <v>336</v>
      </c>
      <c r="H207" t="s">
        <v>5894</v>
      </c>
      <c r="I207">
        <v>0</v>
      </c>
      <c r="J207" t="s">
        <v>343</v>
      </c>
      <c r="K207">
        <v>1000</v>
      </c>
      <c r="M207">
        <v>1000</v>
      </c>
    </row>
    <row r="208" spans="1:13" x14ac:dyDescent="0.35">
      <c r="A208" t="str">
        <f t="shared" si="17"/>
        <v>AC457175162521000</v>
      </c>
      <c r="B208" t="s">
        <v>26</v>
      </c>
      <c r="C208" s="1">
        <v>45717</v>
      </c>
      <c r="D208" t="str">
        <f>"51"</f>
        <v>51</v>
      </c>
      <c r="E208" t="str">
        <f>"62521000"</f>
        <v>62521000</v>
      </c>
      <c r="F208" t="s">
        <v>1383</v>
      </c>
      <c r="G208" t="s">
        <v>336</v>
      </c>
      <c r="H208" t="s">
        <v>5932</v>
      </c>
      <c r="I208">
        <v>0</v>
      </c>
      <c r="J208" t="s">
        <v>343</v>
      </c>
      <c r="K208">
        <v>1000</v>
      </c>
      <c r="M208">
        <v>1000</v>
      </c>
    </row>
    <row r="209" spans="1:13" x14ac:dyDescent="0.35">
      <c r="A209" t="str">
        <f t="shared" si="17"/>
        <v>AC457175862100000</v>
      </c>
      <c r="B209" t="s">
        <v>26</v>
      </c>
      <c r="C209" s="1">
        <v>45717</v>
      </c>
      <c r="D209" t="str">
        <f>"58"</f>
        <v>58</v>
      </c>
      <c r="E209" t="str">
        <f>"62100000"</f>
        <v>62100000</v>
      </c>
      <c r="F209" t="s">
        <v>1388</v>
      </c>
      <c r="G209" t="s">
        <v>336</v>
      </c>
      <c r="H209" t="s">
        <v>5944</v>
      </c>
      <c r="I209">
        <v>0</v>
      </c>
      <c r="J209" t="s">
        <v>343</v>
      </c>
      <c r="K209">
        <v>700000</v>
      </c>
      <c r="M209">
        <v>700000</v>
      </c>
    </row>
    <row r="210" spans="1:13" x14ac:dyDescent="0.35">
      <c r="A210" t="str">
        <f t="shared" si="17"/>
        <v>AC457175962100000</v>
      </c>
      <c r="B210" t="s">
        <v>26</v>
      </c>
      <c r="C210" s="1">
        <v>45717</v>
      </c>
      <c r="D210" t="str">
        <f>"59"</f>
        <v>59</v>
      </c>
      <c r="E210" t="str">
        <f>"62100000"</f>
        <v>62100000</v>
      </c>
      <c r="F210" t="s">
        <v>1388</v>
      </c>
      <c r="G210" t="s">
        <v>336</v>
      </c>
      <c r="H210" t="s">
        <v>5944</v>
      </c>
      <c r="I210">
        <v>0</v>
      </c>
      <c r="J210" t="s">
        <v>343</v>
      </c>
      <c r="K210">
        <v>700000</v>
      </c>
      <c r="M210">
        <v>700000</v>
      </c>
    </row>
    <row r="211" spans="1:13" x14ac:dyDescent="0.35">
      <c r="A211" t="str">
        <f t="shared" si="17"/>
        <v>AC457176062100000</v>
      </c>
      <c r="B211" t="s">
        <v>26</v>
      </c>
      <c r="C211" s="1">
        <v>45717</v>
      </c>
      <c r="D211" t="str">
        <f>"60"</f>
        <v>60</v>
      </c>
      <c r="E211" t="str">
        <f>"62100000"</f>
        <v>62100000</v>
      </c>
      <c r="F211" t="s">
        <v>1388</v>
      </c>
      <c r="G211" t="s">
        <v>336</v>
      </c>
      <c r="H211" t="s">
        <v>5944</v>
      </c>
      <c r="I211">
        <v>0</v>
      </c>
      <c r="J211" t="s">
        <v>343</v>
      </c>
      <c r="K211">
        <v>700000</v>
      </c>
      <c r="M211">
        <v>700000</v>
      </c>
    </row>
    <row r="212" spans="1:13" x14ac:dyDescent="0.35">
      <c r="A212" t="str">
        <f t="shared" si="17"/>
        <v>AC457176162100000</v>
      </c>
      <c r="B212" t="s">
        <v>26</v>
      </c>
      <c r="C212" s="1">
        <v>45717</v>
      </c>
      <c r="D212" t="str">
        <f>"61"</f>
        <v>61</v>
      </c>
      <c r="E212" t="str">
        <f>"62100000"</f>
        <v>62100000</v>
      </c>
      <c r="F212" t="s">
        <v>1388</v>
      </c>
      <c r="G212" t="s">
        <v>336</v>
      </c>
      <c r="H212" t="s">
        <v>5944</v>
      </c>
      <c r="I212">
        <v>0</v>
      </c>
      <c r="J212" t="s">
        <v>343</v>
      </c>
      <c r="K212">
        <v>700000</v>
      </c>
      <c r="M212">
        <v>700000</v>
      </c>
    </row>
    <row r="213" spans="1:13" x14ac:dyDescent="0.35">
      <c r="A213" t="str">
        <f t="shared" si="17"/>
        <v>AC457179560570000</v>
      </c>
      <c r="B213" t="s">
        <v>26</v>
      </c>
      <c r="C213" s="1">
        <v>45717</v>
      </c>
      <c r="D213" t="str">
        <f>"95"</f>
        <v>95</v>
      </c>
      <c r="E213" t="str">
        <f>"60570000"</f>
        <v>60570000</v>
      </c>
      <c r="F213" t="s">
        <v>1393</v>
      </c>
      <c r="G213" t="s">
        <v>336</v>
      </c>
      <c r="H213" t="s">
        <v>5905</v>
      </c>
      <c r="I213">
        <v>0</v>
      </c>
      <c r="J213" t="s">
        <v>343</v>
      </c>
      <c r="K213">
        <v>2218500</v>
      </c>
      <c r="M213">
        <v>2218500</v>
      </c>
    </row>
    <row r="214" spans="1:13" x14ac:dyDescent="0.35">
      <c r="A214" t="str">
        <f t="shared" si="17"/>
        <v>AC457179965110200</v>
      </c>
      <c r="B214" t="s">
        <v>26</v>
      </c>
      <c r="C214" s="1">
        <v>45717</v>
      </c>
      <c r="D214" t="str">
        <f>"99"</f>
        <v>99</v>
      </c>
      <c r="E214" t="str">
        <f>"65110200"</f>
        <v>65110200</v>
      </c>
      <c r="F214" t="s">
        <v>1396</v>
      </c>
      <c r="G214" t="s">
        <v>336</v>
      </c>
      <c r="H214" t="s">
        <v>5928</v>
      </c>
      <c r="I214">
        <v>0</v>
      </c>
      <c r="J214" t="s">
        <v>343</v>
      </c>
      <c r="K214">
        <v>285788</v>
      </c>
      <c r="M214">
        <v>285788</v>
      </c>
    </row>
    <row r="215" spans="1:13" x14ac:dyDescent="0.35">
      <c r="A215" t="str">
        <f t="shared" si="17"/>
        <v>AC4571710065110200</v>
      </c>
      <c r="B215" t="s">
        <v>26</v>
      </c>
      <c r="C215" s="1">
        <v>45717</v>
      </c>
      <c r="D215" t="str">
        <f>"100"</f>
        <v>100</v>
      </c>
      <c r="E215" t="str">
        <f>"65110200"</f>
        <v>65110200</v>
      </c>
      <c r="F215" t="s">
        <v>1396</v>
      </c>
      <c r="G215" t="s">
        <v>336</v>
      </c>
      <c r="H215" t="s">
        <v>5928</v>
      </c>
      <c r="I215">
        <v>0</v>
      </c>
      <c r="J215" t="s">
        <v>343</v>
      </c>
      <c r="K215">
        <v>1397680</v>
      </c>
      <c r="M215">
        <v>1397680</v>
      </c>
    </row>
    <row r="216" spans="1:13" x14ac:dyDescent="0.35">
      <c r="A216" t="str">
        <f t="shared" si="17"/>
        <v>AC4571710165110200</v>
      </c>
      <c r="B216" t="s">
        <v>26</v>
      </c>
      <c r="C216" s="1">
        <v>45717</v>
      </c>
      <c r="D216" t="str">
        <f>"101"</f>
        <v>101</v>
      </c>
      <c r="E216" t="str">
        <f>"65110200"</f>
        <v>65110200</v>
      </c>
      <c r="F216" t="s">
        <v>1396</v>
      </c>
      <c r="G216" t="s">
        <v>336</v>
      </c>
      <c r="H216" t="s">
        <v>5928</v>
      </c>
      <c r="I216">
        <v>0</v>
      </c>
      <c r="J216" t="s">
        <v>343</v>
      </c>
      <c r="K216">
        <v>28320</v>
      </c>
      <c r="M216">
        <v>28320</v>
      </c>
    </row>
    <row r="217" spans="1:13" x14ac:dyDescent="0.35">
      <c r="A217" t="str">
        <f t="shared" si="17"/>
        <v>AC4571710265110200</v>
      </c>
      <c r="B217" t="s">
        <v>26</v>
      </c>
      <c r="C217" s="1">
        <v>45717</v>
      </c>
      <c r="D217" t="str">
        <f>"102"</f>
        <v>102</v>
      </c>
      <c r="E217" t="str">
        <f>"65110200"</f>
        <v>65110200</v>
      </c>
      <c r="F217" t="s">
        <v>1396</v>
      </c>
      <c r="G217" t="s">
        <v>336</v>
      </c>
      <c r="H217" t="s">
        <v>5928</v>
      </c>
      <c r="I217">
        <v>0</v>
      </c>
      <c r="J217" t="s">
        <v>343</v>
      </c>
      <c r="K217">
        <v>56640</v>
      </c>
      <c r="M217">
        <v>56640</v>
      </c>
    </row>
    <row r="218" spans="1:13" x14ac:dyDescent="0.35">
      <c r="A218" t="str">
        <f t="shared" si="17"/>
        <v>AC4571710365110200</v>
      </c>
      <c r="B218" t="s">
        <v>26</v>
      </c>
      <c r="C218" s="1">
        <v>45717</v>
      </c>
      <c r="D218" t="str">
        <f>"103"</f>
        <v>103</v>
      </c>
      <c r="E218" t="str">
        <f>"65110200"</f>
        <v>65110200</v>
      </c>
      <c r="F218" t="s">
        <v>1405</v>
      </c>
      <c r="G218" t="s">
        <v>336</v>
      </c>
      <c r="H218" t="s">
        <v>5928</v>
      </c>
      <c r="I218">
        <v>0</v>
      </c>
      <c r="J218" t="s">
        <v>343</v>
      </c>
      <c r="K218">
        <v>57943</v>
      </c>
      <c r="M218">
        <v>57943</v>
      </c>
    </row>
    <row r="219" spans="1:13" x14ac:dyDescent="0.35">
      <c r="A219" t="str">
        <f t="shared" si="17"/>
        <v>AC4571715062881000</v>
      </c>
      <c r="B219" t="s">
        <v>26</v>
      </c>
      <c r="C219" s="1">
        <v>45717</v>
      </c>
      <c r="D219" t="str">
        <f>"150"</f>
        <v>150</v>
      </c>
      <c r="E219" t="str">
        <f t="shared" ref="E219:E225" si="18">"62881000"</f>
        <v>62881000</v>
      </c>
      <c r="F219" t="s">
        <v>1412</v>
      </c>
      <c r="G219" t="s">
        <v>336</v>
      </c>
      <c r="H219" t="s">
        <v>5882</v>
      </c>
      <c r="I219">
        <v>0</v>
      </c>
      <c r="J219" t="s">
        <v>343</v>
      </c>
      <c r="K219">
        <v>554667</v>
      </c>
      <c r="M219">
        <v>554667</v>
      </c>
    </row>
    <row r="220" spans="1:13" x14ac:dyDescent="0.35">
      <c r="A220" t="str">
        <f t="shared" si="17"/>
        <v>AC4571715162881000</v>
      </c>
      <c r="B220" t="s">
        <v>26</v>
      </c>
      <c r="C220" s="1">
        <v>45717</v>
      </c>
      <c r="D220" t="str">
        <f>"151"</f>
        <v>151</v>
      </c>
      <c r="E220" t="str">
        <f t="shared" si="18"/>
        <v>62881000</v>
      </c>
      <c r="F220" t="s">
        <v>1415</v>
      </c>
      <c r="G220" t="s">
        <v>336</v>
      </c>
      <c r="H220" t="s">
        <v>5882</v>
      </c>
      <c r="I220">
        <v>0</v>
      </c>
      <c r="J220" t="s">
        <v>343</v>
      </c>
      <c r="K220">
        <v>260000</v>
      </c>
      <c r="M220">
        <v>260000</v>
      </c>
    </row>
    <row r="221" spans="1:13" x14ac:dyDescent="0.35">
      <c r="A221" t="str">
        <f t="shared" si="17"/>
        <v>AC4571715262881000</v>
      </c>
      <c r="B221" t="s">
        <v>26</v>
      </c>
      <c r="C221" s="1">
        <v>45717</v>
      </c>
      <c r="D221" t="str">
        <f>"152"</f>
        <v>152</v>
      </c>
      <c r="E221" t="str">
        <f t="shared" si="18"/>
        <v>62881000</v>
      </c>
      <c r="F221" t="s">
        <v>1418</v>
      </c>
      <c r="G221" t="s">
        <v>336</v>
      </c>
      <c r="H221" t="s">
        <v>5882</v>
      </c>
      <c r="I221">
        <v>0</v>
      </c>
      <c r="J221" t="s">
        <v>343</v>
      </c>
      <c r="K221">
        <v>300000</v>
      </c>
      <c r="M221">
        <v>300000</v>
      </c>
    </row>
    <row r="222" spans="1:13" x14ac:dyDescent="0.35">
      <c r="A222" t="str">
        <f t="shared" si="17"/>
        <v>AC4571715362881000</v>
      </c>
      <c r="B222" t="s">
        <v>26</v>
      </c>
      <c r="C222" s="1">
        <v>45717</v>
      </c>
      <c r="D222" t="str">
        <f>"153"</f>
        <v>153</v>
      </c>
      <c r="E222" t="str">
        <f t="shared" si="18"/>
        <v>62881000</v>
      </c>
      <c r="F222" t="s">
        <v>1421</v>
      </c>
      <c r="G222" t="s">
        <v>336</v>
      </c>
      <c r="H222" t="s">
        <v>5882</v>
      </c>
      <c r="I222">
        <v>0</v>
      </c>
      <c r="J222" t="s">
        <v>343</v>
      </c>
      <c r="K222">
        <v>580000</v>
      </c>
      <c r="M222">
        <v>580000</v>
      </c>
    </row>
    <row r="223" spans="1:13" x14ac:dyDescent="0.35">
      <c r="A223" t="str">
        <f t="shared" si="17"/>
        <v>AC4571715462881000</v>
      </c>
      <c r="B223" t="s">
        <v>26</v>
      </c>
      <c r="C223" s="1">
        <v>45717</v>
      </c>
      <c r="D223" t="str">
        <f>"154"</f>
        <v>154</v>
      </c>
      <c r="E223" t="str">
        <f t="shared" si="18"/>
        <v>62881000</v>
      </c>
      <c r="F223" t="s">
        <v>1424</v>
      </c>
      <c r="G223" t="s">
        <v>336</v>
      </c>
      <c r="H223" t="s">
        <v>5882</v>
      </c>
      <c r="I223">
        <v>0</v>
      </c>
      <c r="J223" t="s">
        <v>343</v>
      </c>
      <c r="K223">
        <v>355099</v>
      </c>
      <c r="M223">
        <v>355099</v>
      </c>
    </row>
    <row r="224" spans="1:13" x14ac:dyDescent="0.35">
      <c r="A224" t="str">
        <f t="shared" si="17"/>
        <v>AC4571715562881000</v>
      </c>
      <c r="B224" t="s">
        <v>26</v>
      </c>
      <c r="C224" s="1">
        <v>45717</v>
      </c>
      <c r="D224" t="str">
        <f>"155"</f>
        <v>155</v>
      </c>
      <c r="E224" t="str">
        <f t="shared" si="18"/>
        <v>62881000</v>
      </c>
      <c r="F224" t="s">
        <v>1427</v>
      </c>
      <c r="G224" t="s">
        <v>336</v>
      </c>
      <c r="H224" t="s">
        <v>5882</v>
      </c>
      <c r="I224">
        <v>0</v>
      </c>
      <c r="J224" t="s">
        <v>343</v>
      </c>
      <c r="K224">
        <v>168999</v>
      </c>
      <c r="M224">
        <v>168999</v>
      </c>
    </row>
    <row r="225" spans="1:13" x14ac:dyDescent="0.35">
      <c r="A225" t="str">
        <f t="shared" si="17"/>
        <v>AC4571715662881000</v>
      </c>
      <c r="B225" t="s">
        <v>26</v>
      </c>
      <c r="C225" s="1">
        <v>45717</v>
      </c>
      <c r="D225" t="str">
        <f>"156"</f>
        <v>156</v>
      </c>
      <c r="E225" t="str">
        <f t="shared" si="18"/>
        <v>62881000</v>
      </c>
      <c r="F225" t="s">
        <v>1430</v>
      </c>
      <c r="G225" t="s">
        <v>336</v>
      </c>
      <c r="H225" t="s">
        <v>5882</v>
      </c>
      <c r="I225">
        <v>0</v>
      </c>
      <c r="J225" t="s">
        <v>343</v>
      </c>
      <c r="K225">
        <v>-62039</v>
      </c>
      <c r="M225">
        <v>-62039</v>
      </c>
    </row>
    <row r="226" spans="1:13" x14ac:dyDescent="0.35">
      <c r="A226" t="str">
        <f t="shared" si="17"/>
        <v>AC4571716565110200</v>
      </c>
      <c r="B226" t="s">
        <v>26</v>
      </c>
      <c r="C226" s="1">
        <v>45717</v>
      </c>
      <c r="D226" t="str">
        <f>"165"</f>
        <v>165</v>
      </c>
      <c r="E226" t="str">
        <f>"65110200"</f>
        <v>65110200</v>
      </c>
      <c r="F226" t="s">
        <v>1405</v>
      </c>
      <c r="G226" t="s">
        <v>336</v>
      </c>
      <c r="H226" t="s">
        <v>5928</v>
      </c>
      <c r="I226">
        <v>0</v>
      </c>
      <c r="J226" t="s">
        <v>343</v>
      </c>
      <c r="K226">
        <v>86915</v>
      </c>
      <c r="M226">
        <v>86915</v>
      </c>
    </row>
    <row r="227" spans="1:13" x14ac:dyDescent="0.35">
      <c r="A227" t="str">
        <f t="shared" si="17"/>
        <v>AC4571716665110200</v>
      </c>
      <c r="B227" t="s">
        <v>26</v>
      </c>
      <c r="C227" s="1">
        <v>45717</v>
      </c>
      <c r="D227" t="str">
        <f>"166"</f>
        <v>166</v>
      </c>
      <c r="E227" t="str">
        <f>"65110200"</f>
        <v>65110200</v>
      </c>
      <c r="F227" t="s">
        <v>1405</v>
      </c>
      <c r="G227" t="s">
        <v>336</v>
      </c>
      <c r="H227" t="s">
        <v>5945</v>
      </c>
      <c r="I227">
        <v>0</v>
      </c>
      <c r="J227" t="s">
        <v>343</v>
      </c>
      <c r="K227">
        <v>86915</v>
      </c>
      <c r="M227">
        <v>86915</v>
      </c>
    </row>
    <row r="228" spans="1:13" x14ac:dyDescent="0.35">
      <c r="A228" t="str">
        <f t="shared" si="17"/>
        <v>AC4571718165110100</v>
      </c>
      <c r="B228" t="s">
        <v>26</v>
      </c>
      <c r="C228" s="1">
        <v>45717</v>
      </c>
      <c r="D228" t="str">
        <f>"181"</f>
        <v>181</v>
      </c>
      <c r="E228" t="str">
        <f t="shared" ref="E228:E234" si="19">"65110100"</f>
        <v>65110100</v>
      </c>
      <c r="F228" t="s">
        <v>1436</v>
      </c>
      <c r="G228" t="s">
        <v>336</v>
      </c>
      <c r="H228" t="s">
        <v>5942</v>
      </c>
      <c r="I228">
        <v>0</v>
      </c>
      <c r="J228" t="s">
        <v>343</v>
      </c>
      <c r="K228">
        <v>115092</v>
      </c>
      <c r="M228">
        <v>115092</v>
      </c>
    </row>
    <row r="229" spans="1:13" x14ac:dyDescent="0.35">
      <c r="A229" t="str">
        <f t="shared" si="17"/>
        <v>AC4571718265110100</v>
      </c>
      <c r="B229" t="s">
        <v>26</v>
      </c>
      <c r="C229" s="1">
        <v>45717</v>
      </c>
      <c r="D229" t="str">
        <f>"182"</f>
        <v>182</v>
      </c>
      <c r="E229" t="str">
        <f t="shared" si="19"/>
        <v>65110100</v>
      </c>
      <c r="F229" t="s">
        <v>1436</v>
      </c>
      <c r="G229" t="s">
        <v>336</v>
      </c>
      <c r="H229" t="s">
        <v>5942</v>
      </c>
      <c r="I229">
        <v>0</v>
      </c>
      <c r="J229" t="s">
        <v>343</v>
      </c>
      <c r="K229">
        <v>27612</v>
      </c>
      <c r="M229">
        <v>27612</v>
      </c>
    </row>
    <row r="230" spans="1:13" x14ac:dyDescent="0.35">
      <c r="A230" t="str">
        <f t="shared" si="17"/>
        <v>AC4571718365110100</v>
      </c>
      <c r="B230" t="s">
        <v>26</v>
      </c>
      <c r="C230" s="1">
        <v>45717</v>
      </c>
      <c r="D230" t="str">
        <f>"183"</f>
        <v>183</v>
      </c>
      <c r="E230" t="str">
        <f t="shared" si="19"/>
        <v>65110100</v>
      </c>
      <c r="F230" t="s">
        <v>1436</v>
      </c>
      <c r="G230" t="s">
        <v>336</v>
      </c>
      <c r="H230" t="s">
        <v>5942</v>
      </c>
      <c r="I230">
        <v>0</v>
      </c>
      <c r="J230" t="s">
        <v>343</v>
      </c>
      <c r="K230">
        <v>55960</v>
      </c>
      <c r="M230">
        <v>55960</v>
      </c>
    </row>
    <row r="231" spans="1:13" x14ac:dyDescent="0.35">
      <c r="A231" t="str">
        <f t="shared" si="17"/>
        <v>AC4571718465110100</v>
      </c>
      <c r="B231" t="s">
        <v>26</v>
      </c>
      <c r="C231" s="1">
        <v>45717</v>
      </c>
      <c r="D231" t="str">
        <f>"184"</f>
        <v>184</v>
      </c>
      <c r="E231" t="str">
        <f t="shared" si="19"/>
        <v>65110100</v>
      </c>
      <c r="F231" t="s">
        <v>1436</v>
      </c>
      <c r="G231" t="s">
        <v>336</v>
      </c>
      <c r="H231" t="s">
        <v>5942</v>
      </c>
      <c r="I231">
        <v>0</v>
      </c>
      <c r="J231" t="s">
        <v>343</v>
      </c>
      <c r="K231">
        <v>21580</v>
      </c>
      <c r="M231">
        <v>21580</v>
      </c>
    </row>
    <row r="232" spans="1:13" x14ac:dyDescent="0.35">
      <c r="A232" t="str">
        <f t="shared" si="17"/>
        <v>AC4571718565110100</v>
      </c>
      <c r="B232" t="s">
        <v>26</v>
      </c>
      <c r="C232" s="1">
        <v>45717</v>
      </c>
      <c r="D232" t="str">
        <f>"185"</f>
        <v>185</v>
      </c>
      <c r="E232" t="str">
        <f t="shared" si="19"/>
        <v>65110100</v>
      </c>
      <c r="F232" t="s">
        <v>1436</v>
      </c>
      <c r="G232" t="s">
        <v>336</v>
      </c>
      <c r="H232" t="s">
        <v>5942</v>
      </c>
      <c r="I232">
        <v>0</v>
      </c>
      <c r="J232" t="s">
        <v>343</v>
      </c>
      <c r="K232">
        <v>4425</v>
      </c>
      <c r="M232">
        <v>4425</v>
      </c>
    </row>
    <row r="233" spans="1:13" x14ac:dyDescent="0.35">
      <c r="A233" t="str">
        <f t="shared" si="17"/>
        <v>AC4571718665110100</v>
      </c>
      <c r="B233" t="s">
        <v>26</v>
      </c>
      <c r="C233" s="1">
        <v>45717</v>
      </c>
      <c r="D233" t="str">
        <f>"186"</f>
        <v>186</v>
      </c>
      <c r="E233" t="str">
        <f t="shared" si="19"/>
        <v>65110100</v>
      </c>
      <c r="F233" t="s">
        <v>1436</v>
      </c>
      <c r="G233" t="s">
        <v>336</v>
      </c>
      <c r="H233" t="s">
        <v>5942</v>
      </c>
      <c r="I233">
        <v>0</v>
      </c>
      <c r="J233" t="s">
        <v>343</v>
      </c>
      <c r="K233">
        <v>185723</v>
      </c>
      <c r="M233">
        <v>185723</v>
      </c>
    </row>
    <row r="234" spans="1:13" x14ac:dyDescent="0.35">
      <c r="A234" t="str">
        <f t="shared" si="17"/>
        <v>AC4571718765110100</v>
      </c>
      <c r="B234" t="s">
        <v>26</v>
      </c>
      <c r="C234" s="1">
        <v>45717</v>
      </c>
      <c r="D234" t="str">
        <f>"187"</f>
        <v>187</v>
      </c>
      <c r="E234" t="str">
        <f t="shared" si="19"/>
        <v>65110100</v>
      </c>
      <c r="F234" t="s">
        <v>1436</v>
      </c>
      <c r="G234" t="s">
        <v>336</v>
      </c>
      <c r="H234" t="s">
        <v>5942</v>
      </c>
      <c r="I234">
        <v>0</v>
      </c>
      <c r="J234" t="s">
        <v>343</v>
      </c>
      <c r="K234">
        <v>156298</v>
      </c>
      <c r="M234">
        <v>156298</v>
      </c>
    </row>
    <row r="235" spans="1:13" x14ac:dyDescent="0.35">
      <c r="A235" t="str">
        <f t="shared" si="17"/>
        <v>AC457191561400000</v>
      </c>
      <c r="B235" t="s">
        <v>26</v>
      </c>
      <c r="C235" s="1">
        <v>45719</v>
      </c>
      <c r="D235" t="str">
        <f>"15"</f>
        <v>15</v>
      </c>
      <c r="E235" t="str">
        <f>"61400000"</f>
        <v>61400000</v>
      </c>
      <c r="F235" t="s">
        <v>1448</v>
      </c>
      <c r="G235" t="s">
        <v>336</v>
      </c>
      <c r="H235" t="s">
        <v>5903</v>
      </c>
      <c r="I235">
        <v>0</v>
      </c>
      <c r="J235" t="s">
        <v>343</v>
      </c>
      <c r="K235">
        <v>4531880</v>
      </c>
      <c r="M235">
        <v>4531880</v>
      </c>
    </row>
    <row r="236" spans="1:13" x14ac:dyDescent="0.35">
      <c r="A236" t="str">
        <f t="shared" si="17"/>
        <v>AC457193462480000</v>
      </c>
      <c r="B236" t="s">
        <v>26</v>
      </c>
      <c r="C236" s="1">
        <v>45719</v>
      </c>
      <c r="D236" t="str">
        <f>"34"</f>
        <v>34</v>
      </c>
      <c r="E236" t="str">
        <f>"62480000"</f>
        <v>62480000</v>
      </c>
      <c r="F236" t="s">
        <v>1451</v>
      </c>
      <c r="G236" t="s">
        <v>336</v>
      </c>
      <c r="H236" t="s">
        <v>5946</v>
      </c>
      <c r="I236">
        <v>0</v>
      </c>
      <c r="J236" t="s">
        <v>343</v>
      </c>
      <c r="K236">
        <v>1245880</v>
      </c>
      <c r="M236">
        <v>1245880</v>
      </c>
    </row>
    <row r="237" spans="1:13" x14ac:dyDescent="0.35">
      <c r="A237" t="str">
        <f t="shared" si="17"/>
        <v>AC457196962100000</v>
      </c>
      <c r="B237" t="s">
        <v>26</v>
      </c>
      <c r="C237" s="1">
        <v>45719</v>
      </c>
      <c r="D237" t="str">
        <f>"69"</f>
        <v>69</v>
      </c>
      <c r="E237" t="str">
        <f>"62100000"</f>
        <v>62100000</v>
      </c>
      <c r="F237" t="s">
        <v>1453</v>
      </c>
      <c r="G237" t="s">
        <v>336</v>
      </c>
      <c r="H237" t="s">
        <v>5945</v>
      </c>
      <c r="I237">
        <v>0</v>
      </c>
      <c r="J237" t="s">
        <v>343</v>
      </c>
      <c r="K237">
        <v>1760000</v>
      </c>
      <c r="M237">
        <v>1760000</v>
      </c>
    </row>
    <row r="238" spans="1:13" x14ac:dyDescent="0.35">
      <c r="A238" t="str">
        <f t="shared" si="17"/>
        <v>AC457201763280100</v>
      </c>
      <c r="B238" t="s">
        <v>26</v>
      </c>
      <c r="C238" s="1">
        <v>45720</v>
      </c>
      <c r="D238" t="str">
        <f>"17"</f>
        <v>17</v>
      </c>
      <c r="E238" t="str">
        <f>"63280100"</f>
        <v>63280100</v>
      </c>
      <c r="F238" t="s">
        <v>1459</v>
      </c>
      <c r="G238" t="s">
        <v>336</v>
      </c>
      <c r="H238" t="s">
        <v>5940</v>
      </c>
      <c r="I238">
        <v>0</v>
      </c>
      <c r="J238" t="s">
        <v>343</v>
      </c>
      <c r="K238">
        <v>100000</v>
      </c>
      <c r="M238">
        <v>100000</v>
      </c>
    </row>
    <row r="239" spans="1:13" x14ac:dyDescent="0.35">
      <c r="A239" t="str">
        <f t="shared" si="17"/>
        <v>AC457201863240000</v>
      </c>
      <c r="B239" t="s">
        <v>26</v>
      </c>
      <c r="C239" s="1">
        <v>45720</v>
      </c>
      <c r="D239" t="str">
        <f>"18"</f>
        <v>18</v>
      </c>
      <c r="E239" t="str">
        <f>"63240000"</f>
        <v>63240000</v>
      </c>
      <c r="F239" t="s">
        <v>1461</v>
      </c>
      <c r="G239" t="s">
        <v>336</v>
      </c>
      <c r="H239" t="s">
        <v>5907</v>
      </c>
      <c r="I239">
        <v>0</v>
      </c>
      <c r="J239" t="s">
        <v>343</v>
      </c>
      <c r="K239">
        <v>5200000</v>
      </c>
      <c r="M239">
        <v>5200000</v>
      </c>
    </row>
    <row r="240" spans="1:13" x14ac:dyDescent="0.35">
      <c r="A240" t="str">
        <f t="shared" si="17"/>
        <v>AC457201963250000</v>
      </c>
      <c r="B240" t="s">
        <v>26</v>
      </c>
      <c r="C240" s="1">
        <v>45720</v>
      </c>
      <c r="D240" t="str">
        <f>"19"</f>
        <v>19</v>
      </c>
      <c r="E240" t="str">
        <f>"63250000"</f>
        <v>63250000</v>
      </c>
      <c r="F240" t="s">
        <v>1463</v>
      </c>
      <c r="G240" t="s">
        <v>336</v>
      </c>
      <c r="H240" t="s">
        <v>347</v>
      </c>
      <c r="I240">
        <v>0</v>
      </c>
      <c r="J240" t="s">
        <v>343</v>
      </c>
      <c r="K240">
        <v>296000</v>
      </c>
      <c r="M240">
        <v>296000</v>
      </c>
    </row>
    <row r="241" spans="1:13" x14ac:dyDescent="0.35">
      <c r="A241" t="str">
        <f t="shared" si="17"/>
        <v>AC4572010465110200</v>
      </c>
      <c r="B241" t="s">
        <v>26</v>
      </c>
      <c r="C241" s="1">
        <v>45720</v>
      </c>
      <c r="D241" t="str">
        <f>"104"</f>
        <v>104</v>
      </c>
      <c r="E241" t="str">
        <f t="shared" ref="E241:E246" si="20">"65110200"</f>
        <v>65110200</v>
      </c>
      <c r="F241" t="s">
        <v>1405</v>
      </c>
      <c r="G241" t="s">
        <v>336</v>
      </c>
      <c r="H241" t="s">
        <v>5928</v>
      </c>
      <c r="I241">
        <v>0</v>
      </c>
      <c r="J241" t="s">
        <v>343</v>
      </c>
      <c r="K241">
        <v>28971</v>
      </c>
      <c r="M241">
        <v>28971</v>
      </c>
    </row>
    <row r="242" spans="1:13" x14ac:dyDescent="0.35">
      <c r="A242" t="str">
        <f t="shared" si="17"/>
        <v>AC4572010565110200</v>
      </c>
      <c r="B242" t="s">
        <v>26</v>
      </c>
      <c r="C242" s="1">
        <v>45720</v>
      </c>
      <c r="D242" t="str">
        <f>"105"</f>
        <v>105</v>
      </c>
      <c r="E242" t="str">
        <f t="shared" si="20"/>
        <v>65110200</v>
      </c>
      <c r="F242" t="s">
        <v>1405</v>
      </c>
      <c r="G242" t="s">
        <v>336</v>
      </c>
      <c r="H242" t="s">
        <v>5928</v>
      </c>
      <c r="I242">
        <v>0</v>
      </c>
      <c r="J242" t="s">
        <v>343</v>
      </c>
      <c r="K242">
        <v>342831</v>
      </c>
      <c r="M242">
        <v>342831</v>
      </c>
    </row>
    <row r="243" spans="1:13" x14ac:dyDescent="0.35">
      <c r="A243" t="str">
        <f t="shared" si="17"/>
        <v>AC4572111565110200</v>
      </c>
      <c r="B243" t="s">
        <v>26</v>
      </c>
      <c r="C243" s="1">
        <v>45721</v>
      </c>
      <c r="D243" t="str">
        <f>"115"</f>
        <v>115</v>
      </c>
      <c r="E243" t="str">
        <f t="shared" si="20"/>
        <v>65110200</v>
      </c>
      <c r="F243" t="s">
        <v>1491</v>
      </c>
      <c r="G243" t="s">
        <v>336</v>
      </c>
      <c r="H243" t="s">
        <v>5928</v>
      </c>
      <c r="I243">
        <v>0</v>
      </c>
      <c r="J243" t="s">
        <v>343</v>
      </c>
      <c r="K243">
        <v>171099</v>
      </c>
      <c r="M243">
        <v>171099</v>
      </c>
    </row>
    <row r="244" spans="1:13" x14ac:dyDescent="0.35">
      <c r="A244" t="str">
        <f t="shared" si="17"/>
        <v>AC4572111665110200</v>
      </c>
      <c r="B244" t="s">
        <v>26</v>
      </c>
      <c r="C244" s="1">
        <v>45721</v>
      </c>
      <c r="D244" t="str">
        <f>"116"</f>
        <v>116</v>
      </c>
      <c r="E244" t="str">
        <f t="shared" si="20"/>
        <v>65110200</v>
      </c>
      <c r="F244" t="s">
        <v>1491</v>
      </c>
      <c r="G244" t="s">
        <v>336</v>
      </c>
      <c r="H244" t="s">
        <v>5928</v>
      </c>
      <c r="I244">
        <v>0</v>
      </c>
      <c r="J244" t="s">
        <v>343</v>
      </c>
      <c r="K244">
        <v>1709722</v>
      </c>
      <c r="M244">
        <v>1709722</v>
      </c>
    </row>
    <row r="245" spans="1:13" x14ac:dyDescent="0.35">
      <c r="A245" t="str">
        <f t="shared" si="17"/>
        <v>AC4572111765110200</v>
      </c>
      <c r="B245" t="s">
        <v>26</v>
      </c>
      <c r="C245" s="1">
        <v>45721</v>
      </c>
      <c r="D245" t="str">
        <f>"117"</f>
        <v>117</v>
      </c>
      <c r="E245" t="str">
        <f t="shared" si="20"/>
        <v>65110200</v>
      </c>
      <c r="F245" t="s">
        <v>1491</v>
      </c>
      <c r="G245" t="s">
        <v>336</v>
      </c>
      <c r="H245" t="s">
        <v>5928</v>
      </c>
      <c r="I245">
        <v>0</v>
      </c>
      <c r="J245" t="s">
        <v>343</v>
      </c>
      <c r="K245">
        <v>372880</v>
      </c>
      <c r="M245">
        <v>372880</v>
      </c>
    </row>
    <row r="246" spans="1:13" x14ac:dyDescent="0.35">
      <c r="A246" t="str">
        <f t="shared" si="17"/>
        <v>AC4572111865110200</v>
      </c>
      <c r="B246" t="s">
        <v>26</v>
      </c>
      <c r="C246" s="1">
        <v>45721</v>
      </c>
      <c r="D246" t="str">
        <f>"118"</f>
        <v>118</v>
      </c>
      <c r="E246" t="str">
        <f t="shared" si="20"/>
        <v>65110200</v>
      </c>
      <c r="F246" t="s">
        <v>1491</v>
      </c>
      <c r="G246" t="s">
        <v>336</v>
      </c>
      <c r="H246" t="s">
        <v>5928</v>
      </c>
      <c r="I246">
        <v>0</v>
      </c>
      <c r="J246" t="s">
        <v>343</v>
      </c>
      <c r="K246">
        <v>1762827</v>
      </c>
      <c r="M246">
        <v>1762827</v>
      </c>
    </row>
    <row r="247" spans="1:13" x14ac:dyDescent="0.35">
      <c r="A247" t="str">
        <f t="shared" si="17"/>
        <v>AC45722360520000</v>
      </c>
      <c r="B247" t="s">
        <v>26</v>
      </c>
      <c r="C247" s="1">
        <v>45722</v>
      </c>
      <c r="D247" t="str">
        <f>"3"</f>
        <v>3</v>
      </c>
      <c r="E247" t="str">
        <f>"60520000"</f>
        <v>60520000</v>
      </c>
      <c r="F247" t="s">
        <v>1496</v>
      </c>
      <c r="G247" t="s">
        <v>336</v>
      </c>
      <c r="H247" t="s">
        <v>5905</v>
      </c>
      <c r="I247">
        <v>0</v>
      </c>
      <c r="J247" t="s">
        <v>343</v>
      </c>
      <c r="K247">
        <v>97550</v>
      </c>
      <c r="M247">
        <v>97550</v>
      </c>
    </row>
    <row r="248" spans="1:13" x14ac:dyDescent="0.35">
      <c r="A248" t="str">
        <f t="shared" si="17"/>
        <v>AC45722660520000</v>
      </c>
      <c r="B248" t="s">
        <v>26</v>
      </c>
      <c r="C248" s="1">
        <v>45722</v>
      </c>
      <c r="D248" t="str">
        <f>"6"</f>
        <v>6</v>
      </c>
      <c r="E248" t="str">
        <f>"60520000"</f>
        <v>60520000</v>
      </c>
      <c r="F248" t="s">
        <v>1502</v>
      </c>
      <c r="G248" t="s">
        <v>336</v>
      </c>
      <c r="H248" t="s">
        <v>5908</v>
      </c>
      <c r="I248">
        <v>0</v>
      </c>
      <c r="J248" t="s">
        <v>343</v>
      </c>
      <c r="K248">
        <v>695205</v>
      </c>
      <c r="M248">
        <v>695205</v>
      </c>
    </row>
    <row r="249" spans="1:13" x14ac:dyDescent="0.35">
      <c r="A249" t="str">
        <f t="shared" si="17"/>
        <v>AC45722760520000</v>
      </c>
      <c r="B249" t="s">
        <v>26</v>
      </c>
      <c r="C249" s="1">
        <v>45722</v>
      </c>
      <c r="D249" t="str">
        <f>"7"</f>
        <v>7</v>
      </c>
      <c r="E249" t="str">
        <f>"60520000"</f>
        <v>60520000</v>
      </c>
      <c r="F249" t="s">
        <v>1504</v>
      </c>
      <c r="G249" t="s">
        <v>336</v>
      </c>
      <c r="H249" t="s">
        <v>5908</v>
      </c>
      <c r="I249">
        <v>0</v>
      </c>
      <c r="J249" t="s">
        <v>343</v>
      </c>
      <c r="K249">
        <v>747010</v>
      </c>
      <c r="M249">
        <v>747010</v>
      </c>
    </row>
    <row r="250" spans="1:13" x14ac:dyDescent="0.35">
      <c r="A250" t="str">
        <f t="shared" si="17"/>
        <v>AC45722860520000</v>
      </c>
      <c r="B250" t="s">
        <v>26</v>
      </c>
      <c r="C250" s="1">
        <v>45722</v>
      </c>
      <c r="D250" t="str">
        <f>"8"</f>
        <v>8</v>
      </c>
      <c r="E250" t="str">
        <f>"60520000"</f>
        <v>60520000</v>
      </c>
      <c r="F250" t="s">
        <v>1506</v>
      </c>
      <c r="G250" t="s">
        <v>336</v>
      </c>
      <c r="H250" t="s">
        <v>5904</v>
      </c>
      <c r="I250">
        <v>0</v>
      </c>
      <c r="J250" t="s">
        <v>343</v>
      </c>
      <c r="K250">
        <v>669365</v>
      </c>
      <c r="M250">
        <v>669365</v>
      </c>
    </row>
    <row r="251" spans="1:13" x14ac:dyDescent="0.35">
      <c r="A251" t="str">
        <f t="shared" si="17"/>
        <v>AC45722960510000</v>
      </c>
      <c r="B251" t="s">
        <v>26</v>
      </c>
      <c r="C251" s="1">
        <v>45722</v>
      </c>
      <c r="D251" t="str">
        <f>"9"</f>
        <v>9</v>
      </c>
      <c r="E251" t="str">
        <f>"60510000"</f>
        <v>60510000</v>
      </c>
      <c r="F251" t="s">
        <v>1508</v>
      </c>
      <c r="G251" t="s">
        <v>336</v>
      </c>
      <c r="H251" t="s">
        <v>5905</v>
      </c>
      <c r="I251">
        <v>0</v>
      </c>
      <c r="J251" t="s">
        <v>343</v>
      </c>
      <c r="K251">
        <v>439836</v>
      </c>
      <c r="M251">
        <v>439836</v>
      </c>
    </row>
    <row r="252" spans="1:13" x14ac:dyDescent="0.35">
      <c r="A252" t="str">
        <f t="shared" si="17"/>
        <v>AC457222662100000</v>
      </c>
      <c r="B252" t="s">
        <v>26</v>
      </c>
      <c r="C252" s="1">
        <v>45722</v>
      </c>
      <c r="D252" t="str">
        <f>"26"</f>
        <v>26</v>
      </c>
      <c r="E252" t="str">
        <f>"62100000"</f>
        <v>62100000</v>
      </c>
      <c r="F252" t="s">
        <v>1510</v>
      </c>
      <c r="G252" t="s">
        <v>336</v>
      </c>
      <c r="H252" t="s">
        <v>5945</v>
      </c>
      <c r="I252">
        <v>0</v>
      </c>
      <c r="J252" t="s">
        <v>343</v>
      </c>
      <c r="K252">
        <v>4950000</v>
      </c>
      <c r="M252">
        <v>4950000</v>
      </c>
    </row>
    <row r="253" spans="1:13" x14ac:dyDescent="0.35">
      <c r="A253" t="str">
        <f t="shared" si="17"/>
        <v>AC457222760540000</v>
      </c>
      <c r="B253" t="s">
        <v>26</v>
      </c>
      <c r="C253" s="1">
        <v>45722</v>
      </c>
      <c r="D253" t="str">
        <f>"27"</f>
        <v>27</v>
      </c>
      <c r="E253" t="str">
        <f>"60540000"</f>
        <v>60540000</v>
      </c>
      <c r="F253" t="s">
        <v>1513</v>
      </c>
      <c r="G253" t="s">
        <v>336</v>
      </c>
      <c r="H253" t="s">
        <v>5905</v>
      </c>
      <c r="I253">
        <v>0</v>
      </c>
      <c r="J253" t="s">
        <v>343</v>
      </c>
      <c r="K253">
        <v>275853</v>
      </c>
      <c r="M253">
        <v>275853</v>
      </c>
    </row>
    <row r="254" spans="1:13" x14ac:dyDescent="0.35">
      <c r="A254" t="str">
        <f t="shared" si="17"/>
        <v>AC4572210665110200</v>
      </c>
      <c r="B254" t="s">
        <v>26</v>
      </c>
      <c r="C254" s="1">
        <v>45722</v>
      </c>
      <c r="D254" t="str">
        <f>"106"</f>
        <v>106</v>
      </c>
      <c r="E254" t="str">
        <f>"65110200"</f>
        <v>65110200</v>
      </c>
      <c r="F254" t="s">
        <v>1405</v>
      </c>
      <c r="G254" t="s">
        <v>336</v>
      </c>
      <c r="H254" t="s">
        <v>5928</v>
      </c>
      <c r="I254">
        <v>0</v>
      </c>
      <c r="J254" t="s">
        <v>343</v>
      </c>
      <c r="K254">
        <v>173829</v>
      </c>
      <c r="M254">
        <v>173829</v>
      </c>
    </row>
    <row r="255" spans="1:13" x14ac:dyDescent="0.35">
      <c r="A255" t="str">
        <f t="shared" si="17"/>
        <v>AC457232862411000</v>
      </c>
      <c r="B255" t="s">
        <v>26</v>
      </c>
      <c r="C255" s="1">
        <v>45723</v>
      </c>
      <c r="D255" t="str">
        <f>"28"</f>
        <v>28</v>
      </c>
      <c r="E255" t="str">
        <f>"62411000"</f>
        <v>62411000</v>
      </c>
      <c r="F255" t="s">
        <v>1518</v>
      </c>
      <c r="G255" t="s">
        <v>336</v>
      </c>
      <c r="H255" t="s">
        <v>5905</v>
      </c>
      <c r="I255">
        <v>0</v>
      </c>
      <c r="J255" t="s">
        <v>343</v>
      </c>
      <c r="K255">
        <v>1401705</v>
      </c>
      <c r="M255">
        <v>1401705</v>
      </c>
    </row>
    <row r="256" spans="1:13" x14ac:dyDescent="0.35">
      <c r="A256" t="str">
        <f t="shared" si="17"/>
        <v>AC457232963810000</v>
      </c>
      <c r="B256" t="s">
        <v>26</v>
      </c>
      <c r="C256" s="1">
        <v>45723</v>
      </c>
      <c r="D256" t="str">
        <f>"29"</f>
        <v>29</v>
      </c>
      <c r="E256" t="str">
        <f>"63810000"</f>
        <v>63810000</v>
      </c>
      <c r="F256" t="s">
        <v>1520</v>
      </c>
      <c r="G256" t="s">
        <v>336</v>
      </c>
      <c r="H256" t="s">
        <v>5887</v>
      </c>
      <c r="I256">
        <v>0</v>
      </c>
      <c r="J256" t="s">
        <v>343</v>
      </c>
      <c r="K256">
        <v>5196247</v>
      </c>
      <c r="M256">
        <v>5196247</v>
      </c>
    </row>
    <row r="257" spans="1:13" x14ac:dyDescent="0.35">
      <c r="A257" t="str">
        <f t="shared" si="17"/>
        <v>AC457233063280100</v>
      </c>
      <c r="B257" t="s">
        <v>26</v>
      </c>
      <c r="C257" s="1">
        <v>45723</v>
      </c>
      <c r="D257" t="str">
        <f>"30"</f>
        <v>30</v>
      </c>
      <c r="E257" t="str">
        <f>"63280100"</f>
        <v>63280100</v>
      </c>
      <c r="F257" t="s">
        <v>1523</v>
      </c>
      <c r="G257" t="s">
        <v>336</v>
      </c>
      <c r="H257" t="s">
        <v>5905</v>
      </c>
      <c r="I257">
        <v>0</v>
      </c>
      <c r="J257" t="s">
        <v>343</v>
      </c>
      <c r="K257">
        <v>553650</v>
      </c>
      <c r="M257">
        <v>553650</v>
      </c>
    </row>
    <row r="258" spans="1:13" x14ac:dyDescent="0.35">
      <c r="A258" t="str">
        <f t="shared" si="17"/>
        <v>AC457233163280100</v>
      </c>
      <c r="B258" t="s">
        <v>26</v>
      </c>
      <c r="C258" s="1">
        <v>45723</v>
      </c>
      <c r="D258" t="str">
        <f>"31"</f>
        <v>31</v>
      </c>
      <c r="E258" t="str">
        <f>"63280100"</f>
        <v>63280100</v>
      </c>
      <c r="F258" t="s">
        <v>1526</v>
      </c>
      <c r="G258" t="s">
        <v>336</v>
      </c>
      <c r="H258" t="s">
        <v>5928</v>
      </c>
      <c r="I258">
        <v>0</v>
      </c>
      <c r="J258" t="s">
        <v>343</v>
      </c>
      <c r="K258">
        <v>70000</v>
      </c>
      <c r="M258">
        <v>70000</v>
      </c>
    </row>
    <row r="259" spans="1:13" x14ac:dyDescent="0.35">
      <c r="A259" t="str">
        <f t="shared" ref="A259:A322" si="21">CONCATENATE(B259,C259,D259,E259)</f>
        <v>AC457233262411000</v>
      </c>
      <c r="B259" t="s">
        <v>26</v>
      </c>
      <c r="C259" s="1">
        <v>45723</v>
      </c>
      <c r="D259" t="str">
        <f>"32"</f>
        <v>32</v>
      </c>
      <c r="E259" t="str">
        <f>"62411000"</f>
        <v>62411000</v>
      </c>
      <c r="F259" t="s">
        <v>1528</v>
      </c>
      <c r="G259" t="s">
        <v>336</v>
      </c>
      <c r="H259" t="s">
        <v>5928</v>
      </c>
      <c r="I259">
        <v>0</v>
      </c>
      <c r="J259" t="s">
        <v>343</v>
      </c>
      <c r="K259">
        <v>390000</v>
      </c>
      <c r="M259">
        <v>390000</v>
      </c>
    </row>
    <row r="260" spans="1:13" x14ac:dyDescent="0.35">
      <c r="A260" t="str">
        <f t="shared" si="21"/>
        <v>AC457233362411000</v>
      </c>
      <c r="B260" t="s">
        <v>26</v>
      </c>
      <c r="C260" s="1">
        <v>45723</v>
      </c>
      <c r="D260" t="str">
        <f>"33"</f>
        <v>33</v>
      </c>
      <c r="E260" t="str">
        <f>"62411000"</f>
        <v>62411000</v>
      </c>
      <c r="F260" t="s">
        <v>1528</v>
      </c>
      <c r="G260" t="s">
        <v>336</v>
      </c>
      <c r="H260" t="s">
        <v>5928</v>
      </c>
      <c r="I260">
        <v>0</v>
      </c>
      <c r="J260" t="s">
        <v>343</v>
      </c>
      <c r="K260">
        <v>390000</v>
      </c>
      <c r="M260">
        <v>390000</v>
      </c>
    </row>
    <row r="261" spans="1:13" x14ac:dyDescent="0.35">
      <c r="A261" t="str">
        <f t="shared" si="21"/>
        <v>AC457263560520000</v>
      </c>
      <c r="B261" t="s">
        <v>26</v>
      </c>
      <c r="C261" s="1">
        <v>45726</v>
      </c>
      <c r="D261" t="str">
        <f>"35"</f>
        <v>35</v>
      </c>
      <c r="E261" t="str">
        <f>"60520000"</f>
        <v>60520000</v>
      </c>
      <c r="F261" t="s">
        <v>1531</v>
      </c>
      <c r="G261" t="s">
        <v>336</v>
      </c>
      <c r="H261" t="s">
        <v>5908</v>
      </c>
      <c r="I261">
        <v>0</v>
      </c>
      <c r="J261" t="s">
        <v>343</v>
      </c>
      <c r="K261">
        <v>4346</v>
      </c>
      <c r="M261">
        <v>4346</v>
      </c>
    </row>
    <row r="262" spans="1:13" x14ac:dyDescent="0.35">
      <c r="A262" t="str">
        <f t="shared" si="21"/>
        <v>AC457263660510000</v>
      </c>
      <c r="B262" t="s">
        <v>26</v>
      </c>
      <c r="C262" s="1">
        <v>45726</v>
      </c>
      <c r="D262" t="str">
        <f>"36"</f>
        <v>36</v>
      </c>
      <c r="E262" t="str">
        <f>"60510000"</f>
        <v>60510000</v>
      </c>
      <c r="F262" t="s">
        <v>1533</v>
      </c>
      <c r="G262" t="s">
        <v>336</v>
      </c>
      <c r="H262" t="s">
        <v>5905</v>
      </c>
      <c r="I262">
        <v>0</v>
      </c>
      <c r="J262" t="s">
        <v>343</v>
      </c>
      <c r="K262">
        <v>3685</v>
      </c>
      <c r="M262">
        <v>3685</v>
      </c>
    </row>
    <row r="263" spans="1:13" x14ac:dyDescent="0.35">
      <c r="A263" t="str">
        <f t="shared" si="21"/>
        <v>AC457264162880000</v>
      </c>
      <c r="B263" t="s">
        <v>26</v>
      </c>
      <c r="C263" s="1">
        <v>45726</v>
      </c>
      <c r="D263" t="str">
        <f>"41"</f>
        <v>41</v>
      </c>
      <c r="E263" t="str">
        <f>"62880000"</f>
        <v>62880000</v>
      </c>
      <c r="F263" t="s">
        <v>1545</v>
      </c>
      <c r="G263" t="s">
        <v>336</v>
      </c>
      <c r="H263" t="s">
        <v>5905</v>
      </c>
      <c r="I263">
        <v>0</v>
      </c>
      <c r="J263" t="s">
        <v>343</v>
      </c>
      <c r="K263">
        <v>422099</v>
      </c>
      <c r="M263">
        <v>422099</v>
      </c>
    </row>
    <row r="264" spans="1:13" x14ac:dyDescent="0.35">
      <c r="A264" t="str">
        <f t="shared" si="21"/>
        <v>AC457264262880000</v>
      </c>
      <c r="B264" t="s">
        <v>26</v>
      </c>
      <c r="C264" s="1">
        <v>45726</v>
      </c>
      <c r="D264" t="str">
        <f>"42"</f>
        <v>42</v>
      </c>
      <c r="E264" t="str">
        <f>"62880000"</f>
        <v>62880000</v>
      </c>
      <c r="F264" t="s">
        <v>1547</v>
      </c>
      <c r="G264" t="s">
        <v>336</v>
      </c>
      <c r="H264" t="s">
        <v>5905</v>
      </c>
      <c r="I264">
        <v>0</v>
      </c>
      <c r="J264" t="s">
        <v>343</v>
      </c>
      <c r="K264">
        <v>20242</v>
      </c>
      <c r="M264">
        <v>20242</v>
      </c>
    </row>
    <row r="265" spans="1:13" x14ac:dyDescent="0.35">
      <c r="A265" t="str">
        <f t="shared" si="21"/>
        <v>AC457264362880000</v>
      </c>
      <c r="B265" t="s">
        <v>26</v>
      </c>
      <c r="C265" s="1">
        <v>45726</v>
      </c>
      <c r="D265" t="str">
        <f>"43"</f>
        <v>43</v>
      </c>
      <c r="E265" t="str">
        <f>"62880000"</f>
        <v>62880000</v>
      </c>
      <c r="F265" t="s">
        <v>1549</v>
      </c>
      <c r="G265" t="s">
        <v>336</v>
      </c>
      <c r="H265" t="s">
        <v>5905</v>
      </c>
      <c r="I265">
        <v>0</v>
      </c>
      <c r="J265" t="s">
        <v>343</v>
      </c>
      <c r="K265">
        <v>2017736</v>
      </c>
      <c r="M265">
        <v>2017736</v>
      </c>
    </row>
    <row r="266" spans="1:13" x14ac:dyDescent="0.35">
      <c r="A266" t="str">
        <f t="shared" si="21"/>
        <v>AC457264562880000</v>
      </c>
      <c r="B266" t="s">
        <v>26</v>
      </c>
      <c r="C266" s="1">
        <v>45726</v>
      </c>
      <c r="D266" t="str">
        <f>"45"</f>
        <v>45</v>
      </c>
      <c r="E266" t="str">
        <f>"62880000"</f>
        <v>62880000</v>
      </c>
      <c r="F266" t="s">
        <v>1553</v>
      </c>
      <c r="G266" t="s">
        <v>336</v>
      </c>
      <c r="H266" t="s">
        <v>5905</v>
      </c>
      <c r="I266">
        <v>0</v>
      </c>
      <c r="J266" t="s">
        <v>343</v>
      </c>
      <c r="K266">
        <v>8875</v>
      </c>
      <c r="M266">
        <v>8875</v>
      </c>
    </row>
    <row r="267" spans="1:13" x14ac:dyDescent="0.35">
      <c r="A267" t="str">
        <f t="shared" si="21"/>
        <v>AC457265262881000</v>
      </c>
      <c r="B267" t="s">
        <v>26</v>
      </c>
      <c r="C267" s="1">
        <v>45726</v>
      </c>
      <c r="D267" t="str">
        <f>"52"</f>
        <v>52</v>
      </c>
      <c r="E267" t="str">
        <f t="shared" ref="E267:E287" si="22">"62881000"</f>
        <v>62881000</v>
      </c>
      <c r="F267" t="s">
        <v>1557</v>
      </c>
      <c r="G267" t="s">
        <v>336</v>
      </c>
      <c r="H267" t="s">
        <v>5883</v>
      </c>
      <c r="I267">
        <v>0</v>
      </c>
      <c r="J267" t="s">
        <v>343</v>
      </c>
      <c r="K267">
        <v>45000</v>
      </c>
      <c r="M267">
        <v>45000</v>
      </c>
    </row>
    <row r="268" spans="1:13" x14ac:dyDescent="0.35">
      <c r="A268" t="str">
        <f t="shared" si="21"/>
        <v>AC457265362881000</v>
      </c>
      <c r="B268" t="s">
        <v>26</v>
      </c>
      <c r="C268" s="1">
        <v>45726</v>
      </c>
      <c r="D268" t="str">
        <f>"53"</f>
        <v>53</v>
      </c>
      <c r="E268" t="str">
        <f t="shared" si="22"/>
        <v>62881000</v>
      </c>
      <c r="F268" t="s">
        <v>1559</v>
      </c>
      <c r="G268" t="s">
        <v>336</v>
      </c>
      <c r="H268" t="s">
        <v>5937</v>
      </c>
      <c r="I268">
        <v>0</v>
      </c>
      <c r="J268" t="s">
        <v>343</v>
      </c>
      <c r="K268">
        <v>276000</v>
      </c>
      <c r="M268">
        <v>276000</v>
      </c>
    </row>
    <row r="269" spans="1:13" x14ac:dyDescent="0.35">
      <c r="A269" t="str">
        <f t="shared" si="21"/>
        <v>AC457265462881000</v>
      </c>
      <c r="B269" t="s">
        <v>26</v>
      </c>
      <c r="C269" s="1">
        <v>45726</v>
      </c>
      <c r="D269" t="str">
        <f t="shared" ref="D269:D284" si="23">"54"</f>
        <v>54</v>
      </c>
      <c r="E269" t="str">
        <f t="shared" si="22"/>
        <v>62881000</v>
      </c>
      <c r="F269" t="s">
        <v>1561</v>
      </c>
      <c r="G269" t="s">
        <v>336</v>
      </c>
      <c r="H269" t="s">
        <v>5873</v>
      </c>
      <c r="I269">
        <v>0</v>
      </c>
      <c r="J269" t="s">
        <v>343</v>
      </c>
      <c r="K269">
        <v>204000</v>
      </c>
      <c r="M269">
        <v>504000</v>
      </c>
    </row>
    <row r="270" spans="1:13" x14ac:dyDescent="0.35">
      <c r="A270" t="str">
        <f t="shared" si="21"/>
        <v>AC457265462881000</v>
      </c>
      <c r="B270" t="s">
        <v>26</v>
      </c>
      <c r="C270" s="1">
        <v>45726</v>
      </c>
      <c r="D270" t="str">
        <f t="shared" si="23"/>
        <v>54</v>
      </c>
      <c r="E270" t="str">
        <f t="shared" si="22"/>
        <v>62881000</v>
      </c>
      <c r="F270" t="s">
        <v>1561</v>
      </c>
      <c r="G270" t="s">
        <v>336</v>
      </c>
      <c r="H270" t="s">
        <v>5947</v>
      </c>
      <c r="I270">
        <v>0</v>
      </c>
      <c r="J270" t="s">
        <v>343</v>
      </c>
      <c r="K270">
        <v>24000</v>
      </c>
      <c r="M270">
        <v>504000</v>
      </c>
    </row>
    <row r="271" spans="1:13" x14ac:dyDescent="0.35">
      <c r="A271" t="str">
        <f t="shared" si="21"/>
        <v>AC457265462881000</v>
      </c>
      <c r="B271" t="s">
        <v>26</v>
      </c>
      <c r="C271" s="1">
        <v>45726</v>
      </c>
      <c r="D271" t="str">
        <f t="shared" si="23"/>
        <v>54</v>
      </c>
      <c r="E271" t="str">
        <f t="shared" si="22"/>
        <v>62881000</v>
      </c>
      <c r="F271" t="s">
        <v>1561</v>
      </c>
      <c r="G271" t="s">
        <v>336</v>
      </c>
      <c r="H271" t="s">
        <v>5878</v>
      </c>
      <c r="I271">
        <v>0</v>
      </c>
      <c r="J271" t="s">
        <v>343</v>
      </c>
      <c r="K271">
        <v>36000</v>
      </c>
      <c r="M271">
        <v>504000</v>
      </c>
    </row>
    <row r="272" spans="1:13" x14ac:dyDescent="0.35">
      <c r="A272" t="str">
        <f t="shared" si="21"/>
        <v>AC457265462881000</v>
      </c>
      <c r="B272" t="s">
        <v>26</v>
      </c>
      <c r="C272" s="1">
        <v>45726</v>
      </c>
      <c r="D272" t="str">
        <f t="shared" si="23"/>
        <v>54</v>
      </c>
      <c r="E272" t="str">
        <f t="shared" si="22"/>
        <v>62881000</v>
      </c>
      <c r="F272" t="s">
        <v>1561</v>
      </c>
      <c r="G272" t="s">
        <v>336</v>
      </c>
      <c r="H272" t="s">
        <v>5948</v>
      </c>
      <c r="I272">
        <v>0</v>
      </c>
      <c r="J272" t="s">
        <v>343</v>
      </c>
      <c r="K272">
        <v>24000</v>
      </c>
      <c r="M272">
        <v>504000</v>
      </c>
    </row>
    <row r="273" spans="1:13" x14ac:dyDescent="0.35">
      <c r="A273" t="str">
        <f t="shared" si="21"/>
        <v>AC457265462881000</v>
      </c>
      <c r="B273" t="s">
        <v>26</v>
      </c>
      <c r="C273" s="1">
        <v>45726</v>
      </c>
      <c r="D273" t="str">
        <f t="shared" si="23"/>
        <v>54</v>
      </c>
      <c r="E273" t="str">
        <f t="shared" si="22"/>
        <v>62881000</v>
      </c>
      <c r="F273" t="s">
        <v>1561</v>
      </c>
      <c r="G273" t="s">
        <v>336</v>
      </c>
      <c r="H273" t="s">
        <v>5879</v>
      </c>
      <c r="I273">
        <v>0</v>
      </c>
      <c r="J273" t="s">
        <v>343</v>
      </c>
      <c r="K273">
        <v>24000</v>
      </c>
      <c r="M273">
        <v>504000</v>
      </c>
    </row>
    <row r="274" spans="1:13" x14ac:dyDescent="0.35">
      <c r="A274" t="str">
        <f t="shared" si="21"/>
        <v>AC457265462881000</v>
      </c>
      <c r="B274" t="s">
        <v>26</v>
      </c>
      <c r="C274" s="1">
        <v>45726</v>
      </c>
      <c r="D274" t="str">
        <f t="shared" si="23"/>
        <v>54</v>
      </c>
      <c r="E274" t="str">
        <f t="shared" si="22"/>
        <v>62881000</v>
      </c>
      <c r="F274" t="s">
        <v>1561</v>
      </c>
      <c r="G274" t="s">
        <v>336</v>
      </c>
      <c r="H274" t="s">
        <v>5877</v>
      </c>
      <c r="I274">
        <v>0</v>
      </c>
      <c r="J274" t="s">
        <v>343</v>
      </c>
      <c r="K274">
        <v>24000</v>
      </c>
      <c r="M274">
        <v>504000</v>
      </c>
    </row>
    <row r="275" spans="1:13" x14ac:dyDescent="0.35">
      <c r="A275" t="str">
        <f t="shared" si="21"/>
        <v>AC457265462881000</v>
      </c>
      <c r="B275" t="s">
        <v>26</v>
      </c>
      <c r="C275" s="1">
        <v>45726</v>
      </c>
      <c r="D275" t="str">
        <f t="shared" si="23"/>
        <v>54</v>
      </c>
      <c r="E275" t="str">
        <f t="shared" si="22"/>
        <v>62881000</v>
      </c>
      <c r="F275" t="s">
        <v>1561</v>
      </c>
      <c r="G275" t="s">
        <v>336</v>
      </c>
      <c r="H275" t="s">
        <v>5939</v>
      </c>
      <c r="I275">
        <v>0</v>
      </c>
      <c r="J275" t="s">
        <v>343</v>
      </c>
      <c r="K275">
        <v>12000</v>
      </c>
      <c r="M275">
        <v>504000</v>
      </c>
    </row>
    <row r="276" spans="1:13" x14ac:dyDescent="0.35">
      <c r="A276" t="str">
        <f t="shared" si="21"/>
        <v>AC457265462881000</v>
      </c>
      <c r="B276" t="s">
        <v>26</v>
      </c>
      <c r="C276" s="1">
        <v>45726</v>
      </c>
      <c r="D276" t="str">
        <f t="shared" si="23"/>
        <v>54</v>
      </c>
      <c r="E276" t="str">
        <f t="shared" si="22"/>
        <v>62881000</v>
      </c>
      <c r="F276" t="s">
        <v>1561</v>
      </c>
      <c r="G276" t="s">
        <v>336</v>
      </c>
      <c r="H276" t="s">
        <v>5941</v>
      </c>
      <c r="I276">
        <v>0</v>
      </c>
      <c r="J276" t="s">
        <v>343</v>
      </c>
      <c r="K276">
        <v>12000</v>
      </c>
      <c r="M276">
        <v>504000</v>
      </c>
    </row>
    <row r="277" spans="1:13" x14ac:dyDescent="0.35">
      <c r="A277" t="str">
        <f t="shared" si="21"/>
        <v>AC457265462881000</v>
      </c>
      <c r="B277" t="s">
        <v>26</v>
      </c>
      <c r="C277" s="1">
        <v>45726</v>
      </c>
      <c r="D277" t="str">
        <f t="shared" si="23"/>
        <v>54</v>
      </c>
      <c r="E277" t="str">
        <f t="shared" si="22"/>
        <v>62881000</v>
      </c>
      <c r="F277" t="s">
        <v>1561</v>
      </c>
      <c r="G277" t="s">
        <v>336</v>
      </c>
      <c r="H277" t="s">
        <v>5884</v>
      </c>
      <c r="I277">
        <v>0</v>
      </c>
      <c r="J277" t="s">
        <v>343</v>
      </c>
      <c r="K277">
        <v>12000</v>
      </c>
      <c r="M277">
        <v>504000</v>
      </c>
    </row>
    <row r="278" spans="1:13" x14ac:dyDescent="0.35">
      <c r="A278" t="str">
        <f t="shared" si="21"/>
        <v>AC457265462881000</v>
      </c>
      <c r="B278" t="s">
        <v>26</v>
      </c>
      <c r="C278" s="1">
        <v>45726</v>
      </c>
      <c r="D278" t="str">
        <f t="shared" si="23"/>
        <v>54</v>
      </c>
      <c r="E278" t="str">
        <f t="shared" si="22"/>
        <v>62881000</v>
      </c>
      <c r="F278" t="s">
        <v>1561</v>
      </c>
      <c r="G278" t="s">
        <v>336</v>
      </c>
      <c r="H278" t="s">
        <v>5904</v>
      </c>
      <c r="I278">
        <v>0</v>
      </c>
      <c r="J278" t="s">
        <v>343</v>
      </c>
      <c r="K278">
        <v>24000</v>
      </c>
      <c r="M278">
        <v>504000</v>
      </c>
    </row>
    <row r="279" spans="1:13" x14ac:dyDescent="0.35">
      <c r="A279" t="str">
        <f t="shared" si="21"/>
        <v>AC457265462881000</v>
      </c>
      <c r="B279" t="s">
        <v>26</v>
      </c>
      <c r="C279" s="1">
        <v>45726</v>
      </c>
      <c r="D279" t="str">
        <f t="shared" si="23"/>
        <v>54</v>
      </c>
      <c r="E279" t="str">
        <f t="shared" si="22"/>
        <v>62881000</v>
      </c>
      <c r="F279" t="s">
        <v>1561</v>
      </c>
      <c r="G279" t="s">
        <v>336</v>
      </c>
      <c r="H279" t="s">
        <v>5932</v>
      </c>
      <c r="I279">
        <v>0</v>
      </c>
      <c r="J279" t="s">
        <v>343</v>
      </c>
      <c r="K279">
        <v>24000</v>
      </c>
      <c r="M279">
        <v>504000</v>
      </c>
    </row>
    <row r="280" spans="1:13" x14ac:dyDescent="0.35">
      <c r="A280" t="str">
        <f t="shared" si="21"/>
        <v>AC457265462881000</v>
      </c>
      <c r="B280" t="s">
        <v>26</v>
      </c>
      <c r="C280" s="1">
        <v>45726</v>
      </c>
      <c r="D280" t="str">
        <f t="shared" si="23"/>
        <v>54</v>
      </c>
      <c r="E280" t="str">
        <f t="shared" si="22"/>
        <v>62881000</v>
      </c>
      <c r="F280" t="s">
        <v>1561</v>
      </c>
      <c r="G280" t="s">
        <v>336</v>
      </c>
      <c r="H280" t="s">
        <v>5940</v>
      </c>
      <c r="I280">
        <v>0</v>
      </c>
      <c r="J280" t="s">
        <v>343</v>
      </c>
      <c r="K280">
        <v>24000</v>
      </c>
      <c r="M280">
        <v>504000</v>
      </c>
    </row>
    <row r="281" spans="1:13" x14ac:dyDescent="0.35">
      <c r="A281" t="str">
        <f t="shared" si="21"/>
        <v>AC457265462881000</v>
      </c>
      <c r="B281" t="s">
        <v>26</v>
      </c>
      <c r="C281" s="1">
        <v>45726</v>
      </c>
      <c r="D281" t="str">
        <f t="shared" si="23"/>
        <v>54</v>
      </c>
      <c r="E281" t="str">
        <f t="shared" si="22"/>
        <v>62881000</v>
      </c>
      <c r="F281" t="s">
        <v>1561</v>
      </c>
      <c r="G281" t="s">
        <v>336</v>
      </c>
      <c r="H281" t="s">
        <v>5883</v>
      </c>
      <c r="I281">
        <v>0</v>
      </c>
      <c r="J281" t="s">
        <v>343</v>
      </c>
      <c r="K281">
        <v>12000</v>
      </c>
      <c r="M281">
        <v>504000</v>
      </c>
    </row>
    <row r="282" spans="1:13" x14ac:dyDescent="0.35">
      <c r="A282" t="str">
        <f t="shared" si="21"/>
        <v>AC457265462881000</v>
      </c>
      <c r="B282" t="s">
        <v>26</v>
      </c>
      <c r="C282" s="1">
        <v>45726</v>
      </c>
      <c r="D282" t="str">
        <f t="shared" si="23"/>
        <v>54</v>
      </c>
      <c r="E282" t="str">
        <f t="shared" si="22"/>
        <v>62881000</v>
      </c>
      <c r="F282" t="s">
        <v>1561</v>
      </c>
      <c r="G282" t="s">
        <v>336</v>
      </c>
      <c r="H282" t="s">
        <v>5882</v>
      </c>
      <c r="I282">
        <v>0</v>
      </c>
      <c r="J282" t="s">
        <v>343</v>
      </c>
      <c r="K282">
        <v>12000</v>
      </c>
      <c r="M282">
        <v>504000</v>
      </c>
    </row>
    <row r="283" spans="1:13" x14ac:dyDescent="0.35">
      <c r="A283" t="str">
        <f t="shared" si="21"/>
        <v>AC457265462881000</v>
      </c>
      <c r="B283" t="s">
        <v>26</v>
      </c>
      <c r="C283" s="1">
        <v>45726</v>
      </c>
      <c r="D283" t="str">
        <f t="shared" si="23"/>
        <v>54</v>
      </c>
      <c r="E283" t="str">
        <f t="shared" si="22"/>
        <v>62881000</v>
      </c>
      <c r="F283" t="s">
        <v>1561</v>
      </c>
      <c r="G283" t="s">
        <v>336</v>
      </c>
      <c r="H283" t="s">
        <v>5928</v>
      </c>
      <c r="I283">
        <v>0</v>
      </c>
      <c r="J283" t="s">
        <v>343</v>
      </c>
      <c r="K283">
        <v>24000</v>
      </c>
      <c r="M283">
        <v>504000</v>
      </c>
    </row>
    <row r="284" spans="1:13" x14ac:dyDescent="0.35">
      <c r="A284" t="str">
        <f t="shared" si="21"/>
        <v>AC457265462881000</v>
      </c>
      <c r="B284" t="s">
        <v>26</v>
      </c>
      <c r="C284" s="1">
        <v>45726</v>
      </c>
      <c r="D284" t="str">
        <f t="shared" si="23"/>
        <v>54</v>
      </c>
      <c r="E284" t="str">
        <f t="shared" si="22"/>
        <v>62881000</v>
      </c>
      <c r="F284" t="s">
        <v>1561</v>
      </c>
      <c r="G284" t="s">
        <v>336</v>
      </c>
      <c r="H284" t="s">
        <v>5937</v>
      </c>
      <c r="I284">
        <v>0</v>
      </c>
      <c r="J284" t="s">
        <v>343</v>
      </c>
      <c r="K284">
        <v>12000</v>
      </c>
      <c r="M284">
        <v>504000</v>
      </c>
    </row>
    <row r="285" spans="1:13" x14ac:dyDescent="0.35">
      <c r="A285" t="str">
        <f t="shared" si="21"/>
        <v>AC457265562881000</v>
      </c>
      <c r="B285" t="s">
        <v>26</v>
      </c>
      <c r="C285" s="1">
        <v>45726</v>
      </c>
      <c r="D285" t="str">
        <f>"55"</f>
        <v>55</v>
      </c>
      <c r="E285" t="str">
        <f t="shared" si="22"/>
        <v>62881000</v>
      </c>
      <c r="F285" t="s">
        <v>1563</v>
      </c>
      <c r="G285" t="s">
        <v>336</v>
      </c>
      <c r="H285" t="s">
        <v>5937</v>
      </c>
      <c r="I285">
        <v>0</v>
      </c>
      <c r="J285" t="s">
        <v>343</v>
      </c>
      <c r="K285">
        <v>340000</v>
      </c>
      <c r="M285">
        <v>340000</v>
      </c>
    </row>
    <row r="286" spans="1:13" x14ac:dyDescent="0.35">
      <c r="A286" t="str">
        <f t="shared" si="21"/>
        <v>AC457265662881000</v>
      </c>
      <c r="B286" t="s">
        <v>26</v>
      </c>
      <c r="C286" s="1">
        <v>45726</v>
      </c>
      <c r="D286" t="str">
        <f>"56"</f>
        <v>56</v>
      </c>
      <c r="E286" t="str">
        <f t="shared" si="22"/>
        <v>62881000</v>
      </c>
      <c r="F286" t="s">
        <v>1565</v>
      </c>
      <c r="G286" t="s">
        <v>336</v>
      </c>
      <c r="H286" t="s">
        <v>5889</v>
      </c>
      <c r="I286">
        <v>0</v>
      </c>
      <c r="J286" t="s">
        <v>343</v>
      </c>
      <c r="K286">
        <v>78000</v>
      </c>
      <c r="M286">
        <v>78000</v>
      </c>
    </row>
    <row r="287" spans="1:13" x14ac:dyDescent="0.35">
      <c r="A287" t="str">
        <f t="shared" si="21"/>
        <v>AC457265762881000</v>
      </c>
      <c r="B287" t="s">
        <v>26</v>
      </c>
      <c r="C287" s="1">
        <v>45726</v>
      </c>
      <c r="D287" t="str">
        <f>"57"</f>
        <v>57</v>
      </c>
      <c r="E287" t="str">
        <f t="shared" si="22"/>
        <v>62881000</v>
      </c>
      <c r="F287" t="s">
        <v>1567</v>
      </c>
      <c r="G287" t="s">
        <v>336</v>
      </c>
      <c r="H287" t="s">
        <v>5948</v>
      </c>
      <c r="I287">
        <v>0</v>
      </c>
      <c r="J287" t="s">
        <v>343</v>
      </c>
      <c r="K287">
        <v>10000</v>
      </c>
      <c r="M287">
        <v>10000</v>
      </c>
    </row>
    <row r="288" spans="1:13" x14ac:dyDescent="0.35">
      <c r="A288" t="str">
        <f t="shared" si="21"/>
        <v>AC457266362411000</v>
      </c>
      <c r="B288" t="s">
        <v>26</v>
      </c>
      <c r="C288" s="1">
        <v>45726</v>
      </c>
      <c r="D288" t="str">
        <f>"63"</f>
        <v>63</v>
      </c>
      <c r="E288" t="str">
        <f>"62411000"</f>
        <v>62411000</v>
      </c>
      <c r="F288" t="s">
        <v>1571</v>
      </c>
      <c r="G288" t="s">
        <v>336</v>
      </c>
      <c r="H288" t="s">
        <v>5928</v>
      </c>
      <c r="I288">
        <v>0</v>
      </c>
      <c r="J288" t="s">
        <v>343</v>
      </c>
      <c r="K288">
        <v>192000</v>
      </c>
      <c r="M288">
        <v>192000</v>
      </c>
    </row>
    <row r="289" spans="1:13" x14ac:dyDescent="0.35">
      <c r="A289" t="str">
        <f t="shared" si="21"/>
        <v>AC4572610765110200</v>
      </c>
      <c r="B289" t="s">
        <v>26</v>
      </c>
      <c r="C289" s="1">
        <v>45726</v>
      </c>
      <c r="D289" t="str">
        <f>"107"</f>
        <v>107</v>
      </c>
      <c r="E289" t="str">
        <f>"65110200"</f>
        <v>65110200</v>
      </c>
      <c r="F289" t="s">
        <v>1396</v>
      </c>
      <c r="G289" t="s">
        <v>336</v>
      </c>
      <c r="H289" t="s">
        <v>5928</v>
      </c>
      <c r="I289">
        <v>0</v>
      </c>
      <c r="J289" t="s">
        <v>343</v>
      </c>
      <c r="K289">
        <v>50858</v>
      </c>
      <c r="M289">
        <v>50858</v>
      </c>
    </row>
    <row r="290" spans="1:13" x14ac:dyDescent="0.35">
      <c r="A290" t="str">
        <f t="shared" si="21"/>
        <v>AC4572610865110200</v>
      </c>
      <c r="B290" t="s">
        <v>26</v>
      </c>
      <c r="C290" s="1">
        <v>45726</v>
      </c>
      <c r="D290" t="str">
        <f>"108"</f>
        <v>108</v>
      </c>
      <c r="E290" t="str">
        <f>"65110200"</f>
        <v>65110200</v>
      </c>
      <c r="F290" t="s">
        <v>1396</v>
      </c>
      <c r="G290" t="s">
        <v>336</v>
      </c>
      <c r="H290" t="s">
        <v>5928</v>
      </c>
      <c r="I290">
        <v>0</v>
      </c>
      <c r="J290" t="s">
        <v>343</v>
      </c>
      <c r="K290">
        <v>51273</v>
      </c>
      <c r="M290">
        <v>51273</v>
      </c>
    </row>
    <row r="291" spans="1:13" x14ac:dyDescent="0.35">
      <c r="A291" t="str">
        <f t="shared" si="21"/>
        <v>AC4572610965110200</v>
      </c>
      <c r="B291" t="s">
        <v>26</v>
      </c>
      <c r="C291" s="1">
        <v>45726</v>
      </c>
      <c r="D291" t="str">
        <f>"109"</f>
        <v>109</v>
      </c>
      <c r="E291" t="str">
        <f>"65110200"</f>
        <v>65110200</v>
      </c>
      <c r="F291" t="s">
        <v>1396</v>
      </c>
      <c r="G291" t="s">
        <v>336</v>
      </c>
      <c r="H291" t="s">
        <v>5928</v>
      </c>
      <c r="I291">
        <v>0</v>
      </c>
      <c r="J291" t="s">
        <v>343</v>
      </c>
      <c r="K291">
        <v>27672</v>
      </c>
      <c r="M291">
        <v>27672</v>
      </c>
    </row>
    <row r="292" spans="1:13" x14ac:dyDescent="0.35">
      <c r="A292" t="str">
        <f t="shared" si="21"/>
        <v>AC4572611065110200</v>
      </c>
      <c r="B292" t="s">
        <v>26</v>
      </c>
      <c r="C292" s="1">
        <v>45726</v>
      </c>
      <c r="D292" t="str">
        <f>"110"</f>
        <v>110</v>
      </c>
      <c r="E292" t="str">
        <f>"65110200"</f>
        <v>65110200</v>
      </c>
      <c r="F292" t="s">
        <v>1396</v>
      </c>
      <c r="G292" t="s">
        <v>336</v>
      </c>
      <c r="H292" t="s">
        <v>5928</v>
      </c>
      <c r="I292">
        <v>0</v>
      </c>
      <c r="J292" t="s">
        <v>343</v>
      </c>
      <c r="K292">
        <v>59000</v>
      </c>
      <c r="M292">
        <v>59000</v>
      </c>
    </row>
    <row r="293" spans="1:13" x14ac:dyDescent="0.35">
      <c r="A293" t="str">
        <f t="shared" si="21"/>
        <v>AC4572612562411000</v>
      </c>
      <c r="B293" t="s">
        <v>26</v>
      </c>
      <c r="C293" s="1">
        <v>45726</v>
      </c>
      <c r="D293" t="str">
        <f>"125"</f>
        <v>125</v>
      </c>
      <c r="E293" t="str">
        <f>"62411000"</f>
        <v>62411000</v>
      </c>
      <c r="F293" t="s">
        <v>1581</v>
      </c>
      <c r="G293" t="s">
        <v>336</v>
      </c>
      <c r="H293" t="s">
        <v>5908</v>
      </c>
      <c r="I293">
        <v>0</v>
      </c>
      <c r="J293" t="s">
        <v>343</v>
      </c>
      <c r="K293">
        <v>770000</v>
      </c>
      <c r="M293">
        <v>770000</v>
      </c>
    </row>
    <row r="294" spans="1:13" x14ac:dyDescent="0.35">
      <c r="A294" t="str">
        <f t="shared" si="21"/>
        <v>AC4572615762411000</v>
      </c>
      <c r="B294" t="s">
        <v>26</v>
      </c>
      <c r="C294" s="1">
        <v>45726</v>
      </c>
      <c r="D294" t="str">
        <f>"157"</f>
        <v>157</v>
      </c>
      <c r="E294" t="str">
        <f>"62411000"</f>
        <v>62411000</v>
      </c>
      <c r="F294" t="s">
        <v>1582</v>
      </c>
      <c r="G294" t="s">
        <v>336</v>
      </c>
      <c r="H294" t="s">
        <v>5908</v>
      </c>
      <c r="I294">
        <v>0</v>
      </c>
      <c r="J294" t="s">
        <v>343</v>
      </c>
      <c r="K294">
        <v>154400</v>
      </c>
      <c r="M294">
        <v>154400</v>
      </c>
    </row>
    <row r="295" spans="1:13" x14ac:dyDescent="0.35">
      <c r="A295" t="str">
        <f t="shared" si="21"/>
        <v>AC457276464611000</v>
      </c>
      <c r="B295" t="s">
        <v>26</v>
      </c>
      <c r="C295" s="1">
        <v>45727</v>
      </c>
      <c r="D295" t="str">
        <f t="shared" ref="D295:D304" si="24">"64"</f>
        <v>64</v>
      </c>
      <c r="E295" t="str">
        <f t="shared" ref="E295:E300" si="25">"64611000"</f>
        <v>64611000</v>
      </c>
      <c r="F295" t="s">
        <v>1589</v>
      </c>
      <c r="G295" t="s">
        <v>336</v>
      </c>
      <c r="H295" t="s">
        <v>5897</v>
      </c>
      <c r="I295">
        <v>0</v>
      </c>
      <c r="J295" t="s">
        <v>343</v>
      </c>
      <c r="K295">
        <v>31356</v>
      </c>
      <c r="M295">
        <v>231949</v>
      </c>
    </row>
    <row r="296" spans="1:13" x14ac:dyDescent="0.35">
      <c r="A296" t="str">
        <f t="shared" si="21"/>
        <v>AC457276464611000</v>
      </c>
      <c r="B296" t="s">
        <v>26</v>
      </c>
      <c r="C296" s="1">
        <v>45727</v>
      </c>
      <c r="D296" t="str">
        <f t="shared" si="24"/>
        <v>64</v>
      </c>
      <c r="E296" t="str">
        <f t="shared" si="25"/>
        <v>64611000</v>
      </c>
      <c r="F296" t="s">
        <v>1589</v>
      </c>
      <c r="G296" t="s">
        <v>336</v>
      </c>
      <c r="H296" t="s">
        <v>5894</v>
      </c>
      <c r="I296">
        <v>0</v>
      </c>
      <c r="J296" t="s">
        <v>343</v>
      </c>
      <c r="K296">
        <v>17755</v>
      </c>
      <c r="M296">
        <v>231949</v>
      </c>
    </row>
    <row r="297" spans="1:13" x14ac:dyDescent="0.35">
      <c r="A297" t="str">
        <f t="shared" si="21"/>
        <v>AC457276464611000</v>
      </c>
      <c r="B297" t="s">
        <v>26</v>
      </c>
      <c r="C297" s="1">
        <v>45727</v>
      </c>
      <c r="D297" t="str">
        <f t="shared" si="24"/>
        <v>64</v>
      </c>
      <c r="E297" t="str">
        <f t="shared" si="25"/>
        <v>64611000</v>
      </c>
      <c r="F297" t="s">
        <v>1589</v>
      </c>
      <c r="G297" t="s">
        <v>336</v>
      </c>
      <c r="H297" t="s">
        <v>5895</v>
      </c>
      <c r="I297">
        <v>0</v>
      </c>
      <c r="J297" t="s">
        <v>343</v>
      </c>
      <c r="K297">
        <v>66866</v>
      </c>
      <c r="M297">
        <v>231949</v>
      </c>
    </row>
    <row r="298" spans="1:13" x14ac:dyDescent="0.35">
      <c r="A298" t="str">
        <f t="shared" si="21"/>
        <v>AC457276464611000</v>
      </c>
      <c r="B298" t="s">
        <v>26</v>
      </c>
      <c r="C298" s="1">
        <v>45727</v>
      </c>
      <c r="D298" t="str">
        <f t="shared" si="24"/>
        <v>64</v>
      </c>
      <c r="E298" t="str">
        <f t="shared" si="25"/>
        <v>64611000</v>
      </c>
      <c r="F298" t="s">
        <v>1589</v>
      </c>
      <c r="G298" t="s">
        <v>336</v>
      </c>
      <c r="H298" t="s">
        <v>5900</v>
      </c>
      <c r="I298">
        <v>0</v>
      </c>
      <c r="J298" t="s">
        <v>343</v>
      </c>
      <c r="K298">
        <v>33433</v>
      </c>
      <c r="M298">
        <v>231949</v>
      </c>
    </row>
    <row r="299" spans="1:13" x14ac:dyDescent="0.35">
      <c r="A299" t="str">
        <f t="shared" si="21"/>
        <v>AC457276464611000</v>
      </c>
      <c r="B299" t="s">
        <v>26</v>
      </c>
      <c r="C299" s="1">
        <v>45727</v>
      </c>
      <c r="D299" t="str">
        <f t="shared" si="24"/>
        <v>64</v>
      </c>
      <c r="E299" t="str">
        <f t="shared" si="25"/>
        <v>64611000</v>
      </c>
      <c r="F299" t="s">
        <v>1589</v>
      </c>
      <c r="G299" t="s">
        <v>336</v>
      </c>
      <c r="H299" t="s">
        <v>5892</v>
      </c>
      <c r="I299">
        <v>0</v>
      </c>
      <c r="J299" t="s">
        <v>343</v>
      </c>
      <c r="K299">
        <v>47034</v>
      </c>
      <c r="M299">
        <v>231949</v>
      </c>
    </row>
    <row r="300" spans="1:13" x14ac:dyDescent="0.35">
      <c r="A300" t="str">
        <f t="shared" si="21"/>
        <v>AC457276464611000</v>
      </c>
      <c r="B300" t="s">
        <v>26</v>
      </c>
      <c r="C300" s="1">
        <v>45727</v>
      </c>
      <c r="D300" t="str">
        <f t="shared" si="24"/>
        <v>64</v>
      </c>
      <c r="E300" t="str">
        <f t="shared" si="25"/>
        <v>64611000</v>
      </c>
      <c r="F300" t="s">
        <v>1589</v>
      </c>
      <c r="G300" t="s">
        <v>336</v>
      </c>
      <c r="H300" t="s">
        <v>5891</v>
      </c>
      <c r="I300">
        <v>0</v>
      </c>
      <c r="J300" t="s">
        <v>343</v>
      </c>
      <c r="K300">
        <v>35505</v>
      </c>
      <c r="M300">
        <v>231949</v>
      </c>
    </row>
    <row r="301" spans="1:13" x14ac:dyDescent="0.35">
      <c r="A301" t="str">
        <f t="shared" si="21"/>
        <v>AC457276464640000</v>
      </c>
      <c r="B301" t="s">
        <v>26</v>
      </c>
      <c r="C301" s="1">
        <v>45727</v>
      </c>
      <c r="D301" t="str">
        <f t="shared" si="24"/>
        <v>64</v>
      </c>
      <c r="E301" t="str">
        <f>"64640000"</f>
        <v>64640000</v>
      </c>
      <c r="F301" t="s">
        <v>1589</v>
      </c>
      <c r="G301" t="s">
        <v>336</v>
      </c>
      <c r="H301" t="s">
        <v>5894</v>
      </c>
      <c r="I301">
        <v>0</v>
      </c>
      <c r="J301" t="s">
        <v>343</v>
      </c>
      <c r="K301">
        <v>80000</v>
      </c>
      <c r="M301">
        <v>645000</v>
      </c>
    </row>
    <row r="302" spans="1:13" x14ac:dyDescent="0.35">
      <c r="A302" t="str">
        <f t="shared" si="21"/>
        <v>AC457276464640000</v>
      </c>
      <c r="B302" t="s">
        <v>26</v>
      </c>
      <c r="C302" s="1">
        <v>45727</v>
      </c>
      <c r="D302" t="str">
        <f t="shared" si="24"/>
        <v>64</v>
      </c>
      <c r="E302" t="str">
        <f>"64640000"</f>
        <v>64640000</v>
      </c>
      <c r="F302" t="s">
        <v>1589</v>
      </c>
      <c r="G302" t="s">
        <v>336</v>
      </c>
      <c r="H302" t="s">
        <v>5895</v>
      </c>
      <c r="I302">
        <v>0</v>
      </c>
      <c r="J302" t="s">
        <v>343</v>
      </c>
      <c r="K302">
        <v>285000</v>
      </c>
      <c r="M302">
        <v>645000</v>
      </c>
    </row>
    <row r="303" spans="1:13" x14ac:dyDescent="0.35">
      <c r="A303" t="str">
        <f t="shared" si="21"/>
        <v>AC457276464640000</v>
      </c>
      <c r="B303" t="s">
        <v>26</v>
      </c>
      <c r="C303" s="1">
        <v>45727</v>
      </c>
      <c r="D303" t="str">
        <f t="shared" si="24"/>
        <v>64</v>
      </c>
      <c r="E303" t="str">
        <f>"64640000"</f>
        <v>64640000</v>
      </c>
      <c r="F303" t="s">
        <v>1589</v>
      </c>
      <c r="G303" t="s">
        <v>336</v>
      </c>
      <c r="H303" t="s">
        <v>5895</v>
      </c>
      <c r="I303">
        <v>0</v>
      </c>
      <c r="J303" t="s">
        <v>343</v>
      </c>
      <c r="K303">
        <v>10000</v>
      </c>
      <c r="M303">
        <v>645000</v>
      </c>
    </row>
    <row r="304" spans="1:13" x14ac:dyDescent="0.35">
      <c r="A304" t="str">
        <f t="shared" si="21"/>
        <v>AC457276464640000</v>
      </c>
      <c r="B304" t="s">
        <v>26</v>
      </c>
      <c r="C304" s="1">
        <v>45727</v>
      </c>
      <c r="D304" t="str">
        <f t="shared" si="24"/>
        <v>64</v>
      </c>
      <c r="E304" t="str">
        <f>"64640000"</f>
        <v>64640000</v>
      </c>
      <c r="F304" t="s">
        <v>1589</v>
      </c>
      <c r="G304" t="s">
        <v>336</v>
      </c>
      <c r="H304" t="s">
        <v>5891</v>
      </c>
      <c r="I304">
        <v>0</v>
      </c>
      <c r="J304" t="s">
        <v>343</v>
      </c>
      <c r="K304">
        <v>270000</v>
      </c>
      <c r="M304">
        <v>645000</v>
      </c>
    </row>
    <row r="305" spans="1:13" x14ac:dyDescent="0.35">
      <c r="A305" t="str">
        <f t="shared" si="21"/>
        <v>AC457276560440500</v>
      </c>
      <c r="B305" t="s">
        <v>26</v>
      </c>
      <c r="C305" s="1">
        <v>45727</v>
      </c>
      <c r="D305" t="str">
        <f>"65"</f>
        <v>65</v>
      </c>
      <c r="E305" t="str">
        <f>"60440500"</f>
        <v>60440500</v>
      </c>
      <c r="F305" t="s">
        <v>1592</v>
      </c>
      <c r="G305" t="s">
        <v>336</v>
      </c>
      <c r="H305" t="s">
        <v>5928</v>
      </c>
      <c r="I305">
        <v>0</v>
      </c>
      <c r="J305" t="s">
        <v>343</v>
      </c>
      <c r="K305">
        <v>93559</v>
      </c>
      <c r="M305">
        <v>93559</v>
      </c>
    </row>
    <row r="306" spans="1:13" x14ac:dyDescent="0.35">
      <c r="A306" t="str">
        <f t="shared" si="21"/>
        <v>AC4572711165110200</v>
      </c>
      <c r="B306" t="s">
        <v>26</v>
      </c>
      <c r="C306" s="1">
        <v>45727</v>
      </c>
      <c r="D306" t="str">
        <f>"111"</f>
        <v>111</v>
      </c>
      <c r="E306" t="str">
        <f>"65110200"</f>
        <v>65110200</v>
      </c>
      <c r="F306" t="s">
        <v>1396</v>
      </c>
      <c r="G306" t="s">
        <v>336</v>
      </c>
      <c r="H306" t="s">
        <v>5928</v>
      </c>
      <c r="I306">
        <v>0</v>
      </c>
      <c r="J306" t="s">
        <v>343</v>
      </c>
      <c r="K306">
        <v>14160</v>
      </c>
      <c r="M306">
        <v>14160</v>
      </c>
    </row>
    <row r="307" spans="1:13" x14ac:dyDescent="0.35">
      <c r="A307" t="str">
        <f t="shared" si="21"/>
        <v>AC4572713660440500</v>
      </c>
      <c r="B307" t="s">
        <v>26</v>
      </c>
      <c r="C307" s="1">
        <v>45727</v>
      </c>
      <c r="D307" t="str">
        <f>"136"</f>
        <v>136</v>
      </c>
      <c r="E307" t="str">
        <f>"60440500"</f>
        <v>60440500</v>
      </c>
      <c r="F307" t="s">
        <v>1604</v>
      </c>
      <c r="G307" t="s">
        <v>336</v>
      </c>
      <c r="H307" t="s">
        <v>5949</v>
      </c>
      <c r="I307">
        <v>0</v>
      </c>
      <c r="J307" t="s">
        <v>343</v>
      </c>
      <c r="K307">
        <v>2524150</v>
      </c>
      <c r="M307">
        <v>2524150</v>
      </c>
    </row>
    <row r="308" spans="1:13" x14ac:dyDescent="0.35">
      <c r="A308" t="str">
        <f t="shared" si="21"/>
        <v>AC4572716962480000</v>
      </c>
      <c r="B308" t="s">
        <v>26</v>
      </c>
      <c r="C308" s="1">
        <v>45727</v>
      </c>
      <c r="D308" t="str">
        <f>"169"</f>
        <v>169</v>
      </c>
      <c r="E308" t="str">
        <f>"62480000"</f>
        <v>62480000</v>
      </c>
      <c r="F308" t="s">
        <v>1607</v>
      </c>
      <c r="G308" t="s">
        <v>336</v>
      </c>
      <c r="H308" t="s">
        <v>5950</v>
      </c>
      <c r="I308">
        <v>0</v>
      </c>
      <c r="J308" t="s">
        <v>343</v>
      </c>
      <c r="K308">
        <v>1291720</v>
      </c>
      <c r="M308">
        <v>1291720</v>
      </c>
    </row>
    <row r="309" spans="1:13" x14ac:dyDescent="0.35">
      <c r="A309" t="str">
        <f t="shared" si="21"/>
        <v>AC457287462280000</v>
      </c>
      <c r="B309" t="s">
        <v>26</v>
      </c>
      <c r="C309" s="1">
        <v>45728</v>
      </c>
      <c r="D309" t="str">
        <f>"74"</f>
        <v>74</v>
      </c>
      <c r="E309" t="str">
        <f>"62280000"</f>
        <v>62280000</v>
      </c>
      <c r="F309" t="s">
        <v>1615</v>
      </c>
      <c r="G309" t="s">
        <v>336</v>
      </c>
      <c r="H309" t="s">
        <v>342</v>
      </c>
      <c r="I309">
        <v>0</v>
      </c>
      <c r="J309" t="s">
        <v>343</v>
      </c>
      <c r="K309">
        <v>105461</v>
      </c>
      <c r="M309">
        <v>105461</v>
      </c>
    </row>
    <row r="310" spans="1:13" x14ac:dyDescent="0.35">
      <c r="A310" t="str">
        <f t="shared" si="21"/>
        <v>AC4572813560440500</v>
      </c>
      <c r="B310" t="s">
        <v>26</v>
      </c>
      <c r="C310" s="1">
        <v>45728</v>
      </c>
      <c r="D310" t="str">
        <f>"135"</f>
        <v>135</v>
      </c>
      <c r="E310" t="str">
        <f>"60440500"</f>
        <v>60440500</v>
      </c>
      <c r="F310" t="s">
        <v>1618</v>
      </c>
      <c r="G310" t="s">
        <v>336</v>
      </c>
      <c r="H310" t="s">
        <v>5905</v>
      </c>
      <c r="I310">
        <v>0</v>
      </c>
      <c r="J310" t="s">
        <v>343</v>
      </c>
      <c r="K310">
        <v>7350</v>
      </c>
      <c r="M310">
        <v>7350</v>
      </c>
    </row>
    <row r="311" spans="1:13" x14ac:dyDescent="0.35">
      <c r="A311" t="str">
        <f t="shared" si="21"/>
        <v>AC457299763240000</v>
      </c>
      <c r="B311" t="s">
        <v>26</v>
      </c>
      <c r="C311" s="1">
        <v>45729</v>
      </c>
      <c r="D311" t="str">
        <f>"97"</f>
        <v>97</v>
      </c>
      <c r="E311" t="str">
        <f>"63240000"</f>
        <v>63240000</v>
      </c>
      <c r="F311" t="s">
        <v>1623</v>
      </c>
      <c r="G311" t="s">
        <v>336</v>
      </c>
      <c r="H311" t="s">
        <v>347</v>
      </c>
      <c r="I311">
        <v>0</v>
      </c>
      <c r="J311" t="s">
        <v>343</v>
      </c>
      <c r="K311">
        <v>6542000</v>
      </c>
      <c r="M311">
        <v>6542000</v>
      </c>
    </row>
    <row r="312" spans="1:13" x14ac:dyDescent="0.35">
      <c r="A312" t="str">
        <f t="shared" si="21"/>
        <v>AC457299763250000</v>
      </c>
      <c r="B312" t="s">
        <v>26</v>
      </c>
      <c r="C312" s="1">
        <v>45729</v>
      </c>
      <c r="D312" t="str">
        <f>"97"</f>
        <v>97</v>
      </c>
      <c r="E312" t="str">
        <f>"63250000"</f>
        <v>63250000</v>
      </c>
      <c r="F312" t="s">
        <v>1623</v>
      </c>
      <c r="G312" t="s">
        <v>336</v>
      </c>
      <c r="H312" t="s">
        <v>347</v>
      </c>
      <c r="I312">
        <v>0</v>
      </c>
      <c r="J312" t="s">
        <v>343</v>
      </c>
      <c r="K312">
        <v>7909800</v>
      </c>
      <c r="M312">
        <v>7909800</v>
      </c>
    </row>
    <row r="313" spans="1:13" x14ac:dyDescent="0.35">
      <c r="A313" t="str">
        <f t="shared" si="21"/>
        <v>AC4572917062521000</v>
      </c>
      <c r="B313" t="s">
        <v>26</v>
      </c>
      <c r="C313" s="1">
        <v>45729</v>
      </c>
      <c r="D313" t="str">
        <f>"170"</f>
        <v>170</v>
      </c>
      <c r="E313" t="str">
        <f t="shared" ref="E313:E322" si="26">"62521000"</f>
        <v>62521000</v>
      </c>
      <c r="F313" t="s">
        <v>1630</v>
      </c>
      <c r="G313" t="s">
        <v>336</v>
      </c>
      <c r="H313" t="s">
        <v>5894</v>
      </c>
      <c r="I313">
        <v>0</v>
      </c>
      <c r="J313" t="s">
        <v>343</v>
      </c>
      <c r="K313">
        <v>9</v>
      </c>
      <c r="M313">
        <v>9</v>
      </c>
    </row>
    <row r="314" spans="1:13" x14ac:dyDescent="0.35">
      <c r="A314" t="str">
        <f t="shared" si="21"/>
        <v>AC4572917162521000</v>
      </c>
      <c r="B314" t="s">
        <v>26</v>
      </c>
      <c r="C314" s="1">
        <v>45729</v>
      </c>
      <c r="D314" t="str">
        <f>"171"</f>
        <v>171</v>
      </c>
      <c r="E314" t="str">
        <f t="shared" si="26"/>
        <v>62521000</v>
      </c>
      <c r="F314" t="s">
        <v>1633</v>
      </c>
      <c r="G314" t="s">
        <v>336</v>
      </c>
      <c r="H314" t="s">
        <v>5938</v>
      </c>
      <c r="I314">
        <v>0</v>
      </c>
      <c r="J314" t="s">
        <v>343</v>
      </c>
      <c r="K314">
        <v>19244</v>
      </c>
      <c r="M314">
        <v>19244</v>
      </c>
    </row>
    <row r="315" spans="1:13" x14ac:dyDescent="0.35">
      <c r="A315" t="str">
        <f t="shared" si="21"/>
        <v>AC4572917262521000</v>
      </c>
      <c r="B315" t="s">
        <v>26</v>
      </c>
      <c r="C315" s="1">
        <v>45729</v>
      </c>
      <c r="D315" t="str">
        <f>"172"</f>
        <v>172</v>
      </c>
      <c r="E315" t="str">
        <f t="shared" si="26"/>
        <v>62521000</v>
      </c>
      <c r="F315" t="s">
        <v>1636</v>
      </c>
      <c r="G315" t="s">
        <v>336</v>
      </c>
      <c r="H315" t="s">
        <v>5894</v>
      </c>
      <c r="I315">
        <v>0</v>
      </c>
      <c r="J315" t="s">
        <v>343</v>
      </c>
      <c r="K315">
        <v>6</v>
      </c>
      <c r="M315">
        <v>6</v>
      </c>
    </row>
    <row r="316" spans="1:13" x14ac:dyDescent="0.35">
      <c r="A316" t="str">
        <f t="shared" si="21"/>
        <v>AC4572917362521000</v>
      </c>
      <c r="B316" t="s">
        <v>26</v>
      </c>
      <c r="C316" s="1">
        <v>45729</v>
      </c>
      <c r="D316" t="str">
        <f>"173"</f>
        <v>173</v>
      </c>
      <c r="E316" t="str">
        <f t="shared" si="26"/>
        <v>62521000</v>
      </c>
      <c r="F316" t="s">
        <v>1639</v>
      </c>
      <c r="G316" t="s">
        <v>336</v>
      </c>
      <c r="H316" t="s">
        <v>5898</v>
      </c>
      <c r="I316">
        <v>0</v>
      </c>
      <c r="J316" t="s">
        <v>343</v>
      </c>
      <c r="K316">
        <v>467200</v>
      </c>
      <c r="M316">
        <v>467200</v>
      </c>
    </row>
    <row r="317" spans="1:13" x14ac:dyDescent="0.35">
      <c r="A317" t="str">
        <f t="shared" si="21"/>
        <v>AC4572917462521000</v>
      </c>
      <c r="B317" t="s">
        <v>26</v>
      </c>
      <c r="C317" s="1">
        <v>45729</v>
      </c>
      <c r="D317" t="str">
        <f>"174"</f>
        <v>174</v>
      </c>
      <c r="E317" t="str">
        <f t="shared" si="26"/>
        <v>62521000</v>
      </c>
      <c r="F317" t="s">
        <v>1642</v>
      </c>
      <c r="G317" t="s">
        <v>336</v>
      </c>
      <c r="H317" t="s">
        <v>5948</v>
      </c>
      <c r="I317">
        <v>0</v>
      </c>
      <c r="J317" t="s">
        <v>343</v>
      </c>
      <c r="K317">
        <v>54148</v>
      </c>
      <c r="M317">
        <v>54148</v>
      </c>
    </row>
    <row r="318" spans="1:13" x14ac:dyDescent="0.35">
      <c r="A318" t="str">
        <f t="shared" si="21"/>
        <v>AC4572917562521000</v>
      </c>
      <c r="B318" t="s">
        <v>26</v>
      </c>
      <c r="C318" s="1">
        <v>45729</v>
      </c>
      <c r="D318" t="str">
        <f>"175"</f>
        <v>175</v>
      </c>
      <c r="E318" t="str">
        <f t="shared" si="26"/>
        <v>62521000</v>
      </c>
      <c r="F318" t="s">
        <v>1645</v>
      </c>
      <c r="G318" t="s">
        <v>336</v>
      </c>
      <c r="H318" t="s">
        <v>5894</v>
      </c>
      <c r="I318">
        <v>0</v>
      </c>
      <c r="J318" t="s">
        <v>343</v>
      </c>
      <c r="K318">
        <v>8</v>
      </c>
      <c r="M318">
        <v>8</v>
      </c>
    </row>
    <row r="319" spans="1:13" x14ac:dyDescent="0.35">
      <c r="A319" t="str">
        <f t="shared" si="21"/>
        <v>AC4572917662521000</v>
      </c>
      <c r="B319" t="s">
        <v>26</v>
      </c>
      <c r="C319" s="1">
        <v>45729</v>
      </c>
      <c r="D319" t="str">
        <f>"176"</f>
        <v>176</v>
      </c>
      <c r="E319" t="str">
        <f t="shared" si="26"/>
        <v>62521000</v>
      </c>
      <c r="F319" t="s">
        <v>1648</v>
      </c>
      <c r="G319" t="s">
        <v>336</v>
      </c>
      <c r="H319" t="s">
        <v>5894</v>
      </c>
      <c r="I319">
        <v>0</v>
      </c>
      <c r="J319" t="s">
        <v>343</v>
      </c>
      <c r="K319">
        <v>1000</v>
      </c>
      <c r="M319">
        <v>2000</v>
      </c>
    </row>
    <row r="320" spans="1:13" x14ac:dyDescent="0.35">
      <c r="A320" t="str">
        <f t="shared" si="21"/>
        <v>AC4572917662521000</v>
      </c>
      <c r="B320" t="s">
        <v>26</v>
      </c>
      <c r="C320" s="1">
        <v>45729</v>
      </c>
      <c r="D320" t="str">
        <f>"176"</f>
        <v>176</v>
      </c>
      <c r="E320" t="str">
        <f t="shared" si="26"/>
        <v>62521000</v>
      </c>
      <c r="F320" t="s">
        <v>1648</v>
      </c>
      <c r="G320" t="s">
        <v>336</v>
      </c>
      <c r="H320" t="s">
        <v>5896</v>
      </c>
      <c r="I320">
        <v>0</v>
      </c>
      <c r="J320" t="s">
        <v>343</v>
      </c>
      <c r="K320">
        <v>1000</v>
      </c>
      <c r="M320">
        <v>2000</v>
      </c>
    </row>
    <row r="321" spans="1:13" x14ac:dyDescent="0.35">
      <c r="A321" t="str">
        <f t="shared" si="21"/>
        <v>AC4572917762521000</v>
      </c>
      <c r="B321" t="s">
        <v>26</v>
      </c>
      <c r="C321" s="1">
        <v>45729</v>
      </c>
      <c r="D321" t="str">
        <f>"177"</f>
        <v>177</v>
      </c>
      <c r="E321" t="str">
        <f t="shared" si="26"/>
        <v>62521000</v>
      </c>
      <c r="F321" t="s">
        <v>1651</v>
      </c>
      <c r="G321" t="s">
        <v>336</v>
      </c>
      <c r="H321" t="s">
        <v>5894</v>
      </c>
      <c r="I321">
        <v>0</v>
      </c>
      <c r="J321" t="s">
        <v>343</v>
      </c>
      <c r="K321">
        <v>2000</v>
      </c>
      <c r="M321">
        <v>5000</v>
      </c>
    </row>
    <row r="322" spans="1:13" x14ac:dyDescent="0.35">
      <c r="A322" t="str">
        <f t="shared" si="21"/>
        <v>AC4572917762521000</v>
      </c>
      <c r="B322" t="s">
        <v>26</v>
      </c>
      <c r="C322" s="1">
        <v>45729</v>
      </c>
      <c r="D322" t="str">
        <f>"177"</f>
        <v>177</v>
      </c>
      <c r="E322" t="str">
        <f t="shared" si="26"/>
        <v>62521000</v>
      </c>
      <c r="F322" t="s">
        <v>1651</v>
      </c>
      <c r="G322" t="s">
        <v>336</v>
      </c>
      <c r="H322" t="s">
        <v>5896</v>
      </c>
      <c r="I322">
        <v>0</v>
      </c>
      <c r="J322" t="s">
        <v>343</v>
      </c>
      <c r="K322">
        <v>3000</v>
      </c>
      <c r="M322">
        <v>5000</v>
      </c>
    </row>
    <row r="323" spans="1:13" x14ac:dyDescent="0.35">
      <c r="A323" t="str">
        <f t="shared" ref="A323:A386" si="27">CONCATENATE(B323,C323,D323,E323)</f>
        <v>AC457307562100200</v>
      </c>
      <c r="B323" t="s">
        <v>26</v>
      </c>
      <c r="C323" s="1">
        <v>45730</v>
      </c>
      <c r="D323" t="str">
        <f>"75"</f>
        <v>75</v>
      </c>
      <c r="E323" t="str">
        <f>"62100200"</f>
        <v>62100200</v>
      </c>
      <c r="F323" t="s">
        <v>1654</v>
      </c>
      <c r="G323" t="s">
        <v>336</v>
      </c>
      <c r="H323" t="s">
        <v>5943</v>
      </c>
      <c r="I323">
        <v>0</v>
      </c>
      <c r="J323" t="s">
        <v>343</v>
      </c>
      <c r="K323">
        <v>30000</v>
      </c>
      <c r="M323">
        <v>30000</v>
      </c>
    </row>
    <row r="324" spans="1:13" x14ac:dyDescent="0.35">
      <c r="A324" t="str">
        <f t="shared" si="27"/>
        <v>AC457307662100200</v>
      </c>
      <c r="B324" t="s">
        <v>26</v>
      </c>
      <c r="C324" s="1">
        <v>45730</v>
      </c>
      <c r="D324" t="str">
        <f>"76"</f>
        <v>76</v>
      </c>
      <c r="E324" t="str">
        <f>"62100200"</f>
        <v>62100200</v>
      </c>
      <c r="F324" t="s">
        <v>1654</v>
      </c>
      <c r="G324" t="s">
        <v>336</v>
      </c>
      <c r="H324" t="s">
        <v>5943</v>
      </c>
      <c r="I324">
        <v>0</v>
      </c>
      <c r="J324" t="s">
        <v>343</v>
      </c>
      <c r="K324">
        <v>90000</v>
      </c>
      <c r="M324">
        <v>90000</v>
      </c>
    </row>
    <row r="325" spans="1:13" x14ac:dyDescent="0.35">
      <c r="A325" t="str">
        <f t="shared" si="27"/>
        <v>AC457307762100200</v>
      </c>
      <c r="B325" t="s">
        <v>26</v>
      </c>
      <c r="C325" s="1">
        <v>45730</v>
      </c>
      <c r="D325" t="str">
        <f>"77"</f>
        <v>77</v>
      </c>
      <c r="E325" t="str">
        <f>"62100200"</f>
        <v>62100200</v>
      </c>
      <c r="F325" t="s">
        <v>1654</v>
      </c>
      <c r="G325" t="s">
        <v>336</v>
      </c>
      <c r="H325" t="s">
        <v>5943</v>
      </c>
      <c r="I325">
        <v>0</v>
      </c>
      <c r="J325" t="s">
        <v>343</v>
      </c>
      <c r="K325">
        <v>120000</v>
      </c>
      <c r="M325">
        <v>120000</v>
      </c>
    </row>
    <row r="326" spans="1:13" x14ac:dyDescent="0.35">
      <c r="A326" t="str">
        <f t="shared" si="27"/>
        <v>AC457307862100200</v>
      </c>
      <c r="B326" t="s">
        <v>26</v>
      </c>
      <c r="C326" s="1">
        <v>45730</v>
      </c>
      <c r="D326" t="str">
        <f>"78"</f>
        <v>78</v>
      </c>
      <c r="E326" t="str">
        <f>"62100200"</f>
        <v>62100200</v>
      </c>
      <c r="F326" t="s">
        <v>1654</v>
      </c>
      <c r="G326" t="s">
        <v>336</v>
      </c>
      <c r="H326" t="s">
        <v>5943</v>
      </c>
      <c r="I326">
        <v>0</v>
      </c>
      <c r="J326" t="s">
        <v>343</v>
      </c>
      <c r="K326">
        <v>4120000</v>
      </c>
      <c r="M326">
        <v>4120000</v>
      </c>
    </row>
    <row r="327" spans="1:13" x14ac:dyDescent="0.35">
      <c r="A327" t="str">
        <f t="shared" si="27"/>
        <v>AC4573017862521000</v>
      </c>
      <c r="B327" t="s">
        <v>26</v>
      </c>
      <c r="C327" s="1">
        <v>45730</v>
      </c>
      <c r="D327" t="str">
        <f>"178"</f>
        <v>178</v>
      </c>
      <c r="E327" t="str">
        <f>"62521000"</f>
        <v>62521000</v>
      </c>
      <c r="F327" t="s">
        <v>1664</v>
      </c>
      <c r="G327" t="s">
        <v>336</v>
      </c>
      <c r="H327" t="s">
        <v>5891</v>
      </c>
      <c r="I327">
        <v>0</v>
      </c>
      <c r="J327" t="s">
        <v>343</v>
      </c>
      <c r="K327">
        <v>1</v>
      </c>
      <c r="M327">
        <v>1</v>
      </c>
    </row>
    <row r="328" spans="1:13" x14ac:dyDescent="0.35">
      <c r="A328" t="str">
        <f t="shared" si="27"/>
        <v>AC457338662100200</v>
      </c>
      <c r="B328" t="s">
        <v>26</v>
      </c>
      <c r="C328" s="1">
        <v>45733</v>
      </c>
      <c r="D328" t="str">
        <f>"86"</f>
        <v>86</v>
      </c>
      <c r="E328" t="str">
        <f>"62100200"</f>
        <v>62100200</v>
      </c>
      <c r="F328" t="s">
        <v>1369</v>
      </c>
      <c r="G328" t="s">
        <v>336</v>
      </c>
      <c r="H328" t="s">
        <v>5943</v>
      </c>
      <c r="I328">
        <v>0</v>
      </c>
      <c r="J328" t="s">
        <v>343</v>
      </c>
      <c r="K328">
        <v>5225000</v>
      </c>
      <c r="M328">
        <v>5225000</v>
      </c>
    </row>
    <row r="329" spans="1:13" x14ac:dyDescent="0.35">
      <c r="A329" t="str">
        <f t="shared" si="27"/>
        <v>AC457338762100200</v>
      </c>
      <c r="B329" t="s">
        <v>26</v>
      </c>
      <c r="C329" s="1">
        <v>45733</v>
      </c>
      <c r="D329" t="str">
        <f>"87"</f>
        <v>87</v>
      </c>
      <c r="E329" t="str">
        <f>"62100200"</f>
        <v>62100200</v>
      </c>
      <c r="F329" t="s">
        <v>1369</v>
      </c>
      <c r="G329" t="s">
        <v>336</v>
      </c>
      <c r="H329" t="s">
        <v>5943</v>
      </c>
      <c r="I329">
        <v>0</v>
      </c>
      <c r="J329" t="s">
        <v>343</v>
      </c>
      <c r="K329">
        <v>1045000</v>
      </c>
      <c r="M329">
        <v>1045000</v>
      </c>
    </row>
    <row r="330" spans="1:13" x14ac:dyDescent="0.35">
      <c r="A330" t="str">
        <f t="shared" si="27"/>
        <v>AC4573314665110200</v>
      </c>
      <c r="B330" t="s">
        <v>26</v>
      </c>
      <c r="C330" s="1">
        <v>45733</v>
      </c>
      <c r="D330" t="str">
        <f>"146"</f>
        <v>146</v>
      </c>
      <c r="E330" t="str">
        <f>"65110200"</f>
        <v>65110200</v>
      </c>
      <c r="F330" t="s">
        <v>1405</v>
      </c>
      <c r="G330" t="s">
        <v>336</v>
      </c>
      <c r="H330" t="s">
        <v>5928</v>
      </c>
      <c r="I330">
        <v>0</v>
      </c>
      <c r="J330" t="s">
        <v>343</v>
      </c>
      <c r="K330">
        <v>60358</v>
      </c>
      <c r="M330">
        <v>60358</v>
      </c>
    </row>
    <row r="331" spans="1:13" x14ac:dyDescent="0.35">
      <c r="A331" t="str">
        <f t="shared" si="27"/>
        <v>AC4573314765110200</v>
      </c>
      <c r="B331" t="s">
        <v>26</v>
      </c>
      <c r="C331" s="1">
        <v>45733</v>
      </c>
      <c r="D331" t="str">
        <f>"147"</f>
        <v>147</v>
      </c>
      <c r="E331" t="str">
        <f>"65110200"</f>
        <v>65110200</v>
      </c>
      <c r="F331" t="s">
        <v>1405</v>
      </c>
      <c r="G331" t="s">
        <v>336</v>
      </c>
      <c r="H331" t="s">
        <v>5928</v>
      </c>
      <c r="I331">
        <v>0</v>
      </c>
      <c r="J331" t="s">
        <v>343</v>
      </c>
      <c r="K331">
        <v>144858</v>
      </c>
      <c r="M331">
        <v>144858</v>
      </c>
    </row>
    <row r="332" spans="1:13" x14ac:dyDescent="0.35">
      <c r="A332" t="str">
        <f t="shared" si="27"/>
        <v>AC4573314865110200</v>
      </c>
      <c r="B332" t="s">
        <v>26</v>
      </c>
      <c r="C332" s="1">
        <v>45733</v>
      </c>
      <c r="D332" t="str">
        <f>"148"</f>
        <v>148</v>
      </c>
      <c r="E332" t="str">
        <f>"65110200"</f>
        <v>65110200</v>
      </c>
      <c r="F332" t="s">
        <v>1405</v>
      </c>
      <c r="G332" t="s">
        <v>336</v>
      </c>
      <c r="H332" t="s">
        <v>5928</v>
      </c>
      <c r="I332">
        <v>0</v>
      </c>
      <c r="J332" t="s">
        <v>343</v>
      </c>
      <c r="K332">
        <v>181063</v>
      </c>
      <c r="M332">
        <v>181063</v>
      </c>
    </row>
    <row r="333" spans="1:13" x14ac:dyDescent="0.35">
      <c r="A333" t="str">
        <f t="shared" si="27"/>
        <v>AC457348162100000</v>
      </c>
      <c r="B333" t="s">
        <v>26</v>
      </c>
      <c r="C333" s="1">
        <v>45734</v>
      </c>
      <c r="D333" t="str">
        <f>"81"</f>
        <v>81</v>
      </c>
      <c r="E333" t="str">
        <f>"62100000"</f>
        <v>62100000</v>
      </c>
      <c r="F333" t="s">
        <v>1677</v>
      </c>
      <c r="G333" t="s">
        <v>336</v>
      </c>
      <c r="H333" t="s">
        <v>5945</v>
      </c>
      <c r="I333">
        <v>0</v>
      </c>
      <c r="J333" t="s">
        <v>343</v>
      </c>
      <c r="K333">
        <v>4950000</v>
      </c>
      <c r="M333">
        <v>4950000</v>
      </c>
    </row>
    <row r="334" spans="1:13" x14ac:dyDescent="0.35">
      <c r="A334" t="str">
        <f t="shared" si="27"/>
        <v>AC4573412362881000</v>
      </c>
      <c r="B334" t="s">
        <v>26</v>
      </c>
      <c r="C334" s="1">
        <v>45734</v>
      </c>
      <c r="D334" t="str">
        <f>"123"</f>
        <v>123</v>
      </c>
      <c r="E334" t="str">
        <f>"62881000"</f>
        <v>62881000</v>
      </c>
      <c r="F334" t="s">
        <v>1681</v>
      </c>
      <c r="G334" t="s">
        <v>336</v>
      </c>
      <c r="H334" t="s">
        <v>5882</v>
      </c>
      <c r="I334">
        <v>0</v>
      </c>
      <c r="J334" t="s">
        <v>343</v>
      </c>
      <c r="K334">
        <v>-37500</v>
      </c>
      <c r="M334">
        <v>-37500</v>
      </c>
    </row>
    <row r="335" spans="1:13" x14ac:dyDescent="0.35">
      <c r="A335" t="str">
        <f t="shared" si="27"/>
        <v>AC457358260470000</v>
      </c>
      <c r="B335" t="s">
        <v>26</v>
      </c>
      <c r="C335" s="1">
        <v>45735</v>
      </c>
      <c r="D335" t="str">
        <f>"82"</f>
        <v>82</v>
      </c>
      <c r="E335" t="str">
        <f>"60470000"</f>
        <v>60470000</v>
      </c>
      <c r="F335" t="s">
        <v>1684</v>
      </c>
      <c r="G335" t="s">
        <v>336</v>
      </c>
      <c r="H335" t="s">
        <v>348</v>
      </c>
      <c r="I335">
        <v>0</v>
      </c>
      <c r="J335" t="s">
        <v>343</v>
      </c>
      <c r="K335">
        <v>72000</v>
      </c>
      <c r="M335">
        <v>72000</v>
      </c>
    </row>
    <row r="336" spans="1:13" x14ac:dyDescent="0.35">
      <c r="A336" t="str">
        <f t="shared" si="27"/>
        <v>AC457358460470000</v>
      </c>
      <c r="B336" t="s">
        <v>26</v>
      </c>
      <c r="C336" s="1">
        <v>45735</v>
      </c>
      <c r="D336" t="str">
        <f>"84"</f>
        <v>84</v>
      </c>
      <c r="E336" t="str">
        <f>"60470000"</f>
        <v>60470000</v>
      </c>
      <c r="F336" t="s">
        <v>1687</v>
      </c>
      <c r="G336" t="s">
        <v>336</v>
      </c>
      <c r="H336" t="s">
        <v>5905</v>
      </c>
      <c r="I336">
        <v>0</v>
      </c>
      <c r="J336" t="s">
        <v>343</v>
      </c>
      <c r="K336">
        <v>910000</v>
      </c>
      <c r="M336">
        <v>910000</v>
      </c>
    </row>
    <row r="337" spans="1:13" x14ac:dyDescent="0.35">
      <c r="A337" t="str">
        <f t="shared" si="27"/>
        <v>AC457358862100200</v>
      </c>
      <c r="B337" t="s">
        <v>26</v>
      </c>
      <c r="C337" s="1">
        <v>45735</v>
      </c>
      <c r="D337" t="str">
        <f>"88"</f>
        <v>88</v>
      </c>
      <c r="E337" t="str">
        <f>"62100200"</f>
        <v>62100200</v>
      </c>
      <c r="F337" t="s">
        <v>1366</v>
      </c>
      <c r="G337" t="s">
        <v>336</v>
      </c>
      <c r="H337" t="s">
        <v>5943</v>
      </c>
      <c r="I337">
        <v>0</v>
      </c>
      <c r="J337" t="s">
        <v>343</v>
      </c>
      <c r="K337">
        <v>5462500</v>
      </c>
      <c r="M337">
        <v>5462500</v>
      </c>
    </row>
    <row r="338" spans="1:13" x14ac:dyDescent="0.35">
      <c r="A338" t="str">
        <f t="shared" si="27"/>
        <v>AC457358962100200</v>
      </c>
      <c r="B338" t="s">
        <v>26</v>
      </c>
      <c r="C338" s="1">
        <v>45735</v>
      </c>
      <c r="D338" t="str">
        <f>"89"</f>
        <v>89</v>
      </c>
      <c r="E338" t="str">
        <f>"62100200"</f>
        <v>62100200</v>
      </c>
      <c r="F338" t="s">
        <v>1366</v>
      </c>
      <c r="G338" t="s">
        <v>336</v>
      </c>
      <c r="H338" t="s">
        <v>5943</v>
      </c>
      <c r="I338">
        <v>0</v>
      </c>
      <c r="J338" t="s">
        <v>343</v>
      </c>
      <c r="K338">
        <v>2185000</v>
      </c>
      <c r="M338">
        <v>2185000</v>
      </c>
    </row>
    <row r="339" spans="1:13" x14ac:dyDescent="0.35">
      <c r="A339" t="str">
        <f t="shared" si="27"/>
        <v>AC4573512462100000</v>
      </c>
      <c r="B339" t="s">
        <v>26</v>
      </c>
      <c r="C339" s="1">
        <v>45735</v>
      </c>
      <c r="D339" t="str">
        <f>"124"</f>
        <v>124</v>
      </c>
      <c r="E339" t="str">
        <f>"62100000"</f>
        <v>62100000</v>
      </c>
      <c r="F339" t="s">
        <v>1693</v>
      </c>
      <c r="G339" t="s">
        <v>336</v>
      </c>
      <c r="H339" t="s">
        <v>5944</v>
      </c>
      <c r="I339">
        <v>0</v>
      </c>
      <c r="J339" t="s">
        <v>343</v>
      </c>
      <c r="K339">
        <v>1400000</v>
      </c>
      <c r="M339">
        <v>1400000</v>
      </c>
    </row>
    <row r="340" spans="1:13" x14ac:dyDescent="0.35">
      <c r="A340" t="str">
        <f t="shared" si="27"/>
        <v>AC457364062880000</v>
      </c>
      <c r="B340" t="s">
        <v>26</v>
      </c>
      <c r="C340" s="1">
        <v>45736</v>
      </c>
      <c r="D340" t="str">
        <f>"40"</f>
        <v>40</v>
      </c>
      <c r="E340" t="str">
        <f>"62880000"</f>
        <v>62880000</v>
      </c>
      <c r="F340" t="s">
        <v>1540</v>
      </c>
      <c r="G340" t="s">
        <v>336</v>
      </c>
      <c r="H340" t="s">
        <v>5905</v>
      </c>
      <c r="I340">
        <v>0</v>
      </c>
      <c r="J340" t="s">
        <v>343</v>
      </c>
      <c r="K340">
        <v>-32346</v>
      </c>
      <c r="M340">
        <v>-32346</v>
      </c>
    </row>
    <row r="341" spans="1:13" x14ac:dyDescent="0.35">
      <c r="A341" t="str">
        <f t="shared" si="27"/>
        <v>AC457369061600000</v>
      </c>
      <c r="B341" t="s">
        <v>26</v>
      </c>
      <c r="C341" s="1">
        <v>45736</v>
      </c>
      <c r="D341" t="str">
        <f>"90"</f>
        <v>90</v>
      </c>
      <c r="E341" t="str">
        <f>"61600000"</f>
        <v>61600000</v>
      </c>
      <c r="F341" t="s">
        <v>1696</v>
      </c>
      <c r="G341" t="s">
        <v>336</v>
      </c>
      <c r="H341" t="s">
        <v>5951</v>
      </c>
      <c r="I341">
        <v>0</v>
      </c>
      <c r="J341" t="s">
        <v>343</v>
      </c>
      <c r="K341">
        <v>36295</v>
      </c>
      <c r="M341">
        <v>36295</v>
      </c>
    </row>
    <row r="342" spans="1:13" x14ac:dyDescent="0.35">
      <c r="A342" t="str">
        <f t="shared" si="27"/>
        <v>AC457369161600000</v>
      </c>
      <c r="B342" t="s">
        <v>26</v>
      </c>
      <c r="C342" s="1">
        <v>45736</v>
      </c>
      <c r="D342" t="str">
        <f>"91"</f>
        <v>91</v>
      </c>
      <c r="E342" t="str">
        <f>"61600000"</f>
        <v>61600000</v>
      </c>
      <c r="F342" t="s">
        <v>1696</v>
      </c>
      <c r="G342" t="s">
        <v>336</v>
      </c>
      <c r="H342" t="s">
        <v>5951</v>
      </c>
      <c r="I342">
        <v>0</v>
      </c>
      <c r="J342" t="s">
        <v>343</v>
      </c>
      <c r="K342">
        <v>35668</v>
      </c>
      <c r="M342">
        <v>35668</v>
      </c>
    </row>
    <row r="343" spans="1:13" x14ac:dyDescent="0.35">
      <c r="A343" t="str">
        <f t="shared" si="27"/>
        <v>AC457369262410000</v>
      </c>
      <c r="B343" t="s">
        <v>26</v>
      </c>
      <c r="C343" s="1">
        <v>45736</v>
      </c>
      <c r="D343" t="str">
        <f>"92"</f>
        <v>92</v>
      </c>
      <c r="E343" t="str">
        <f>"62410000"</f>
        <v>62410000</v>
      </c>
      <c r="F343" t="s">
        <v>1700</v>
      </c>
      <c r="G343" t="s">
        <v>336</v>
      </c>
      <c r="H343" t="s">
        <v>5928</v>
      </c>
      <c r="I343">
        <v>0</v>
      </c>
      <c r="J343" t="s">
        <v>343</v>
      </c>
      <c r="K343">
        <v>192000</v>
      </c>
      <c r="M343">
        <v>192000</v>
      </c>
    </row>
    <row r="344" spans="1:13" x14ac:dyDescent="0.35">
      <c r="A344" t="str">
        <f t="shared" si="27"/>
        <v>AC457379362411000</v>
      </c>
      <c r="B344" t="s">
        <v>26</v>
      </c>
      <c r="C344" s="1">
        <v>45737</v>
      </c>
      <c r="D344" t="str">
        <f>"93"</f>
        <v>93</v>
      </c>
      <c r="E344" t="str">
        <f>"62411000"</f>
        <v>62411000</v>
      </c>
      <c r="F344" t="s">
        <v>1705</v>
      </c>
      <c r="G344" t="s">
        <v>336</v>
      </c>
      <c r="H344" t="s">
        <v>5928</v>
      </c>
      <c r="I344">
        <v>0</v>
      </c>
      <c r="J344" t="s">
        <v>343</v>
      </c>
      <c r="K344">
        <v>185000</v>
      </c>
      <c r="M344">
        <v>185000</v>
      </c>
    </row>
    <row r="345" spans="1:13" x14ac:dyDescent="0.35">
      <c r="A345" t="str">
        <f t="shared" si="27"/>
        <v>AC457379462411000</v>
      </c>
      <c r="B345" t="s">
        <v>26</v>
      </c>
      <c r="C345" s="1">
        <v>45737</v>
      </c>
      <c r="D345" t="str">
        <f>"94"</f>
        <v>94</v>
      </c>
      <c r="E345" t="str">
        <f>"62411000"</f>
        <v>62411000</v>
      </c>
      <c r="F345" t="s">
        <v>1705</v>
      </c>
      <c r="G345" t="s">
        <v>336</v>
      </c>
      <c r="H345" t="s">
        <v>5928</v>
      </c>
      <c r="I345">
        <v>0</v>
      </c>
      <c r="J345" t="s">
        <v>343</v>
      </c>
      <c r="K345">
        <v>390000</v>
      </c>
      <c r="M345">
        <v>390000</v>
      </c>
    </row>
    <row r="346" spans="1:13" x14ac:dyDescent="0.35">
      <c r="A346" t="str">
        <f t="shared" si="27"/>
        <v>AC4573712662411000</v>
      </c>
      <c r="B346" t="s">
        <v>26</v>
      </c>
      <c r="C346" s="1">
        <v>45737</v>
      </c>
      <c r="D346" t="str">
        <f>"126"</f>
        <v>126</v>
      </c>
      <c r="E346" t="str">
        <f>"62411000"</f>
        <v>62411000</v>
      </c>
      <c r="F346" t="s">
        <v>1708</v>
      </c>
      <c r="G346" t="s">
        <v>336</v>
      </c>
      <c r="H346" t="s">
        <v>5928</v>
      </c>
      <c r="I346">
        <v>0</v>
      </c>
      <c r="J346" t="s">
        <v>343</v>
      </c>
      <c r="K346">
        <v>390000</v>
      </c>
      <c r="M346">
        <v>390000</v>
      </c>
    </row>
    <row r="347" spans="1:13" x14ac:dyDescent="0.35">
      <c r="A347" t="str">
        <f t="shared" si="27"/>
        <v>AC4573712762411000</v>
      </c>
      <c r="B347" t="s">
        <v>26</v>
      </c>
      <c r="C347" s="1">
        <v>45737</v>
      </c>
      <c r="D347" t="str">
        <f>"127"</f>
        <v>127</v>
      </c>
      <c r="E347" t="str">
        <f>"62411000"</f>
        <v>62411000</v>
      </c>
      <c r="F347" t="s">
        <v>1710</v>
      </c>
      <c r="G347" t="s">
        <v>336</v>
      </c>
      <c r="H347" t="s">
        <v>5928</v>
      </c>
      <c r="I347">
        <v>0</v>
      </c>
      <c r="J347" t="s">
        <v>343</v>
      </c>
      <c r="K347">
        <v>390000</v>
      </c>
      <c r="M347">
        <v>390000</v>
      </c>
    </row>
    <row r="348" spans="1:13" x14ac:dyDescent="0.35">
      <c r="A348" t="str">
        <f t="shared" si="27"/>
        <v>AC4573712862411000</v>
      </c>
      <c r="B348" t="s">
        <v>26</v>
      </c>
      <c r="C348" s="1">
        <v>45737</v>
      </c>
      <c r="D348" t="str">
        <f>"128"</f>
        <v>128</v>
      </c>
      <c r="E348" t="str">
        <f>"62411000"</f>
        <v>62411000</v>
      </c>
      <c r="F348" t="s">
        <v>1712</v>
      </c>
      <c r="G348" t="s">
        <v>336</v>
      </c>
      <c r="H348" t="s">
        <v>5905</v>
      </c>
      <c r="I348">
        <v>0</v>
      </c>
      <c r="J348" t="s">
        <v>343</v>
      </c>
      <c r="K348">
        <v>65000</v>
      </c>
      <c r="M348">
        <v>65000</v>
      </c>
    </row>
    <row r="349" spans="1:13" x14ac:dyDescent="0.35">
      <c r="A349" t="str">
        <f t="shared" si="27"/>
        <v>AC4573715862881000</v>
      </c>
      <c r="B349" t="s">
        <v>26</v>
      </c>
      <c r="C349" s="1">
        <v>45737</v>
      </c>
      <c r="D349" t="str">
        <f>"158"</f>
        <v>158</v>
      </c>
      <c r="E349" t="str">
        <f>"62881000"</f>
        <v>62881000</v>
      </c>
      <c r="F349" t="s">
        <v>1715</v>
      </c>
      <c r="G349" t="s">
        <v>336</v>
      </c>
      <c r="H349" t="s">
        <v>5928</v>
      </c>
      <c r="I349">
        <v>0</v>
      </c>
      <c r="J349" t="s">
        <v>343</v>
      </c>
      <c r="K349">
        <v>66500</v>
      </c>
      <c r="M349">
        <v>76000</v>
      </c>
    </row>
    <row r="350" spans="1:13" x14ac:dyDescent="0.35">
      <c r="A350" t="str">
        <f t="shared" si="27"/>
        <v>AC4573715862881000</v>
      </c>
      <c r="B350" t="s">
        <v>26</v>
      </c>
      <c r="C350" s="1">
        <v>45737</v>
      </c>
      <c r="D350" t="str">
        <f>"158"</f>
        <v>158</v>
      </c>
      <c r="E350" t="str">
        <f>"62881000"</f>
        <v>62881000</v>
      </c>
      <c r="F350" t="s">
        <v>1715</v>
      </c>
      <c r="G350" t="s">
        <v>336</v>
      </c>
      <c r="H350" t="s">
        <v>5884</v>
      </c>
      <c r="I350">
        <v>0</v>
      </c>
      <c r="J350" t="s">
        <v>343</v>
      </c>
      <c r="K350">
        <v>9500</v>
      </c>
      <c r="M350">
        <v>76000</v>
      </c>
    </row>
    <row r="351" spans="1:13" x14ac:dyDescent="0.35">
      <c r="A351" t="str">
        <f t="shared" si="27"/>
        <v>AC4573716862480000</v>
      </c>
      <c r="B351" t="s">
        <v>26</v>
      </c>
      <c r="C351" s="1">
        <v>45737</v>
      </c>
      <c r="D351" t="str">
        <f>"168"</f>
        <v>168</v>
      </c>
      <c r="E351" t="str">
        <f>"62480000"</f>
        <v>62480000</v>
      </c>
      <c r="F351" t="s">
        <v>1718</v>
      </c>
      <c r="G351" t="s">
        <v>336</v>
      </c>
      <c r="H351" t="s">
        <v>5929</v>
      </c>
      <c r="I351">
        <v>0</v>
      </c>
      <c r="J351" t="s">
        <v>343</v>
      </c>
      <c r="K351">
        <v>1881800</v>
      </c>
      <c r="M351">
        <v>1881800</v>
      </c>
    </row>
    <row r="352" spans="1:13" x14ac:dyDescent="0.35">
      <c r="A352" t="str">
        <f t="shared" si="27"/>
        <v>AC4574011965110200</v>
      </c>
      <c r="B352" t="s">
        <v>26</v>
      </c>
      <c r="C352" s="1">
        <v>45740</v>
      </c>
      <c r="D352" t="str">
        <f>"119"</f>
        <v>119</v>
      </c>
      <c r="E352" t="str">
        <f>"65110200"</f>
        <v>65110200</v>
      </c>
      <c r="F352" t="s">
        <v>1491</v>
      </c>
      <c r="G352" t="s">
        <v>336</v>
      </c>
      <c r="H352" t="s">
        <v>5928</v>
      </c>
      <c r="I352">
        <v>0</v>
      </c>
      <c r="J352" t="s">
        <v>343</v>
      </c>
      <c r="K352">
        <v>56640</v>
      </c>
      <c r="M352">
        <v>56640</v>
      </c>
    </row>
    <row r="353" spans="1:13" x14ac:dyDescent="0.35">
      <c r="A353" t="str">
        <f t="shared" si="27"/>
        <v>AC4574012065110200</v>
      </c>
      <c r="B353" t="s">
        <v>26</v>
      </c>
      <c r="C353" s="1">
        <v>45740</v>
      </c>
      <c r="D353" t="str">
        <f>"120"</f>
        <v>120</v>
      </c>
      <c r="E353" t="str">
        <f>"65110200"</f>
        <v>65110200</v>
      </c>
      <c r="F353" t="s">
        <v>1491</v>
      </c>
      <c r="G353" t="s">
        <v>336</v>
      </c>
      <c r="H353" t="s">
        <v>5928</v>
      </c>
      <c r="I353">
        <v>0</v>
      </c>
      <c r="J353" t="s">
        <v>343</v>
      </c>
      <c r="K353">
        <v>396480</v>
      </c>
      <c r="M353">
        <v>396480</v>
      </c>
    </row>
    <row r="354" spans="1:13" x14ac:dyDescent="0.35">
      <c r="A354" t="str">
        <f t="shared" si="27"/>
        <v>AC4574012962411000</v>
      </c>
      <c r="B354" t="s">
        <v>26</v>
      </c>
      <c r="C354" s="1">
        <v>45740</v>
      </c>
      <c r="D354" t="str">
        <f>"129"</f>
        <v>129</v>
      </c>
      <c r="E354" t="str">
        <f>"62411000"</f>
        <v>62411000</v>
      </c>
      <c r="F354" t="s">
        <v>1722</v>
      </c>
      <c r="G354" t="s">
        <v>336</v>
      </c>
      <c r="H354" t="s">
        <v>5928</v>
      </c>
      <c r="I354">
        <v>0</v>
      </c>
      <c r="J354" t="s">
        <v>343</v>
      </c>
      <c r="K354">
        <v>50000</v>
      </c>
      <c r="M354">
        <v>50000</v>
      </c>
    </row>
    <row r="355" spans="1:13" x14ac:dyDescent="0.35">
      <c r="A355" t="str">
        <f t="shared" si="27"/>
        <v>AC4574013160470200</v>
      </c>
      <c r="B355" t="s">
        <v>26</v>
      </c>
      <c r="C355" s="1">
        <v>45740</v>
      </c>
      <c r="D355" t="str">
        <f>"131"</f>
        <v>131</v>
      </c>
      <c r="E355" t="str">
        <f>"60470200"</f>
        <v>60470200</v>
      </c>
      <c r="F355" t="s">
        <v>1726</v>
      </c>
      <c r="G355" t="s">
        <v>336</v>
      </c>
      <c r="H355" t="s">
        <v>5950</v>
      </c>
      <c r="I355">
        <v>0</v>
      </c>
      <c r="J355" t="s">
        <v>343</v>
      </c>
      <c r="K355">
        <v>559323</v>
      </c>
      <c r="M355">
        <v>559323</v>
      </c>
    </row>
    <row r="356" spans="1:13" x14ac:dyDescent="0.35">
      <c r="A356" t="str">
        <f t="shared" si="27"/>
        <v>AC4574013362230000</v>
      </c>
      <c r="B356" t="s">
        <v>26</v>
      </c>
      <c r="C356" s="1">
        <v>45740</v>
      </c>
      <c r="D356" t="str">
        <f>"133"</f>
        <v>133</v>
      </c>
      <c r="E356" t="str">
        <f>"62230000"</f>
        <v>62230000</v>
      </c>
      <c r="F356" t="s">
        <v>1732</v>
      </c>
      <c r="G356" t="s">
        <v>336</v>
      </c>
      <c r="H356" t="s">
        <v>5908</v>
      </c>
      <c r="I356">
        <v>0</v>
      </c>
      <c r="J356" t="s">
        <v>343</v>
      </c>
      <c r="K356">
        <v>1060000</v>
      </c>
      <c r="M356">
        <v>1060000</v>
      </c>
    </row>
    <row r="357" spans="1:13" x14ac:dyDescent="0.35">
      <c r="A357" t="str">
        <f t="shared" si="27"/>
        <v>AC4574013462230000</v>
      </c>
      <c r="B357" t="s">
        <v>26</v>
      </c>
      <c r="C357" s="1">
        <v>45740</v>
      </c>
      <c r="D357" t="str">
        <f>"134"</f>
        <v>134</v>
      </c>
      <c r="E357" t="str">
        <f>"62230000"</f>
        <v>62230000</v>
      </c>
      <c r="F357" t="s">
        <v>1734</v>
      </c>
      <c r="G357" t="s">
        <v>336</v>
      </c>
      <c r="H357" t="s">
        <v>5908</v>
      </c>
      <c r="I357">
        <v>0</v>
      </c>
      <c r="J357" t="s">
        <v>343</v>
      </c>
      <c r="K357">
        <v>1060000</v>
      </c>
      <c r="M357">
        <v>1060000</v>
      </c>
    </row>
    <row r="358" spans="1:13" x14ac:dyDescent="0.35">
      <c r="A358" t="str">
        <f t="shared" si="27"/>
        <v>AC4574117962521000</v>
      </c>
      <c r="B358" t="s">
        <v>26</v>
      </c>
      <c r="C358" s="1">
        <v>45741</v>
      </c>
      <c r="D358" t="str">
        <f>"179"</f>
        <v>179</v>
      </c>
      <c r="E358" t="str">
        <f>"62521000"</f>
        <v>62521000</v>
      </c>
      <c r="F358" t="s">
        <v>1737</v>
      </c>
      <c r="G358" t="s">
        <v>336</v>
      </c>
      <c r="H358" t="s">
        <v>5897</v>
      </c>
      <c r="I358">
        <v>0</v>
      </c>
      <c r="J358" t="s">
        <v>343</v>
      </c>
      <c r="K358">
        <v>2</v>
      </c>
      <c r="M358">
        <v>2</v>
      </c>
    </row>
    <row r="359" spans="1:13" x14ac:dyDescent="0.35">
      <c r="A359" t="str">
        <f t="shared" si="27"/>
        <v>AC4574212165110200</v>
      </c>
      <c r="B359" t="s">
        <v>26</v>
      </c>
      <c r="C359" s="1">
        <v>45742</v>
      </c>
      <c r="D359" t="str">
        <f>"121"</f>
        <v>121</v>
      </c>
      <c r="E359" t="str">
        <f>"65110200"</f>
        <v>65110200</v>
      </c>
      <c r="F359" t="s">
        <v>1396</v>
      </c>
      <c r="G359" t="s">
        <v>336</v>
      </c>
      <c r="H359" t="s">
        <v>5928</v>
      </c>
      <c r="I359">
        <v>0</v>
      </c>
      <c r="J359" t="s">
        <v>343</v>
      </c>
      <c r="K359">
        <v>236000</v>
      </c>
      <c r="M359">
        <v>236000</v>
      </c>
    </row>
    <row r="360" spans="1:13" x14ac:dyDescent="0.35">
      <c r="A360" t="str">
        <f t="shared" si="27"/>
        <v>AC4574213762411000</v>
      </c>
      <c r="B360" t="s">
        <v>26</v>
      </c>
      <c r="C360" s="1">
        <v>45742</v>
      </c>
      <c r="D360" t="str">
        <f>"137"</f>
        <v>137</v>
      </c>
      <c r="E360" t="str">
        <f>"62411000"</f>
        <v>62411000</v>
      </c>
      <c r="F360" t="s">
        <v>1743</v>
      </c>
      <c r="G360" t="s">
        <v>336</v>
      </c>
      <c r="H360" t="s">
        <v>5905</v>
      </c>
      <c r="I360">
        <v>0</v>
      </c>
      <c r="J360" t="s">
        <v>343</v>
      </c>
      <c r="K360">
        <v>180000</v>
      </c>
      <c r="M360">
        <v>180000</v>
      </c>
    </row>
    <row r="361" spans="1:13" x14ac:dyDescent="0.35">
      <c r="A361" t="str">
        <f t="shared" si="27"/>
        <v>AC4574213866381000</v>
      </c>
      <c r="B361" t="s">
        <v>26</v>
      </c>
      <c r="C361" s="1">
        <v>45742</v>
      </c>
      <c r="D361" t="str">
        <f>"138"</f>
        <v>138</v>
      </c>
      <c r="E361" t="str">
        <f>"66381000"</f>
        <v>66381000</v>
      </c>
      <c r="F361" t="s">
        <v>1745</v>
      </c>
      <c r="G361" t="s">
        <v>336</v>
      </c>
      <c r="H361" t="s">
        <v>5902</v>
      </c>
      <c r="I361">
        <v>0</v>
      </c>
      <c r="J361" t="s">
        <v>343</v>
      </c>
      <c r="K361">
        <v>108000</v>
      </c>
      <c r="M361">
        <v>108000</v>
      </c>
    </row>
    <row r="362" spans="1:13" x14ac:dyDescent="0.35">
      <c r="A362" t="str">
        <f t="shared" si="27"/>
        <v>AC4574213962411000</v>
      </c>
      <c r="B362" t="s">
        <v>26</v>
      </c>
      <c r="C362" s="1">
        <v>45742</v>
      </c>
      <c r="D362" t="str">
        <f>"139"</f>
        <v>139</v>
      </c>
      <c r="E362" t="str">
        <f>"62411000"</f>
        <v>62411000</v>
      </c>
      <c r="F362" t="s">
        <v>1748</v>
      </c>
      <c r="G362" t="s">
        <v>336</v>
      </c>
      <c r="H362" t="s">
        <v>5905</v>
      </c>
      <c r="I362">
        <v>0</v>
      </c>
      <c r="J362" t="s">
        <v>343</v>
      </c>
      <c r="K362">
        <v>708000</v>
      </c>
      <c r="M362">
        <v>708000</v>
      </c>
    </row>
    <row r="363" spans="1:13" x14ac:dyDescent="0.35">
      <c r="A363" t="str">
        <f t="shared" si="27"/>
        <v>AC4574214062411000</v>
      </c>
      <c r="B363" t="s">
        <v>26</v>
      </c>
      <c r="C363" s="1">
        <v>45742</v>
      </c>
      <c r="D363" t="str">
        <f>"140"</f>
        <v>140</v>
      </c>
      <c r="E363" t="str">
        <f>"62411000"</f>
        <v>62411000</v>
      </c>
      <c r="F363" t="s">
        <v>1750</v>
      </c>
      <c r="G363" t="s">
        <v>336</v>
      </c>
      <c r="H363" t="s">
        <v>5905</v>
      </c>
      <c r="I363">
        <v>0</v>
      </c>
      <c r="J363" t="s">
        <v>343</v>
      </c>
      <c r="K363">
        <v>45000</v>
      </c>
      <c r="M363">
        <v>45000</v>
      </c>
    </row>
    <row r="364" spans="1:13" x14ac:dyDescent="0.35">
      <c r="A364" t="str">
        <f t="shared" si="27"/>
        <v>AC4574214162411000</v>
      </c>
      <c r="B364" t="s">
        <v>26</v>
      </c>
      <c r="C364" s="1">
        <v>45742</v>
      </c>
      <c r="D364" t="str">
        <f>"141"</f>
        <v>141</v>
      </c>
      <c r="E364" t="str">
        <f>"62411000"</f>
        <v>62411000</v>
      </c>
      <c r="F364" t="s">
        <v>1752</v>
      </c>
      <c r="G364" t="s">
        <v>336</v>
      </c>
      <c r="H364" t="s">
        <v>5905</v>
      </c>
      <c r="I364">
        <v>0</v>
      </c>
      <c r="J364" t="s">
        <v>343</v>
      </c>
      <c r="K364">
        <v>93000</v>
      </c>
      <c r="M364">
        <v>93000</v>
      </c>
    </row>
    <row r="365" spans="1:13" x14ac:dyDescent="0.35">
      <c r="A365" t="str">
        <f t="shared" si="27"/>
        <v>AC4574414265110200</v>
      </c>
      <c r="B365" t="s">
        <v>26</v>
      </c>
      <c r="C365" s="1">
        <v>45744</v>
      </c>
      <c r="D365" t="str">
        <f>"142"</f>
        <v>142</v>
      </c>
      <c r="E365" t="str">
        <f>"65110200"</f>
        <v>65110200</v>
      </c>
      <c r="F365" t="s">
        <v>1405</v>
      </c>
      <c r="G365" t="s">
        <v>336</v>
      </c>
      <c r="H365" t="s">
        <v>5928</v>
      </c>
      <c r="I365">
        <v>0</v>
      </c>
      <c r="J365" t="s">
        <v>343</v>
      </c>
      <c r="K365">
        <v>57943</v>
      </c>
      <c r="M365">
        <v>57943</v>
      </c>
    </row>
    <row r="366" spans="1:13" x14ac:dyDescent="0.35">
      <c r="A366" t="str">
        <f t="shared" si="27"/>
        <v>AC4574414365110200</v>
      </c>
      <c r="B366" t="s">
        <v>26</v>
      </c>
      <c r="C366" s="1">
        <v>45744</v>
      </c>
      <c r="D366" t="str">
        <f>"143"</f>
        <v>143</v>
      </c>
      <c r="E366" t="str">
        <f>"65110200"</f>
        <v>65110200</v>
      </c>
      <c r="F366" t="s">
        <v>1405</v>
      </c>
      <c r="G366" t="s">
        <v>336</v>
      </c>
      <c r="H366" t="s">
        <v>5928</v>
      </c>
      <c r="I366">
        <v>0</v>
      </c>
      <c r="J366" t="s">
        <v>343</v>
      </c>
      <c r="K366">
        <v>14486</v>
      </c>
      <c r="M366">
        <v>14486</v>
      </c>
    </row>
    <row r="367" spans="1:13" x14ac:dyDescent="0.35">
      <c r="A367" t="str">
        <f t="shared" si="27"/>
        <v>AC4574414465110200</v>
      </c>
      <c r="B367" t="s">
        <v>26</v>
      </c>
      <c r="C367" s="1">
        <v>45744</v>
      </c>
      <c r="D367" t="str">
        <f>"144"</f>
        <v>144</v>
      </c>
      <c r="E367" t="str">
        <f>"65110200"</f>
        <v>65110200</v>
      </c>
      <c r="F367" t="s">
        <v>1405</v>
      </c>
      <c r="G367" t="s">
        <v>336</v>
      </c>
      <c r="H367" t="s">
        <v>5928</v>
      </c>
      <c r="I367">
        <v>0</v>
      </c>
      <c r="J367" t="s">
        <v>343</v>
      </c>
      <c r="K367">
        <v>57943</v>
      </c>
      <c r="M367">
        <v>57943</v>
      </c>
    </row>
    <row r="368" spans="1:13" x14ac:dyDescent="0.35">
      <c r="A368" t="str">
        <f t="shared" si="27"/>
        <v>AC4574414565110200</v>
      </c>
      <c r="B368" t="s">
        <v>26</v>
      </c>
      <c r="C368" s="1">
        <v>45744</v>
      </c>
      <c r="D368" t="str">
        <f>"145"</f>
        <v>145</v>
      </c>
      <c r="E368" t="str">
        <f>"65110200"</f>
        <v>65110200</v>
      </c>
      <c r="F368" t="s">
        <v>1405</v>
      </c>
      <c r="G368" t="s">
        <v>336</v>
      </c>
      <c r="H368" t="s">
        <v>5928</v>
      </c>
      <c r="I368">
        <v>0</v>
      </c>
      <c r="J368" t="s">
        <v>343</v>
      </c>
      <c r="K368">
        <v>173829</v>
      </c>
      <c r="M368">
        <v>173829</v>
      </c>
    </row>
    <row r="369" spans="1:13" x14ac:dyDescent="0.35">
      <c r="A369" t="str">
        <f t="shared" si="27"/>
        <v>AC4574415962100200</v>
      </c>
      <c r="B369" t="s">
        <v>26</v>
      </c>
      <c r="C369" s="1">
        <v>45744</v>
      </c>
      <c r="D369" t="str">
        <f>"159"</f>
        <v>159</v>
      </c>
      <c r="E369" t="str">
        <f t="shared" ref="E369:E375" si="28">"62100200"</f>
        <v>62100200</v>
      </c>
      <c r="F369" t="s">
        <v>1762</v>
      </c>
      <c r="G369" t="s">
        <v>336</v>
      </c>
      <c r="H369" t="s">
        <v>5943</v>
      </c>
      <c r="I369">
        <v>0</v>
      </c>
      <c r="J369" t="s">
        <v>343</v>
      </c>
      <c r="K369">
        <v>1800000</v>
      </c>
      <c r="M369">
        <v>1800000</v>
      </c>
    </row>
    <row r="370" spans="1:13" x14ac:dyDescent="0.35">
      <c r="A370" t="str">
        <f t="shared" si="27"/>
        <v>AC4574416062100200</v>
      </c>
      <c r="B370" t="s">
        <v>26</v>
      </c>
      <c r="C370" s="1">
        <v>45744</v>
      </c>
      <c r="D370" t="str">
        <f>"160"</f>
        <v>160</v>
      </c>
      <c r="E370" t="str">
        <f t="shared" si="28"/>
        <v>62100200</v>
      </c>
      <c r="F370" t="s">
        <v>1764</v>
      </c>
      <c r="G370" t="s">
        <v>336</v>
      </c>
      <c r="H370" t="s">
        <v>5943</v>
      </c>
      <c r="I370">
        <v>0</v>
      </c>
      <c r="J370" t="s">
        <v>343</v>
      </c>
      <c r="K370">
        <v>1695000</v>
      </c>
      <c r="M370">
        <v>1695000</v>
      </c>
    </row>
    <row r="371" spans="1:13" x14ac:dyDescent="0.35">
      <c r="A371" t="str">
        <f t="shared" si="27"/>
        <v>AC4574416162100200</v>
      </c>
      <c r="B371" t="s">
        <v>26</v>
      </c>
      <c r="C371" s="1">
        <v>45744</v>
      </c>
      <c r="D371" t="str">
        <f>"161"</f>
        <v>161</v>
      </c>
      <c r="E371" t="str">
        <f t="shared" si="28"/>
        <v>62100200</v>
      </c>
      <c r="F371" t="s">
        <v>1766</v>
      </c>
      <c r="G371" t="s">
        <v>336</v>
      </c>
      <c r="H371" t="s">
        <v>5943</v>
      </c>
      <c r="I371">
        <v>0</v>
      </c>
      <c r="J371" t="s">
        <v>343</v>
      </c>
      <c r="K371">
        <v>2325000</v>
      </c>
      <c r="M371">
        <v>2325000</v>
      </c>
    </row>
    <row r="372" spans="1:13" x14ac:dyDescent="0.35">
      <c r="A372" t="str">
        <f t="shared" si="27"/>
        <v>AC4574416262100200</v>
      </c>
      <c r="B372" t="s">
        <v>26</v>
      </c>
      <c r="C372" s="1">
        <v>45744</v>
      </c>
      <c r="D372" t="str">
        <f>"162"</f>
        <v>162</v>
      </c>
      <c r="E372" t="str">
        <f t="shared" si="28"/>
        <v>62100200</v>
      </c>
      <c r="F372" t="s">
        <v>1366</v>
      </c>
      <c r="G372" t="s">
        <v>336</v>
      </c>
      <c r="H372" t="s">
        <v>5943</v>
      </c>
      <c r="I372">
        <v>0</v>
      </c>
      <c r="J372" t="s">
        <v>343</v>
      </c>
      <c r="K372">
        <v>5462500</v>
      </c>
      <c r="M372">
        <v>5462500</v>
      </c>
    </row>
    <row r="373" spans="1:13" x14ac:dyDescent="0.35">
      <c r="A373" t="str">
        <f t="shared" si="27"/>
        <v>AC4574416362100200</v>
      </c>
      <c r="B373" t="s">
        <v>26</v>
      </c>
      <c r="C373" s="1">
        <v>45744</v>
      </c>
      <c r="D373" t="str">
        <f>"163"</f>
        <v>163</v>
      </c>
      <c r="E373" t="str">
        <f t="shared" si="28"/>
        <v>62100200</v>
      </c>
      <c r="F373" t="s">
        <v>1366</v>
      </c>
      <c r="G373" t="s">
        <v>336</v>
      </c>
      <c r="H373" t="s">
        <v>5943</v>
      </c>
      <c r="I373">
        <v>0</v>
      </c>
      <c r="J373" t="s">
        <v>343</v>
      </c>
      <c r="K373">
        <v>5462500</v>
      </c>
      <c r="M373">
        <v>5462500</v>
      </c>
    </row>
    <row r="374" spans="1:13" x14ac:dyDescent="0.35">
      <c r="A374" t="str">
        <f t="shared" si="27"/>
        <v>AC4574416462100200</v>
      </c>
      <c r="B374" t="s">
        <v>26</v>
      </c>
      <c r="C374" s="1">
        <v>45744</v>
      </c>
      <c r="D374" t="str">
        <f>"164"</f>
        <v>164</v>
      </c>
      <c r="E374" t="str">
        <f t="shared" si="28"/>
        <v>62100200</v>
      </c>
      <c r="F374" t="s">
        <v>1366</v>
      </c>
      <c r="G374" t="s">
        <v>336</v>
      </c>
      <c r="H374" t="s">
        <v>5943</v>
      </c>
      <c r="I374">
        <v>0</v>
      </c>
      <c r="J374" t="s">
        <v>343</v>
      </c>
      <c r="K374">
        <v>5462500</v>
      </c>
      <c r="M374">
        <v>5462500</v>
      </c>
    </row>
    <row r="375" spans="1:13" x14ac:dyDescent="0.35">
      <c r="A375" t="str">
        <f t="shared" si="27"/>
        <v>AC4574416762100200</v>
      </c>
      <c r="B375" t="s">
        <v>26</v>
      </c>
      <c r="C375" s="1">
        <v>45744</v>
      </c>
      <c r="D375" t="str">
        <f>"167"</f>
        <v>167</v>
      </c>
      <c r="E375" t="str">
        <f t="shared" si="28"/>
        <v>62100200</v>
      </c>
      <c r="F375" t="s">
        <v>1771</v>
      </c>
      <c r="G375" t="s">
        <v>336</v>
      </c>
      <c r="H375" t="s">
        <v>5906</v>
      </c>
      <c r="I375">
        <v>0</v>
      </c>
      <c r="J375" t="s">
        <v>343</v>
      </c>
      <c r="K375">
        <v>6800000</v>
      </c>
      <c r="M375">
        <v>6800000</v>
      </c>
    </row>
    <row r="376" spans="1:13" x14ac:dyDescent="0.35">
      <c r="A376" t="str">
        <f t="shared" si="27"/>
        <v>AC4574418062220000</v>
      </c>
      <c r="B376" t="s">
        <v>26</v>
      </c>
      <c r="C376" s="1">
        <v>45744</v>
      </c>
      <c r="D376" t="str">
        <f>"180"</f>
        <v>180</v>
      </c>
      <c r="E376" t="str">
        <f>"62220000"</f>
        <v>62220000</v>
      </c>
      <c r="F376" t="s">
        <v>1774</v>
      </c>
      <c r="G376" t="s">
        <v>336</v>
      </c>
      <c r="H376" t="s">
        <v>5882</v>
      </c>
      <c r="I376">
        <v>0</v>
      </c>
      <c r="J376" t="s">
        <v>343</v>
      </c>
      <c r="K376">
        <v>52500000</v>
      </c>
      <c r="M376">
        <v>52500000</v>
      </c>
    </row>
    <row r="377" spans="1:13" x14ac:dyDescent="0.35">
      <c r="A377" t="str">
        <f t="shared" si="27"/>
        <v>BAN014572016663180000</v>
      </c>
      <c r="B377" t="s">
        <v>1790</v>
      </c>
      <c r="C377" s="1">
        <v>45720</v>
      </c>
      <c r="D377" t="str">
        <f>"166"</f>
        <v>166</v>
      </c>
      <c r="E377" t="str">
        <f t="shared" ref="E377:E386" si="29">"63180000"</f>
        <v>63180000</v>
      </c>
      <c r="F377" t="s">
        <v>58</v>
      </c>
      <c r="G377" t="s">
        <v>336</v>
      </c>
      <c r="H377" t="s">
        <v>347</v>
      </c>
      <c r="I377">
        <v>0</v>
      </c>
      <c r="J377" t="s">
        <v>343</v>
      </c>
      <c r="K377">
        <v>275</v>
      </c>
      <c r="M377">
        <v>275</v>
      </c>
    </row>
    <row r="378" spans="1:13" x14ac:dyDescent="0.35">
      <c r="A378" t="str">
        <f t="shared" si="27"/>
        <v>BAN014572017763180000</v>
      </c>
      <c r="B378" t="s">
        <v>1790</v>
      </c>
      <c r="C378" s="1">
        <v>45720</v>
      </c>
      <c r="D378" t="str">
        <f>"177"</f>
        <v>177</v>
      </c>
      <c r="E378" t="str">
        <f t="shared" si="29"/>
        <v>63180000</v>
      </c>
      <c r="F378" t="s">
        <v>58</v>
      </c>
      <c r="G378" t="s">
        <v>336</v>
      </c>
      <c r="H378" t="s">
        <v>347</v>
      </c>
      <c r="I378">
        <v>0</v>
      </c>
      <c r="J378" t="s">
        <v>343</v>
      </c>
      <c r="K378">
        <v>275</v>
      </c>
      <c r="M378">
        <v>275</v>
      </c>
    </row>
    <row r="379" spans="1:13" x14ac:dyDescent="0.35">
      <c r="A379" t="str">
        <f t="shared" si="27"/>
        <v>BAN014572017863180000</v>
      </c>
      <c r="B379" t="s">
        <v>1790</v>
      </c>
      <c r="C379" s="1">
        <v>45720</v>
      </c>
      <c r="D379" t="str">
        <f>"178"</f>
        <v>178</v>
      </c>
      <c r="E379" t="str">
        <f t="shared" si="29"/>
        <v>63180000</v>
      </c>
      <c r="F379" t="s">
        <v>58</v>
      </c>
      <c r="G379" t="s">
        <v>336</v>
      </c>
      <c r="H379" t="s">
        <v>347</v>
      </c>
      <c r="I379">
        <v>0</v>
      </c>
      <c r="J379" t="s">
        <v>343</v>
      </c>
      <c r="K379">
        <v>275</v>
      </c>
      <c r="M379">
        <v>275</v>
      </c>
    </row>
    <row r="380" spans="1:13" x14ac:dyDescent="0.35">
      <c r="A380" t="str">
        <f t="shared" si="27"/>
        <v>BAN014572017963180000</v>
      </c>
      <c r="B380" t="s">
        <v>1790</v>
      </c>
      <c r="C380" s="1">
        <v>45720</v>
      </c>
      <c r="D380" t="str">
        <f>"179"</f>
        <v>179</v>
      </c>
      <c r="E380" t="str">
        <f t="shared" si="29"/>
        <v>63180000</v>
      </c>
      <c r="F380" t="s">
        <v>58</v>
      </c>
      <c r="G380" t="s">
        <v>336</v>
      </c>
      <c r="H380" t="s">
        <v>347</v>
      </c>
      <c r="I380">
        <v>0</v>
      </c>
      <c r="J380" t="s">
        <v>343</v>
      </c>
      <c r="K380">
        <v>275</v>
      </c>
      <c r="M380">
        <v>275</v>
      </c>
    </row>
    <row r="381" spans="1:13" x14ac:dyDescent="0.35">
      <c r="A381" t="str">
        <f t="shared" si="27"/>
        <v>BAN014572018663180000</v>
      </c>
      <c r="B381" t="s">
        <v>1790</v>
      </c>
      <c r="C381" s="1">
        <v>45720</v>
      </c>
      <c r="D381" t="str">
        <f>"186"</f>
        <v>186</v>
      </c>
      <c r="E381" t="str">
        <f t="shared" si="29"/>
        <v>63180000</v>
      </c>
      <c r="F381" t="s">
        <v>58</v>
      </c>
      <c r="G381" t="s">
        <v>336</v>
      </c>
      <c r="H381" t="s">
        <v>347</v>
      </c>
      <c r="I381">
        <v>0</v>
      </c>
      <c r="J381" t="s">
        <v>343</v>
      </c>
      <c r="K381">
        <v>275</v>
      </c>
      <c r="M381">
        <v>275</v>
      </c>
    </row>
    <row r="382" spans="1:13" x14ac:dyDescent="0.35">
      <c r="A382" t="str">
        <f t="shared" si="27"/>
        <v>BAN014572118063180000</v>
      </c>
      <c r="B382" t="s">
        <v>1790</v>
      </c>
      <c r="C382" s="1">
        <v>45721</v>
      </c>
      <c r="D382" t="str">
        <f>"180"</f>
        <v>180</v>
      </c>
      <c r="E382" t="str">
        <f t="shared" si="29"/>
        <v>63180000</v>
      </c>
      <c r="F382" t="s">
        <v>58</v>
      </c>
      <c r="G382" t="s">
        <v>336</v>
      </c>
      <c r="H382" t="s">
        <v>347</v>
      </c>
      <c r="I382">
        <v>0</v>
      </c>
      <c r="J382" t="s">
        <v>343</v>
      </c>
      <c r="K382">
        <v>100</v>
      </c>
      <c r="M382">
        <v>100</v>
      </c>
    </row>
    <row r="383" spans="1:13" x14ac:dyDescent="0.35">
      <c r="A383" t="str">
        <f t="shared" si="27"/>
        <v>BAN014572118163180000</v>
      </c>
      <c r="B383" t="s">
        <v>1790</v>
      </c>
      <c r="C383" s="1">
        <v>45721</v>
      </c>
      <c r="D383" t="str">
        <f>"181"</f>
        <v>181</v>
      </c>
      <c r="E383" t="str">
        <f t="shared" si="29"/>
        <v>63180000</v>
      </c>
      <c r="F383" t="s">
        <v>58</v>
      </c>
      <c r="G383" t="s">
        <v>336</v>
      </c>
      <c r="H383" t="s">
        <v>347</v>
      </c>
      <c r="I383">
        <v>0</v>
      </c>
      <c r="J383" t="s">
        <v>343</v>
      </c>
      <c r="K383">
        <v>2200</v>
      </c>
      <c r="M383">
        <v>2200</v>
      </c>
    </row>
    <row r="384" spans="1:13" x14ac:dyDescent="0.35">
      <c r="A384" t="str">
        <f t="shared" si="27"/>
        <v>BAN014572216963180000</v>
      </c>
      <c r="B384" t="s">
        <v>1790</v>
      </c>
      <c r="C384" s="1">
        <v>45722</v>
      </c>
      <c r="D384" t="str">
        <f>"169"</f>
        <v>169</v>
      </c>
      <c r="E384" t="str">
        <f t="shared" si="29"/>
        <v>63180000</v>
      </c>
      <c r="F384" t="s">
        <v>58</v>
      </c>
      <c r="G384" t="s">
        <v>336</v>
      </c>
      <c r="H384" t="s">
        <v>347</v>
      </c>
      <c r="I384">
        <v>0</v>
      </c>
      <c r="J384" t="s">
        <v>343</v>
      </c>
      <c r="K384">
        <v>4400</v>
      </c>
      <c r="M384">
        <v>4400</v>
      </c>
    </row>
    <row r="385" spans="1:13" x14ac:dyDescent="0.35">
      <c r="A385" t="str">
        <f t="shared" si="27"/>
        <v>BAN014572218763180000</v>
      </c>
      <c r="B385" t="s">
        <v>1790</v>
      </c>
      <c r="C385" s="1">
        <v>45722</v>
      </c>
      <c r="D385" t="str">
        <f>"187"</f>
        <v>187</v>
      </c>
      <c r="E385" t="str">
        <f t="shared" si="29"/>
        <v>63180000</v>
      </c>
      <c r="F385" t="s">
        <v>58</v>
      </c>
      <c r="G385" t="s">
        <v>336</v>
      </c>
      <c r="H385" t="s">
        <v>347</v>
      </c>
      <c r="I385">
        <v>0</v>
      </c>
      <c r="J385" t="s">
        <v>343</v>
      </c>
      <c r="K385">
        <v>275</v>
      </c>
      <c r="M385">
        <v>275</v>
      </c>
    </row>
    <row r="386" spans="1:13" x14ac:dyDescent="0.35">
      <c r="A386" t="str">
        <f t="shared" si="27"/>
        <v>BAN014572816763180000</v>
      </c>
      <c r="B386" t="s">
        <v>1790</v>
      </c>
      <c r="C386" s="1">
        <v>45728</v>
      </c>
      <c r="D386" t="str">
        <f>"167"</f>
        <v>167</v>
      </c>
      <c r="E386" t="str">
        <f t="shared" si="29"/>
        <v>63180000</v>
      </c>
      <c r="F386" t="s">
        <v>58</v>
      </c>
      <c r="G386" t="s">
        <v>336</v>
      </c>
      <c r="H386" t="s">
        <v>347</v>
      </c>
      <c r="I386">
        <v>0</v>
      </c>
      <c r="J386" t="s">
        <v>343</v>
      </c>
      <c r="K386">
        <v>275</v>
      </c>
      <c r="M386">
        <v>275</v>
      </c>
    </row>
    <row r="387" spans="1:13" x14ac:dyDescent="0.35">
      <c r="A387" t="str">
        <f t="shared" ref="A387:A450" si="30">CONCATENATE(B387,C387,D387,E387)</f>
        <v>BAN014573116067120000</v>
      </c>
      <c r="B387" t="s">
        <v>1790</v>
      </c>
      <c r="C387" s="1">
        <v>45731</v>
      </c>
      <c r="D387" t="str">
        <f>"160"</f>
        <v>160</v>
      </c>
      <c r="E387" t="str">
        <f>"67120000"</f>
        <v>67120000</v>
      </c>
      <c r="F387" t="s">
        <v>1809</v>
      </c>
      <c r="G387" t="s">
        <v>336</v>
      </c>
      <c r="H387" t="s">
        <v>347</v>
      </c>
      <c r="I387">
        <v>0</v>
      </c>
      <c r="J387" t="s">
        <v>343</v>
      </c>
      <c r="K387">
        <v>1468580</v>
      </c>
      <c r="M387">
        <v>1468580</v>
      </c>
    </row>
    <row r="388" spans="1:13" x14ac:dyDescent="0.35">
      <c r="A388" t="str">
        <f t="shared" si="30"/>
        <v>BAN014573318863180000</v>
      </c>
      <c r="B388" t="s">
        <v>1790</v>
      </c>
      <c r="C388" s="1">
        <v>45733</v>
      </c>
      <c r="D388" t="str">
        <f>"188"</f>
        <v>188</v>
      </c>
      <c r="E388" t="str">
        <f t="shared" ref="E388:E394" si="31">"63180000"</f>
        <v>63180000</v>
      </c>
      <c r="F388" t="s">
        <v>58</v>
      </c>
      <c r="G388" t="s">
        <v>336</v>
      </c>
      <c r="H388" t="s">
        <v>347</v>
      </c>
      <c r="I388">
        <v>0</v>
      </c>
      <c r="J388" t="s">
        <v>343</v>
      </c>
      <c r="K388">
        <v>275</v>
      </c>
      <c r="M388">
        <v>275</v>
      </c>
    </row>
    <row r="389" spans="1:13" x14ac:dyDescent="0.35">
      <c r="A389" t="str">
        <f t="shared" si="30"/>
        <v>BAN014573318963180000</v>
      </c>
      <c r="B389" t="s">
        <v>1790</v>
      </c>
      <c r="C389" s="1">
        <v>45733</v>
      </c>
      <c r="D389" t="str">
        <f>"189"</f>
        <v>189</v>
      </c>
      <c r="E389" t="str">
        <f t="shared" si="31"/>
        <v>63180000</v>
      </c>
      <c r="F389" t="s">
        <v>58</v>
      </c>
      <c r="G389" t="s">
        <v>336</v>
      </c>
      <c r="H389" t="s">
        <v>347</v>
      </c>
      <c r="I389">
        <v>0</v>
      </c>
      <c r="J389" t="s">
        <v>343</v>
      </c>
      <c r="K389">
        <v>275</v>
      </c>
      <c r="M389">
        <v>275</v>
      </c>
    </row>
    <row r="390" spans="1:13" x14ac:dyDescent="0.35">
      <c r="A390" t="str">
        <f t="shared" si="30"/>
        <v>BAN014573419063180000</v>
      </c>
      <c r="B390" t="s">
        <v>1790</v>
      </c>
      <c r="C390" s="1">
        <v>45734</v>
      </c>
      <c r="D390" t="str">
        <f>"190"</f>
        <v>190</v>
      </c>
      <c r="E390" t="str">
        <f t="shared" si="31"/>
        <v>63180000</v>
      </c>
      <c r="F390" t="s">
        <v>58</v>
      </c>
      <c r="G390" t="s">
        <v>336</v>
      </c>
      <c r="H390" t="s">
        <v>347</v>
      </c>
      <c r="I390">
        <v>0</v>
      </c>
      <c r="J390" t="s">
        <v>343</v>
      </c>
      <c r="K390">
        <v>275</v>
      </c>
      <c r="M390">
        <v>275</v>
      </c>
    </row>
    <row r="391" spans="1:13" x14ac:dyDescent="0.35">
      <c r="A391" t="str">
        <f t="shared" si="30"/>
        <v>BAN014573419163180000</v>
      </c>
      <c r="B391" t="s">
        <v>1790</v>
      </c>
      <c r="C391" s="1">
        <v>45734</v>
      </c>
      <c r="D391" t="str">
        <f>"191"</f>
        <v>191</v>
      </c>
      <c r="E391" t="str">
        <f t="shared" si="31"/>
        <v>63180000</v>
      </c>
      <c r="F391" t="s">
        <v>58</v>
      </c>
      <c r="G391" t="s">
        <v>336</v>
      </c>
      <c r="H391" t="s">
        <v>347</v>
      </c>
      <c r="I391">
        <v>0</v>
      </c>
      <c r="J391" t="s">
        <v>343</v>
      </c>
      <c r="K391">
        <v>275</v>
      </c>
      <c r="M391">
        <v>275</v>
      </c>
    </row>
    <row r="392" spans="1:13" x14ac:dyDescent="0.35">
      <c r="A392" t="str">
        <f t="shared" si="30"/>
        <v>BAN014574219463180000</v>
      </c>
      <c r="B392" t="s">
        <v>1790</v>
      </c>
      <c r="C392" s="1">
        <v>45742</v>
      </c>
      <c r="D392" t="str">
        <f>"194"</f>
        <v>194</v>
      </c>
      <c r="E392" t="str">
        <f t="shared" si="31"/>
        <v>63180000</v>
      </c>
      <c r="F392" t="s">
        <v>58</v>
      </c>
      <c r="G392" t="s">
        <v>336</v>
      </c>
      <c r="H392" t="s">
        <v>347</v>
      </c>
      <c r="I392">
        <v>0</v>
      </c>
      <c r="J392" t="s">
        <v>343</v>
      </c>
      <c r="K392">
        <v>31900</v>
      </c>
      <c r="M392">
        <v>31900</v>
      </c>
    </row>
    <row r="393" spans="1:13" x14ac:dyDescent="0.35">
      <c r="A393" t="str">
        <f t="shared" si="30"/>
        <v>BAN014574219563180000</v>
      </c>
      <c r="B393" t="s">
        <v>1790</v>
      </c>
      <c r="C393" s="1">
        <v>45742</v>
      </c>
      <c r="D393" t="str">
        <f>"195"</f>
        <v>195</v>
      </c>
      <c r="E393" t="str">
        <f t="shared" si="31"/>
        <v>63180000</v>
      </c>
      <c r="F393" t="s">
        <v>58</v>
      </c>
      <c r="G393" t="s">
        <v>336</v>
      </c>
      <c r="H393" t="s">
        <v>347</v>
      </c>
      <c r="I393">
        <v>0</v>
      </c>
      <c r="J393" t="s">
        <v>343</v>
      </c>
      <c r="K393">
        <v>275</v>
      </c>
      <c r="M393">
        <v>275</v>
      </c>
    </row>
    <row r="394" spans="1:13" x14ac:dyDescent="0.35">
      <c r="A394" t="str">
        <f t="shared" si="30"/>
        <v>BAN014574419663180000</v>
      </c>
      <c r="B394" t="s">
        <v>1790</v>
      </c>
      <c r="C394" s="1">
        <v>45744</v>
      </c>
      <c r="D394" t="str">
        <f>"196"</f>
        <v>196</v>
      </c>
      <c r="E394" t="str">
        <f t="shared" si="31"/>
        <v>63180000</v>
      </c>
      <c r="F394" t="s">
        <v>58</v>
      </c>
      <c r="G394" t="s">
        <v>336</v>
      </c>
      <c r="H394" t="s">
        <v>347</v>
      </c>
      <c r="I394">
        <v>0</v>
      </c>
      <c r="J394" t="s">
        <v>343</v>
      </c>
      <c r="K394">
        <v>16638</v>
      </c>
      <c r="M394">
        <v>16638</v>
      </c>
    </row>
    <row r="395" spans="1:13" x14ac:dyDescent="0.35">
      <c r="A395" t="str">
        <f t="shared" si="30"/>
        <v>BAN014574719767450000</v>
      </c>
      <c r="B395" t="s">
        <v>1790</v>
      </c>
      <c r="C395" s="1">
        <v>45747</v>
      </c>
      <c r="D395" t="str">
        <f>"197"</f>
        <v>197</v>
      </c>
      <c r="E395" t="str">
        <f>"67450000"</f>
        <v>67450000</v>
      </c>
      <c r="F395" t="s">
        <v>1830</v>
      </c>
      <c r="G395" t="s">
        <v>336</v>
      </c>
      <c r="H395" t="s">
        <v>347</v>
      </c>
      <c r="I395">
        <v>0</v>
      </c>
      <c r="J395" t="s">
        <v>343</v>
      </c>
      <c r="K395">
        <v>2734720</v>
      </c>
      <c r="M395">
        <v>2734720</v>
      </c>
    </row>
    <row r="396" spans="1:13" x14ac:dyDescent="0.35">
      <c r="A396" t="str">
        <f t="shared" si="30"/>
        <v>BAN04457217561400000</v>
      </c>
      <c r="B396" t="s">
        <v>1831</v>
      </c>
      <c r="C396" s="1">
        <v>45721</v>
      </c>
      <c r="D396" t="str">
        <f>"75"</f>
        <v>75</v>
      </c>
      <c r="E396" t="str">
        <f>"61400000"</f>
        <v>61400000</v>
      </c>
      <c r="F396" t="s">
        <v>1842</v>
      </c>
      <c r="G396" t="s">
        <v>336</v>
      </c>
      <c r="H396" t="s">
        <v>5903</v>
      </c>
      <c r="I396">
        <v>0</v>
      </c>
      <c r="J396" t="s">
        <v>343</v>
      </c>
      <c r="K396">
        <v>756000</v>
      </c>
      <c r="M396">
        <v>756000</v>
      </c>
    </row>
    <row r="397" spans="1:13" x14ac:dyDescent="0.35">
      <c r="A397" t="str">
        <f t="shared" si="30"/>
        <v>BAN04457218966840000</v>
      </c>
      <c r="B397" t="s">
        <v>1831</v>
      </c>
      <c r="C397" s="1">
        <v>45721</v>
      </c>
      <c r="D397" t="str">
        <f>"89"</f>
        <v>89</v>
      </c>
      <c r="E397" t="str">
        <f>"66840000"</f>
        <v>66840000</v>
      </c>
      <c r="F397" t="s">
        <v>1844</v>
      </c>
      <c r="G397" t="s">
        <v>336</v>
      </c>
      <c r="H397" t="s">
        <v>5917</v>
      </c>
      <c r="I397">
        <v>0</v>
      </c>
      <c r="J397" t="s">
        <v>343</v>
      </c>
      <c r="K397">
        <v>728000</v>
      </c>
      <c r="M397">
        <v>728000</v>
      </c>
    </row>
    <row r="398" spans="1:13" x14ac:dyDescent="0.35">
      <c r="A398" t="str">
        <f t="shared" si="30"/>
        <v>BAN04457278764630000</v>
      </c>
      <c r="B398" t="s">
        <v>1831</v>
      </c>
      <c r="C398" s="1">
        <v>45727</v>
      </c>
      <c r="D398" t="str">
        <f>"87"</f>
        <v>87</v>
      </c>
      <c r="E398" t="str">
        <f>"64630000"</f>
        <v>64630000</v>
      </c>
      <c r="F398" t="s">
        <v>1845</v>
      </c>
      <c r="G398" t="s">
        <v>336</v>
      </c>
      <c r="H398" t="s">
        <v>5944</v>
      </c>
      <c r="I398">
        <v>0</v>
      </c>
      <c r="J398" t="s">
        <v>343</v>
      </c>
      <c r="K398">
        <v>350000</v>
      </c>
      <c r="M398">
        <v>350000</v>
      </c>
    </row>
    <row r="399" spans="1:13" x14ac:dyDescent="0.35">
      <c r="A399" t="str">
        <f t="shared" si="30"/>
        <v>BAN044573010663180000</v>
      </c>
      <c r="B399" t="s">
        <v>1831</v>
      </c>
      <c r="C399" s="1">
        <v>45730</v>
      </c>
      <c r="D399" t="str">
        <f>"106"</f>
        <v>106</v>
      </c>
      <c r="E399" t="str">
        <f t="shared" ref="E399:E404" si="32">"63180000"</f>
        <v>63180000</v>
      </c>
      <c r="F399" t="s">
        <v>1851</v>
      </c>
      <c r="G399" t="s">
        <v>336</v>
      </c>
      <c r="H399" t="s">
        <v>347</v>
      </c>
      <c r="I399">
        <v>0</v>
      </c>
      <c r="J399" t="s">
        <v>343</v>
      </c>
      <c r="K399">
        <v>71212</v>
      </c>
      <c r="M399">
        <v>71212</v>
      </c>
    </row>
    <row r="400" spans="1:13" x14ac:dyDescent="0.35">
      <c r="A400" t="str">
        <f t="shared" si="30"/>
        <v>BAN044573010763180000</v>
      </c>
      <c r="B400" t="s">
        <v>1831</v>
      </c>
      <c r="C400" s="1">
        <v>45730</v>
      </c>
      <c r="D400" t="str">
        <f>"107"</f>
        <v>107</v>
      </c>
      <c r="E400" t="str">
        <f t="shared" si="32"/>
        <v>63180000</v>
      </c>
      <c r="F400" t="s">
        <v>1851</v>
      </c>
      <c r="G400" t="s">
        <v>336</v>
      </c>
      <c r="H400" t="s">
        <v>347</v>
      </c>
      <c r="I400">
        <v>0</v>
      </c>
      <c r="J400" t="s">
        <v>343</v>
      </c>
      <c r="K400">
        <v>61996</v>
      </c>
      <c r="M400">
        <v>61996</v>
      </c>
    </row>
    <row r="401" spans="1:13" x14ac:dyDescent="0.35">
      <c r="A401" t="str">
        <f t="shared" si="30"/>
        <v>BAN044573610563180000</v>
      </c>
      <c r="B401" t="s">
        <v>1831</v>
      </c>
      <c r="C401" s="1">
        <v>45736</v>
      </c>
      <c r="D401" t="str">
        <f>"105"</f>
        <v>105</v>
      </c>
      <c r="E401" t="str">
        <f t="shared" si="32"/>
        <v>63180000</v>
      </c>
      <c r="F401" t="s">
        <v>1869</v>
      </c>
      <c r="G401" t="s">
        <v>336</v>
      </c>
      <c r="H401" t="s">
        <v>347</v>
      </c>
      <c r="I401">
        <v>0</v>
      </c>
      <c r="J401" t="s">
        <v>343</v>
      </c>
      <c r="K401">
        <v>4004</v>
      </c>
      <c r="M401">
        <v>4004</v>
      </c>
    </row>
    <row r="402" spans="1:13" x14ac:dyDescent="0.35">
      <c r="A402" t="str">
        <f t="shared" si="30"/>
        <v>BAN044574411063180000</v>
      </c>
      <c r="B402" t="s">
        <v>1831</v>
      </c>
      <c r="C402" s="1">
        <v>45744</v>
      </c>
      <c r="D402" t="str">
        <f>"110"</f>
        <v>110</v>
      </c>
      <c r="E402" t="str">
        <f t="shared" si="32"/>
        <v>63180000</v>
      </c>
      <c r="F402" t="s">
        <v>58</v>
      </c>
      <c r="G402" t="s">
        <v>336</v>
      </c>
      <c r="H402" t="s">
        <v>347</v>
      </c>
      <c r="I402">
        <v>0</v>
      </c>
      <c r="J402" t="s">
        <v>343</v>
      </c>
      <c r="K402">
        <v>11000</v>
      </c>
      <c r="M402">
        <v>11000</v>
      </c>
    </row>
    <row r="403" spans="1:13" x14ac:dyDescent="0.35">
      <c r="A403" t="str">
        <f t="shared" si="30"/>
        <v>BAN044574411163180000</v>
      </c>
      <c r="B403" t="s">
        <v>1831</v>
      </c>
      <c r="C403" s="1">
        <v>45744</v>
      </c>
      <c r="D403" t="str">
        <f>"111"</f>
        <v>111</v>
      </c>
      <c r="E403" t="str">
        <f t="shared" si="32"/>
        <v>63180000</v>
      </c>
      <c r="F403" t="s">
        <v>1871</v>
      </c>
      <c r="G403" t="s">
        <v>336</v>
      </c>
      <c r="H403" t="s">
        <v>347</v>
      </c>
      <c r="I403">
        <v>0</v>
      </c>
      <c r="J403" t="s">
        <v>343</v>
      </c>
      <c r="K403">
        <v>19800</v>
      </c>
      <c r="M403">
        <v>19800</v>
      </c>
    </row>
    <row r="404" spans="1:13" x14ac:dyDescent="0.35">
      <c r="A404" t="str">
        <f t="shared" si="30"/>
        <v>BAN044574411263180000</v>
      </c>
      <c r="B404" t="s">
        <v>1831</v>
      </c>
      <c r="C404" s="1">
        <v>45744</v>
      </c>
      <c r="D404" t="str">
        <f>"112"</f>
        <v>112</v>
      </c>
      <c r="E404" t="str">
        <f t="shared" si="32"/>
        <v>63180000</v>
      </c>
      <c r="F404" t="s">
        <v>58</v>
      </c>
      <c r="G404" t="s">
        <v>336</v>
      </c>
      <c r="H404" t="s">
        <v>347</v>
      </c>
      <c r="I404">
        <v>0</v>
      </c>
      <c r="J404" t="s">
        <v>343</v>
      </c>
      <c r="K404">
        <v>27748</v>
      </c>
      <c r="M404">
        <v>27748</v>
      </c>
    </row>
    <row r="405" spans="1:13" x14ac:dyDescent="0.35">
      <c r="A405" t="str">
        <f t="shared" si="30"/>
        <v>BAN05457305564630000</v>
      </c>
      <c r="B405" t="s">
        <v>1873</v>
      </c>
      <c r="C405" s="1">
        <v>45730</v>
      </c>
      <c r="D405" t="str">
        <f>"55"</f>
        <v>55</v>
      </c>
      <c r="E405" t="str">
        <f>"64630000"</f>
        <v>64630000</v>
      </c>
      <c r="F405" t="s">
        <v>1889</v>
      </c>
      <c r="G405" t="s">
        <v>336</v>
      </c>
      <c r="H405" t="s">
        <v>5952</v>
      </c>
      <c r="I405">
        <v>0</v>
      </c>
      <c r="J405" t="s">
        <v>343</v>
      </c>
      <c r="K405">
        <v>450000</v>
      </c>
      <c r="M405">
        <v>450000</v>
      </c>
    </row>
    <row r="406" spans="1:13" x14ac:dyDescent="0.35">
      <c r="A406" t="str">
        <f t="shared" si="30"/>
        <v>BAN05457306063180000</v>
      </c>
      <c r="B406" t="s">
        <v>1873</v>
      </c>
      <c r="C406" s="1">
        <v>45730</v>
      </c>
      <c r="D406" t="str">
        <f>"60"</f>
        <v>60</v>
      </c>
      <c r="E406" t="str">
        <f>"63180000"</f>
        <v>63180000</v>
      </c>
      <c r="F406" t="s">
        <v>58</v>
      </c>
      <c r="G406" t="s">
        <v>336</v>
      </c>
      <c r="H406" t="s">
        <v>347</v>
      </c>
      <c r="I406">
        <v>0</v>
      </c>
      <c r="J406" t="s">
        <v>343</v>
      </c>
      <c r="K406">
        <v>2200</v>
      </c>
      <c r="M406">
        <v>2200</v>
      </c>
    </row>
    <row r="407" spans="1:13" x14ac:dyDescent="0.35">
      <c r="A407" t="str">
        <f t="shared" si="30"/>
        <v>BAN05457376663180000</v>
      </c>
      <c r="B407" t="s">
        <v>1873</v>
      </c>
      <c r="C407" s="1">
        <v>45737</v>
      </c>
      <c r="D407" t="str">
        <f>"66"</f>
        <v>66</v>
      </c>
      <c r="E407" t="str">
        <f>"63180000"</f>
        <v>63180000</v>
      </c>
      <c r="F407" t="s">
        <v>1851</v>
      </c>
      <c r="G407" t="s">
        <v>336</v>
      </c>
      <c r="H407" t="s">
        <v>347</v>
      </c>
      <c r="I407">
        <v>0</v>
      </c>
      <c r="J407" t="s">
        <v>343</v>
      </c>
      <c r="K407">
        <v>2200</v>
      </c>
      <c r="M407">
        <v>2200</v>
      </c>
    </row>
    <row r="408" spans="1:13" x14ac:dyDescent="0.35">
      <c r="A408" t="str">
        <f t="shared" si="30"/>
        <v>BAN05457476863180000</v>
      </c>
      <c r="B408" t="s">
        <v>1873</v>
      </c>
      <c r="C408" s="1">
        <v>45747</v>
      </c>
      <c r="D408" t="str">
        <f>"68"</f>
        <v>68</v>
      </c>
      <c r="E408" t="str">
        <f>"63180000"</f>
        <v>63180000</v>
      </c>
      <c r="F408" t="s">
        <v>58</v>
      </c>
      <c r="G408" t="s">
        <v>336</v>
      </c>
      <c r="H408" t="s">
        <v>347</v>
      </c>
      <c r="I408">
        <v>0</v>
      </c>
      <c r="J408" t="s">
        <v>343</v>
      </c>
      <c r="K408">
        <v>20000</v>
      </c>
      <c r="M408">
        <v>20000</v>
      </c>
    </row>
    <row r="409" spans="1:13" x14ac:dyDescent="0.35">
      <c r="A409" t="str">
        <f t="shared" si="30"/>
        <v>BAN05457476963180000</v>
      </c>
      <c r="B409" t="s">
        <v>1873</v>
      </c>
      <c r="C409" s="1">
        <v>45747</v>
      </c>
      <c r="D409" t="str">
        <f>"69"</f>
        <v>69</v>
      </c>
      <c r="E409" t="str">
        <f>"63180000"</f>
        <v>63180000</v>
      </c>
      <c r="F409" t="s">
        <v>58</v>
      </c>
      <c r="G409" t="s">
        <v>336</v>
      </c>
      <c r="H409" t="s">
        <v>347</v>
      </c>
      <c r="I409">
        <v>0</v>
      </c>
      <c r="J409" t="s">
        <v>343</v>
      </c>
      <c r="K409">
        <v>2000</v>
      </c>
      <c r="M409">
        <v>2000</v>
      </c>
    </row>
    <row r="410" spans="1:13" x14ac:dyDescent="0.35">
      <c r="A410" t="str">
        <f t="shared" si="30"/>
        <v>BAN05457477063180000</v>
      </c>
      <c r="B410" t="s">
        <v>1873</v>
      </c>
      <c r="C410" s="1">
        <v>45747</v>
      </c>
      <c r="D410" t="str">
        <f>"70"</f>
        <v>70</v>
      </c>
      <c r="E410" t="str">
        <f>"63180000"</f>
        <v>63180000</v>
      </c>
      <c r="F410" t="s">
        <v>58</v>
      </c>
      <c r="G410" t="s">
        <v>336</v>
      </c>
      <c r="H410" t="s">
        <v>347</v>
      </c>
      <c r="I410">
        <v>0</v>
      </c>
      <c r="J410" t="s">
        <v>343</v>
      </c>
      <c r="K410">
        <v>46349</v>
      </c>
      <c r="M410">
        <v>46349</v>
      </c>
    </row>
    <row r="411" spans="1:13" x14ac:dyDescent="0.35">
      <c r="A411" t="str">
        <f t="shared" si="30"/>
        <v>BAN07457267067120000</v>
      </c>
      <c r="B411" t="s">
        <v>1892</v>
      </c>
      <c r="C411" s="1">
        <v>45726</v>
      </c>
      <c r="D411" t="str">
        <f>"70"</f>
        <v>70</v>
      </c>
      <c r="E411" t="str">
        <f>"67120000"</f>
        <v>67120000</v>
      </c>
      <c r="F411" t="s">
        <v>1900</v>
      </c>
      <c r="G411" t="s">
        <v>336</v>
      </c>
      <c r="H411" t="s">
        <v>347</v>
      </c>
      <c r="I411">
        <v>0</v>
      </c>
      <c r="J411" t="s">
        <v>343</v>
      </c>
      <c r="K411">
        <v>5132748</v>
      </c>
      <c r="M411">
        <v>5132748</v>
      </c>
    </row>
    <row r="412" spans="1:13" x14ac:dyDescent="0.35">
      <c r="A412" t="str">
        <f t="shared" si="30"/>
        <v>BAN07457275563180000</v>
      </c>
      <c r="B412" t="s">
        <v>1892</v>
      </c>
      <c r="C412" s="1">
        <v>45727</v>
      </c>
      <c r="D412" t="str">
        <f>"55"</f>
        <v>55</v>
      </c>
      <c r="E412" t="str">
        <f t="shared" ref="E412:E417" si="33">"63180000"</f>
        <v>63180000</v>
      </c>
      <c r="F412" t="s">
        <v>58</v>
      </c>
      <c r="G412" t="s">
        <v>336</v>
      </c>
      <c r="H412" t="s">
        <v>347</v>
      </c>
      <c r="I412">
        <v>0</v>
      </c>
      <c r="J412" t="s">
        <v>343</v>
      </c>
      <c r="K412">
        <v>11000</v>
      </c>
      <c r="M412">
        <v>11000</v>
      </c>
    </row>
    <row r="413" spans="1:13" x14ac:dyDescent="0.35">
      <c r="A413" t="str">
        <f t="shared" si="30"/>
        <v>BAN07457275663180000</v>
      </c>
      <c r="B413" t="s">
        <v>1892</v>
      </c>
      <c r="C413" s="1">
        <v>45727</v>
      </c>
      <c r="D413" t="str">
        <f>"56"</f>
        <v>56</v>
      </c>
      <c r="E413" t="str">
        <f t="shared" si="33"/>
        <v>63180000</v>
      </c>
      <c r="F413" t="s">
        <v>58</v>
      </c>
      <c r="G413" t="s">
        <v>336</v>
      </c>
      <c r="H413" t="s">
        <v>347</v>
      </c>
      <c r="I413">
        <v>0</v>
      </c>
      <c r="J413" t="s">
        <v>343</v>
      </c>
      <c r="K413">
        <v>24915</v>
      </c>
      <c r="M413">
        <v>24915</v>
      </c>
    </row>
    <row r="414" spans="1:13" x14ac:dyDescent="0.35">
      <c r="A414" t="str">
        <f t="shared" si="30"/>
        <v>BAN07457275763180000</v>
      </c>
      <c r="B414" t="s">
        <v>1892</v>
      </c>
      <c r="C414" s="1">
        <v>45727</v>
      </c>
      <c r="D414" t="str">
        <f>"57"</f>
        <v>57</v>
      </c>
      <c r="E414" t="str">
        <f t="shared" si="33"/>
        <v>63180000</v>
      </c>
      <c r="F414" t="s">
        <v>58</v>
      </c>
      <c r="G414" t="s">
        <v>336</v>
      </c>
      <c r="H414" t="s">
        <v>347</v>
      </c>
      <c r="I414">
        <v>0</v>
      </c>
      <c r="J414" t="s">
        <v>343</v>
      </c>
      <c r="K414">
        <v>11000</v>
      </c>
      <c r="M414">
        <v>11000</v>
      </c>
    </row>
    <row r="415" spans="1:13" x14ac:dyDescent="0.35">
      <c r="A415" t="str">
        <f t="shared" si="30"/>
        <v>BAN07457285863180000</v>
      </c>
      <c r="B415" t="s">
        <v>1892</v>
      </c>
      <c r="C415" s="1">
        <v>45728</v>
      </c>
      <c r="D415" t="str">
        <f>"58"</f>
        <v>58</v>
      </c>
      <c r="E415" t="str">
        <f t="shared" si="33"/>
        <v>63180000</v>
      </c>
      <c r="F415" t="s">
        <v>58</v>
      </c>
      <c r="G415" t="s">
        <v>336</v>
      </c>
      <c r="H415" t="s">
        <v>347</v>
      </c>
      <c r="I415">
        <v>0</v>
      </c>
      <c r="J415" t="s">
        <v>343</v>
      </c>
      <c r="K415">
        <v>11000</v>
      </c>
      <c r="M415">
        <v>11000</v>
      </c>
    </row>
    <row r="416" spans="1:13" x14ac:dyDescent="0.35">
      <c r="A416" t="str">
        <f t="shared" si="30"/>
        <v>BAN07457336163180000</v>
      </c>
      <c r="B416" t="s">
        <v>1892</v>
      </c>
      <c r="C416" s="1">
        <v>45733</v>
      </c>
      <c r="D416" t="str">
        <f>"61"</f>
        <v>61</v>
      </c>
      <c r="E416" t="str">
        <f t="shared" si="33"/>
        <v>63180000</v>
      </c>
      <c r="F416" t="s">
        <v>58</v>
      </c>
      <c r="G416" t="s">
        <v>336</v>
      </c>
      <c r="H416" t="s">
        <v>347</v>
      </c>
      <c r="I416">
        <v>0</v>
      </c>
      <c r="J416" t="s">
        <v>343</v>
      </c>
      <c r="K416">
        <v>5095</v>
      </c>
      <c r="M416">
        <v>5095</v>
      </c>
    </row>
    <row r="417" spans="1:14" x14ac:dyDescent="0.35">
      <c r="A417" t="str">
        <f t="shared" si="30"/>
        <v>BAN07457336263180000</v>
      </c>
      <c r="B417" t="s">
        <v>1892</v>
      </c>
      <c r="C417" s="1">
        <v>45733</v>
      </c>
      <c r="D417" t="str">
        <f>"62"</f>
        <v>62</v>
      </c>
      <c r="E417" t="str">
        <f t="shared" si="33"/>
        <v>63180000</v>
      </c>
      <c r="F417" t="s">
        <v>58</v>
      </c>
      <c r="G417" t="s">
        <v>336</v>
      </c>
      <c r="H417" t="s">
        <v>347</v>
      </c>
      <c r="I417">
        <v>0</v>
      </c>
      <c r="J417" t="s">
        <v>343</v>
      </c>
      <c r="K417">
        <v>25000</v>
      </c>
      <c r="M417">
        <v>25000</v>
      </c>
    </row>
    <row r="418" spans="1:14" x14ac:dyDescent="0.35">
      <c r="A418" t="str">
        <f t="shared" si="30"/>
        <v>BAN07457406563250000</v>
      </c>
      <c r="B418" t="s">
        <v>1892</v>
      </c>
      <c r="C418" s="1">
        <v>45740</v>
      </c>
      <c r="D418" t="str">
        <f>"65"</f>
        <v>65</v>
      </c>
      <c r="E418" t="str">
        <f>"63250000"</f>
        <v>63250000</v>
      </c>
      <c r="F418" t="s">
        <v>1908</v>
      </c>
      <c r="G418" t="s">
        <v>336</v>
      </c>
      <c r="H418" t="s">
        <v>5951</v>
      </c>
      <c r="I418">
        <v>0</v>
      </c>
      <c r="J418" t="s">
        <v>343</v>
      </c>
      <c r="K418">
        <v>1015000</v>
      </c>
      <c r="M418">
        <v>1015000</v>
      </c>
    </row>
    <row r="419" spans="1:14" x14ac:dyDescent="0.35">
      <c r="A419" t="str">
        <f t="shared" si="30"/>
        <v>BAN07457446663180000</v>
      </c>
      <c r="B419" t="s">
        <v>1892</v>
      </c>
      <c r="C419" s="1">
        <v>45744</v>
      </c>
      <c r="D419" t="str">
        <f>"66"</f>
        <v>66</v>
      </c>
      <c r="E419" t="str">
        <f>"63180000"</f>
        <v>63180000</v>
      </c>
      <c r="F419" t="s">
        <v>58</v>
      </c>
      <c r="G419" t="s">
        <v>336</v>
      </c>
      <c r="H419" t="s">
        <v>347</v>
      </c>
      <c r="I419">
        <v>0</v>
      </c>
      <c r="J419" t="s">
        <v>343</v>
      </c>
      <c r="K419">
        <v>234007</v>
      </c>
      <c r="M419">
        <v>234007</v>
      </c>
    </row>
    <row r="420" spans="1:14" x14ac:dyDescent="0.35">
      <c r="A420" t="str">
        <f t="shared" si="30"/>
        <v>BAN07457446763180000</v>
      </c>
      <c r="B420" t="s">
        <v>1892</v>
      </c>
      <c r="C420" s="1">
        <v>45744</v>
      </c>
      <c r="D420" t="str">
        <f>"67"</f>
        <v>67</v>
      </c>
      <c r="E420" t="str">
        <f>"63180000"</f>
        <v>63180000</v>
      </c>
      <c r="F420" t="s">
        <v>58</v>
      </c>
      <c r="G420" t="s">
        <v>336</v>
      </c>
      <c r="H420" t="s">
        <v>347</v>
      </c>
      <c r="I420">
        <v>0</v>
      </c>
      <c r="J420" t="s">
        <v>343</v>
      </c>
      <c r="K420">
        <v>39627</v>
      </c>
      <c r="M420">
        <v>39627</v>
      </c>
    </row>
    <row r="421" spans="1:14" x14ac:dyDescent="0.35">
      <c r="A421" t="str">
        <f t="shared" si="30"/>
        <v>BAN07457446863180000</v>
      </c>
      <c r="B421" t="s">
        <v>1892</v>
      </c>
      <c r="C421" s="1">
        <v>45744</v>
      </c>
      <c r="D421" t="str">
        <f>"68"</f>
        <v>68</v>
      </c>
      <c r="E421" t="str">
        <f>"63180000"</f>
        <v>63180000</v>
      </c>
      <c r="F421" t="s">
        <v>58</v>
      </c>
      <c r="G421" t="s">
        <v>336</v>
      </c>
      <c r="H421" t="s">
        <v>347</v>
      </c>
      <c r="I421">
        <v>0</v>
      </c>
      <c r="J421" t="s">
        <v>343</v>
      </c>
      <c r="K421">
        <v>20000</v>
      </c>
      <c r="M421">
        <v>20000</v>
      </c>
    </row>
    <row r="422" spans="1:14" x14ac:dyDescent="0.35">
      <c r="A422" t="str">
        <f t="shared" si="30"/>
        <v>BAN07457446963180000</v>
      </c>
      <c r="B422" t="s">
        <v>1892</v>
      </c>
      <c r="C422" s="1">
        <v>45744</v>
      </c>
      <c r="D422" t="str">
        <f>"69"</f>
        <v>69</v>
      </c>
      <c r="E422" t="str">
        <f>"63180000"</f>
        <v>63180000</v>
      </c>
      <c r="F422" t="s">
        <v>58</v>
      </c>
      <c r="G422" t="s">
        <v>336</v>
      </c>
      <c r="H422" t="s">
        <v>347</v>
      </c>
      <c r="I422">
        <v>0</v>
      </c>
      <c r="J422" t="s">
        <v>343</v>
      </c>
      <c r="K422">
        <v>21256</v>
      </c>
      <c r="M422">
        <v>21256</v>
      </c>
    </row>
    <row r="423" spans="1:14" x14ac:dyDescent="0.35">
      <c r="A423" t="str">
        <f t="shared" si="30"/>
        <v>BAN084572017264630000</v>
      </c>
      <c r="B423" t="s">
        <v>1911</v>
      </c>
      <c r="C423" s="1">
        <v>45720</v>
      </c>
      <c r="D423" t="str">
        <f>"172"</f>
        <v>172</v>
      </c>
      <c r="E423" t="str">
        <f>"64630000"</f>
        <v>64630000</v>
      </c>
      <c r="F423" t="s">
        <v>1919</v>
      </c>
      <c r="G423" t="s">
        <v>336</v>
      </c>
      <c r="H423" t="s">
        <v>5953</v>
      </c>
      <c r="I423">
        <v>0</v>
      </c>
      <c r="J423" t="s">
        <v>343</v>
      </c>
      <c r="K423">
        <v>1330000</v>
      </c>
      <c r="M423">
        <v>1330000</v>
      </c>
    </row>
    <row r="424" spans="1:14" x14ac:dyDescent="0.35">
      <c r="A424" t="str">
        <f t="shared" si="30"/>
        <v>BAN084572216366310000</v>
      </c>
      <c r="B424" t="s">
        <v>1911</v>
      </c>
      <c r="C424" s="1">
        <v>45722</v>
      </c>
      <c r="D424" t="str">
        <f>"163"</f>
        <v>163</v>
      </c>
      <c r="E424" t="str">
        <f>"66310000"</f>
        <v>66310000</v>
      </c>
      <c r="F424" t="s">
        <v>1922</v>
      </c>
      <c r="G424" t="s">
        <v>336</v>
      </c>
      <c r="H424" t="s">
        <v>5902</v>
      </c>
      <c r="I424">
        <v>0</v>
      </c>
      <c r="J424" t="s">
        <v>343</v>
      </c>
      <c r="K424">
        <v>864720</v>
      </c>
      <c r="M424">
        <v>864720</v>
      </c>
    </row>
    <row r="425" spans="1:14" x14ac:dyDescent="0.35">
      <c r="A425" t="str">
        <f t="shared" si="30"/>
        <v>BAN084572717065889000</v>
      </c>
      <c r="B425" t="s">
        <v>1911</v>
      </c>
      <c r="C425" s="1">
        <v>45727</v>
      </c>
      <c r="D425" t="str">
        <f>"170"</f>
        <v>170</v>
      </c>
      <c r="E425" t="str">
        <f>"65889000"</f>
        <v>65889000</v>
      </c>
      <c r="F425" t="s">
        <v>1927</v>
      </c>
      <c r="G425" t="s">
        <v>336</v>
      </c>
      <c r="H425" t="s">
        <v>5954</v>
      </c>
      <c r="I425">
        <v>0</v>
      </c>
      <c r="J425" t="s">
        <v>343</v>
      </c>
      <c r="L425">
        <v>200</v>
      </c>
      <c r="N425">
        <v>200</v>
      </c>
    </row>
    <row r="426" spans="1:14" x14ac:dyDescent="0.35">
      <c r="A426" t="str">
        <f t="shared" si="30"/>
        <v>BAN084573918867120000</v>
      </c>
      <c r="B426" t="s">
        <v>1911</v>
      </c>
      <c r="C426" s="1">
        <v>45739</v>
      </c>
      <c r="D426" t="str">
        <f>"188"</f>
        <v>188</v>
      </c>
      <c r="E426" t="str">
        <f>"67120000"</f>
        <v>67120000</v>
      </c>
      <c r="F426" t="s">
        <v>1942</v>
      </c>
      <c r="G426" t="s">
        <v>336</v>
      </c>
      <c r="H426" t="s">
        <v>347</v>
      </c>
      <c r="I426">
        <v>0</v>
      </c>
      <c r="J426" t="s">
        <v>343</v>
      </c>
      <c r="K426">
        <v>10442166</v>
      </c>
      <c r="M426">
        <v>10442166</v>
      </c>
    </row>
    <row r="427" spans="1:14" x14ac:dyDescent="0.35">
      <c r="A427" t="str">
        <f t="shared" si="30"/>
        <v>BAN084574418967120000</v>
      </c>
      <c r="B427" t="s">
        <v>1911</v>
      </c>
      <c r="C427" s="1">
        <v>45744</v>
      </c>
      <c r="D427" t="str">
        <f>"189"</f>
        <v>189</v>
      </c>
      <c r="E427" t="str">
        <f>"67120000"</f>
        <v>67120000</v>
      </c>
      <c r="F427" t="s">
        <v>1976</v>
      </c>
      <c r="G427" t="s">
        <v>336</v>
      </c>
      <c r="H427" t="s">
        <v>347</v>
      </c>
      <c r="I427">
        <v>0</v>
      </c>
      <c r="J427" t="s">
        <v>343</v>
      </c>
      <c r="K427">
        <v>7383318</v>
      </c>
      <c r="M427">
        <v>7383318</v>
      </c>
    </row>
    <row r="428" spans="1:14" x14ac:dyDescent="0.35">
      <c r="A428" t="str">
        <f t="shared" si="30"/>
        <v>BAN084574723763180000</v>
      </c>
      <c r="B428" t="s">
        <v>1911</v>
      </c>
      <c r="C428" s="1">
        <v>45747</v>
      </c>
      <c r="D428" t="str">
        <f>"237"</f>
        <v>237</v>
      </c>
      <c r="E428" t="str">
        <f t="shared" ref="E428:E435" si="34">"63180000"</f>
        <v>63180000</v>
      </c>
      <c r="F428" t="s">
        <v>58</v>
      </c>
      <c r="G428" t="s">
        <v>336</v>
      </c>
      <c r="H428" t="s">
        <v>347</v>
      </c>
      <c r="I428">
        <v>0</v>
      </c>
      <c r="J428" t="s">
        <v>343</v>
      </c>
      <c r="K428">
        <v>221181</v>
      </c>
      <c r="M428">
        <v>221181</v>
      </c>
    </row>
    <row r="429" spans="1:14" x14ac:dyDescent="0.35">
      <c r="A429" t="str">
        <f t="shared" si="30"/>
        <v>BAN084574723863180000</v>
      </c>
      <c r="B429" t="s">
        <v>1911</v>
      </c>
      <c r="C429" s="1">
        <v>45747</v>
      </c>
      <c r="D429" t="str">
        <f>"238"</f>
        <v>238</v>
      </c>
      <c r="E429" t="str">
        <f t="shared" si="34"/>
        <v>63180000</v>
      </c>
      <c r="F429" t="s">
        <v>58</v>
      </c>
      <c r="G429" t="s">
        <v>336</v>
      </c>
      <c r="H429" t="s">
        <v>347</v>
      </c>
      <c r="I429">
        <v>0</v>
      </c>
      <c r="J429" t="s">
        <v>343</v>
      </c>
      <c r="K429">
        <v>15000</v>
      </c>
      <c r="M429">
        <v>15000</v>
      </c>
    </row>
    <row r="430" spans="1:14" x14ac:dyDescent="0.35">
      <c r="A430" t="str">
        <f t="shared" si="30"/>
        <v>BAN09457306863180000</v>
      </c>
      <c r="B430" t="s">
        <v>1986</v>
      </c>
      <c r="C430" s="1">
        <v>45730</v>
      </c>
      <c r="D430" t="str">
        <f>"68"</f>
        <v>68</v>
      </c>
      <c r="E430" t="str">
        <f t="shared" si="34"/>
        <v>63180000</v>
      </c>
      <c r="F430" t="s">
        <v>2004</v>
      </c>
      <c r="G430" t="s">
        <v>336</v>
      </c>
      <c r="H430" t="s">
        <v>347</v>
      </c>
      <c r="I430">
        <v>0</v>
      </c>
      <c r="J430" t="s">
        <v>343</v>
      </c>
      <c r="K430">
        <v>55000</v>
      </c>
      <c r="M430">
        <v>55000</v>
      </c>
    </row>
    <row r="431" spans="1:14" x14ac:dyDescent="0.35">
      <c r="A431" t="str">
        <f t="shared" si="30"/>
        <v>BAN09457356963180000</v>
      </c>
      <c r="B431" t="s">
        <v>1986</v>
      </c>
      <c r="C431" s="1">
        <v>45735</v>
      </c>
      <c r="D431" t="str">
        <f>"69"</f>
        <v>69</v>
      </c>
      <c r="E431" t="str">
        <f t="shared" si="34"/>
        <v>63180000</v>
      </c>
      <c r="F431" t="s">
        <v>58</v>
      </c>
      <c r="G431" t="s">
        <v>336</v>
      </c>
      <c r="H431" t="s">
        <v>347</v>
      </c>
      <c r="I431">
        <v>0</v>
      </c>
      <c r="J431" t="s">
        <v>343</v>
      </c>
      <c r="K431">
        <v>38500</v>
      </c>
      <c r="M431">
        <v>38500</v>
      </c>
    </row>
    <row r="432" spans="1:14" x14ac:dyDescent="0.35">
      <c r="A432" t="str">
        <f t="shared" si="30"/>
        <v>BAN09457357063180000</v>
      </c>
      <c r="B432" t="s">
        <v>1986</v>
      </c>
      <c r="C432" s="1">
        <v>45735</v>
      </c>
      <c r="D432" t="str">
        <f>"70"</f>
        <v>70</v>
      </c>
      <c r="E432" t="str">
        <f t="shared" si="34"/>
        <v>63180000</v>
      </c>
      <c r="F432" t="s">
        <v>58</v>
      </c>
      <c r="G432" t="s">
        <v>336</v>
      </c>
      <c r="H432" t="s">
        <v>347</v>
      </c>
      <c r="I432">
        <v>0</v>
      </c>
      <c r="J432" t="s">
        <v>343</v>
      </c>
      <c r="K432">
        <v>38500</v>
      </c>
      <c r="M432">
        <v>38500</v>
      </c>
    </row>
    <row r="433" spans="1:13" x14ac:dyDescent="0.35">
      <c r="A433" t="str">
        <f t="shared" si="30"/>
        <v>BAN09457358063180000</v>
      </c>
      <c r="B433" t="s">
        <v>1986</v>
      </c>
      <c r="C433" s="1">
        <v>45735</v>
      </c>
      <c r="D433" t="str">
        <f>"80"</f>
        <v>80</v>
      </c>
      <c r="E433" t="str">
        <f t="shared" si="34"/>
        <v>63180000</v>
      </c>
      <c r="F433" t="s">
        <v>1851</v>
      </c>
      <c r="G433" t="s">
        <v>336</v>
      </c>
      <c r="H433" t="s">
        <v>347</v>
      </c>
      <c r="I433">
        <v>0</v>
      </c>
      <c r="J433" t="s">
        <v>343</v>
      </c>
      <c r="K433">
        <v>110000</v>
      </c>
      <c r="M433">
        <v>110000</v>
      </c>
    </row>
    <row r="434" spans="1:13" x14ac:dyDescent="0.35">
      <c r="A434" t="str">
        <f t="shared" si="30"/>
        <v>BAN09457367163180000</v>
      </c>
      <c r="B434" t="s">
        <v>1986</v>
      </c>
      <c r="C434" s="1">
        <v>45736</v>
      </c>
      <c r="D434" t="str">
        <f>"71"</f>
        <v>71</v>
      </c>
      <c r="E434" t="str">
        <f t="shared" si="34"/>
        <v>63180000</v>
      </c>
      <c r="F434" t="s">
        <v>58</v>
      </c>
      <c r="G434" t="s">
        <v>336</v>
      </c>
      <c r="H434" t="s">
        <v>347</v>
      </c>
      <c r="I434">
        <v>0</v>
      </c>
      <c r="J434" t="s">
        <v>343</v>
      </c>
      <c r="K434">
        <v>55000</v>
      </c>
      <c r="M434">
        <v>55000</v>
      </c>
    </row>
    <row r="435" spans="1:13" x14ac:dyDescent="0.35">
      <c r="A435" t="str">
        <f t="shared" si="30"/>
        <v>BAN09457367263180000</v>
      </c>
      <c r="B435" t="s">
        <v>1986</v>
      </c>
      <c r="C435" s="1">
        <v>45736</v>
      </c>
      <c r="D435" t="str">
        <f>"72"</f>
        <v>72</v>
      </c>
      <c r="E435" t="str">
        <f t="shared" si="34"/>
        <v>63180000</v>
      </c>
      <c r="F435" t="s">
        <v>58</v>
      </c>
      <c r="G435" t="s">
        <v>336</v>
      </c>
      <c r="H435" t="s">
        <v>347</v>
      </c>
      <c r="I435">
        <v>0</v>
      </c>
      <c r="J435" t="s">
        <v>343</v>
      </c>
      <c r="K435">
        <v>55000</v>
      </c>
      <c r="M435">
        <v>55000</v>
      </c>
    </row>
    <row r="436" spans="1:13" x14ac:dyDescent="0.35">
      <c r="A436" t="str">
        <f t="shared" si="30"/>
        <v>BAN09457387367120000</v>
      </c>
      <c r="B436" t="s">
        <v>1986</v>
      </c>
      <c r="C436" s="1">
        <v>45738</v>
      </c>
      <c r="D436" t="str">
        <f>"73"</f>
        <v>73</v>
      </c>
      <c r="E436" t="str">
        <f>"67120000"</f>
        <v>67120000</v>
      </c>
      <c r="F436" t="s">
        <v>2012</v>
      </c>
      <c r="G436" t="s">
        <v>336</v>
      </c>
      <c r="H436" t="s">
        <v>347</v>
      </c>
      <c r="I436">
        <v>0</v>
      </c>
      <c r="J436" t="s">
        <v>343</v>
      </c>
      <c r="K436">
        <v>2657273</v>
      </c>
      <c r="M436">
        <v>2657273</v>
      </c>
    </row>
    <row r="437" spans="1:13" x14ac:dyDescent="0.35">
      <c r="A437" t="str">
        <f t="shared" si="30"/>
        <v>BAN09457448263180000</v>
      </c>
      <c r="B437" t="s">
        <v>1986</v>
      </c>
      <c r="C437" s="1">
        <v>45744</v>
      </c>
      <c r="D437" t="str">
        <f>"82"</f>
        <v>82</v>
      </c>
      <c r="E437" t="str">
        <f>"63180000"</f>
        <v>63180000</v>
      </c>
      <c r="F437" t="s">
        <v>1851</v>
      </c>
      <c r="G437" t="s">
        <v>336</v>
      </c>
      <c r="H437" t="s">
        <v>347</v>
      </c>
      <c r="I437">
        <v>0</v>
      </c>
      <c r="J437" t="s">
        <v>343</v>
      </c>
      <c r="K437">
        <v>16500</v>
      </c>
      <c r="M437">
        <v>16500</v>
      </c>
    </row>
    <row r="438" spans="1:13" x14ac:dyDescent="0.35">
      <c r="A438" t="str">
        <f t="shared" si="30"/>
        <v>BAN09457448363180000</v>
      </c>
      <c r="B438" t="s">
        <v>1986</v>
      </c>
      <c r="C438" s="1">
        <v>45744</v>
      </c>
      <c r="D438" t="str">
        <f>"83"</f>
        <v>83</v>
      </c>
      <c r="E438" t="str">
        <f>"63180000"</f>
        <v>63180000</v>
      </c>
      <c r="F438" t="s">
        <v>1851</v>
      </c>
      <c r="G438" t="s">
        <v>336</v>
      </c>
      <c r="H438" t="s">
        <v>347</v>
      </c>
      <c r="I438">
        <v>0</v>
      </c>
      <c r="J438" t="s">
        <v>343</v>
      </c>
      <c r="K438">
        <v>20000</v>
      </c>
      <c r="M438">
        <v>20000</v>
      </c>
    </row>
    <row r="439" spans="1:13" x14ac:dyDescent="0.35">
      <c r="A439" t="str">
        <f t="shared" si="30"/>
        <v>BAN09457448463180000</v>
      </c>
      <c r="B439" t="s">
        <v>1986</v>
      </c>
      <c r="C439" s="1">
        <v>45744</v>
      </c>
      <c r="D439" t="str">
        <f>"84"</f>
        <v>84</v>
      </c>
      <c r="E439" t="str">
        <f>"63180000"</f>
        <v>63180000</v>
      </c>
      <c r="F439" t="s">
        <v>1851</v>
      </c>
      <c r="G439" t="s">
        <v>336</v>
      </c>
      <c r="H439" t="s">
        <v>347</v>
      </c>
      <c r="I439">
        <v>0</v>
      </c>
      <c r="J439" t="s">
        <v>343</v>
      </c>
      <c r="K439">
        <v>79350</v>
      </c>
      <c r="M439">
        <v>79350</v>
      </c>
    </row>
    <row r="440" spans="1:13" x14ac:dyDescent="0.35">
      <c r="A440" t="str">
        <f t="shared" si="30"/>
        <v>BAN09457448563180000</v>
      </c>
      <c r="B440" t="s">
        <v>1986</v>
      </c>
      <c r="C440" s="1">
        <v>45744</v>
      </c>
      <c r="D440" t="str">
        <f>"85"</f>
        <v>85</v>
      </c>
      <c r="E440" t="str">
        <f>"63180000"</f>
        <v>63180000</v>
      </c>
      <c r="F440" t="s">
        <v>1851</v>
      </c>
      <c r="G440" t="s">
        <v>336</v>
      </c>
      <c r="H440" t="s">
        <v>347</v>
      </c>
      <c r="I440">
        <v>0</v>
      </c>
      <c r="J440" t="s">
        <v>343</v>
      </c>
      <c r="K440">
        <v>2000</v>
      </c>
      <c r="M440">
        <v>2000</v>
      </c>
    </row>
    <row r="441" spans="1:13" x14ac:dyDescent="0.35">
      <c r="A441" t="str">
        <f t="shared" si="30"/>
        <v>CAI0345741660510000</v>
      </c>
      <c r="B441" t="s">
        <v>2016</v>
      </c>
      <c r="C441" s="1">
        <v>45741</v>
      </c>
      <c r="D441" t="str">
        <f>"6"</f>
        <v>6</v>
      </c>
      <c r="E441" t="str">
        <f>"60510000"</f>
        <v>60510000</v>
      </c>
      <c r="F441" t="s">
        <v>2017</v>
      </c>
      <c r="G441" t="s">
        <v>336</v>
      </c>
      <c r="H441" t="s">
        <v>5926</v>
      </c>
      <c r="I441">
        <v>0</v>
      </c>
      <c r="J441" t="s">
        <v>343</v>
      </c>
      <c r="K441">
        <v>6185</v>
      </c>
      <c r="M441">
        <v>6185</v>
      </c>
    </row>
    <row r="442" spans="1:13" x14ac:dyDescent="0.35">
      <c r="A442" t="str">
        <f t="shared" si="30"/>
        <v>CAI074571934460420000</v>
      </c>
      <c r="B442" t="s">
        <v>2018</v>
      </c>
      <c r="C442" s="1">
        <v>45719</v>
      </c>
      <c r="D442" t="str">
        <f>"344"</f>
        <v>344</v>
      </c>
      <c r="E442" t="str">
        <f>"60420000"</f>
        <v>60420000</v>
      </c>
      <c r="F442" t="s">
        <v>2019</v>
      </c>
      <c r="G442" t="s">
        <v>336</v>
      </c>
      <c r="H442" t="s">
        <v>5906</v>
      </c>
      <c r="I442">
        <v>0</v>
      </c>
      <c r="J442" t="s">
        <v>343</v>
      </c>
      <c r="K442">
        <v>47000</v>
      </c>
      <c r="M442">
        <v>47000</v>
      </c>
    </row>
    <row r="443" spans="1:13" x14ac:dyDescent="0.35">
      <c r="A443" t="str">
        <f t="shared" si="30"/>
        <v>CAI074572034560520000</v>
      </c>
      <c r="B443" t="s">
        <v>2018</v>
      </c>
      <c r="C443" s="1">
        <v>45720</v>
      </c>
      <c r="D443" t="str">
        <f>"345"</f>
        <v>345</v>
      </c>
      <c r="E443" t="str">
        <f>"60520000"</f>
        <v>60520000</v>
      </c>
      <c r="F443" t="s">
        <v>2020</v>
      </c>
      <c r="G443" t="s">
        <v>336</v>
      </c>
      <c r="H443" t="s">
        <v>5906</v>
      </c>
      <c r="I443">
        <v>0</v>
      </c>
      <c r="J443" t="s">
        <v>343</v>
      </c>
      <c r="K443">
        <v>30000</v>
      </c>
      <c r="M443">
        <v>30000</v>
      </c>
    </row>
    <row r="444" spans="1:13" x14ac:dyDescent="0.35">
      <c r="A444" t="str">
        <f t="shared" si="30"/>
        <v>CAI074572034661810100</v>
      </c>
      <c r="B444" t="s">
        <v>2018</v>
      </c>
      <c r="C444" s="1">
        <v>45720</v>
      </c>
      <c r="D444" t="str">
        <f>"346"</f>
        <v>346</v>
      </c>
      <c r="E444" t="str">
        <f>"61810100"</f>
        <v>61810100</v>
      </c>
      <c r="F444" t="s">
        <v>2021</v>
      </c>
      <c r="G444" t="s">
        <v>336</v>
      </c>
      <c r="H444" t="s">
        <v>5943</v>
      </c>
      <c r="I444">
        <v>0</v>
      </c>
      <c r="J444" t="s">
        <v>343</v>
      </c>
      <c r="K444">
        <v>25025</v>
      </c>
      <c r="M444">
        <v>25025</v>
      </c>
    </row>
    <row r="445" spans="1:13" x14ac:dyDescent="0.35">
      <c r="A445" t="str">
        <f t="shared" si="30"/>
        <v>CAI074572034761810100</v>
      </c>
      <c r="B445" t="s">
        <v>2018</v>
      </c>
      <c r="C445" s="1">
        <v>45720</v>
      </c>
      <c r="D445" t="str">
        <f>"347"</f>
        <v>347</v>
      </c>
      <c r="E445" t="str">
        <f>"61810100"</f>
        <v>61810100</v>
      </c>
      <c r="F445" t="s">
        <v>2022</v>
      </c>
      <c r="G445" t="s">
        <v>336</v>
      </c>
      <c r="H445" t="s">
        <v>5943</v>
      </c>
      <c r="I445">
        <v>0</v>
      </c>
      <c r="J445" t="s">
        <v>343</v>
      </c>
      <c r="K445">
        <v>280000</v>
      </c>
      <c r="M445">
        <v>280000</v>
      </c>
    </row>
    <row r="446" spans="1:13" x14ac:dyDescent="0.35">
      <c r="A446" t="str">
        <f t="shared" si="30"/>
        <v>CAI074572134861810100</v>
      </c>
      <c r="B446" t="s">
        <v>2018</v>
      </c>
      <c r="C446" s="1">
        <v>45721</v>
      </c>
      <c r="D446" t="str">
        <f>"348"</f>
        <v>348</v>
      </c>
      <c r="E446" t="str">
        <f>"61810100"</f>
        <v>61810100</v>
      </c>
      <c r="F446" t="s">
        <v>2024</v>
      </c>
      <c r="G446" t="s">
        <v>336</v>
      </c>
      <c r="H446" t="s">
        <v>5943</v>
      </c>
      <c r="I446">
        <v>0</v>
      </c>
      <c r="J446" t="s">
        <v>343</v>
      </c>
      <c r="K446">
        <v>10000</v>
      </c>
      <c r="M446">
        <v>10000</v>
      </c>
    </row>
    <row r="447" spans="1:13" x14ac:dyDescent="0.35">
      <c r="A447" t="str">
        <f t="shared" si="30"/>
        <v>CAI074572134863883000</v>
      </c>
      <c r="B447" t="s">
        <v>2018</v>
      </c>
      <c r="C447" s="1">
        <v>45721</v>
      </c>
      <c r="D447" t="str">
        <f>"348"</f>
        <v>348</v>
      </c>
      <c r="E447" t="str">
        <f>"63883000"</f>
        <v>63883000</v>
      </c>
      <c r="F447" t="s">
        <v>2025</v>
      </c>
      <c r="G447" t="s">
        <v>336</v>
      </c>
      <c r="H447" t="s">
        <v>5943</v>
      </c>
      <c r="I447">
        <v>0</v>
      </c>
      <c r="J447" t="s">
        <v>343</v>
      </c>
      <c r="K447">
        <v>7500</v>
      </c>
      <c r="M447">
        <v>7500</v>
      </c>
    </row>
    <row r="448" spans="1:13" x14ac:dyDescent="0.35">
      <c r="A448" t="str">
        <f t="shared" si="30"/>
        <v>CAI074572134961810100</v>
      </c>
      <c r="B448" t="s">
        <v>2018</v>
      </c>
      <c r="C448" s="1">
        <v>45721</v>
      </c>
      <c r="D448" t="str">
        <f>"349"</f>
        <v>349</v>
      </c>
      <c r="E448" t="str">
        <f>"61810100"</f>
        <v>61810100</v>
      </c>
      <c r="F448" t="s">
        <v>2027</v>
      </c>
      <c r="G448" t="s">
        <v>336</v>
      </c>
      <c r="H448" t="s">
        <v>5943</v>
      </c>
      <c r="I448">
        <v>0</v>
      </c>
      <c r="J448" t="s">
        <v>343</v>
      </c>
      <c r="K448">
        <v>10000</v>
      </c>
      <c r="M448">
        <v>10000</v>
      </c>
    </row>
    <row r="449" spans="1:13" x14ac:dyDescent="0.35">
      <c r="A449" t="str">
        <f t="shared" si="30"/>
        <v>CAI074572134963883000</v>
      </c>
      <c r="B449" t="s">
        <v>2018</v>
      </c>
      <c r="C449" s="1">
        <v>45721</v>
      </c>
      <c r="D449" t="str">
        <f>"349"</f>
        <v>349</v>
      </c>
      <c r="E449" t="str">
        <f>"63883000"</f>
        <v>63883000</v>
      </c>
      <c r="F449" t="s">
        <v>2028</v>
      </c>
      <c r="G449" t="s">
        <v>336</v>
      </c>
      <c r="H449" t="s">
        <v>5943</v>
      </c>
      <c r="I449">
        <v>0</v>
      </c>
      <c r="J449" t="s">
        <v>343</v>
      </c>
      <c r="K449">
        <v>4000</v>
      </c>
      <c r="M449">
        <v>4000</v>
      </c>
    </row>
    <row r="450" spans="1:13" x14ac:dyDescent="0.35">
      <c r="A450" t="str">
        <f t="shared" si="30"/>
        <v>CAI074572135061810100</v>
      </c>
      <c r="B450" t="s">
        <v>2018</v>
      </c>
      <c r="C450" s="1">
        <v>45721</v>
      </c>
      <c r="D450" t="str">
        <f>"350"</f>
        <v>350</v>
      </c>
      <c r="E450" t="str">
        <f>"61810100"</f>
        <v>61810100</v>
      </c>
      <c r="F450" t="s">
        <v>2030</v>
      </c>
      <c r="G450" t="s">
        <v>336</v>
      </c>
      <c r="H450" t="s">
        <v>5943</v>
      </c>
      <c r="I450">
        <v>0</v>
      </c>
      <c r="J450" t="s">
        <v>343</v>
      </c>
      <c r="K450">
        <v>10000</v>
      </c>
      <c r="M450">
        <v>10000</v>
      </c>
    </row>
    <row r="451" spans="1:13" x14ac:dyDescent="0.35">
      <c r="A451" t="str">
        <f t="shared" ref="A451:A514" si="35">CONCATENATE(B451,C451,D451,E451)</f>
        <v>CAI074572135161810100</v>
      </c>
      <c r="B451" t="s">
        <v>2018</v>
      </c>
      <c r="C451" s="1">
        <v>45721</v>
      </c>
      <c r="D451" t="str">
        <f>"351"</f>
        <v>351</v>
      </c>
      <c r="E451" t="str">
        <f>"61810100"</f>
        <v>61810100</v>
      </c>
      <c r="F451" t="s">
        <v>2032</v>
      </c>
      <c r="G451" t="s">
        <v>336</v>
      </c>
      <c r="H451" t="s">
        <v>5943</v>
      </c>
      <c r="I451">
        <v>0</v>
      </c>
      <c r="J451" t="s">
        <v>343</v>
      </c>
      <c r="K451">
        <v>10000</v>
      </c>
      <c r="M451">
        <v>10000</v>
      </c>
    </row>
    <row r="452" spans="1:13" x14ac:dyDescent="0.35">
      <c r="A452" t="str">
        <f t="shared" si="35"/>
        <v>CAI074572135163883000</v>
      </c>
      <c r="B452" t="s">
        <v>2018</v>
      </c>
      <c r="C452" s="1">
        <v>45721</v>
      </c>
      <c r="D452" t="str">
        <f>"351"</f>
        <v>351</v>
      </c>
      <c r="E452" t="str">
        <f>"63883000"</f>
        <v>63883000</v>
      </c>
      <c r="F452" t="s">
        <v>2033</v>
      </c>
      <c r="G452" t="s">
        <v>336</v>
      </c>
      <c r="H452" t="s">
        <v>5943</v>
      </c>
      <c r="I452">
        <v>0</v>
      </c>
      <c r="J452" t="s">
        <v>343</v>
      </c>
      <c r="K452">
        <v>32000</v>
      </c>
      <c r="M452">
        <v>32000</v>
      </c>
    </row>
    <row r="453" spans="1:13" x14ac:dyDescent="0.35">
      <c r="A453" t="str">
        <f t="shared" si="35"/>
        <v>CAI074572135262420000</v>
      </c>
      <c r="B453" t="s">
        <v>2018</v>
      </c>
      <c r="C453" s="1">
        <v>45721</v>
      </c>
      <c r="D453" t="str">
        <f>"352"</f>
        <v>352</v>
      </c>
      <c r="E453" t="str">
        <f>"62420000"</f>
        <v>62420000</v>
      </c>
      <c r="F453" t="s">
        <v>2034</v>
      </c>
      <c r="G453" t="s">
        <v>336</v>
      </c>
      <c r="H453" t="s">
        <v>5955</v>
      </c>
      <c r="I453">
        <v>0</v>
      </c>
      <c r="J453" t="s">
        <v>343</v>
      </c>
      <c r="K453">
        <v>40000</v>
      </c>
      <c r="M453">
        <v>40000</v>
      </c>
    </row>
    <row r="454" spans="1:13" x14ac:dyDescent="0.35">
      <c r="A454" t="str">
        <f t="shared" si="35"/>
        <v>CAI074572235360470100</v>
      </c>
      <c r="B454" t="s">
        <v>2018</v>
      </c>
      <c r="C454" s="1">
        <v>45722</v>
      </c>
      <c r="D454" t="str">
        <f>"353"</f>
        <v>353</v>
      </c>
      <c r="E454" t="str">
        <f>"60470100"</f>
        <v>60470100</v>
      </c>
      <c r="F454" t="s">
        <v>2035</v>
      </c>
      <c r="G454" t="s">
        <v>336</v>
      </c>
      <c r="H454" t="s">
        <v>5906</v>
      </c>
      <c r="I454">
        <v>0</v>
      </c>
      <c r="J454" t="s">
        <v>343</v>
      </c>
      <c r="K454">
        <v>5600</v>
      </c>
      <c r="M454">
        <v>5600</v>
      </c>
    </row>
    <row r="455" spans="1:13" x14ac:dyDescent="0.35">
      <c r="A455" t="str">
        <f t="shared" si="35"/>
        <v>CAI074572235461810100</v>
      </c>
      <c r="B455" t="s">
        <v>2018</v>
      </c>
      <c r="C455" s="1">
        <v>45722</v>
      </c>
      <c r="D455" t="str">
        <f>"354"</f>
        <v>354</v>
      </c>
      <c r="E455" t="str">
        <f>"61810100"</f>
        <v>61810100</v>
      </c>
      <c r="F455" t="s">
        <v>2024</v>
      </c>
      <c r="G455" t="s">
        <v>336</v>
      </c>
      <c r="H455" t="s">
        <v>5943</v>
      </c>
      <c r="I455">
        <v>0</v>
      </c>
      <c r="J455" t="s">
        <v>343</v>
      </c>
      <c r="K455">
        <v>10000</v>
      </c>
      <c r="M455">
        <v>10000</v>
      </c>
    </row>
    <row r="456" spans="1:13" x14ac:dyDescent="0.35">
      <c r="A456" t="str">
        <f t="shared" si="35"/>
        <v>CAI074572235463883000</v>
      </c>
      <c r="B456" t="s">
        <v>2018</v>
      </c>
      <c r="C456" s="1">
        <v>45722</v>
      </c>
      <c r="D456" t="str">
        <f>"354"</f>
        <v>354</v>
      </c>
      <c r="E456" t="str">
        <f>"63883000"</f>
        <v>63883000</v>
      </c>
      <c r="F456" t="s">
        <v>2025</v>
      </c>
      <c r="G456" t="s">
        <v>336</v>
      </c>
      <c r="H456" t="s">
        <v>5943</v>
      </c>
      <c r="I456">
        <v>0</v>
      </c>
      <c r="J456" t="s">
        <v>343</v>
      </c>
      <c r="K456">
        <v>2000</v>
      </c>
      <c r="M456">
        <v>2000</v>
      </c>
    </row>
    <row r="457" spans="1:13" x14ac:dyDescent="0.35">
      <c r="A457" t="str">
        <f t="shared" si="35"/>
        <v>CAI074572235561810100</v>
      </c>
      <c r="B457" t="s">
        <v>2018</v>
      </c>
      <c r="C457" s="1">
        <v>45722</v>
      </c>
      <c r="D457" t="str">
        <f>"355"</f>
        <v>355</v>
      </c>
      <c r="E457" t="str">
        <f>"61810100"</f>
        <v>61810100</v>
      </c>
      <c r="F457" t="s">
        <v>2038</v>
      </c>
      <c r="G457" t="s">
        <v>336</v>
      </c>
      <c r="H457" t="s">
        <v>5943</v>
      </c>
      <c r="I457">
        <v>0</v>
      </c>
      <c r="J457" t="s">
        <v>343</v>
      </c>
      <c r="K457">
        <v>10000</v>
      </c>
      <c r="M457">
        <v>10000</v>
      </c>
    </row>
    <row r="458" spans="1:13" x14ac:dyDescent="0.35">
      <c r="A458" t="str">
        <f t="shared" si="35"/>
        <v>CAI074572235563883000</v>
      </c>
      <c r="B458" t="s">
        <v>2018</v>
      </c>
      <c r="C458" s="1">
        <v>45722</v>
      </c>
      <c r="D458" t="str">
        <f>"355"</f>
        <v>355</v>
      </c>
      <c r="E458" t="str">
        <f>"63883000"</f>
        <v>63883000</v>
      </c>
      <c r="F458" t="s">
        <v>2039</v>
      </c>
      <c r="G458" t="s">
        <v>336</v>
      </c>
      <c r="H458" t="s">
        <v>5943</v>
      </c>
      <c r="I458">
        <v>0</v>
      </c>
      <c r="J458" t="s">
        <v>343</v>
      </c>
      <c r="K458">
        <v>2000</v>
      </c>
      <c r="M458">
        <v>2000</v>
      </c>
    </row>
    <row r="459" spans="1:13" x14ac:dyDescent="0.35">
      <c r="A459" t="str">
        <f t="shared" si="35"/>
        <v>CAI074572235661810100</v>
      </c>
      <c r="B459" t="s">
        <v>2018</v>
      </c>
      <c r="C459" s="1">
        <v>45722</v>
      </c>
      <c r="D459" t="str">
        <f>"356"</f>
        <v>356</v>
      </c>
      <c r="E459" t="str">
        <f>"61810100"</f>
        <v>61810100</v>
      </c>
      <c r="F459" t="s">
        <v>2041</v>
      </c>
      <c r="G459" t="s">
        <v>336</v>
      </c>
      <c r="H459" t="s">
        <v>5943</v>
      </c>
      <c r="I459">
        <v>0</v>
      </c>
      <c r="J459" t="s">
        <v>343</v>
      </c>
      <c r="K459">
        <v>10000</v>
      </c>
      <c r="M459">
        <v>10000</v>
      </c>
    </row>
    <row r="460" spans="1:13" x14ac:dyDescent="0.35">
      <c r="A460" t="str">
        <f t="shared" si="35"/>
        <v>CAI074572235663883000</v>
      </c>
      <c r="B460" t="s">
        <v>2018</v>
      </c>
      <c r="C460" s="1">
        <v>45722</v>
      </c>
      <c r="D460" t="str">
        <f>"356"</f>
        <v>356</v>
      </c>
      <c r="E460" t="str">
        <f>"63883000"</f>
        <v>63883000</v>
      </c>
      <c r="F460" t="s">
        <v>2042</v>
      </c>
      <c r="G460" t="s">
        <v>336</v>
      </c>
      <c r="H460" t="s">
        <v>5943</v>
      </c>
      <c r="I460">
        <v>0</v>
      </c>
      <c r="J460" t="s">
        <v>343</v>
      </c>
      <c r="K460">
        <v>2000</v>
      </c>
      <c r="M460">
        <v>2000</v>
      </c>
    </row>
    <row r="461" spans="1:13" x14ac:dyDescent="0.35">
      <c r="A461" t="str">
        <f t="shared" si="35"/>
        <v>CAI074572235761810100</v>
      </c>
      <c r="B461" t="s">
        <v>2018</v>
      </c>
      <c r="C461" s="1">
        <v>45722</v>
      </c>
      <c r="D461" t="str">
        <f>"357"</f>
        <v>357</v>
      </c>
      <c r="E461" t="str">
        <f>"61810100"</f>
        <v>61810100</v>
      </c>
      <c r="F461" t="s">
        <v>2027</v>
      </c>
      <c r="G461" t="s">
        <v>336</v>
      </c>
      <c r="H461" t="s">
        <v>5943</v>
      </c>
      <c r="I461">
        <v>0</v>
      </c>
      <c r="J461" t="s">
        <v>343</v>
      </c>
      <c r="K461">
        <v>10000</v>
      </c>
      <c r="M461">
        <v>10000</v>
      </c>
    </row>
    <row r="462" spans="1:13" x14ac:dyDescent="0.35">
      <c r="A462" t="str">
        <f t="shared" si="35"/>
        <v>CAI074572235763883000</v>
      </c>
      <c r="B462" t="s">
        <v>2018</v>
      </c>
      <c r="C462" s="1">
        <v>45722</v>
      </c>
      <c r="D462" t="str">
        <f>"357"</f>
        <v>357</v>
      </c>
      <c r="E462" t="str">
        <f>"63883000"</f>
        <v>63883000</v>
      </c>
      <c r="F462" t="s">
        <v>2028</v>
      </c>
      <c r="G462" t="s">
        <v>336</v>
      </c>
      <c r="H462" t="s">
        <v>5943</v>
      </c>
      <c r="I462">
        <v>0</v>
      </c>
      <c r="J462" t="s">
        <v>343</v>
      </c>
      <c r="K462">
        <v>2000</v>
      </c>
      <c r="M462">
        <v>2000</v>
      </c>
    </row>
    <row r="463" spans="1:13" x14ac:dyDescent="0.35">
      <c r="A463" t="str">
        <f t="shared" si="35"/>
        <v>CAI074572335864630000</v>
      </c>
      <c r="B463" t="s">
        <v>2018</v>
      </c>
      <c r="C463" s="1">
        <v>45723</v>
      </c>
      <c r="D463" t="str">
        <f>"358"</f>
        <v>358</v>
      </c>
      <c r="E463" t="str">
        <f>"64630000"</f>
        <v>64630000</v>
      </c>
      <c r="F463" t="s">
        <v>2043</v>
      </c>
      <c r="G463" t="s">
        <v>336</v>
      </c>
      <c r="H463" t="s">
        <v>5943</v>
      </c>
      <c r="I463">
        <v>0</v>
      </c>
      <c r="J463" t="s">
        <v>343</v>
      </c>
      <c r="K463">
        <v>100000</v>
      </c>
      <c r="M463">
        <v>100000</v>
      </c>
    </row>
    <row r="464" spans="1:13" x14ac:dyDescent="0.35">
      <c r="A464" t="str">
        <f t="shared" si="35"/>
        <v>CAI074572335961810100</v>
      </c>
      <c r="B464" t="s">
        <v>2018</v>
      </c>
      <c r="C464" s="1">
        <v>45723</v>
      </c>
      <c r="D464" t="str">
        <f>"359"</f>
        <v>359</v>
      </c>
      <c r="E464" t="str">
        <f>"61810100"</f>
        <v>61810100</v>
      </c>
      <c r="F464" t="s">
        <v>2044</v>
      </c>
      <c r="G464" t="s">
        <v>336</v>
      </c>
      <c r="H464" t="s">
        <v>5943</v>
      </c>
      <c r="I464">
        <v>0</v>
      </c>
      <c r="J464" t="s">
        <v>343</v>
      </c>
      <c r="K464">
        <v>2000</v>
      </c>
      <c r="M464">
        <v>2000</v>
      </c>
    </row>
    <row r="465" spans="1:13" x14ac:dyDescent="0.35">
      <c r="A465" t="str">
        <f t="shared" si="35"/>
        <v>CAI074572336061810100</v>
      </c>
      <c r="B465" t="s">
        <v>2018</v>
      </c>
      <c r="C465" s="1">
        <v>45723</v>
      </c>
      <c r="D465" t="str">
        <f>"360"</f>
        <v>360</v>
      </c>
      <c r="E465" t="str">
        <f>"61810100"</f>
        <v>61810100</v>
      </c>
      <c r="F465" t="s">
        <v>2045</v>
      </c>
      <c r="G465" t="s">
        <v>336</v>
      </c>
      <c r="H465" t="s">
        <v>5943</v>
      </c>
      <c r="I465">
        <v>0</v>
      </c>
      <c r="J465" t="s">
        <v>343</v>
      </c>
      <c r="K465">
        <v>5000</v>
      </c>
      <c r="M465">
        <v>5000</v>
      </c>
    </row>
    <row r="466" spans="1:13" x14ac:dyDescent="0.35">
      <c r="A466" t="str">
        <f t="shared" si="35"/>
        <v>CAI074572436161810100</v>
      </c>
      <c r="B466" t="s">
        <v>2018</v>
      </c>
      <c r="C466" s="1">
        <v>45724</v>
      </c>
      <c r="D466" t="str">
        <f>"361"</f>
        <v>361</v>
      </c>
      <c r="E466" t="str">
        <f>"61810100"</f>
        <v>61810100</v>
      </c>
      <c r="F466" t="s">
        <v>2046</v>
      </c>
      <c r="G466" t="s">
        <v>336</v>
      </c>
      <c r="H466" t="s">
        <v>5943</v>
      </c>
      <c r="I466">
        <v>0</v>
      </c>
      <c r="J466" t="s">
        <v>343</v>
      </c>
      <c r="K466">
        <v>10000</v>
      </c>
      <c r="M466">
        <v>10000</v>
      </c>
    </row>
    <row r="467" spans="1:13" x14ac:dyDescent="0.35">
      <c r="A467" t="str">
        <f t="shared" si="35"/>
        <v>CAI074572436261810100</v>
      </c>
      <c r="B467" t="s">
        <v>2018</v>
      </c>
      <c r="C467" s="1">
        <v>45724</v>
      </c>
      <c r="D467" t="str">
        <f>"362"</f>
        <v>362</v>
      </c>
      <c r="E467" t="str">
        <f>"61810100"</f>
        <v>61810100</v>
      </c>
      <c r="F467" t="s">
        <v>2047</v>
      </c>
      <c r="G467" t="s">
        <v>336</v>
      </c>
      <c r="H467" t="s">
        <v>5943</v>
      </c>
      <c r="I467">
        <v>0</v>
      </c>
      <c r="J467" t="s">
        <v>343</v>
      </c>
      <c r="K467">
        <v>5000</v>
      </c>
      <c r="M467">
        <v>5000</v>
      </c>
    </row>
    <row r="468" spans="1:13" x14ac:dyDescent="0.35">
      <c r="A468" t="str">
        <f t="shared" si="35"/>
        <v>CAI074572436361810100</v>
      </c>
      <c r="B468" t="s">
        <v>2018</v>
      </c>
      <c r="C468" s="1">
        <v>45724</v>
      </c>
      <c r="D468" t="str">
        <f>"363"</f>
        <v>363</v>
      </c>
      <c r="E468" t="str">
        <f>"61810100"</f>
        <v>61810100</v>
      </c>
      <c r="F468" t="s">
        <v>2049</v>
      </c>
      <c r="G468" t="s">
        <v>336</v>
      </c>
      <c r="H468" t="s">
        <v>5943</v>
      </c>
      <c r="I468">
        <v>0</v>
      </c>
      <c r="J468" t="s">
        <v>343</v>
      </c>
      <c r="K468">
        <v>10000</v>
      </c>
      <c r="M468">
        <v>10000</v>
      </c>
    </row>
    <row r="469" spans="1:13" x14ac:dyDescent="0.35">
      <c r="A469" t="str">
        <f t="shared" si="35"/>
        <v>CAI074572436363883000</v>
      </c>
      <c r="B469" t="s">
        <v>2018</v>
      </c>
      <c r="C469" s="1">
        <v>45724</v>
      </c>
      <c r="D469" t="str">
        <f>"363"</f>
        <v>363</v>
      </c>
      <c r="E469" t="str">
        <f>"63883000"</f>
        <v>63883000</v>
      </c>
      <c r="F469" t="s">
        <v>2050</v>
      </c>
      <c r="G469" t="s">
        <v>336</v>
      </c>
      <c r="H469" t="s">
        <v>5943</v>
      </c>
      <c r="I469">
        <v>0</v>
      </c>
      <c r="J469" t="s">
        <v>343</v>
      </c>
      <c r="K469">
        <v>3500</v>
      </c>
      <c r="M469">
        <v>3500</v>
      </c>
    </row>
    <row r="470" spans="1:13" x14ac:dyDescent="0.35">
      <c r="A470" t="str">
        <f t="shared" si="35"/>
        <v>CAI074572436461810100</v>
      </c>
      <c r="B470" t="s">
        <v>2018</v>
      </c>
      <c r="C470" s="1">
        <v>45724</v>
      </c>
      <c r="D470" t="str">
        <f>"364"</f>
        <v>364</v>
      </c>
      <c r="E470" t="str">
        <f>"61810100"</f>
        <v>61810100</v>
      </c>
      <c r="F470" t="s">
        <v>2048</v>
      </c>
      <c r="G470" t="s">
        <v>336</v>
      </c>
      <c r="H470" t="s">
        <v>5943</v>
      </c>
      <c r="I470">
        <v>0</v>
      </c>
      <c r="J470" t="s">
        <v>343</v>
      </c>
      <c r="K470">
        <v>15000</v>
      </c>
      <c r="M470">
        <v>15000</v>
      </c>
    </row>
    <row r="471" spans="1:13" x14ac:dyDescent="0.35">
      <c r="A471" t="str">
        <f t="shared" si="35"/>
        <v>CAI074572636661830000</v>
      </c>
      <c r="B471" t="s">
        <v>2018</v>
      </c>
      <c r="C471" s="1">
        <v>45726</v>
      </c>
      <c r="D471" t="str">
        <f>"366"</f>
        <v>366</v>
      </c>
      <c r="E471" t="str">
        <f>"61830000"</f>
        <v>61830000</v>
      </c>
      <c r="F471" t="s">
        <v>2053</v>
      </c>
      <c r="G471" t="s">
        <v>336</v>
      </c>
      <c r="H471" t="s">
        <v>5906</v>
      </c>
      <c r="I471">
        <v>0</v>
      </c>
      <c r="J471" t="s">
        <v>343</v>
      </c>
      <c r="K471">
        <v>10000</v>
      </c>
      <c r="M471">
        <v>10000</v>
      </c>
    </row>
    <row r="472" spans="1:13" x14ac:dyDescent="0.35">
      <c r="A472" t="str">
        <f t="shared" si="35"/>
        <v>CAI074572636764630000</v>
      </c>
      <c r="B472" t="s">
        <v>2018</v>
      </c>
      <c r="C472" s="1">
        <v>45726</v>
      </c>
      <c r="D472" t="str">
        <f>"367"</f>
        <v>367</v>
      </c>
      <c r="E472" t="str">
        <f>"64630000"</f>
        <v>64630000</v>
      </c>
      <c r="F472" t="s">
        <v>2054</v>
      </c>
      <c r="G472" t="s">
        <v>336</v>
      </c>
      <c r="H472" t="s">
        <v>5943</v>
      </c>
      <c r="I472">
        <v>0</v>
      </c>
      <c r="J472" t="s">
        <v>343</v>
      </c>
      <c r="K472">
        <v>25000</v>
      </c>
      <c r="M472">
        <v>25000</v>
      </c>
    </row>
    <row r="473" spans="1:13" x14ac:dyDescent="0.35">
      <c r="A473" t="str">
        <f t="shared" si="35"/>
        <v>CAI074572636861810100</v>
      </c>
      <c r="B473" t="s">
        <v>2018</v>
      </c>
      <c r="C473" s="1">
        <v>45726</v>
      </c>
      <c r="D473" t="str">
        <f>"368"</f>
        <v>368</v>
      </c>
      <c r="E473" t="str">
        <f>"61810100"</f>
        <v>61810100</v>
      </c>
      <c r="F473" t="s">
        <v>2055</v>
      </c>
      <c r="G473" t="s">
        <v>336</v>
      </c>
      <c r="H473" t="s">
        <v>5943</v>
      </c>
      <c r="I473">
        <v>0</v>
      </c>
      <c r="J473" t="s">
        <v>343</v>
      </c>
      <c r="K473">
        <v>80000</v>
      </c>
      <c r="M473">
        <v>80000</v>
      </c>
    </row>
    <row r="474" spans="1:13" x14ac:dyDescent="0.35">
      <c r="A474" t="str">
        <f t="shared" si="35"/>
        <v>CAI074572636961830000</v>
      </c>
      <c r="B474" t="s">
        <v>2018</v>
      </c>
      <c r="C474" s="1">
        <v>45726</v>
      </c>
      <c r="D474" t="str">
        <f>"369"</f>
        <v>369</v>
      </c>
      <c r="E474" t="str">
        <f>"61830000"</f>
        <v>61830000</v>
      </c>
      <c r="F474" t="s">
        <v>2056</v>
      </c>
      <c r="G474" t="s">
        <v>336</v>
      </c>
      <c r="H474" t="s">
        <v>5906</v>
      </c>
      <c r="I474">
        <v>0</v>
      </c>
      <c r="J474" t="s">
        <v>343</v>
      </c>
      <c r="K474">
        <v>52000</v>
      </c>
      <c r="M474">
        <v>52000</v>
      </c>
    </row>
    <row r="475" spans="1:13" x14ac:dyDescent="0.35">
      <c r="A475" t="str">
        <f t="shared" si="35"/>
        <v>CAI074572637061810100</v>
      </c>
      <c r="B475" t="s">
        <v>2018</v>
      </c>
      <c r="C475" s="1">
        <v>45726</v>
      </c>
      <c r="D475" t="str">
        <f>"370"</f>
        <v>370</v>
      </c>
      <c r="E475" t="str">
        <f>"61810100"</f>
        <v>61810100</v>
      </c>
      <c r="F475" t="s">
        <v>2058</v>
      </c>
      <c r="G475" t="s">
        <v>336</v>
      </c>
      <c r="H475" t="s">
        <v>5943</v>
      </c>
      <c r="I475">
        <v>0</v>
      </c>
      <c r="J475" t="s">
        <v>343</v>
      </c>
      <c r="K475">
        <v>2000</v>
      </c>
      <c r="M475">
        <v>2000</v>
      </c>
    </row>
    <row r="476" spans="1:13" x14ac:dyDescent="0.35">
      <c r="A476" t="str">
        <f t="shared" si="35"/>
        <v>CAI074572637063883000</v>
      </c>
      <c r="B476" t="s">
        <v>2018</v>
      </c>
      <c r="C476" s="1">
        <v>45726</v>
      </c>
      <c r="D476" t="str">
        <f>"370"</f>
        <v>370</v>
      </c>
      <c r="E476" t="str">
        <f>"63883000"</f>
        <v>63883000</v>
      </c>
      <c r="F476" t="s">
        <v>2059</v>
      </c>
      <c r="G476" t="s">
        <v>336</v>
      </c>
      <c r="H476" t="s">
        <v>5943</v>
      </c>
      <c r="I476">
        <v>0</v>
      </c>
      <c r="J476" t="s">
        <v>343</v>
      </c>
      <c r="K476">
        <v>2000</v>
      </c>
      <c r="M476">
        <v>2000</v>
      </c>
    </row>
    <row r="477" spans="1:13" x14ac:dyDescent="0.35">
      <c r="A477" t="str">
        <f t="shared" si="35"/>
        <v>CAI074572637164685000</v>
      </c>
      <c r="B477" t="s">
        <v>2018</v>
      </c>
      <c r="C477" s="1">
        <v>45726</v>
      </c>
      <c r="D477" t="str">
        <f>"371"</f>
        <v>371</v>
      </c>
      <c r="E477" t="str">
        <f>"64685000"</f>
        <v>64685000</v>
      </c>
      <c r="F477" t="s">
        <v>2060</v>
      </c>
      <c r="G477" t="s">
        <v>336</v>
      </c>
      <c r="H477" t="s">
        <v>5906</v>
      </c>
      <c r="I477">
        <v>0</v>
      </c>
      <c r="J477" t="s">
        <v>343</v>
      </c>
      <c r="K477">
        <v>5000</v>
      </c>
      <c r="M477">
        <v>5000</v>
      </c>
    </row>
    <row r="478" spans="1:13" x14ac:dyDescent="0.35">
      <c r="A478" t="str">
        <f t="shared" si="35"/>
        <v>CAI074572637260510000</v>
      </c>
      <c r="B478" t="s">
        <v>2018</v>
      </c>
      <c r="C478" s="1">
        <v>45726</v>
      </c>
      <c r="D478" t="str">
        <f>"372"</f>
        <v>372</v>
      </c>
      <c r="E478" t="str">
        <f>"60510000"</f>
        <v>60510000</v>
      </c>
      <c r="F478" t="s">
        <v>2061</v>
      </c>
      <c r="G478" t="s">
        <v>336</v>
      </c>
      <c r="H478" t="s">
        <v>5906</v>
      </c>
      <c r="I478">
        <v>0</v>
      </c>
      <c r="J478" t="s">
        <v>343</v>
      </c>
      <c r="K478">
        <v>52480</v>
      </c>
      <c r="M478">
        <v>52480</v>
      </c>
    </row>
    <row r="479" spans="1:13" x14ac:dyDescent="0.35">
      <c r="A479" t="str">
        <f t="shared" si="35"/>
        <v>CAI074572637361810100</v>
      </c>
      <c r="B479" t="s">
        <v>2018</v>
      </c>
      <c r="C479" s="1">
        <v>45726</v>
      </c>
      <c r="D479" t="str">
        <f>"373"</f>
        <v>373</v>
      </c>
      <c r="E479" t="str">
        <f>"61810100"</f>
        <v>61810100</v>
      </c>
      <c r="F479" t="s">
        <v>2063</v>
      </c>
      <c r="G479" t="s">
        <v>336</v>
      </c>
      <c r="H479" t="s">
        <v>5943</v>
      </c>
      <c r="I479">
        <v>0</v>
      </c>
      <c r="J479" t="s">
        <v>343</v>
      </c>
      <c r="K479">
        <v>15000</v>
      </c>
      <c r="M479">
        <v>15000</v>
      </c>
    </row>
    <row r="480" spans="1:13" x14ac:dyDescent="0.35">
      <c r="A480" t="str">
        <f t="shared" si="35"/>
        <v>CAI074572637363883000</v>
      </c>
      <c r="B480" t="s">
        <v>2018</v>
      </c>
      <c r="C480" s="1">
        <v>45726</v>
      </c>
      <c r="D480" t="str">
        <f>"373"</f>
        <v>373</v>
      </c>
      <c r="E480" t="str">
        <f>"63883000"</f>
        <v>63883000</v>
      </c>
      <c r="F480" t="s">
        <v>2064</v>
      </c>
      <c r="G480" t="s">
        <v>336</v>
      </c>
      <c r="H480" t="s">
        <v>5943</v>
      </c>
      <c r="I480">
        <v>0</v>
      </c>
      <c r="J480" t="s">
        <v>343</v>
      </c>
      <c r="K480">
        <v>2000</v>
      </c>
      <c r="M480">
        <v>2000</v>
      </c>
    </row>
    <row r="481" spans="1:13" x14ac:dyDescent="0.35">
      <c r="A481" t="str">
        <f t="shared" si="35"/>
        <v>CAI074572637461810100</v>
      </c>
      <c r="B481" t="s">
        <v>2018</v>
      </c>
      <c r="C481" s="1">
        <v>45726</v>
      </c>
      <c r="D481" t="str">
        <f>"374"</f>
        <v>374</v>
      </c>
      <c r="E481" t="str">
        <f>"61810100"</f>
        <v>61810100</v>
      </c>
      <c r="F481" t="s">
        <v>2065</v>
      </c>
      <c r="G481" t="s">
        <v>336</v>
      </c>
      <c r="H481" t="s">
        <v>5943</v>
      </c>
      <c r="I481">
        <v>0</v>
      </c>
      <c r="J481" t="s">
        <v>343</v>
      </c>
      <c r="K481">
        <v>5000</v>
      </c>
      <c r="M481">
        <v>5000</v>
      </c>
    </row>
    <row r="482" spans="1:13" x14ac:dyDescent="0.35">
      <c r="A482" t="str">
        <f t="shared" si="35"/>
        <v>CAI074572637561810100</v>
      </c>
      <c r="B482" t="s">
        <v>2018</v>
      </c>
      <c r="C482" s="1">
        <v>45726</v>
      </c>
      <c r="D482" t="str">
        <f>"375"</f>
        <v>375</v>
      </c>
      <c r="E482" t="str">
        <f>"61810100"</f>
        <v>61810100</v>
      </c>
      <c r="F482" t="s">
        <v>2067</v>
      </c>
      <c r="G482" t="s">
        <v>336</v>
      </c>
      <c r="H482" t="s">
        <v>5943</v>
      </c>
      <c r="I482">
        <v>0</v>
      </c>
      <c r="J482" t="s">
        <v>343</v>
      </c>
      <c r="K482">
        <v>10000</v>
      </c>
      <c r="M482">
        <v>10000</v>
      </c>
    </row>
    <row r="483" spans="1:13" x14ac:dyDescent="0.35">
      <c r="A483" t="str">
        <f t="shared" si="35"/>
        <v>CAI074572637563883000</v>
      </c>
      <c r="B483" t="s">
        <v>2018</v>
      </c>
      <c r="C483" s="1">
        <v>45726</v>
      </c>
      <c r="D483" t="str">
        <f>"375"</f>
        <v>375</v>
      </c>
      <c r="E483" t="str">
        <f>"63883000"</f>
        <v>63883000</v>
      </c>
      <c r="F483" t="s">
        <v>2068</v>
      </c>
      <c r="G483" t="s">
        <v>336</v>
      </c>
      <c r="H483" t="s">
        <v>5943</v>
      </c>
      <c r="I483">
        <v>0</v>
      </c>
      <c r="J483" t="s">
        <v>343</v>
      </c>
      <c r="K483">
        <v>2000</v>
      </c>
      <c r="M483">
        <v>2000</v>
      </c>
    </row>
    <row r="484" spans="1:13" x14ac:dyDescent="0.35">
      <c r="A484" t="str">
        <f t="shared" si="35"/>
        <v>CAI074572637661830000</v>
      </c>
      <c r="B484" t="s">
        <v>2018</v>
      </c>
      <c r="C484" s="1">
        <v>45726</v>
      </c>
      <c r="D484" t="str">
        <f>"376"</f>
        <v>376</v>
      </c>
      <c r="E484" t="str">
        <f>"61830000"</f>
        <v>61830000</v>
      </c>
      <c r="F484" t="s">
        <v>2069</v>
      </c>
      <c r="G484" t="s">
        <v>336</v>
      </c>
      <c r="H484" t="s">
        <v>5906</v>
      </c>
      <c r="I484">
        <v>0</v>
      </c>
      <c r="J484" t="s">
        <v>343</v>
      </c>
      <c r="K484">
        <v>6000</v>
      </c>
      <c r="M484">
        <v>6000</v>
      </c>
    </row>
    <row r="485" spans="1:13" x14ac:dyDescent="0.35">
      <c r="A485" t="str">
        <f t="shared" si="35"/>
        <v>CAI074572737760470100</v>
      </c>
      <c r="B485" t="s">
        <v>2018</v>
      </c>
      <c r="C485" s="1">
        <v>45727</v>
      </c>
      <c r="D485" t="str">
        <f>"377"</f>
        <v>377</v>
      </c>
      <c r="E485" t="str">
        <f>"60470100"</f>
        <v>60470100</v>
      </c>
      <c r="F485" t="s">
        <v>2070</v>
      </c>
      <c r="G485" t="s">
        <v>336</v>
      </c>
      <c r="H485" t="s">
        <v>5906</v>
      </c>
      <c r="I485">
        <v>0</v>
      </c>
      <c r="J485" t="s">
        <v>343</v>
      </c>
      <c r="K485">
        <v>15000</v>
      </c>
      <c r="M485">
        <v>15000</v>
      </c>
    </row>
    <row r="486" spans="1:13" x14ac:dyDescent="0.35">
      <c r="A486" t="str">
        <f t="shared" si="35"/>
        <v>CAI074572737861810100</v>
      </c>
      <c r="B486" t="s">
        <v>2018</v>
      </c>
      <c r="C486" s="1">
        <v>45727</v>
      </c>
      <c r="D486" t="str">
        <f>"378"</f>
        <v>378</v>
      </c>
      <c r="E486" t="str">
        <f>"61810100"</f>
        <v>61810100</v>
      </c>
      <c r="F486" t="s">
        <v>2072</v>
      </c>
      <c r="G486" t="s">
        <v>336</v>
      </c>
      <c r="H486" t="s">
        <v>5943</v>
      </c>
      <c r="I486">
        <v>0</v>
      </c>
      <c r="J486" t="s">
        <v>343</v>
      </c>
      <c r="K486">
        <v>15000</v>
      </c>
      <c r="M486">
        <v>15000</v>
      </c>
    </row>
    <row r="487" spans="1:13" x14ac:dyDescent="0.35">
      <c r="A487" t="str">
        <f t="shared" si="35"/>
        <v>CAI074572737863883000</v>
      </c>
      <c r="B487" t="s">
        <v>2018</v>
      </c>
      <c r="C487" s="1">
        <v>45727</v>
      </c>
      <c r="D487" t="str">
        <f>"378"</f>
        <v>378</v>
      </c>
      <c r="E487" t="str">
        <f>"63883000"</f>
        <v>63883000</v>
      </c>
      <c r="F487" t="s">
        <v>2073</v>
      </c>
      <c r="G487" t="s">
        <v>336</v>
      </c>
      <c r="H487" t="s">
        <v>5943</v>
      </c>
      <c r="I487">
        <v>0</v>
      </c>
      <c r="J487" t="s">
        <v>343</v>
      </c>
      <c r="K487">
        <v>7000</v>
      </c>
      <c r="M487">
        <v>7000</v>
      </c>
    </row>
    <row r="488" spans="1:13" x14ac:dyDescent="0.35">
      <c r="A488" t="str">
        <f t="shared" si="35"/>
        <v>CAI074572737961810100</v>
      </c>
      <c r="B488" t="s">
        <v>2018</v>
      </c>
      <c r="C488" s="1">
        <v>45727</v>
      </c>
      <c r="D488" t="str">
        <f>"379"</f>
        <v>379</v>
      </c>
      <c r="E488" t="str">
        <f>"61810100"</f>
        <v>61810100</v>
      </c>
      <c r="F488" t="s">
        <v>2075</v>
      </c>
      <c r="G488" t="s">
        <v>336</v>
      </c>
      <c r="H488" t="s">
        <v>5943</v>
      </c>
      <c r="I488">
        <v>0</v>
      </c>
      <c r="J488" t="s">
        <v>343</v>
      </c>
      <c r="K488">
        <v>10000</v>
      </c>
      <c r="M488">
        <v>10000</v>
      </c>
    </row>
    <row r="489" spans="1:13" x14ac:dyDescent="0.35">
      <c r="A489" t="str">
        <f t="shared" si="35"/>
        <v>CAI074572737963883000</v>
      </c>
      <c r="B489" t="s">
        <v>2018</v>
      </c>
      <c r="C489" s="1">
        <v>45727</v>
      </c>
      <c r="D489" t="str">
        <f>"379"</f>
        <v>379</v>
      </c>
      <c r="E489" t="str">
        <f>"63883000"</f>
        <v>63883000</v>
      </c>
      <c r="F489" t="s">
        <v>2076</v>
      </c>
      <c r="G489" t="s">
        <v>336</v>
      </c>
      <c r="H489" t="s">
        <v>5943</v>
      </c>
      <c r="I489">
        <v>0</v>
      </c>
      <c r="J489" t="s">
        <v>343</v>
      </c>
      <c r="K489">
        <v>2000</v>
      </c>
      <c r="M489">
        <v>2000</v>
      </c>
    </row>
    <row r="490" spans="1:13" x14ac:dyDescent="0.35">
      <c r="A490" t="str">
        <f t="shared" si="35"/>
        <v>CAI074572738061810100</v>
      </c>
      <c r="B490" t="s">
        <v>2018</v>
      </c>
      <c r="C490" s="1">
        <v>45727</v>
      </c>
      <c r="D490" t="str">
        <f>"380"</f>
        <v>380</v>
      </c>
      <c r="E490" t="str">
        <f>"61810100"</f>
        <v>61810100</v>
      </c>
      <c r="F490" t="s">
        <v>2030</v>
      </c>
      <c r="G490" t="s">
        <v>336</v>
      </c>
      <c r="H490" t="s">
        <v>5943</v>
      </c>
      <c r="I490">
        <v>0</v>
      </c>
      <c r="J490" t="s">
        <v>343</v>
      </c>
      <c r="K490">
        <v>10000</v>
      </c>
      <c r="M490">
        <v>10000</v>
      </c>
    </row>
    <row r="491" spans="1:13" x14ac:dyDescent="0.35">
      <c r="A491" t="str">
        <f t="shared" si="35"/>
        <v>CAI074572738063883000</v>
      </c>
      <c r="B491" t="s">
        <v>2018</v>
      </c>
      <c r="C491" s="1">
        <v>45727</v>
      </c>
      <c r="D491" t="str">
        <f>"380"</f>
        <v>380</v>
      </c>
      <c r="E491" t="str">
        <f>"63883000"</f>
        <v>63883000</v>
      </c>
      <c r="F491" t="s">
        <v>2077</v>
      </c>
      <c r="G491" t="s">
        <v>336</v>
      </c>
      <c r="H491" t="s">
        <v>5943</v>
      </c>
      <c r="I491">
        <v>0</v>
      </c>
      <c r="J491" t="s">
        <v>343</v>
      </c>
      <c r="K491">
        <v>2000</v>
      </c>
      <c r="M491">
        <v>2000</v>
      </c>
    </row>
    <row r="492" spans="1:13" x14ac:dyDescent="0.35">
      <c r="A492" t="str">
        <f t="shared" si="35"/>
        <v>CAI074572738161810100</v>
      </c>
      <c r="B492" t="s">
        <v>2018</v>
      </c>
      <c r="C492" s="1">
        <v>45727</v>
      </c>
      <c r="D492" t="str">
        <f>"381"</f>
        <v>381</v>
      </c>
      <c r="E492" t="str">
        <f>"61810100"</f>
        <v>61810100</v>
      </c>
      <c r="F492" t="s">
        <v>2079</v>
      </c>
      <c r="G492" t="s">
        <v>336</v>
      </c>
      <c r="H492" t="s">
        <v>5943</v>
      </c>
      <c r="I492">
        <v>0</v>
      </c>
      <c r="J492" t="s">
        <v>343</v>
      </c>
      <c r="K492">
        <v>10000</v>
      </c>
      <c r="M492">
        <v>10000</v>
      </c>
    </row>
    <row r="493" spans="1:13" x14ac:dyDescent="0.35">
      <c r="A493" t="str">
        <f t="shared" si="35"/>
        <v>CAI074572738163883000</v>
      </c>
      <c r="B493" t="s">
        <v>2018</v>
      </c>
      <c r="C493" s="1">
        <v>45727</v>
      </c>
      <c r="D493" t="str">
        <f>"381"</f>
        <v>381</v>
      </c>
      <c r="E493" t="str">
        <f>"63883000"</f>
        <v>63883000</v>
      </c>
      <c r="F493" t="s">
        <v>2080</v>
      </c>
      <c r="G493" t="s">
        <v>336</v>
      </c>
      <c r="H493" t="s">
        <v>5943</v>
      </c>
      <c r="I493">
        <v>0</v>
      </c>
      <c r="J493" t="s">
        <v>343</v>
      </c>
      <c r="K493">
        <v>18000</v>
      </c>
      <c r="M493">
        <v>18000</v>
      </c>
    </row>
    <row r="494" spans="1:13" x14ac:dyDescent="0.35">
      <c r="A494" t="str">
        <f t="shared" si="35"/>
        <v>CAI074572838261810100</v>
      </c>
      <c r="B494" t="s">
        <v>2018</v>
      </c>
      <c r="C494" s="1">
        <v>45728</v>
      </c>
      <c r="D494" t="str">
        <f>"382"</f>
        <v>382</v>
      </c>
      <c r="E494" t="str">
        <f>"61810100"</f>
        <v>61810100</v>
      </c>
      <c r="F494" t="s">
        <v>2081</v>
      </c>
      <c r="G494" t="s">
        <v>336</v>
      </c>
      <c r="H494" t="s">
        <v>5943</v>
      </c>
      <c r="I494">
        <v>0</v>
      </c>
      <c r="J494" t="s">
        <v>343</v>
      </c>
      <c r="K494">
        <v>10000</v>
      </c>
      <c r="M494">
        <v>10000</v>
      </c>
    </row>
    <row r="495" spans="1:13" x14ac:dyDescent="0.35">
      <c r="A495" t="str">
        <f t="shared" si="35"/>
        <v>CAI074572838364685000</v>
      </c>
      <c r="B495" t="s">
        <v>2018</v>
      </c>
      <c r="C495" s="1">
        <v>45728</v>
      </c>
      <c r="D495" t="str">
        <f>"383"</f>
        <v>383</v>
      </c>
      <c r="E495" t="str">
        <f>"64685000"</f>
        <v>64685000</v>
      </c>
      <c r="F495" t="s">
        <v>2082</v>
      </c>
      <c r="G495" t="s">
        <v>336</v>
      </c>
      <c r="H495" t="s">
        <v>5906</v>
      </c>
      <c r="I495">
        <v>0</v>
      </c>
      <c r="J495" t="s">
        <v>343</v>
      </c>
      <c r="K495">
        <v>5000</v>
      </c>
      <c r="M495">
        <v>5000</v>
      </c>
    </row>
    <row r="496" spans="1:13" x14ac:dyDescent="0.35">
      <c r="A496" t="str">
        <f t="shared" si="35"/>
        <v>CAI074572838464630000</v>
      </c>
      <c r="B496" t="s">
        <v>2018</v>
      </c>
      <c r="C496" s="1">
        <v>45728</v>
      </c>
      <c r="D496" t="str">
        <f>"384"</f>
        <v>384</v>
      </c>
      <c r="E496" t="str">
        <f>"64630000"</f>
        <v>64630000</v>
      </c>
      <c r="F496" t="s">
        <v>2054</v>
      </c>
      <c r="G496" t="s">
        <v>336</v>
      </c>
      <c r="H496" t="s">
        <v>5943</v>
      </c>
      <c r="I496">
        <v>0</v>
      </c>
      <c r="J496" t="s">
        <v>343</v>
      </c>
      <c r="K496">
        <v>17500</v>
      </c>
      <c r="M496">
        <v>17500</v>
      </c>
    </row>
    <row r="497" spans="1:13" x14ac:dyDescent="0.35">
      <c r="A497" t="str">
        <f t="shared" si="35"/>
        <v>CAI074572838561810100</v>
      </c>
      <c r="B497" t="s">
        <v>2018</v>
      </c>
      <c r="C497" s="1">
        <v>45728</v>
      </c>
      <c r="D497" t="str">
        <f>"385"</f>
        <v>385</v>
      </c>
      <c r="E497" t="str">
        <f>"61810100"</f>
        <v>61810100</v>
      </c>
      <c r="F497" t="s">
        <v>2083</v>
      </c>
      <c r="G497" t="s">
        <v>336</v>
      </c>
      <c r="H497" t="s">
        <v>5943</v>
      </c>
      <c r="I497">
        <v>0</v>
      </c>
      <c r="J497" t="s">
        <v>343</v>
      </c>
      <c r="K497">
        <v>5000</v>
      </c>
      <c r="M497">
        <v>5000</v>
      </c>
    </row>
    <row r="498" spans="1:13" x14ac:dyDescent="0.35">
      <c r="A498" t="str">
        <f t="shared" si="35"/>
        <v>CAI074572838661810100</v>
      </c>
      <c r="B498" t="s">
        <v>2018</v>
      </c>
      <c r="C498" s="1">
        <v>45728</v>
      </c>
      <c r="D498" t="str">
        <f>"386"</f>
        <v>386</v>
      </c>
      <c r="E498" t="str">
        <f>"61810100"</f>
        <v>61810100</v>
      </c>
      <c r="F498" t="s">
        <v>2084</v>
      </c>
      <c r="G498" t="s">
        <v>336</v>
      </c>
      <c r="H498" t="s">
        <v>5943</v>
      </c>
      <c r="I498">
        <v>0</v>
      </c>
      <c r="J498" t="s">
        <v>343</v>
      </c>
      <c r="K498">
        <v>15000</v>
      </c>
      <c r="M498">
        <v>15000</v>
      </c>
    </row>
    <row r="499" spans="1:13" x14ac:dyDescent="0.35">
      <c r="A499" t="str">
        <f t="shared" si="35"/>
        <v>CAI074572838761810100</v>
      </c>
      <c r="B499" t="s">
        <v>2018</v>
      </c>
      <c r="C499" s="1">
        <v>45728</v>
      </c>
      <c r="D499" t="str">
        <f>"387"</f>
        <v>387</v>
      </c>
      <c r="E499" t="str">
        <f>"61810100"</f>
        <v>61810100</v>
      </c>
      <c r="F499" t="s">
        <v>2086</v>
      </c>
      <c r="G499" t="s">
        <v>336</v>
      </c>
      <c r="H499" t="s">
        <v>5943</v>
      </c>
      <c r="I499">
        <v>0</v>
      </c>
      <c r="J499" t="s">
        <v>343</v>
      </c>
      <c r="K499">
        <v>15000</v>
      </c>
      <c r="M499">
        <v>15000</v>
      </c>
    </row>
    <row r="500" spans="1:13" x14ac:dyDescent="0.35">
      <c r="A500" t="str">
        <f t="shared" si="35"/>
        <v>CAI074572838763883000</v>
      </c>
      <c r="B500" t="s">
        <v>2018</v>
      </c>
      <c r="C500" s="1">
        <v>45728</v>
      </c>
      <c r="D500" t="str">
        <f>"387"</f>
        <v>387</v>
      </c>
      <c r="E500" t="str">
        <f>"63883000"</f>
        <v>63883000</v>
      </c>
      <c r="F500" t="s">
        <v>2087</v>
      </c>
      <c r="G500" t="s">
        <v>336</v>
      </c>
      <c r="H500" t="s">
        <v>5943</v>
      </c>
      <c r="I500">
        <v>0</v>
      </c>
      <c r="J500" t="s">
        <v>343</v>
      </c>
      <c r="K500">
        <v>2200</v>
      </c>
      <c r="M500">
        <v>2200</v>
      </c>
    </row>
    <row r="501" spans="1:13" x14ac:dyDescent="0.35">
      <c r="A501" t="str">
        <f t="shared" si="35"/>
        <v>CAI074572838861810100</v>
      </c>
      <c r="B501" t="s">
        <v>2018</v>
      </c>
      <c r="C501" s="1">
        <v>45728</v>
      </c>
      <c r="D501" t="str">
        <f>"388"</f>
        <v>388</v>
      </c>
      <c r="E501" t="str">
        <f>"61810100"</f>
        <v>61810100</v>
      </c>
      <c r="F501" t="s">
        <v>2088</v>
      </c>
      <c r="G501" t="s">
        <v>336</v>
      </c>
      <c r="H501" t="s">
        <v>5943</v>
      </c>
      <c r="I501">
        <v>0</v>
      </c>
      <c r="J501" t="s">
        <v>343</v>
      </c>
      <c r="K501">
        <v>15300</v>
      </c>
      <c r="M501">
        <v>15300</v>
      </c>
    </row>
    <row r="502" spans="1:13" x14ac:dyDescent="0.35">
      <c r="A502" t="str">
        <f t="shared" si="35"/>
        <v>CAI074572838961810100</v>
      </c>
      <c r="B502" t="s">
        <v>2018</v>
      </c>
      <c r="C502" s="1">
        <v>45728</v>
      </c>
      <c r="D502" t="str">
        <f>"389"</f>
        <v>389</v>
      </c>
      <c r="E502" t="str">
        <f>"61810100"</f>
        <v>61810100</v>
      </c>
      <c r="F502" t="s">
        <v>2088</v>
      </c>
      <c r="G502" t="s">
        <v>336</v>
      </c>
      <c r="H502" t="s">
        <v>5943</v>
      </c>
      <c r="I502">
        <v>0</v>
      </c>
      <c r="J502" t="s">
        <v>343</v>
      </c>
      <c r="K502">
        <v>10000</v>
      </c>
      <c r="M502">
        <v>10000</v>
      </c>
    </row>
    <row r="503" spans="1:13" x14ac:dyDescent="0.35">
      <c r="A503" t="str">
        <f t="shared" si="35"/>
        <v>CAI074572838963883000</v>
      </c>
      <c r="B503" t="s">
        <v>2018</v>
      </c>
      <c r="C503" s="1">
        <v>45728</v>
      </c>
      <c r="D503" t="str">
        <f>"389"</f>
        <v>389</v>
      </c>
      <c r="E503" t="str">
        <f>"63883000"</f>
        <v>63883000</v>
      </c>
      <c r="F503" t="s">
        <v>2089</v>
      </c>
      <c r="G503" t="s">
        <v>336</v>
      </c>
      <c r="H503" t="s">
        <v>5943</v>
      </c>
      <c r="I503">
        <v>0</v>
      </c>
      <c r="J503" t="s">
        <v>343</v>
      </c>
      <c r="K503">
        <v>2000</v>
      </c>
      <c r="M503">
        <v>2000</v>
      </c>
    </row>
    <row r="504" spans="1:13" x14ac:dyDescent="0.35">
      <c r="A504" t="str">
        <f t="shared" si="35"/>
        <v>CAI074572839061810100</v>
      </c>
      <c r="B504" t="s">
        <v>2018</v>
      </c>
      <c r="C504" s="1">
        <v>45728</v>
      </c>
      <c r="D504" t="str">
        <f>"390"</f>
        <v>390</v>
      </c>
      <c r="E504" t="str">
        <f>"61810100"</f>
        <v>61810100</v>
      </c>
      <c r="F504" t="s">
        <v>2038</v>
      </c>
      <c r="G504" t="s">
        <v>336</v>
      </c>
      <c r="H504" t="s">
        <v>5943</v>
      </c>
      <c r="I504">
        <v>0</v>
      </c>
      <c r="J504" t="s">
        <v>343</v>
      </c>
      <c r="K504">
        <v>10000</v>
      </c>
      <c r="M504">
        <v>10000</v>
      </c>
    </row>
    <row r="505" spans="1:13" x14ac:dyDescent="0.35">
      <c r="A505" t="str">
        <f t="shared" si="35"/>
        <v>CAI074572839063883000</v>
      </c>
      <c r="B505" t="s">
        <v>2018</v>
      </c>
      <c r="C505" s="1">
        <v>45728</v>
      </c>
      <c r="D505" t="str">
        <f>"390"</f>
        <v>390</v>
      </c>
      <c r="E505" t="str">
        <f>"63883000"</f>
        <v>63883000</v>
      </c>
      <c r="F505" t="s">
        <v>2090</v>
      </c>
      <c r="G505" t="s">
        <v>336</v>
      </c>
      <c r="H505" t="s">
        <v>5943</v>
      </c>
      <c r="I505">
        <v>0</v>
      </c>
      <c r="J505" t="s">
        <v>343</v>
      </c>
      <c r="K505">
        <v>2000</v>
      </c>
      <c r="M505">
        <v>2000</v>
      </c>
    </row>
    <row r="506" spans="1:13" x14ac:dyDescent="0.35">
      <c r="A506" t="str">
        <f t="shared" si="35"/>
        <v>CAI074572839161810100</v>
      </c>
      <c r="B506" t="s">
        <v>2018</v>
      </c>
      <c r="C506" s="1">
        <v>45728</v>
      </c>
      <c r="D506" t="str">
        <f>"391"</f>
        <v>391</v>
      </c>
      <c r="E506" t="str">
        <f>"61810100"</f>
        <v>61810100</v>
      </c>
      <c r="F506" t="s">
        <v>2024</v>
      </c>
      <c r="G506" t="s">
        <v>336</v>
      </c>
      <c r="H506" t="s">
        <v>5943</v>
      </c>
      <c r="I506">
        <v>0</v>
      </c>
      <c r="J506" t="s">
        <v>343</v>
      </c>
      <c r="K506">
        <v>10000</v>
      </c>
      <c r="M506">
        <v>10000</v>
      </c>
    </row>
    <row r="507" spans="1:13" x14ac:dyDescent="0.35">
      <c r="A507" t="str">
        <f t="shared" si="35"/>
        <v>CAI074572839163883000</v>
      </c>
      <c r="B507" t="s">
        <v>2018</v>
      </c>
      <c r="C507" s="1">
        <v>45728</v>
      </c>
      <c r="D507" t="str">
        <f>"391"</f>
        <v>391</v>
      </c>
      <c r="E507" t="str">
        <f>"63883000"</f>
        <v>63883000</v>
      </c>
      <c r="F507" t="s">
        <v>2092</v>
      </c>
      <c r="G507" t="s">
        <v>336</v>
      </c>
      <c r="H507" t="s">
        <v>5943</v>
      </c>
      <c r="I507">
        <v>0</v>
      </c>
      <c r="J507" t="s">
        <v>343</v>
      </c>
      <c r="K507">
        <v>2000</v>
      </c>
      <c r="M507">
        <v>2000</v>
      </c>
    </row>
    <row r="508" spans="1:13" x14ac:dyDescent="0.35">
      <c r="A508" t="str">
        <f t="shared" si="35"/>
        <v>CAI074572839261810100</v>
      </c>
      <c r="B508" t="s">
        <v>2018</v>
      </c>
      <c r="C508" s="1">
        <v>45728</v>
      </c>
      <c r="D508" t="str">
        <f>"392"</f>
        <v>392</v>
      </c>
      <c r="E508" t="str">
        <f>"61810100"</f>
        <v>61810100</v>
      </c>
      <c r="F508" t="s">
        <v>2094</v>
      </c>
      <c r="G508" t="s">
        <v>336</v>
      </c>
      <c r="H508" t="s">
        <v>5943</v>
      </c>
      <c r="I508">
        <v>0</v>
      </c>
      <c r="J508" t="s">
        <v>343</v>
      </c>
      <c r="K508">
        <v>10000</v>
      </c>
      <c r="M508">
        <v>10000</v>
      </c>
    </row>
    <row r="509" spans="1:13" x14ac:dyDescent="0.35">
      <c r="A509" t="str">
        <f t="shared" si="35"/>
        <v>CAI074572839263883000</v>
      </c>
      <c r="B509" t="s">
        <v>2018</v>
      </c>
      <c r="C509" s="1">
        <v>45728</v>
      </c>
      <c r="D509" t="str">
        <f>"392"</f>
        <v>392</v>
      </c>
      <c r="E509" t="str">
        <f>"63883000"</f>
        <v>63883000</v>
      </c>
      <c r="F509" t="s">
        <v>2095</v>
      </c>
      <c r="G509" t="s">
        <v>336</v>
      </c>
      <c r="H509" t="s">
        <v>5943</v>
      </c>
      <c r="I509">
        <v>0</v>
      </c>
      <c r="J509" t="s">
        <v>343</v>
      </c>
      <c r="K509">
        <v>22000</v>
      </c>
      <c r="M509">
        <v>22000</v>
      </c>
    </row>
    <row r="510" spans="1:13" x14ac:dyDescent="0.35">
      <c r="A510" t="str">
        <f t="shared" si="35"/>
        <v>CAI074572939361810100</v>
      </c>
      <c r="B510" t="s">
        <v>2018</v>
      </c>
      <c r="C510" s="1">
        <v>45729</v>
      </c>
      <c r="D510" t="str">
        <f>"393"</f>
        <v>393</v>
      </c>
      <c r="E510" t="str">
        <f>"61810100"</f>
        <v>61810100</v>
      </c>
      <c r="F510" t="s">
        <v>2027</v>
      </c>
      <c r="G510" t="s">
        <v>336</v>
      </c>
      <c r="H510" t="s">
        <v>5943</v>
      </c>
      <c r="I510">
        <v>0</v>
      </c>
      <c r="J510" t="s">
        <v>343</v>
      </c>
      <c r="K510">
        <v>20000</v>
      </c>
      <c r="M510">
        <v>20000</v>
      </c>
    </row>
    <row r="511" spans="1:13" x14ac:dyDescent="0.35">
      <c r="A511" t="str">
        <f t="shared" si="35"/>
        <v>CAI074572939363883000</v>
      </c>
      <c r="B511" t="s">
        <v>2018</v>
      </c>
      <c r="C511" s="1">
        <v>45729</v>
      </c>
      <c r="D511" t="str">
        <f>"393"</f>
        <v>393</v>
      </c>
      <c r="E511" t="str">
        <f>"63883000"</f>
        <v>63883000</v>
      </c>
      <c r="F511" t="s">
        <v>2096</v>
      </c>
      <c r="G511" t="s">
        <v>336</v>
      </c>
      <c r="H511" t="s">
        <v>5943</v>
      </c>
      <c r="I511">
        <v>0</v>
      </c>
      <c r="J511" t="s">
        <v>343</v>
      </c>
      <c r="K511">
        <v>2000</v>
      </c>
      <c r="M511">
        <v>2000</v>
      </c>
    </row>
    <row r="512" spans="1:13" x14ac:dyDescent="0.35">
      <c r="A512" t="str">
        <f t="shared" si="35"/>
        <v>CAI074572939461810100</v>
      </c>
      <c r="B512" t="s">
        <v>2018</v>
      </c>
      <c r="C512" s="1">
        <v>45729</v>
      </c>
      <c r="D512" t="str">
        <f>"394"</f>
        <v>394</v>
      </c>
      <c r="E512" t="str">
        <f>"61810100"</f>
        <v>61810100</v>
      </c>
      <c r="F512" t="s">
        <v>2038</v>
      </c>
      <c r="G512" t="s">
        <v>336</v>
      </c>
      <c r="H512" t="s">
        <v>5943</v>
      </c>
      <c r="I512">
        <v>0</v>
      </c>
      <c r="J512" t="s">
        <v>343</v>
      </c>
      <c r="K512">
        <v>10000</v>
      </c>
      <c r="M512">
        <v>10000</v>
      </c>
    </row>
    <row r="513" spans="1:13" x14ac:dyDescent="0.35">
      <c r="A513" t="str">
        <f t="shared" si="35"/>
        <v>CAI074572939463883000</v>
      </c>
      <c r="B513" t="s">
        <v>2018</v>
      </c>
      <c r="C513" s="1">
        <v>45729</v>
      </c>
      <c r="D513" t="str">
        <f>"394"</f>
        <v>394</v>
      </c>
      <c r="E513" t="str">
        <f>"63883000"</f>
        <v>63883000</v>
      </c>
      <c r="F513" t="s">
        <v>2090</v>
      </c>
      <c r="G513" t="s">
        <v>336</v>
      </c>
      <c r="H513" t="s">
        <v>5943</v>
      </c>
      <c r="I513">
        <v>0</v>
      </c>
      <c r="J513" t="s">
        <v>343</v>
      </c>
      <c r="K513">
        <v>2000</v>
      </c>
      <c r="M513">
        <v>2000</v>
      </c>
    </row>
    <row r="514" spans="1:13" x14ac:dyDescent="0.35">
      <c r="A514" t="str">
        <f t="shared" si="35"/>
        <v>CAI074572939561810100</v>
      </c>
      <c r="B514" t="s">
        <v>2018</v>
      </c>
      <c r="C514" s="1">
        <v>45729</v>
      </c>
      <c r="D514" t="str">
        <f>"395"</f>
        <v>395</v>
      </c>
      <c r="E514" t="str">
        <f>"61810100"</f>
        <v>61810100</v>
      </c>
      <c r="F514" t="s">
        <v>2041</v>
      </c>
      <c r="G514" t="s">
        <v>336</v>
      </c>
      <c r="H514" t="s">
        <v>5943</v>
      </c>
      <c r="I514">
        <v>0</v>
      </c>
      <c r="J514" t="s">
        <v>343</v>
      </c>
      <c r="K514">
        <v>10000</v>
      </c>
      <c r="M514">
        <v>10000</v>
      </c>
    </row>
    <row r="515" spans="1:13" x14ac:dyDescent="0.35">
      <c r="A515" t="str">
        <f t="shared" ref="A515:A578" si="36">CONCATENATE(B515,C515,D515,E515)</f>
        <v>CAI074572939563883000</v>
      </c>
      <c r="B515" t="s">
        <v>2018</v>
      </c>
      <c r="C515" s="1">
        <v>45729</v>
      </c>
      <c r="D515" t="str">
        <f>"395"</f>
        <v>395</v>
      </c>
      <c r="E515" t="str">
        <f>"63883000"</f>
        <v>63883000</v>
      </c>
      <c r="F515" t="s">
        <v>2089</v>
      </c>
      <c r="G515" t="s">
        <v>336</v>
      </c>
      <c r="H515" t="s">
        <v>5943</v>
      </c>
      <c r="I515">
        <v>0</v>
      </c>
      <c r="J515" t="s">
        <v>343</v>
      </c>
      <c r="K515">
        <v>2000</v>
      </c>
      <c r="M515">
        <v>2000</v>
      </c>
    </row>
    <row r="516" spans="1:13" x14ac:dyDescent="0.35">
      <c r="A516" t="str">
        <f t="shared" si="36"/>
        <v>CAI074573039661810100</v>
      </c>
      <c r="B516" t="s">
        <v>2018</v>
      </c>
      <c r="C516" s="1">
        <v>45730</v>
      </c>
      <c r="D516" t="str">
        <f>"396"</f>
        <v>396</v>
      </c>
      <c r="E516" t="str">
        <f>"61810100"</f>
        <v>61810100</v>
      </c>
      <c r="F516" t="s">
        <v>2099</v>
      </c>
      <c r="G516" t="s">
        <v>336</v>
      </c>
      <c r="H516" t="s">
        <v>5943</v>
      </c>
      <c r="I516">
        <v>0</v>
      </c>
      <c r="J516" t="s">
        <v>343</v>
      </c>
      <c r="K516">
        <v>15000</v>
      </c>
      <c r="M516">
        <v>15000</v>
      </c>
    </row>
    <row r="517" spans="1:13" x14ac:dyDescent="0.35">
      <c r="A517" t="str">
        <f t="shared" si="36"/>
        <v>CAI074573039761810100</v>
      </c>
      <c r="B517" t="s">
        <v>2018</v>
      </c>
      <c r="C517" s="1">
        <v>45730</v>
      </c>
      <c r="D517" t="str">
        <f>"397"</f>
        <v>397</v>
      </c>
      <c r="E517" t="str">
        <f>"61810100"</f>
        <v>61810100</v>
      </c>
      <c r="F517" t="s">
        <v>2094</v>
      </c>
      <c r="G517" t="s">
        <v>336</v>
      </c>
      <c r="H517" t="s">
        <v>5943</v>
      </c>
      <c r="I517">
        <v>0</v>
      </c>
      <c r="J517" t="s">
        <v>343</v>
      </c>
      <c r="K517">
        <v>10000</v>
      </c>
      <c r="M517">
        <v>10000</v>
      </c>
    </row>
    <row r="518" spans="1:13" x14ac:dyDescent="0.35">
      <c r="A518" t="str">
        <f t="shared" si="36"/>
        <v>CAI074573039861810100</v>
      </c>
      <c r="B518" t="s">
        <v>2018</v>
      </c>
      <c r="C518" s="1">
        <v>45730</v>
      </c>
      <c r="D518" t="str">
        <f>"398"</f>
        <v>398</v>
      </c>
      <c r="E518" t="str">
        <f>"61810100"</f>
        <v>61810100</v>
      </c>
      <c r="F518" t="s">
        <v>2038</v>
      </c>
      <c r="G518" t="s">
        <v>336</v>
      </c>
      <c r="H518" t="s">
        <v>5943</v>
      </c>
      <c r="I518">
        <v>0</v>
      </c>
      <c r="J518" t="s">
        <v>343</v>
      </c>
      <c r="K518">
        <v>10000</v>
      </c>
      <c r="M518">
        <v>10000</v>
      </c>
    </row>
    <row r="519" spans="1:13" x14ac:dyDescent="0.35">
      <c r="A519" t="str">
        <f t="shared" si="36"/>
        <v>CAI074573039863883000</v>
      </c>
      <c r="B519" t="s">
        <v>2018</v>
      </c>
      <c r="C519" s="1">
        <v>45730</v>
      </c>
      <c r="D519" t="str">
        <f>"398"</f>
        <v>398</v>
      </c>
      <c r="E519" t="str">
        <f>"63883000"</f>
        <v>63883000</v>
      </c>
      <c r="F519" t="s">
        <v>2090</v>
      </c>
      <c r="G519" t="s">
        <v>336</v>
      </c>
      <c r="H519" t="s">
        <v>5943</v>
      </c>
      <c r="I519">
        <v>0</v>
      </c>
      <c r="J519" t="s">
        <v>343</v>
      </c>
      <c r="K519">
        <v>2000</v>
      </c>
      <c r="M519">
        <v>2000</v>
      </c>
    </row>
    <row r="520" spans="1:13" x14ac:dyDescent="0.35">
      <c r="A520" t="str">
        <f t="shared" si="36"/>
        <v>CAI074573039961810100</v>
      </c>
      <c r="B520" t="s">
        <v>2018</v>
      </c>
      <c r="C520" s="1">
        <v>45730</v>
      </c>
      <c r="D520" t="str">
        <f>"399"</f>
        <v>399</v>
      </c>
      <c r="E520" t="str">
        <f>"61810100"</f>
        <v>61810100</v>
      </c>
      <c r="F520" t="s">
        <v>2075</v>
      </c>
      <c r="G520" t="s">
        <v>336</v>
      </c>
      <c r="H520" t="s">
        <v>5943</v>
      </c>
      <c r="I520">
        <v>0</v>
      </c>
      <c r="J520" t="s">
        <v>343</v>
      </c>
      <c r="K520">
        <v>10000</v>
      </c>
      <c r="M520">
        <v>10000</v>
      </c>
    </row>
    <row r="521" spans="1:13" x14ac:dyDescent="0.35">
      <c r="A521" t="str">
        <f t="shared" si="36"/>
        <v>CAI074573039963883000</v>
      </c>
      <c r="B521" t="s">
        <v>2018</v>
      </c>
      <c r="C521" s="1">
        <v>45730</v>
      </c>
      <c r="D521" t="str">
        <f>"399"</f>
        <v>399</v>
      </c>
      <c r="E521" t="str">
        <f>"63883000"</f>
        <v>63883000</v>
      </c>
      <c r="F521" t="s">
        <v>2101</v>
      </c>
      <c r="G521" t="s">
        <v>336</v>
      </c>
      <c r="H521" t="s">
        <v>5943</v>
      </c>
      <c r="I521">
        <v>0</v>
      </c>
      <c r="J521" t="s">
        <v>343</v>
      </c>
      <c r="K521">
        <v>2000</v>
      </c>
      <c r="M521">
        <v>2000</v>
      </c>
    </row>
    <row r="522" spans="1:13" x14ac:dyDescent="0.35">
      <c r="A522" t="str">
        <f t="shared" si="36"/>
        <v>CAI074573040064630000</v>
      </c>
      <c r="B522" t="s">
        <v>2018</v>
      </c>
      <c r="C522" s="1">
        <v>45730</v>
      </c>
      <c r="D522" t="str">
        <f>"400"</f>
        <v>400</v>
      </c>
      <c r="E522" t="str">
        <f>"64630000"</f>
        <v>64630000</v>
      </c>
      <c r="F522" t="s">
        <v>2054</v>
      </c>
      <c r="G522" t="s">
        <v>336</v>
      </c>
      <c r="H522" t="s">
        <v>5943</v>
      </c>
      <c r="I522">
        <v>0</v>
      </c>
      <c r="J522" t="s">
        <v>343</v>
      </c>
      <c r="K522">
        <v>12500</v>
      </c>
      <c r="M522">
        <v>12500</v>
      </c>
    </row>
    <row r="523" spans="1:13" x14ac:dyDescent="0.35">
      <c r="A523" t="str">
        <f t="shared" si="36"/>
        <v>CAI074573040161810100</v>
      </c>
      <c r="B523" t="s">
        <v>2018</v>
      </c>
      <c r="C523" s="1">
        <v>45730</v>
      </c>
      <c r="D523" t="str">
        <f>"401"</f>
        <v>401</v>
      </c>
      <c r="E523" t="str">
        <f t="shared" ref="E523:E528" si="37">"61810100"</f>
        <v>61810100</v>
      </c>
      <c r="F523" t="s">
        <v>2081</v>
      </c>
      <c r="G523" t="s">
        <v>336</v>
      </c>
      <c r="H523" t="s">
        <v>5943</v>
      </c>
      <c r="I523">
        <v>0</v>
      </c>
      <c r="J523" t="s">
        <v>343</v>
      </c>
      <c r="K523">
        <v>10000</v>
      </c>
      <c r="M523">
        <v>10000</v>
      </c>
    </row>
    <row r="524" spans="1:13" x14ac:dyDescent="0.35">
      <c r="A524" t="str">
        <f t="shared" si="36"/>
        <v>CAI074573140261810100</v>
      </c>
      <c r="B524" t="s">
        <v>2018</v>
      </c>
      <c r="C524" s="1">
        <v>45731</v>
      </c>
      <c r="D524" t="str">
        <f>"402"</f>
        <v>402</v>
      </c>
      <c r="E524" t="str">
        <f t="shared" si="37"/>
        <v>61810100</v>
      </c>
      <c r="F524" t="s">
        <v>2102</v>
      </c>
      <c r="G524" t="s">
        <v>336</v>
      </c>
      <c r="H524" t="s">
        <v>5943</v>
      </c>
      <c r="I524">
        <v>0</v>
      </c>
      <c r="J524" t="s">
        <v>343</v>
      </c>
      <c r="K524">
        <v>10000</v>
      </c>
      <c r="M524">
        <v>10000</v>
      </c>
    </row>
    <row r="525" spans="1:13" x14ac:dyDescent="0.35">
      <c r="A525" t="str">
        <f t="shared" si="36"/>
        <v>CAI074573140361810100</v>
      </c>
      <c r="B525" t="s">
        <v>2018</v>
      </c>
      <c r="C525" s="1">
        <v>45731</v>
      </c>
      <c r="D525" t="str">
        <f>"403"</f>
        <v>403</v>
      </c>
      <c r="E525" t="str">
        <f t="shared" si="37"/>
        <v>61810100</v>
      </c>
      <c r="F525" t="s">
        <v>2103</v>
      </c>
      <c r="G525" t="s">
        <v>336</v>
      </c>
      <c r="H525" t="s">
        <v>5943</v>
      </c>
      <c r="I525">
        <v>0</v>
      </c>
      <c r="J525" t="s">
        <v>343</v>
      </c>
      <c r="K525">
        <v>10000</v>
      </c>
      <c r="M525">
        <v>10000</v>
      </c>
    </row>
    <row r="526" spans="1:13" x14ac:dyDescent="0.35">
      <c r="A526" t="str">
        <f t="shared" si="36"/>
        <v>CAI074573140461810100</v>
      </c>
      <c r="B526" t="s">
        <v>2018</v>
      </c>
      <c r="C526" s="1">
        <v>45731</v>
      </c>
      <c r="D526" t="str">
        <f>"404"</f>
        <v>404</v>
      </c>
      <c r="E526" t="str">
        <f t="shared" si="37"/>
        <v>61810100</v>
      </c>
      <c r="F526" t="s">
        <v>2104</v>
      </c>
      <c r="G526" t="s">
        <v>336</v>
      </c>
      <c r="H526" t="s">
        <v>5943</v>
      </c>
      <c r="I526">
        <v>0</v>
      </c>
      <c r="J526" t="s">
        <v>343</v>
      </c>
      <c r="K526">
        <v>10000</v>
      </c>
      <c r="M526">
        <v>10000</v>
      </c>
    </row>
    <row r="527" spans="1:13" x14ac:dyDescent="0.35">
      <c r="A527" t="str">
        <f t="shared" si="36"/>
        <v>CAI074573140561810100</v>
      </c>
      <c r="B527" t="s">
        <v>2018</v>
      </c>
      <c r="C527" s="1">
        <v>45731</v>
      </c>
      <c r="D527" t="str">
        <f>"405"</f>
        <v>405</v>
      </c>
      <c r="E527" t="str">
        <f t="shared" si="37"/>
        <v>61810100</v>
      </c>
      <c r="F527" t="s">
        <v>2105</v>
      </c>
      <c r="G527" t="s">
        <v>336</v>
      </c>
      <c r="H527" t="s">
        <v>5943</v>
      </c>
      <c r="I527">
        <v>0</v>
      </c>
      <c r="J527" t="s">
        <v>343</v>
      </c>
      <c r="K527">
        <v>10000</v>
      </c>
      <c r="M527">
        <v>10000</v>
      </c>
    </row>
    <row r="528" spans="1:13" x14ac:dyDescent="0.35">
      <c r="A528" t="str">
        <f t="shared" si="36"/>
        <v>CAI074573140661810100</v>
      </c>
      <c r="B528" t="s">
        <v>2018</v>
      </c>
      <c r="C528" s="1">
        <v>45731</v>
      </c>
      <c r="D528" t="str">
        <f>"406"</f>
        <v>406</v>
      </c>
      <c r="E528" t="str">
        <f t="shared" si="37"/>
        <v>61810100</v>
      </c>
      <c r="F528" t="s">
        <v>2106</v>
      </c>
      <c r="G528" t="s">
        <v>336</v>
      </c>
      <c r="H528" t="s">
        <v>5943</v>
      </c>
      <c r="I528">
        <v>0</v>
      </c>
      <c r="J528" t="s">
        <v>343</v>
      </c>
      <c r="K528">
        <v>10000</v>
      </c>
      <c r="M528">
        <v>10000</v>
      </c>
    </row>
    <row r="529" spans="1:13" x14ac:dyDescent="0.35">
      <c r="A529" t="str">
        <f t="shared" si="36"/>
        <v>CAI074573140760420000</v>
      </c>
      <c r="B529" t="s">
        <v>2018</v>
      </c>
      <c r="C529" s="1">
        <v>45731</v>
      </c>
      <c r="D529" t="str">
        <f>"407"</f>
        <v>407</v>
      </c>
      <c r="E529" t="str">
        <f>"60420000"</f>
        <v>60420000</v>
      </c>
      <c r="F529" t="s">
        <v>2108</v>
      </c>
      <c r="G529" t="s">
        <v>336</v>
      </c>
      <c r="H529" t="s">
        <v>5943</v>
      </c>
      <c r="I529">
        <v>0</v>
      </c>
      <c r="J529" t="s">
        <v>343</v>
      </c>
      <c r="K529">
        <v>400000</v>
      </c>
      <c r="M529">
        <v>400000</v>
      </c>
    </row>
    <row r="530" spans="1:13" x14ac:dyDescent="0.35">
      <c r="A530" t="str">
        <f t="shared" si="36"/>
        <v>CAI074573140761810100</v>
      </c>
      <c r="B530" t="s">
        <v>2018</v>
      </c>
      <c r="C530" s="1">
        <v>45731</v>
      </c>
      <c r="D530" t="str">
        <f>"407"</f>
        <v>407</v>
      </c>
      <c r="E530" t="str">
        <f>"61810100"</f>
        <v>61810100</v>
      </c>
      <c r="F530" t="s">
        <v>2109</v>
      </c>
      <c r="G530" t="s">
        <v>336</v>
      </c>
      <c r="H530" t="s">
        <v>5943</v>
      </c>
      <c r="I530">
        <v>0</v>
      </c>
      <c r="J530" t="s">
        <v>343</v>
      </c>
      <c r="K530">
        <v>530000</v>
      </c>
      <c r="M530">
        <v>530000</v>
      </c>
    </row>
    <row r="531" spans="1:13" x14ac:dyDescent="0.35">
      <c r="A531" t="str">
        <f t="shared" si="36"/>
        <v>CAI074573140860420000</v>
      </c>
      <c r="B531" t="s">
        <v>2018</v>
      </c>
      <c r="C531" s="1">
        <v>45731</v>
      </c>
      <c r="D531" t="str">
        <f>"408"</f>
        <v>408</v>
      </c>
      <c r="E531" t="str">
        <f>"60420000"</f>
        <v>60420000</v>
      </c>
      <c r="F531" t="s">
        <v>2111</v>
      </c>
      <c r="G531" t="s">
        <v>336</v>
      </c>
      <c r="H531" t="s">
        <v>5943</v>
      </c>
      <c r="I531">
        <v>0</v>
      </c>
      <c r="J531" t="s">
        <v>343</v>
      </c>
      <c r="K531">
        <v>400000</v>
      </c>
      <c r="M531">
        <v>400000</v>
      </c>
    </row>
    <row r="532" spans="1:13" x14ac:dyDescent="0.35">
      <c r="A532" t="str">
        <f t="shared" si="36"/>
        <v>CAI074573140861810100</v>
      </c>
      <c r="B532" t="s">
        <v>2018</v>
      </c>
      <c r="C532" s="1">
        <v>45731</v>
      </c>
      <c r="D532" t="str">
        <f>"408"</f>
        <v>408</v>
      </c>
      <c r="E532" t="str">
        <f>"61810100"</f>
        <v>61810100</v>
      </c>
      <c r="F532" t="s">
        <v>2112</v>
      </c>
      <c r="G532" t="s">
        <v>336</v>
      </c>
      <c r="H532" t="s">
        <v>5943</v>
      </c>
      <c r="I532">
        <v>0</v>
      </c>
      <c r="J532" t="s">
        <v>343</v>
      </c>
      <c r="K532">
        <v>530000</v>
      </c>
      <c r="M532">
        <v>530000</v>
      </c>
    </row>
    <row r="533" spans="1:13" x14ac:dyDescent="0.35">
      <c r="A533" t="str">
        <f t="shared" si="36"/>
        <v>CAI074573240961830000</v>
      </c>
      <c r="B533" t="s">
        <v>2018</v>
      </c>
      <c r="C533" s="1">
        <v>45732</v>
      </c>
      <c r="D533" t="str">
        <f>"409"</f>
        <v>409</v>
      </c>
      <c r="E533" t="str">
        <f>"61830000"</f>
        <v>61830000</v>
      </c>
      <c r="F533" t="s">
        <v>2113</v>
      </c>
      <c r="G533" t="s">
        <v>336</v>
      </c>
      <c r="H533" t="s">
        <v>5906</v>
      </c>
      <c r="I533">
        <v>0</v>
      </c>
      <c r="J533" t="s">
        <v>343</v>
      </c>
      <c r="K533">
        <v>3000</v>
      </c>
      <c r="M533">
        <v>3000</v>
      </c>
    </row>
    <row r="534" spans="1:13" x14ac:dyDescent="0.35">
      <c r="A534" t="str">
        <f t="shared" si="36"/>
        <v>CAI074573241061830000</v>
      </c>
      <c r="B534" t="s">
        <v>2018</v>
      </c>
      <c r="C534" s="1">
        <v>45732</v>
      </c>
      <c r="D534" t="str">
        <f>"410"</f>
        <v>410</v>
      </c>
      <c r="E534" t="str">
        <f>"61830000"</f>
        <v>61830000</v>
      </c>
      <c r="F534" t="s">
        <v>2114</v>
      </c>
      <c r="G534" t="s">
        <v>336</v>
      </c>
      <c r="H534" t="s">
        <v>5906</v>
      </c>
      <c r="I534">
        <v>0</v>
      </c>
      <c r="J534" t="s">
        <v>343</v>
      </c>
      <c r="K534">
        <v>3000</v>
      </c>
      <c r="M534">
        <v>3000</v>
      </c>
    </row>
    <row r="535" spans="1:13" x14ac:dyDescent="0.35">
      <c r="A535" t="str">
        <f t="shared" si="36"/>
        <v>CAI074573341161830000</v>
      </c>
      <c r="B535" t="s">
        <v>2018</v>
      </c>
      <c r="C535" s="1">
        <v>45733</v>
      </c>
      <c r="D535" t="str">
        <f>"411"</f>
        <v>411</v>
      </c>
      <c r="E535" t="str">
        <f>"61830000"</f>
        <v>61830000</v>
      </c>
      <c r="F535" t="s">
        <v>2115</v>
      </c>
      <c r="G535" t="s">
        <v>336</v>
      </c>
      <c r="H535" t="s">
        <v>5906</v>
      </c>
      <c r="I535">
        <v>0</v>
      </c>
      <c r="J535" t="s">
        <v>343</v>
      </c>
      <c r="K535">
        <v>5000</v>
      </c>
      <c r="M535">
        <v>5000</v>
      </c>
    </row>
    <row r="536" spans="1:13" x14ac:dyDescent="0.35">
      <c r="A536" t="str">
        <f t="shared" si="36"/>
        <v>CAI074573341260540000</v>
      </c>
      <c r="B536" t="s">
        <v>2018</v>
      </c>
      <c r="C536" s="1">
        <v>45733</v>
      </c>
      <c r="D536" t="str">
        <f>"412"</f>
        <v>412</v>
      </c>
      <c r="E536" t="str">
        <f>"60540000"</f>
        <v>60540000</v>
      </c>
      <c r="F536" t="s">
        <v>2116</v>
      </c>
      <c r="G536" t="s">
        <v>336</v>
      </c>
      <c r="H536" t="s">
        <v>5906</v>
      </c>
      <c r="I536">
        <v>0</v>
      </c>
      <c r="J536" t="s">
        <v>343</v>
      </c>
      <c r="K536">
        <v>62225</v>
      </c>
      <c r="M536">
        <v>62225</v>
      </c>
    </row>
    <row r="537" spans="1:13" x14ac:dyDescent="0.35">
      <c r="A537" t="str">
        <f t="shared" si="36"/>
        <v>CAI074573441361810100</v>
      </c>
      <c r="B537" t="s">
        <v>2018</v>
      </c>
      <c r="C537" s="1">
        <v>45734</v>
      </c>
      <c r="D537" t="str">
        <f>"413"</f>
        <v>413</v>
      </c>
      <c r="E537" t="str">
        <f>"61810100"</f>
        <v>61810100</v>
      </c>
      <c r="F537" t="s">
        <v>2118</v>
      </c>
      <c r="G537" t="s">
        <v>336</v>
      </c>
      <c r="H537" t="s">
        <v>5943</v>
      </c>
      <c r="I537">
        <v>0</v>
      </c>
      <c r="J537" t="s">
        <v>343</v>
      </c>
      <c r="K537">
        <v>10000</v>
      </c>
      <c r="M537">
        <v>10000</v>
      </c>
    </row>
    <row r="538" spans="1:13" x14ac:dyDescent="0.35">
      <c r="A538" t="str">
        <f t="shared" si="36"/>
        <v>CAI074573441363883000</v>
      </c>
      <c r="B538" t="s">
        <v>2018</v>
      </c>
      <c r="C538" s="1">
        <v>45734</v>
      </c>
      <c r="D538" t="str">
        <f>"413"</f>
        <v>413</v>
      </c>
      <c r="E538" t="str">
        <f>"63883000"</f>
        <v>63883000</v>
      </c>
      <c r="F538" t="s">
        <v>2119</v>
      </c>
      <c r="G538" t="s">
        <v>336</v>
      </c>
      <c r="H538" t="s">
        <v>5943</v>
      </c>
      <c r="I538">
        <v>0</v>
      </c>
      <c r="J538" t="s">
        <v>343</v>
      </c>
      <c r="K538">
        <v>2000</v>
      </c>
      <c r="M538">
        <v>2000</v>
      </c>
    </row>
    <row r="539" spans="1:13" x14ac:dyDescent="0.35">
      <c r="A539" t="str">
        <f t="shared" si="36"/>
        <v>CAI074573441461810100</v>
      </c>
      <c r="B539" t="s">
        <v>2018</v>
      </c>
      <c r="C539" s="1">
        <v>45734</v>
      </c>
      <c r="D539" t="str">
        <f>"414"</f>
        <v>414</v>
      </c>
      <c r="E539" t="str">
        <f>"61810100"</f>
        <v>61810100</v>
      </c>
      <c r="F539" t="s">
        <v>2030</v>
      </c>
      <c r="G539" t="s">
        <v>336</v>
      </c>
      <c r="H539" t="s">
        <v>5943</v>
      </c>
      <c r="I539">
        <v>0</v>
      </c>
      <c r="J539" t="s">
        <v>343</v>
      </c>
      <c r="K539">
        <v>10000</v>
      </c>
      <c r="M539">
        <v>10000</v>
      </c>
    </row>
    <row r="540" spans="1:13" x14ac:dyDescent="0.35">
      <c r="A540" t="str">
        <f t="shared" si="36"/>
        <v>CAI074573441463883000</v>
      </c>
      <c r="B540" t="s">
        <v>2018</v>
      </c>
      <c r="C540" s="1">
        <v>45734</v>
      </c>
      <c r="D540" t="str">
        <f>"414"</f>
        <v>414</v>
      </c>
      <c r="E540" t="str">
        <f>"63883000"</f>
        <v>63883000</v>
      </c>
      <c r="F540" t="s">
        <v>2121</v>
      </c>
      <c r="G540" t="s">
        <v>336</v>
      </c>
      <c r="H540" t="s">
        <v>5943</v>
      </c>
      <c r="I540">
        <v>0</v>
      </c>
      <c r="J540" t="s">
        <v>343</v>
      </c>
      <c r="K540">
        <v>2000</v>
      </c>
      <c r="M540">
        <v>2000</v>
      </c>
    </row>
    <row r="541" spans="1:13" x14ac:dyDescent="0.35">
      <c r="A541" t="str">
        <f t="shared" si="36"/>
        <v>CAI074573441562411000</v>
      </c>
      <c r="B541" t="s">
        <v>2018</v>
      </c>
      <c r="C541" s="1">
        <v>45734</v>
      </c>
      <c r="D541" t="str">
        <f>"415"</f>
        <v>415</v>
      </c>
      <c r="E541" t="str">
        <f>"62411000"</f>
        <v>62411000</v>
      </c>
      <c r="F541" t="s">
        <v>2122</v>
      </c>
      <c r="G541" t="s">
        <v>336</v>
      </c>
      <c r="H541" t="s">
        <v>5906</v>
      </c>
      <c r="I541">
        <v>0</v>
      </c>
      <c r="J541" t="s">
        <v>343</v>
      </c>
      <c r="K541">
        <v>50500</v>
      </c>
      <c r="M541">
        <v>50500</v>
      </c>
    </row>
    <row r="542" spans="1:13" x14ac:dyDescent="0.35">
      <c r="A542" t="str">
        <f t="shared" si="36"/>
        <v>CAI074573441661810100</v>
      </c>
      <c r="B542" t="s">
        <v>2018</v>
      </c>
      <c r="C542" s="1">
        <v>45734</v>
      </c>
      <c r="D542" t="str">
        <f>"416"</f>
        <v>416</v>
      </c>
      <c r="E542" t="str">
        <f>"61810100"</f>
        <v>61810100</v>
      </c>
      <c r="F542" t="s">
        <v>2123</v>
      </c>
      <c r="G542" t="s">
        <v>336</v>
      </c>
      <c r="H542" t="s">
        <v>5943</v>
      </c>
      <c r="I542">
        <v>0</v>
      </c>
      <c r="J542" t="s">
        <v>343</v>
      </c>
      <c r="K542">
        <v>2000</v>
      </c>
      <c r="M542">
        <v>2000</v>
      </c>
    </row>
    <row r="543" spans="1:13" x14ac:dyDescent="0.35">
      <c r="A543" t="str">
        <f t="shared" si="36"/>
        <v>CAI074573441761830000</v>
      </c>
      <c r="B543" t="s">
        <v>2018</v>
      </c>
      <c r="C543" s="1">
        <v>45734</v>
      </c>
      <c r="D543" t="str">
        <f>"417"</f>
        <v>417</v>
      </c>
      <c r="E543" t="str">
        <f>"61830000"</f>
        <v>61830000</v>
      </c>
      <c r="F543" t="s">
        <v>2056</v>
      </c>
      <c r="G543" t="s">
        <v>336</v>
      </c>
      <c r="H543" t="s">
        <v>5906</v>
      </c>
      <c r="I543">
        <v>0</v>
      </c>
      <c r="J543" t="s">
        <v>343</v>
      </c>
      <c r="K543">
        <v>45200</v>
      </c>
      <c r="M543">
        <v>45200</v>
      </c>
    </row>
    <row r="544" spans="1:13" x14ac:dyDescent="0.35">
      <c r="A544" t="str">
        <f t="shared" si="36"/>
        <v>CAI074573441862420000</v>
      </c>
      <c r="B544" t="s">
        <v>2018</v>
      </c>
      <c r="C544" s="1">
        <v>45734</v>
      </c>
      <c r="D544" t="str">
        <f>"418"</f>
        <v>418</v>
      </c>
      <c r="E544" t="str">
        <f>"62420000"</f>
        <v>62420000</v>
      </c>
      <c r="F544" t="s">
        <v>2124</v>
      </c>
      <c r="G544" t="s">
        <v>336</v>
      </c>
      <c r="H544" t="s">
        <v>5955</v>
      </c>
      <c r="I544">
        <v>0</v>
      </c>
      <c r="J544" t="s">
        <v>343</v>
      </c>
      <c r="K544">
        <v>72500</v>
      </c>
      <c r="M544">
        <v>72500</v>
      </c>
    </row>
    <row r="545" spans="1:13" x14ac:dyDescent="0.35">
      <c r="A545" t="str">
        <f t="shared" si="36"/>
        <v>CAI074573441960560000</v>
      </c>
      <c r="B545" t="s">
        <v>2018</v>
      </c>
      <c r="C545" s="1">
        <v>45734</v>
      </c>
      <c r="D545" t="str">
        <f>"419"</f>
        <v>419</v>
      </c>
      <c r="E545" t="str">
        <f>"60560000"</f>
        <v>60560000</v>
      </c>
      <c r="F545" t="s">
        <v>2125</v>
      </c>
      <c r="G545" t="s">
        <v>336</v>
      </c>
      <c r="H545" t="s">
        <v>5906</v>
      </c>
      <c r="I545">
        <v>0</v>
      </c>
      <c r="J545" t="s">
        <v>343</v>
      </c>
      <c r="K545">
        <v>2000</v>
      </c>
      <c r="M545">
        <v>2000</v>
      </c>
    </row>
    <row r="546" spans="1:13" x14ac:dyDescent="0.35">
      <c r="A546" t="str">
        <f t="shared" si="36"/>
        <v>CAI074573442061810100</v>
      </c>
      <c r="B546" t="s">
        <v>2018</v>
      </c>
      <c r="C546" s="1">
        <v>45734</v>
      </c>
      <c r="D546" t="str">
        <f>"420"</f>
        <v>420</v>
      </c>
      <c r="E546" t="str">
        <f>"61810100"</f>
        <v>61810100</v>
      </c>
      <c r="F546" t="s">
        <v>2127</v>
      </c>
      <c r="G546" t="s">
        <v>336</v>
      </c>
      <c r="H546" t="s">
        <v>5943</v>
      </c>
      <c r="I546">
        <v>0</v>
      </c>
      <c r="J546" t="s">
        <v>343</v>
      </c>
      <c r="K546">
        <v>15150</v>
      </c>
      <c r="M546">
        <v>15150</v>
      </c>
    </row>
    <row r="547" spans="1:13" x14ac:dyDescent="0.35">
      <c r="A547" t="str">
        <f t="shared" si="36"/>
        <v>CAI074573442063883000</v>
      </c>
      <c r="B547" t="s">
        <v>2018</v>
      </c>
      <c r="C547" s="1">
        <v>45734</v>
      </c>
      <c r="D547" t="str">
        <f>"420"</f>
        <v>420</v>
      </c>
      <c r="E547" t="str">
        <f>"63883000"</f>
        <v>63883000</v>
      </c>
      <c r="F547" t="s">
        <v>2128</v>
      </c>
      <c r="G547" t="s">
        <v>336</v>
      </c>
      <c r="H547" t="s">
        <v>5943</v>
      </c>
      <c r="I547">
        <v>0</v>
      </c>
      <c r="J547" t="s">
        <v>343</v>
      </c>
      <c r="K547">
        <v>2020</v>
      </c>
      <c r="M547">
        <v>2020</v>
      </c>
    </row>
    <row r="548" spans="1:13" x14ac:dyDescent="0.35">
      <c r="A548" t="str">
        <f t="shared" si="36"/>
        <v>CAI074573442161810100</v>
      </c>
      <c r="B548" t="s">
        <v>2018</v>
      </c>
      <c r="C548" s="1">
        <v>45734</v>
      </c>
      <c r="D548" t="str">
        <f>"421"</f>
        <v>421</v>
      </c>
      <c r="E548" t="str">
        <f>"61810100"</f>
        <v>61810100</v>
      </c>
      <c r="F548" t="s">
        <v>2130</v>
      </c>
      <c r="G548" t="s">
        <v>336</v>
      </c>
      <c r="H548" t="s">
        <v>5943</v>
      </c>
      <c r="I548">
        <v>0</v>
      </c>
      <c r="J548" t="s">
        <v>343</v>
      </c>
      <c r="K548">
        <v>15150</v>
      </c>
      <c r="M548">
        <v>15150</v>
      </c>
    </row>
    <row r="549" spans="1:13" x14ac:dyDescent="0.35">
      <c r="A549" t="str">
        <f t="shared" si="36"/>
        <v>CAI074573442163883000</v>
      </c>
      <c r="B549" t="s">
        <v>2018</v>
      </c>
      <c r="C549" s="1">
        <v>45734</v>
      </c>
      <c r="D549" t="str">
        <f>"421"</f>
        <v>421</v>
      </c>
      <c r="E549" t="str">
        <f>"63883000"</f>
        <v>63883000</v>
      </c>
      <c r="F549" t="s">
        <v>2131</v>
      </c>
      <c r="G549" t="s">
        <v>336</v>
      </c>
      <c r="H549" t="s">
        <v>5943</v>
      </c>
      <c r="I549">
        <v>0</v>
      </c>
      <c r="J549" t="s">
        <v>343</v>
      </c>
      <c r="K549">
        <v>2020</v>
      </c>
      <c r="M549">
        <v>2020</v>
      </c>
    </row>
    <row r="550" spans="1:13" x14ac:dyDescent="0.35">
      <c r="A550" t="str">
        <f t="shared" si="36"/>
        <v>CAI074573442261810100</v>
      </c>
      <c r="B550" t="s">
        <v>2018</v>
      </c>
      <c r="C550" s="1">
        <v>45734</v>
      </c>
      <c r="D550" t="str">
        <f>"422"</f>
        <v>422</v>
      </c>
      <c r="E550" t="str">
        <f>"61810100"</f>
        <v>61810100</v>
      </c>
      <c r="F550" t="s">
        <v>2067</v>
      </c>
      <c r="G550" t="s">
        <v>336</v>
      </c>
      <c r="H550" t="s">
        <v>5943</v>
      </c>
      <c r="I550">
        <v>0</v>
      </c>
      <c r="J550" t="s">
        <v>343</v>
      </c>
      <c r="K550">
        <v>10000</v>
      </c>
      <c r="M550">
        <v>10000</v>
      </c>
    </row>
    <row r="551" spans="1:13" x14ac:dyDescent="0.35">
      <c r="A551" t="str">
        <f t="shared" si="36"/>
        <v>CAI074573442361810100</v>
      </c>
      <c r="B551" t="s">
        <v>2018</v>
      </c>
      <c r="C551" s="1">
        <v>45734</v>
      </c>
      <c r="D551" t="str">
        <f>"423"</f>
        <v>423</v>
      </c>
      <c r="E551" t="str">
        <f>"61810100"</f>
        <v>61810100</v>
      </c>
      <c r="F551" t="s">
        <v>2133</v>
      </c>
      <c r="G551" t="s">
        <v>336</v>
      </c>
      <c r="H551" t="s">
        <v>5943</v>
      </c>
      <c r="I551">
        <v>0</v>
      </c>
      <c r="J551" t="s">
        <v>343</v>
      </c>
      <c r="K551">
        <v>10100</v>
      </c>
      <c r="M551">
        <v>10100</v>
      </c>
    </row>
    <row r="552" spans="1:13" x14ac:dyDescent="0.35">
      <c r="A552" t="str">
        <f t="shared" si="36"/>
        <v>CAI074573442363883000</v>
      </c>
      <c r="B552" t="s">
        <v>2018</v>
      </c>
      <c r="C552" s="1">
        <v>45734</v>
      </c>
      <c r="D552" t="str">
        <f>"423"</f>
        <v>423</v>
      </c>
      <c r="E552" t="str">
        <f>"63883000"</f>
        <v>63883000</v>
      </c>
      <c r="F552" t="s">
        <v>2134</v>
      </c>
      <c r="G552" t="s">
        <v>336</v>
      </c>
      <c r="H552" t="s">
        <v>5943</v>
      </c>
      <c r="I552">
        <v>0</v>
      </c>
      <c r="J552" t="s">
        <v>343</v>
      </c>
      <c r="K552">
        <v>2020</v>
      </c>
      <c r="M552">
        <v>2020</v>
      </c>
    </row>
    <row r="553" spans="1:13" x14ac:dyDescent="0.35">
      <c r="A553" t="str">
        <f t="shared" si="36"/>
        <v>CAI074573442461810100</v>
      </c>
      <c r="B553" t="s">
        <v>2018</v>
      </c>
      <c r="C553" s="1">
        <v>45734</v>
      </c>
      <c r="D553" t="str">
        <f>"424"</f>
        <v>424</v>
      </c>
      <c r="E553" t="str">
        <f>"61810100"</f>
        <v>61810100</v>
      </c>
      <c r="F553" t="s">
        <v>2135</v>
      </c>
      <c r="G553" t="s">
        <v>336</v>
      </c>
      <c r="H553" t="s">
        <v>5943</v>
      </c>
      <c r="I553">
        <v>0</v>
      </c>
      <c r="J553" t="s">
        <v>343</v>
      </c>
      <c r="K553">
        <v>10100</v>
      </c>
      <c r="M553">
        <v>10100</v>
      </c>
    </row>
    <row r="554" spans="1:13" x14ac:dyDescent="0.35">
      <c r="A554" t="str">
        <f t="shared" si="36"/>
        <v>CAI074573542561810100</v>
      </c>
      <c r="B554" t="s">
        <v>2018</v>
      </c>
      <c r="C554" s="1">
        <v>45735</v>
      </c>
      <c r="D554" t="str">
        <f>"425"</f>
        <v>425</v>
      </c>
      <c r="E554" t="str">
        <f>"61810100"</f>
        <v>61810100</v>
      </c>
      <c r="F554" t="s">
        <v>2136</v>
      </c>
      <c r="G554" t="s">
        <v>336</v>
      </c>
      <c r="H554" t="s">
        <v>5943</v>
      </c>
      <c r="I554">
        <v>0</v>
      </c>
      <c r="J554" t="s">
        <v>343</v>
      </c>
      <c r="K554">
        <v>10000</v>
      </c>
      <c r="M554">
        <v>10000</v>
      </c>
    </row>
    <row r="555" spans="1:13" x14ac:dyDescent="0.35">
      <c r="A555" t="str">
        <f t="shared" si="36"/>
        <v>CAI074573542661810100</v>
      </c>
      <c r="B555" t="s">
        <v>2018</v>
      </c>
      <c r="C555" s="1">
        <v>45735</v>
      </c>
      <c r="D555" t="str">
        <f>"426"</f>
        <v>426</v>
      </c>
      <c r="E555" t="str">
        <f>"61810100"</f>
        <v>61810100</v>
      </c>
      <c r="F555" t="s">
        <v>2138</v>
      </c>
      <c r="G555" t="s">
        <v>336</v>
      </c>
      <c r="H555" t="s">
        <v>5943</v>
      </c>
      <c r="I555">
        <v>0</v>
      </c>
      <c r="J555" t="s">
        <v>343</v>
      </c>
      <c r="K555">
        <v>10000</v>
      </c>
      <c r="M555">
        <v>10000</v>
      </c>
    </row>
    <row r="556" spans="1:13" x14ac:dyDescent="0.35">
      <c r="A556" t="str">
        <f t="shared" si="36"/>
        <v>CAI074573542663883000</v>
      </c>
      <c r="B556" t="s">
        <v>2018</v>
      </c>
      <c r="C556" s="1">
        <v>45735</v>
      </c>
      <c r="D556" t="str">
        <f>"426"</f>
        <v>426</v>
      </c>
      <c r="E556" t="str">
        <f>"63883000"</f>
        <v>63883000</v>
      </c>
      <c r="F556" t="s">
        <v>2139</v>
      </c>
      <c r="G556" t="s">
        <v>336</v>
      </c>
      <c r="H556" t="s">
        <v>5943</v>
      </c>
      <c r="I556">
        <v>0</v>
      </c>
      <c r="J556" t="s">
        <v>343</v>
      </c>
      <c r="K556">
        <v>2000</v>
      </c>
      <c r="M556">
        <v>2000</v>
      </c>
    </row>
    <row r="557" spans="1:13" x14ac:dyDescent="0.35">
      <c r="A557" t="str">
        <f t="shared" si="36"/>
        <v>CAI074573542864630000</v>
      </c>
      <c r="B557" t="s">
        <v>2018</v>
      </c>
      <c r="C557" s="1">
        <v>45735</v>
      </c>
      <c r="D557" t="str">
        <f>"428"</f>
        <v>428</v>
      </c>
      <c r="E557" t="str">
        <f>"64630000"</f>
        <v>64630000</v>
      </c>
      <c r="F557" t="s">
        <v>2043</v>
      </c>
      <c r="G557" t="s">
        <v>336</v>
      </c>
      <c r="H557" t="s">
        <v>5943</v>
      </c>
      <c r="I557">
        <v>0</v>
      </c>
      <c r="J557" t="s">
        <v>343</v>
      </c>
      <c r="K557">
        <v>100000</v>
      </c>
      <c r="M557">
        <v>100000</v>
      </c>
    </row>
    <row r="558" spans="1:13" x14ac:dyDescent="0.35">
      <c r="A558" t="str">
        <f t="shared" si="36"/>
        <v>CAI074573542962420000</v>
      </c>
      <c r="B558" t="s">
        <v>2018</v>
      </c>
      <c r="C558" s="1">
        <v>45735</v>
      </c>
      <c r="D558" t="str">
        <f>"429"</f>
        <v>429</v>
      </c>
      <c r="E558" t="str">
        <f>"62420000"</f>
        <v>62420000</v>
      </c>
      <c r="F558" t="s">
        <v>2125</v>
      </c>
      <c r="G558" t="s">
        <v>336</v>
      </c>
      <c r="H558" t="s">
        <v>5955</v>
      </c>
      <c r="I558">
        <v>0</v>
      </c>
      <c r="J558" t="s">
        <v>343</v>
      </c>
      <c r="K558">
        <v>30000</v>
      </c>
      <c r="M558">
        <v>30000</v>
      </c>
    </row>
    <row r="559" spans="1:13" x14ac:dyDescent="0.35">
      <c r="A559" t="str">
        <f t="shared" si="36"/>
        <v>CAI074573543060420000</v>
      </c>
      <c r="B559" t="s">
        <v>2018</v>
      </c>
      <c r="C559" s="1">
        <v>45735</v>
      </c>
      <c r="D559" t="str">
        <f>"430"</f>
        <v>430</v>
      </c>
      <c r="E559" t="str">
        <f>"60420000"</f>
        <v>60420000</v>
      </c>
      <c r="F559" t="s">
        <v>2141</v>
      </c>
      <c r="G559" t="s">
        <v>336</v>
      </c>
      <c r="H559" t="s">
        <v>5943</v>
      </c>
      <c r="I559">
        <v>0</v>
      </c>
      <c r="J559" t="s">
        <v>343</v>
      </c>
      <c r="K559">
        <v>400000</v>
      </c>
      <c r="M559">
        <v>400000</v>
      </c>
    </row>
    <row r="560" spans="1:13" x14ac:dyDescent="0.35">
      <c r="A560" t="str">
        <f t="shared" si="36"/>
        <v>CAI074573543061810100</v>
      </c>
      <c r="B560" t="s">
        <v>2018</v>
      </c>
      <c r="C560" s="1">
        <v>45735</v>
      </c>
      <c r="D560" t="str">
        <f>"430"</f>
        <v>430</v>
      </c>
      <c r="E560" t="str">
        <f>"61810100"</f>
        <v>61810100</v>
      </c>
      <c r="F560" t="s">
        <v>2142</v>
      </c>
      <c r="G560" t="s">
        <v>336</v>
      </c>
      <c r="H560" t="s">
        <v>5943</v>
      </c>
      <c r="I560">
        <v>0</v>
      </c>
      <c r="J560" t="s">
        <v>343</v>
      </c>
      <c r="K560">
        <v>530000</v>
      </c>
      <c r="M560">
        <v>530000</v>
      </c>
    </row>
    <row r="561" spans="1:13" x14ac:dyDescent="0.35">
      <c r="A561" t="str">
        <f t="shared" si="36"/>
        <v>CAI074573543161810100</v>
      </c>
      <c r="B561" t="s">
        <v>2018</v>
      </c>
      <c r="C561" s="1">
        <v>45735</v>
      </c>
      <c r="D561" t="str">
        <f>"431"</f>
        <v>431</v>
      </c>
      <c r="E561" t="str">
        <f>"61810100"</f>
        <v>61810100</v>
      </c>
      <c r="F561" t="s">
        <v>2144</v>
      </c>
      <c r="G561" t="s">
        <v>336</v>
      </c>
      <c r="H561" t="s">
        <v>5943</v>
      </c>
      <c r="I561">
        <v>0</v>
      </c>
      <c r="J561" t="s">
        <v>343</v>
      </c>
      <c r="K561">
        <v>15150</v>
      </c>
      <c r="M561">
        <v>15150</v>
      </c>
    </row>
    <row r="562" spans="1:13" x14ac:dyDescent="0.35">
      <c r="A562" t="str">
        <f t="shared" si="36"/>
        <v>CAI074573543163883000</v>
      </c>
      <c r="B562" t="s">
        <v>2018</v>
      </c>
      <c r="C562" s="1">
        <v>45735</v>
      </c>
      <c r="D562" t="str">
        <f>"431"</f>
        <v>431</v>
      </c>
      <c r="E562" t="str">
        <f>"63883000"</f>
        <v>63883000</v>
      </c>
      <c r="F562" t="s">
        <v>2145</v>
      </c>
      <c r="G562" t="s">
        <v>336</v>
      </c>
      <c r="H562" t="s">
        <v>5943</v>
      </c>
      <c r="I562">
        <v>0</v>
      </c>
      <c r="J562" t="s">
        <v>343</v>
      </c>
      <c r="K562">
        <v>2020</v>
      </c>
      <c r="M562">
        <v>2020</v>
      </c>
    </row>
    <row r="563" spans="1:13" x14ac:dyDescent="0.35">
      <c r="A563" t="str">
        <f t="shared" si="36"/>
        <v>CAI074573643260420000</v>
      </c>
      <c r="B563" t="s">
        <v>2018</v>
      </c>
      <c r="C563" s="1">
        <v>45736</v>
      </c>
      <c r="D563" t="str">
        <f>"432"</f>
        <v>432</v>
      </c>
      <c r="E563" t="str">
        <f>"60420000"</f>
        <v>60420000</v>
      </c>
      <c r="F563" t="s">
        <v>2147</v>
      </c>
      <c r="G563" t="s">
        <v>336</v>
      </c>
      <c r="H563" t="s">
        <v>5943</v>
      </c>
      <c r="I563">
        <v>0</v>
      </c>
      <c r="J563" t="s">
        <v>343</v>
      </c>
      <c r="K563">
        <v>43430</v>
      </c>
      <c r="M563">
        <v>43430</v>
      </c>
    </row>
    <row r="564" spans="1:13" x14ac:dyDescent="0.35">
      <c r="A564" t="str">
        <f t="shared" si="36"/>
        <v>CAI074573643261810100</v>
      </c>
      <c r="B564" t="s">
        <v>2018</v>
      </c>
      <c r="C564" s="1">
        <v>45736</v>
      </c>
      <c r="D564" t="str">
        <f>"432"</f>
        <v>432</v>
      </c>
      <c r="E564" t="str">
        <f>"61810100"</f>
        <v>61810100</v>
      </c>
      <c r="F564" t="s">
        <v>2148</v>
      </c>
      <c r="G564" t="s">
        <v>336</v>
      </c>
      <c r="H564" t="s">
        <v>5943</v>
      </c>
      <c r="I564">
        <v>0</v>
      </c>
      <c r="J564" t="s">
        <v>343</v>
      </c>
      <c r="K564">
        <v>15150</v>
      </c>
      <c r="M564">
        <v>15150</v>
      </c>
    </row>
    <row r="565" spans="1:13" x14ac:dyDescent="0.35">
      <c r="A565" t="str">
        <f t="shared" si="36"/>
        <v>CAI074573643361810100</v>
      </c>
      <c r="B565" t="s">
        <v>2018</v>
      </c>
      <c r="C565" s="1">
        <v>45736</v>
      </c>
      <c r="D565" t="str">
        <f>"433"</f>
        <v>433</v>
      </c>
      <c r="E565" t="str">
        <f>"61810100"</f>
        <v>61810100</v>
      </c>
      <c r="F565" t="s">
        <v>2149</v>
      </c>
      <c r="G565" t="s">
        <v>336</v>
      </c>
      <c r="H565" t="s">
        <v>5943</v>
      </c>
      <c r="I565">
        <v>0</v>
      </c>
      <c r="J565" t="s">
        <v>343</v>
      </c>
      <c r="K565">
        <v>15150</v>
      </c>
      <c r="M565">
        <v>15150</v>
      </c>
    </row>
    <row r="566" spans="1:13" x14ac:dyDescent="0.35">
      <c r="A566" t="str">
        <f t="shared" si="36"/>
        <v>CAI074573643464630000</v>
      </c>
      <c r="B566" t="s">
        <v>2018</v>
      </c>
      <c r="C566" s="1">
        <v>45736</v>
      </c>
      <c r="D566" t="str">
        <f>"434"</f>
        <v>434</v>
      </c>
      <c r="E566" t="str">
        <f>"64630000"</f>
        <v>64630000</v>
      </c>
      <c r="F566" t="s">
        <v>2054</v>
      </c>
      <c r="G566" t="s">
        <v>336</v>
      </c>
      <c r="H566" t="s">
        <v>5943</v>
      </c>
      <c r="I566">
        <v>0</v>
      </c>
      <c r="J566" t="s">
        <v>343</v>
      </c>
      <c r="K566">
        <v>15000</v>
      </c>
      <c r="M566">
        <v>15000</v>
      </c>
    </row>
    <row r="567" spans="1:13" x14ac:dyDescent="0.35">
      <c r="A567" t="str">
        <f t="shared" si="36"/>
        <v>CAI074573643561830000</v>
      </c>
      <c r="B567" t="s">
        <v>2018</v>
      </c>
      <c r="C567" s="1">
        <v>45736</v>
      </c>
      <c r="D567" t="str">
        <f>"435"</f>
        <v>435</v>
      </c>
      <c r="E567" t="str">
        <f>"61830000"</f>
        <v>61830000</v>
      </c>
      <c r="F567" t="s">
        <v>2069</v>
      </c>
      <c r="G567" t="s">
        <v>336</v>
      </c>
      <c r="H567" t="s">
        <v>5906</v>
      </c>
      <c r="I567">
        <v>0</v>
      </c>
      <c r="J567" t="s">
        <v>343</v>
      </c>
      <c r="K567">
        <v>6000</v>
      </c>
      <c r="M567">
        <v>6000</v>
      </c>
    </row>
    <row r="568" spans="1:13" x14ac:dyDescent="0.35">
      <c r="A568" t="str">
        <f t="shared" si="36"/>
        <v>CAI074573643661810100</v>
      </c>
      <c r="B568" t="s">
        <v>2018</v>
      </c>
      <c r="C568" s="1">
        <v>45736</v>
      </c>
      <c r="D568" t="str">
        <f>"436"</f>
        <v>436</v>
      </c>
      <c r="E568" t="str">
        <f>"61810100"</f>
        <v>61810100</v>
      </c>
      <c r="F568" t="s">
        <v>2086</v>
      </c>
      <c r="G568" t="s">
        <v>336</v>
      </c>
      <c r="H568" t="s">
        <v>5943</v>
      </c>
      <c r="I568">
        <v>0</v>
      </c>
      <c r="J568" t="s">
        <v>343</v>
      </c>
      <c r="K568">
        <v>15150</v>
      </c>
      <c r="M568">
        <v>15150</v>
      </c>
    </row>
    <row r="569" spans="1:13" x14ac:dyDescent="0.35">
      <c r="A569" t="str">
        <f t="shared" si="36"/>
        <v>CAI074573643663883000</v>
      </c>
      <c r="B569" t="s">
        <v>2018</v>
      </c>
      <c r="C569" s="1">
        <v>45736</v>
      </c>
      <c r="D569" t="str">
        <f>"436"</f>
        <v>436</v>
      </c>
      <c r="E569" t="str">
        <f>"63883000"</f>
        <v>63883000</v>
      </c>
      <c r="F569" t="s">
        <v>2087</v>
      </c>
      <c r="G569" t="s">
        <v>336</v>
      </c>
      <c r="H569" t="s">
        <v>5943</v>
      </c>
      <c r="I569">
        <v>0</v>
      </c>
      <c r="J569" t="s">
        <v>343</v>
      </c>
      <c r="K569">
        <v>2020</v>
      </c>
      <c r="M569">
        <v>2020</v>
      </c>
    </row>
    <row r="570" spans="1:13" x14ac:dyDescent="0.35">
      <c r="A570" t="str">
        <f t="shared" si="36"/>
        <v>CAI074573643760420000</v>
      </c>
      <c r="B570" t="s">
        <v>2018</v>
      </c>
      <c r="C570" s="1">
        <v>45736</v>
      </c>
      <c r="D570" t="str">
        <f>"437"</f>
        <v>437</v>
      </c>
      <c r="E570" t="str">
        <f>"60420000"</f>
        <v>60420000</v>
      </c>
      <c r="F570" t="s">
        <v>2152</v>
      </c>
      <c r="G570" t="s">
        <v>336</v>
      </c>
      <c r="H570" t="s">
        <v>5943</v>
      </c>
      <c r="I570">
        <v>0</v>
      </c>
      <c r="J570" t="s">
        <v>343</v>
      </c>
      <c r="K570">
        <v>43430</v>
      </c>
      <c r="M570">
        <v>43430</v>
      </c>
    </row>
    <row r="571" spans="1:13" x14ac:dyDescent="0.35">
      <c r="A571" t="str">
        <f t="shared" si="36"/>
        <v>CAI074573643761810100</v>
      </c>
      <c r="B571" t="s">
        <v>2018</v>
      </c>
      <c r="C571" s="1">
        <v>45736</v>
      </c>
      <c r="D571" t="str">
        <f>"437"</f>
        <v>437</v>
      </c>
      <c r="E571" t="str">
        <f>"61810100"</f>
        <v>61810100</v>
      </c>
      <c r="F571" t="s">
        <v>2153</v>
      </c>
      <c r="G571" t="s">
        <v>336</v>
      </c>
      <c r="H571" t="s">
        <v>5943</v>
      </c>
      <c r="I571">
        <v>0</v>
      </c>
      <c r="J571" t="s">
        <v>343</v>
      </c>
      <c r="K571">
        <v>2020</v>
      </c>
      <c r="M571">
        <v>2020</v>
      </c>
    </row>
    <row r="572" spans="1:13" x14ac:dyDescent="0.35">
      <c r="A572" t="str">
        <f t="shared" si="36"/>
        <v>CAI074573743961810100</v>
      </c>
      <c r="B572" t="s">
        <v>2018</v>
      </c>
      <c r="C572" s="1">
        <v>45737</v>
      </c>
      <c r="D572" t="str">
        <f>"439"</f>
        <v>439</v>
      </c>
      <c r="E572" t="str">
        <f>"61810100"</f>
        <v>61810100</v>
      </c>
      <c r="F572" t="s">
        <v>2155</v>
      </c>
      <c r="G572" t="s">
        <v>336</v>
      </c>
      <c r="H572" t="s">
        <v>5943</v>
      </c>
      <c r="I572">
        <v>0</v>
      </c>
      <c r="J572" t="s">
        <v>343</v>
      </c>
      <c r="K572">
        <v>10010</v>
      </c>
      <c r="M572">
        <v>10010</v>
      </c>
    </row>
    <row r="573" spans="1:13" x14ac:dyDescent="0.35">
      <c r="A573" t="str">
        <f t="shared" si="36"/>
        <v>CAI074573743963883000</v>
      </c>
      <c r="B573" t="s">
        <v>2018</v>
      </c>
      <c r="C573" s="1">
        <v>45737</v>
      </c>
      <c r="D573" t="str">
        <f>"439"</f>
        <v>439</v>
      </c>
      <c r="E573" t="str">
        <f>"63883000"</f>
        <v>63883000</v>
      </c>
      <c r="F573" t="s">
        <v>2156</v>
      </c>
      <c r="G573" t="s">
        <v>336</v>
      </c>
      <c r="H573" t="s">
        <v>5943</v>
      </c>
      <c r="I573">
        <v>0</v>
      </c>
      <c r="J573" t="s">
        <v>343</v>
      </c>
      <c r="K573">
        <v>2020</v>
      </c>
      <c r="M573">
        <v>2020</v>
      </c>
    </row>
    <row r="574" spans="1:13" x14ac:dyDescent="0.35">
      <c r="A574" t="str">
        <f t="shared" si="36"/>
        <v>CAI074573744061810100</v>
      </c>
      <c r="B574" t="s">
        <v>2018</v>
      </c>
      <c r="C574" s="1">
        <v>45737</v>
      </c>
      <c r="D574" t="str">
        <f>"440"</f>
        <v>440</v>
      </c>
      <c r="E574" t="str">
        <f>"61810100"</f>
        <v>61810100</v>
      </c>
      <c r="F574" t="s">
        <v>2157</v>
      </c>
      <c r="G574" t="s">
        <v>336</v>
      </c>
      <c r="H574" t="s">
        <v>5943</v>
      </c>
      <c r="I574">
        <v>0</v>
      </c>
      <c r="J574" t="s">
        <v>343</v>
      </c>
      <c r="K574">
        <v>5000</v>
      </c>
      <c r="M574">
        <v>5000</v>
      </c>
    </row>
    <row r="575" spans="1:13" x14ac:dyDescent="0.35">
      <c r="A575" t="str">
        <f t="shared" si="36"/>
        <v>CAI074573744160420000</v>
      </c>
      <c r="B575" t="s">
        <v>2018</v>
      </c>
      <c r="C575" s="1">
        <v>45737</v>
      </c>
      <c r="D575" t="str">
        <f>"441"</f>
        <v>441</v>
      </c>
      <c r="E575" t="str">
        <f>"60420000"</f>
        <v>60420000</v>
      </c>
      <c r="F575" t="s">
        <v>2159</v>
      </c>
      <c r="G575" t="s">
        <v>336</v>
      </c>
      <c r="H575" t="s">
        <v>5943</v>
      </c>
      <c r="I575">
        <v>0</v>
      </c>
      <c r="J575" t="s">
        <v>343</v>
      </c>
      <c r="K575">
        <v>43000</v>
      </c>
      <c r="M575">
        <v>43000</v>
      </c>
    </row>
    <row r="576" spans="1:13" x14ac:dyDescent="0.35">
      <c r="A576" t="str">
        <f t="shared" si="36"/>
        <v>CAI074573744161810100</v>
      </c>
      <c r="B576" t="s">
        <v>2018</v>
      </c>
      <c r="C576" s="1">
        <v>45737</v>
      </c>
      <c r="D576" t="str">
        <f>"441"</f>
        <v>441</v>
      </c>
      <c r="E576" t="str">
        <f>"61810100"</f>
        <v>61810100</v>
      </c>
      <c r="F576" t="s">
        <v>2160</v>
      </c>
      <c r="G576" t="s">
        <v>336</v>
      </c>
      <c r="H576" t="s">
        <v>5943</v>
      </c>
      <c r="I576">
        <v>0</v>
      </c>
      <c r="J576" t="s">
        <v>343</v>
      </c>
      <c r="K576">
        <v>15000</v>
      </c>
      <c r="M576">
        <v>15000</v>
      </c>
    </row>
    <row r="577" spans="1:13" x14ac:dyDescent="0.35">
      <c r="A577" t="str">
        <f t="shared" si="36"/>
        <v>CAI074573744261810100</v>
      </c>
      <c r="B577" t="s">
        <v>2018</v>
      </c>
      <c r="C577" s="1">
        <v>45737</v>
      </c>
      <c r="D577" t="str">
        <f>"442"</f>
        <v>442</v>
      </c>
      <c r="E577" t="str">
        <f>"61810100"</f>
        <v>61810100</v>
      </c>
      <c r="F577" t="s">
        <v>2162</v>
      </c>
      <c r="G577" t="s">
        <v>336</v>
      </c>
      <c r="H577" t="s">
        <v>5943</v>
      </c>
      <c r="I577">
        <v>0</v>
      </c>
      <c r="J577" t="s">
        <v>343</v>
      </c>
      <c r="K577">
        <v>15150</v>
      </c>
      <c r="M577">
        <v>15150</v>
      </c>
    </row>
    <row r="578" spans="1:13" x14ac:dyDescent="0.35">
      <c r="A578" t="str">
        <f t="shared" si="36"/>
        <v>CAI074573744263883000</v>
      </c>
      <c r="B578" t="s">
        <v>2018</v>
      </c>
      <c r="C578" s="1">
        <v>45737</v>
      </c>
      <c r="D578" t="str">
        <f>"442"</f>
        <v>442</v>
      </c>
      <c r="E578" t="str">
        <f>"63883000"</f>
        <v>63883000</v>
      </c>
      <c r="F578" t="s">
        <v>2163</v>
      </c>
      <c r="G578" t="s">
        <v>336</v>
      </c>
      <c r="H578" t="s">
        <v>5943</v>
      </c>
      <c r="I578">
        <v>0</v>
      </c>
      <c r="J578" t="s">
        <v>343</v>
      </c>
      <c r="K578">
        <v>2020</v>
      </c>
      <c r="M578">
        <v>2020</v>
      </c>
    </row>
    <row r="579" spans="1:13" x14ac:dyDescent="0.35">
      <c r="A579" t="str">
        <f t="shared" ref="A579:A642" si="38">CONCATENATE(B579,C579,D579,E579)</f>
        <v>CAI074573744361810100</v>
      </c>
      <c r="B579" t="s">
        <v>2018</v>
      </c>
      <c r="C579" s="1">
        <v>45737</v>
      </c>
      <c r="D579" t="str">
        <f>"443"</f>
        <v>443</v>
      </c>
      <c r="E579" t="str">
        <f>"61810100"</f>
        <v>61810100</v>
      </c>
      <c r="F579" t="s">
        <v>2165</v>
      </c>
      <c r="G579" t="s">
        <v>336</v>
      </c>
      <c r="H579" t="s">
        <v>5943</v>
      </c>
      <c r="I579">
        <v>0</v>
      </c>
      <c r="J579" t="s">
        <v>343</v>
      </c>
      <c r="K579">
        <v>15150</v>
      </c>
      <c r="M579">
        <v>15150</v>
      </c>
    </row>
    <row r="580" spans="1:13" x14ac:dyDescent="0.35">
      <c r="A580" t="str">
        <f t="shared" si="38"/>
        <v>CAI074573744363883000</v>
      </c>
      <c r="B580" t="s">
        <v>2018</v>
      </c>
      <c r="C580" s="1">
        <v>45737</v>
      </c>
      <c r="D580" t="str">
        <f>"443"</f>
        <v>443</v>
      </c>
      <c r="E580" t="str">
        <f>"63883000"</f>
        <v>63883000</v>
      </c>
      <c r="F580" t="s">
        <v>2166</v>
      </c>
      <c r="G580" t="s">
        <v>336</v>
      </c>
      <c r="H580" t="s">
        <v>5943</v>
      </c>
      <c r="I580">
        <v>0</v>
      </c>
      <c r="J580" t="s">
        <v>343</v>
      </c>
      <c r="K580">
        <v>2020</v>
      </c>
      <c r="M580">
        <v>2020</v>
      </c>
    </row>
    <row r="581" spans="1:13" x14ac:dyDescent="0.35">
      <c r="A581" t="str">
        <f t="shared" si="38"/>
        <v>CAI074573744461810100</v>
      </c>
      <c r="B581" t="s">
        <v>2018</v>
      </c>
      <c r="C581" s="1">
        <v>45737</v>
      </c>
      <c r="D581" t="str">
        <f>"444"</f>
        <v>444</v>
      </c>
      <c r="E581" t="str">
        <f t="shared" ref="E581:E587" si="39">"61810100"</f>
        <v>61810100</v>
      </c>
      <c r="F581" t="s">
        <v>2067</v>
      </c>
      <c r="G581" t="s">
        <v>336</v>
      </c>
      <c r="H581" t="s">
        <v>5943</v>
      </c>
      <c r="I581">
        <v>0</v>
      </c>
      <c r="J581" t="s">
        <v>343</v>
      </c>
      <c r="K581">
        <v>10000</v>
      </c>
      <c r="M581">
        <v>10000</v>
      </c>
    </row>
    <row r="582" spans="1:13" x14ac:dyDescent="0.35">
      <c r="A582" t="str">
        <f t="shared" si="38"/>
        <v>CAI074573844561810100</v>
      </c>
      <c r="B582" t="s">
        <v>2018</v>
      </c>
      <c r="C582" s="1">
        <v>45738</v>
      </c>
      <c r="D582" t="str">
        <f>"445"</f>
        <v>445</v>
      </c>
      <c r="E582" t="str">
        <f t="shared" si="39"/>
        <v>61810100</v>
      </c>
      <c r="F582" t="s">
        <v>2167</v>
      </c>
      <c r="G582" t="s">
        <v>336</v>
      </c>
      <c r="H582" t="s">
        <v>5943</v>
      </c>
      <c r="I582">
        <v>0</v>
      </c>
      <c r="J582" t="s">
        <v>343</v>
      </c>
      <c r="K582">
        <v>10000</v>
      </c>
      <c r="M582">
        <v>10000</v>
      </c>
    </row>
    <row r="583" spans="1:13" x14ac:dyDescent="0.35">
      <c r="A583" t="str">
        <f t="shared" si="38"/>
        <v>CAI074573844661810100</v>
      </c>
      <c r="B583" t="s">
        <v>2018</v>
      </c>
      <c r="C583" s="1">
        <v>45738</v>
      </c>
      <c r="D583" t="str">
        <f>"446"</f>
        <v>446</v>
      </c>
      <c r="E583" t="str">
        <f t="shared" si="39"/>
        <v>61810100</v>
      </c>
      <c r="F583" t="s">
        <v>2168</v>
      </c>
      <c r="G583" t="s">
        <v>336</v>
      </c>
      <c r="H583" t="s">
        <v>5943</v>
      </c>
      <c r="I583">
        <v>0</v>
      </c>
      <c r="J583" t="s">
        <v>343</v>
      </c>
      <c r="K583">
        <v>10000</v>
      </c>
      <c r="M583">
        <v>10000</v>
      </c>
    </row>
    <row r="584" spans="1:13" x14ac:dyDescent="0.35">
      <c r="A584" t="str">
        <f t="shared" si="38"/>
        <v>CAI074573844761810100</v>
      </c>
      <c r="B584" t="s">
        <v>2018</v>
      </c>
      <c r="C584" s="1">
        <v>45738</v>
      </c>
      <c r="D584" t="str">
        <f>"447"</f>
        <v>447</v>
      </c>
      <c r="E584" t="str">
        <f t="shared" si="39"/>
        <v>61810100</v>
      </c>
      <c r="F584" t="s">
        <v>2169</v>
      </c>
      <c r="G584" t="s">
        <v>336</v>
      </c>
      <c r="H584" t="s">
        <v>5943</v>
      </c>
      <c r="I584">
        <v>0</v>
      </c>
      <c r="J584" t="s">
        <v>343</v>
      </c>
      <c r="K584">
        <v>10100</v>
      </c>
      <c r="M584">
        <v>10100</v>
      </c>
    </row>
    <row r="585" spans="1:13" x14ac:dyDescent="0.35">
      <c r="A585" t="str">
        <f t="shared" si="38"/>
        <v>CAI074573844861810100</v>
      </c>
      <c r="B585" t="s">
        <v>2018</v>
      </c>
      <c r="C585" s="1">
        <v>45738</v>
      </c>
      <c r="D585" t="str">
        <f>"448"</f>
        <v>448</v>
      </c>
      <c r="E585" t="str">
        <f t="shared" si="39"/>
        <v>61810100</v>
      </c>
      <c r="F585" t="s">
        <v>2170</v>
      </c>
      <c r="G585" t="s">
        <v>336</v>
      </c>
      <c r="H585" t="s">
        <v>5943</v>
      </c>
      <c r="I585">
        <v>0</v>
      </c>
      <c r="J585" t="s">
        <v>343</v>
      </c>
      <c r="K585">
        <v>10000</v>
      </c>
      <c r="M585">
        <v>10000</v>
      </c>
    </row>
    <row r="586" spans="1:13" x14ac:dyDescent="0.35">
      <c r="A586" t="str">
        <f t="shared" si="38"/>
        <v>CAI074573844961810100</v>
      </c>
      <c r="B586" t="s">
        <v>2018</v>
      </c>
      <c r="C586" s="1">
        <v>45738</v>
      </c>
      <c r="D586" t="str">
        <f>"449"</f>
        <v>449</v>
      </c>
      <c r="E586" t="str">
        <f t="shared" si="39"/>
        <v>61810100</v>
      </c>
      <c r="F586" t="s">
        <v>2171</v>
      </c>
      <c r="G586" t="s">
        <v>336</v>
      </c>
      <c r="H586" t="s">
        <v>5943</v>
      </c>
      <c r="I586">
        <v>0</v>
      </c>
      <c r="J586" t="s">
        <v>343</v>
      </c>
      <c r="K586">
        <v>10000</v>
      </c>
      <c r="M586">
        <v>10000</v>
      </c>
    </row>
    <row r="587" spans="1:13" x14ac:dyDescent="0.35">
      <c r="A587" t="str">
        <f t="shared" si="38"/>
        <v>CAI074573845061810100</v>
      </c>
      <c r="B587" t="s">
        <v>2018</v>
      </c>
      <c r="C587" s="1">
        <v>45738</v>
      </c>
      <c r="D587" t="str">
        <f>"450"</f>
        <v>450</v>
      </c>
      <c r="E587" t="str">
        <f t="shared" si="39"/>
        <v>61810100</v>
      </c>
      <c r="F587" t="s">
        <v>2155</v>
      </c>
      <c r="G587" t="s">
        <v>336</v>
      </c>
      <c r="H587" t="s">
        <v>5943</v>
      </c>
      <c r="I587">
        <v>0</v>
      </c>
      <c r="J587" t="s">
        <v>343</v>
      </c>
      <c r="K587">
        <v>10000</v>
      </c>
      <c r="M587">
        <v>10000</v>
      </c>
    </row>
    <row r="588" spans="1:13" x14ac:dyDescent="0.35">
      <c r="A588" t="str">
        <f t="shared" si="38"/>
        <v>CAI074573845063883000</v>
      </c>
      <c r="B588" t="s">
        <v>2018</v>
      </c>
      <c r="C588" s="1">
        <v>45738</v>
      </c>
      <c r="D588" t="str">
        <f>"450"</f>
        <v>450</v>
      </c>
      <c r="E588" t="str">
        <f>"63883000"</f>
        <v>63883000</v>
      </c>
      <c r="F588" t="s">
        <v>2156</v>
      </c>
      <c r="G588" t="s">
        <v>336</v>
      </c>
      <c r="H588" t="s">
        <v>5943</v>
      </c>
      <c r="I588">
        <v>0</v>
      </c>
      <c r="J588" t="s">
        <v>343</v>
      </c>
      <c r="K588">
        <v>2000</v>
      </c>
      <c r="M588">
        <v>2000</v>
      </c>
    </row>
    <row r="589" spans="1:13" x14ac:dyDescent="0.35">
      <c r="A589" t="str">
        <f t="shared" si="38"/>
        <v>CAI074573845161810100</v>
      </c>
      <c r="B589" t="s">
        <v>2018</v>
      </c>
      <c r="C589" s="1">
        <v>45738</v>
      </c>
      <c r="D589" t="str">
        <f>"451"</f>
        <v>451</v>
      </c>
      <c r="E589" t="str">
        <f>"61810100"</f>
        <v>61810100</v>
      </c>
      <c r="F589" t="s">
        <v>2173</v>
      </c>
      <c r="G589" t="s">
        <v>336</v>
      </c>
      <c r="H589" t="s">
        <v>5943</v>
      </c>
      <c r="I589">
        <v>0</v>
      </c>
      <c r="J589" t="s">
        <v>343</v>
      </c>
      <c r="K589">
        <v>10000</v>
      </c>
      <c r="M589">
        <v>10000</v>
      </c>
    </row>
    <row r="590" spans="1:13" x14ac:dyDescent="0.35">
      <c r="A590" t="str">
        <f t="shared" si="38"/>
        <v>CAI074573845163883000</v>
      </c>
      <c r="B590" t="s">
        <v>2018</v>
      </c>
      <c r="C590" s="1">
        <v>45738</v>
      </c>
      <c r="D590" t="str">
        <f>"451"</f>
        <v>451</v>
      </c>
      <c r="E590" t="str">
        <f>"63883000"</f>
        <v>63883000</v>
      </c>
      <c r="F590" t="s">
        <v>2174</v>
      </c>
      <c r="G590" t="s">
        <v>336</v>
      </c>
      <c r="H590" t="s">
        <v>5943</v>
      </c>
      <c r="I590">
        <v>0</v>
      </c>
      <c r="J590" t="s">
        <v>343</v>
      </c>
      <c r="K590">
        <v>2000</v>
      </c>
      <c r="M590">
        <v>2000</v>
      </c>
    </row>
    <row r="591" spans="1:13" x14ac:dyDescent="0.35">
      <c r="A591" t="str">
        <f t="shared" si="38"/>
        <v>CAI074573845260420000</v>
      </c>
      <c r="B591" t="s">
        <v>2018</v>
      </c>
      <c r="C591" s="1">
        <v>45738</v>
      </c>
      <c r="D591" t="str">
        <f>"452"</f>
        <v>452</v>
      </c>
      <c r="E591" t="str">
        <f>"60420000"</f>
        <v>60420000</v>
      </c>
      <c r="F591" t="s">
        <v>2176</v>
      </c>
      <c r="G591" t="s">
        <v>336</v>
      </c>
      <c r="H591" t="s">
        <v>5943</v>
      </c>
      <c r="I591">
        <v>0</v>
      </c>
      <c r="J591" t="s">
        <v>343</v>
      </c>
      <c r="K591">
        <v>404000</v>
      </c>
      <c r="M591">
        <v>404000</v>
      </c>
    </row>
    <row r="592" spans="1:13" x14ac:dyDescent="0.35">
      <c r="A592" t="str">
        <f t="shared" si="38"/>
        <v>CAI074573845261810100</v>
      </c>
      <c r="B592" t="s">
        <v>2018</v>
      </c>
      <c r="C592" s="1">
        <v>45738</v>
      </c>
      <c r="D592" t="str">
        <f>"452"</f>
        <v>452</v>
      </c>
      <c r="E592" t="str">
        <f>"61810100"</f>
        <v>61810100</v>
      </c>
      <c r="F592" t="s">
        <v>2177</v>
      </c>
      <c r="G592" t="s">
        <v>336</v>
      </c>
      <c r="H592" t="s">
        <v>5943</v>
      </c>
      <c r="I592">
        <v>0</v>
      </c>
      <c r="J592" t="s">
        <v>343</v>
      </c>
      <c r="K592">
        <v>535300</v>
      </c>
      <c r="M592">
        <v>535300</v>
      </c>
    </row>
    <row r="593" spans="1:13" x14ac:dyDescent="0.35">
      <c r="A593" t="str">
        <f t="shared" si="38"/>
        <v>CAI074573845361830000</v>
      </c>
      <c r="B593" t="s">
        <v>2018</v>
      </c>
      <c r="C593" s="1">
        <v>45738</v>
      </c>
      <c r="D593" t="str">
        <f>"453"</f>
        <v>453</v>
      </c>
      <c r="E593" t="str">
        <f>"61830000"</f>
        <v>61830000</v>
      </c>
      <c r="F593" t="s">
        <v>2056</v>
      </c>
      <c r="G593" t="s">
        <v>336</v>
      </c>
      <c r="H593" t="s">
        <v>5906</v>
      </c>
      <c r="I593">
        <v>0</v>
      </c>
      <c r="J593" t="s">
        <v>343</v>
      </c>
      <c r="K593">
        <v>50500</v>
      </c>
      <c r="M593">
        <v>50500</v>
      </c>
    </row>
    <row r="594" spans="1:13" x14ac:dyDescent="0.35">
      <c r="A594" t="str">
        <f t="shared" si="38"/>
        <v>CAI074573845461830000</v>
      </c>
      <c r="B594" t="s">
        <v>2018</v>
      </c>
      <c r="C594" s="1">
        <v>45738</v>
      </c>
      <c r="D594" t="str">
        <f>"454"</f>
        <v>454</v>
      </c>
      <c r="E594" t="str">
        <f>"61830000"</f>
        <v>61830000</v>
      </c>
      <c r="F594" t="s">
        <v>2069</v>
      </c>
      <c r="G594" t="s">
        <v>336</v>
      </c>
      <c r="H594" t="s">
        <v>5906</v>
      </c>
      <c r="I594">
        <v>0</v>
      </c>
      <c r="J594" t="s">
        <v>343</v>
      </c>
      <c r="K594">
        <v>8000</v>
      </c>
      <c r="M594">
        <v>8000</v>
      </c>
    </row>
    <row r="595" spans="1:13" x14ac:dyDescent="0.35">
      <c r="A595" t="str">
        <f t="shared" si="38"/>
        <v>CAI074574045564630000</v>
      </c>
      <c r="B595" t="s">
        <v>2018</v>
      </c>
      <c r="C595" s="1">
        <v>45740</v>
      </c>
      <c r="D595" t="str">
        <f>"455"</f>
        <v>455</v>
      </c>
      <c r="E595" t="str">
        <f>"64630000"</f>
        <v>64630000</v>
      </c>
      <c r="F595" t="s">
        <v>2054</v>
      </c>
      <c r="G595" t="s">
        <v>336</v>
      </c>
      <c r="H595" t="s">
        <v>5943</v>
      </c>
      <c r="I595">
        <v>0</v>
      </c>
      <c r="J595" t="s">
        <v>343</v>
      </c>
      <c r="K595">
        <v>12500</v>
      </c>
      <c r="M595">
        <v>12500</v>
      </c>
    </row>
    <row r="596" spans="1:13" x14ac:dyDescent="0.35">
      <c r="A596" t="str">
        <f t="shared" si="38"/>
        <v>CAI074574045661810100</v>
      </c>
      <c r="B596" t="s">
        <v>2018</v>
      </c>
      <c r="C596" s="1">
        <v>45740</v>
      </c>
      <c r="D596" t="str">
        <f>"456"</f>
        <v>456</v>
      </c>
      <c r="E596" t="str">
        <f>"61810100"</f>
        <v>61810100</v>
      </c>
      <c r="F596" t="s">
        <v>2067</v>
      </c>
      <c r="G596" t="s">
        <v>336</v>
      </c>
      <c r="H596" t="s">
        <v>5943</v>
      </c>
      <c r="I596">
        <v>0</v>
      </c>
      <c r="J596" t="s">
        <v>343</v>
      </c>
      <c r="K596">
        <v>10100</v>
      </c>
      <c r="M596">
        <v>10100</v>
      </c>
    </row>
    <row r="597" spans="1:13" x14ac:dyDescent="0.35">
      <c r="A597" t="str">
        <f t="shared" si="38"/>
        <v>CAI074574045663883000</v>
      </c>
      <c r="B597" t="s">
        <v>2018</v>
      </c>
      <c r="C597" s="1">
        <v>45740</v>
      </c>
      <c r="D597" t="str">
        <f>"456"</f>
        <v>456</v>
      </c>
      <c r="E597" t="str">
        <f>"63883000"</f>
        <v>63883000</v>
      </c>
      <c r="F597" t="s">
        <v>2068</v>
      </c>
      <c r="G597" t="s">
        <v>336</v>
      </c>
      <c r="H597" t="s">
        <v>5943</v>
      </c>
      <c r="I597">
        <v>0</v>
      </c>
      <c r="J597" t="s">
        <v>343</v>
      </c>
      <c r="K597">
        <v>2020</v>
      </c>
      <c r="M597">
        <v>2020</v>
      </c>
    </row>
    <row r="598" spans="1:13" x14ac:dyDescent="0.35">
      <c r="A598" t="str">
        <f t="shared" si="38"/>
        <v>CAI074574045761810100</v>
      </c>
      <c r="B598" t="s">
        <v>2018</v>
      </c>
      <c r="C598" s="1">
        <v>45740</v>
      </c>
      <c r="D598" t="str">
        <f>"457"</f>
        <v>457</v>
      </c>
      <c r="E598" t="str">
        <f>"61810100"</f>
        <v>61810100</v>
      </c>
      <c r="F598" t="s">
        <v>2136</v>
      </c>
      <c r="G598" t="s">
        <v>336</v>
      </c>
      <c r="H598" t="s">
        <v>5943</v>
      </c>
      <c r="I598">
        <v>0</v>
      </c>
      <c r="J598" t="s">
        <v>343</v>
      </c>
      <c r="K598">
        <v>10100</v>
      </c>
      <c r="M598">
        <v>10100</v>
      </c>
    </row>
    <row r="599" spans="1:13" x14ac:dyDescent="0.35">
      <c r="A599" t="str">
        <f t="shared" si="38"/>
        <v>CAI074574045763883000</v>
      </c>
      <c r="B599" t="s">
        <v>2018</v>
      </c>
      <c r="C599" s="1">
        <v>45740</v>
      </c>
      <c r="D599" t="str">
        <f>"457"</f>
        <v>457</v>
      </c>
      <c r="E599" t="str">
        <f>"63883000"</f>
        <v>63883000</v>
      </c>
      <c r="F599" t="s">
        <v>2121</v>
      </c>
      <c r="G599" t="s">
        <v>336</v>
      </c>
      <c r="H599" t="s">
        <v>5943</v>
      </c>
      <c r="I599">
        <v>0</v>
      </c>
      <c r="J599" t="s">
        <v>343</v>
      </c>
      <c r="K599">
        <v>4040</v>
      </c>
      <c r="M599">
        <v>4040</v>
      </c>
    </row>
    <row r="600" spans="1:13" x14ac:dyDescent="0.35">
      <c r="A600" t="str">
        <f t="shared" si="38"/>
        <v>CAI074574045861810100</v>
      </c>
      <c r="B600" t="s">
        <v>2018</v>
      </c>
      <c r="C600" s="1">
        <v>45740</v>
      </c>
      <c r="D600" t="str">
        <f>"458"</f>
        <v>458</v>
      </c>
      <c r="E600" t="str">
        <f>"61810100"</f>
        <v>61810100</v>
      </c>
      <c r="F600" t="s">
        <v>2181</v>
      </c>
      <c r="G600" t="s">
        <v>336</v>
      </c>
      <c r="H600" t="s">
        <v>5943</v>
      </c>
      <c r="I600">
        <v>0</v>
      </c>
      <c r="J600" t="s">
        <v>343</v>
      </c>
      <c r="K600">
        <v>10100</v>
      </c>
      <c r="M600">
        <v>10100</v>
      </c>
    </row>
    <row r="601" spans="1:13" x14ac:dyDescent="0.35">
      <c r="A601" t="str">
        <f t="shared" si="38"/>
        <v>CAI074574045863883000</v>
      </c>
      <c r="B601" t="s">
        <v>2018</v>
      </c>
      <c r="C601" s="1">
        <v>45740</v>
      </c>
      <c r="D601" t="str">
        <f>"458"</f>
        <v>458</v>
      </c>
      <c r="E601" t="str">
        <f>"63883000"</f>
        <v>63883000</v>
      </c>
      <c r="F601" t="s">
        <v>2182</v>
      </c>
      <c r="G601" t="s">
        <v>336</v>
      </c>
      <c r="H601" t="s">
        <v>5943</v>
      </c>
      <c r="I601">
        <v>0</v>
      </c>
      <c r="J601" t="s">
        <v>343</v>
      </c>
      <c r="K601">
        <v>2020</v>
      </c>
      <c r="M601">
        <v>2020</v>
      </c>
    </row>
    <row r="602" spans="1:13" x14ac:dyDescent="0.35">
      <c r="A602" t="str">
        <f t="shared" si="38"/>
        <v>CAI074574045863883000</v>
      </c>
      <c r="B602" t="s">
        <v>2018</v>
      </c>
      <c r="C602" s="1">
        <v>45740</v>
      </c>
      <c r="D602" t="str">
        <f>"458"</f>
        <v>458</v>
      </c>
      <c r="E602" t="str">
        <f>"63883000"</f>
        <v>63883000</v>
      </c>
      <c r="F602" t="s">
        <v>2182</v>
      </c>
      <c r="G602" t="s">
        <v>336</v>
      </c>
      <c r="H602" t="s">
        <v>5943</v>
      </c>
      <c r="I602">
        <v>0</v>
      </c>
      <c r="J602" t="s">
        <v>343</v>
      </c>
      <c r="K602">
        <v>-2020</v>
      </c>
      <c r="M602">
        <v>-2020</v>
      </c>
    </row>
    <row r="603" spans="1:13" x14ac:dyDescent="0.35">
      <c r="A603" t="str">
        <f t="shared" si="38"/>
        <v>CAI074574045960420000</v>
      </c>
      <c r="B603" t="s">
        <v>2018</v>
      </c>
      <c r="C603" s="1">
        <v>45740</v>
      </c>
      <c r="D603" t="str">
        <f>"459"</f>
        <v>459</v>
      </c>
      <c r="E603" t="str">
        <f>"60420000"</f>
        <v>60420000</v>
      </c>
      <c r="F603" t="s">
        <v>2184</v>
      </c>
      <c r="G603" t="s">
        <v>336</v>
      </c>
      <c r="H603" t="s">
        <v>5943</v>
      </c>
      <c r="I603">
        <v>0</v>
      </c>
      <c r="J603" t="s">
        <v>343</v>
      </c>
      <c r="K603">
        <v>43430</v>
      </c>
      <c r="M603">
        <v>43430</v>
      </c>
    </row>
    <row r="604" spans="1:13" x14ac:dyDescent="0.35">
      <c r="A604" t="str">
        <f t="shared" si="38"/>
        <v>CAI074574045961810100</v>
      </c>
      <c r="B604" t="s">
        <v>2018</v>
      </c>
      <c r="C604" s="1">
        <v>45740</v>
      </c>
      <c r="D604" t="str">
        <f>"459"</f>
        <v>459</v>
      </c>
      <c r="E604" t="str">
        <f>"61810100"</f>
        <v>61810100</v>
      </c>
      <c r="F604" t="s">
        <v>2185</v>
      </c>
      <c r="G604" t="s">
        <v>336</v>
      </c>
      <c r="H604" t="s">
        <v>5943</v>
      </c>
      <c r="I604">
        <v>0</v>
      </c>
      <c r="J604" t="s">
        <v>343</v>
      </c>
      <c r="K604">
        <v>15150</v>
      </c>
      <c r="M604">
        <v>15150</v>
      </c>
    </row>
    <row r="605" spans="1:13" x14ac:dyDescent="0.35">
      <c r="A605" t="str">
        <f t="shared" si="38"/>
        <v>CAI074574045963883000</v>
      </c>
      <c r="B605" t="s">
        <v>2018</v>
      </c>
      <c r="C605" s="1">
        <v>45740</v>
      </c>
      <c r="D605" t="str">
        <f>"459"</f>
        <v>459</v>
      </c>
      <c r="E605" t="str">
        <f>"63883000"</f>
        <v>63883000</v>
      </c>
      <c r="F605" t="s">
        <v>2186</v>
      </c>
      <c r="G605" t="s">
        <v>336</v>
      </c>
      <c r="H605" t="s">
        <v>5943</v>
      </c>
      <c r="I605">
        <v>0</v>
      </c>
      <c r="J605" t="s">
        <v>343</v>
      </c>
      <c r="K605">
        <v>2020</v>
      </c>
      <c r="M605">
        <v>2020</v>
      </c>
    </row>
    <row r="606" spans="1:13" x14ac:dyDescent="0.35">
      <c r="A606" t="str">
        <f t="shared" si="38"/>
        <v>CAI074574046061810100</v>
      </c>
      <c r="B606" t="s">
        <v>2018</v>
      </c>
      <c r="C606" s="1">
        <v>45740</v>
      </c>
      <c r="D606" t="str">
        <f>"460"</f>
        <v>460</v>
      </c>
      <c r="E606" t="str">
        <f>"61810100"</f>
        <v>61810100</v>
      </c>
      <c r="F606" t="s">
        <v>2173</v>
      </c>
      <c r="G606" t="s">
        <v>336</v>
      </c>
      <c r="H606" t="s">
        <v>5943</v>
      </c>
      <c r="I606">
        <v>0</v>
      </c>
      <c r="J606" t="s">
        <v>343</v>
      </c>
      <c r="K606">
        <v>10100</v>
      </c>
      <c r="M606">
        <v>10100</v>
      </c>
    </row>
    <row r="607" spans="1:13" x14ac:dyDescent="0.35">
      <c r="A607" t="str">
        <f t="shared" si="38"/>
        <v>CAI074574046063883000</v>
      </c>
      <c r="B607" t="s">
        <v>2018</v>
      </c>
      <c r="C607" s="1">
        <v>45740</v>
      </c>
      <c r="D607" t="str">
        <f>"460"</f>
        <v>460</v>
      </c>
      <c r="E607" t="str">
        <f>"63883000"</f>
        <v>63883000</v>
      </c>
      <c r="F607" t="s">
        <v>2174</v>
      </c>
      <c r="G607" t="s">
        <v>336</v>
      </c>
      <c r="H607" t="s">
        <v>5943</v>
      </c>
      <c r="I607">
        <v>0</v>
      </c>
      <c r="J607" t="s">
        <v>343</v>
      </c>
      <c r="K607">
        <v>2020</v>
      </c>
      <c r="M607">
        <v>2020</v>
      </c>
    </row>
    <row r="608" spans="1:13" x14ac:dyDescent="0.35">
      <c r="A608" t="str">
        <f t="shared" si="38"/>
        <v>CAI074574046161810100</v>
      </c>
      <c r="B608" t="s">
        <v>2018</v>
      </c>
      <c r="C608" s="1">
        <v>45740</v>
      </c>
      <c r="D608" t="str">
        <f>"461"</f>
        <v>461</v>
      </c>
      <c r="E608" t="str">
        <f>"61810100"</f>
        <v>61810100</v>
      </c>
      <c r="F608" t="s">
        <v>2155</v>
      </c>
      <c r="G608" t="s">
        <v>336</v>
      </c>
      <c r="H608" t="s">
        <v>5943</v>
      </c>
      <c r="I608">
        <v>0</v>
      </c>
      <c r="J608" t="s">
        <v>343</v>
      </c>
      <c r="K608">
        <v>10100</v>
      </c>
      <c r="M608">
        <v>10100</v>
      </c>
    </row>
    <row r="609" spans="1:13" x14ac:dyDescent="0.35">
      <c r="A609" t="str">
        <f t="shared" si="38"/>
        <v>CAI074574046163883000</v>
      </c>
      <c r="B609" t="s">
        <v>2018</v>
      </c>
      <c r="C609" s="1">
        <v>45740</v>
      </c>
      <c r="D609" t="str">
        <f>"461"</f>
        <v>461</v>
      </c>
      <c r="E609" t="str">
        <f>"63883000"</f>
        <v>63883000</v>
      </c>
      <c r="F609" t="s">
        <v>2156</v>
      </c>
      <c r="G609" t="s">
        <v>336</v>
      </c>
      <c r="H609" t="s">
        <v>5943</v>
      </c>
      <c r="I609">
        <v>0</v>
      </c>
      <c r="J609" t="s">
        <v>343</v>
      </c>
      <c r="K609">
        <v>2020</v>
      </c>
      <c r="M609">
        <v>2020</v>
      </c>
    </row>
    <row r="610" spans="1:13" x14ac:dyDescent="0.35">
      <c r="A610" t="str">
        <f t="shared" si="38"/>
        <v>CAI074574146261810100</v>
      </c>
      <c r="B610" t="s">
        <v>2018</v>
      </c>
      <c r="C610" s="1">
        <v>45741</v>
      </c>
      <c r="D610" t="str">
        <f>"462"</f>
        <v>462</v>
      </c>
      <c r="E610" t="str">
        <f>"61810100"</f>
        <v>61810100</v>
      </c>
      <c r="F610" t="s">
        <v>2189</v>
      </c>
      <c r="G610" t="s">
        <v>336</v>
      </c>
      <c r="H610" t="s">
        <v>5943</v>
      </c>
      <c r="I610">
        <v>0</v>
      </c>
      <c r="J610" t="s">
        <v>343</v>
      </c>
      <c r="K610">
        <v>10100</v>
      </c>
      <c r="M610">
        <v>10100</v>
      </c>
    </row>
    <row r="611" spans="1:13" x14ac:dyDescent="0.35">
      <c r="A611" t="str">
        <f t="shared" si="38"/>
        <v>CAI074574146263883000</v>
      </c>
      <c r="B611" t="s">
        <v>2018</v>
      </c>
      <c r="C611" s="1">
        <v>45741</v>
      </c>
      <c r="D611" t="str">
        <f>"462"</f>
        <v>462</v>
      </c>
      <c r="E611" t="str">
        <f>"63883000"</f>
        <v>63883000</v>
      </c>
      <c r="F611" t="s">
        <v>2190</v>
      </c>
      <c r="G611" t="s">
        <v>336</v>
      </c>
      <c r="H611" t="s">
        <v>5943</v>
      </c>
      <c r="I611">
        <v>0</v>
      </c>
      <c r="J611" t="s">
        <v>343</v>
      </c>
      <c r="K611">
        <v>2020</v>
      </c>
      <c r="M611">
        <v>2020</v>
      </c>
    </row>
    <row r="612" spans="1:13" x14ac:dyDescent="0.35">
      <c r="A612" t="str">
        <f t="shared" si="38"/>
        <v>CAI074574146361810100</v>
      </c>
      <c r="B612" t="s">
        <v>2018</v>
      </c>
      <c r="C612" s="1">
        <v>45741</v>
      </c>
      <c r="D612" t="str">
        <f>"463"</f>
        <v>463</v>
      </c>
      <c r="E612" t="str">
        <f>"61810100"</f>
        <v>61810100</v>
      </c>
      <c r="F612" t="s">
        <v>2067</v>
      </c>
      <c r="G612" t="s">
        <v>336</v>
      </c>
      <c r="H612" t="s">
        <v>5943</v>
      </c>
      <c r="I612">
        <v>0</v>
      </c>
      <c r="J612" t="s">
        <v>343</v>
      </c>
      <c r="K612">
        <v>10100</v>
      </c>
      <c r="M612">
        <v>10100</v>
      </c>
    </row>
    <row r="613" spans="1:13" x14ac:dyDescent="0.35">
      <c r="A613" t="str">
        <f t="shared" si="38"/>
        <v>CAI074574146363883000</v>
      </c>
      <c r="B613" t="s">
        <v>2018</v>
      </c>
      <c r="C613" s="1">
        <v>45741</v>
      </c>
      <c r="D613" t="str">
        <f>"463"</f>
        <v>463</v>
      </c>
      <c r="E613" t="str">
        <f>"63883000"</f>
        <v>63883000</v>
      </c>
      <c r="F613" t="s">
        <v>2068</v>
      </c>
      <c r="G613" t="s">
        <v>336</v>
      </c>
      <c r="H613" t="s">
        <v>5943</v>
      </c>
      <c r="I613">
        <v>0</v>
      </c>
      <c r="J613" t="s">
        <v>343</v>
      </c>
      <c r="K613">
        <v>2020</v>
      </c>
      <c r="M613">
        <v>2020</v>
      </c>
    </row>
    <row r="614" spans="1:13" x14ac:dyDescent="0.35">
      <c r="A614" t="str">
        <f t="shared" si="38"/>
        <v>CAI074574146461810100</v>
      </c>
      <c r="B614" t="s">
        <v>2018</v>
      </c>
      <c r="C614" s="1">
        <v>45741</v>
      </c>
      <c r="D614" t="str">
        <f>"464"</f>
        <v>464</v>
      </c>
      <c r="E614" t="str">
        <f>"61810100"</f>
        <v>61810100</v>
      </c>
      <c r="F614" t="s">
        <v>2173</v>
      </c>
      <c r="G614" t="s">
        <v>336</v>
      </c>
      <c r="H614" t="s">
        <v>5943</v>
      </c>
      <c r="I614">
        <v>0</v>
      </c>
      <c r="J614" t="s">
        <v>343</v>
      </c>
      <c r="K614">
        <v>10100</v>
      </c>
      <c r="M614">
        <v>10100</v>
      </c>
    </row>
    <row r="615" spans="1:13" x14ac:dyDescent="0.35">
      <c r="A615" t="str">
        <f t="shared" si="38"/>
        <v>CAI074574146463883000</v>
      </c>
      <c r="B615" t="s">
        <v>2018</v>
      </c>
      <c r="C615" s="1">
        <v>45741</v>
      </c>
      <c r="D615" t="str">
        <f>"464"</f>
        <v>464</v>
      </c>
      <c r="E615" t="str">
        <f>"63883000"</f>
        <v>63883000</v>
      </c>
      <c r="F615" t="s">
        <v>2174</v>
      </c>
      <c r="G615" t="s">
        <v>336</v>
      </c>
      <c r="H615" t="s">
        <v>5943</v>
      </c>
      <c r="I615">
        <v>0</v>
      </c>
      <c r="J615" t="s">
        <v>343</v>
      </c>
      <c r="K615">
        <v>2020</v>
      </c>
      <c r="M615">
        <v>2020</v>
      </c>
    </row>
    <row r="616" spans="1:13" x14ac:dyDescent="0.35">
      <c r="A616" t="str">
        <f t="shared" si="38"/>
        <v>CAI074574146561810100</v>
      </c>
      <c r="B616" t="s">
        <v>2018</v>
      </c>
      <c r="C616" s="1">
        <v>45741</v>
      </c>
      <c r="D616" t="str">
        <f>"465"</f>
        <v>465</v>
      </c>
      <c r="E616" t="str">
        <f>"61810100"</f>
        <v>61810100</v>
      </c>
      <c r="F616" t="s">
        <v>2194</v>
      </c>
      <c r="G616" t="s">
        <v>336</v>
      </c>
      <c r="H616" t="s">
        <v>5943</v>
      </c>
      <c r="I616">
        <v>0</v>
      </c>
      <c r="J616" t="s">
        <v>343</v>
      </c>
      <c r="K616">
        <v>10100</v>
      </c>
      <c r="M616">
        <v>10100</v>
      </c>
    </row>
    <row r="617" spans="1:13" x14ac:dyDescent="0.35">
      <c r="A617" t="str">
        <f t="shared" si="38"/>
        <v>CAI074574146563883000</v>
      </c>
      <c r="B617" t="s">
        <v>2018</v>
      </c>
      <c r="C617" s="1">
        <v>45741</v>
      </c>
      <c r="D617" t="str">
        <f>"465"</f>
        <v>465</v>
      </c>
      <c r="E617" t="str">
        <f>"63883000"</f>
        <v>63883000</v>
      </c>
      <c r="F617" t="s">
        <v>2195</v>
      </c>
      <c r="G617" t="s">
        <v>336</v>
      </c>
      <c r="H617" t="s">
        <v>5943</v>
      </c>
      <c r="I617">
        <v>0</v>
      </c>
      <c r="J617" t="s">
        <v>343</v>
      </c>
      <c r="K617">
        <v>2020</v>
      </c>
      <c r="M617">
        <v>2020</v>
      </c>
    </row>
    <row r="618" spans="1:13" x14ac:dyDescent="0.35">
      <c r="A618" t="str">
        <f t="shared" si="38"/>
        <v>CAI074574146661810100</v>
      </c>
      <c r="B618" t="s">
        <v>2018</v>
      </c>
      <c r="C618" s="1">
        <v>45741</v>
      </c>
      <c r="D618" t="str">
        <f>"466"</f>
        <v>466</v>
      </c>
      <c r="E618" t="str">
        <f>"61810100"</f>
        <v>61810100</v>
      </c>
      <c r="F618" t="s">
        <v>2197</v>
      </c>
      <c r="G618" t="s">
        <v>336</v>
      </c>
      <c r="H618" t="s">
        <v>5943</v>
      </c>
      <c r="I618">
        <v>0</v>
      </c>
      <c r="J618" t="s">
        <v>343</v>
      </c>
      <c r="K618">
        <v>10000</v>
      </c>
      <c r="M618">
        <v>10000</v>
      </c>
    </row>
    <row r="619" spans="1:13" x14ac:dyDescent="0.35">
      <c r="A619" t="str">
        <f t="shared" si="38"/>
        <v>CAI074574146664685000</v>
      </c>
      <c r="B619" t="s">
        <v>2018</v>
      </c>
      <c r="C619" s="1">
        <v>45741</v>
      </c>
      <c r="D619" t="str">
        <f>"466"</f>
        <v>466</v>
      </c>
      <c r="E619" t="str">
        <f>"64685000"</f>
        <v>64685000</v>
      </c>
      <c r="F619" t="s">
        <v>2198</v>
      </c>
      <c r="G619" t="s">
        <v>336</v>
      </c>
      <c r="H619" t="s">
        <v>5906</v>
      </c>
      <c r="I619">
        <v>0</v>
      </c>
      <c r="J619" t="s">
        <v>343</v>
      </c>
      <c r="K619">
        <v>2000</v>
      </c>
      <c r="M619">
        <v>2000</v>
      </c>
    </row>
    <row r="620" spans="1:13" x14ac:dyDescent="0.35">
      <c r="A620" t="str">
        <f t="shared" si="38"/>
        <v>CAI074574146761810100</v>
      </c>
      <c r="B620" t="s">
        <v>2018</v>
      </c>
      <c r="C620" s="1">
        <v>45741</v>
      </c>
      <c r="D620" t="str">
        <f>"467"</f>
        <v>467</v>
      </c>
      <c r="E620" t="str">
        <f>"61810100"</f>
        <v>61810100</v>
      </c>
      <c r="F620" t="s">
        <v>2181</v>
      </c>
      <c r="G620" t="s">
        <v>336</v>
      </c>
      <c r="H620" t="s">
        <v>5943</v>
      </c>
      <c r="I620">
        <v>0</v>
      </c>
      <c r="J620" t="s">
        <v>343</v>
      </c>
      <c r="K620">
        <v>10100</v>
      </c>
      <c r="M620">
        <v>10100</v>
      </c>
    </row>
    <row r="621" spans="1:13" x14ac:dyDescent="0.35">
      <c r="A621" t="str">
        <f t="shared" si="38"/>
        <v>CAI074574146763883000</v>
      </c>
      <c r="B621" t="s">
        <v>2018</v>
      </c>
      <c r="C621" s="1">
        <v>45741</v>
      </c>
      <c r="D621" t="str">
        <f>"467"</f>
        <v>467</v>
      </c>
      <c r="E621" t="str">
        <f>"63883000"</f>
        <v>63883000</v>
      </c>
      <c r="F621" t="s">
        <v>2182</v>
      </c>
      <c r="G621" t="s">
        <v>336</v>
      </c>
      <c r="H621" t="s">
        <v>5943</v>
      </c>
      <c r="I621">
        <v>0</v>
      </c>
      <c r="J621" t="s">
        <v>343</v>
      </c>
      <c r="K621">
        <v>4040</v>
      </c>
      <c r="M621">
        <v>4040</v>
      </c>
    </row>
    <row r="622" spans="1:13" x14ac:dyDescent="0.35">
      <c r="A622" t="str">
        <f t="shared" si="38"/>
        <v>CAI074574246864611000</v>
      </c>
      <c r="B622" t="s">
        <v>2018</v>
      </c>
      <c r="C622" s="1">
        <v>45742</v>
      </c>
      <c r="D622" t="str">
        <f>"468"</f>
        <v>468</v>
      </c>
      <c r="E622" t="str">
        <f>"64611000"</f>
        <v>64611000</v>
      </c>
      <c r="F622" t="s">
        <v>2200</v>
      </c>
      <c r="G622" t="s">
        <v>336</v>
      </c>
      <c r="H622" t="s">
        <v>5956</v>
      </c>
      <c r="I622">
        <v>0</v>
      </c>
      <c r="J622" t="s">
        <v>343</v>
      </c>
      <c r="K622">
        <v>10000</v>
      </c>
      <c r="M622">
        <v>10000</v>
      </c>
    </row>
    <row r="623" spans="1:13" x14ac:dyDescent="0.35">
      <c r="A623" t="str">
        <f t="shared" si="38"/>
        <v>CAI074574246961830000</v>
      </c>
      <c r="B623" t="s">
        <v>2018</v>
      </c>
      <c r="C623" s="1">
        <v>45742</v>
      </c>
      <c r="D623" t="str">
        <f>"469"</f>
        <v>469</v>
      </c>
      <c r="E623" t="str">
        <f>"61830000"</f>
        <v>61830000</v>
      </c>
      <c r="F623" t="s">
        <v>2056</v>
      </c>
      <c r="G623" t="s">
        <v>336</v>
      </c>
      <c r="H623" t="s">
        <v>5906</v>
      </c>
      <c r="I623">
        <v>0</v>
      </c>
      <c r="J623" t="s">
        <v>343</v>
      </c>
      <c r="K623">
        <v>22000</v>
      </c>
      <c r="M623">
        <v>22000</v>
      </c>
    </row>
    <row r="624" spans="1:13" x14ac:dyDescent="0.35">
      <c r="A624" t="str">
        <f t="shared" si="38"/>
        <v>CAI074574247160420000</v>
      </c>
      <c r="B624" t="s">
        <v>2018</v>
      </c>
      <c r="C624" s="1">
        <v>45742</v>
      </c>
      <c r="D624" t="str">
        <f>"471"</f>
        <v>471</v>
      </c>
      <c r="E624" t="str">
        <f>"60420000"</f>
        <v>60420000</v>
      </c>
      <c r="F624" t="s">
        <v>2202</v>
      </c>
      <c r="G624" t="s">
        <v>336</v>
      </c>
      <c r="H624" t="s">
        <v>5943</v>
      </c>
      <c r="I624">
        <v>0</v>
      </c>
      <c r="J624" t="s">
        <v>343</v>
      </c>
      <c r="K624">
        <v>400000</v>
      </c>
      <c r="M624">
        <v>400000</v>
      </c>
    </row>
    <row r="625" spans="1:13" x14ac:dyDescent="0.35">
      <c r="A625" t="str">
        <f t="shared" si="38"/>
        <v>CAI074574247161810100</v>
      </c>
      <c r="B625" t="s">
        <v>2018</v>
      </c>
      <c r="C625" s="1">
        <v>45742</v>
      </c>
      <c r="D625" t="str">
        <f>"471"</f>
        <v>471</v>
      </c>
      <c r="E625" t="str">
        <f>"61810100"</f>
        <v>61810100</v>
      </c>
      <c r="F625" t="s">
        <v>2203</v>
      </c>
      <c r="G625" t="s">
        <v>336</v>
      </c>
      <c r="H625" t="s">
        <v>5943</v>
      </c>
      <c r="I625">
        <v>0</v>
      </c>
      <c r="J625" t="s">
        <v>343</v>
      </c>
      <c r="K625">
        <v>530000</v>
      </c>
      <c r="M625">
        <v>530000</v>
      </c>
    </row>
    <row r="626" spans="1:13" x14ac:dyDescent="0.35">
      <c r="A626" t="str">
        <f t="shared" si="38"/>
        <v>CAI074574247261810100</v>
      </c>
      <c r="B626" t="s">
        <v>2018</v>
      </c>
      <c r="C626" s="1">
        <v>45742</v>
      </c>
      <c r="D626" t="str">
        <f>"472"</f>
        <v>472</v>
      </c>
      <c r="E626" t="str">
        <f>"61810100"</f>
        <v>61810100</v>
      </c>
      <c r="F626" t="s">
        <v>2067</v>
      </c>
      <c r="G626" t="s">
        <v>336</v>
      </c>
      <c r="H626" t="s">
        <v>5943</v>
      </c>
      <c r="I626">
        <v>0</v>
      </c>
      <c r="J626" t="s">
        <v>343</v>
      </c>
      <c r="K626">
        <v>10100</v>
      </c>
      <c r="M626">
        <v>10100</v>
      </c>
    </row>
    <row r="627" spans="1:13" x14ac:dyDescent="0.35">
      <c r="A627" t="str">
        <f t="shared" si="38"/>
        <v>CAI074574247263883000</v>
      </c>
      <c r="B627" t="s">
        <v>2018</v>
      </c>
      <c r="C627" s="1">
        <v>45742</v>
      </c>
      <c r="D627" t="str">
        <f>"472"</f>
        <v>472</v>
      </c>
      <c r="E627" t="str">
        <f>"63883000"</f>
        <v>63883000</v>
      </c>
      <c r="F627" t="s">
        <v>2068</v>
      </c>
      <c r="G627" t="s">
        <v>336</v>
      </c>
      <c r="H627" t="s">
        <v>5943</v>
      </c>
      <c r="I627">
        <v>0</v>
      </c>
      <c r="J627" t="s">
        <v>343</v>
      </c>
      <c r="K627">
        <v>2020</v>
      </c>
      <c r="M627">
        <v>2020</v>
      </c>
    </row>
    <row r="628" spans="1:13" x14ac:dyDescent="0.35">
      <c r="A628" t="str">
        <f t="shared" si="38"/>
        <v>CAI074574247361810100</v>
      </c>
      <c r="B628" t="s">
        <v>2018</v>
      </c>
      <c r="C628" s="1">
        <v>45742</v>
      </c>
      <c r="D628" t="str">
        <f>"473"</f>
        <v>473</v>
      </c>
      <c r="E628" t="str">
        <f>"61810100"</f>
        <v>61810100</v>
      </c>
      <c r="F628" t="s">
        <v>2136</v>
      </c>
      <c r="G628" t="s">
        <v>336</v>
      </c>
      <c r="H628" t="s">
        <v>5943</v>
      </c>
      <c r="I628">
        <v>0</v>
      </c>
      <c r="J628" t="s">
        <v>343</v>
      </c>
      <c r="K628">
        <v>10100</v>
      </c>
      <c r="M628">
        <v>10100</v>
      </c>
    </row>
    <row r="629" spans="1:13" x14ac:dyDescent="0.35">
      <c r="A629" t="str">
        <f t="shared" si="38"/>
        <v>CAI074574247363883000</v>
      </c>
      <c r="B629" t="s">
        <v>2018</v>
      </c>
      <c r="C629" s="1">
        <v>45742</v>
      </c>
      <c r="D629" t="str">
        <f>"473"</f>
        <v>473</v>
      </c>
      <c r="E629" t="str">
        <f>"63883000"</f>
        <v>63883000</v>
      </c>
      <c r="F629" t="s">
        <v>2121</v>
      </c>
      <c r="G629" t="s">
        <v>336</v>
      </c>
      <c r="H629" t="s">
        <v>5943</v>
      </c>
      <c r="I629">
        <v>0</v>
      </c>
      <c r="J629" t="s">
        <v>343</v>
      </c>
      <c r="K629">
        <v>4040</v>
      </c>
      <c r="M629">
        <v>4040</v>
      </c>
    </row>
    <row r="630" spans="1:13" x14ac:dyDescent="0.35">
      <c r="A630" t="str">
        <f t="shared" si="38"/>
        <v>CAI074574247461810100</v>
      </c>
      <c r="B630" t="s">
        <v>2018</v>
      </c>
      <c r="C630" s="1">
        <v>45742</v>
      </c>
      <c r="D630" t="str">
        <f>"474"</f>
        <v>474</v>
      </c>
      <c r="E630" t="str">
        <f>"61810100"</f>
        <v>61810100</v>
      </c>
      <c r="F630" t="s">
        <v>2189</v>
      </c>
      <c r="G630" t="s">
        <v>336</v>
      </c>
      <c r="H630" t="s">
        <v>5943</v>
      </c>
      <c r="I630">
        <v>0</v>
      </c>
      <c r="J630" t="s">
        <v>343</v>
      </c>
      <c r="K630">
        <v>10100</v>
      </c>
      <c r="M630">
        <v>10100</v>
      </c>
    </row>
    <row r="631" spans="1:13" x14ac:dyDescent="0.35">
      <c r="A631" t="str">
        <f t="shared" si="38"/>
        <v>CAI074574247463883000</v>
      </c>
      <c r="B631" t="s">
        <v>2018</v>
      </c>
      <c r="C631" s="1">
        <v>45742</v>
      </c>
      <c r="D631" t="str">
        <f>"474"</f>
        <v>474</v>
      </c>
      <c r="E631" t="str">
        <f>"63883000"</f>
        <v>63883000</v>
      </c>
      <c r="F631" t="s">
        <v>2190</v>
      </c>
      <c r="G631" t="s">
        <v>336</v>
      </c>
      <c r="H631" t="s">
        <v>5943</v>
      </c>
      <c r="I631">
        <v>0</v>
      </c>
      <c r="J631" t="s">
        <v>343</v>
      </c>
      <c r="K631">
        <v>2020</v>
      </c>
      <c r="M631">
        <v>2020</v>
      </c>
    </row>
    <row r="632" spans="1:13" x14ac:dyDescent="0.35">
      <c r="A632" t="str">
        <f t="shared" si="38"/>
        <v>CAI074574347561830000</v>
      </c>
      <c r="B632" t="s">
        <v>2018</v>
      </c>
      <c r="C632" s="1">
        <v>45743</v>
      </c>
      <c r="D632" t="str">
        <f>"475"</f>
        <v>475</v>
      </c>
      <c r="E632" t="str">
        <f>"61830000"</f>
        <v>61830000</v>
      </c>
      <c r="F632" t="s">
        <v>2206</v>
      </c>
      <c r="G632" t="s">
        <v>336</v>
      </c>
      <c r="H632" t="s">
        <v>5906</v>
      </c>
      <c r="I632">
        <v>0</v>
      </c>
      <c r="J632" t="s">
        <v>343</v>
      </c>
      <c r="K632">
        <v>3030</v>
      </c>
      <c r="M632">
        <v>3030</v>
      </c>
    </row>
    <row r="633" spans="1:13" x14ac:dyDescent="0.35">
      <c r="A633" t="str">
        <f t="shared" si="38"/>
        <v>CAI074574347661830000</v>
      </c>
      <c r="B633" t="s">
        <v>2018</v>
      </c>
      <c r="C633" s="1">
        <v>45743</v>
      </c>
      <c r="D633" t="str">
        <f>"476"</f>
        <v>476</v>
      </c>
      <c r="E633" t="str">
        <f>"61830000"</f>
        <v>61830000</v>
      </c>
      <c r="F633" t="s">
        <v>2207</v>
      </c>
      <c r="G633" t="s">
        <v>336</v>
      </c>
      <c r="H633" t="s">
        <v>5906</v>
      </c>
      <c r="I633">
        <v>0</v>
      </c>
      <c r="J633" t="s">
        <v>343</v>
      </c>
      <c r="K633">
        <v>3030</v>
      </c>
      <c r="M633">
        <v>3030</v>
      </c>
    </row>
    <row r="634" spans="1:13" x14ac:dyDescent="0.35">
      <c r="A634" t="str">
        <f t="shared" si="38"/>
        <v>CAI074574347761830000</v>
      </c>
      <c r="B634" t="s">
        <v>2018</v>
      </c>
      <c r="C634" s="1">
        <v>45743</v>
      </c>
      <c r="D634" t="str">
        <f>"477"</f>
        <v>477</v>
      </c>
      <c r="E634" t="str">
        <f>"61830000"</f>
        <v>61830000</v>
      </c>
      <c r="F634" t="s">
        <v>2208</v>
      </c>
      <c r="G634" t="s">
        <v>336</v>
      </c>
      <c r="H634" t="s">
        <v>5906</v>
      </c>
      <c r="I634">
        <v>0</v>
      </c>
      <c r="J634" t="s">
        <v>343</v>
      </c>
      <c r="K634">
        <v>3030</v>
      </c>
      <c r="M634">
        <v>3030</v>
      </c>
    </row>
    <row r="635" spans="1:13" x14ac:dyDescent="0.35">
      <c r="A635" t="str">
        <f t="shared" si="38"/>
        <v>CAI074574347861830000</v>
      </c>
      <c r="B635" t="s">
        <v>2018</v>
      </c>
      <c r="C635" s="1">
        <v>45743</v>
      </c>
      <c r="D635" t="str">
        <f>"478"</f>
        <v>478</v>
      </c>
      <c r="E635" t="str">
        <f>"61830000"</f>
        <v>61830000</v>
      </c>
      <c r="F635" t="s">
        <v>2209</v>
      </c>
      <c r="G635" t="s">
        <v>336</v>
      </c>
      <c r="H635" t="s">
        <v>5906</v>
      </c>
      <c r="I635">
        <v>0</v>
      </c>
      <c r="J635" t="s">
        <v>343</v>
      </c>
      <c r="K635">
        <v>3030</v>
      </c>
      <c r="M635">
        <v>3030</v>
      </c>
    </row>
    <row r="636" spans="1:13" x14ac:dyDescent="0.35">
      <c r="A636" t="str">
        <f t="shared" si="38"/>
        <v>CAI074574347961830000</v>
      </c>
      <c r="B636" t="s">
        <v>2018</v>
      </c>
      <c r="C636" s="1">
        <v>45743</v>
      </c>
      <c r="D636" t="str">
        <f>"479"</f>
        <v>479</v>
      </c>
      <c r="E636" t="str">
        <f>"61830000"</f>
        <v>61830000</v>
      </c>
      <c r="F636" t="s">
        <v>2210</v>
      </c>
      <c r="G636" t="s">
        <v>336</v>
      </c>
      <c r="H636" t="s">
        <v>5906</v>
      </c>
      <c r="I636">
        <v>0</v>
      </c>
      <c r="J636" t="s">
        <v>343</v>
      </c>
      <c r="K636">
        <v>5000</v>
      </c>
      <c r="M636">
        <v>5000</v>
      </c>
    </row>
    <row r="637" spans="1:13" x14ac:dyDescent="0.35">
      <c r="A637" t="str">
        <f t="shared" si="38"/>
        <v>CAI074574348061810100</v>
      </c>
      <c r="B637" t="s">
        <v>2018</v>
      </c>
      <c r="C637" s="1">
        <v>45743</v>
      </c>
      <c r="D637" t="str">
        <f>"480"</f>
        <v>480</v>
      </c>
      <c r="E637" t="str">
        <f>"61810100"</f>
        <v>61810100</v>
      </c>
      <c r="F637" t="s">
        <v>2211</v>
      </c>
      <c r="G637" t="s">
        <v>336</v>
      </c>
      <c r="H637" t="s">
        <v>5943</v>
      </c>
      <c r="I637">
        <v>0</v>
      </c>
      <c r="J637" t="s">
        <v>343</v>
      </c>
      <c r="K637">
        <v>10000</v>
      </c>
      <c r="M637">
        <v>10000</v>
      </c>
    </row>
    <row r="638" spans="1:13" x14ac:dyDescent="0.35">
      <c r="A638" t="str">
        <f t="shared" si="38"/>
        <v>CAI074574448161810100</v>
      </c>
      <c r="B638" t="s">
        <v>2018</v>
      </c>
      <c r="C638" s="1">
        <v>45744</v>
      </c>
      <c r="D638" t="str">
        <f>"481"</f>
        <v>481</v>
      </c>
      <c r="E638" t="str">
        <f>"61810100"</f>
        <v>61810100</v>
      </c>
      <c r="F638" t="s">
        <v>2212</v>
      </c>
      <c r="G638" t="s">
        <v>336</v>
      </c>
      <c r="H638" t="s">
        <v>5943</v>
      </c>
      <c r="I638">
        <v>0</v>
      </c>
      <c r="J638" t="s">
        <v>343</v>
      </c>
      <c r="K638">
        <v>10100</v>
      </c>
      <c r="M638">
        <v>10100</v>
      </c>
    </row>
    <row r="639" spans="1:13" x14ac:dyDescent="0.35">
      <c r="A639" t="str">
        <f t="shared" si="38"/>
        <v>CAI074574448261810100</v>
      </c>
      <c r="B639" t="s">
        <v>2018</v>
      </c>
      <c r="C639" s="1">
        <v>45744</v>
      </c>
      <c r="D639" t="str">
        <f>"482"</f>
        <v>482</v>
      </c>
      <c r="E639" t="str">
        <f>"61810100"</f>
        <v>61810100</v>
      </c>
      <c r="F639" t="s">
        <v>2213</v>
      </c>
      <c r="G639" t="s">
        <v>336</v>
      </c>
      <c r="H639" t="s">
        <v>5943</v>
      </c>
      <c r="I639">
        <v>0</v>
      </c>
      <c r="J639" t="s">
        <v>343</v>
      </c>
      <c r="K639">
        <v>40000</v>
      </c>
      <c r="M639">
        <v>40000</v>
      </c>
    </row>
    <row r="640" spans="1:13" x14ac:dyDescent="0.35">
      <c r="A640" t="str">
        <f t="shared" si="38"/>
        <v>CAI074574448364630000</v>
      </c>
      <c r="B640" t="s">
        <v>2018</v>
      </c>
      <c r="C640" s="1">
        <v>45744</v>
      </c>
      <c r="D640" t="str">
        <f>"483"</f>
        <v>483</v>
      </c>
      <c r="E640" t="str">
        <f>"64630000"</f>
        <v>64630000</v>
      </c>
      <c r="F640" t="s">
        <v>2054</v>
      </c>
      <c r="G640" t="s">
        <v>336</v>
      </c>
      <c r="H640" t="s">
        <v>5943</v>
      </c>
      <c r="I640">
        <v>0</v>
      </c>
      <c r="J640" t="s">
        <v>343</v>
      </c>
      <c r="K640">
        <v>50000</v>
      </c>
      <c r="M640">
        <v>50000</v>
      </c>
    </row>
    <row r="641" spans="1:13" x14ac:dyDescent="0.35">
      <c r="A641" t="str">
        <f t="shared" si="38"/>
        <v>CAI074574548461810100</v>
      </c>
      <c r="B641" t="s">
        <v>2018</v>
      </c>
      <c r="C641" s="1">
        <v>45745</v>
      </c>
      <c r="D641" t="str">
        <f>"484"</f>
        <v>484</v>
      </c>
      <c r="E641" t="str">
        <f>"61810100"</f>
        <v>61810100</v>
      </c>
      <c r="F641" t="s">
        <v>2214</v>
      </c>
      <c r="G641" t="s">
        <v>336</v>
      </c>
      <c r="H641" t="s">
        <v>5943</v>
      </c>
      <c r="I641">
        <v>0</v>
      </c>
      <c r="J641" t="s">
        <v>343</v>
      </c>
      <c r="K641">
        <v>280000</v>
      </c>
      <c r="M641">
        <v>280000</v>
      </c>
    </row>
    <row r="642" spans="1:13" x14ac:dyDescent="0.35">
      <c r="A642" t="str">
        <f t="shared" si="38"/>
        <v>CAI074574548660420000</v>
      </c>
      <c r="B642" t="s">
        <v>2018</v>
      </c>
      <c r="C642" s="1">
        <v>45745</v>
      </c>
      <c r="D642" t="str">
        <f>"486"</f>
        <v>486</v>
      </c>
      <c r="E642" t="str">
        <f>"60420000"</f>
        <v>60420000</v>
      </c>
      <c r="F642" t="s">
        <v>2216</v>
      </c>
      <c r="G642" t="s">
        <v>336</v>
      </c>
      <c r="H642" t="s">
        <v>5943</v>
      </c>
      <c r="I642">
        <v>0</v>
      </c>
      <c r="J642" t="s">
        <v>343</v>
      </c>
      <c r="K642">
        <v>404000</v>
      </c>
      <c r="M642">
        <v>404000</v>
      </c>
    </row>
    <row r="643" spans="1:13" x14ac:dyDescent="0.35">
      <c r="A643" t="str">
        <f t="shared" ref="A643:A706" si="40">CONCATENATE(B643,C643,D643,E643)</f>
        <v>CAI074574548661810100</v>
      </c>
      <c r="B643" t="s">
        <v>2018</v>
      </c>
      <c r="C643" s="1">
        <v>45745</v>
      </c>
      <c r="D643" t="str">
        <f>"486"</f>
        <v>486</v>
      </c>
      <c r="E643" t="str">
        <f>"61810100"</f>
        <v>61810100</v>
      </c>
      <c r="F643" t="s">
        <v>2217</v>
      </c>
      <c r="G643" t="s">
        <v>336</v>
      </c>
      <c r="H643" t="s">
        <v>5943</v>
      </c>
      <c r="I643">
        <v>0</v>
      </c>
      <c r="J643" t="s">
        <v>343</v>
      </c>
      <c r="K643">
        <v>535300</v>
      </c>
      <c r="M643">
        <v>535300</v>
      </c>
    </row>
    <row r="644" spans="1:13" x14ac:dyDescent="0.35">
      <c r="A644" t="str">
        <f t="shared" si="40"/>
        <v>CAI074574548761830000</v>
      </c>
      <c r="B644" t="s">
        <v>2018</v>
      </c>
      <c r="C644" s="1">
        <v>45745</v>
      </c>
      <c r="D644" t="str">
        <f>"487"</f>
        <v>487</v>
      </c>
      <c r="E644" t="str">
        <f>"61830000"</f>
        <v>61830000</v>
      </c>
      <c r="F644" t="s">
        <v>2056</v>
      </c>
      <c r="G644" t="s">
        <v>336</v>
      </c>
      <c r="H644" t="s">
        <v>5906</v>
      </c>
      <c r="I644">
        <v>0</v>
      </c>
      <c r="J644" t="s">
        <v>343</v>
      </c>
      <c r="K644">
        <v>50000</v>
      </c>
      <c r="M644">
        <v>50000</v>
      </c>
    </row>
    <row r="645" spans="1:13" x14ac:dyDescent="0.35">
      <c r="A645" t="str">
        <f t="shared" si="40"/>
        <v>CAI074574548862420000</v>
      </c>
      <c r="B645" t="s">
        <v>2018</v>
      </c>
      <c r="C645" s="1">
        <v>45745</v>
      </c>
      <c r="D645" t="str">
        <f>"488"</f>
        <v>488</v>
      </c>
      <c r="E645" t="str">
        <f>"62420000"</f>
        <v>62420000</v>
      </c>
      <c r="F645" t="s">
        <v>2218</v>
      </c>
      <c r="G645" t="s">
        <v>336</v>
      </c>
      <c r="H645" t="s">
        <v>5955</v>
      </c>
      <c r="I645">
        <v>0</v>
      </c>
      <c r="J645" t="s">
        <v>343</v>
      </c>
      <c r="K645">
        <v>167500</v>
      </c>
      <c r="M645">
        <v>167500</v>
      </c>
    </row>
    <row r="646" spans="1:13" x14ac:dyDescent="0.35">
      <c r="A646" t="str">
        <f t="shared" si="40"/>
        <v>CAI084571740161810100</v>
      </c>
      <c r="B646" t="s">
        <v>2219</v>
      </c>
      <c r="C646" s="1">
        <v>45717</v>
      </c>
      <c r="D646" t="str">
        <f>"401"</f>
        <v>401</v>
      </c>
      <c r="E646" t="str">
        <f>"61810100"</f>
        <v>61810100</v>
      </c>
      <c r="F646" t="s">
        <v>2220</v>
      </c>
      <c r="G646" t="s">
        <v>336</v>
      </c>
      <c r="H646" t="s">
        <v>5957</v>
      </c>
      <c r="I646">
        <v>0</v>
      </c>
      <c r="J646" t="s">
        <v>343</v>
      </c>
      <c r="K646">
        <v>5000</v>
      </c>
      <c r="M646">
        <v>5000</v>
      </c>
    </row>
    <row r="647" spans="1:13" x14ac:dyDescent="0.35">
      <c r="A647" t="str">
        <f t="shared" si="40"/>
        <v>CAI084571740261830000</v>
      </c>
      <c r="B647" t="s">
        <v>2219</v>
      </c>
      <c r="C647" s="1">
        <v>45717</v>
      </c>
      <c r="D647" t="str">
        <f>"402"</f>
        <v>402</v>
      </c>
      <c r="E647" t="str">
        <f>"61830000"</f>
        <v>61830000</v>
      </c>
      <c r="F647" t="s">
        <v>2221</v>
      </c>
      <c r="G647" t="s">
        <v>336</v>
      </c>
      <c r="H647" t="s">
        <v>5883</v>
      </c>
      <c r="I647">
        <v>0</v>
      </c>
      <c r="J647" t="s">
        <v>343</v>
      </c>
      <c r="K647">
        <v>8000</v>
      </c>
      <c r="M647">
        <v>8000</v>
      </c>
    </row>
    <row r="648" spans="1:13" x14ac:dyDescent="0.35">
      <c r="A648" t="str">
        <f t="shared" si="40"/>
        <v>CAI084571740363883000</v>
      </c>
      <c r="B648" t="s">
        <v>2219</v>
      </c>
      <c r="C648" s="1">
        <v>45717</v>
      </c>
      <c r="D648" t="str">
        <f>"403"</f>
        <v>403</v>
      </c>
      <c r="E648" t="str">
        <f>"63883000"</f>
        <v>63883000</v>
      </c>
      <c r="F648" t="s">
        <v>2222</v>
      </c>
      <c r="G648" t="s">
        <v>336</v>
      </c>
      <c r="H648" t="s">
        <v>5957</v>
      </c>
      <c r="I648">
        <v>0</v>
      </c>
      <c r="J648" t="s">
        <v>343</v>
      </c>
      <c r="K648">
        <v>19000</v>
      </c>
      <c r="M648">
        <v>19000</v>
      </c>
    </row>
    <row r="649" spans="1:13" x14ac:dyDescent="0.35">
      <c r="A649" t="str">
        <f t="shared" si="40"/>
        <v>CAI084571740463883000</v>
      </c>
      <c r="B649" t="s">
        <v>2219</v>
      </c>
      <c r="C649" s="1">
        <v>45717</v>
      </c>
      <c r="D649" t="str">
        <f>"404"</f>
        <v>404</v>
      </c>
      <c r="E649" t="str">
        <f>"63883000"</f>
        <v>63883000</v>
      </c>
      <c r="F649" t="s">
        <v>2223</v>
      </c>
      <c r="G649" t="s">
        <v>336</v>
      </c>
      <c r="H649" t="s">
        <v>5957</v>
      </c>
      <c r="I649">
        <v>0</v>
      </c>
      <c r="J649" t="s">
        <v>343</v>
      </c>
      <c r="K649">
        <v>19000</v>
      </c>
      <c r="M649">
        <v>19000</v>
      </c>
    </row>
    <row r="650" spans="1:13" x14ac:dyDescent="0.35">
      <c r="A650" t="str">
        <f t="shared" si="40"/>
        <v>CAI084571740563883000</v>
      </c>
      <c r="B650" t="s">
        <v>2219</v>
      </c>
      <c r="C650" s="1">
        <v>45717</v>
      </c>
      <c r="D650" t="str">
        <f>"405"</f>
        <v>405</v>
      </c>
      <c r="E650" t="str">
        <f>"63883000"</f>
        <v>63883000</v>
      </c>
      <c r="F650" t="s">
        <v>2224</v>
      </c>
      <c r="G650" t="s">
        <v>336</v>
      </c>
      <c r="H650" t="s">
        <v>5957</v>
      </c>
      <c r="I650">
        <v>0</v>
      </c>
      <c r="J650" t="s">
        <v>343</v>
      </c>
      <c r="K650">
        <v>14000</v>
      </c>
      <c r="M650">
        <v>14000</v>
      </c>
    </row>
    <row r="651" spans="1:13" x14ac:dyDescent="0.35">
      <c r="A651" t="str">
        <f t="shared" si="40"/>
        <v>CAI084571740663883000</v>
      </c>
      <c r="B651" t="s">
        <v>2219</v>
      </c>
      <c r="C651" s="1">
        <v>45717</v>
      </c>
      <c r="D651" t="str">
        <f>"406"</f>
        <v>406</v>
      </c>
      <c r="E651" t="str">
        <f>"63883000"</f>
        <v>63883000</v>
      </c>
      <c r="F651" t="s">
        <v>2225</v>
      </c>
      <c r="G651" t="s">
        <v>336</v>
      </c>
      <c r="H651" t="s">
        <v>5957</v>
      </c>
      <c r="I651">
        <v>0</v>
      </c>
      <c r="J651" t="s">
        <v>343</v>
      </c>
      <c r="K651">
        <v>12000</v>
      </c>
      <c r="M651">
        <v>12000</v>
      </c>
    </row>
    <row r="652" spans="1:13" x14ac:dyDescent="0.35">
      <c r="A652" t="str">
        <f t="shared" si="40"/>
        <v>CAI084571740763883000</v>
      </c>
      <c r="B652" t="s">
        <v>2219</v>
      </c>
      <c r="C652" s="1">
        <v>45717</v>
      </c>
      <c r="D652" t="str">
        <f>"407"</f>
        <v>407</v>
      </c>
      <c r="E652" t="str">
        <f>"63883000"</f>
        <v>63883000</v>
      </c>
      <c r="F652" t="s">
        <v>2226</v>
      </c>
      <c r="G652" t="s">
        <v>336</v>
      </c>
      <c r="H652" t="s">
        <v>5957</v>
      </c>
      <c r="I652">
        <v>0</v>
      </c>
      <c r="J652" t="s">
        <v>343</v>
      </c>
      <c r="K652">
        <v>12000</v>
      </c>
      <c r="M652">
        <v>12000</v>
      </c>
    </row>
    <row r="653" spans="1:13" x14ac:dyDescent="0.35">
      <c r="A653" t="str">
        <f t="shared" si="40"/>
        <v>CAI084571940864630000</v>
      </c>
      <c r="B653" t="s">
        <v>2219</v>
      </c>
      <c r="C653" s="1">
        <v>45719</v>
      </c>
      <c r="D653" t="str">
        <f>"408"</f>
        <v>408</v>
      </c>
      <c r="E653" t="str">
        <f>"64630000"</f>
        <v>64630000</v>
      </c>
      <c r="F653" t="s">
        <v>2227</v>
      </c>
      <c r="G653" t="s">
        <v>336</v>
      </c>
      <c r="H653" t="s">
        <v>5957</v>
      </c>
      <c r="I653">
        <v>0</v>
      </c>
      <c r="J653" t="s">
        <v>343</v>
      </c>
      <c r="K653">
        <v>7500</v>
      </c>
      <c r="M653">
        <v>7500</v>
      </c>
    </row>
    <row r="654" spans="1:13" x14ac:dyDescent="0.35">
      <c r="A654" t="str">
        <f t="shared" si="40"/>
        <v>CAI084571940961810100</v>
      </c>
      <c r="B654" t="s">
        <v>2219</v>
      </c>
      <c r="C654" s="1">
        <v>45719</v>
      </c>
      <c r="D654" t="str">
        <f>"409"</f>
        <v>409</v>
      </c>
      <c r="E654" t="str">
        <f>"61810100"</f>
        <v>61810100</v>
      </c>
      <c r="F654" t="s">
        <v>2228</v>
      </c>
      <c r="G654" t="s">
        <v>336</v>
      </c>
      <c r="H654" t="s">
        <v>5957</v>
      </c>
      <c r="I654">
        <v>0</v>
      </c>
      <c r="J654" t="s">
        <v>343</v>
      </c>
      <c r="K654">
        <v>5000</v>
      </c>
      <c r="M654">
        <v>5000</v>
      </c>
    </row>
    <row r="655" spans="1:13" x14ac:dyDescent="0.35">
      <c r="A655" t="str">
        <f t="shared" si="40"/>
        <v>CAI084571941061810100</v>
      </c>
      <c r="B655" t="s">
        <v>2219</v>
      </c>
      <c r="C655" s="1">
        <v>45719</v>
      </c>
      <c r="D655" t="str">
        <f>"410"</f>
        <v>410</v>
      </c>
      <c r="E655" t="str">
        <f>"61810100"</f>
        <v>61810100</v>
      </c>
      <c r="F655" t="s">
        <v>2229</v>
      </c>
      <c r="G655" t="s">
        <v>336</v>
      </c>
      <c r="H655" t="s">
        <v>5957</v>
      </c>
      <c r="I655">
        <v>0</v>
      </c>
      <c r="J655" t="s">
        <v>343</v>
      </c>
      <c r="K655">
        <v>10000</v>
      </c>
      <c r="M655">
        <v>10000</v>
      </c>
    </row>
    <row r="656" spans="1:13" x14ac:dyDescent="0.35">
      <c r="A656" t="str">
        <f t="shared" si="40"/>
        <v>CAI084571941163883000</v>
      </c>
      <c r="B656" t="s">
        <v>2219</v>
      </c>
      <c r="C656" s="1">
        <v>45719</v>
      </c>
      <c r="D656" t="str">
        <f>"411"</f>
        <v>411</v>
      </c>
      <c r="E656" t="str">
        <f>"63883000"</f>
        <v>63883000</v>
      </c>
      <c r="F656" t="s">
        <v>2224</v>
      </c>
      <c r="G656" t="s">
        <v>336</v>
      </c>
      <c r="H656" t="s">
        <v>5957</v>
      </c>
      <c r="I656">
        <v>0</v>
      </c>
      <c r="J656" t="s">
        <v>343</v>
      </c>
      <c r="K656">
        <v>12000</v>
      </c>
      <c r="M656">
        <v>12000</v>
      </c>
    </row>
    <row r="657" spans="1:13" x14ac:dyDescent="0.35">
      <c r="A657" t="str">
        <f t="shared" si="40"/>
        <v>CAI084571941263883000</v>
      </c>
      <c r="B657" t="s">
        <v>2219</v>
      </c>
      <c r="C657" s="1">
        <v>45719</v>
      </c>
      <c r="D657" t="str">
        <f>"412"</f>
        <v>412</v>
      </c>
      <c r="E657" t="str">
        <f>"63883000"</f>
        <v>63883000</v>
      </c>
      <c r="F657" t="s">
        <v>2225</v>
      </c>
      <c r="G657" t="s">
        <v>336</v>
      </c>
      <c r="H657" t="s">
        <v>5957</v>
      </c>
      <c r="I657">
        <v>0</v>
      </c>
      <c r="J657" t="s">
        <v>343</v>
      </c>
      <c r="K657">
        <v>19000</v>
      </c>
      <c r="M657">
        <v>19000</v>
      </c>
    </row>
    <row r="658" spans="1:13" x14ac:dyDescent="0.35">
      <c r="A658" t="str">
        <f t="shared" si="40"/>
        <v>CAI084571941363883000</v>
      </c>
      <c r="B658" t="s">
        <v>2219</v>
      </c>
      <c r="C658" s="1">
        <v>45719</v>
      </c>
      <c r="D658" t="str">
        <f>"413"</f>
        <v>413</v>
      </c>
      <c r="E658" t="str">
        <f>"63883000"</f>
        <v>63883000</v>
      </c>
      <c r="F658" t="s">
        <v>2230</v>
      </c>
      <c r="G658" t="s">
        <v>336</v>
      </c>
      <c r="H658" t="s">
        <v>5957</v>
      </c>
      <c r="I658">
        <v>0</v>
      </c>
      <c r="J658" t="s">
        <v>343</v>
      </c>
      <c r="K658">
        <v>14000</v>
      </c>
      <c r="M658">
        <v>14000</v>
      </c>
    </row>
    <row r="659" spans="1:13" x14ac:dyDescent="0.35">
      <c r="A659" t="str">
        <f t="shared" si="40"/>
        <v>CAI084571941463883000</v>
      </c>
      <c r="B659" t="s">
        <v>2219</v>
      </c>
      <c r="C659" s="1">
        <v>45719</v>
      </c>
      <c r="D659" t="str">
        <f>"414"</f>
        <v>414</v>
      </c>
      <c r="E659" t="str">
        <f>"63883000"</f>
        <v>63883000</v>
      </c>
      <c r="F659" t="s">
        <v>2231</v>
      </c>
      <c r="G659" t="s">
        <v>336</v>
      </c>
      <c r="H659" t="s">
        <v>5957</v>
      </c>
      <c r="I659">
        <v>0</v>
      </c>
      <c r="J659" t="s">
        <v>343</v>
      </c>
      <c r="K659">
        <v>19000</v>
      </c>
      <c r="M659">
        <v>19000</v>
      </c>
    </row>
    <row r="660" spans="1:13" x14ac:dyDescent="0.35">
      <c r="A660" t="str">
        <f t="shared" si="40"/>
        <v>CAI084571941563883000</v>
      </c>
      <c r="B660" t="s">
        <v>2219</v>
      </c>
      <c r="C660" s="1">
        <v>45719</v>
      </c>
      <c r="D660" t="str">
        <f>"415"</f>
        <v>415</v>
      </c>
      <c r="E660" t="str">
        <f>"63883000"</f>
        <v>63883000</v>
      </c>
      <c r="F660" t="s">
        <v>2232</v>
      </c>
      <c r="G660" t="s">
        <v>336</v>
      </c>
      <c r="H660" t="s">
        <v>5957</v>
      </c>
      <c r="I660">
        <v>0</v>
      </c>
      <c r="J660" t="s">
        <v>343</v>
      </c>
      <c r="K660">
        <v>10000</v>
      </c>
      <c r="M660">
        <v>10000</v>
      </c>
    </row>
    <row r="661" spans="1:13" x14ac:dyDescent="0.35">
      <c r="A661" t="str">
        <f t="shared" si="40"/>
        <v>CAI084572041660510000</v>
      </c>
      <c r="B661" t="s">
        <v>2219</v>
      </c>
      <c r="C661" s="1">
        <v>45720</v>
      </c>
      <c r="D661" t="str">
        <f>"416"</f>
        <v>416</v>
      </c>
      <c r="E661" t="str">
        <f>"60510000"</f>
        <v>60510000</v>
      </c>
      <c r="F661" t="s">
        <v>2233</v>
      </c>
      <c r="G661" t="s">
        <v>336</v>
      </c>
      <c r="H661" t="s">
        <v>5883</v>
      </c>
      <c r="I661">
        <v>0</v>
      </c>
      <c r="J661" t="s">
        <v>343</v>
      </c>
      <c r="K661">
        <v>141495</v>
      </c>
      <c r="M661">
        <v>141495</v>
      </c>
    </row>
    <row r="662" spans="1:13" x14ac:dyDescent="0.35">
      <c r="A662" t="str">
        <f t="shared" si="40"/>
        <v>CAI084572041760510000</v>
      </c>
      <c r="B662" t="s">
        <v>2219</v>
      </c>
      <c r="C662" s="1">
        <v>45720</v>
      </c>
      <c r="D662" t="str">
        <f>"417"</f>
        <v>417</v>
      </c>
      <c r="E662" t="str">
        <f>"60510000"</f>
        <v>60510000</v>
      </c>
      <c r="F662" t="s">
        <v>2234</v>
      </c>
      <c r="G662" t="s">
        <v>336</v>
      </c>
      <c r="H662" t="s">
        <v>5883</v>
      </c>
      <c r="I662">
        <v>0</v>
      </c>
      <c r="J662" t="s">
        <v>343</v>
      </c>
      <c r="K662">
        <v>28570</v>
      </c>
      <c r="M662">
        <v>28570</v>
      </c>
    </row>
    <row r="663" spans="1:13" x14ac:dyDescent="0.35">
      <c r="A663" t="str">
        <f t="shared" si="40"/>
        <v>CAI084572041864630000</v>
      </c>
      <c r="B663" t="s">
        <v>2219</v>
      </c>
      <c r="C663" s="1">
        <v>45720</v>
      </c>
      <c r="D663" t="str">
        <f>"418"</f>
        <v>418</v>
      </c>
      <c r="E663" t="str">
        <f>"64630000"</f>
        <v>64630000</v>
      </c>
      <c r="F663" t="s">
        <v>2227</v>
      </c>
      <c r="G663" t="s">
        <v>336</v>
      </c>
      <c r="H663" t="s">
        <v>5957</v>
      </c>
      <c r="I663">
        <v>0</v>
      </c>
      <c r="J663" t="s">
        <v>343</v>
      </c>
      <c r="K663">
        <v>15000</v>
      </c>
      <c r="M663">
        <v>15000</v>
      </c>
    </row>
    <row r="664" spans="1:13" x14ac:dyDescent="0.35">
      <c r="A664" t="str">
        <f t="shared" si="40"/>
        <v>CAI084572041961810100</v>
      </c>
      <c r="B664" t="s">
        <v>2219</v>
      </c>
      <c r="C664" s="1">
        <v>45720</v>
      </c>
      <c r="D664" t="str">
        <f>"419"</f>
        <v>419</v>
      </c>
      <c r="E664" t="str">
        <f>"61810100"</f>
        <v>61810100</v>
      </c>
      <c r="F664" t="s">
        <v>2235</v>
      </c>
      <c r="G664" t="s">
        <v>336</v>
      </c>
      <c r="H664" t="s">
        <v>5957</v>
      </c>
      <c r="I664">
        <v>0</v>
      </c>
      <c r="J664" t="s">
        <v>343</v>
      </c>
      <c r="K664">
        <v>10000</v>
      </c>
      <c r="M664">
        <v>10000</v>
      </c>
    </row>
    <row r="665" spans="1:13" x14ac:dyDescent="0.35">
      <c r="A665" t="str">
        <f t="shared" si="40"/>
        <v>CAI084572042061810100</v>
      </c>
      <c r="B665" t="s">
        <v>2219</v>
      </c>
      <c r="C665" s="1">
        <v>45720</v>
      </c>
      <c r="D665" t="str">
        <f>"420"</f>
        <v>420</v>
      </c>
      <c r="E665" t="str">
        <f>"61810100"</f>
        <v>61810100</v>
      </c>
      <c r="F665" t="s">
        <v>2236</v>
      </c>
      <c r="G665" t="s">
        <v>336</v>
      </c>
      <c r="H665" t="s">
        <v>5957</v>
      </c>
      <c r="I665">
        <v>0</v>
      </c>
      <c r="J665" t="s">
        <v>343</v>
      </c>
      <c r="K665">
        <v>5000</v>
      </c>
      <c r="M665">
        <v>5000</v>
      </c>
    </row>
    <row r="666" spans="1:13" x14ac:dyDescent="0.35">
      <c r="A666" t="str">
        <f t="shared" si="40"/>
        <v>CAI084572042161810100</v>
      </c>
      <c r="B666" t="s">
        <v>2219</v>
      </c>
      <c r="C666" s="1">
        <v>45720</v>
      </c>
      <c r="D666" t="str">
        <f>"421"</f>
        <v>421</v>
      </c>
      <c r="E666" t="str">
        <f>"61810100"</f>
        <v>61810100</v>
      </c>
      <c r="F666" t="s">
        <v>2237</v>
      </c>
      <c r="G666" t="s">
        <v>336</v>
      </c>
      <c r="H666" t="s">
        <v>5957</v>
      </c>
      <c r="I666">
        <v>0</v>
      </c>
      <c r="J666" t="s">
        <v>343</v>
      </c>
      <c r="K666">
        <v>15000</v>
      </c>
      <c r="M666">
        <v>15000</v>
      </c>
    </row>
    <row r="667" spans="1:13" x14ac:dyDescent="0.35">
      <c r="A667" t="str">
        <f t="shared" si="40"/>
        <v>CAI084572042263883000</v>
      </c>
      <c r="B667" t="s">
        <v>2219</v>
      </c>
      <c r="C667" s="1">
        <v>45720</v>
      </c>
      <c r="D667" t="str">
        <f>"422"</f>
        <v>422</v>
      </c>
      <c r="E667" t="str">
        <f>"63883000"</f>
        <v>63883000</v>
      </c>
      <c r="F667" t="s">
        <v>2238</v>
      </c>
      <c r="G667" t="s">
        <v>336</v>
      </c>
      <c r="H667" t="s">
        <v>5957</v>
      </c>
      <c r="I667">
        <v>0</v>
      </c>
      <c r="J667" t="s">
        <v>343</v>
      </c>
      <c r="K667">
        <v>14000</v>
      </c>
      <c r="M667">
        <v>14000</v>
      </c>
    </row>
    <row r="668" spans="1:13" x14ac:dyDescent="0.35">
      <c r="A668" t="str">
        <f t="shared" si="40"/>
        <v>CAI084572042363883000</v>
      </c>
      <c r="B668" t="s">
        <v>2219</v>
      </c>
      <c r="C668" s="1">
        <v>45720</v>
      </c>
      <c r="D668" t="str">
        <f>"423"</f>
        <v>423</v>
      </c>
      <c r="E668" t="str">
        <f>"63883000"</f>
        <v>63883000</v>
      </c>
      <c r="F668" t="s">
        <v>2239</v>
      </c>
      <c r="G668" t="s">
        <v>336</v>
      </c>
      <c r="H668" t="s">
        <v>5957</v>
      </c>
      <c r="I668">
        <v>0</v>
      </c>
      <c r="J668" t="s">
        <v>343</v>
      </c>
      <c r="K668">
        <v>14000</v>
      </c>
      <c r="M668">
        <v>14000</v>
      </c>
    </row>
    <row r="669" spans="1:13" x14ac:dyDescent="0.35">
      <c r="A669" t="str">
        <f t="shared" si="40"/>
        <v>CAI084572142464630000</v>
      </c>
      <c r="B669" t="s">
        <v>2219</v>
      </c>
      <c r="C669" s="1">
        <v>45721</v>
      </c>
      <c r="D669" t="str">
        <f>"424"</f>
        <v>424</v>
      </c>
      <c r="E669" t="str">
        <f>"64630000"</f>
        <v>64630000</v>
      </c>
      <c r="F669" t="s">
        <v>2227</v>
      </c>
      <c r="G669" t="s">
        <v>336</v>
      </c>
      <c r="H669" t="s">
        <v>5957</v>
      </c>
      <c r="I669">
        <v>0</v>
      </c>
      <c r="J669" t="s">
        <v>343</v>
      </c>
      <c r="K669">
        <v>15000</v>
      </c>
      <c r="M669">
        <v>15000</v>
      </c>
    </row>
    <row r="670" spans="1:13" x14ac:dyDescent="0.35">
      <c r="A670" t="str">
        <f t="shared" si="40"/>
        <v>CAI084572142561810100</v>
      </c>
      <c r="B670" t="s">
        <v>2219</v>
      </c>
      <c r="C670" s="1">
        <v>45721</v>
      </c>
      <c r="D670" t="str">
        <f>"425"</f>
        <v>425</v>
      </c>
      <c r="E670" t="str">
        <f>"61810100"</f>
        <v>61810100</v>
      </c>
      <c r="F670" t="s">
        <v>2240</v>
      </c>
      <c r="G670" t="s">
        <v>336</v>
      </c>
      <c r="H670" t="s">
        <v>5957</v>
      </c>
      <c r="I670">
        <v>0</v>
      </c>
      <c r="J670" t="s">
        <v>343</v>
      </c>
      <c r="K670">
        <v>10000</v>
      </c>
      <c r="M670">
        <v>10000</v>
      </c>
    </row>
    <row r="671" spans="1:13" x14ac:dyDescent="0.35">
      <c r="A671" t="str">
        <f t="shared" si="40"/>
        <v>CAI084572142661810100</v>
      </c>
      <c r="B671" t="s">
        <v>2219</v>
      </c>
      <c r="C671" s="1">
        <v>45721</v>
      </c>
      <c r="D671" t="str">
        <f>"426"</f>
        <v>426</v>
      </c>
      <c r="E671" t="str">
        <f>"61810100"</f>
        <v>61810100</v>
      </c>
      <c r="F671" t="s">
        <v>2241</v>
      </c>
      <c r="G671" t="s">
        <v>336</v>
      </c>
      <c r="H671" t="s">
        <v>5957</v>
      </c>
      <c r="I671">
        <v>0</v>
      </c>
      <c r="J671" t="s">
        <v>343</v>
      </c>
      <c r="K671">
        <v>10000</v>
      </c>
      <c r="M671">
        <v>10000</v>
      </c>
    </row>
    <row r="672" spans="1:13" x14ac:dyDescent="0.35">
      <c r="A672" t="str">
        <f t="shared" si="40"/>
        <v>CAI084572142761810100</v>
      </c>
      <c r="B672" t="s">
        <v>2219</v>
      </c>
      <c r="C672" s="1">
        <v>45721</v>
      </c>
      <c r="D672" t="str">
        <f>"427"</f>
        <v>427</v>
      </c>
      <c r="E672" t="str">
        <f>"61810100"</f>
        <v>61810100</v>
      </c>
      <c r="F672" t="s">
        <v>2242</v>
      </c>
      <c r="G672" t="s">
        <v>336</v>
      </c>
      <c r="H672" t="s">
        <v>5957</v>
      </c>
      <c r="I672">
        <v>0</v>
      </c>
      <c r="J672" t="s">
        <v>343</v>
      </c>
      <c r="K672">
        <v>5000</v>
      </c>
      <c r="M672">
        <v>5000</v>
      </c>
    </row>
    <row r="673" spans="1:13" x14ac:dyDescent="0.35">
      <c r="A673" t="str">
        <f t="shared" si="40"/>
        <v>CAI084572142861810100</v>
      </c>
      <c r="B673" t="s">
        <v>2219</v>
      </c>
      <c r="C673" s="1">
        <v>45721</v>
      </c>
      <c r="D673" t="str">
        <f>"428"</f>
        <v>428</v>
      </c>
      <c r="E673" t="str">
        <f>"61810100"</f>
        <v>61810100</v>
      </c>
      <c r="F673" t="s">
        <v>2243</v>
      </c>
      <c r="G673" t="s">
        <v>336</v>
      </c>
      <c r="H673" t="s">
        <v>5957</v>
      </c>
      <c r="I673">
        <v>0</v>
      </c>
      <c r="J673" t="s">
        <v>343</v>
      </c>
      <c r="K673">
        <v>10000</v>
      </c>
      <c r="M673">
        <v>10000</v>
      </c>
    </row>
    <row r="674" spans="1:13" x14ac:dyDescent="0.35">
      <c r="A674" t="str">
        <f t="shared" si="40"/>
        <v>CAI084572142961810100</v>
      </c>
      <c r="B674" t="s">
        <v>2219</v>
      </c>
      <c r="C674" s="1">
        <v>45721</v>
      </c>
      <c r="D674" t="str">
        <f>"429"</f>
        <v>429</v>
      </c>
      <c r="E674" t="str">
        <f>"61810100"</f>
        <v>61810100</v>
      </c>
      <c r="F674" t="s">
        <v>2244</v>
      </c>
      <c r="G674" t="s">
        <v>336</v>
      </c>
      <c r="H674" t="s">
        <v>5957</v>
      </c>
      <c r="I674">
        <v>0</v>
      </c>
      <c r="J674" t="s">
        <v>343</v>
      </c>
      <c r="K674">
        <v>5000</v>
      </c>
      <c r="M674">
        <v>5000</v>
      </c>
    </row>
    <row r="675" spans="1:13" x14ac:dyDescent="0.35">
      <c r="A675" t="str">
        <f t="shared" si="40"/>
        <v>CAI084572243062420000</v>
      </c>
      <c r="B675" t="s">
        <v>2219</v>
      </c>
      <c r="C675" s="1">
        <v>45722</v>
      </c>
      <c r="D675" t="str">
        <f>"430"</f>
        <v>430</v>
      </c>
      <c r="E675" t="str">
        <f>"62420000"</f>
        <v>62420000</v>
      </c>
      <c r="F675" t="s">
        <v>2245</v>
      </c>
      <c r="G675" t="s">
        <v>336</v>
      </c>
      <c r="H675" t="s">
        <v>5958</v>
      </c>
      <c r="I675">
        <v>0</v>
      </c>
      <c r="J675" t="s">
        <v>343</v>
      </c>
      <c r="K675">
        <v>169000</v>
      </c>
      <c r="M675">
        <v>169000</v>
      </c>
    </row>
    <row r="676" spans="1:13" x14ac:dyDescent="0.35">
      <c r="A676" t="str">
        <f t="shared" si="40"/>
        <v>CAI084572243164630000</v>
      </c>
      <c r="B676" t="s">
        <v>2219</v>
      </c>
      <c r="C676" s="1">
        <v>45722</v>
      </c>
      <c r="D676" t="str">
        <f>"431"</f>
        <v>431</v>
      </c>
      <c r="E676" t="str">
        <f>"64630000"</f>
        <v>64630000</v>
      </c>
      <c r="F676" t="s">
        <v>2227</v>
      </c>
      <c r="G676" t="s">
        <v>336</v>
      </c>
      <c r="H676" t="s">
        <v>5957</v>
      </c>
      <c r="I676">
        <v>0</v>
      </c>
      <c r="J676" t="s">
        <v>343</v>
      </c>
      <c r="K676">
        <v>12500</v>
      </c>
      <c r="M676">
        <v>12500</v>
      </c>
    </row>
    <row r="677" spans="1:13" x14ac:dyDescent="0.35">
      <c r="A677" t="str">
        <f t="shared" si="40"/>
        <v>CAI084572243261810100</v>
      </c>
      <c r="B677" t="s">
        <v>2219</v>
      </c>
      <c r="C677" s="1">
        <v>45722</v>
      </c>
      <c r="D677" t="str">
        <f>"432"</f>
        <v>432</v>
      </c>
      <c r="E677" t="str">
        <f>"61810100"</f>
        <v>61810100</v>
      </c>
      <c r="F677" t="s">
        <v>2228</v>
      </c>
      <c r="G677" t="s">
        <v>336</v>
      </c>
      <c r="H677" t="s">
        <v>5957</v>
      </c>
      <c r="I677">
        <v>0</v>
      </c>
      <c r="J677" t="s">
        <v>343</v>
      </c>
      <c r="K677">
        <v>5000</v>
      </c>
      <c r="M677">
        <v>5000</v>
      </c>
    </row>
    <row r="678" spans="1:13" x14ac:dyDescent="0.35">
      <c r="A678" t="str">
        <f t="shared" si="40"/>
        <v>CAI084572243361810100</v>
      </c>
      <c r="B678" t="s">
        <v>2219</v>
      </c>
      <c r="C678" s="1">
        <v>45722</v>
      </c>
      <c r="D678" t="str">
        <f>"433"</f>
        <v>433</v>
      </c>
      <c r="E678" t="str">
        <f>"61810100"</f>
        <v>61810100</v>
      </c>
      <c r="F678" t="s">
        <v>2246</v>
      </c>
      <c r="G678" t="s">
        <v>336</v>
      </c>
      <c r="H678" t="s">
        <v>5957</v>
      </c>
      <c r="I678">
        <v>0</v>
      </c>
      <c r="J678" t="s">
        <v>343</v>
      </c>
      <c r="K678">
        <v>5000</v>
      </c>
      <c r="M678">
        <v>5000</v>
      </c>
    </row>
    <row r="679" spans="1:13" x14ac:dyDescent="0.35">
      <c r="A679" t="str">
        <f t="shared" si="40"/>
        <v>CAI084572243461810100</v>
      </c>
      <c r="B679" t="s">
        <v>2219</v>
      </c>
      <c r="C679" s="1">
        <v>45722</v>
      </c>
      <c r="D679" t="str">
        <f>"434"</f>
        <v>434</v>
      </c>
      <c r="E679" t="str">
        <f>"61810100"</f>
        <v>61810100</v>
      </c>
      <c r="F679" t="s">
        <v>2247</v>
      </c>
      <c r="G679" t="s">
        <v>336</v>
      </c>
      <c r="H679" t="s">
        <v>5957</v>
      </c>
      <c r="I679">
        <v>0</v>
      </c>
      <c r="J679" t="s">
        <v>343</v>
      </c>
      <c r="K679">
        <v>10000</v>
      </c>
      <c r="M679">
        <v>10000</v>
      </c>
    </row>
    <row r="680" spans="1:13" x14ac:dyDescent="0.35">
      <c r="A680" t="str">
        <f t="shared" si="40"/>
        <v>CAI084572243561810100</v>
      </c>
      <c r="B680" t="s">
        <v>2219</v>
      </c>
      <c r="C680" s="1">
        <v>45722</v>
      </c>
      <c r="D680" t="str">
        <f>"435"</f>
        <v>435</v>
      </c>
      <c r="E680" t="str">
        <f>"61810100"</f>
        <v>61810100</v>
      </c>
      <c r="F680" t="s">
        <v>2248</v>
      </c>
      <c r="G680" t="s">
        <v>336</v>
      </c>
      <c r="H680" t="s">
        <v>5957</v>
      </c>
      <c r="I680">
        <v>0</v>
      </c>
      <c r="J680" t="s">
        <v>343</v>
      </c>
      <c r="K680">
        <v>10000</v>
      </c>
      <c r="M680">
        <v>10000</v>
      </c>
    </row>
    <row r="681" spans="1:13" x14ac:dyDescent="0.35">
      <c r="A681" t="str">
        <f t="shared" si="40"/>
        <v>CAI084572243661810100</v>
      </c>
      <c r="B681" t="s">
        <v>2219</v>
      </c>
      <c r="C681" s="1">
        <v>45722</v>
      </c>
      <c r="D681" t="str">
        <f>"436"</f>
        <v>436</v>
      </c>
      <c r="E681" t="str">
        <f>"61810100"</f>
        <v>61810100</v>
      </c>
      <c r="F681" t="s">
        <v>2249</v>
      </c>
      <c r="G681" t="s">
        <v>336</v>
      </c>
      <c r="H681" t="s">
        <v>5957</v>
      </c>
      <c r="I681">
        <v>0</v>
      </c>
      <c r="J681" t="s">
        <v>343</v>
      </c>
      <c r="K681">
        <v>5000</v>
      </c>
      <c r="M681">
        <v>5000</v>
      </c>
    </row>
    <row r="682" spans="1:13" x14ac:dyDescent="0.35">
      <c r="A682" t="str">
        <f t="shared" si="40"/>
        <v>CAI084572343760520000</v>
      </c>
      <c r="B682" t="s">
        <v>2219</v>
      </c>
      <c r="C682" s="1">
        <v>45723</v>
      </c>
      <c r="D682" t="str">
        <f>"437"</f>
        <v>437</v>
      </c>
      <c r="E682" t="str">
        <f>"60520000"</f>
        <v>60520000</v>
      </c>
      <c r="F682" t="s">
        <v>2250</v>
      </c>
      <c r="G682" t="s">
        <v>336</v>
      </c>
      <c r="H682" t="s">
        <v>5883</v>
      </c>
      <c r="I682">
        <v>0</v>
      </c>
      <c r="J682" t="s">
        <v>343</v>
      </c>
      <c r="K682">
        <v>20900</v>
      </c>
      <c r="M682">
        <v>20900</v>
      </c>
    </row>
    <row r="683" spans="1:13" x14ac:dyDescent="0.35">
      <c r="A683" t="str">
        <f t="shared" si="40"/>
        <v>CAI084572343864630100</v>
      </c>
      <c r="B683" t="s">
        <v>2219</v>
      </c>
      <c r="C683" s="1">
        <v>45723</v>
      </c>
      <c r="D683" t="str">
        <f>"438"</f>
        <v>438</v>
      </c>
      <c r="E683" t="str">
        <f>"64630100"</f>
        <v>64630100</v>
      </c>
      <c r="F683" t="s">
        <v>2251</v>
      </c>
      <c r="G683" t="s">
        <v>336</v>
      </c>
      <c r="H683" t="s">
        <v>5957</v>
      </c>
      <c r="I683">
        <v>0</v>
      </c>
      <c r="J683" t="s">
        <v>343</v>
      </c>
      <c r="K683">
        <v>30100</v>
      </c>
      <c r="M683">
        <v>30100</v>
      </c>
    </row>
    <row r="684" spans="1:13" x14ac:dyDescent="0.35">
      <c r="A684" t="str">
        <f t="shared" si="40"/>
        <v>CAI084572343964630100</v>
      </c>
      <c r="B684" t="s">
        <v>2219</v>
      </c>
      <c r="C684" s="1">
        <v>45723</v>
      </c>
      <c r="D684" t="str">
        <f>"439"</f>
        <v>439</v>
      </c>
      <c r="E684" t="str">
        <f>"64630100"</f>
        <v>64630100</v>
      </c>
      <c r="F684" t="s">
        <v>2252</v>
      </c>
      <c r="G684" t="s">
        <v>336</v>
      </c>
      <c r="H684" t="s">
        <v>5957</v>
      </c>
      <c r="I684">
        <v>0</v>
      </c>
      <c r="J684" t="s">
        <v>343</v>
      </c>
      <c r="K684">
        <v>30100</v>
      </c>
      <c r="M684">
        <v>30100</v>
      </c>
    </row>
    <row r="685" spans="1:13" x14ac:dyDescent="0.35">
      <c r="A685" t="str">
        <f t="shared" si="40"/>
        <v>CAI084572344064630000</v>
      </c>
      <c r="B685" t="s">
        <v>2219</v>
      </c>
      <c r="C685" s="1">
        <v>45723</v>
      </c>
      <c r="D685" t="str">
        <f>"440"</f>
        <v>440</v>
      </c>
      <c r="E685" t="str">
        <f>"64630000"</f>
        <v>64630000</v>
      </c>
      <c r="F685" t="s">
        <v>2227</v>
      </c>
      <c r="G685" t="s">
        <v>336</v>
      </c>
      <c r="H685" t="s">
        <v>5957</v>
      </c>
      <c r="I685">
        <v>0</v>
      </c>
      <c r="J685" t="s">
        <v>343</v>
      </c>
      <c r="K685">
        <v>17500</v>
      </c>
      <c r="M685">
        <v>17500</v>
      </c>
    </row>
    <row r="686" spans="1:13" x14ac:dyDescent="0.35">
      <c r="A686" t="str">
        <f t="shared" si="40"/>
        <v>CAI084572344161810100</v>
      </c>
      <c r="B686" t="s">
        <v>2219</v>
      </c>
      <c r="C686" s="1">
        <v>45723</v>
      </c>
      <c r="D686" t="str">
        <f>"441"</f>
        <v>441</v>
      </c>
      <c r="E686" t="str">
        <f>"61810100"</f>
        <v>61810100</v>
      </c>
      <c r="F686" t="s">
        <v>2253</v>
      </c>
      <c r="G686" t="s">
        <v>336</v>
      </c>
      <c r="H686" t="s">
        <v>5957</v>
      </c>
      <c r="I686">
        <v>0</v>
      </c>
      <c r="J686" t="s">
        <v>343</v>
      </c>
      <c r="K686">
        <v>5000</v>
      </c>
      <c r="M686">
        <v>5000</v>
      </c>
    </row>
    <row r="687" spans="1:13" x14ac:dyDescent="0.35">
      <c r="A687" t="str">
        <f t="shared" si="40"/>
        <v>CAI084572344261810100</v>
      </c>
      <c r="B687" t="s">
        <v>2219</v>
      </c>
      <c r="C687" s="1">
        <v>45723</v>
      </c>
      <c r="D687" t="str">
        <f>"442"</f>
        <v>442</v>
      </c>
      <c r="E687" t="str">
        <f>"61810100"</f>
        <v>61810100</v>
      </c>
      <c r="F687" t="s">
        <v>2254</v>
      </c>
      <c r="G687" t="s">
        <v>336</v>
      </c>
      <c r="H687" t="s">
        <v>5957</v>
      </c>
      <c r="I687">
        <v>0</v>
      </c>
      <c r="J687" t="s">
        <v>343</v>
      </c>
      <c r="K687">
        <v>15000</v>
      </c>
      <c r="M687">
        <v>15000</v>
      </c>
    </row>
    <row r="688" spans="1:13" x14ac:dyDescent="0.35">
      <c r="A688" t="str">
        <f t="shared" si="40"/>
        <v>CAI084572344361810100</v>
      </c>
      <c r="B688" t="s">
        <v>2219</v>
      </c>
      <c r="C688" s="1">
        <v>45723</v>
      </c>
      <c r="D688" t="str">
        <f>"443"</f>
        <v>443</v>
      </c>
      <c r="E688" t="str">
        <f>"61810100"</f>
        <v>61810100</v>
      </c>
      <c r="F688" t="s">
        <v>2255</v>
      </c>
      <c r="G688" t="s">
        <v>336</v>
      </c>
      <c r="H688" t="s">
        <v>5957</v>
      </c>
      <c r="I688">
        <v>0</v>
      </c>
      <c r="J688" t="s">
        <v>343</v>
      </c>
      <c r="K688">
        <v>15000</v>
      </c>
      <c r="M688">
        <v>15000</v>
      </c>
    </row>
    <row r="689" spans="1:13" x14ac:dyDescent="0.35">
      <c r="A689" t="str">
        <f t="shared" si="40"/>
        <v>CAI084572444464630000</v>
      </c>
      <c r="B689" t="s">
        <v>2219</v>
      </c>
      <c r="C689" s="1">
        <v>45724</v>
      </c>
      <c r="D689" t="str">
        <f>"444"</f>
        <v>444</v>
      </c>
      <c r="E689" t="str">
        <f>"64630000"</f>
        <v>64630000</v>
      </c>
      <c r="F689" t="s">
        <v>2227</v>
      </c>
      <c r="G689" t="s">
        <v>336</v>
      </c>
      <c r="H689" t="s">
        <v>5957</v>
      </c>
      <c r="I689">
        <v>0</v>
      </c>
      <c r="J689" t="s">
        <v>343</v>
      </c>
      <c r="K689">
        <v>12500</v>
      </c>
      <c r="M689">
        <v>12500</v>
      </c>
    </row>
    <row r="690" spans="1:13" x14ac:dyDescent="0.35">
      <c r="A690" t="str">
        <f t="shared" si="40"/>
        <v>CAI084572444561810100</v>
      </c>
      <c r="B690" t="s">
        <v>2219</v>
      </c>
      <c r="C690" s="1">
        <v>45724</v>
      </c>
      <c r="D690" t="str">
        <f>"445"</f>
        <v>445</v>
      </c>
      <c r="E690" t="str">
        <f>"61810100"</f>
        <v>61810100</v>
      </c>
      <c r="F690" t="s">
        <v>2256</v>
      </c>
      <c r="G690" t="s">
        <v>336</v>
      </c>
      <c r="H690" t="s">
        <v>5957</v>
      </c>
      <c r="I690">
        <v>0</v>
      </c>
      <c r="J690" t="s">
        <v>343</v>
      </c>
      <c r="K690">
        <v>5000</v>
      </c>
      <c r="M690">
        <v>5000</v>
      </c>
    </row>
    <row r="691" spans="1:13" x14ac:dyDescent="0.35">
      <c r="A691" t="str">
        <f t="shared" si="40"/>
        <v>CAI084572444661810100</v>
      </c>
      <c r="B691" t="s">
        <v>2219</v>
      </c>
      <c r="C691" s="1">
        <v>45724</v>
      </c>
      <c r="D691" t="str">
        <f>"446"</f>
        <v>446</v>
      </c>
      <c r="E691" t="str">
        <f>"61810100"</f>
        <v>61810100</v>
      </c>
      <c r="F691" t="s">
        <v>2257</v>
      </c>
      <c r="G691" t="s">
        <v>336</v>
      </c>
      <c r="H691" t="s">
        <v>5957</v>
      </c>
      <c r="I691">
        <v>0</v>
      </c>
      <c r="J691" t="s">
        <v>343</v>
      </c>
      <c r="K691">
        <v>10000</v>
      </c>
      <c r="M691">
        <v>10000</v>
      </c>
    </row>
    <row r="692" spans="1:13" x14ac:dyDescent="0.35">
      <c r="A692" t="str">
        <f t="shared" si="40"/>
        <v>CAI084572444761830000</v>
      </c>
      <c r="B692" t="s">
        <v>2219</v>
      </c>
      <c r="C692" s="1">
        <v>45724</v>
      </c>
      <c r="D692" t="str">
        <f>"447"</f>
        <v>447</v>
      </c>
      <c r="E692" t="str">
        <f>"61830000"</f>
        <v>61830000</v>
      </c>
      <c r="F692" t="s">
        <v>2258</v>
      </c>
      <c r="G692" t="s">
        <v>336</v>
      </c>
      <c r="H692" t="s">
        <v>5883</v>
      </c>
      <c r="I692">
        <v>0</v>
      </c>
      <c r="J692" t="s">
        <v>343</v>
      </c>
      <c r="K692">
        <v>8000</v>
      </c>
      <c r="M692">
        <v>8000</v>
      </c>
    </row>
    <row r="693" spans="1:13" x14ac:dyDescent="0.35">
      <c r="A693" t="str">
        <f t="shared" si="40"/>
        <v>CAI084572644964630000</v>
      </c>
      <c r="B693" t="s">
        <v>2219</v>
      </c>
      <c r="C693" s="1">
        <v>45726</v>
      </c>
      <c r="D693" t="str">
        <f>"449"</f>
        <v>449</v>
      </c>
      <c r="E693" t="str">
        <f>"64630000"</f>
        <v>64630000</v>
      </c>
      <c r="F693" t="s">
        <v>2227</v>
      </c>
      <c r="G693" t="s">
        <v>336</v>
      </c>
      <c r="H693" t="s">
        <v>5957</v>
      </c>
      <c r="I693">
        <v>0</v>
      </c>
      <c r="J693" t="s">
        <v>343</v>
      </c>
      <c r="K693">
        <v>15000</v>
      </c>
      <c r="M693">
        <v>15000</v>
      </c>
    </row>
    <row r="694" spans="1:13" x14ac:dyDescent="0.35">
      <c r="A694" t="str">
        <f t="shared" si="40"/>
        <v>CAI084572645061810100</v>
      </c>
      <c r="B694" t="s">
        <v>2219</v>
      </c>
      <c r="C694" s="1">
        <v>45726</v>
      </c>
      <c r="D694" t="str">
        <f>"450"</f>
        <v>450</v>
      </c>
      <c r="E694" t="str">
        <f>"61810100"</f>
        <v>61810100</v>
      </c>
      <c r="F694" t="s">
        <v>2228</v>
      </c>
      <c r="G694" t="s">
        <v>336</v>
      </c>
      <c r="H694" t="s">
        <v>5957</v>
      </c>
      <c r="I694">
        <v>0</v>
      </c>
      <c r="J694" t="s">
        <v>343</v>
      </c>
      <c r="K694">
        <v>5000</v>
      </c>
      <c r="M694">
        <v>5000</v>
      </c>
    </row>
    <row r="695" spans="1:13" x14ac:dyDescent="0.35">
      <c r="A695" t="str">
        <f t="shared" si="40"/>
        <v>CAI084572645161810100</v>
      </c>
      <c r="B695" t="s">
        <v>2219</v>
      </c>
      <c r="C695" s="1">
        <v>45726</v>
      </c>
      <c r="D695" t="str">
        <f>"451"</f>
        <v>451</v>
      </c>
      <c r="E695" t="str">
        <f>"61810100"</f>
        <v>61810100</v>
      </c>
      <c r="F695" t="s">
        <v>2260</v>
      </c>
      <c r="G695" t="s">
        <v>336</v>
      </c>
      <c r="H695" t="s">
        <v>5957</v>
      </c>
      <c r="I695">
        <v>0</v>
      </c>
      <c r="J695" t="s">
        <v>343</v>
      </c>
      <c r="K695">
        <v>15000</v>
      </c>
      <c r="M695">
        <v>15000</v>
      </c>
    </row>
    <row r="696" spans="1:13" x14ac:dyDescent="0.35">
      <c r="A696" t="str">
        <f t="shared" si="40"/>
        <v>CAI084572645261810100</v>
      </c>
      <c r="B696" t="s">
        <v>2219</v>
      </c>
      <c r="C696" s="1">
        <v>45726</v>
      </c>
      <c r="D696" t="str">
        <f>"452"</f>
        <v>452</v>
      </c>
      <c r="E696" t="str">
        <f>"61810100"</f>
        <v>61810100</v>
      </c>
      <c r="F696" t="s">
        <v>2261</v>
      </c>
      <c r="G696" t="s">
        <v>336</v>
      </c>
      <c r="H696" t="s">
        <v>5957</v>
      </c>
      <c r="I696">
        <v>0</v>
      </c>
      <c r="J696" t="s">
        <v>343</v>
      </c>
      <c r="K696">
        <v>10000</v>
      </c>
      <c r="M696">
        <v>10000</v>
      </c>
    </row>
    <row r="697" spans="1:13" x14ac:dyDescent="0.35">
      <c r="A697" t="str">
        <f t="shared" si="40"/>
        <v>CAI084572645363883000</v>
      </c>
      <c r="B697" t="s">
        <v>2219</v>
      </c>
      <c r="C697" s="1">
        <v>45726</v>
      </c>
      <c r="D697" t="str">
        <f>"453"</f>
        <v>453</v>
      </c>
      <c r="E697" t="str">
        <f>"63883000"</f>
        <v>63883000</v>
      </c>
      <c r="F697" t="s">
        <v>2262</v>
      </c>
      <c r="G697" t="s">
        <v>336</v>
      </c>
      <c r="H697" t="s">
        <v>5957</v>
      </c>
      <c r="I697">
        <v>0</v>
      </c>
      <c r="J697" t="s">
        <v>343</v>
      </c>
      <c r="K697">
        <v>19000</v>
      </c>
      <c r="M697">
        <v>19000</v>
      </c>
    </row>
    <row r="698" spans="1:13" x14ac:dyDescent="0.35">
      <c r="A698" t="str">
        <f t="shared" si="40"/>
        <v>CAI084572645462220000</v>
      </c>
      <c r="B698" t="s">
        <v>2219</v>
      </c>
      <c r="C698" s="1">
        <v>45726</v>
      </c>
      <c r="D698" t="str">
        <f>"454"</f>
        <v>454</v>
      </c>
      <c r="E698" t="str">
        <f>"62220000"</f>
        <v>62220000</v>
      </c>
      <c r="F698" t="s">
        <v>2263</v>
      </c>
      <c r="G698" t="s">
        <v>336</v>
      </c>
      <c r="H698" t="s">
        <v>5883</v>
      </c>
      <c r="I698">
        <v>0</v>
      </c>
      <c r="J698" t="s">
        <v>343</v>
      </c>
      <c r="K698">
        <v>250000</v>
      </c>
      <c r="M698">
        <v>250000</v>
      </c>
    </row>
    <row r="699" spans="1:13" x14ac:dyDescent="0.35">
      <c r="A699" t="str">
        <f t="shared" si="40"/>
        <v>CAI084572745562220000</v>
      </c>
      <c r="B699" t="s">
        <v>2219</v>
      </c>
      <c r="C699" s="1">
        <v>45727</v>
      </c>
      <c r="D699" t="str">
        <f>"455"</f>
        <v>455</v>
      </c>
      <c r="E699" t="str">
        <f>"62220000"</f>
        <v>62220000</v>
      </c>
      <c r="F699" t="s">
        <v>2264</v>
      </c>
      <c r="G699" t="s">
        <v>336</v>
      </c>
      <c r="H699" t="s">
        <v>5883</v>
      </c>
      <c r="I699">
        <v>0</v>
      </c>
      <c r="J699" t="s">
        <v>343</v>
      </c>
      <c r="K699">
        <v>90000</v>
      </c>
      <c r="M699">
        <v>90000</v>
      </c>
    </row>
    <row r="700" spans="1:13" x14ac:dyDescent="0.35">
      <c r="A700" t="str">
        <f t="shared" si="40"/>
        <v>CAI084572745664630000</v>
      </c>
      <c r="B700" t="s">
        <v>2219</v>
      </c>
      <c r="C700" s="1">
        <v>45727</v>
      </c>
      <c r="D700" t="str">
        <f>"456"</f>
        <v>456</v>
      </c>
      <c r="E700" t="str">
        <f>"64630000"</f>
        <v>64630000</v>
      </c>
      <c r="F700" t="s">
        <v>2227</v>
      </c>
      <c r="G700" t="s">
        <v>336</v>
      </c>
      <c r="H700" t="s">
        <v>5957</v>
      </c>
      <c r="I700">
        <v>0</v>
      </c>
      <c r="J700" t="s">
        <v>343</v>
      </c>
      <c r="K700">
        <v>10000</v>
      </c>
      <c r="M700">
        <v>10000</v>
      </c>
    </row>
    <row r="701" spans="1:13" x14ac:dyDescent="0.35">
      <c r="A701" t="str">
        <f t="shared" si="40"/>
        <v>CAI084572745761810100</v>
      </c>
      <c r="B701" t="s">
        <v>2219</v>
      </c>
      <c r="C701" s="1">
        <v>45727</v>
      </c>
      <c r="D701" t="str">
        <f>"457"</f>
        <v>457</v>
      </c>
      <c r="E701" t="str">
        <f>"61810100"</f>
        <v>61810100</v>
      </c>
      <c r="F701" t="s">
        <v>2265</v>
      </c>
      <c r="G701" t="s">
        <v>336</v>
      </c>
      <c r="H701" t="s">
        <v>5957</v>
      </c>
      <c r="I701">
        <v>0</v>
      </c>
      <c r="J701" t="s">
        <v>343</v>
      </c>
      <c r="K701">
        <v>5000</v>
      </c>
      <c r="M701">
        <v>5000</v>
      </c>
    </row>
    <row r="702" spans="1:13" x14ac:dyDescent="0.35">
      <c r="A702" t="str">
        <f t="shared" si="40"/>
        <v>CAI084572745861810100</v>
      </c>
      <c r="B702" t="s">
        <v>2219</v>
      </c>
      <c r="C702" s="1">
        <v>45727</v>
      </c>
      <c r="D702" t="str">
        <f>"458"</f>
        <v>458</v>
      </c>
      <c r="E702" t="str">
        <f>"61810100"</f>
        <v>61810100</v>
      </c>
      <c r="F702" t="s">
        <v>2266</v>
      </c>
      <c r="G702" t="s">
        <v>336</v>
      </c>
      <c r="H702" t="s">
        <v>5957</v>
      </c>
      <c r="I702">
        <v>0</v>
      </c>
      <c r="J702" t="s">
        <v>343</v>
      </c>
      <c r="K702">
        <v>10000</v>
      </c>
      <c r="M702">
        <v>10000</v>
      </c>
    </row>
    <row r="703" spans="1:13" x14ac:dyDescent="0.35">
      <c r="A703" t="str">
        <f t="shared" si="40"/>
        <v>CAI084572745961810100</v>
      </c>
      <c r="B703" t="s">
        <v>2219</v>
      </c>
      <c r="C703" s="1">
        <v>45727</v>
      </c>
      <c r="D703" t="str">
        <f>"459"</f>
        <v>459</v>
      </c>
      <c r="E703" t="str">
        <f>"61810100"</f>
        <v>61810100</v>
      </c>
      <c r="F703" t="s">
        <v>2267</v>
      </c>
      <c r="G703" t="s">
        <v>336</v>
      </c>
      <c r="H703" t="s">
        <v>5957</v>
      </c>
      <c r="I703">
        <v>0</v>
      </c>
      <c r="J703" t="s">
        <v>343</v>
      </c>
      <c r="K703">
        <v>10000</v>
      </c>
      <c r="M703">
        <v>10000</v>
      </c>
    </row>
    <row r="704" spans="1:13" x14ac:dyDescent="0.35">
      <c r="A704" t="str">
        <f t="shared" si="40"/>
        <v>CAI084572746061810100</v>
      </c>
      <c r="B704" t="s">
        <v>2219</v>
      </c>
      <c r="C704" s="1">
        <v>45727</v>
      </c>
      <c r="D704" t="str">
        <f>"460"</f>
        <v>460</v>
      </c>
      <c r="E704" t="str">
        <f>"61810100"</f>
        <v>61810100</v>
      </c>
      <c r="F704" t="s">
        <v>2268</v>
      </c>
      <c r="G704" t="s">
        <v>336</v>
      </c>
      <c r="H704" t="s">
        <v>5957</v>
      </c>
      <c r="I704">
        <v>0</v>
      </c>
      <c r="J704" t="s">
        <v>343</v>
      </c>
      <c r="K704">
        <v>5000</v>
      </c>
      <c r="M704">
        <v>5000</v>
      </c>
    </row>
    <row r="705" spans="1:13" x14ac:dyDescent="0.35">
      <c r="A705" t="str">
        <f t="shared" si="40"/>
        <v>CAI084572846164630000</v>
      </c>
      <c r="B705" t="s">
        <v>2219</v>
      </c>
      <c r="C705" s="1">
        <v>45728</v>
      </c>
      <c r="D705" t="str">
        <f>"461"</f>
        <v>461</v>
      </c>
      <c r="E705" t="str">
        <f>"64630000"</f>
        <v>64630000</v>
      </c>
      <c r="F705" t="s">
        <v>2227</v>
      </c>
      <c r="G705" t="s">
        <v>336</v>
      </c>
      <c r="H705" t="s">
        <v>5957</v>
      </c>
      <c r="I705">
        <v>0</v>
      </c>
      <c r="J705" t="s">
        <v>343</v>
      </c>
      <c r="K705">
        <v>17500</v>
      </c>
      <c r="M705">
        <v>17500</v>
      </c>
    </row>
    <row r="706" spans="1:13" x14ac:dyDescent="0.35">
      <c r="A706" t="str">
        <f t="shared" si="40"/>
        <v>CAI084572846262480000</v>
      </c>
      <c r="B706" t="s">
        <v>2219</v>
      </c>
      <c r="C706" s="1">
        <v>45728</v>
      </c>
      <c r="D706" t="str">
        <f>"462"</f>
        <v>462</v>
      </c>
      <c r="E706" t="str">
        <f>"62480000"</f>
        <v>62480000</v>
      </c>
      <c r="F706" t="s">
        <v>2269</v>
      </c>
      <c r="G706" t="s">
        <v>336</v>
      </c>
      <c r="H706" t="s">
        <v>5883</v>
      </c>
      <c r="I706">
        <v>0</v>
      </c>
      <c r="J706" t="s">
        <v>343</v>
      </c>
      <c r="K706">
        <v>50000</v>
      </c>
      <c r="M706">
        <v>50000</v>
      </c>
    </row>
    <row r="707" spans="1:13" x14ac:dyDescent="0.35">
      <c r="A707" t="str">
        <f t="shared" ref="A707:A770" si="41">CONCATENATE(B707,C707,D707,E707)</f>
        <v>CAI084572846361810100</v>
      </c>
      <c r="B707" t="s">
        <v>2219</v>
      </c>
      <c r="C707" s="1">
        <v>45728</v>
      </c>
      <c r="D707" t="str">
        <f>"463"</f>
        <v>463</v>
      </c>
      <c r="E707" t="str">
        <f>"61810100"</f>
        <v>61810100</v>
      </c>
      <c r="F707" t="s">
        <v>2270</v>
      </c>
      <c r="G707" t="s">
        <v>336</v>
      </c>
      <c r="H707" t="s">
        <v>5952</v>
      </c>
      <c r="I707">
        <v>0</v>
      </c>
      <c r="J707" t="s">
        <v>343</v>
      </c>
      <c r="K707">
        <v>10000</v>
      </c>
      <c r="M707">
        <v>10000</v>
      </c>
    </row>
    <row r="708" spans="1:13" x14ac:dyDescent="0.35">
      <c r="A708" t="str">
        <f t="shared" si="41"/>
        <v>CAI084572846461810100</v>
      </c>
      <c r="B708" t="s">
        <v>2219</v>
      </c>
      <c r="C708" s="1">
        <v>45728</v>
      </c>
      <c r="D708" t="str">
        <f>"464"</f>
        <v>464</v>
      </c>
      <c r="E708" t="str">
        <f>"61810100"</f>
        <v>61810100</v>
      </c>
      <c r="F708" t="s">
        <v>2271</v>
      </c>
      <c r="G708" t="s">
        <v>336</v>
      </c>
      <c r="H708" t="s">
        <v>5957</v>
      </c>
      <c r="I708">
        <v>0</v>
      </c>
      <c r="J708" t="s">
        <v>343</v>
      </c>
      <c r="K708">
        <v>5000</v>
      </c>
      <c r="M708">
        <v>5000</v>
      </c>
    </row>
    <row r="709" spans="1:13" x14ac:dyDescent="0.35">
      <c r="A709" t="str">
        <f t="shared" si="41"/>
        <v>CAI084572846561810100</v>
      </c>
      <c r="B709" t="s">
        <v>2219</v>
      </c>
      <c r="C709" s="1">
        <v>45728</v>
      </c>
      <c r="D709" t="str">
        <f>"465"</f>
        <v>465</v>
      </c>
      <c r="E709" t="str">
        <f>"61810100"</f>
        <v>61810100</v>
      </c>
      <c r="F709" t="s">
        <v>2272</v>
      </c>
      <c r="G709" t="s">
        <v>336</v>
      </c>
      <c r="H709" t="s">
        <v>5957</v>
      </c>
      <c r="I709">
        <v>0</v>
      </c>
      <c r="J709" t="s">
        <v>343</v>
      </c>
      <c r="K709">
        <v>5000</v>
      </c>
      <c r="M709">
        <v>5000</v>
      </c>
    </row>
    <row r="710" spans="1:13" x14ac:dyDescent="0.35">
      <c r="A710" t="str">
        <f t="shared" si="41"/>
        <v>CAI084572946662420000</v>
      </c>
      <c r="B710" t="s">
        <v>2219</v>
      </c>
      <c r="C710" s="1">
        <v>45729</v>
      </c>
      <c r="D710" t="str">
        <f>"466"</f>
        <v>466</v>
      </c>
      <c r="E710" t="str">
        <f>"62420000"</f>
        <v>62420000</v>
      </c>
      <c r="F710" t="s">
        <v>2273</v>
      </c>
      <c r="G710" t="s">
        <v>336</v>
      </c>
      <c r="H710" t="s">
        <v>5958</v>
      </c>
      <c r="I710">
        <v>0</v>
      </c>
      <c r="J710" t="s">
        <v>343</v>
      </c>
      <c r="K710">
        <v>168000</v>
      </c>
      <c r="M710">
        <v>168000</v>
      </c>
    </row>
    <row r="711" spans="1:13" x14ac:dyDescent="0.35">
      <c r="A711" t="str">
        <f t="shared" si="41"/>
        <v>CAI084572946760520000</v>
      </c>
      <c r="B711" t="s">
        <v>2219</v>
      </c>
      <c r="C711" s="1">
        <v>45729</v>
      </c>
      <c r="D711" t="str">
        <f>"467"</f>
        <v>467</v>
      </c>
      <c r="E711" t="str">
        <f>"60520000"</f>
        <v>60520000</v>
      </c>
      <c r="F711" t="s">
        <v>2274</v>
      </c>
      <c r="G711" t="s">
        <v>336</v>
      </c>
      <c r="H711" t="s">
        <v>5883</v>
      </c>
      <c r="I711">
        <v>0</v>
      </c>
      <c r="J711" t="s">
        <v>343</v>
      </c>
      <c r="K711">
        <v>50000</v>
      </c>
      <c r="M711">
        <v>50000</v>
      </c>
    </row>
    <row r="712" spans="1:13" x14ac:dyDescent="0.35">
      <c r="A712" t="str">
        <f t="shared" si="41"/>
        <v>CAI084572946864630100</v>
      </c>
      <c r="B712" t="s">
        <v>2219</v>
      </c>
      <c r="C712" s="1">
        <v>45729</v>
      </c>
      <c r="D712" t="str">
        <f>"468"</f>
        <v>468</v>
      </c>
      <c r="E712" t="str">
        <f>"64630100"</f>
        <v>64630100</v>
      </c>
      <c r="F712" t="s">
        <v>2275</v>
      </c>
      <c r="G712" t="s">
        <v>336</v>
      </c>
      <c r="H712" t="s">
        <v>5957</v>
      </c>
      <c r="I712">
        <v>0</v>
      </c>
      <c r="J712" t="s">
        <v>343</v>
      </c>
      <c r="K712">
        <v>30100</v>
      </c>
      <c r="M712">
        <v>30100</v>
      </c>
    </row>
    <row r="713" spans="1:13" x14ac:dyDescent="0.35">
      <c r="A713" t="str">
        <f t="shared" si="41"/>
        <v>CAI084572946964630000</v>
      </c>
      <c r="B713" t="s">
        <v>2219</v>
      </c>
      <c r="C713" s="1">
        <v>45729</v>
      </c>
      <c r="D713" t="str">
        <f>"469"</f>
        <v>469</v>
      </c>
      <c r="E713" t="str">
        <f>"64630000"</f>
        <v>64630000</v>
      </c>
      <c r="F713" t="s">
        <v>2227</v>
      </c>
      <c r="G713" t="s">
        <v>336</v>
      </c>
      <c r="H713" t="s">
        <v>5957</v>
      </c>
      <c r="I713">
        <v>0</v>
      </c>
      <c r="J713" t="s">
        <v>343</v>
      </c>
      <c r="K713">
        <v>10000</v>
      </c>
      <c r="M713">
        <v>10000</v>
      </c>
    </row>
    <row r="714" spans="1:13" x14ac:dyDescent="0.35">
      <c r="A714" t="str">
        <f t="shared" si="41"/>
        <v>CAI084572947063883000</v>
      </c>
      <c r="B714" t="s">
        <v>2219</v>
      </c>
      <c r="C714" s="1">
        <v>45729</v>
      </c>
      <c r="D714" t="str">
        <f>"470"</f>
        <v>470</v>
      </c>
      <c r="E714" t="str">
        <f>"63883000"</f>
        <v>63883000</v>
      </c>
      <c r="F714" t="s">
        <v>2276</v>
      </c>
      <c r="G714" t="s">
        <v>336</v>
      </c>
      <c r="H714" t="s">
        <v>5957</v>
      </c>
      <c r="I714">
        <v>0</v>
      </c>
      <c r="J714" t="s">
        <v>343</v>
      </c>
      <c r="K714">
        <v>19000</v>
      </c>
      <c r="M714">
        <v>19000</v>
      </c>
    </row>
    <row r="715" spans="1:13" x14ac:dyDescent="0.35">
      <c r="A715" t="str">
        <f t="shared" si="41"/>
        <v>CAI084572947161810100</v>
      </c>
      <c r="B715" t="s">
        <v>2219</v>
      </c>
      <c r="C715" s="1">
        <v>45729</v>
      </c>
      <c r="D715" t="str">
        <f>"471"</f>
        <v>471</v>
      </c>
      <c r="E715" t="str">
        <f>"61810100"</f>
        <v>61810100</v>
      </c>
      <c r="F715" t="s">
        <v>2277</v>
      </c>
      <c r="G715" t="s">
        <v>336</v>
      </c>
      <c r="H715" t="s">
        <v>5957</v>
      </c>
      <c r="I715">
        <v>0</v>
      </c>
      <c r="J715" t="s">
        <v>343</v>
      </c>
      <c r="K715">
        <v>15000</v>
      </c>
      <c r="M715">
        <v>15000</v>
      </c>
    </row>
    <row r="716" spans="1:13" x14ac:dyDescent="0.35">
      <c r="A716" t="str">
        <f t="shared" si="41"/>
        <v>CAI084572947261810100</v>
      </c>
      <c r="B716" t="s">
        <v>2219</v>
      </c>
      <c r="C716" s="1">
        <v>45729</v>
      </c>
      <c r="D716" t="str">
        <f>"472"</f>
        <v>472</v>
      </c>
      <c r="E716" t="str">
        <f>"61810100"</f>
        <v>61810100</v>
      </c>
      <c r="F716" t="s">
        <v>2278</v>
      </c>
      <c r="G716" t="s">
        <v>336</v>
      </c>
      <c r="H716" t="s">
        <v>5957</v>
      </c>
      <c r="I716">
        <v>0</v>
      </c>
      <c r="J716" t="s">
        <v>343</v>
      </c>
      <c r="K716">
        <v>5000</v>
      </c>
      <c r="M716">
        <v>5000</v>
      </c>
    </row>
    <row r="717" spans="1:13" x14ac:dyDescent="0.35">
      <c r="A717" t="str">
        <f t="shared" si="41"/>
        <v>CAI084572947361810100</v>
      </c>
      <c r="B717" t="s">
        <v>2219</v>
      </c>
      <c r="C717" s="1">
        <v>45729</v>
      </c>
      <c r="D717" t="str">
        <f>"473"</f>
        <v>473</v>
      </c>
      <c r="E717" t="str">
        <f>"61810100"</f>
        <v>61810100</v>
      </c>
      <c r="F717" t="s">
        <v>2279</v>
      </c>
      <c r="G717" t="s">
        <v>336</v>
      </c>
      <c r="H717" t="s">
        <v>5957</v>
      </c>
      <c r="I717">
        <v>0</v>
      </c>
      <c r="J717" t="s">
        <v>343</v>
      </c>
      <c r="K717">
        <v>15000</v>
      </c>
      <c r="M717">
        <v>15000</v>
      </c>
    </row>
    <row r="718" spans="1:13" x14ac:dyDescent="0.35">
      <c r="A718" t="str">
        <f t="shared" si="41"/>
        <v>CAI084573047464630000</v>
      </c>
      <c r="B718" t="s">
        <v>2219</v>
      </c>
      <c r="C718" s="1">
        <v>45730</v>
      </c>
      <c r="D718" t="str">
        <f>"474"</f>
        <v>474</v>
      </c>
      <c r="E718" t="str">
        <f>"64630000"</f>
        <v>64630000</v>
      </c>
      <c r="F718" t="s">
        <v>2227</v>
      </c>
      <c r="G718" t="s">
        <v>336</v>
      </c>
      <c r="H718" t="s">
        <v>5957</v>
      </c>
      <c r="I718">
        <v>0</v>
      </c>
      <c r="J718" t="s">
        <v>343</v>
      </c>
      <c r="K718">
        <v>17500</v>
      </c>
      <c r="M718">
        <v>17500</v>
      </c>
    </row>
    <row r="719" spans="1:13" x14ac:dyDescent="0.35">
      <c r="A719" t="str">
        <f t="shared" si="41"/>
        <v>CAI084573047561810100</v>
      </c>
      <c r="B719" t="s">
        <v>2219</v>
      </c>
      <c r="C719" s="1">
        <v>45730</v>
      </c>
      <c r="D719" t="str">
        <f>"475"</f>
        <v>475</v>
      </c>
      <c r="E719" t="str">
        <f>"61810100"</f>
        <v>61810100</v>
      </c>
      <c r="F719" t="s">
        <v>2253</v>
      </c>
      <c r="G719" t="s">
        <v>336</v>
      </c>
      <c r="H719" t="s">
        <v>5957</v>
      </c>
      <c r="I719">
        <v>0</v>
      </c>
      <c r="J719" t="s">
        <v>343</v>
      </c>
      <c r="K719">
        <v>5000</v>
      </c>
      <c r="M719">
        <v>5000</v>
      </c>
    </row>
    <row r="720" spans="1:13" x14ac:dyDescent="0.35">
      <c r="A720" t="str">
        <f t="shared" si="41"/>
        <v>CAI084573047661810100</v>
      </c>
      <c r="B720" t="s">
        <v>2219</v>
      </c>
      <c r="C720" s="1">
        <v>45730</v>
      </c>
      <c r="D720" t="str">
        <f>"476"</f>
        <v>476</v>
      </c>
      <c r="E720" t="str">
        <f>"61810100"</f>
        <v>61810100</v>
      </c>
      <c r="F720" t="s">
        <v>2280</v>
      </c>
      <c r="G720" t="s">
        <v>336</v>
      </c>
      <c r="H720" t="s">
        <v>5957</v>
      </c>
      <c r="I720">
        <v>0</v>
      </c>
      <c r="J720" t="s">
        <v>343</v>
      </c>
      <c r="K720">
        <v>15000</v>
      </c>
      <c r="M720">
        <v>15000</v>
      </c>
    </row>
    <row r="721" spans="1:13" x14ac:dyDescent="0.35">
      <c r="A721" t="str">
        <f t="shared" si="41"/>
        <v>CAI084573047761810100</v>
      </c>
      <c r="B721" t="s">
        <v>2219</v>
      </c>
      <c r="C721" s="1">
        <v>45730</v>
      </c>
      <c r="D721" t="str">
        <f>"477"</f>
        <v>477</v>
      </c>
      <c r="E721" t="str">
        <f>"61810100"</f>
        <v>61810100</v>
      </c>
      <c r="F721" t="s">
        <v>2281</v>
      </c>
      <c r="G721" t="s">
        <v>336</v>
      </c>
      <c r="H721" t="s">
        <v>5957</v>
      </c>
      <c r="I721">
        <v>0</v>
      </c>
      <c r="J721" t="s">
        <v>343</v>
      </c>
      <c r="K721">
        <v>5000</v>
      </c>
      <c r="M721">
        <v>5000</v>
      </c>
    </row>
    <row r="722" spans="1:13" x14ac:dyDescent="0.35">
      <c r="A722" t="str">
        <f t="shared" si="41"/>
        <v>CAI084573347864630000</v>
      </c>
      <c r="B722" t="s">
        <v>2219</v>
      </c>
      <c r="C722" s="1">
        <v>45733</v>
      </c>
      <c r="D722" t="str">
        <f>"478"</f>
        <v>478</v>
      </c>
      <c r="E722" t="str">
        <f>"64630000"</f>
        <v>64630000</v>
      </c>
      <c r="F722" t="s">
        <v>2227</v>
      </c>
      <c r="G722" t="s">
        <v>336</v>
      </c>
      <c r="H722" t="s">
        <v>5957</v>
      </c>
      <c r="I722">
        <v>0</v>
      </c>
      <c r="J722" t="s">
        <v>343</v>
      </c>
      <c r="K722">
        <v>12500</v>
      </c>
      <c r="M722">
        <v>12500</v>
      </c>
    </row>
    <row r="723" spans="1:13" x14ac:dyDescent="0.35">
      <c r="A723" t="str">
        <f t="shared" si="41"/>
        <v>CAI084573347961830000</v>
      </c>
      <c r="B723" t="s">
        <v>2219</v>
      </c>
      <c r="C723" s="1">
        <v>45733</v>
      </c>
      <c r="D723" t="str">
        <f>"479"</f>
        <v>479</v>
      </c>
      <c r="E723" t="str">
        <f>"61830000"</f>
        <v>61830000</v>
      </c>
      <c r="F723" t="s">
        <v>2282</v>
      </c>
      <c r="G723" t="s">
        <v>336</v>
      </c>
      <c r="H723" t="s">
        <v>5883</v>
      </c>
      <c r="I723">
        <v>0</v>
      </c>
      <c r="J723" t="s">
        <v>343</v>
      </c>
      <c r="K723">
        <v>8000</v>
      </c>
      <c r="M723">
        <v>8000</v>
      </c>
    </row>
    <row r="724" spans="1:13" x14ac:dyDescent="0.35">
      <c r="A724" t="str">
        <f t="shared" si="41"/>
        <v>CAI084573348061810100</v>
      </c>
      <c r="B724" t="s">
        <v>2219</v>
      </c>
      <c r="C724" s="1">
        <v>45733</v>
      </c>
      <c r="D724" t="str">
        <f>"480"</f>
        <v>480</v>
      </c>
      <c r="E724" t="str">
        <f>"61810100"</f>
        <v>61810100</v>
      </c>
      <c r="F724" t="s">
        <v>2283</v>
      </c>
      <c r="G724" t="s">
        <v>336</v>
      </c>
      <c r="H724" t="s">
        <v>5957</v>
      </c>
      <c r="I724">
        <v>0</v>
      </c>
      <c r="J724" t="s">
        <v>343</v>
      </c>
      <c r="K724">
        <v>5000</v>
      </c>
      <c r="M724">
        <v>5000</v>
      </c>
    </row>
    <row r="725" spans="1:13" x14ac:dyDescent="0.35">
      <c r="A725" t="str">
        <f t="shared" si="41"/>
        <v>CAI084573348161810100</v>
      </c>
      <c r="B725" t="s">
        <v>2219</v>
      </c>
      <c r="C725" s="1">
        <v>45733</v>
      </c>
      <c r="D725" t="str">
        <f>"481"</f>
        <v>481</v>
      </c>
      <c r="E725" t="str">
        <f>"61810100"</f>
        <v>61810100</v>
      </c>
      <c r="F725" t="s">
        <v>2284</v>
      </c>
      <c r="G725" t="s">
        <v>336</v>
      </c>
      <c r="H725" t="s">
        <v>5957</v>
      </c>
      <c r="I725">
        <v>0</v>
      </c>
      <c r="J725" t="s">
        <v>343</v>
      </c>
      <c r="K725">
        <v>15000</v>
      </c>
      <c r="M725">
        <v>15000</v>
      </c>
    </row>
    <row r="726" spans="1:13" x14ac:dyDescent="0.35">
      <c r="A726" t="str">
        <f t="shared" si="41"/>
        <v>CAI084573348261810100</v>
      </c>
      <c r="B726" t="s">
        <v>2219</v>
      </c>
      <c r="C726" s="1">
        <v>45733</v>
      </c>
      <c r="D726" t="str">
        <f>"482"</f>
        <v>482</v>
      </c>
      <c r="E726" t="str">
        <f>"61810100"</f>
        <v>61810100</v>
      </c>
      <c r="F726" t="s">
        <v>2285</v>
      </c>
      <c r="G726" t="s">
        <v>336</v>
      </c>
      <c r="H726" t="s">
        <v>5957</v>
      </c>
      <c r="I726">
        <v>0</v>
      </c>
      <c r="J726" t="s">
        <v>343</v>
      </c>
      <c r="K726">
        <v>10000</v>
      </c>
      <c r="M726">
        <v>10000</v>
      </c>
    </row>
    <row r="727" spans="1:13" x14ac:dyDescent="0.35">
      <c r="A727" t="str">
        <f t="shared" si="41"/>
        <v>CAI084573448364630000</v>
      </c>
      <c r="B727" t="s">
        <v>2219</v>
      </c>
      <c r="C727" s="1">
        <v>45734</v>
      </c>
      <c r="D727" t="str">
        <f>"483"</f>
        <v>483</v>
      </c>
      <c r="E727" t="str">
        <f>"64630000"</f>
        <v>64630000</v>
      </c>
      <c r="F727" t="s">
        <v>2227</v>
      </c>
      <c r="G727" t="s">
        <v>336</v>
      </c>
      <c r="H727" t="s">
        <v>5957</v>
      </c>
      <c r="I727">
        <v>0</v>
      </c>
      <c r="J727" t="s">
        <v>343</v>
      </c>
      <c r="K727">
        <v>17500</v>
      </c>
      <c r="M727">
        <v>17500</v>
      </c>
    </row>
    <row r="728" spans="1:13" x14ac:dyDescent="0.35">
      <c r="A728" t="str">
        <f t="shared" si="41"/>
        <v>CAI084573448461810100</v>
      </c>
      <c r="B728" t="s">
        <v>2219</v>
      </c>
      <c r="C728" s="1">
        <v>45734</v>
      </c>
      <c r="D728" t="str">
        <f>"484"</f>
        <v>484</v>
      </c>
      <c r="E728" t="str">
        <f>"61810100"</f>
        <v>61810100</v>
      </c>
      <c r="F728" t="s">
        <v>2286</v>
      </c>
      <c r="G728" t="s">
        <v>336</v>
      </c>
      <c r="H728" t="s">
        <v>5957</v>
      </c>
      <c r="I728">
        <v>0</v>
      </c>
      <c r="J728" t="s">
        <v>343</v>
      </c>
      <c r="K728">
        <v>5000</v>
      </c>
      <c r="M728">
        <v>5000</v>
      </c>
    </row>
    <row r="729" spans="1:13" x14ac:dyDescent="0.35">
      <c r="A729" t="str">
        <f t="shared" si="41"/>
        <v>CAI084573448561810100</v>
      </c>
      <c r="B729" t="s">
        <v>2219</v>
      </c>
      <c r="C729" s="1">
        <v>45734</v>
      </c>
      <c r="D729" t="str">
        <f>"485"</f>
        <v>485</v>
      </c>
      <c r="E729" t="str">
        <f>"61810100"</f>
        <v>61810100</v>
      </c>
      <c r="F729" t="s">
        <v>2287</v>
      </c>
      <c r="G729" t="s">
        <v>336</v>
      </c>
      <c r="H729" t="s">
        <v>5957</v>
      </c>
      <c r="I729">
        <v>0</v>
      </c>
      <c r="J729" t="s">
        <v>343</v>
      </c>
      <c r="K729">
        <v>10000</v>
      </c>
      <c r="M729">
        <v>10000</v>
      </c>
    </row>
    <row r="730" spans="1:13" x14ac:dyDescent="0.35">
      <c r="A730" t="str">
        <f t="shared" si="41"/>
        <v>CAI084573448661810100</v>
      </c>
      <c r="B730" t="s">
        <v>2219</v>
      </c>
      <c r="C730" s="1">
        <v>45734</v>
      </c>
      <c r="D730" t="str">
        <f>"486"</f>
        <v>486</v>
      </c>
      <c r="E730" t="str">
        <f>"61810100"</f>
        <v>61810100</v>
      </c>
      <c r="F730" t="s">
        <v>2288</v>
      </c>
      <c r="G730" t="s">
        <v>336</v>
      </c>
      <c r="H730" t="s">
        <v>5957</v>
      </c>
      <c r="I730">
        <v>0</v>
      </c>
      <c r="J730" t="s">
        <v>343</v>
      </c>
      <c r="K730">
        <v>10000</v>
      </c>
      <c r="M730">
        <v>10000</v>
      </c>
    </row>
    <row r="731" spans="1:13" x14ac:dyDescent="0.35">
      <c r="A731" t="str">
        <f t="shared" si="41"/>
        <v>CAI084573448761810100</v>
      </c>
      <c r="B731" t="s">
        <v>2219</v>
      </c>
      <c r="C731" s="1">
        <v>45734</v>
      </c>
      <c r="D731" t="str">
        <f>"487"</f>
        <v>487</v>
      </c>
      <c r="E731" t="str">
        <f>"61810100"</f>
        <v>61810100</v>
      </c>
      <c r="F731" t="s">
        <v>2289</v>
      </c>
      <c r="G731" t="s">
        <v>336</v>
      </c>
      <c r="H731" t="s">
        <v>5957</v>
      </c>
      <c r="I731">
        <v>0</v>
      </c>
      <c r="J731" t="s">
        <v>343</v>
      </c>
      <c r="K731">
        <v>5000</v>
      </c>
      <c r="M731">
        <v>5000</v>
      </c>
    </row>
    <row r="732" spans="1:13" x14ac:dyDescent="0.35">
      <c r="A732" t="str">
        <f t="shared" si="41"/>
        <v>CAI084573548964630000</v>
      </c>
      <c r="B732" t="s">
        <v>2219</v>
      </c>
      <c r="C732" s="1">
        <v>45735</v>
      </c>
      <c r="D732" t="str">
        <f>"489"</f>
        <v>489</v>
      </c>
      <c r="E732" t="str">
        <f>"64630000"</f>
        <v>64630000</v>
      </c>
      <c r="F732" t="s">
        <v>2227</v>
      </c>
      <c r="G732" t="s">
        <v>336</v>
      </c>
      <c r="H732" t="s">
        <v>5957</v>
      </c>
      <c r="I732">
        <v>0</v>
      </c>
      <c r="J732" t="s">
        <v>343</v>
      </c>
      <c r="K732">
        <v>7500</v>
      </c>
      <c r="M732">
        <v>7500</v>
      </c>
    </row>
    <row r="733" spans="1:13" x14ac:dyDescent="0.35">
      <c r="A733" t="str">
        <f t="shared" si="41"/>
        <v>CAI084573549061810100</v>
      </c>
      <c r="B733" t="s">
        <v>2219</v>
      </c>
      <c r="C733" s="1">
        <v>45735</v>
      </c>
      <c r="D733" t="str">
        <f>"490"</f>
        <v>490</v>
      </c>
      <c r="E733" t="str">
        <f>"61810100"</f>
        <v>61810100</v>
      </c>
      <c r="F733" t="s">
        <v>2290</v>
      </c>
      <c r="G733" t="s">
        <v>336</v>
      </c>
      <c r="H733" t="s">
        <v>5957</v>
      </c>
      <c r="I733">
        <v>0</v>
      </c>
      <c r="J733" t="s">
        <v>343</v>
      </c>
      <c r="K733">
        <v>5000</v>
      </c>
      <c r="M733">
        <v>5000</v>
      </c>
    </row>
    <row r="734" spans="1:13" x14ac:dyDescent="0.35">
      <c r="A734" t="str">
        <f t="shared" si="41"/>
        <v>CAI084573549161810100</v>
      </c>
      <c r="B734" t="s">
        <v>2219</v>
      </c>
      <c r="C734" s="1">
        <v>45735</v>
      </c>
      <c r="D734" t="str">
        <f>"491"</f>
        <v>491</v>
      </c>
      <c r="E734" t="str">
        <f>"61810100"</f>
        <v>61810100</v>
      </c>
      <c r="F734" t="s">
        <v>2291</v>
      </c>
      <c r="G734" t="s">
        <v>336</v>
      </c>
      <c r="H734" t="s">
        <v>5957</v>
      </c>
      <c r="I734">
        <v>0</v>
      </c>
      <c r="J734" t="s">
        <v>343</v>
      </c>
      <c r="K734">
        <v>10000</v>
      </c>
      <c r="M734">
        <v>10000</v>
      </c>
    </row>
    <row r="735" spans="1:13" x14ac:dyDescent="0.35">
      <c r="A735" t="str">
        <f t="shared" si="41"/>
        <v>CAI084573649264630000</v>
      </c>
      <c r="B735" t="s">
        <v>2219</v>
      </c>
      <c r="C735" s="1">
        <v>45736</v>
      </c>
      <c r="D735" t="str">
        <f>"492"</f>
        <v>492</v>
      </c>
      <c r="E735" t="str">
        <f>"64630000"</f>
        <v>64630000</v>
      </c>
      <c r="F735" t="s">
        <v>2227</v>
      </c>
      <c r="G735" t="s">
        <v>336</v>
      </c>
      <c r="H735" t="s">
        <v>5957</v>
      </c>
      <c r="I735">
        <v>0</v>
      </c>
      <c r="J735" t="s">
        <v>343</v>
      </c>
      <c r="K735">
        <v>22500</v>
      </c>
      <c r="M735">
        <v>22500</v>
      </c>
    </row>
    <row r="736" spans="1:13" x14ac:dyDescent="0.35">
      <c r="A736" t="str">
        <f t="shared" si="41"/>
        <v>CAI084573649361810100</v>
      </c>
      <c r="B736" t="s">
        <v>2219</v>
      </c>
      <c r="C736" s="1">
        <v>45736</v>
      </c>
      <c r="D736" t="str">
        <f>"493"</f>
        <v>493</v>
      </c>
      <c r="E736" t="str">
        <f>"61810100"</f>
        <v>61810100</v>
      </c>
      <c r="F736" t="s">
        <v>2292</v>
      </c>
      <c r="G736" t="s">
        <v>336</v>
      </c>
      <c r="H736" t="s">
        <v>5957</v>
      </c>
      <c r="I736">
        <v>0</v>
      </c>
      <c r="J736" t="s">
        <v>343</v>
      </c>
      <c r="K736">
        <v>15000</v>
      </c>
      <c r="M736">
        <v>15000</v>
      </c>
    </row>
    <row r="737" spans="1:13" x14ac:dyDescent="0.35">
      <c r="A737" t="str">
        <f t="shared" si="41"/>
        <v>CAI084573649461810100</v>
      </c>
      <c r="B737" t="s">
        <v>2219</v>
      </c>
      <c r="C737" s="1">
        <v>45736</v>
      </c>
      <c r="D737" t="str">
        <f>"494"</f>
        <v>494</v>
      </c>
      <c r="E737" t="str">
        <f>"61810100"</f>
        <v>61810100</v>
      </c>
      <c r="F737" t="s">
        <v>2293</v>
      </c>
      <c r="G737" t="s">
        <v>336</v>
      </c>
      <c r="H737" t="s">
        <v>5957</v>
      </c>
      <c r="I737">
        <v>0</v>
      </c>
      <c r="J737" t="s">
        <v>343</v>
      </c>
      <c r="K737">
        <v>15000</v>
      </c>
      <c r="M737">
        <v>15000</v>
      </c>
    </row>
    <row r="738" spans="1:13" x14ac:dyDescent="0.35">
      <c r="A738" t="str">
        <f t="shared" si="41"/>
        <v>CAI084573649561810100</v>
      </c>
      <c r="B738" t="s">
        <v>2219</v>
      </c>
      <c r="C738" s="1">
        <v>45736</v>
      </c>
      <c r="D738" t="str">
        <f>"495"</f>
        <v>495</v>
      </c>
      <c r="E738" t="str">
        <f>"61810100"</f>
        <v>61810100</v>
      </c>
      <c r="F738" t="s">
        <v>2294</v>
      </c>
      <c r="G738" t="s">
        <v>336</v>
      </c>
      <c r="H738" t="s">
        <v>5957</v>
      </c>
      <c r="I738">
        <v>0</v>
      </c>
      <c r="J738" t="s">
        <v>343</v>
      </c>
      <c r="K738">
        <v>10000</v>
      </c>
      <c r="M738">
        <v>10000</v>
      </c>
    </row>
    <row r="739" spans="1:13" x14ac:dyDescent="0.35">
      <c r="A739" t="str">
        <f t="shared" si="41"/>
        <v>CAI084573649661810100</v>
      </c>
      <c r="B739" t="s">
        <v>2219</v>
      </c>
      <c r="C739" s="1">
        <v>45736</v>
      </c>
      <c r="D739" t="str">
        <f>"496"</f>
        <v>496</v>
      </c>
      <c r="E739" t="str">
        <f>"61810100"</f>
        <v>61810100</v>
      </c>
      <c r="F739" t="s">
        <v>2295</v>
      </c>
      <c r="G739" t="s">
        <v>336</v>
      </c>
      <c r="H739" t="s">
        <v>5957</v>
      </c>
      <c r="I739">
        <v>0</v>
      </c>
      <c r="J739" t="s">
        <v>343</v>
      </c>
      <c r="K739">
        <v>5000</v>
      </c>
      <c r="M739">
        <v>5000</v>
      </c>
    </row>
    <row r="740" spans="1:13" x14ac:dyDescent="0.35">
      <c r="A740" t="str">
        <f t="shared" si="41"/>
        <v>CAI084573649761810100</v>
      </c>
      <c r="B740" t="s">
        <v>2219</v>
      </c>
      <c r="C740" s="1">
        <v>45736</v>
      </c>
      <c r="D740" t="str">
        <f>"497"</f>
        <v>497</v>
      </c>
      <c r="E740" t="str">
        <f>"61810100"</f>
        <v>61810100</v>
      </c>
      <c r="F740" t="s">
        <v>2257</v>
      </c>
      <c r="G740" t="s">
        <v>336</v>
      </c>
      <c r="H740" t="s">
        <v>5957</v>
      </c>
      <c r="I740">
        <v>0</v>
      </c>
      <c r="J740" t="s">
        <v>343</v>
      </c>
      <c r="K740">
        <v>10000</v>
      </c>
      <c r="M740">
        <v>10000</v>
      </c>
    </row>
    <row r="741" spans="1:13" x14ac:dyDescent="0.35">
      <c r="A741" t="str">
        <f t="shared" si="41"/>
        <v>CAI084573649862420000</v>
      </c>
      <c r="B741" t="s">
        <v>2219</v>
      </c>
      <c r="C741" s="1">
        <v>45736</v>
      </c>
      <c r="D741" t="str">
        <f>"498"</f>
        <v>498</v>
      </c>
      <c r="E741" t="str">
        <f>"62420000"</f>
        <v>62420000</v>
      </c>
      <c r="F741" t="s">
        <v>2296</v>
      </c>
      <c r="G741" t="s">
        <v>336</v>
      </c>
      <c r="H741" t="s">
        <v>5958</v>
      </c>
      <c r="I741">
        <v>0</v>
      </c>
      <c r="J741" t="s">
        <v>343</v>
      </c>
      <c r="K741">
        <v>140000</v>
      </c>
      <c r="M741">
        <v>140000</v>
      </c>
    </row>
    <row r="742" spans="1:13" x14ac:dyDescent="0.35">
      <c r="A742" t="str">
        <f t="shared" si="41"/>
        <v>CAI084573749964630000</v>
      </c>
      <c r="B742" t="s">
        <v>2219</v>
      </c>
      <c r="C742" s="1">
        <v>45737</v>
      </c>
      <c r="D742" t="str">
        <f>"499"</f>
        <v>499</v>
      </c>
      <c r="E742" t="str">
        <f>"64630000"</f>
        <v>64630000</v>
      </c>
      <c r="F742" t="s">
        <v>2227</v>
      </c>
      <c r="G742" t="s">
        <v>336</v>
      </c>
      <c r="H742" t="s">
        <v>5957</v>
      </c>
      <c r="I742">
        <v>0</v>
      </c>
      <c r="J742" t="s">
        <v>343</v>
      </c>
      <c r="K742">
        <v>12500</v>
      </c>
      <c r="M742">
        <v>12500</v>
      </c>
    </row>
    <row r="743" spans="1:13" x14ac:dyDescent="0.35">
      <c r="A743" t="str">
        <f t="shared" si="41"/>
        <v>CAI084573750061810100</v>
      </c>
      <c r="B743" t="s">
        <v>2219</v>
      </c>
      <c r="C743" s="1">
        <v>45737</v>
      </c>
      <c r="D743" t="str">
        <f>"500"</f>
        <v>500</v>
      </c>
      <c r="E743" t="str">
        <f>"61810100"</f>
        <v>61810100</v>
      </c>
      <c r="F743" t="s">
        <v>2297</v>
      </c>
      <c r="G743" t="s">
        <v>336</v>
      </c>
      <c r="H743" t="s">
        <v>5957</v>
      </c>
      <c r="I743">
        <v>0</v>
      </c>
      <c r="J743" t="s">
        <v>343</v>
      </c>
      <c r="K743">
        <v>5000</v>
      </c>
      <c r="M743">
        <v>5000</v>
      </c>
    </row>
    <row r="744" spans="1:13" x14ac:dyDescent="0.35">
      <c r="A744" t="str">
        <f t="shared" si="41"/>
        <v>CAI084573750161810100</v>
      </c>
      <c r="B744" t="s">
        <v>2219</v>
      </c>
      <c r="C744" s="1">
        <v>45737</v>
      </c>
      <c r="D744" t="str">
        <f>"501"</f>
        <v>501</v>
      </c>
      <c r="E744" t="str">
        <f>"61810100"</f>
        <v>61810100</v>
      </c>
      <c r="F744" t="s">
        <v>2298</v>
      </c>
      <c r="G744" t="s">
        <v>336</v>
      </c>
      <c r="H744" t="s">
        <v>5957</v>
      </c>
      <c r="I744">
        <v>0</v>
      </c>
      <c r="J744" t="s">
        <v>343</v>
      </c>
      <c r="K744">
        <v>5000</v>
      </c>
      <c r="M744">
        <v>5000</v>
      </c>
    </row>
    <row r="745" spans="1:13" x14ac:dyDescent="0.35">
      <c r="A745" t="str">
        <f t="shared" si="41"/>
        <v>CAI084574050264630000</v>
      </c>
      <c r="B745" t="s">
        <v>2219</v>
      </c>
      <c r="C745" s="1">
        <v>45740</v>
      </c>
      <c r="D745" t="str">
        <f>"502"</f>
        <v>502</v>
      </c>
      <c r="E745" t="str">
        <f>"64630000"</f>
        <v>64630000</v>
      </c>
      <c r="F745" t="s">
        <v>2227</v>
      </c>
      <c r="G745" t="s">
        <v>336</v>
      </c>
      <c r="H745" t="s">
        <v>5957</v>
      </c>
      <c r="I745">
        <v>0</v>
      </c>
      <c r="J745" t="s">
        <v>343</v>
      </c>
      <c r="K745">
        <v>15000</v>
      </c>
      <c r="M745">
        <v>15000</v>
      </c>
    </row>
    <row r="746" spans="1:13" x14ac:dyDescent="0.35">
      <c r="A746" t="str">
        <f t="shared" si="41"/>
        <v>CAI084574050362411000</v>
      </c>
      <c r="B746" t="s">
        <v>2219</v>
      </c>
      <c r="C746" s="1">
        <v>45740</v>
      </c>
      <c r="D746" t="str">
        <f>"503"</f>
        <v>503</v>
      </c>
      <c r="E746" t="str">
        <f>"62411000"</f>
        <v>62411000</v>
      </c>
      <c r="F746" t="s">
        <v>2299</v>
      </c>
      <c r="G746" t="s">
        <v>336</v>
      </c>
      <c r="H746" t="s">
        <v>5883</v>
      </c>
      <c r="I746">
        <v>0</v>
      </c>
      <c r="J746" t="s">
        <v>343</v>
      </c>
      <c r="K746">
        <v>60000</v>
      </c>
      <c r="M746">
        <v>60000</v>
      </c>
    </row>
    <row r="747" spans="1:13" x14ac:dyDescent="0.35">
      <c r="A747" t="str">
        <f t="shared" si="41"/>
        <v>CAI084574050461810100</v>
      </c>
      <c r="B747" t="s">
        <v>2219</v>
      </c>
      <c r="C747" s="1">
        <v>45740</v>
      </c>
      <c r="D747" t="str">
        <f>"504"</f>
        <v>504</v>
      </c>
      <c r="E747" t="str">
        <f>"61810100"</f>
        <v>61810100</v>
      </c>
      <c r="F747" t="s">
        <v>2300</v>
      </c>
      <c r="G747" t="s">
        <v>336</v>
      </c>
      <c r="H747" t="s">
        <v>5957</v>
      </c>
      <c r="I747">
        <v>0</v>
      </c>
      <c r="J747" t="s">
        <v>343</v>
      </c>
      <c r="K747">
        <v>10000</v>
      </c>
      <c r="M747">
        <v>10000</v>
      </c>
    </row>
    <row r="748" spans="1:13" x14ac:dyDescent="0.35">
      <c r="A748" t="str">
        <f t="shared" si="41"/>
        <v>CAI084574050661810100</v>
      </c>
      <c r="B748" t="s">
        <v>2219</v>
      </c>
      <c r="C748" s="1">
        <v>45740</v>
      </c>
      <c r="D748" t="str">
        <f>"506"</f>
        <v>506</v>
      </c>
      <c r="E748" t="str">
        <f>"61810100"</f>
        <v>61810100</v>
      </c>
      <c r="F748" t="s">
        <v>2301</v>
      </c>
      <c r="G748" t="s">
        <v>336</v>
      </c>
      <c r="H748" t="s">
        <v>5957</v>
      </c>
      <c r="I748">
        <v>0</v>
      </c>
      <c r="J748" t="s">
        <v>343</v>
      </c>
      <c r="K748">
        <v>10000</v>
      </c>
      <c r="M748">
        <v>10000</v>
      </c>
    </row>
    <row r="749" spans="1:13" x14ac:dyDescent="0.35">
      <c r="A749" t="str">
        <f t="shared" si="41"/>
        <v>CAI084574150561810100</v>
      </c>
      <c r="B749" t="s">
        <v>2219</v>
      </c>
      <c r="C749" s="1">
        <v>45741</v>
      </c>
      <c r="D749" t="str">
        <f>"505"</f>
        <v>505</v>
      </c>
      <c r="E749" t="str">
        <f>"61810100"</f>
        <v>61810100</v>
      </c>
      <c r="F749" t="s">
        <v>2302</v>
      </c>
      <c r="G749" t="s">
        <v>336</v>
      </c>
      <c r="H749" t="s">
        <v>5957</v>
      </c>
      <c r="I749">
        <v>0</v>
      </c>
      <c r="J749" t="s">
        <v>343</v>
      </c>
      <c r="K749">
        <v>15000</v>
      </c>
      <c r="M749">
        <v>15000</v>
      </c>
    </row>
    <row r="750" spans="1:13" x14ac:dyDescent="0.35">
      <c r="A750" t="str">
        <f t="shared" si="41"/>
        <v>CAI084574150764630000</v>
      </c>
      <c r="B750" t="s">
        <v>2219</v>
      </c>
      <c r="C750" s="1">
        <v>45741</v>
      </c>
      <c r="D750" t="str">
        <f>"507"</f>
        <v>507</v>
      </c>
      <c r="E750" t="str">
        <f>"64630000"</f>
        <v>64630000</v>
      </c>
      <c r="F750" t="s">
        <v>2227</v>
      </c>
      <c r="G750" t="s">
        <v>336</v>
      </c>
      <c r="H750" t="s">
        <v>5957</v>
      </c>
      <c r="I750">
        <v>0</v>
      </c>
      <c r="J750" t="s">
        <v>343</v>
      </c>
      <c r="K750">
        <v>12500</v>
      </c>
      <c r="M750">
        <v>12500</v>
      </c>
    </row>
    <row r="751" spans="1:13" x14ac:dyDescent="0.35">
      <c r="A751" t="str">
        <f t="shared" si="41"/>
        <v>CAI084574150862420000</v>
      </c>
      <c r="B751" t="s">
        <v>2219</v>
      </c>
      <c r="C751" s="1">
        <v>45741</v>
      </c>
      <c r="D751" t="str">
        <f>"508"</f>
        <v>508</v>
      </c>
      <c r="E751" t="str">
        <f>"62420000"</f>
        <v>62420000</v>
      </c>
      <c r="F751" t="s">
        <v>2303</v>
      </c>
      <c r="G751" t="s">
        <v>336</v>
      </c>
      <c r="H751" t="s">
        <v>5958</v>
      </c>
      <c r="I751">
        <v>0</v>
      </c>
      <c r="J751" t="s">
        <v>343</v>
      </c>
      <c r="K751">
        <v>156000</v>
      </c>
      <c r="M751">
        <v>156000</v>
      </c>
    </row>
    <row r="752" spans="1:13" x14ac:dyDescent="0.35">
      <c r="A752" t="str">
        <f t="shared" si="41"/>
        <v>CAI084574150961810100</v>
      </c>
      <c r="B752" t="s">
        <v>2219</v>
      </c>
      <c r="C752" s="1">
        <v>45741</v>
      </c>
      <c r="D752" t="str">
        <f>"509"</f>
        <v>509</v>
      </c>
      <c r="E752" t="str">
        <f>"61810100"</f>
        <v>61810100</v>
      </c>
      <c r="F752" t="s">
        <v>2304</v>
      </c>
      <c r="G752" t="s">
        <v>336</v>
      </c>
      <c r="H752" t="s">
        <v>5957</v>
      </c>
      <c r="I752">
        <v>0</v>
      </c>
      <c r="J752" t="s">
        <v>343</v>
      </c>
      <c r="K752">
        <v>5000</v>
      </c>
      <c r="M752">
        <v>5000</v>
      </c>
    </row>
    <row r="753" spans="1:13" x14ac:dyDescent="0.35">
      <c r="A753" t="str">
        <f t="shared" si="41"/>
        <v>CAI084574151061810100</v>
      </c>
      <c r="B753" t="s">
        <v>2219</v>
      </c>
      <c r="C753" s="1">
        <v>45741</v>
      </c>
      <c r="D753" t="str">
        <f>"510"</f>
        <v>510</v>
      </c>
      <c r="E753" t="str">
        <f>"61810100"</f>
        <v>61810100</v>
      </c>
      <c r="F753" t="s">
        <v>2297</v>
      </c>
      <c r="G753" t="s">
        <v>336</v>
      </c>
      <c r="H753" t="s">
        <v>5957</v>
      </c>
      <c r="I753">
        <v>0</v>
      </c>
      <c r="J753" t="s">
        <v>343</v>
      </c>
      <c r="K753">
        <v>5000</v>
      </c>
      <c r="M753">
        <v>5000</v>
      </c>
    </row>
    <row r="754" spans="1:13" x14ac:dyDescent="0.35">
      <c r="A754" t="str">
        <f t="shared" si="41"/>
        <v>CAI084574251164630000</v>
      </c>
      <c r="B754" t="s">
        <v>2219</v>
      </c>
      <c r="C754" s="1">
        <v>45742</v>
      </c>
      <c r="D754" t="str">
        <f>"511"</f>
        <v>511</v>
      </c>
      <c r="E754" t="str">
        <f>"64630000"</f>
        <v>64630000</v>
      </c>
      <c r="F754" t="s">
        <v>2227</v>
      </c>
      <c r="G754" t="s">
        <v>336</v>
      </c>
      <c r="H754" t="s">
        <v>5957</v>
      </c>
      <c r="I754">
        <v>0</v>
      </c>
      <c r="J754" t="s">
        <v>343</v>
      </c>
      <c r="K754">
        <v>22500</v>
      </c>
      <c r="M754">
        <v>22500</v>
      </c>
    </row>
    <row r="755" spans="1:13" x14ac:dyDescent="0.35">
      <c r="A755" t="str">
        <f t="shared" si="41"/>
        <v>CAI084574251261810100</v>
      </c>
      <c r="B755" t="s">
        <v>2219</v>
      </c>
      <c r="C755" s="1">
        <v>45742</v>
      </c>
      <c r="D755" t="str">
        <f>"512"</f>
        <v>512</v>
      </c>
      <c r="E755" t="str">
        <f t="shared" ref="E755:E761" si="42">"61810100"</f>
        <v>61810100</v>
      </c>
      <c r="F755" t="s">
        <v>2305</v>
      </c>
      <c r="G755" t="s">
        <v>336</v>
      </c>
      <c r="H755" t="s">
        <v>5957</v>
      </c>
      <c r="I755">
        <v>0</v>
      </c>
      <c r="J755" t="s">
        <v>343</v>
      </c>
      <c r="K755">
        <v>5000</v>
      </c>
      <c r="M755">
        <v>5000</v>
      </c>
    </row>
    <row r="756" spans="1:13" x14ac:dyDescent="0.35">
      <c r="A756" t="str">
        <f t="shared" si="41"/>
        <v>CAI084574251361810100</v>
      </c>
      <c r="B756" t="s">
        <v>2219</v>
      </c>
      <c r="C756" s="1">
        <v>45742</v>
      </c>
      <c r="D756" t="str">
        <f>"513"</f>
        <v>513</v>
      </c>
      <c r="E756" t="str">
        <f t="shared" si="42"/>
        <v>61810100</v>
      </c>
      <c r="F756" t="s">
        <v>2306</v>
      </c>
      <c r="G756" t="s">
        <v>336</v>
      </c>
      <c r="H756" t="s">
        <v>5957</v>
      </c>
      <c r="I756">
        <v>0</v>
      </c>
      <c r="J756" t="s">
        <v>343</v>
      </c>
      <c r="K756">
        <v>15000</v>
      </c>
      <c r="M756">
        <v>15000</v>
      </c>
    </row>
    <row r="757" spans="1:13" x14ac:dyDescent="0.35">
      <c r="A757" t="str">
        <f t="shared" si="41"/>
        <v>CAI084574251461810100</v>
      </c>
      <c r="B757" t="s">
        <v>2219</v>
      </c>
      <c r="C757" s="1">
        <v>45742</v>
      </c>
      <c r="D757" t="str">
        <f>"514"</f>
        <v>514</v>
      </c>
      <c r="E757" t="str">
        <f t="shared" si="42"/>
        <v>61810100</v>
      </c>
      <c r="F757" t="s">
        <v>2307</v>
      </c>
      <c r="G757" t="s">
        <v>336</v>
      </c>
      <c r="H757" t="s">
        <v>5957</v>
      </c>
      <c r="I757">
        <v>0</v>
      </c>
      <c r="J757" t="s">
        <v>343</v>
      </c>
      <c r="K757">
        <v>10000</v>
      </c>
      <c r="M757">
        <v>10000</v>
      </c>
    </row>
    <row r="758" spans="1:13" x14ac:dyDescent="0.35">
      <c r="A758" t="str">
        <f t="shared" si="41"/>
        <v>CAI084574251561810100</v>
      </c>
      <c r="B758" t="s">
        <v>2219</v>
      </c>
      <c r="C758" s="1">
        <v>45742</v>
      </c>
      <c r="D758" t="str">
        <f>"515"</f>
        <v>515</v>
      </c>
      <c r="E758" t="str">
        <f t="shared" si="42"/>
        <v>61810100</v>
      </c>
      <c r="F758" t="s">
        <v>2308</v>
      </c>
      <c r="G758" t="s">
        <v>336</v>
      </c>
      <c r="H758" t="s">
        <v>5957</v>
      </c>
      <c r="I758">
        <v>0</v>
      </c>
      <c r="J758" t="s">
        <v>343</v>
      </c>
      <c r="K758">
        <v>10000</v>
      </c>
      <c r="M758">
        <v>10000</v>
      </c>
    </row>
    <row r="759" spans="1:13" x14ac:dyDescent="0.35">
      <c r="A759" t="str">
        <f t="shared" si="41"/>
        <v>CAI084574251661810100</v>
      </c>
      <c r="B759" t="s">
        <v>2219</v>
      </c>
      <c r="C759" s="1">
        <v>45742</v>
      </c>
      <c r="D759" t="str">
        <f>"516"</f>
        <v>516</v>
      </c>
      <c r="E759" t="str">
        <f t="shared" si="42"/>
        <v>61810100</v>
      </c>
      <c r="F759" t="s">
        <v>2309</v>
      </c>
      <c r="G759" t="s">
        <v>336</v>
      </c>
      <c r="H759" t="s">
        <v>5957</v>
      </c>
      <c r="I759">
        <v>0</v>
      </c>
      <c r="J759" t="s">
        <v>343</v>
      </c>
      <c r="K759">
        <v>5000</v>
      </c>
      <c r="M759">
        <v>5000</v>
      </c>
    </row>
    <row r="760" spans="1:13" x14ac:dyDescent="0.35">
      <c r="A760" t="str">
        <f t="shared" si="41"/>
        <v>CAI084574251761810100</v>
      </c>
      <c r="B760" t="s">
        <v>2219</v>
      </c>
      <c r="C760" s="1">
        <v>45742</v>
      </c>
      <c r="D760" t="str">
        <f>"517"</f>
        <v>517</v>
      </c>
      <c r="E760" t="str">
        <f t="shared" si="42"/>
        <v>61810100</v>
      </c>
      <c r="F760" t="s">
        <v>2310</v>
      </c>
      <c r="G760" t="s">
        <v>336</v>
      </c>
      <c r="H760" t="s">
        <v>5957</v>
      </c>
      <c r="I760">
        <v>0</v>
      </c>
      <c r="J760" t="s">
        <v>343</v>
      </c>
      <c r="K760">
        <v>5000</v>
      </c>
      <c r="M760">
        <v>5000</v>
      </c>
    </row>
    <row r="761" spans="1:13" x14ac:dyDescent="0.35">
      <c r="A761" t="str">
        <f t="shared" si="41"/>
        <v>CAI084574351861810100</v>
      </c>
      <c r="B761" t="s">
        <v>2219</v>
      </c>
      <c r="C761" s="1">
        <v>45743</v>
      </c>
      <c r="D761" t="str">
        <f>"518"</f>
        <v>518</v>
      </c>
      <c r="E761" t="str">
        <f t="shared" si="42"/>
        <v>61810100</v>
      </c>
      <c r="F761" t="s">
        <v>2311</v>
      </c>
      <c r="G761" t="s">
        <v>336</v>
      </c>
      <c r="H761" t="s">
        <v>5957</v>
      </c>
      <c r="I761">
        <v>0</v>
      </c>
      <c r="J761" t="s">
        <v>343</v>
      </c>
      <c r="K761">
        <v>15000</v>
      </c>
      <c r="M761">
        <v>15000</v>
      </c>
    </row>
    <row r="762" spans="1:13" x14ac:dyDescent="0.35">
      <c r="A762" t="str">
        <f t="shared" si="41"/>
        <v>CAI084574451964630000</v>
      </c>
      <c r="B762" t="s">
        <v>2219</v>
      </c>
      <c r="C762" s="1">
        <v>45744</v>
      </c>
      <c r="D762" t="str">
        <f>"519"</f>
        <v>519</v>
      </c>
      <c r="E762" t="str">
        <f>"64630000"</f>
        <v>64630000</v>
      </c>
      <c r="F762" t="s">
        <v>2227</v>
      </c>
      <c r="G762" t="s">
        <v>336</v>
      </c>
      <c r="H762" t="s">
        <v>5957</v>
      </c>
      <c r="I762">
        <v>0</v>
      </c>
      <c r="J762" t="s">
        <v>343</v>
      </c>
      <c r="K762">
        <v>10000</v>
      </c>
      <c r="M762">
        <v>10000</v>
      </c>
    </row>
    <row r="763" spans="1:13" x14ac:dyDescent="0.35">
      <c r="A763" t="str">
        <f t="shared" si="41"/>
        <v>CAI084574452061810100</v>
      </c>
      <c r="B763" t="s">
        <v>2219</v>
      </c>
      <c r="C763" s="1">
        <v>45744</v>
      </c>
      <c r="D763" t="str">
        <f>"520"</f>
        <v>520</v>
      </c>
      <c r="E763" t="str">
        <f>"61810100"</f>
        <v>61810100</v>
      </c>
      <c r="F763" t="s">
        <v>2312</v>
      </c>
      <c r="G763" t="s">
        <v>336</v>
      </c>
      <c r="H763" t="s">
        <v>5957</v>
      </c>
      <c r="I763">
        <v>0</v>
      </c>
      <c r="J763" t="s">
        <v>343</v>
      </c>
      <c r="K763">
        <v>10000</v>
      </c>
      <c r="M763">
        <v>10000</v>
      </c>
    </row>
    <row r="764" spans="1:13" x14ac:dyDescent="0.35">
      <c r="A764" t="str">
        <f t="shared" si="41"/>
        <v>CAI084574452161810100</v>
      </c>
      <c r="B764" t="s">
        <v>2219</v>
      </c>
      <c r="C764" s="1">
        <v>45744</v>
      </c>
      <c r="D764" t="str">
        <f>"521"</f>
        <v>521</v>
      </c>
      <c r="E764" t="str">
        <f>"61810100"</f>
        <v>61810100</v>
      </c>
      <c r="F764" t="s">
        <v>2313</v>
      </c>
      <c r="G764" t="s">
        <v>336</v>
      </c>
      <c r="H764" t="s">
        <v>5957</v>
      </c>
      <c r="I764">
        <v>0</v>
      </c>
      <c r="J764" t="s">
        <v>343</v>
      </c>
      <c r="K764">
        <v>10000</v>
      </c>
      <c r="M764">
        <v>10000</v>
      </c>
    </row>
    <row r="765" spans="1:13" x14ac:dyDescent="0.35">
      <c r="A765" t="str">
        <f t="shared" si="41"/>
        <v>CAI084574452261810100</v>
      </c>
      <c r="B765" t="s">
        <v>2219</v>
      </c>
      <c r="C765" s="1">
        <v>45744</v>
      </c>
      <c r="D765" t="str">
        <f>"522"</f>
        <v>522</v>
      </c>
      <c r="E765" t="str">
        <f>"61810100"</f>
        <v>61810100</v>
      </c>
      <c r="F765" t="s">
        <v>2314</v>
      </c>
      <c r="G765" t="s">
        <v>336</v>
      </c>
      <c r="H765" t="s">
        <v>5957</v>
      </c>
      <c r="I765">
        <v>0</v>
      </c>
      <c r="J765" t="s">
        <v>343</v>
      </c>
      <c r="K765">
        <v>15000</v>
      </c>
      <c r="M765">
        <v>15000</v>
      </c>
    </row>
    <row r="766" spans="1:13" x14ac:dyDescent="0.35">
      <c r="A766" t="str">
        <f t="shared" si="41"/>
        <v>CAI084574452361810100</v>
      </c>
      <c r="B766" t="s">
        <v>2219</v>
      </c>
      <c r="C766" s="1">
        <v>45744</v>
      </c>
      <c r="D766" t="str">
        <f>"523"</f>
        <v>523</v>
      </c>
      <c r="E766" t="str">
        <f>"61810100"</f>
        <v>61810100</v>
      </c>
      <c r="F766" t="s">
        <v>2315</v>
      </c>
      <c r="G766" t="s">
        <v>336</v>
      </c>
      <c r="H766" t="s">
        <v>5957</v>
      </c>
      <c r="I766">
        <v>0</v>
      </c>
      <c r="J766" t="s">
        <v>343</v>
      </c>
      <c r="K766">
        <v>5000</v>
      </c>
      <c r="M766">
        <v>5000</v>
      </c>
    </row>
    <row r="767" spans="1:13" x14ac:dyDescent="0.35">
      <c r="A767" t="str">
        <f t="shared" si="41"/>
        <v>CAI084574452461810100</v>
      </c>
      <c r="B767" t="s">
        <v>2219</v>
      </c>
      <c r="C767" s="1">
        <v>45744</v>
      </c>
      <c r="D767" t="str">
        <f>"524"</f>
        <v>524</v>
      </c>
      <c r="E767" t="str">
        <f>"61810100"</f>
        <v>61810100</v>
      </c>
      <c r="F767" t="s">
        <v>2316</v>
      </c>
      <c r="G767" t="s">
        <v>336</v>
      </c>
      <c r="H767" t="s">
        <v>5957</v>
      </c>
      <c r="I767">
        <v>0</v>
      </c>
      <c r="J767" t="s">
        <v>343</v>
      </c>
      <c r="K767">
        <v>10000</v>
      </c>
      <c r="M767">
        <v>10000</v>
      </c>
    </row>
    <row r="768" spans="1:13" x14ac:dyDescent="0.35">
      <c r="A768" t="str">
        <f t="shared" si="41"/>
        <v>CAI084574452562420000</v>
      </c>
      <c r="B768" t="s">
        <v>2219</v>
      </c>
      <c r="C768" s="1">
        <v>45744</v>
      </c>
      <c r="D768" t="str">
        <f>"525"</f>
        <v>525</v>
      </c>
      <c r="E768" t="str">
        <f>"62420000"</f>
        <v>62420000</v>
      </c>
      <c r="F768" t="s">
        <v>2317</v>
      </c>
      <c r="G768" t="s">
        <v>336</v>
      </c>
      <c r="H768" t="s">
        <v>5958</v>
      </c>
      <c r="I768">
        <v>0</v>
      </c>
      <c r="J768" t="s">
        <v>343</v>
      </c>
      <c r="K768">
        <v>5000</v>
      </c>
      <c r="M768">
        <v>5000</v>
      </c>
    </row>
    <row r="769" spans="1:13" x14ac:dyDescent="0.35">
      <c r="A769" t="str">
        <f t="shared" si="41"/>
        <v>CAI09457173960560000</v>
      </c>
      <c r="B769" t="s">
        <v>2318</v>
      </c>
      <c r="C769" s="1">
        <v>45717</v>
      </c>
      <c r="D769" t="str">
        <f>"39"</f>
        <v>39</v>
      </c>
      <c r="E769" t="str">
        <f>"60560000"</f>
        <v>60560000</v>
      </c>
      <c r="F769" t="s">
        <v>2319</v>
      </c>
      <c r="G769" t="s">
        <v>336</v>
      </c>
      <c r="H769" t="s">
        <v>5937</v>
      </c>
      <c r="I769">
        <v>0</v>
      </c>
      <c r="J769" t="s">
        <v>343</v>
      </c>
      <c r="K769">
        <v>1000</v>
      </c>
      <c r="M769">
        <v>1000</v>
      </c>
    </row>
    <row r="770" spans="1:13" x14ac:dyDescent="0.35">
      <c r="A770" t="str">
        <f t="shared" si="41"/>
        <v>CAI09457174060560000</v>
      </c>
      <c r="B770" t="s">
        <v>2318</v>
      </c>
      <c r="C770" s="1">
        <v>45717</v>
      </c>
      <c r="D770" t="str">
        <f>"40"</f>
        <v>40</v>
      </c>
      <c r="E770" t="str">
        <f>"60560000"</f>
        <v>60560000</v>
      </c>
      <c r="F770" t="s">
        <v>2320</v>
      </c>
      <c r="G770" t="s">
        <v>336</v>
      </c>
      <c r="H770" t="s">
        <v>5937</v>
      </c>
      <c r="I770">
        <v>0</v>
      </c>
      <c r="J770" t="s">
        <v>343</v>
      </c>
      <c r="K770">
        <v>1000</v>
      </c>
      <c r="M770">
        <v>1000</v>
      </c>
    </row>
    <row r="771" spans="1:13" x14ac:dyDescent="0.35">
      <c r="A771" t="str">
        <f t="shared" ref="A771:A834" si="43">CONCATENATE(B771,C771,D771,E771)</f>
        <v>CAI09457194166840000</v>
      </c>
      <c r="B771" t="s">
        <v>2318</v>
      </c>
      <c r="C771" s="1">
        <v>45719</v>
      </c>
      <c r="D771" t="str">
        <f>"41"</f>
        <v>41</v>
      </c>
      <c r="E771" t="str">
        <f>"66840000"</f>
        <v>66840000</v>
      </c>
      <c r="F771" t="s">
        <v>2321</v>
      </c>
      <c r="G771" t="s">
        <v>336</v>
      </c>
      <c r="H771" t="s">
        <v>5917</v>
      </c>
      <c r="I771">
        <v>0</v>
      </c>
      <c r="J771" t="s">
        <v>343</v>
      </c>
      <c r="K771">
        <v>2000</v>
      </c>
      <c r="M771">
        <v>2000</v>
      </c>
    </row>
    <row r="772" spans="1:13" x14ac:dyDescent="0.35">
      <c r="A772" t="str">
        <f t="shared" si="43"/>
        <v>CAI09457194266840000</v>
      </c>
      <c r="B772" t="s">
        <v>2318</v>
      </c>
      <c r="C772" s="1">
        <v>45719</v>
      </c>
      <c r="D772" t="str">
        <f>"42"</f>
        <v>42</v>
      </c>
      <c r="E772" t="str">
        <f>"66840000"</f>
        <v>66840000</v>
      </c>
      <c r="F772" t="s">
        <v>2322</v>
      </c>
      <c r="G772" t="s">
        <v>336</v>
      </c>
      <c r="H772" t="s">
        <v>5917</v>
      </c>
      <c r="I772">
        <v>0</v>
      </c>
      <c r="J772" t="s">
        <v>343</v>
      </c>
      <c r="K772">
        <v>8700</v>
      </c>
      <c r="M772">
        <v>8700</v>
      </c>
    </row>
    <row r="773" spans="1:13" x14ac:dyDescent="0.35">
      <c r="A773" t="str">
        <f t="shared" si="43"/>
        <v>CAI09457194366840000</v>
      </c>
      <c r="B773" t="s">
        <v>2318</v>
      </c>
      <c r="C773" s="1">
        <v>45719</v>
      </c>
      <c r="D773" t="str">
        <f>"43"</f>
        <v>43</v>
      </c>
      <c r="E773" t="str">
        <f>"66840000"</f>
        <v>66840000</v>
      </c>
      <c r="F773" t="s">
        <v>2323</v>
      </c>
      <c r="G773" t="s">
        <v>336</v>
      </c>
      <c r="H773" t="s">
        <v>5917</v>
      </c>
      <c r="I773">
        <v>0</v>
      </c>
      <c r="J773" t="s">
        <v>343</v>
      </c>
      <c r="K773">
        <v>6700</v>
      </c>
      <c r="M773">
        <v>6700</v>
      </c>
    </row>
    <row r="774" spans="1:13" x14ac:dyDescent="0.35">
      <c r="A774" t="str">
        <f t="shared" si="43"/>
        <v>CAI09457244462420000</v>
      </c>
      <c r="B774" t="s">
        <v>2318</v>
      </c>
      <c r="C774" s="1">
        <v>45724</v>
      </c>
      <c r="D774" t="str">
        <f>"44"</f>
        <v>44</v>
      </c>
      <c r="E774" t="str">
        <f>"62420000"</f>
        <v>62420000</v>
      </c>
      <c r="F774" t="s">
        <v>2324</v>
      </c>
      <c r="G774" t="s">
        <v>336</v>
      </c>
      <c r="H774" t="s">
        <v>5890</v>
      </c>
      <c r="I774">
        <v>0</v>
      </c>
      <c r="J774" t="s">
        <v>343</v>
      </c>
      <c r="K774">
        <v>35000</v>
      </c>
      <c r="M774">
        <v>35000</v>
      </c>
    </row>
    <row r="775" spans="1:13" x14ac:dyDescent="0.35">
      <c r="A775" t="str">
        <f t="shared" si="43"/>
        <v>CAI09457244560560000</v>
      </c>
      <c r="B775" t="s">
        <v>2318</v>
      </c>
      <c r="C775" s="1">
        <v>45724</v>
      </c>
      <c r="D775" t="str">
        <f>"45"</f>
        <v>45</v>
      </c>
      <c r="E775" t="str">
        <f>"60560000"</f>
        <v>60560000</v>
      </c>
      <c r="F775" t="s">
        <v>2325</v>
      </c>
      <c r="G775" t="s">
        <v>336</v>
      </c>
      <c r="H775" t="s">
        <v>5937</v>
      </c>
      <c r="I775">
        <v>0</v>
      </c>
      <c r="J775" t="s">
        <v>343</v>
      </c>
      <c r="K775">
        <v>4500</v>
      </c>
      <c r="M775">
        <v>4500</v>
      </c>
    </row>
    <row r="776" spans="1:13" x14ac:dyDescent="0.35">
      <c r="A776" t="str">
        <f t="shared" si="43"/>
        <v>CAI09457264666840000</v>
      </c>
      <c r="B776" t="s">
        <v>2318</v>
      </c>
      <c r="C776" s="1">
        <v>45726</v>
      </c>
      <c r="D776" t="str">
        <f>"46"</f>
        <v>46</v>
      </c>
      <c r="E776" t="str">
        <f>"66840000"</f>
        <v>66840000</v>
      </c>
      <c r="F776" t="s">
        <v>2326</v>
      </c>
      <c r="G776" t="s">
        <v>336</v>
      </c>
      <c r="H776" t="s">
        <v>5917</v>
      </c>
      <c r="I776">
        <v>0</v>
      </c>
      <c r="J776" t="s">
        <v>343</v>
      </c>
      <c r="K776">
        <v>1000</v>
      </c>
      <c r="M776">
        <v>1000</v>
      </c>
    </row>
    <row r="777" spans="1:13" x14ac:dyDescent="0.35">
      <c r="A777" t="str">
        <f t="shared" si="43"/>
        <v>CAI09457314860560000</v>
      </c>
      <c r="B777" t="s">
        <v>2318</v>
      </c>
      <c r="C777" s="1">
        <v>45731</v>
      </c>
      <c r="D777" t="str">
        <f>"48"</f>
        <v>48</v>
      </c>
      <c r="E777" t="str">
        <f>"60560000"</f>
        <v>60560000</v>
      </c>
      <c r="F777" t="s">
        <v>2328</v>
      </c>
      <c r="G777" t="s">
        <v>336</v>
      </c>
      <c r="H777" t="s">
        <v>5937</v>
      </c>
      <c r="I777">
        <v>0</v>
      </c>
      <c r="J777" t="s">
        <v>343</v>
      </c>
      <c r="K777">
        <v>6000</v>
      </c>
      <c r="M777">
        <v>6000</v>
      </c>
    </row>
    <row r="778" spans="1:13" x14ac:dyDescent="0.35">
      <c r="A778" t="str">
        <f t="shared" si="43"/>
        <v>CAI09457324960540000</v>
      </c>
      <c r="B778" t="s">
        <v>2318</v>
      </c>
      <c r="C778" s="1">
        <v>45732</v>
      </c>
      <c r="D778" t="str">
        <f>"49"</f>
        <v>49</v>
      </c>
      <c r="E778" t="str">
        <f>"60540000"</f>
        <v>60540000</v>
      </c>
      <c r="F778" t="s">
        <v>2329</v>
      </c>
      <c r="G778" t="s">
        <v>336</v>
      </c>
      <c r="H778" t="s">
        <v>5937</v>
      </c>
      <c r="I778">
        <v>0</v>
      </c>
      <c r="J778" t="s">
        <v>343</v>
      </c>
      <c r="K778">
        <v>4000</v>
      </c>
      <c r="M778">
        <v>4000</v>
      </c>
    </row>
    <row r="779" spans="1:13" x14ac:dyDescent="0.35">
      <c r="A779" t="str">
        <f t="shared" si="43"/>
        <v>CAI09457355060470200</v>
      </c>
      <c r="B779" t="s">
        <v>2318</v>
      </c>
      <c r="C779" s="1">
        <v>45735</v>
      </c>
      <c r="D779" t="str">
        <f>"50"</f>
        <v>50</v>
      </c>
      <c r="E779" t="str">
        <f>"60470200"</f>
        <v>60470200</v>
      </c>
      <c r="F779" t="s">
        <v>2330</v>
      </c>
      <c r="G779" t="s">
        <v>336</v>
      </c>
      <c r="H779" t="s">
        <v>5937</v>
      </c>
      <c r="I779">
        <v>0</v>
      </c>
      <c r="J779" t="s">
        <v>343</v>
      </c>
      <c r="K779">
        <v>5000</v>
      </c>
      <c r="M779">
        <v>5000</v>
      </c>
    </row>
    <row r="780" spans="1:13" x14ac:dyDescent="0.35">
      <c r="A780" t="str">
        <f t="shared" si="43"/>
        <v>CAI09457385160420000</v>
      </c>
      <c r="B780" t="s">
        <v>2318</v>
      </c>
      <c r="C780" s="1">
        <v>45738</v>
      </c>
      <c r="D780" t="str">
        <f>"51"</f>
        <v>51</v>
      </c>
      <c r="E780" t="str">
        <f>"60420000"</f>
        <v>60420000</v>
      </c>
      <c r="F780" t="s">
        <v>2331</v>
      </c>
      <c r="G780" t="s">
        <v>336</v>
      </c>
      <c r="H780" t="s">
        <v>5959</v>
      </c>
      <c r="I780">
        <v>0</v>
      </c>
      <c r="J780" t="s">
        <v>343</v>
      </c>
      <c r="K780">
        <v>60060</v>
      </c>
      <c r="M780">
        <v>60060</v>
      </c>
    </row>
    <row r="781" spans="1:13" x14ac:dyDescent="0.35">
      <c r="A781" t="str">
        <f t="shared" si="43"/>
        <v>CAI09457425260540000</v>
      </c>
      <c r="B781" t="s">
        <v>2318</v>
      </c>
      <c r="C781" s="1">
        <v>45742</v>
      </c>
      <c r="D781" t="str">
        <f>"52"</f>
        <v>52</v>
      </c>
      <c r="E781" t="str">
        <f>"60540000"</f>
        <v>60540000</v>
      </c>
      <c r="F781" t="s">
        <v>2332</v>
      </c>
      <c r="G781" t="s">
        <v>336</v>
      </c>
      <c r="H781" t="s">
        <v>5937</v>
      </c>
      <c r="I781">
        <v>0</v>
      </c>
      <c r="J781" t="s">
        <v>343</v>
      </c>
      <c r="K781">
        <v>2000</v>
      </c>
      <c r="M781">
        <v>2000</v>
      </c>
    </row>
    <row r="782" spans="1:13" x14ac:dyDescent="0.35">
      <c r="A782" t="str">
        <f t="shared" si="43"/>
        <v>CAI09457445663170000</v>
      </c>
      <c r="B782" t="s">
        <v>2318</v>
      </c>
      <c r="C782" s="1">
        <v>45744</v>
      </c>
      <c r="D782" t="str">
        <f>"56"</f>
        <v>56</v>
      </c>
      <c r="E782" t="str">
        <f>"63170000"</f>
        <v>63170000</v>
      </c>
      <c r="F782" t="s">
        <v>2335</v>
      </c>
      <c r="G782" t="s">
        <v>336</v>
      </c>
      <c r="H782" t="s">
        <v>347</v>
      </c>
      <c r="I782">
        <v>0</v>
      </c>
      <c r="J782" t="s">
        <v>343</v>
      </c>
      <c r="K782">
        <v>65039</v>
      </c>
      <c r="M782">
        <v>65039</v>
      </c>
    </row>
    <row r="783" spans="1:13" x14ac:dyDescent="0.35">
      <c r="A783" t="str">
        <f t="shared" si="43"/>
        <v>CAI09457455566840000</v>
      </c>
      <c r="B783" t="s">
        <v>2318</v>
      </c>
      <c r="C783" s="1">
        <v>45745</v>
      </c>
      <c r="D783" t="str">
        <f>"55"</f>
        <v>55</v>
      </c>
      <c r="E783" t="str">
        <f>"66840000"</f>
        <v>66840000</v>
      </c>
      <c r="F783" t="s">
        <v>2336</v>
      </c>
      <c r="G783" t="s">
        <v>336</v>
      </c>
      <c r="H783" t="s">
        <v>5917</v>
      </c>
      <c r="I783">
        <v>0</v>
      </c>
      <c r="J783" t="s">
        <v>343</v>
      </c>
      <c r="K783">
        <v>262750</v>
      </c>
      <c r="M783">
        <v>262750</v>
      </c>
    </row>
    <row r="784" spans="1:13" x14ac:dyDescent="0.35">
      <c r="A784" t="str">
        <f t="shared" si="43"/>
        <v>CAI_004571964361830000</v>
      </c>
      <c r="B784" t="s">
        <v>2337</v>
      </c>
      <c r="C784" s="1">
        <v>45719</v>
      </c>
      <c r="D784" t="str">
        <f>"643"</f>
        <v>643</v>
      </c>
      <c r="E784" t="str">
        <f t="shared" ref="E784:E792" si="44">"61830000"</f>
        <v>61830000</v>
      </c>
      <c r="F784" t="s">
        <v>2338</v>
      </c>
      <c r="G784" t="s">
        <v>336</v>
      </c>
      <c r="H784" t="s">
        <v>5873</v>
      </c>
      <c r="I784">
        <v>0</v>
      </c>
      <c r="J784" t="s">
        <v>343</v>
      </c>
      <c r="K784">
        <v>17000</v>
      </c>
      <c r="M784">
        <v>17000</v>
      </c>
    </row>
    <row r="785" spans="1:13" x14ac:dyDescent="0.35">
      <c r="A785" t="str">
        <f t="shared" si="43"/>
        <v>CAI_004571964461830000</v>
      </c>
      <c r="B785" t="s">
        <v>2337</v>
      </c>
      <c r="C785" s="1">
        <v>45719</v>
      </c>
      <c r="D785" t="str">
        <f>"644"</f>
        <v>644</v>
      </c>
      <c r="E785" t="str">
        <f t="shared" si="44"/>
        <v>61830000</v>
      </c>
      <c r="F785" t="s">
        <v>2339</v>
      </c>
      <c r="G785" t="s">
        <v>336</v>
      </c>
      <c r="H785" t="s">
        <v>5877</v>
      </c>
      <c r="I785">
        <v>0</v>
      </c>
      <c r="J785" t="s">
        <v>343</v>
      </c>
      <c r="K785">
        <v>30000</v>
      </c>
      <c r="M785">
        <v>30000</v>
      </c>
    </row>
    <row r="786" spans="1:13" x14ac:dyDescent="0.35">
      <c r="A786" t="str">
        <f t="shared" si="43"/>
        <v>CAI_004571964561830000</v>
      </c>
      <c r="B786" t="s">
        <v>2337</v>
      </c>
      <c r="C786" s="1">
        <v>45719</v>
      </c>
      <c r="D786" t="str">
        <f>"645"</f>
        <v>645</v>
      </c>
      <c r="E786" t="str">
        <f t="shared" si="44"/>
        <v>61830000</v>
      </c>
      <c r="F786" t="s">
        <v>2340</v>
      </c>
      <c r="G786" t="s">
        <v>336</v>
      </c>
      <c r="H786" t="s">
        <v>5877</v>
      </c>
      <c r="I786">
        <v>0</v>
      </c>
      <c r="J786" t="s">
        <v>343</v>
      </c>
      <c r="K786">
        <v>5000</v>
      </c>
      <c r="M786">
        <v>5000</v>
      </c>
    </row>
    <row r="787" spans="1:13" x14ac:dyDescent="0.35">
      <c r="A787" t="str">
        <f t="shared" si="43"/>
        <v>CAI_004571964661830000</v>
      </c>
      <c r="B787" t="s">
        <v>2337</v>
      </c>
      <c r="C787" s="1">
        <v>45719</v>
      </c>
      <c r="D787" t="str">
        <f>"646"</f>
        <v>646</v>
      </c>
      <c r="E787" t="str">
        <f t="shared" si="44"/>
        <v>61830000</v>
      </c>
      <c r="F787" t="s">
        <v>2341</v>
      </c>
      <c r="G787" t="s">
        <v>336</v>
      </c>
      <c r="H787" t="s">
        <v>5948</v>
      </c>
      <c r="I787">
        <v>0</v>
      </c>
      <c r="J787" t="s">
        <v>343</v>
      </c>
      <c r="K787">
        <v>40000</v>
      </c>
      <c r="M787">
        <v>40000</v>
      </c>
    </row>
    <row r="788" spans="1:13" x14ac:dyDescent="0.35">
      <c r="A788" t="str">
        <f t="shared" si="43"/>
        <v>CAI_004571964761830000</v>
      </c>
      <c r="B788" t="s">
        <v>2337</v>
      </c>
      <c r="C788" s="1">
        <v>45719</v>
      </c>
      <c r="D788" t="str">
        <f>"647"</f>
        <v>647</v>
      </c>
      <c r="E788" t="str">
        <f t="shared" si="44"/>
        <v>61830000</v>
      </c>
      <c r="F788" t="s">
        <v>2342</v>
      </c>
      <c r="G788" t="s">
        <v>336</v>
      </c>
      <c r="H788" t="s">
        <v>5882</v>
      </c>
      <c r="I788">
        <v>0</v>
      </c>
      <c r="J788" t="s">
        <v>343</v>
      </c>
      <c r="K788">
        <v>10000</v>
      </c>
      <c r="M788">
        <v>69000</v>
      </c>
    </row>
    <row r="789" spans="1:13" x14ac:dyDescent="0.35">
      <c r="A789" t="str">
        <f t="shared" si="43"/>
        <v>CAI_004571964761830000</v>
      </c>
      <c r="B789" t="s">
        <v>2337</v>
      </c>
      <c r="C789" s="1">
        <v>45719</v>
      </c>
      <c r="D789" t="str">
        <f>"647"</f>
        <v>647</v>
      </c>
      <c r="E789" t="str">
        <f t="shared" si="44"/>
        <v>61830000</v>
      </c>
      <c r="F789" t="s">
        <v>2342</v>
      </c>
      <c r="G789" t="s">
        <v>336</v>
      </c>
      <c r="H789" t="s">
        <v>5932</v>
      </c>
      <c r="I789">
        <v>0</v>
      </c>
      <c r="J789" t="s">
        <v>343</v>
      </c>
      <c r="K789">
        <v>5000</v>
      </c>
      <c r="M789">
        <v>69000</v>
      </c>
    </row>
    <row r="790" spans="1:13" x14ac:dyDescent="0.35">
      <c r="A790" t="str">
        <f t="shared" si="43"/>
        <v>CAI_004571964761830000</v>
      </c>
      <c r="B790" t="s">
        <v>2337</v>
      </c>
      <c r="C790" s="1">
        <v>45719</v>
      </c>
      <c r="D790" t="str">
        <f>"647"</f>
        <v>647</v>
      </c>
      <c r="E790" t="str">
        <f t="shared" si="44"/>
        <v>61830000</v>
      </c>
      <c r="F790" t="s">
        <v>2342</v>
      </c>
      <c r="G790" t="s">
        <v>336</v>
      </c>
      <c r="H790" t="s">
        <v>5942</v>
      </c>
      <c r="I790">
        <v>0</v>
      </c>
      <c r="J790" t="s">
        <v>343</v>
      </c>
      <c r="K790">
        <v>30000</v>
      </c>
      <c r="M790">
        <v>69000</v>
      </c>
    </row>
    <row r="791" spans="1:13" x14ac:dyDescent="0.35">
      <c r="A791" t="str">
        <f t="shared" si="43"/>
        <v>CAI_004571964761830000</v>
      </c>
      <c r="B791" t="s">
        <v>2337</v>
      </c>
      <c r="C791" s="1">
        <v>45719</v>
      </c>
      <c r="D791" t="str">
        <f>"647"</f>
        <v>647</v>
      </c>
      <c r="E791" t="str">
        <f t="shared" si="44"/>
        <v>61830000</v>
      </c>
      <c r="F791" t="s">
        <v>2342</v>
      </c>
      <c r="G791" t="s">
        <v>336</v>
      </c>
      <c r="H791" t="s">
        <v>5873</v>
      </c>
      <c r="I791">
        <v>0</v>
      </c>
      <c r="J791" t="s">
        <v>343</v>
      </c>
      <c r="K791">
        <v>24000</v>
      </c>
      <c r="M791">
        <v>69000</v>
      </c>
    </row>
    <row r="792" spans="1:13" x14ac:dyDescent="0.35">
      <c r="A792" t="str">
        <f t="shared" si="43"/>
        <v>CAI_004571964861830000</v>
      </c>
      <c r="B792" t="s">
        <v>2337</v>
      </c>
      <c r="C792" s="1">
        <v>45719</v>
      </c>
      <c r="D792" t="str">
        <f>"648"</f>
        <v>648</v>
      </c>
      <c r="E792" t="str">
        <f t="shared" si="44"/>
        <v>61830000</v>
      </c>
      <c r="F792" t="s">
        <v>2343</v>
      </c>
      <c r="G792" t="s">
        <v>336</v>
      </c>
      <c r="H792" t="s">
        <v>5873</v>
      </c>
      <c r="I792">
        <v>0</v>
      </c>
      <c r="J792" t="s">
        <v>343</v>
      </c>
      <c r="K792">
        <v>11000</v>
      </c>
      <c r="M792">
        <v>11000</v>
      </c>
    </row>
    <row r="793" spans="1:13" x14ac:dyDescent="0.35">
      <c r="A793" t="str">
        <f t="shared" si="43"/>
        <v>CAI_004571964962411000</v>
      </c>
      <c r="B793" t="s">
        <v>2337</v>
      </c>
      <c r="C793" s="1">
        <v>45719</v>
      </c>
      <c r="D793" t="str">
        <f>"649"</f>
        <v>649</v>
      </c>
      <c r="E793" t="str">
        <f>"62411000"</f>
        <v>62411000</v>
      </c>
      <c r="F793" t="s">
        <v>2344</v>
      </c>
      <c r="G793" t="s">
        <v>336</v>
      </c>
      <c r="H793" t="s">
        <v>5905</v>
      </c>
      <c r="I793">
        <v>0</v>
      </c>
      <c r="J793" t="s">
        <v>343</v>
      </c>
      <c r="K793">
        <v>10000</v>
      </c>
      <c r="M793">
        <v>10000</v>
      </c>
    </row>
    <row r="794" spans="1:13" x14ac:dyDescent="0.35">
      <c r="A794" t="str">
        <f t="shared" si="43"/>
        <v>CAI_004571965061830000</v>
      </c>
      <c r="B794" t="s">
        <v>2337</v>
      </c>
      <c r="C794" s="1">
        <v>45719</v>
      </c>
      <c r="D794" t="str">
        <f>"650"</f>
        <v>650</v>
      </c>
      <c r="E794" t="str">
        <f>"61830000"</f>
        <v>61830000</v>
      </c>
      <c r="F794" t="s">
        <v>2345</v>
      </c>
      <c r="G794" t="s">
        <v>336</v>
      </c>
      <c r="H794" t="s">
        <v>5938</v>
      </c>
      <c r="I794">
        <v>0</v>
      </c>
      <c r="J794" t="s">
        <v>343</v>
      </c>
      <c r="K794">
        <v>10000</v>
      </c>
      <c r="M794">
        <v>10000</v>
      </c>
    </row>
    <row r="795" spans="1:13" x14ac:dyDescent="0.35">
      <c r="A795" t="str">
        <f t="shared" si="43"/>
        <v>CAI_004571965161830000</v>
      </c>
      <c r="B795" t="s">
        <v>2337</v>
      </c>
      <c r="C795" s="1">
        <v>45719</v>
      </c>
      <c r="D795" t="str">
        <f>"651"</f>
        <v>651</v>
      </c>
      <c r="E795" t="str">
        <f>"61830000"</f>
        <v>61830000</v>
      </c>
      <c r="F795" t="s">
        <v>2347</v>
      </c>
      <c r="G795" t="s">
        <v>336</v>
      </c>
      <c r="H795" t="s">
        <v>5873</v>
      </c>
      <c r="I795">
        <v>0</v>
      </c>
      <c r="J795" t="s">
        <v>343</v>
      </c>
      <c r="K795">
        <v>130000</v>
      </c>
      <c r="M795">
        <v>130000</v>
      </c>
    </row>
    <row r="796" spans="1:13" x14ac:dyDescent="0.35">
      <c r="A796" t="str">
        <f t="shared" si="43"/>
        <v>CAI_004571965261830000</v>
      </c>
      <c r="B796" t="s">
        <v>2337</v>
      </c>
      <c r="C796" s="1">
        <v>45719</v>
      </c>
      <c r="D796" t="str">
        <f>"652"</f>
        <v>652</v>
      </c>
      <c r="E796" t="str">
        <f>"61830000"</f>
        <v>61830000</v>
      </c>
      <c r="F796" t="s">
        <v>2348</v>
      </c>
      <c r="G796" t="s">
        <v>336</v>
      </c>
      <c r="H796" t="s">
        <v>5941</v>
      </c>
      <c r="I796">
        <v>0</v>
      </c>
      <c r="J796" t="s">
        <v>343</v>
      </c>
      <c r="K796">
        <v>120000</v>
      </c>
      <c r="M796">
        <v>120000</v>
      </c>
    </row>
    <row r="797" spans="1:13" x14ac:dyDescent="0.35">
      <c r="A797" t="str">
        <f t="shared" si="43"/>
        <v>CAI_004571965363830000</v>
      </c>
      <c r="B797" t="s">
        <v>2337</v>
      </c>
      <c r="C797" s="1">
        <v>45719</v>
      </c>
      <c r="D797" t="str">
        <f>"653"</f>
        <v>653</v>
      </c>
      <c r="E797" t="str">
        <f>"63830000"</f>
        <v>63830000</v>
      </c>
      <c r="F797" t="s">
        <v>2349</v>
      </c>
      <c r="G797" t="s">
        <v>336</v>
      </c>
      <c r="H797" t="s">
        <v>5960</v>
      </c>
      <c r="I797">
        <v>0</v>
      </c>
      <c r="J797" t="s">
        <v>343</v>
      </c>
      <c r="K797">
        <v>66000</v>
      </c>
      <c r="M797">
        <v>66000</v>
      </c>
    </row>
    <row r="798" spans="1:13" x14ac:dyDescent="0.35">
      <c r="A798" t="str">
        <f t="shared" si="43"/>
        <v>CAI_004571965466840000</v>
      </c>
      <c r="B798" t="s">
        <v>2337</v>
      </c>
      <c r="C798" s="1">
        <v>45719</v>
      </c>
      <c r="D798" t="str">
        <f>"654"</f>
        <v>654</v>
      </c>
      <c r="E798" t="str">
        <f>"66840000"</f>
        <v>66840000</v>
      </c>
      <c r="F798" t="s">
        <v>2350</v>
      </c>
      <c r="G798" t="s">
        <v>336</v>
      </c>
      <c r="H798" t="s">
        <v>5903</v>
      </c>
      <c r="I798">
        <v>0</v>
      </c>
      <c r="J798" t="s">
        <v>343</v>
      </c>
      <c r="K798">
        <v>7500</v>
      </c>
      <c r="M798">
        <v>7500</v>
      </c>
    </row>
    <row r="799" spans="1:13" x14ac:dyDescent="0.35">
      <c r="A799" t="str">
        <f t="shared" si="43"/>
        <v>CAI_004571965561830000</v>
      </c>
      <c r="B799" t="s">
        <v>2337</v>
      </c>
      <c r="C799" s="1">
        <v>45719</v>
      </c>
      <c r="D799" t="str">
        <f>"655"</f>
        <v>655</v>
      </c>
      <c r="E799" t="str">
        <f>"61830000"</f>
        <v>61830000</v>
      </c>
      <c r="F799" t="s">
        <v>2351</v>
      </c>
      <c r="G799" t="s">
        <v>336</v>
      </c>
      <c r="H799" t="s">
        <v>5878</v>
      </c>
      <c r="I799">
        <v>0</v>
      </c>
      <c r="J799" t="s">
        <v>343</v>
      </c>
      <c r="K799">
        <v>10000</v>
      </c>
      <c r="M799">
        <v>10000</v>
      </c>
    </row>
    <row r="800" spans="1:13" x14ac:dyDescent="0.35">
      <c r="A800" t="str">
        <f t="shared" si="43"/>
        <v>CAI_004572065760420000</v>
      </c>
      <c r="B800" t="s">
        <v>2337</v>
      </c>
      <c r="C800" s="1">
        <v>45720</v>
      </c>
      <c r="D800" t="str">
        <f>"657"</f>
        <v>657</v>
      </c>
      <c r="E800" t="str">
        <f>"60420000"</f>
        <v>60420000</v>
      </c>
      <c r="F800" t="s">
        <v>2355</v>
      </c>
      <c r="G800" t="s">
        <v>336</v>
      </c>
      <c r="H800" t="s">
        <v>5873</v>
      </c>
      <c r="I800">
        <v>0</v>
      </c>
      <c r="J800" t="s">
        <v>343</v>
      </c>
      <c r="K800">
        <v>10000</v>
      </c>
      <c r="M800">
        <v>10000</v>
      </c>
    </row>
    <row r="801" spans="1:13" x14ac:dyDescent="0.35">
      <c r="A801" t="str">
        <f t="shared" si="43"/>
        <v>CAI_004572065760470100</v>
      </c>
      <c r="B801" t="s">
        <v>2337</v>
      </c>
      <c r="C801" s="1">
        <v>45720</v>
      </c>
      <c r="D801" t="str">
        <f>"657"</f>
        <v>657</v>
      </c>
      <c r="E801" t="str">
        <f>"60470100"</f>
        <v>60470100</v>
      </c>
      <c r="F801" t="s">
        <v>2356</v>
      </c>
      <c r="G801" t="s">
        <v>336</v>
      </c>
      <c r="H801" t="s">
        <v>5950</v>
      </c>
      <c r="I801">
        <v>0</v>
      </c>
      <c r="J801" t="s">
        <v>343</v>
      </c>
      <c r="K801">
        <v>40000</v>
      </c>
      <c r="M801">
        <v>40000</v>
      </c>
    </row>
    <row r="802" spans="1:13" x14ac:dyDescent="0.35">
      <c r="A802" t="str">
        <f t="shared" si="43"/>
        <v>CAI_004572065761830000</v>
      </c>
      <c r="B802" t="s">
        <v>2337</v>
      </c>
      <c r="C802" s="1">
        <v>45720</v>
      </c>
      <c r="D802" t="str">
        <f>"657"</f>
        <v>657</v>
      </c>
      <c r="E802" t="str">
        <f>"61830000"</f>
        <v>61830000</v>
      </c>
      <c r="F802" t="s">
        <v>2354</v>
      </c>
      <c r="G802" t="s">
        <v>336</v>
      </c>
      <c r="H802" t="s">
        <v>5873</v>
      </c>
      <c r="I802">
        <v>0</v>
      </c>
      <c r="J802" t="s">
        <v>343</v>
      </c>
      <c r="K802">
        <v>40000</v>
      </c>
      <c r="M802">
        <v>40000</v>
      </c>
    </row>
    <row r="803" spans="1:13" x14ac:dyDescent="0.35">
      <c r="A803" t="str">
        <f t="shared" si="43"/>
        <v>CAI_004572065863830000</v>
      </c>
      <c r="B803" t="s">
        <v>2337</v>
      </c>
      <c r="C803" s="1">
        <v>45720</v>
      </c>
      <c r="D803" t="str">
        <f>"658"</f>
        <v>658</v>
      </c>
      <c r="E803" t="str">
        <f>"63830000"</f>
        <v>63830000</v>
      </c>
      <c r="F803" t="s">
        <v>2357</v>
      </c>
      <c r="G803" t="s">
        <v>336</v>
      </c>
      <c r="H803" t="s">
        <v>348</v>
      </c>
      <c r="I803">
        <v>0</v>
      </c>
      <c r="J803" t="s">
        <v>343</v>
      </c>
      <c r="K803">
        <v>16100</v>
      </c>
      <c r="M803">
        <v>16100</v>
      </c>
    </row>
    <row r="804" spans="1:13" x14ac:dyDescent="0.35">
      <c r="A804" t="str">
        <f t="shared" si="43"/>
        <v>CAI_004572065961830000</v>
      </c>
      <c r="B804" t="s">
        <v>2337</v>
      </c>
      <c r="C804" s="1">
        <v>45720</v>
      </c>
      <c r="D804" t="str">
        <f>"659"</f>
        <v>659</v>
      </c>
      <c r="E804" t="str">
        <f>"61830000"</f>
        <v>61830000</v>
      </c>
      <c r="F804" t="s">
        <v>2358</v>
      </c>
      <c r="G804" t="s">
        <v>336</v>
      </c>
      <c r="H804" t="s">
        <v>5938</v>
      </c>
      <c r="I804">
        <v>0</v>
      </c>
      <c r="J804" t="s">
        <v>343</v>
      </c>
      <c r="K804">
        <v>120000</v>
      </c>
      <c r="M804">
        <v>120000</v>
      </c>
    </row>
    <row r="805" spans="1:13" x14ac:dyDescent="0.35">
      <c r="A805" t="str">
        <f t="shared" si="43"/>
        <v>CAI_004572065962810000</v>
      </c>
      <c r="B805" t="s">
        <v>2337</v>
      </c>
      <c r="C805" s="1">
        <v>45720</v>
      </c>
      <c r="D805" t="str">
        <f>"659"</f>
        <v>659</v>
      </c>
      <c r="E805" t="str">
        <f>"62810000"</f>
        <v>62810000</v>
      </c>
      <c r="F805" t="s">
        <v>2359</v>
      </c>
      <c r="G805" t="s">
        <v>336</v>
      </c>
      <c r="H805" t="s">
        <v>5909</v>
      </c>
      <c r="I805">
        <v>0</v>
      </c>
      <c r="J805" t="s">
        <v>343</v>
      </c>
      <c r="K805">
        <v>20000</v>
      </c>
      <c r="M805">
        <v>20000</v>
      </c>
    </row>
    <row r="806" spans="1:13" x14ac:dyDescent="0.35">
      <c r="A806" t="str">
        <f t="shared" si="43"/>
        <v>CAI_004572066061810100</v>
      </c>
      <c r="B806" t="s">
        <v>2337</v>
      </c>
      <c r="C806" s="1">
        <v>45720</v>
      </c>
      <c r="D806" t="str">
        <f>"660"</f>
        <v>660</v>
      </c>
      <c r="E806" t="str">
        <f>"61810100"</f>
        <v>61810100</v>
      </c>
      <c r="F806" t="s">
        <v>2361</v>
      </c>
      <c r="G806" t="s">
        <v>336</v>
      </c>
      <c r="H806" t="s">
        <v>5953</v>
      </c>
      <c r="I806">
        <v>0</v>
      </c>
      <c r="J806" t="s">
        <v>343</v>
      </c>
      <c r="K806">
        <v>50000</v>
      </c>
      <c r="M806">
        <v>50000</v>
      </c>
    </row>
    <row r="807" spans="1:13" x14ac:dyDescent="0.35">
      <c r="A807" t="str">
        <f t="shared" si="43"/>
        <v>CAI_004572066061830000</v>
      </c>
      <c r="B807" t="s">
        <v>2337</v>
      </c>
      <c r="C807" s="1">
        <v>45720</v>
      </c>
      <c r="D807" t="str">
        <f>"660"</f>
        <v>660</v>
      </c>
      <c r="E807" t="str">
        <f>"61830000"</f>
        <v>61830000</v>
      </c>
      <c r="F807" t="s">
        <v>2360</v>
      </c>
      <c r="G807" t="s">
        <v>336</v>
      </c>
      <c r="H807" t="s">
        <v>5884</v>
      </c>
      <c r="I807">
        <v>0</v>
      </c>
      <c r="J807" t="s">
        <v>343</v>
      </c>
      <c r="K807">
        <v>17000</v>
      </c>
      <c r="M807">
        <v>17000</v>
      </c>
    </row>
    <row r="808" spans="1:13" x14ac:dyDescent="0.35">
      <c r="A808" t="str">
        <f t="shared" si="43"/>
        <v>CAI_004572066161830000</v>
      </c>
      <c r="B808" t="s">
        <v>2337</v>
      </c>
      <c r="C808" s="1">
        <v>45720</v>
      </c>
      <c r="D808" t="str">
        <f>"661"</f>
        <v>661</v>
      </c>
      <c r="E808" t="str">
        <f>"61830000"</f>
        <v>61830000</v>
      </c>
      <c r="F808" t="s">
        <v>2362</v>
      </c>
      <c r="G808" t="s">
        <v>336</v>
      </c>
      <c r="H808" t="s">
        <v>5938</v>
      </c>
      <c r="I808">
        <v>0</v>
      </c>
      <c r="J808" t="s">
        <v>343</v>
      </c>
      <c r="K808">
        <v>5000</v>
      </c>
      <c r="M808">
        <v>5000</v>
      </c>
    </row>
    <row r="809" spans="1:13" x14ac:dyDescent="0.35">
      <c r="A809" t="str">
        <f t="shared" si="43"/>
        <v>CAI_004572066261810100</v>
      </c>
      <c r="B809" t="s">
        <v>2337</v>
      </c>
      <c r="C809" s="1">
        <v>45720</v>
      </c>
      <c r="D809" t="str">
        <f>"662"</f>
        <v>662</v>
      </c>
      <c r="E809" t="str">
        <f>"61810100"</f>
        <v>61810100</v>
      </c>
      <c r="F809" t="s">
        <v>2364</v>
      </c>
      <c r="G809" t="s">
        <v>336</v>
      </c>
      <c r="H809" t="s">
        <v>5952</v>
      </c>
      <c r="I809">
        <v>0</v>
      </c>
      <c r="J809" t="s">
        <v>343</v>
      </c>
      <c r="K809">
        <v>39000</v>
      </c>
      <c r="M809">
        <v>39000</v>
      </c>
    </row>
    <row r="810" spans="1:13" x14ac:dyDescent="0.35">
      <c r="A810" t="str">
        <f t="shared" si="43"/>
        <v>CAI_004572066263883000</v>
      </c>
      <c r="B810" t="s">
        <v>2337</v>
      </c>
      <c r="C810" s="1">
        <v>45720</v>
      </c>
      <c r="D810" t="str">
        <f>"662"</f>
        <v>662</v>
      </c>
      <c r="E810" t="str">
        <f>"63883000"</f>
        <v>63883000</v>
      </c>
      <c r="F810" t="s">
        <v>2363</v>
      </c>
      <c r="G810" t="s">
        <v>336</v>
      </c>
      <c r="H810" t="s">
        <v>5952</v>
      </c>
      <c r="I810">
        <v>0</v>
      </c>
      <c r="J810" t="s">
        <v>343</v>
      </c>
      <c r="K810">
        <v>33500</v>
      </c>
      <c r="M810">
        <v>33500</v>
      </c>
    </row>
    <row r="811" spans="1:13" x14ac:dyDescent="0.35">
      <c r="A811" t="str">
        <f t="shared" si="43"/>
        <v>CAI_004572066361810100</v>
      </c>
      <c r="B811" t="s">
        <v>2337</v>
      </c>
      <c r="C811" s="1">
        <v>45720</v>
      </c>
      <c r="D811" t="str">
        <f>"663"</f>
        <v>663</v>
      </c>
      <c r="E811" t="str">
        <f>"61810100"</f>
        <v>61810100</v>
      </c>
      <c r="F811" t="s">
        <v>2366</v>
      </c>
      <c r="G811" t="s">
        <v>336</v>
      </c>
      <c r="H811" t="s">
        <v>5952</v>
      </c>
      <c r="I811">
        <v>0</v>
      </c>
      <c r="J811" t="s">
        <v>343</v>
      </c>
      <c r="K811">
        <v>121000</v>
      </c>
      <c r="M811">
        <v>121000</v>
      </c>
    </row>
    <row r="812" spans="1:13" x14ac:dyDescent="0.35">
      <c r="A812" t="str">
        <f t="shared" si="43"/>
        <v>CAI_004572066363883000</v>
      </c>
      <c r="B812" t="s">
        <v>2337</v>
      </c>
      <c r="C812" s="1">
        <v>45720</v>
      </c>
      <c r="D812" t="str">
        <f>"663"</f>
        <v>663</v>
      </c>
      <c r="E812" t="str">
        <f>"63883000"</f>
        <v>63883000</v>
      </c>
      <c r="F812" t="s">
        <v>2365</v>
      </c>
      <c r="G812" t="s">
        <v>336</v>
      </c>
      <c r="H812" t="s">
        <v>5952</v>
      </c>
      <c r="I812">
        <v>0</v>
      </c>
      <c r="J812" t="s">
        <v>343</v>
      </c>
      <c r="K812">
        <v>128000</v>
      </c>
      <c r="M812">
        <v>128000</v>
      </c>
    </row>
    <row r="813" spans="1:13" x14ac:dyDescent="0.35">
      <c r="A813" t="str">
        <f t="shared" si="43"/>
        <v>CAI_004572066461830000</v>
      </c>
      <c r="B813" t="s">
        <v>2337</v>
      </c>
      <c r="C813" s="1">
        <v>45720</v>
      </c>
      <c r="D813" t="str">
        <f>"664"</f>
        <v>664</v>
      </c>
      <c r="E813" t="str">
        <f>"61830000"</f>
        <v>61830000</v>
      </c>
      <c r="F813" t="s">
        <v>2368</v>
      </c>
      <c r="G813" t="s">
        <v>336</v>
      </c>
      <c r="H813" t="s">
        <v>5882</v>
      </c>
      <c r="I813">
        <v>0</v>
      </c>
      <c r="J813" t="s">
        <v>343</v>
      </c>
      <c r="K813">
        <v>54000</v>
      </c>
      <c r="M813">
        <v>54000</v>
      </c>
    </row>
    <row r="814" spans="1:13" x14ac:dyDescent="0.35">
      <c r="A814" t="str">
        <f t="shared" si="43"/>
        <v>CAI_004572066563180000</v>
      </c>
      <c r="B814" t="s">
        <v>2337</v>
      </c>
      <c r="C814" s="1">
        <v>45720</v>
      </c>
      <c r="D814" t="str">
        <f>"665"</f>
        <v>665</v>
      </c>
      <c r="E814" t="str">
        <f>"63180000"</f>
        <v>63180000</v>
      </c>
      <c r="F814" t="s">
        <v>2369</v>
      </c>
      <c r="G814" t="s">
        <v>336</v>
      </c>
      <c r="H814" t="s">
        <v>347</v>
      </c>
      <c r="I814">
        <v>0</v>
      </c>
      <c r="J814" t="s">
        <v>343</v>
      </c>
      <c r="K814">
        <v>11000</v>
      </c>
      <c r="M814">
        <v>11000</v>
      </c>
    </row>
    <row r="815" spans="1:13" x14ac:dyDescent="0.35">
      <c r="A815" t="str">
        <f t="shared" si="43"/>
        <v>CAI_004572166660560000</v>
      </c>
      <c r="B815" t="s">
        <v>2337</v>
      </c>
      <c r="C815" s="1">
        <v>45721</v>
      </c>
      <c r="D815" t="str">
        <f>"666"</f>
        <v>666</v>
      </c>
      <c r="E815" t="str">
        <f>"60560000"</f>
        <v>60560000</v>
      </c>
      <c r="F815" t="s">
        <v>2370</v>
      </c>
      <c r="G815" t="s">
        <v>336</v>
      </c>
      <c r="H815" t="s">
        <v>5905</v>
      </c>
      <c r="I815">
        <v>0</v>
      </c>
      <c r="J815" t="s">
        <v>343</v>
      </c>
      <c r="K815">
        <v>62350</v>
      </c>
      <c r="M815">
        <v>62350</v>
      </c>
    </row>
    <row r="816" spans="1:13" x14ac:dyDescent="0.35">
      <c r="A816" t="str">
        <f t="shared" si="43"/>
        <v>CAI_004572166961830000</v>
      </c>
      <c r="B816" t="s">
        <v>2337</v>
      </c>
      <c r="C816" s="1">
        <v>45721</v>
      </c>
      <c r="D816" t="str">
        <f>"669"</f>
        <v>669</v>
      </c>
      <c r="E816" t="str">
        <f>"61830000"</f>
        <v>61830000</v>
      </c>
      <c r="F816" t="s">
        <v>2373</v>
      </c>
      <c r="G816" t="s">
        <v>336</v>
      </c>
      <c r="H816" t="s">
        <v>5878</v>
      </c>
      <c r="I816">
        <v>0</v>
      </c>
      <c r="J816" t="s">
        <v>343</v>
      </c>
      <c r="K816">
        <v>150000</v>
      </c>
      <c r="M816">
        <v>150000</v>
      </c>
    </row>
    <row r="817" spans="1:13" x14ac:dyDescent="0.35">
      <c r="A817" t="str">
        <f t="shared" si="43"/>
        <v>CAI_004572167166840000</v>
      </c>
      <c r="B817" t="s">
        <v>2337</v>
      </c>
      <c r="C817" s="1">
        <v>45721</v>
      </c>
      <c r="D817" t="str">
        <f>"671"</f>
        <v>671</v>
      </c>
      <c r="E817" t="str">
        <f>"66840000"</f>
        <v>66840000</v>
      </c>
      <c r="F817" t="s">
        <v>2375</v>
      </c>
      <c r="G817" t="s">
        <v>336</v>
      </c>
      <c r="H817" t="s">
        <v>5961</v>
      </c>
      <c r="I817">
        <v>0</v>
      </c>
      <c r="J817" t="s">
        <v>343</v>
      </c>
      <c r="K817">
        <v>20000</v>
      </c>
      <c r="M817">
        <v>20000</v>
      </c>
    </row>
    <row r="818" spans="1:13" x14ac:dyDescent="0.35">
      <c r="A818" t="str">
        <f t="shared" si="43"/>
        <v>CAI_004572167261810100</v>
      </c>
      <c r="B818" t="s">
        <v>2337</v>
      </c>
      <c r="C818" s="1">
        <v>45721</v>
      </c>
      <c r="D818" t="str">
        <f>"672"</f>
        <v>672</v>
      </c>
      <c r="E818" t="str">
        <f>"61810100"</f>
        <v>61810100</v>
      </c>
      <c r="F818" t="s">
        <v>2376</v>
      </c>
      <c r="G818" t="s">
        <v>336</v>
      </c>
      <c r="H818" t="s">
        <v>5944</v>
      </c>
      <c r="I818">
        <v>0</v>
      </c>
      <c r="J818" t="s">
        <v>343</v>
      </c>
      <c r="K818">
        <v>5000</v>
      </c>
      <c r="M818">
        <v>5000</v>
      </c>
    </row>
    <row r="819" spans="1:13" x14ac:dyDescent="0.35">
      <c r="A819" t="str">
        <f t="shared" si="43"/>
        <v>CAI_004572167261830000</v>
      </c>
      <c r="B819" t="s">
        <v>2337</v>
      </c>
      <c r="C819" s="1">
        <v>45721</v>
      </c>
      <c r="D819" t="str">
        <f>"672"</f>
        <v>672</v>
      </c>
      <c r="E819" t="str">
        <f>"61830000"</f>
        <v>61830000</v>
      </c>
      <c r="F819" t="s">
        <v>2377</v>
      </c>
      <c r="G819" t="s">
        <v>336</v>
      </c>
      <c r="H819" t="s">
        <v>5932</v>
      </c>
      <c r="I819">
        <v>0</v>
      </c>
      <c r="J819" t="s">
        <v>343</v>
      </c>
      <c r="K819">
        <v>30000</v>
      </c>
      <c r="M819">
        <v>30000</v>
      </c>
    </row>
    <row r="820" spans="1:13" x14ac:dyDescent="0.35">
      <c r="A820" t="str">
        <f t="shared" si="43"/>
        <v>CAI_004572167361830000</v>
      </c>
      <c r="B820" t="s">
        <v>2337</v>
      </c>
      <c r="C820" s="1">
        <v>45721</v>
      </c>
      <c r="D820" t="str">
        <f>"673"</f>
        <v>673</v>
      </c>
      <c r="E820" t="str">
        <f>"61830000"</f>
        <v>61830000</v>
      </c>
      <c r="F820" t="s">
        <v>2378</v>
      </c>
      <c r="G820" t="s">
        <v>336</v>
      </c>
      <c r="H820" t="s">
        <v>5878</v>
      </c>
      <c r="I820">
        <v>0</v>
      </c>
      <c r="J820" t="s">
        <v>343</v>
      </c>
      <c r="K820">
        <v>10000</v>
      </c>
      <c r="M820">
        <v>10000</v>
      </c>
    </row>
    <row r="821" spans="1:13" x14ac:dyDescent="0.35">
      <c r="A821" t="str">
        <f t="shared" si="43"/>
        <v>CAI_004572167461830000</v>
      </c>
      <c r="B821" t="s">
        <v>2337</v>
      </c>
      <c r="C821" s="1">
        <v>45721</v>
      </c>
      <c r="D821" t="str">
        <f>"674"</f>
        <v>674</v>
      </c>
      <c r="E821" t="str">
        <f>"61830000"</f>
        <v>61830000</v>
      </c>
      <c r="F821" t="s">
        <v>2379</v>
      </c>
      <c r="G821" t="s">
        <v>336</v>
      </c>
      <c r="H821" t="s">
        <v>5884</v>
      </c>
      <c r="I821">
        <v>0</v>
      </c>
      <c r="J821" t="s">
        <v>343</v>
      </c>
      <c r="K821">
        <v>15000</v>
      </c>
      <c r="M821">
        <v>15000</v>
      </c>
    </row>
    <row r="822" spans="1:13" x14ac:dyDescent="0.35">
      <c r="A822" t="str">
        <f t="shared" si="43"/>
        <v>CAI_004572167561830000</v>
      </c>
      <c r="B822" t="s">
        <v>2337</v>
      </c>
      <c r="C822" s="1">
        <v>45721</v>
      </c>
      <c r="D822" t="str">
        <f t="shared" ref="D822:D827" si="45">"675"</f>
        <v>675</v>
      </c>
      <c r="E822" t="str">
        <f>"61830000"</f>
        <v>61830000</v>
      </c>
      <c r="F822" t="s">
        <v>2381</v>
      </c>
      <c r="G822" t="s">
        <v>336</v>
      </c>
      <c r="H822" t="s">
        <v>5945</v>
      </c>
      <c r="I822">
        <v>0</v>
      </c>
      <c r="J822" t="s">
        <v>343</v>
      </c>
      <c r="K822">
        <v>10000</v>
      </c>
      <c r="M822">
        <v>10000</v>
      </c>
    </row>
    <row r="823" spans="1:13" x14ac:dyDescent="0.35">
      <c r="A823" t="str">
        <f t="shared" si="43"/>
        <v>CAI_004572167561830000</v>
      </c>
      <c r="B823" t="s">
        <v>2337</v>
      </c>
      <c r="C823" s="1">
        <v>45721</v>
      </c>
      <c r="D823" t="str">
        <f t="shared" si="45"/>
        <v>675</v>
      </c>
      <c r="E823" t="str">
        <f>"61830000"</f>
        <v>61830000</v>
      </c>
      <c r="F823" t="s">
        <v>2382</v>
      </c>
      <c r="G823" t="s">
        <v>336</v>
      </c>
      <c r="H823" t="s">
        <v>5928</v>
      </c>
      <c r="I823">
        <v>0</v>
      </c>
      <c r="J823" t="s">
        <v>343</v>
      </c>
      <c r="K823">
        <v>213000</v>
      </c>
      <c r="M823">
        <v>213000</v>
      </c>
    </row>
    <row r="824" spans="1:13" x14ac:dyDescent="0.35">
      <c r="A824" t="str">
        <f t="shared" si="43"/>
        <v>CAI_004572167562420000</v>
      </c>
      <c r="B824" t="s">
        <v>2337</v>
      </c>
      <c r="C824" s="1">
        <v>45721</v>
      </c>
      <c r="D824" t="str">
        <f t="shared" si="45"/>
        <v>675</v>
      </c>
      <c r="E824" t="str">
        <f>"62420000"</f>
        <v>62420000</v>
      </c>
      <c r="F824" t="s">
        <v>2380</v>
      </c>
      <c r="G824" t="s">
        <v>336</v>
      </c>
      <c r="H824" t="s">
        <v>5928</v>
      </c>
      <c r="I824">
        <v>0</v>
      </c>
      <c r="J824" t="s">
        <v>343</v>
      </c>
      <c r="K824">
        <v>3000</v>
      </c>
      <c r="M824">
        <v>3000</v>
      </c>
    </row>
    <row r="825" spans="1:13" x14ac:dyDescent="0.35">
      <c r="A825" t="str">
        <f t="shared" si="43"/>
        <v>CAI_004572167563883000</v>
      </c>
      <c r="B825" t="s">
        <v>2337</v>
      </c>
      <c r="C825" s="1">
        <v>45721</v>
      </c>
      <c r="D825" t="str">
        <f t="shared" si="45"/>
        <v>675</v>
      </c>
      <c r="E825" t="str">
        <f>"63883000"</f>
        <v>63883000</v>
      </c>
      <c r="F825" t="s">
        <v>2383</v>
      </c>
      <c r="G825" t="s">
        <v>336</v>
      </c>
      <c r="H825" t="s">
        <v>5945</v>
      </c>
      <c r="I825">
        <v>0</v>
      </c>
      <c r="J825" t="s">
        <v>343</v>
      </c>
      <c r="K825">
        <v>55000</v>
      </c>
      <c r="M825">
        <v>55000</v>
      </c>
    </row>
    <row r="826" spans="1:13" x14ac:dyDescent="0.35">
      <c r="A826" t="str">
        <f t="shared" si="43"/>
        <v>CAI_004572167564685000</v>
      </c>
      <c r="B826" t="s">
        <v>2337</v>
      </c>
      <c r="C826" s="1">
        <v>45721</v>
      </c>
      <c r="D826" t="str">
        <f t="shared" si="45"/>
        <v>675</v>
      </c>
      <c r="E826" t="str">
        <f>"64685000"</f>
        <v>64685000</v>
      </c>
      <c r="F826" t="s">
        <v>2384</v>
      </c>
      <c r="G826" t="s">
        <v>336</v>
      </c>
      <c r="H826" t="s">
        <v>5928</v>
      </c>
      <c r="I826">
        <v>0</v>
      </c>
      <c r="J826" t="s">
        <v>343</v>
      </c>
      <c r="K826">
        <v>3000</v>
      </c>
      <c r="M826">
        <v>3000</v>
      </c>
    </row>
    <row r="827" spans="1:13" x14ac:dyDescent="0.35">
      <c r="A827" t="str">
        <f t="shared" si="43"/>
        <v>CAI_004572167564685000</v>
      </c>
      <c r="B827" t="s">
        <v>2337</v>
      </c>
      <c r="C827" s="1">
        <v>45721</v>
      </c>
      <c r="D827" t="str">
        <f t="shared" si="45"/>
        <v>675</v>
      </c>
      <c r="E827" t="str">
        <f>"64685000"</f>
        <v>64685000</v>
      </c>
      <c r="F827" t="s">
        <v>2385</v>
      </c>
      <c r="G827" t="s">
        <v>336</v>
      </c>
      <c r="H827" t="s">
        <v>5928</v>
      </c>
      <c r="I827">
        <v>0</v>
      </c>
      <c r="J827" t="s">
        <v>343</v>
      </c>
      <c r="K827">
        <v>2000</v>
      </c>
      <c r="M827">
        <v>2000</v>
      </c>
    </row>
    <row r="828" spans="1:13" x14ac:dyDescent="0.35">
      <c r="A828" t="str">
        <f t="shared" si="43"/>
        <v>CAI_004572167664685000</v>
      </c>
      <c r="B828" t="s">
        <v>2337</v>
      </c>
      <c r="C828" s="1">
        <v>45721</v>
      </c>
      <c r="D828" t="str">
        <f>"676"</f>
        <v>676</v>
      </c>
      <c r="E828" t="str">
        <f>"64685000"</f>
        <v>64685000</v>
      </c>
      <c r="F828" t="s">
        <v>2386</v>
      </c>
      <c r="G828" t="s">
        <v>336</v>
      </c>
      <c r="H828" t="s">
        <v>5928</v>
      </c>
      <c r="I828">
        <v>0</v>
      </c>
      <c r="J828" t="s">
        <v>343</v>
      </c>
      <c r="K828">
        <v>2000</v>
      </c>
      <c r="M828">
        <v>2000</v>
      </c>
    </row>
    <row r="829" spans="1:13" x14ac:dyDescent="0.35">
      <c r="A829" t="str">
        <f t="shared" si="43"/>
        <v>CAI_004572167762880000</v>
      </c>
      <c r="B829" t="s">
        <v>2337</v>
      </c>
      <c r="C829" s="1">
        <v>45721</v>
      </c>
      <c r="D829" t="str">
        <f>"677"</f>
        <v>677</v>
      </c>
      <c r="E829" t="str">
        <f>"62880000"</f>
        <v>62880000</v>
      </c>
      <c r="F829" t="s">
        <v>2387</v>
      </c>
      <c r="G829" t="s">
        <v>336</v>
      </c>
      <c r="H829" t="s">
        <v>5904</v>
      </c>
      <c r="I829">
        <v>0</v>
      </c>
      <c r="J829" t="s">
        <v>343</v>
      </c>
      <c r="K829">
        <v>19900</v>
      </c>
      <c r="M829">
        <v>19900</v>
      </c>
    </row>
    <row r="830" spans="1:13" x14ac:dyDescent="0.35">
      <c r="A830" t="str">
        <f t="shared" si="43"/>
        <v>CAI_004572167860440300</v>
      </c>
      <c r="B830" t="s">
        <v>2337</v>
      </c>
      <c r="C830" s="1">
        <v>45721</v>
      </c>
      <c r="D830" t="str">
        <f>"678"</f>
        <v>678</v>
      </c>
      <c r="E830" t="str">
        <f>"60440300"</f>
        <v>60440300</v>
      </c>
      <c r="F830" t="s">
        <v>2388</v>
      </c>
      <c r="G830" t="s">
        <v>336</v>
      </c>
      <c r="H830" t="s">
        <v>5942</v>
      </c>
      <c r="I830">
        <v>0</v>
      </c>
      <c r="J830" t="s">
        <v>343</v>
      </c>
      <c r="K830">
        <v>140000</v>
      </c>
      <c r="M830">
        <v>140000</v>
      </c>
    </row>
    <row r="831" spans="1:13" x14ac:dyDescent="0.35">
      <c r="A831" t="str">
        <f t="shared" si="43"/>
        <v>CAI_004572167961830000</v>
      </c>
      <c r="B831" t="s">
        <v>2337</v>
      </c>
      <c r="C831" s="1">
        <v>45721</v>
      </c>
      <c r="D831" t="str">
        <f>"679"</f>
        <v>679</v>
      </c>
      <c r="E831" t="str">
        <f>"61830000"</f>
        <v>61830000</v>
      </c>
      <c r="F831" t="s">
        <v>2389</v>
      </c>
      <c r="G831" t="s">
        <v>336</v>
      </c>
      <c r="H831" t="s">
        <v>5932</v>
      </c>
      <c r="I831">
        <v>0</v>
      </c>
      <c r="J831" t="s">
        <v>343</v>
      </c>
      <c r="K831">
        <v>40000</v>
      </c>
      <c r="M831">
        <v>40000</v>
      </c>
    </row>
    <row r="832" spans="1:13" x14ac:dyDescent="0.35">
      <c r="A832" t="str">
        <f t="shared" si="43"/>
        <v>CAI_004572168061810100</v>
      </c>
      <c r="B832" t="s">
        <v>2337</v>
      </c>
      <c r="C832" s="1">
        <v>45721</v>
      </c>
      <c r="D832" t="str">
        <f>"680"</f>
        <v>680</v>
      </c>
      <c r="E832" t="str">
        <f>"61810100"</f>
        <v>61810100</v>
      </c>
      <c r="F832" t="s">
        <v>2391</v>
      </c>
      <c r="G832" t="s">
        <v>336</v>
      </c>
      <c r="H832" t="s">
        <v>5944</v>
      </c>
      <c r="I832">
        <v>0</v>
      </c>
      <c r="J832" t="s">
        <v>343</v>
      </c>
      <c r="K832">
        <v>90000</v>
      </c>
      <c r="M832">
        <v>90000</v>
      </c>
    </row>
    <row r="833" spans="1:13" x14ac:dyDescent="0.35">
      <c r="A833" t="str">
        <f t="shared" si="43"/>
        <v>CAI_004572168062230000</v>
      </c>
      <c r="B833" t="s">
        <v>2337</v>
      </c>
      <c r="C833" s="1">
        <v>45721</v>
      </c>
      <c r="D833" t="str">
        <f>"680"</f>
        <v>680</v>
      </c>
      <c r="E833" t="str">
        <f>"62230000"</f>
        <v>62230000</v>
      </c>
      <c r="F833" t="s">
        <v>2392</v>
      </c>
      <c r="G833" t="s">
        <v>336</v>
      </c>
      <c r="H833" t="s">
        <v>5944</v>
      </c>
      <c r="I833">
        <v>0</v>
      </c>
      <c r="J833" t="s">
        <v>343</v>
      </c>
      <c r="K833">
        <v>5000</v>
      </c>
      <c r="M833">
        <v>5000</v>
      </c>
    </row>
    <row r="834" spans="1:13" x14ac:dyDescent="0.35">
      <c r="A834" t="str">
        <f t="shared" si="43"/>
        <v>CAI_004572168063883000</v>
      </c>
      <c r="B834" t="s">
        <v>2337</v>
      </c>
      <c r="C834" s="1">
        <v>45721</v>
      </c>
      <c r="D834" t="str">
        <f>"680"</f>
        <v>680</v>
      </c>
      <c r="E834" t="str">
        <f>"63883000"</f>
        <v>63883000</v>
      </c>
      <c r="F834" t="s">
        <v>2390</v>
      </c>
      <c r="G834" t="s">
        <v>336</v>
      </c>
      <c r="H834" t="s">
        <v>5944</v>
      </c>
      <c r="I834">
        <v>0</v>
      </c>
      <c r="J834" t="s">
        <v>343</v>
      </c>
      <c r="K834">
        <v>317900</v>
      </c>
      <c r="M834">
        <v>317900</v>
      </c>
    </row>
    <row r="835" spans="1:13" x14ac:dyDescent="0.35">
      <c r="A835" t="str">
        <f t="shared" ref="A835:A898" si="46">CONCATENATE(B835,C835,D835,E835)</f>
        <v>CAI_004572168161830000</v>
      </c>
      <c r="B835" t="s">
        <v>2337</v>
      </c>
      <c r="C835" s="1">
        <v>45721</v>
      </c>
      <c r="D835" t="str">
        <f>"681"</f>
        <v>681</v>
      </c>
      <c r="E835" t="str">
        <f>"61830000"</f>
        <v>61830000</v>
      </c>
      <c r="F835" t="s">
        <v>2394</v>
      </c>
      <c r="G835" t="s">
        <v>336</v>
      </c>
      <c r="H835" t="s">
        <v>5938</v>
      </c>
      <c r="I835">
        <v>0</v>
      </c>
      <c r="J835" t="s">
        <v>343</v>
      </c>
      <c r="K835">
        <v>100000</v>
      </c>
      <c r="M835">
        <v>100000</v>
      </c>
    </row>
    <row r="836" spans="1:13" x14ac:dyDescent="0.35">
      <c r="A836" t="str">
        <f t="shared" si="46"/>
        <v>CAI_004572168162810000</v>
      </c>
      <c r="B836" t="s">
        <v>2337</v>
      </c>
      <c r="C836" s="1">
        <v>45721</v>
      </c>
      <c r="D836" t="str">
        <f>"681"</f>
        <v>681</v>
      </c>
      <c r="E836" t="str">
        <f>"62810000"</f>
        <v>62810000</v>
      </c>
      <c r="F836" t="s">
        <v>2395</v>
      </c>
      <c r="G836" t="s">
        <v>336</v>
      </c>
      <c r="H836" t="s">
        <v>5909</v>
      </c>
      <c r="I836">
        <v>0</v>
      </c>
      <c r="J836" t="s">
        <v>343</v>
      </c>
      <c r="K836">
        <v>10000</v>
      </c>
      <c r="M836">
        <v>10000</v>
      </c>
    </row>
    <row r="837" spans="1:13" x14ac:dyDescent="0.35">
      <c r="A837" t="str">
        <f t="shared" si="46"/>
        <v>CAI_004572168262880000</v>
      </c>
      <c r="B837" t="s">
        <v>2337</v>
      </c>
      <c r="C837" s="1">
        <v>45721</v>
      </c>
      <c r="D837" t="str">
        <f>"682"</f>
        <v>682</v>
      </c>
      <c r="E837" t="str">
        <f>"62880000"</f>
        <v>62880000</v>
      </c>
      <c r="F837" t="s">
        <v>2396</v>
      </c>
      <c r="G837" t="s">
        <v>336</v>
      </c>
      <c r="H837" t="s">
        <v>5942</v>
      </c>
      <c r="I837">
        <v>0</v>
      </c>
      <c r="J837" t="s">
        <v>343</v>
      </c>
      <c r="K837">
        <v>45000</v>
      </c>
      <c r="M837">
        <v>45000</v>
      </c>
    </row>
    <row r="838" spans="1:13" x14ac:dyDescent="0.35">
      <c r="A838" t="str">
        <f t="shared" si="46"/>
        <v>CAI_004572168364630100</v>
      </c>
      <c r="B838" t="s">
        <v>2337</v>
      </c>
      <c r="C838" s="1">
        <v>45721</v>
      </c>
      <c r="D838" t="str">
        <f>"683"</f>
        <v>683</v>
      </c>
      <c r="E838" t="str">
        <f>"64630100"</f>
        <v>64630100</v>
      </c>
      <c r="F838" t="s">
        <v>2398</v>
      </c>
      <c r="G838" t="s">
        <v>336</v>
      </c>
      <c r="H838" t="s">
        <v>5894</v>
      </c>
      <c r="I838">
        <v>0</v>
      </c>
      <c r="J838" t="s">
        <v>343</v>
      </c>
      <c r="K838">
        <v>24000</v>
      </c>
      <c r="M838">
        <v>84200</v>
      </c>
    </row>
    <row r="839" spans="1:13" x14ac:dyDescent="0.35">
      <c r="A839" t="str">
        <f t="shared" si="46"/>
        <v>CAI_004572168364630100</v>
      </c>
      <c r="B839" t="s">
        <v>2337</v>
      </c>
      <c r="C839" s="1">
        <v>45721</v>
      </c>
      <c r="D839" t="str">
        <f>"683"</f>
        <v>683</v>
      </c>
      <c r="E839" t="str">
        <f>"64630100"</f>
        <v>64630100</v>
      </c>
      <c r="F839" t="s">
        <v>2398</v>
      </c>
      <c r="G839" t="s">
        <v>336</v>
      </c>
      <c r="H839" t="s">
        <v>5891</v>
      </c>
      <c r="I839">
        <v>0</v>
      </c>
      <c r="J839" t="s">
        <v>343</v>
      </c>
      <c r="K839">
        <v>60200</v>
      </c>
      <c r="M839">
        <v>84200</v>
      </c>
    </row>
    <row r="840" spans="1:13" x14ac:dyDescent="0.35">
      <c r="A840" t="str">
        <f t="shared" si="46"/>
        <v>CAI_004572168364685000</v>
      </c>
      <c r="B840" t="s">
        <v>2337</v>
      </c>
      <c r="C840" s="1">
        <v>45721</v>
      </c>
      <c r="D840" t="str">
        <f>"683"</f>
        <v>683</v>
      </c>
      <c r="E840" t="str">
        <f>"64685000"</f>
        <v>64685000</v>
      </c>
      <c r="F840" t="s">
        <v>2397</v>
      </c>
      <c r="G840" t="s">
        <v>336</v>
      </c>
      <c r="H840" t="s">
        <v>5932</v>
      </c>
      <c r="I840">
        <v>0</v>
      </c>
      <c r="J840" t="s">
        <v>343</v>
      </c>
      <c r="K840">
        <v>10000</v>
      </c>
      <c r="M840">
        <v>56000</v>
      </c>
    </row>
    <row r="841" spans="1:13" x14ac:dyDescent="0.35">
      <c r="A841" t="str">
        <f t="shared" si="46"/>
        <v>CAI_004572168364685000</v>
      </c>
      <c r="B841" t="s">
        <v>2337</v>
      </c>
      <c r="C841" s="1">
        <v>45721</v>
      </c>
      <c r="D841" t="str">
        <f>"683"</f>
        <v>683</v>
      </c>
      <c r="E841" t="str">
        <f>"64685000"</f>
        <v>64685000</v>
      </c>
      <c r="F841" t="s">
        <v>2397</v>
      </c>
      <c r="G841" t="s">
        <v>336</v>
      </c>
      <c r="H841" t="s">
        <v>5884</v>
      </c>
      <c r="I841">
        <v>0</v>
      </c>
      <c r="J841" t="s">
        <v>343</v>
      </c>
      <c r="K841">
        <v>11000</v>
      </c>
      <c r="M841">
        <v>56000</v>
      </c>
    </row>
    <row r="842" spans="1:13" x14ac:dyDescent="0.35">
      <c r="A842" t="str">
        <f t="shared" si="46"/>
        <v>CAI_004572168364685000</v>
      </c>
      <c r="B842" t="s">
        <v>2337</v>
      </c>
      <c r="C842" s="1">
        <v>45721</v>
      </c>
      <c r="D842" t="str">
        <f>"683"</f>
        <v>683</v>
      </c>
      <c r="E842" t="str">
        <f>"64685000"</f>
        <v>64685000</v>
      </c>
      <c r="F842" t="s">
        <v>2397</v>
      </c>
      <c r="G842" t="s">
        <v>336</v>
      </c>
      <c r="H842" t="s">
        <v>5942</v>
      </c>
      <c r="I842">
        <v>0</v>
      </c>
      <c r="J842" t="s">
        <v>343</v>
      </c>
      <c r="K842">
        <v>35000</v>
      </c>
      <c r="M842">
        <v>56000</v>
      </c>
    </row>
    <row r="843" spans="1:13" x14ac:dyDescent="0.35">
      <c r="A843" t="str">
        <f t="shared" si="46"/>
        <v>CAI_004572268561830000</v>
      </c>
      <c r="B843" t="s">
        <v>2337</v>
      </c>
      <c r="C843" s="1">
        <v>45722</v>
      </c>
      <c r="D843" t="str">
        <f>"685"</f>
        <v>685</v>
      </c>
      <c r="E843" t="str">
        <f>"61830000"</f>
        <v>61830000</v>
      </c>
      <c r="F843" t="s">
        <v>2400</v>
      </c>
      <c r="G843" t="s">
        <v>336</v>
      </c>
      <c r="H843" t="s">
        <v>5878</v>
      </c>
      <c r="I843">
        <v>0</v>
      </c>
      <c r="J843" t="s">
        <v>343</v>
      </c>
      <c r="K843">
        <v>10000</v>
      </c>
      <c r="M843">
        <v>10000</v>
      </c>
    </row>
    <row r="844" spans="1:13" x14ac:dyDescent="0.35">
      <c r="A844" t="str">
        <f t="shared" si="46"/>
        <v>CAI_004572268662880000</v>
      </c>
      <c r="B844" t="s">
        <v>2337</v>
      </c>
      <c r="C844" s="1">
        <v>45722</v>
      </c>
      <c r="D844" t="str">
        <f>"686"</f>
        <v>686</v>
      </c>
      <c r="E844" t="str">
        <f>"62880000"</f>
        <v>62880000</v>
      </c>
      <c r="F844" t="s">
        <v>2401</v>
      </c>
      <c r="G844" t="s">
        <v>336</v>
      </c>
      <c r="H844" t="s">
        <v>5883</v>
      </c>
      <c r="I844">
        <v>0</v>
      </c>
      <c r="J844" t="s">
        <v>343</v>
      </c>
      <c r="K844">
        <v>45000</v>
      </c>
      <c r="M844">
        <v>45000</v>
      </c>
    </row>
    <row r="845" spans="1:13" x14ac:dyDescent="0.35">
      <c r="A845" t="str">
        <f t="shared" si="46"/>
        <v>CAI_004572268761830000</v>
      </c>
      <c r="B845" t="s">
        <v>2337</v>
      </c>
      <c r="C845" s="1">
        <v>45722</v>
      </c>
      <c r="D845" t="str">
        <f>"687"</f>
        <v>687</v>
      </c>
      <c r="E845" t="str">
        <f>"61830000"</f>
        <v>61830000</v>
      </c>
      <c r="F845" t="s">
        <v>2402</v>
      </c>
      <c r="G845" t="s">
        <v>336</v>
      </c>
      <c r="H845" t="s">
        <v>5942</v>
      </c>
      <c r="I845">
        <v>0</v>
      </c>
      <c r="J845" t="s">
        <v>343</v>
      </c>
      <c r="K845">
        <v>200000</v>
      </c>
      <c r="M845">
        <v>200000</v>
      </c>
    </row>
    <row r="846" spans="1:13" x14ac:dyDescent="0.35">
      <c r="A846" t="str">
        <f t="shared" si="46"/>
        <v>CAI_004572368961810100</v>
      </c>
      <c r="B846" t="s">
        <v>2337</v>
      </c>
      <c r="C846" s="1">
        <v>45723</v>
      </c>
      <c r="D846" t="str">
        <f>"689"</f>
        <v>689</v>
      </c>
      <c r="E846" t="str">
        <f>"61810100"</f>
        <v>61810100</v>
      </c>
      <c r="F846" t="s">
        <v>2404</v>
      </c>
      <c r="G846" t="s">
        <v>336</v>
      </c>
      <c r="H846" t="s">
        <v>5944</v>
      </c>
      <c r="I846">
        <v>0</v>
      </c>
      <c r="J846" t="s">
        <v>343</v>
      </c>
      <c r="K846">
        <v>116000</v>
      </c>
      <c r="M846">
        <v>116000</v>
      </c>
    </row>
    <row r="847" spans="1:13" x14ac:dyDescent="0.35">
      <c r="A847" t="str">
        <f t="shared" si="46"/>
        <v>CAI_004572368963883000</v>
      </c>
      <c r="B847" t="s">
        <v>2337</v>
      </c>
      <c r="C847" s="1">
        <v>45723</v>
      </c>
      <c r="D847" t="str">
        <f>"689"</f>
        <v>689</v>
      </c>
      <c r="E847" t="str">
        <f>"63883000"</f>
        <v>63883000</v>
      </c>
      <c r="F847" t="s">
        <v>2405</v>
      </c>
      <c r="G847" t="s">
        <v>336</v>
      </c>
      <c r="H847" t="s">
        <v>5944</v>
      </c>
      <c r="I847">
        <v>0</v>
      </c>
      <c r="J847" t="s">
        <v>343</v>
      </c>
      <c r="K847">
        <v>117600</v>
      </c>
      <c r="M847">
        <v>117600</v>
      </c>
    </row>
    <row r="848" spans="1:13" x14ac:dyDescent="0.35">
      <c r="A848" t="str">
        <f t="shared" si="46"/>
        <v>CAI_004572369061810000</v>
      </c>
      <c r="B848" t="s">
        <v>2337</v>
      </c>
      <c r="C848" s="1">
        <v>45723</v>
      </c>
      <c r="D848" t="str">
        <f>"690"</f>
        <v>690</v>
      </c>
      <c r="E848" t="str">
        <f>"61810000"</f>
        <v>61810000</v>
      </c>
      <c r="F848" t="s">
        <v>2406</v>
      </c>
      <c r="G848" t="s">
        <v>336</v>
      </c>
      <c r="H848" t="s">
        <v>5873</v>
      </c>
      <c r="I848">
        <v>0</v>
      </c>
      <c r="J848" t="s">
        <v>343</v>
      </c>
      <c r="K848">
        <v>65000</v>
      </c>
      <c r="M848">
        <v>65000</v>
      </c>
    </row>
    <row r="849" spans="1:13" x14ac:dyDescent="0.35">
      <c r="A849" t="str">
        <f t="shared" si="46"/>
        <v>CAI_004572369062420000</v>
      </c>
      <c r="B849" t="s">
        <v>2337</v>
      </c>
      <c r="C849" s="1">
        <v>45723</v>
      </c>
      <c r="D849" t="str">
        <f>"690"</f>
        <v>690</v>
      </c>
      <c r="E849" t="str">
        <f>"62420000"</f>
        <v>62420000</v>
      </c>
      <c r="F849" t="s">
        <v>2407</v>
      </c>
      <c r="G849" t="s">
        <v>336</v>
      </c>
      <c r="H849" t="s">
        <v>5875</v>
      </c>
      <c r="I849">
        <v>0</v>
      </c>
      <c r="J849" t="s">
        <v>343</v>
      </c>
      <c r="K849">
        <v>22000</v>
      </c>
      <c r="M849">
        <v>22000</v>
      </c>
    </row>
    <row r="850" spans="1:13" x14ac:dyDescent="0.35">
      <c r="A850" t="str">
        <f t="shared" si="46"/>
        <v>CAI_004572369162411000</v>
      </c>
      <c r="B850" t="s">
        <v>2337</v>
      </c>
      <c r="C850" s="1">
        <v>45723</v>
      </c>
      <c r="D850" t="str">
        <f>"691"</f>
        <v>691</v>
      </c>
      <c r="E850" t="str">
        <f>"62411000"</f>
        <v>62411000</v>
      </c>
      <c r="F850" t="s">
        <v>2408</v>
      </c>
      <c r="G850" t="s">
        <v>336</v>
      </c>
      <c r="H850" t="s">
        <v>5905</v>
      </c>
      <c r="I850">
        <v>0</v>
      </c>
      <c r="J850" t="s">
        <v>343</v>
      </c>
      <c r="K850">
        <v>140000</v>
      </c>
      <c r="M850">
        <v>140000</v>
      </c>
    </row>
    <row r="851" spans="1:13" x14ac:dyDescent="0.35">
      <c r="A851" t="str">
        <f t="shared" si="46"/>
        <v>CAI_004572369261810000</v>
      </c>
      <c r="B851" t="s">
        <v>2337</v>
      </c>
      <c r="C851" s="1">
        <v>45723</v>
      </c>
      <c r="D851" t="str">
        <f>"692"</f>
        <v>692</v>
      </c>
      <c r="E851" t="str">
        <f>"61810000"</f>
        <v>61810000</v>
      </c>
      <c r="F851" t="s">
        <v>2409</v>
      </c>
      <c r="G851" t="s">
        <v>336</v>
      </c>
      <c r="H851" t="s">
        <v>5873</v>
      </c>
      <c r="I851">
        <v>0</v>
      </c>
      <c r="J851" t="s">
        <v>343</v>
      </c>
      <c r="K851">
        <v>-45000</v>
      </c>
      <c r="M851">
        <v>-45000</v>
      </c>
    </row>
    <row r="852" spans="1:13" x14ac:dyDescent="0.35">
      <c r="A852" t="str">
        <f t="shared" si="46"/>
        <v>CAI_004572369362420000</v>
      </c>
      <c r="B852" t="s">
        <v>2337</v>
      </c>
      <c r="C852" s="1">
        <v>45723</v>
      </c>
      <c r="D852" t="str">
        <f>"693"</f>
        <v>693</v>
      </c>
      <c r="E852" t="str">
        <f>"62420000"</f>
        <v>62420000</v>
      </c>
      <c r="F852" t="s">
        <v>2410</v>
      </c>
      <c r="G852" t="s">
        <v>336</v>
      </c>
      <c r="H852" t="s">
        <v>5873</v>
      </c>
      <c r="I852">
        <v>0</v>
      </c>
      <c r="J852" t="s">
        <v>343</v>
      </c>
      <c r="K852">
        <v>60000</v>
      </c>
      <c r="M852">
        <v>60000</v>
      </c>
    </row>
    <row r="853" spans="1:13" x14ac:dyDescent="0.35">
      <c r="A853" t="str">
        <f t="shared" si="46"/>
        <v>CAI_004572369562411000</v>
      </c>
      <c r="B853" t="s">
        <v>2337</v>
      </c>
      <c r="C853" s="1">
        <v>45723</v>
      </c>
      <c r="D853" t="str">
        <f>"695"</f>
        <v>695</v>
      </c>
      <c r="E853" t="str">
        <f>"62411000"</f>
        <v>62411000</v>
      </c>
      <c r="F853" t="s">
        <v>2412</v>
      </c>
      <c r="G853" t="s">
        <v>336</v>
      </c>
      <c r="H853" t="s">
        <v>5905</v>
      </c>
      <c r="I853">
        <v>0</v>
      </c>
      <c r="J853" t="s">
        <v>343</v>
      </c>
      <c r="K853">
        <v>15000</v>
      </c>
      <c r="M853">
        <v>15000</v>
      </c>
    </row>
    <row r="854" spans="1:13" x14ac:dyDescent="0.35">
      <c r="A854" t="str">
        <f t="shared" si="46"/>
        <v>CAI_004572669861830000</v>
      </c>
      <c r="B854" t="s">
        <v>2337</v>
      </c>
      <c r="C854" s="1">
        <v>45726</v>
      </c>
      <c r="D854" t="str">
        <f>"698"</f>
        <v>698</v>
      </c>
      <c r="E854" t="str">
        <f>"61830000"</f>
        <v>61830000</v>
      </c>
      <c r="F854" t="s">
        <v>2415</v>
      </c>
      <c r="G854" t="s">
        <v>336</v>
      </c>
      <c r="H854" t="s">
        <v>5878</v>
      </c>
      <c r="I854">
        <v>0</v>
      </c>
      <c r="J854" t="s">
        <v>343</v>
      </c>
      <c r="K854">
        <v>15000</v>
      </c>
      <c r="M854">
        <v>15000</v>
      </c>
    </row>
    <row r="855" spans="1:13" x14ac:dyDescent="0.35">
      <c r="A855" t="str">
        <f t="shared" si="46"/>
        <v>CAI_004572670061830000</v>
      </c>
      <c r="B855" t="s">
        <v>2337</v>
      </c>
      <c r="C855" s="1">
        <v>45726</v>
      </c>
      <c r="D855" t="str">
        <f>"700"</f>
        <v>700</v>
      </c>
      <c r="E855" t="str">
        <f>"61830000"</f>
        <v>61830000</v>
      </c>
      <c r="F855" t="s">
        <v>2417</v>
      </c>
      <c r="G855" t="s">
        <v>336</v>
      </c>
      <c r="H855" t="s">
        <v>5948</v>
      </c>
      <c r="I855">
        <v>0</v>
      </c>
      <c r="J855" t="s">
        <v>343</v>
      </c>
      <c r="K855">
        <v>40000</v>
      </c>
      <c r="M855">
        <v>40000</v>
      </c>
    </row>
    <row r="856" spans="1:13" x14ac:dyDescent="0.35">
      <c r="A856" t="str">
        <f t="shared" si="46"/>
        <v>CAI_004572670161830000</v>
      </c>
      <c r="B856" t="s">
        <v>2337</v>
      </c>
      <c r="C856" s="1">
        <v>45726</v>
      </c>
      <c r="D856" t="str">
        <f>"701"</f>
        <v>701</v>
      </c>
      <c r="E856" t="str">
        <f>"61830000"</f>
        <v>61830000</v>
      </c>
      <c r="F856" t="s">
        <v>2419</v>
      </c>
      <c r="G856" t="s">
        <v>336</v>
      </c>
      <c r="H856" t="s">
        <v>5878</v>
      </c>
      <c r="I856">
        <v>0</v>
      </c>
      <c r="J856" t="s">
        <v>343</v>
      </c>
      <c r="K856">
        <v>47500</v>
      </c>
      <c r="M856">
        <v>47500</v>
      </c>
    </row>
    <row r="857" spans="1:13" x14ac:dyDescent="0.35">
      <c r="A857" t="str">
        <f t="shared" si="46"/>
        <v>CAI_004572670262420000</v>
      </c>
      <c r="B857" t="s">
        <v>2337</v>
      </c>
      <c r="C857" s="1">
        <v>45726</v>
      </c>
      <c r="D857" t="str">
        <f>"702"</f>
        <v>702</v>
      </c>
      <c r="E857" t="str">
        <f>"62420000"</f>
        <v>62420000</v>
      </c>
      <c r="F857" t="s">
        <v>2420</v>
      </c>
      <c r="G857" t="s">
        <v>336</v>
      </c>
      <c r="H857" t="s">
        <v>5948</v>
      </c>
      <c r="I857">
        <v>0</v>
      </c>
      <c r="J857" t="s">
        <v>343</v>
      </c>
      <c r="K857">
        <v>82000</v>
      </c>
      <c r="M857">
        <v>82000</v>
      </c>
    </row>
    <row r="858" spans="1:13" x14ac:dyDescent="0.35">
      <c r="A858" t="str">
        <f t="shared" si="46"/>
        <v>CAI_004572670361830000</v>
      </c>
      <c r="B858" t="s">
        <v>2337</v>
      </c>
      <c r="C858" s="1">
        <v>45726</v>
      </c>
      <c r="D858" t="str">
        <f>"703"</f>
        <v>703</v>
      </c>
      <c r="E858" t="str">
        <f t="shared" ref="E858:E863" si="47">"61830000"</f>
        <v>61830000</v>
      </c>
      <c r="F858" t="s">
        <v>2421</v>
      </c>
      <c r="G858" t="s">
        <v>336</v>
      </c>
      <c r="H858" t="s">
        <v>5884</v>
      </c>
      <c r="I858">
        <v>0</v>
      </c>
      <c r="J858" t="s">
        <v>343</v>
      </c>
      <c r="K858">
        <v>8000</v>
      </c>
      <c r="M858">
        <v>8000</v>
      </c>
    </row>
    <row r="859" spans="1:13" x14ac:dyDescent="0.35">
      <c r="A859" t="str">
        <f t="shared" si="46"/>
        <v>CAI_004572670561830000</v>
      </c>
      <c r="B859" t="s">
        <v>2337</v>
      </c>
      <c r="C859" s="1">
        <v>45726</v>
      </c>
      <c r="D859" t="str">
        <f>"705"</f>
        <v>705</v>
      </c>
      <c r="E859" t="str">
        <f t="shared" si="47"/>
        <v>61830000</v>
      </c>
      <c r="F859" t="s">
        <v>2425</v>
      </c>
      <c r="G859" t="s">
        <v>336</v>
      </c>
      <c r="H859" t="s">
        <v>5873</v>
      </c>
      <c r="I859">
        <v>0</v>
      </c>
      <c r="J859" t="s">
        <v>343</v>
      </c>
      <c r="K859">
        <v>24000</v>
      </c>
      <c r="M859">
        <v>24000</v>
      </c>
    </row>
    <row r="860" spans="1:13" x14ac:dyDescent="0.35">
      <c r="A860" t="str">
        <f t="shared" si="46"/>
        <v>CAI_004572670661830000</v>
      </c>
      <c r="B860" t="s">
        <v>2337</v>
      </c>
      <c r="C860" s="1">
        <v>45726</v>
      </c>
      <c r="D860" t="str">
        <f>"706"</f>
        <v>706</v>
      </c>
      <c r="E860" t="str">
        <f t="shared" si="47"/>
        <v>61830000</v>
      </c>
      <c r="F860" t="s">
        <v>2426</v>
      </c>
      <c r="G860" t="s">
        <v>336</v>
      </c>
      <c r="H860" t="s">
        <v>5942</v>
      </c>
      <c r="I860">
        <v>0</v>
      </c>
      <c r="J860" t="s">
        <v>343</v>
      </c>
      <c r="K860">
        <v>30000</v>
      </c>
      <c r="M860">
        <v>30000</v>
      </c>
    </row>
    <row r="861" spans="1:13" x14ac:dyDescent="0.35">
      <c r="A861" t="str">
        <f t="shared" si="46"/>
        <v>CAI_004572670761830000</v>
      </c>
      <c r="B861" t="s">
        <v>2337</v>
      </c>
      <c r="C861" s="1">
        <v>45726</v>
      </c>
      <c r="D861" t="str">
        <f>"707"</f>
        <v>707</v>
      </c>
      <c r="E861" t="str">
        <f t="shared" si="47"/>
        <v>61830000</v>
      </c>
      <c r="F861" t="s">
        <v>2427</v>
      </c>
      <c r="G861" t="s">
        <v>336</v>
      </c>
      <c r="H861" t="s">
        <v>5932</v>
      </c>
      <c r="I861">
        <v>0</v>
      </c>
      <c r="J861" t="s">
        <v>343</v>
      </c>
      <c r="K861">
        <v>5000</v>
      </c>
      <c r="M861">
        <v>5000</v>
      </c>
    </row>
    <row r="862" spans="1:13" x14ac:dyDescent="0.35">
      <c r="A862" t="str">
        <f t="shared" si="46"/>
        <v>CAI_004572670861830000</v>
      </c>
      <c r="B862" t="s">
        <v>2337</v>
      </c>
      <c r="C862" s="1">
        <v>45726</v>
      </c>
      <c r="D862" t="str">
        <f>"708"</f>
        <v>708</v>
      </c>
      <c r="E862" t="str">
        <f t="shared" si="47"/>
        <v>61830000</v>
      </c>
      <c r="F862" t="s">
        <v>2428</v>
      </c>
      <c r="G862" t="s">
        <v>336</v>
      </c>
      <c r="H862" t="s">
        <v>5932</v>
      </c>
      <c r="I862">
        <v>0</v>
      </c>
      <c r="J862" t="s">
        <v>343</v>
      </c>
      <c r="K862">
        <v>10000</v>
      </c>
      <c r="M862">
        <v>10000</v>
      </c>
    </row>
    <row r="863" spans="1:13" x14ac:dyDescent="0.35">
      <c r="A863" t="str">
        <f t="shared" si="46"/>
        <v>CAI_004572670961830000</v>
      </c>
      <c r="B863" t="s">
        <v>2337</v>
      </c>
      <c r="C863" s="1">
        <v>45726</v>
      </c>
      <c r="D863" t="str">
        <f>"709"</f>
        <v>709</v>
      </c>
      <c r="E863" t="str">
        <f t="shared" si="47"/>
        <v>61830000</v>
      </c>
      <c r="F863" t="s">
        <v>2429</v>
      </c>
      <c r="G863" t="s">
        <v>336</v>
      </c>
      <c r="H863" t="s">
        <v>5932</v>
      </c>
      <c r="I863">
        <v>0</v>
      </c>
      <c r="J863" t="s">
        <v>343</v>
      </c>
      <c r="K863">
        <v>20000</v>
      </c>
      <c r="M863">
        <v>20000</v>
      </c>
    </row>
    <row r="864" spans="1:13" x14ac:dyDescent="0.35">
      <c r="A864" t="str">
        <f t="shared" si="46"/>
        <v>CAI_004572671061810100</v>
      </c>
      <c r="B864" t="s">
        <v>2337</v>
      </c>
      <c r="C864" s="1">
        <v>45726</v>
      </c>
      <c r="D864" t="str">
        <f>"710"</f>
        <v>710</v>
      </c>
      <c r="E864" t="str">
        <f>"61810100"</f>
        <v>61810100</v>
      </c>
      <c r="F864" t="s">
        <v>2431</v>
      </c>
      <c r="G864" t="s">
        <v>336</v>
      </c>
      <c r="H864" t="s">
        <v>5944</v>
      </c>
      <c r="I864">
        <v>0</v>
      </c>
      <c r="J864" t="s">
        <v>343</v>
      </c>
      <c r="K864">
        <v>98000</v>
      </c>
      <c r="M864">
        <v>98000</v>
      </c>
    </row>
    <row r="865" spans="1:13" x14ac:dyDescent="0.35">
      <c r="A865" t="str">
        <f t="shared" si="46"/>
        <v>CAI_004572671063883000</v>
      </c>
      <c r="B865" t="s">
        <v>2337</v>
      </c>
      <c r="C865" s="1">
        <v>45726</v>
      </c>
      <c r="D865" t="str">
        <f>"710"</f>
        <v>710</v>
      </c>
      <c r="E865" t="str">
        <f>"63883000"</f>
        <v>63883000</v>
      </c>
      <c r="F865" t="s">
        <v>2430</v>
      </c>
      <c r="G865" t="s">
        <v>336</v>
      </c>
      <c r="H865" t="s">
        <v>5944</v>
      </c>
      <c r="I865">
        <v>0</v>
      </c>
      <c r="J865" t="s">
        <v>343</v>
      </c>
      <c r="K865">
        <v>27300</v>
      </c>
      <c r="M865">
        <v>27300</v>
      </c>
    </row>
    <row r="866" spans="1:13" x14ac:dyDescent="0.35">
      <c r="A866" t="str">
        <f t="shared" si="46"/>
        <v>CAI_004572671160560000</v>
      </c>
      <c r="B866" t="s">
        <v>2337</v>
      </c>
      <c r="C866" s="1">
        <v>45726</v>
      </c>
      <c r="D866" t="str">
        <f>"711"</f>
        <v>711</v>
      </c>
      <c r="E866" t="str">
        <f>"60560000"</f>
        <v>60560000</v>
      </c>
      <c r="F866" t="s">
        <v>2432</v>
      </c>
      <c r="G866" t="s">
        <v>336</v>
      </c>
      <c r="H866" t="s">
        <v>5905</v>
      </c>
      <c r="I866">
        <v>0</v>
      </c>
      <c r="J866" t="s">
        <v>343</v>
      </c>
      <c r="K866">
        <v>-2500</v>
      </c>
      <c r="M866">
        <v>-2500</v>
      </c>
    </row>
    <row r="867" spans="1:13" x14ac:dyDescent="0.35">
      <c r="A867" t="str">
        <f t="shared" si="46"/>
        <v>CAI_004572671260440300</v>
      </c>
      <c r="B867" t="s">
        <v>2337</v>
      </c>
      <c r="C867" s="1">
        <v>45726</v>
      </c>
      <c r="D867" t="str">
        <f>"712"</f>
        <v>712</v>
      </c>
      <c r="E867" t="str">
        <f>"60440300"</f>
        <v>60440300</v>
      </c>
      <c r="F867" t="s">
        <v>2434</v>
      </c>
      <c r="G867" t="s">
        <v>336</v>
      </c>
      <c r="H867" t="s">
        <v>348</v>
      </c>
      <c r="I867">
        <v>0</v>
      </c>
      <c r="J867" t="s">
        <v>343</v>
      </c>
      <c r="K867">
        <v>30000</v>
      </c>
      <c r="M867">
        <v>30000</v>
      </c>
    </row>
    <row r="868" spans="1:13" x14ac:dyDescent="0.35">
      <c r="A868" t="str">
        <f t="shared" si="46"/>
        <v>CAI_004572671261830000</v>
      </c>
      <c r="B868" t="s">
        <v>2337</v>
      </c>
      <c r="C868" s="1">
        <v>45726</v>
      </c>
      <c r="D868" t="str">
        <f>"712"</f>
        <v>712</v>
      </c>
      <c r="E868" t="str">
        <f>"61830000"</f>
        <v>61830000</v>
      </c>
      <c r="F868" t="s">
        <v>2435</v>
      </c>
      <c r="G868" t="s">
        <v>336</v>
      </c>
      <c r="H868" t="s">
        <v>5873</v>
      </c>
      <c r="I868">
        <v>0</v>
      </c>
      <c r="J868" t="s">
        <v>343</v>
      </c>
      <c r="K868">
        <v>10000</v>
      </c>
      <c r="M868">
        <v>10000</v>
      </c>
    </row>
    <row r="869" spans="1:13" x14ac:dyDescent="0.35">
      <c r="A869" t="str">
        <f t="shared" si="46"/>
        <v>CAI_004572671262410000</v>
      </c>
      <c r="B869" t="s">
        <v>2337</v>
      </c>
      <c r="C869" s="1">
        <v>45726</v>
      </c>
      <c r="D869" t="str">
        <f>"712"</f>
        <v>712</v>
      </c>
      <c r="E869" t="str">
        <f>"62410000"</f>
        <v>62410000</v>
      </c>
      <c r="F869" t="s">
        <v>2436</v>
      </c>
      <c r="G869" t="s">
        <v>336</v>
      </c>
      <c r="H869" t="s">
        <v>5905</v>
      </c>
      <c r="I869">
        <v>0</v>
      </c>
      <c r="J869" t="s">
        <v>343</v>
      </c>
      <c r="K869">
        <v>15000</v>
      </c>
      <c r="M869">
        <v>15000</v>
      </c>
    </row>
    <row r="870" spans="1:13" x14ac:dyDescent="0.35">
      <c r="A870" t="str">
        <f t="shared" si="46"/>
        <v>CAI_004572671361830000</v>
      </c>
      <c r="B870" t="s">
        <v>2337</v>
      </c>
      <c r="C870" s="1">
        <v>45726</v>
      </c>
      <c r="D870" t="str">
        <f>"713"</f>
        <v>713</v>
      </c>
      <c r="E870" t="str">
        <f>"61830000"</f>
        <v>61830000</v>
      </c>
      <c r="F870" t="s">
        <v>2437</v>
      </c>
      <c r="G870" t="s">
        <v>336</v>
      </c>
      <c r="H870" t="s">
        <v>5873</v>
      </c>
      <c r="I870">
        <v>0</v>
      </c>
      <c r="J870" t="s">
        <v>343</v>
      </c>
      <c r="K870">
        <v>40000</v>
      </c>
      <c r="M870">
        <v>40000</v>
      </c>
    </row>
    <row r="871" spans="1:13" x14ac:dyDescent="0.35">
      <c r="A871" t="str">
        <f t="shared" si="46"/>
        <v>CAI_004572671461810100</v>
      </c>
      <c r="B871" t="s">
        <v>2337</v>
      </c>
      <c r="C871" s="1">
        <v>45726</v>
      </c>
      <c r="D871" t="str">
        <f>"714"</f>
        <v>714</v>
      </c>
      <c r="E871" t="str">
        <f>"61810100"</f>
        <v>61810100</v>
      </c>
      <c r="F871" t="s">
        <v>2439</v>
      </c>
      <c r="G871" t="s">
        <v>336</v>
      </c>
      <c r="H871" t="s">
        <v>5953</v>
      </c>
      <c r="I871">
        <v>0</v>
      </c>
      <c r="J871" t="s">
        <v>343</v>
      </c>
      <c r="K871">
        <v>160000</v>
      </c>
      <c r="M871">
        <v>160000</v>
      </c>
    </row>
    <row r="872" spans="1:13" x14ac:dyDescent="0.35">
      <c r="A872" t="str">
        <f t="shared" si="46"/>
        <v>CAI_004572671463883000</v>
      </c>
      <c r="B872" t="s">
        <v>2337</v>
      </c>
      <c r="C872" s="1">
        <v>45726</v>
      </c>
      <c r="D872" t="str">
        <f>"714"</f>
        <v>714</v>
      </c>
      <c r="E872" t="str">
        <f>"63883000"</f>
        <v>63883000</v>
      </c>
      <c r="F872" t="s">
        <v>2440</v>
      </c>
      <c r="G872" t="s">
        <v>336</v>
      </c>
      <c r="H872" t="s">
        <v>5953</v>
      </c>
      <c r="I872">
        <v>0</v>
      </c>
      <c r="J872" t="s">
        <v>343</v>
      </c>
      <c r="K872">
        <v>66500</v>
      </c>
      <c r="M872">
        <v>66500</v>
      </c>
    </row>
    <row r="873" spans="1:13" x14ac:dyDescent="0.35">
      <c r="A873" t="str">
        <f t="shared" si="46"/>
        <v>CAI_004572671464685000</v>
      </c>
      <c r="B873" t="s">
        <v>2337</v>
      </c>
      <c r="C873" s="1">
        <v>45726</v>
      </c>
      <c r="D873" t="str">
        <f>"714"</f>
        <v>714</v>
      </c>
      <c r="E873" t="str">
        <f>"64685000"</f>
        <v>64685000</v>
      </c>
      <c r="F873" t="s">
        <v>2438</v>
      </c>
      <c r="G873" t="s">
        <v>336</v>
      </c>
      <c r="H873" t="s">
        <v>5884</v>
      </c>
      <c r="I873">
        <v>0</v>
      </c>
      <c r="J873" t="s">
        <v>343</v>
      </c>
      <c r="K873">
        <v>20000</v>
      </c>
      <c r="M873">
        <v>20000</v>
      </c>
    </row>
    <row r="874" spans="1:13" x14ac:dyDescent="0.35">
      <c r="A874" t="str">
        <f t="shared" si="46"/>
        <v>CAI_004572771566830000</v>
      </c>
      <c r="B874" t="s">
        <v>2337</v>
      </c>
      <c r="C874" s="1">
        <v>45727</v>
      </c>
      <c r="D874" t="str">
        <f>"715"</f>
        <v>715</v>
      </c>
      <c r="E874" t="str">
        <f>"66830000"</f>
        <v>66830000</v>
      </c>
      <c r="F874" t="s">
        <v>2441</v>
      </c>
      <c r="G874" t="s">
        <v>336</v>
      </c>
      <c r="H874" t="s">
        <v>5920</v>
      </c>
      <c r="I874">
        <v>0</v>
      </c>
      <c r="J874" t="s">
        <v>343</v>
      </c>
      <c r="K874">
        <v>15000</v>
      </c>
      <c r="M874">
        <v>15000</v>
      </c>
    </row>
    <row r="875" spans="1:13" x14ac:dyDescent="0.35">
      <c r="A875" t="str">
        <f t="shared" si="46"/>
        <v>CAI_004572771666830000</v>
      </c>
      <c r="B875" t="s">
        <v>2337</v>
      </c>
      <c r="C875" s="1">
        <v>45727</v>
      </c>
      <c r="D875" t="str">
        <f>"716"</f>
        <v>716</v>
      </c>
      <c r="E875" t="str">
        <f>"66830000"</f>
        <v>66830000</v>
      </c>
      <c r="F875" t="s">
        <v>2442</v>
      </c>
      <c r="G875" t="s">
        <v>336</v>
      </c>
      <c r="H875" t="s">
        <v>5921</v>
      </c>
      <c r="I875">
        <v>0</v>
      </c>
      <c r="J875" t="s">
        <v>343</v>
      </c>
      <c r="K875">
        <v>50000</v>
      </c>
      <c r="M875">
        <v>50000</v>
      </c>
    </row>
    <row r="876" spans="1:13" x14ac:dyDescent="0.35">
      <c r="A876" t="str">
        <f t="shared" si="46"/>
        <v>CAI_004572771766830000</v>
      </c>
      <c r="B876" t="s">
        <v>2337</v>
      </c>
      <c r="C876" s="1">
        <v>45727</v>
      </c>
      <c r="D876" t="str">
        <f>"717"</f>
        <v>717</v>
      </c>
      <c r="E876" t="str">
        <f>"66830000"</f>
        <v>66830000</v>
      </c>
      <c r="F876" t="s">
        <v>2443</v>
      </c>
      <c r="G876" t="s">
        <v>336</v>
      </c>
      <c r="H876" t="s">
        <v>5903</v>
      </c>
      <c r="I876">
        <v>0</v>
      </c>
      <c r="J876" t="s">
        <v>343</v>
      </c>
      <c r="K876">
        <v>15000</v>
      </c>
      <c r="M876">
        <v>15000</v>
      </c>
    </row>
    <row r="877" spans="1:13" x14ac:dyDescent="0.35">
      <c r="A877" t="str">
        <f t="shared" si="46"/>
        <v>CAI_004572771861810100</v>
      </c>
      <c r="B877" t="s">
        <v>2337</v>
      </c>
      <c r="C877" s="1">
        <v>45727</v>
      </c>
      <c r="D877" t="str">
        <f>"718"</f>
        <v>718</v>
      </c>
      <c r="E877" t="str">
        <f>"61810100"</f>
        <v>61810100</v>
      </c>
      <c r="F877" t="s">
        <v>2444</v>
      </c>
      <c r="G877" t="s">
        <v>336</v>
      </c>
      <c r="H877" t="s">
        <v>5957</v>
      </c>
      <c r="I877">
        <v>0</v>
      </c>
      <c r="J877" t="s">
        <v>343</v>
      </c>
      <c r="K877">
        <v>100000</v>
      </c>
      <c r="M877">
        <v>100000</v>
      </c>
    </row>
    <row r="878" spans="1:13" x14ac:dyDescent="0.35">
      <c r="A878" t="str">
        <f t="shared" si="46"/>
        <v>CAI_004572771961830000</v>
      </c>
      <c r="B878" t="s">
        <v>2337</v>
      </c>
      <c r="C878" s="1">
        <v>45727</v>
      </c>
      <c r="D878" t="str">
        <f>"719"</f>
        <v>719</v>
      </c>
      <c r="E878" t="str">
        <f>"61830000"</f>
        <v>61830000</v>
      </c>
      <c r="F878" t="s">
        <v>2445</v>
      </c>
      <c r="G878" t="s">
        <v>336</v>
      </c>
      <c r="H878" t="s">
        <v>5882</v>
      </c>
      <c r="I878">
        <v>0</v>
      </c>
      <c r="J878" t="s">
        <v>343</v>
      </c>
      <c r="K878">
        <v>10000</v>
      </c>
      <c r="M878">
        <v>10000</v>
      </c>
    </row>
    <row r="879" spans="1:13" x14ac:dyDescent="0.35">
      <c r="A879" t="str">
        <f t="shared" si="46"/>
        <v>CAI_004572772061830000</v>
      </c>
      <c r="B879" t="s">
        <v>2337</v>
      </c>
      <c r="C879" s="1">
        <v>45727</v>
      </c>
      <c r="D879" t="str">
        <f>"720"</f>
        <v>720</v>
      </c>
      <c r="E879" t="str">
        <f>"61830000"</f>
        <v>61830000</v>
      </c>
      <c r="F879" t="s">
        <v>2446</v>
      </c>
      <c r="G879" t="s">
        <v>336</v>
      </c>
      <c r="H879" t="s">
        <v>5873</v>
      </c>
      <c r="I879">
        <v>0</v>
      </c>
      <c r="J879" t="s">
        <v>343</v>
      </c>
      <c r="K879">
        <v>105000</v>
      </c>
      <c r="M879">
        <v>105000</v>
      </c>
    </row>
    <row r="880" spans="1:13" x14ac:dyDescent="0.35">
      <c r="A880" t="str">
        <f t="shared" si="46"/>
        <v>CAI_004572772165880000</v>
      </c>
      <c r="B880" t="s">
        <v>2337</v>
      </c>
      <c r="C880" s="1">
        <v>45727</v>
      </c>
      <c r="D880" t="str">
        <f>"721"</f>
        <v>721</v>
      </c>
      <c r="E880" t="str">
        <f>"65880000"</f>
        <v>65880000</v>
      </c>
      <c r="F880" t="s">
        <v>2447</v>
      </c>
      <c r="G880" t="s">
        <v>336</v>
      </c>
      <c r="H880" t="s">
        <v>5962</v>
      </c>
      <c r="I880">
        <v>0</v>
      </c>
      <c r="J880" t="s">
        <v>343</v>
      </c>
      <c r="K880">
        <v>-2000000</v>
      </c>
      <c r="M880">
        <v>-2000000</v>
      </c>
    </row>
    <row r="881" spans="1:13" x14ac:dyDescent="0.35">
      <c r="A881" t="str">
        <f t="shared" si="46"/>
        <v>CAI_004572772261830000</v>
      </c>
      <c r="B881" t="s">
        <v>2337</v>
      </c>
      <c r="C881" s="1">
        <v>45727</v>
      </c>
      <c r="D881" t="str">
        <f>"722"</f>
        <v>722</v>
      </c>
      <c r="E881" t="str">
        <f>"61830000"</f>
        <v>61830000</v>
      </c>
      <c r="F881" t="s">
        <v>2448</v>
      </c>
      <c r="G881" t="s">
        <v>336</v>
      </c>
      <c r="H881" t="s">
        <v>5873</v>
      </c>
      <c r="I881">
        <v>0</v>
      </c>
      <c r="J881" t="s">
        <v>343</v>
      </c>
      <c r="K881">
        <v>17000</v>
      </c>
      <c r="M881">
        <v>17000</v>
      </c>
    </row>
    <row r="882" spans="1:13" x14ac:dyDescent="0.35">
      <c r="A882" t="str">
        <f t="shared" si="46"/>
        <v>CAI_004572772361830000</v>
      </c>
      <c r="B882" t="s">
        <v>2337</v>
      </c>
      <c r="C882" s="1">
        <v>45727</v>
      </c>
      <c r="D882" t="str">
        <f>"723"</f>
        <v>723</v>
      </c>
      <c r="E882" t="str">
        <f>"61830000"</f>
        <v>61830000</v>
      </c>
      <c r="F882" t="s">
        <v>2449</v>
      </c>
      <c r="G882" t="s">
        <v>336</v>
      </c>
      <c r="H882" t="s">
        <v>5938</v>
      </c>
      <c r="I882">
        <v>0</v>
      </c>
      <c r="J882" t="s">
        <v>343</v>
      </c>
      <c r="K882">
        <v>10000</v>
      </c>
      <c r="M882">
        <v>10000</v>
      </c>
    </row>
    <row r="883" spans="1:13" x14ac:dyDescent="0.35">
      <c r="A883" t="str">
        <f t="shared" si="46"/>
        <v>CAI_004572772461830000</v>
      </c>
      <c r="B883" t="s">
        <v>2337</v>
      </c>
      <c r="C883" s="1">
        <v>45727</v>
      </c>
      <c r="D883" t="str">
        <f>"724"</f>
        <v>724</v>
      </c>
      <c r="E883" t="str">
        <f>"61830000"</f>
        <v>61830000</v>
      </c>
      <c r="F883" t="s">
        <v>2450</v>
      </c>
      <c r="G883" t="s">
        <v>336</v>
      </c>
      <c r="H883" t="s">
        <v>5947</v>
      </c>
      <c r="I883">
        <v>0</v>
      </c>
      <c r="J883" t="s">
        <v>343</v>
      </c>
      <c r="K883">
        <v>35000</v>
      </c>
      <c r="M883">
        <v>35000</v>
      </c>
    </row>
    <row r="884" spans="1:13" x14ac:dyDescent="0.35">
      <c r="A884" t="str">
        <f t="shared" si="46"/>
        <v>CAI_004572772560470200</v>
      </c>
      <c r="B884" t="s">
        <v>2337</v>
      </c>
      <c r="C884" s="1">
        <v>45727</v>
      </c>
      <c r="D884" t="str">
        <f>"725"</f>
        <v>725</v>
      </c>
      <c r="E884" t="str">
        <f>"60470200"</f>
        <v>60470200</v>
      </c>
      <c r="F884" t="s">
        <v>2451</v>
      </c>
      <c r="G884" t="s">
        <v>336</v>
      </c>
      <c r="H884" t="s">
        <v>5950</v>
      </c>
      <c r="I884">
        <v>0</v>
      </c>
      <c r="J884" t="s">
        <v>343</v>
      </c>
      <c r="K884">
        <v>25000</v>
      </c>
      <c r="M884">
        <v>25000</v>
      </c>
    </row>
    <row r="885" spans="1:13" x14ac:dyDescent="0.35">
      <c r="A885" t="str">
        <f t="shared" si="46"/>
        <v>CAI_004572772662880000</v>
      </c>
      <c r="B885" t="s">
        <v>2337</v>
      </c>
      <c r="C885" s="1">
        <v>45727</v>
      </c>
      <c r="D885" t="str">
        <f>"726"</f>
        <v>726</v>
      </c>
      <c r="E885" t="str">
        <f>"62880000"</f>
        <v>62880000</v>
      </c>
      <c r="F885" t="s">
        <v>2452</v>
      </c>
      <c r="G885" t="s">
        <v>336</v>
      </c>
      <c r="H885" t="s">
        <v>5963</v>
      </c>
      <c r="I885">
        <v>0</v>
      </c>
      <c r="J885" t="s">
        <v>343</v>
      </c>
      <c r="K885">
        <v>45000</v>
      </c>
      <c r="M885">
        <v>45000</v>
      </c>
    </row>
    <row r="886" spans="1:13" x14ac:dyDescent="0.35">
      <c r="A886" t="str">
        <f t="shared" si="46"/>
        <v>CAI_004572772961830000</v>
      </c>
      <c r="B886" t="s">
        <v>2337</v>
      </c>
      <c r="C886" s="1">
        <v>45727</v>
      </c>
      <c r="D886" t="str">
        <f>"729"</f>
        <v>729</v>
      </c>
      <c r="E886" t="str">
        <f>"61830000"</f>
        <v>61830000</v>
      </c>
      <c r="F886" t="s">
        <v>2455</v>
      </c>
      <c r="G886" t="s">
        <v>336</v>
      </c>
      <c r="H886" t="s">
        <v>5941</v>
      </c>
      <c r="I886">
        <v>0</v>
      </c>
      <c r="J886" t="s">
        <v>343</v>
      </c>
      <c r="K886">
        <v>15000</v>
      </c>
      <c r="M886">
        <v>15000</v>
      </c>
    </row>
    <row r="887" spans="1:13" x14ac:dyDescent="0.35">
      <c r="A887" t="str">
        <f t="shared" si="46"/>
        <v>CAI_004572773061810000</v>
      </c>
      <c r="B887" t="s">
        <v>2337</v>
      </c>
      <c r="C887" s="1">
        <v>45727</v>
      </c>
      <c r="D887" t="str">
        <f>"730"</f>
        <v>730</v>
      </c>
      <c r="E887" t="str">
        <f>"61810000"</f>
        <v>61810000</v>
      </c>
      <c r="F887" t="s">
        <v>2456</v>
      </c>
      <c r="G887" t="s">
        <v>336</v>
      </c>
      <c r="H887" t="s">
        <v>5906</v>
      </c>
      <c r="I887">
        <v>0</v>
      </c>
      <c r="J887" t="s">
        <v>343</v>
      </c>
      <c r="K887">
        <v>50000</v>
      </c>
      <c r="M887">
        <v>50000</v>
      </c>
    </row>
    <row r="888" spans="1:13" x14ac:dyDescent="0.35">
      <c r="A888" t="str">
        <f t="shared" si="46"/>
        <v>CAI_004572873160540000</v>
      </c>
      <c r="B888" t="s">
        <v>2337</v>
      </c>
      <c r="C888" s="1">
        <v>45728</v>
      </c>
      <c r="D888" t="str">
        <f>"731"</f>
        <v>731</v>
      </c>
      <c r="E888" t="str">
        <f>"60540000"</f>
        <v>60540000</v>
      </c>
      <c r="F888" t="s">
        <v>2458</v>
      </c>
      <c r="G888" t="s">
        <v>336</v>
      </c>
      <c r="H888" t="s">
        <v>5905</v>
      </c>
      <c r="I888">
        <v>0</v>
      </c>
      <c r="J888" t="s">
        <v>343</v>
      </c>
      <c r="K888">
        <v>60000</v>
      </c>
      <c r="M888">
        <v>60000</v>
      </c>
    </row>
    <row r="889" spans="1:13" x14ac:dyDescent="0.35">
      <c r="A889" t="str">
        <f t="shared" si="46"/>
        <v>CAI_004572873161830000</v>
      </c>
      <c r="B889" t="s">
        <v>2337</v>
      </c>
      <c r="C889" s="1">
        <v>45728</v>
      </c>
      <c r="D889" t="str">
        <f>"731"</f>
        <v>731</v>
      </c>
      <c r="E889" t="str">
        <f>"61830000"</f>
        <v>61830000</v>
      </c>
      <c r="F889" t="s">
        <v>2457</v>
      </c>
      <c r="G889" t="s">
        <v>336</v>
      </c>
      <c r="H889" t="s">
        <v>5928</v>
      </c>
      <c r="I889">
        <v>0</v>
      </c>
      <c r="J889" t="s">
        <v>343</v>
      </c>
      <c r="K889">
        <v>10000</v>
      </c>
      <c r="M889">
        <v>10000</v>
      </c>
    </row>
    <row r="890" spans="1:13" x14ac:dyDescent="0.35">
      <c r="A890" t="str">
        <f t="shared" si="46"/>
        <v>CAI_004572873261830000</v>
      </c>
      <c r="B890" t="s">
        <v>2337</v>
      </c>
      <c r="C890" s="1">
        <v>45728</v>
      </c>
      <c r="D890" t="str">
        <f>"732"</f>
        <v>732</v>
      </c>
      <c r="E890" t="str">
        <f>"61830000"</f>
        <v>61830000</v>
      </c>
      <c r="F890" t="s">
        <v>2459</v>
      </c>
      <c r="G890" t="s">
        <v>336</v>
      </c>
      <c r="H890" t="s">
        <v>5928</v>
      </c>
      <c r="I890">
        <v>0</v>
      </c>
      <c r="J890" t="s">
        <v>343</v>
      </c>
      <c r="K890">
        <v>314000</v>
      </c>
      <c r="M890">
        <v>314000</v>
      </c>
    </row>
    <row r="891" spans="1:13" x14ac:dyDescent="0.35">
      <c r="A891" t="str">
        <f t="shared" si="46"/>
        <v>CAI_004572873262425000</v>
      </c>
      <c r="B891" t="s">
        <v>2337</v>
      </c>
      <c r="C891" s="1">
        <v>45728</v>
      </c>
      <c r="D891" t="str">
        <f>"732"</f>
        <v>732</v>
      </c>
      <c r="E891" t="str">
        <f>"62425000"</f>
        <v>62425000</v>
      </c>
      <c r="F891" t="s">
        <v>2460</v>
      </c>
      <c r="G891" t="s">
        <v>336</v>
      </c>
      <c r="H891" t="s">
        <v>5928</v>
      </c>
      <c r="I891">
        <v>0</v>
      </c>
      <c r="J891" t="s">
        <v>343</v>
      </c>
      <c r="K891">
        <v>3000</v>
      </c>
      <c r="M891">
        <v>3000</v>
      </c>
    </row>
    <row r="892" spans="1:13" x14ac:dyDescent="0.35">
      <c r="A892" t="str">
        <f t="shared" si="46"/>
        <v>CAI_004572873263280000</v>
      </c>
      <c r="B892" t="s">
        <v>2337</v>
      </c>
      <c r="C892" s="1">
        <v>45728</v>
      </c>
      <c r="D892" t="str">
        <f>"732"</f>
        <v>732</v>
      </c>
      <c r="E892" t="str">
        <f>"63280000"</f>
        <v>63280000</v>
      </c>
      <c r="F892" t="s">
        <v>2461</v>
      </c>
      <c r="G892" t="s">
        <v>336</v>
      </c>
      <c r="H892" t="s">
        <v>5928</v>
      </c>
      <c r="I892">
        <v>0</v>
      </c>
      <c r="J892" t="s">
        <v>343</v>
      </c>
      <c r="K892">
        <v>20000</v>
      </c>
      <c r="M892">
        <v>20000</v>
      </c>
    </row>
    <row r="893" spans="1:13" x14ac:dyDescent="0.35">
      <c r="A893" t="str">
        <f t="shared" si="46"/>
        <v>CAI_004572873264630100</v>
      </c>
      <c r="B893" t="s">
        <v>2337</v>
      </c>
      <c r="C893" s="1">
        <v>45728</v>
      </c>
      <c r="D893" t="str">
        <f>"732"</f>
        <v>732</v>
      </c>
      <c r="E893" t="str">
        <f>"64630100"</f>
        <v>64630100</v>
      </c>
      <c r="F893" t="s">
        <v>2462</v>
      </c>
      <c r="G893" t="s">
        <v>336</v>
      </c>
      <c r="H893" t="s">
        <v>5945</v>
      </c>
      <c r="I893">
        <v>0</v>
      </c>
      <c r="J893" t="s">
        <v>343</v>
      </c>
      <c r="K893">
        <v>13000</v>
      </c>
      <c r="M893">
        <v>13000</v>
      </c>
    </row>
    <row r="894" spans="1:13" x14ac:dyDescent="0.35">
      <c r="A894" t="str">
        <f t="shared" si="46"/>
        <v>CAI_004572873362420000</v>
      </c>
      <c r="B894" t="s">
        <v>2337</v>
      </c>
      <c r="C894" s="1">
        <v>45728</v>
      </c>
      <c r="D894" t="str">
        <f>"733"</f>
        <v>733</v>
      </c>
      <c r="E894" t="str">
        <f>"62420000"</f>
        <v>62420000</v>
      </c>
      <c r="F894" t="s">
        <v>2463</v>
      </c>
      <c r="G894" t="s">
        <v>336</v>
      </c>
      <c r="H894" t="s">
        <v>5875</v>
      </c>
      <c r="I894">
        <v>0</v>
      </c>
      <c r="J894" t="s">
        <v>343</v>
      </c>
      <c r="K894">
        <v>50000</v>
      </c>
      <c r="M894">
        <v>83000</v>
      </c>
    </row>
    <row r="895" spans="1:13" x14ac:dyDescent="0.35">
      <c r="A895" t="str">
        <f t="shared" si="46"/>
        <v>CAI_004572873362420000</v>
      </c>
      <c r="B895" t="s">
        <v>2337</v>
      </c>
      <c r="C895" s="1">
        <v>45728</v>
      </c>
      <c r="D895" t="str">
        <f>"733"</f>
        <v>733</v>
      </c>
      <c r="E895" t="str">
        <f>"62420000"</f>
        <v>62420000</v>
      </c>
      <c r="F895" t="s">
        <v>2463</v>
      </c>
      <c r="G895" t="s">
        <v>336</v>
      </c>
      <c r="H895" t="s">
        <v>5874</v>
      </c>
      <c r="I895">
        <v>0</v>
      </c>
      <c r="J895" t="s">
        <v>343</v>
      </c>
      <c r="K895">
        <v>13000</v>
      </c>
      <c r="M895">
        <v>83000</v>
      </c>
    </row>
    <row r="896" spans="1:13" x14ac:dyDescent="0.35">
      <c r="A896" t="str">
        <f t="shared" si="46"/>
        <v>CAI_004572873362420000</v>
      </c>
      <c r="B896" t="s">
        <v>2337</v>
      </c>
      <c r="C896" s="1">
        <v>45728</v>
      </c>
      <c r="D896" t="str">
        <f>"733"</f>
        <v>733</v>
      </c>
      <c r="E896" t="str">
        <f>"62420000"</f>
        <v>62420000</v>
      </c>
      <c r="F896" t="s">
        <v>2463</v>
      </c>
      <c r="G896" t="s">
        <v>336</v>
      </c>
      <c r="H896" t="s">
        <v>5946</v>
      </c>
      <c r="I896">
        <v>0</v>
      </c>
      <c r="J896" t="s">
        <v>343</v>
      </c>
      <c r="K896">
        <v>20000</v>
      </c>
      <c r="M896">
        <v>83000</v>
      </c>
    </row>
    <row r="897" spans="1:13" x14ac:dyDescent="0.35">
      <c r="A897" t="str">
        <f t="shared" si="46"/>
        <v>CAI_004572873562880000</v>
      </c>
      <c r="B897" t="s">
        <v>2337</v>
      </c>
      <c r="C897" s="1">
        <v>45728</v>
      </c>
      <c r="D897" t="str">
        <f>"735"</f>
        <v>735</v>
      </c>
      <c r="E897" t="str">
        <f>"62880000"</f>
        <v>62880000</v>
      </c>
      <c r="F897" t="s">
        <v>2465</v>
      </c>
      <c r="G897" t="s">
        <v>336</v>
      </c>
      <c r="H897" t="s">
        <v>5964</v>
      </c>
      <c r="I897">
        <v>0</v>
      </c>
      <c r="J897" t="s">
        <v>343</v>
      </c>
      <c r="K897">
        <v>20000</v>
      </c>
      <c r="M897">
        <v>20000</v>
      </c>
    </row>
    <row r="898" spans="1:13" x14ac:dyDescent="0.35">
      <c r="A898" t="str">
        <f t="shared" si="46"/>
        <v>CAI_004572873660420000</v>
      </c>
      <c r="B898" t="s">
        <v>2337</v>
      </c>
      <c r="C898" s="1">
        <v>45728</v>
      </c>
      <c r="D898" t="str">
        <f>"736"</f>
        <v>736</v>
      </c>
      <c r="E898" t="str">
        <f>"60420000"</f>
        <v>60420000</v>
      </c>
      <c r="F898" t="s">
        <v>2466</v>
      </c>
      <c r="G898" t="s">
        <v>336</v>
      </c>
      <c r="H898" t="s">
        <v>5873</v>
      </c>
      <c r="I898">
        <v>0</v>
      </c>
      <c r="J898" t="s">
        <v>343</v>
      </c>
      <c r="K898">
        <v>35000</v>
      </c>
      <c r="M898">
        <v>35000</v>
      </c>
    </row>
    <row r="899" spans="1:13" x14ac:dyDescent="0.35">
      <c r="A899" t="str">
        <f t="shared" ref="A899:A962" si="48">CONCATENATE(B899,C899,D899,E899)</f>
        <v>CAI_004572873761810100</v>
      </c>
      <c r="B899" t="s">
        <v>2337</v>
      </c>
      <c r="C899" s="1">
        <v>45728</v>
      </c>
      <c r="D899" t="str">
        <f>"737"</f>
        <v>737</v>
      </c>
      <c r="E899" t="str">
        <f>"61810100"</f>
        <v>61810100</v>
      </c>
      <c r="F899" t="s">
        <v>2467</v>
      </c>
      <c r="G899" t="s">
        <v>336</v>
      </c>
      <c r="H899" t="s">
        <v>5944</v>
      </c>
      <c r="I899">
        <v>0</v>
      </c>
      <c r="J899" t="s">
        <v>343</v>
      </c>
      <c r="K899">
        <v>170000</v>
      </c>
      <c r="M899">
        <v>170000</v>
      </c>
    </row>
    <row r="900" spans="1:13" x14ac:dyDescent="0.35">
      <c r="A900" t="str">
        <f t="shared" si="48"/>
        <v>CAI_004572873763830000</v>
      </c>
      <c r="B900" t="s">
        <v>2337</v>
      </c>
      <c r="C900" s="1">
        <v>45728</v>
      </c>
      <c r="D900" t="str">
        <f>"737"</f>
        <v>737</v>
      </c>
      <c r="E900" t="str">
        <f>"63830000"</f>
        <v>63830000</v>
      </c>
      <c r="F900" t="s">
        <v>2468</v>
      </c>
      <c r="G900" t="s">
        <v>336</v>
      </c>
      <c r="H900" t="s">
        <v>5932</v>
      </c>
      <c r="I900">
        <v>0</v>
      </c>
      <c r="J900" t="s">
        <v>343</v>
      </c>
      <c r="K900">
        <v>40000</v>
      </c>
      <c r="M900">
        <v>40000</v>
      </c>
    </row>
    <row r="901" spans="1:13" x14ac:dyDescent="0.35">
      <c r="A901" t="str">
        <f t="shared" si="48"/>
        <v>CAI_004572873763883000</v>
      </c>
      <c r="B901" t="s">
        <v>2337</v>
      </c>
      <c r="C901" s="1">
        <v>45728</v>
      </c>
      <c r="D901" t="str">
        <f>"737"</f>
        <v>737</v>
      </c>
      <c r="E901" t="str">
        <f>"63883000"</f>
        <v>63883000</v>
      </c>
      <c r="F901" t="s">
        <v>2469</v>
      </c>
      <c r="G901" t="s">
        <v>336</v>
      </c>
      <c r="H901" t="s">
        <v>5944</v>
      </c>
      <c r="I901">
        <v>0</v>
      </c>
      <c r="J901" t="s">
        <v>343</v>
      </c>
      <c r="K901">
        <v>34500</v>
      </c>
      <c r="M901">
        <v>34500</v>
      </c>
    </row>
    <row r="902" spans="1:13" x14ac:dyDescent="0.35">
      <c r="A902" t="str">
        <f t="shared" si="48"/>
        <v>CAI_004572873764630100</v>
      </c>
      <c r="B902" t="s">
        <v>2337</v>
      </c>
      <c r="C902" s="1">
        <v>45728</v>
      </c>
      <c r="D902" t="str">
        <f>"737"</f>
        <v>737</v>
      </c>
      <c r="E902" t="str">
        <f>"64630100"</f>
        <v>64630100</v>
      </c>
      <c r="F902" t="s">
        <v>2470</v>
      </c>
      <c r="G902" t="s">
        <v>336</v>
      </c>
      <c r="H902" t="s">
        <v>5944</v>
      </c>
      <c r="I902">
        <v>0</v>
      </c>
      <c r="J902" t="s">
        <v>343</v>
      </c>
      <c r="K902">
        <v>8500</v>
      </c>
      <c r="M902">
        <v>8500</v>
      </c>
    </row>
    <row r="903" spans="1:13" x14ac:dyDescent="0.35">
      <c r="A903" t="str">
        <f t="shared" si="48"/>
        <v>CAI_004572873863883000</v>
      </c>
      <c r="B903" t="s">
        <v>2337</v>
      </c>
      <c r="C903" s="1">
        <v>45728</v>
      </c>
      <c r="D903" t="str">
        <f>"738"</f>
        <v>738</v>
      </c>
      <c r="E903" t="str">
        <f>"63883000"</f>
        <v>63883000</v>
      </c>
      <c r="F903" t="s">
        <v>2472</v>
      </c>
      <c r="G903" t="s">
        <v>336</v>
      </c>
      <c r="H903" t="s">
        <v>5944</v>
      </c>
      <c r="I903">
        <v>0</v>
      </c>
      <c r="J903" t="s">
        <v>343</v>
      </c>
      <c r="K903">
        <v>2000</v>
      </c>
      <c r="M903">
        <v>2000</v>
      </c>
    </row>
    <row r="904" spans="1:13" x14ac:dyDescent="0.35">
      <c r="A904" t="str">
        <f t="shared" si="48"/>
        <v>CAI_004572873864630100</v>
      </c>
      <c r="B904" t="s">
        <v>2337</v>
      </c>
      <c r="C904" s="1">
        <v>45728</v>
      </c>
      <c r="D904" t="str">
        <f>"738"</f>
        <v>738</v>
      </c>
      <c r="E904" t="str">
        <f>"64630100"</f>
        <v>64630100</v>
      </c>
      <c r="F904" t="s">
        <v>2462</v>
      </c>
      <c r="G904" t="s">
        <v>336</v>
      </c>
      <c r="H904" t="s">
        <v>5944</v>
      </c>
      <c r="I904">
        <v>0</v>
      </c>
      <c r="J904" t="s">
        <v>343</v>
      </c>
      <c r="K904">
        <v>7500</v>
      </c>
      <c r="M904">
        <v>7500</v>
      </c>
    </row>
    <row r="905" spans="1:13" x14ac:dyDescent="0.35">
      <c r="A905" t="str">
        <f t="shared" si="48"/>
        <v>CAI_004572873961810100</v>
      </c>
      <c r="B905" t="s">
        <v>2337</v>
      </c>
      <c r="C905" s="1">
        <v>45728</v>
      </c>
      <c r="D905" t="str">
        <f>"739"</f>
        <v>739</v>
      </c>
      <c r="E905" t="str">
        <f>"61810100"</f>
        <v>61810100</v>
      </c>
      <c r="F905" t="s">
        <v>2474</v>
      </c>
      <c r="G905" t="s">
        <v>336</v>
      </c>
      <c r="H905" t="s">
        <v>5944</v>
      </c>
      <c r="I905">
        <v>0</v>
      </c>
      <c r="J905" t="s">
        <v>343</v>
      </c>
      <c r="K905">
        <v>25000</v>
      </c>
      <c r="M905">
        <v>25000</v>
      </c>
    </row>
    <row r="906" spans="1:13" x14ac:dyDescent="0.35">
      <c r="A906" t="str">
        <f t="shared" si="48"/>
        <v>CAI_004572873963883000</v>
      </c>
      <c r="B906" t="s">
        <v>2337</v>
      </c>
      <c r="C906" s="1">
        <v>45728</v>
      </c>
      <c r="D906" t="str">
        <f>"739"</f>
        <v>739</v>
      </c>
      <c r="E906" t="str">
        <f>"63883000"</f>
        <v>63883000</v>
      </c>
      <c r="F906" t="s">
        <v>2475</v>
      </c>
      <c r="G906" t="s">
        <v>336</v>
      </c>
      <c r="H906" t="s">
        <v>5944</v>
      </c>
      <c r="I906">
        <v>0</v>
      </c>
      <c r="J906" t="s">
        <v>343</v>
      </c>
      <c r="K906">
        <v>50000</v>
      </c>
      <c r="M906">
        <v>50000</v>
      </c>
    </row>
    <row r="907" spans="1:13" x14ac:dyDescent="0.35">
      <c r="A907" t="str">
        <f t="shared" si="48"/>
        <v>CAI_004572874061810100</v>
      </c>
      <c r="B907" t="s">
        <v>2337</v>
      </c>
      <c r="C907" s="1">
        <v>45728</v>
      </c>
      <c r="D907" t="str">
        <f>"740"</f>
        <v>740</v>
      </c>
      <c r="E907" t="str">
        <f>"61810100"</f>
        <v>61810100</v>
      </c>
      <c r="F907" t="s">
        <v>2476</v>
      </c>
      <c r="G907" t="s">
        <v>336</v>
      </c>
      <c r="H907" t="s">
        <v>5944</v>
      </c>
      <c r="I907">
        <v>0</v>
      </c>
      <c r="J907" t="s">
        <v>343</v>
      </c>
      <c r="K907">
        <v>70000</v>
      </c>
      <c r="M907">
        <v>70000</v>
      </c>
    </row>
    <row r="908" spans="1:13" x14ac:dyDescent="0.35">
      <c r="A908" t="str">
        <f t="shared" si="48"/>
        <v>CAI_004572874161830000</v>
      </c>
      <c r="B908" t="s">
        <v>2337</v>
      </c>
      <c r="C908" s="1">
        <v>45728</v>
      </c>
      <c r="D908" t="str">
        <f>"741"</f>
        <v>741</v>
      </c>
      <c r="E908" t="str">
        <f>"61830000"</f>
        <v>61830000</v>
      </c>
      <c r="F908" t="s">
        <v>2477</v>
      </c>
      <c r="G908" t="s">
        <v>336</v>
      </c>
      <c r="H908" t="s">
        <v>5932</v>
      </c>
      <c r="I908">
        <v>0</v>
      </c>
      <c r="J908" t="s">
        <v>343</v>
      </c>
      <c r="K908">
        <v>45000</v>
      </c>
      <c r="M908">
        <v>45000</v>
      </c>
    </row>
    <row r="909" spans="1:13" x14ac:dyDescent="0.35">
      <c r="A909" t="str">
        <f t="shared" si="48"/>
        <v>CAI_004572974260470100</v>
      </c>
      <c r="B909" t="s">
        <v>2337</v>
      </c>
      <c r="C909" s="1">
        <v>45729</v>
      </c>
      <c r="D909" t="str">
        <f>"742"</f>
        <v>742</v>
      </c>
      <c r="E909" t="str">
        <f>"60470100"</f>
        <v>60470100</v>
      </c>
      <c r="F909" t="s">
        <v>2478</v>
      </c>
      <c r="G909" t="s">
        <v>336</v>
      </c>
      <c r="H909" t="s">
        <v>348</v>
      </c>
      <c r="I909">
        <v>0</v>
      </c>
      <c r="J909" t="s">
        <v>343</v>
      </c>
      <c r="K909">
        <v>20000</v>
      </c>
      <c r="M909">
        <v>50000</v>
      </c>
    </row>
    <row r="910" spans="1:13" x14ac:dyDescent="0.35">
      <c r="A910" t="str">
        <f t="shared" si="48"/>
        <v>CAI_004572974260470100</v>
      </c>
      <c r="B910" t="s">
        <v>2337</v>
      </c>
      <c r="C910" s="1">
        <v>45729</v>
      </c>
      <c r="D910" t="str">
        <f>"742"</f>
        <v>742</v>
      </c>
      <c r="E910" t="str">
        <f>"60470100"</f>
        <v>60470100</v>
      </c>
      <c r="F910" t="s">
        <v>2478</v>
      </c>
      <c r="G910" t="s">
        <v>336</v>
      </c>
      <c r="H910" t="s">
        <v>5963</v>
      </c>
      <c r="I910">
        <v>0</v>
      </c>
      <c r="J910" t="s">
        <v>343</v>
      </c>
      <c r="K910">
        <v>30000</v>
      </c>
      <c r="M910">
        <v>50000</v>
      </c>
    </row>
    <row r="911" spans="1:13" x14ac:dyDescent="0.35">
      <c r="A911" t="str">
        <f t="shared" si="48"/>
        <v>CAI_004572974460440500</v>
      </c>
      <c r="B911" t="s">
        <v>2337</v>
      </c>
      <c r="C911" s="1">
        <v>45729</v>
      </c>
      <c r="D911" t="str">
        <f>"744"</f>
        <v>744</v>
      </c>
      <c r="E911" t="str">
        <f>"60440500"</f>
        <v>60440500</v>
      </c>
      <c r="F911" t="s">
        <v>2480</v>
      </c>
      <c r="G911" t="s">
        <v>336</v>
      </c>
      <c r="H911" t="s">
        <v>5905</v>
      </c>
      <c r="I911">
        <v>0</v>
      </c>
      <c r="J911" t="s">
        <v>343</v>
      </c>
      <c r="K911">
        <v>15000</v>
      </c>
      <c r="M911">
        <v>15000</v>
      </c>
    </row>
    <row r="912" spans="1:13" x14ac:dyDescent="0.35">
      <c r="A912" t="str">
        <f t="shared" si="48"/>
        <v>CAI_004572974561810100</v>
      </c>
      <c r="B912" t="s">
        <v>2337</v>
      </c>
      <c r="C912" s="1">
        <v>45729</v>
      </c>
      <c r="D912" t="str">
        <f>"745"</f>
        <v>745</v>
      </c>
      <c r="E912" t="str">
        <f>"61810100"</f>
        <v>61810100</v>
      </c>
      <c r="F912" t="s">
        <v>2482</v>
      </c>
      <c r="G912" t="s">
        <v>336</v>
      </c>
      <c r="H912" t="s">
        <v>5952</v>
      </c>
      <c r="I912">
        <v>0</v>
      </c>
      <c r="J912" t="s">
        <v>343</v>
      </c>
      <c r="K912">
        <v>43000</v>
      </c>
      <c r="M912">
        <v>43000</v>
      </c>
    </row>
    <row r="913" spans="1:13" x14ac:dyDescent="0.35">
      <c r="A913" t="str">
        <f t="shared" si="48"/>
        <v>CAI_004572974563883000</v>
      </c>
      <c r="B913" t="s">
        <v>2337</v>
      </c>
      <c r="C913" s="1">
        <v>45729</v>
      </c>
      <c r="D913" t="str">
        <f>"745"</f>
        <v>745</v>
      </c>
      <c r="E913" t="str">
        <f>"63883000"</f>
        <v>63883000</v>
      </c>
      <c r="F913" t="s">
        <v>2481</v>
      </c>
      <c r="G913" t="s">
        <v>336</v>
      </c>
      <c r="H913" t="s">
        <v>5952</v>
      </c>
      <c r="I913">
        <v>0</v>
      </c>
      <c r="J913" t="s">
        <v>343</v>
      </c>
      <c r="K913">
        <v>11500</v>
      </c>
      <c r="M913">
        <v>11500</v>
      </c>
    </row>
    <row r="914" spans="1:13" x14ac:dyDescent="0.35">
      <c r="A914" t="str">
        <f t="shared" si="48"/>
        <v>CAI_004572974661810100</v>
      </c>
      <c r="B914" t="s">
        <v>2337</v>
      </c>
      <c r="C914" s="1">
        <v>45729</v>
      </c>
      <c r="D914" t="str">
        <f>"746"</f>
        <v>746</v>
      </c>
      <c r="E914" t="str">
        <f>"61810100"</f>
        <v>61810100</v>
      </c>
      <c r="F914" t="s">
        <v>2484</v>
      </c>
      <c r="G914" t="s">
        <v>336</v>
      </c>
      <c r="H914" t="s">
        <v>5952</v>
      </c>
      <c r="I914">
        <v>0</v>
      </c>
      <c r="J914" t="s">
        <v>343</v>
      </c>
      <c r="K914">
        <v>79000</v>
      </c>
      <c r="M914">
        <v>79000</v>
      </c>
    </row>
    <row r="915" spans="1:13" x14ac:dyDescent="0.35">
      <c r="A915" t="str">
        <f t="shared" si="48"/>
        <v>CAI_004572974663883000</v>
      </c>
      <c r="B915" t="s">
        <v>2337</v>
      </c>
      <c r="C915" s="1">
        <v>45729</v>
      </c>
      <c r="D915" t="str">
        <f>"746"</f>
        <v>746</v>
      </c>
      <c r="E915" t="str">
        <f>"63883000"</f>
        <v>63883000</v>
      </c>
      <c r="F915" t="s">
        <v>2483</v>
      </c>
      <c r="G915" t="s">
        <v>336</v>
      </c>
      <c r="H915" t="s">
        <v>5952</v>
      </c>
      <c r="I915">
        <v>0</v>
      </c>
      <c r="J915" t="s">
        <v>343</v>
      </c>
      <c r="K915">
        <v>11000</v>
      </c>
      <c r="M915">
        <v>11000</v>
      </c>
    </row>
    <row r="916" spans="1:13" x14ac:dyDescent="0.35">
      <c r="A916" t="str">
        <f t="shared" si="48"/>
        <v>CAI_004572974664630100</v>
      </c>
      <c r="B916" t="s">
        <v>2337</v>
      </c>
      <c r="C916" s="1">
        <v>45729</v>
      </c>
      <c r="D916" t="str">
        <f>"746"</f>
        <v>746</v>
      </c>
      <c r="E916" t="str">
        <f>"64630100"</f>
        <v>64630100</v>
      </c>
      <c r="F916" t="s">
        <v>2485</v>
      </c>
      <c r="G916" t="s">
        <v>336</v>
      </c>
      <c r="H916" t="s">
        <v>5952</v>
      </c>
      <c r="I916">
        <v>0</v>
      </c>
      <c r="J916" t="s">
        <v>343</v>
      </c>
      <c r="K916">
        <v>10000</v>
      </c>
      <c r="M916">
        <v>10000</v>
      </c>
    </row>
    <row r="917" spans="1:13" x14ac:dyDescent="0.35">
      <c r="A917" t="str">
        <f t="shared" si="48"/>
        <v>CAI_004572974761830000</v>
      </c>
      <c r="B917" t="s">
        <v>2337</v>
      </c>
      <c r="C917" s="1">
        <v>45729</v>
      </c>
      <c r="D917" t="str">
        <f>"747"</f>
        <v>747</v>
      </c>
      <c r="E917" t="str">
        <f>"61830000"</f>
        <v>61830000</v>
      </c>
      <c r="F917" t="s">
        <v>2486</v>
      </c>
      <c r="G917" t="s">
        <v>336</v>
      </c>
      <c r="H917" t="s">
        <v>5882</v>
      </c>
      <c r="I917">
        <v>0</v>
      </c>
      <c r="J917" t="s">
        <v>343</v>
      </c>
      <c r="K917">
        <v>35000</v>
      </c>
      <c r="M917">
        <v>35000</v>
      </c>
    </row>
    <row r="918" spans="1:13" x14ac:dyDescent="0.35">
      <c r="A918" t="str">
        <f t="shared" si="48"/>
        <v>CAI_004572974963830000</v>
      </c>
      <c r="B918" t="s">
        <v>2337</v>
      </c>
      <c r="C918" s="1">
        <v>45729</v>
      </c>
      <c r="D918" t="str">
        <f>"749"</f>
        <v>749</v>
      </c>
      <c r="E918" t="str">
        <f>"63830000"</f>
        <v>63830000</v>
      </c>
      <c r="F918" t="s">
        <v>2488</v>
      </c>
      <c r="G918" t="s">
        <v>336</v>
      </c>
      <c r="H918" t="s">
        <v>5931</v>
      </c>
      <c r="I918">
        <v>0</v>
      </c>
      <c r="J918" t="s">
        <v>343</v>
      </c>
      <c r="K918">
        <v>25000</v>
      </c>
      <c r="M918">
        <v>25000</v>
      </c>
    </row>
    <row r="919" spans="1:13" x14ac:dyDescent="0.35">
      <c r="A919" t="str">
        <f t="shared" si="48"/>
        <v>CAI_004572975362720000</v>
      </c>
      <c r="B919" t="s">
        <v>2337</v>
      </c>
      <c r="C919" s="1">
        <v>45729</v>
      </c>
      <c r="D919" t="str">
        <f>"753"</f>
        <v>753</v>
      </c>
      <c r="E919" t="str">
        <f>"62720000"</f>
        <v>62720000</v>
      </c>
      <c r="F919" t="s">
        <v>2492</v>
      </c>
      <c r="G919" t="s">
        <v>336</v>
      </c>
      <c r="H919" t="s">
        <v>348</v>
      </c>
      <c r="I919">
        <v>0</v>
      </c>
      <c r="J919" t="s">
        <v>343</v>
      </c>
      <c r="K919">
        <v>1900</v>
      </c>
      <c r="M919">
        <v>1900</v>
      </c>
    </row>
    <row r="920" spans="1:13" x14ac:dyDescent="0.35">
      <c r="A920" t="str">
        <f t="shared" si="48"/>
        <v>CAI_004572975461830000</v>
      </c>
      <c r="B920" t="s">
        <v>2337</v>
      </c>
      <c r="C920" s="1">
        <v>45729</v>
      </c>
      <c r="D920" t="str">
        <f>"754"</f>
        <v>754</v>
      </c>
      <c r="E920" t="str">
        <f>"61830000"</f>
        <v>61830000</v>
      </c>
      <c r="F920" t="s">
        <v>2494</v>
      </c>
      <c r="G920" t="s">
        <v>336</v>
      </c>
      <c r="H920" t="s">
        <v>5932</v>
      </c>
      <c r="I920">
        <v>0</v>
      </c>
      <c r="J920" t="s">
        <v>343</v>
      </c>
      <c r="K920">
        <v>45000</v>
      </c>
      <c r="M920">
        <v>45000</v>
      </c>
    </row>
    <row r="921" spans="1:13" x14ac:dyDescent="0.35">
      <c r="A921" t="str">
        <f t="shared" si="48"/>
        <v>CAI_004572975462480000</v>
      </c>
      <c r="B921" t="s">
        <v>2337</v>
      </c>
      <c r="C921" s="1">
        <v>45729</v>
      </c>
      <c r="D921" t="str">
        <f>"754"</f>
        <v>754</v>
      </c>
      <c r="E921" t="str">
        <f>"62480000"</f>
        <v>62480000</v>
      </c>
      <c r="F921" t="s">
        <v>2495</v>
      </c>
      <c r="G921" t="s">
        <v>336</v>
      </c>
      <c r="H921" t="s">
        <v>5928</v>
      </c>
      <c r="I921">
        <v>0</v>
      </c>
      <c r="J921" t="s">
        <v>343</v>
      </c>
      <c r="K921">
        <v>10000</v>
      </c>
      <c r="M921">
        <v>10000</v>
      </c>
    </row>
    <row r="922" spans="1:13" x14ac:dyDescent="0.35">
      <c r="A922" t="str">
        <f t="shared" si="48"/>
        <v>CAI_004572975562410000</v>
      </c>
      <c r="B922" t="s">
        <v>2337</v>
      </c>
      <c r="C922" s="1">
        <v>45729</v>
      </c>
      <c r="D922" t="str">
        <f>"755"</f>
        <v>755</v>
      </c>
      <c r="E922" t="str">
        <f>"62410000"</f>
        <v>62410000</v>
      </c>
      <c r="F922" t="s">
        <v>2496</v>
      </c>
      <c r="G922" t="s">
        <v>336</v>
      </c>
      <c r="H922" t="s">
        <v>5905</v>
      </c>
      <c r="I922">
        <v>0</v>
      </c>
      <c r="J922" t="s">
        <v>343</v>
      </c>
      <c r="K922">
        <v>2000</v>
      </c>
      <c r="M922">
        <v>2000</v>
      </c>
    </row>
    <row r="923" spans="1:13" x14ac:dyDescent="0.35">
      <c r="A923" t="str">
        <f t="shared" si="48"/>
        <v>CAI_004573075661830000</v>
      </c>
      <c r="B923" t="s">
        <v>2337</v>
      </c>
      <c r="C923" s="1">
        <v>45730</v>
      </c>
      <c r="D923" t="str">
        <f>"756"</f>
        <v>756</v>
      </c>
      <c r="E923" t="str">
        <f>"61830000"</f>
        <v>61830000</v>
      </c>
      <c r="F923" t="s">
        <v>2497</v>
      </c>
      <c r="G923" t="s">
        <v>336</v>
      </c>
      <c r="H923" t="s">
        <v>5938</v>
      </c>
      <c r="I923">
        <v>0</v>
      </c>
      <c r="J923" t="s">
        <v>343</v>
      </c>
      <c r="K923">
        <v>15000</v>
      </c>
      <c r="M923">
        <v>15000</v>
      </c>
    </row>
    <row r="924" spans="1:13" x14ac:dyDescent="0.35">
      <c r="A924" t="str">
        <f t="shared" si="48"/>
        <v>CAI_004573075761830000</v>
      </c>
      <c r="B924" t="s">
        <v>2337</v>
      </c>
      <c r="C924" s="1">
        <v>45730</v>
      </c>
      <c r="D924" t="str">
        <f>"757"</f>
        <v>757</v>
      </c>
      <c r="E924" t="str">
        <f>"61830000"</f>
        <v>61830000</v>
      </c>
      <c r="F924" t="s">
        <v>2498</v>
      </c>
      <c r="G924" t="s">
        <v>336</v>
      </c>
      <c r="H924" t="s">
        <v>5938</v>
      </c>
      <c r="I924">
        <v>0</v>
      </c>
      <c r="J924" t="s">
        <v>343</v>
      </c>
      <c r="K924">
        <v>10000</v>
      </c>
      <c r="M924">
        <v>10000</v>
      </c>
    </row>
    <row r="925" spans="1:13" x14ac:dyDescent="0.35">
      <c r="A925" t="str">
        <f t="shared" si="48"/>
        <v>CAI_004573075863830000</v>
      </c>
      <c r="B925" t="s">
        <v>2337</v>
      </c>
      <c r="C925" s="1">
        <v>45730</v>
      </c>
      <c r="D925" t="str">
        <f>"758"</f>
        <v>758</v>
      </c>
      <c r="E925" t="str">
        <f>"63830000"</f>
        <v>63830000</v>
      </c>
      <c r="F925" t="s">
        <v>2499</v>
      </c>
      <c r="G925" t="s">
        <v>336</v>
      </c>
      <c r="H925" t="s">
        <v>348</v>
      </c>
      <c r="I925">
        <v>0</v>
      </c>
      <c r="J925" t="s">
        <v>343</v>
      </c>
      <c r="K925">
        <v>20000</v>
      </c>
      <c r="M925">
        <v>20000</v>
      </c>
    </row>
    <row r="926" spans="1:13" x14ac:dyDescent="0.35">
      <c r="A926" t="str">
        <f t="shared" si="48"/>
        <v>CAI_004573075961830000</v>
      </c>
      <c r="B926" t="s">
        <v>2337</v>
      </c>
      <c r="C926" s="1">
        <v>45730</v>
      </c>
      <c r="D926" t="str">
        <f>"759"</f>
        <v>759</v>
      </c>
      <c r="E926" t="str">
        <f>"61830000"</f>
        <v>61830000</v>
      </c>
      <c r="F926" t="s">
        <v>2500</v>
      </c>
      <c r="G926" t="s">
        <v>336</v>
      </c>
      <c r="H926" t="s">
        <v>5938</v>
      </c>
      <c r="I926">
        <v>0</v>
      </c>
      <c r="J926" t="s">
        <v>343</v>
      </c>
      <c r="K926">
        <v>10000</v>
      </c>
      <c r="M926">
        <v>10000</v>
      </c>
    </row>
    <row r="927" spans="1:13" x14ac:dyDescent="0.35">
      <c r="A927" t="str">
        <f t="shared" si="48"/>
        <v>CAI_004573076062411000</v>
      </c>
      <c r="B927" t="s">
        <v>2337</v>
      </c>
      <c r="C927" s="1">
        <v>45730</v>
      </c>
      <c r="D927" t="str">
        <f>"760"</f>
        <v>760</v>
      </c>
      <c r="E927" t="str">
        <f>"62411000"</f>
        <v>62411000</v>
      </c>
      <c r="F927" t="s">
        <v>2501</v>
      </c>
      <c r="G927" t="s">
        <v>336</v>
      </c>
      <c r="H927" t="s">
        <v>5905</v>
      </c>
      <c r="I927">
        <v>0</v>
      </c>
      <c r="J927" t="s">
        <v>343</v>
      </c>
      <c r="K927">
        <v>140000</v>
      </c>
      <c r="M927">
        <v>140000</v>
      </c>
    </row>
    <row r="928" spans="1:13" x14ac:dyDescent="0.35">
      <c r="A928" t="str">
        <f t="shared" si="48"/>
        <v>CAI_004573076161830000</v>
      </c>
      <c r="B928" t="s">
        <v>2337</v>
      </c>
      <c r="C928" s="1">
        <v>45730</v>
      </c>
      <c r="D928" t="str">
        <f>"761"</f>
        <v>761</v>
      </c>
      <c r="E928" t="str">
        <f>"61830000"</f>
        <v>61830000</v>
      </c>
      <c r="F928" t="s">
        <v>2502</v>
      </c>
      <c r="G928" t="s">
        <v>336</v>
      </c>
      <c r="H928" t="s">
        <v>5948</v>
      </c>
      <c r="I928">
        <v>0</v>
      </c>
      <c r="J928" t="s">
        <v>343</v>
      </c>
      <c r="K928">
        <v>15000</v>
      </c>
      <c r="M928">
        <v>15000</v>
      </c>
    </row>
    <row r="929" spans="1:13" x14ac:dyDescent="0.35">
      <c r="A929" t="str">
        <f t="shared" si="48"/>
        <v>CAI_004573076264630100</v>
      </c>
      <c r="B929" t="s">
        <v>2337</v>
      </c>
      <c r="C929" s="1">
        <v>45730</v>
      </c>
      <c r="D929" t="str">
        <f t="shared" ref="D929:D939" si="49">"762"</f>
        <v>762</v>
      </c>
      <c r="E929" t="str">
        <f>"64630100"</f>
        <v>64630100</v>
      </c>
      <c r="F929" t="s">
        <v>2503</v>
      </c>
      <c r="G929" t="s">
        <v>336</v>
      </c>
      <c r="H929" t="s">
        <v>5894</v>
      </c>
      <c r="I929">
        <v>0</v>
      </c>
      <c r="J929" t="s">
        <v>343</v>
      </c>
      <c r="K929">
        <v>35100</v>
      </c>
      <c r="M929">
        <v>143300</v>
      </c>
    </row>
    <row r="930" spans="1:13" x14ac:dyDescent="0.35">
      <c r="A930" t="str">
        <f t="shared" si="48"/>
        <v>CAI_004573076264630100</v>
      </c>
      <c r="B930" t="s">
        <v>2337</v>
      </c>
      <c r="C930" s="1">
        <v>45730</v>
      </c>
      <c r="D930" t="str">
        <f t="shared" si="49"/>
        <v>762</v>
      </c>
      <c r="E930" t="str">
        <f>"64630100"</f>
        <v>64630100</v>
      </c>
      <c r="F930" t="s">
        <v>2503</v>
      </c>
      <c r="G930" t="s">
        <v>336</v>
      </c>
      <c r="H930" t="s">
        <v>5896</v>
      </c>
      <c r="I930">
        <v>0</v>
      </c>
      <c r="J930" t="s">
        <v>343</v>
      </c>
      <c r="K930">
        <v>108200</v>
      </c>
      <c r="M930">
        <v>143300</v>
      </c>
    </row>
    <row r="931" spans="1:13" x14ac:dyDescent="0.35">
      <c r="A931" t="str">
        <f t="shared" si="48"/>
        <v>CAI_004573076264630100</v>
      </c>
      <c r="B931" t="s">
        <v>2337</v>
      </c>
      <c r="C931" s="1">
        <v>45730</v>
      </c>
      <c r="D931" t="str">
        <f t="shared" si="49"/>
        <v>762</v>
      </c>
      <c r="E931" t="str">
        <f>"64630100"</f>
        <v>64630100</v>
      </c>
      <c r="F931" t="s">
        <v>2504</v>
      </c>
      <c r="G931" t="s">
        <v>336</v>
      </c>
      <c r="H931" t="s">
        <v>5896</v>
      </c>
      <c r="I931">
        <v>0</v>
      </c>
      <c r="J931" t="s">
        <v>343</v>
      </c>
      <c r="K931">
        <v>2000</v>
      </c>
      <c r="M931">
        <v>2000</v>
      </c>
    </row>
    <row r="932" spans="1:13" x14ac:dyDescent="0.35">
      <c r="A932" t="str">
        <f t="shared" si="48"/>
        <v>CAI_004573076264630100</v>
      </c>
      <c r="B932" t="s">
        <v>2337</v>
      </c>
      <c r="C932" s="1">
        <v>45730</v>
      </c>
      <c r="D932" t="str">
        <f t="shared" si="49"/>
        <v>762</v>
      </c>
      <c r="E932" t="str">
        <f>"64630100"</f>
        <v>64630100</v>
      </c>
      <c r="F932" t="s">
        <v>2505</v>
      </c>
      <c r="G932" t="s">
        <v>336</v>
      </c>
      <c r="H932" t="s">
        <v>5900</v>
      </c>
      <c r="I932">
        <v>0</v>
      </c>
      <c r="J932" t="s">
        <v>343</v>
      </c>
      <c r="K932">
        <v>15000</v>
      </c>
      <c r="M932">
        <v>15000</v>
      </c>
    </row>
    <row r="933" spans="1:13" x14ac:dyDescent="0.35">
      <c r="A933" t="str">
        <f t="shared" si="48"/>
        <v>CAI_004573076264685000</v>
      </c>
      <c r="B933" t="s">
        <v>2337</v>
      </c>
      <c r="C933" s="1">
        <v>45730</v>
      </c>
      <c r="D933" t="str">
        <f t="shared" si="49"/>
        <v>762</v>
      </c>
      <c r="E933" t="str">
        <f t="shared" ref="E933:E939" si="50">"64685000"</f>
        <v>64685000</v>
      </c>
      <c r="F933" t="s">
        <v>2506</v>
      </c>
      <c r="G933" t="s">
        <v>336</v>
      </c>
      <c r="H933" t="s">
        <v>5882</v>
      </c>
      <c r="I933">
        <v>0</v>
      </c>
      <c r="J933" t="s">
        <v>343</v>
      </c>
      <c r="K933">
        <v>5000</v>
      </c>
      <c r="M933">
        <v>130000</v>
      </c>
    </row>
    <row r="934" spans="1:13" x14ac:dyDescent="0.35">
      <c r="A934" t="str">
        <f t="shared" si="48"/>
        <v>CAI_004573076264685000</v>
      </c>
      <c r="B934" t="s">
        <v>2337</v>
      </c>
      <c r="C934" s="1">
        <v>45730</v>
      </c>
      <c r="D934" t="str">
        <f t="shared" si="49"/>
        <v>762</v>
      </c>
      <c r="E934" t="str">
        <f t="shared" si="50"/>
        <v>64685000</v>
      </c>
      <c r="F934" t="s">
        <v>2506</v>
      </c>
      <c r="G934" t="s">
        <v>336</v>
      </c>
      <c r="H934" t="s">
        <v>5942</v>
      </c>
      <c r="I934">
        <v>0</v>
      </c>
      <c r="J934" t="s">
        <v>343</v>
      </c>
      <c r="K934">
        <v>35000</v>
      </c>
      <c r="M934">
        <v>130000</v>
      </c>
    </row>
    <row r="935" spans="1:13" x14ac:dyDescent="0.35">
      <c r="A935" t="str">
        <f t="shared" si="48"/>
        <v>CAI_004573076264685000</v>
      </c>
      <c r="B935" t="s">
        <v>2337</v>
      </c>
      <c r="C935" s="1">
        <v>45730</v>
      </c>
      <c r="D935" t="str">
        <f t="shared" si="49"/>
        <v>762</v>
      </c>
      <c r="E935" t="str">
        <f t="shared" si="50"/>
        <v>64685000</v>
      </c>
      <c r="F935" t="s">
        <v>2506</v>
      </c>
      <c r="G935" t="s">
        <v>336</v>
      </c>
      <c r="H935" t="s">
        <v>5940</v>
      </c>
      <c r="I935">
        <v>0</v>
      </c>
      <c r="J935" t="s">
        <v>343</v>
      </c>
      <c r="K935">
        <v>2000</v>
      </c>
      <c r="M935">
        <v>130000</v>
      </c>
    </row>
    <row r="936" spans="1:13" x14ac:dyDescent="0.35">
      <c r="A936" t="str">
        <f t="shared" si="48"/>
        <v>CAI_004573076264685000</v>
      </c>
      <c r="B936" t="s">
        <v>2337</v>
      </c>
      <c r="C936" s="1">
        <v>45730</v>
      </c>
      <c r="D936" t="str">
        <f t="shared" si="49"/>
        <v>762</v>
      </c>
      <c r="E936" t="str">
        <f t="shared" si="50"/>
        <v>64685000</v>
      </c>
      <c r="F936" t="s">
        <v>2506</v>
      </c>
      <c r="G936" t="s">
        <v>336</v>
      </c>
      <c r="H936" t="s">
        <v>5884</v>
      </c>
      <c r="I936">
        <v>0</v>
      </c>
      <c r="J936" t="s">
        <v>343</v>
      </c>
      <c r="K936">
        <v>8000</v>
      </c>
      <c r="M936">
        <v>130000</v>
      </c>
    </row>
    <row r="937" spans="1:13" x14ac:dyDescent="0.35">
      <c r="A937" t="str">
        <f t="shared" si="48"/>
        <v>CAI_004573076264685000</v>
      </c>
      <c r="B937" t="s">
        <v>2337</v>
      </c>
      <c r="C937" s="1">
        <v>45730</v>
      </c>
      <c r="D937" t="str">
        <f t="shared" si="49"/>
        <v>762</v>
      </c>
      <c r="E937" t="str">
        <f t="shared" si="50"/>
        <v>64685000</v>
      </c>
      <c r="F937" t="s">
        <v>2506</v>
      </c>
      <c r="G937" t="s">
        <v>336</v>
      </c>
      <c r="H937" t="s">
        <v>5932</v>
      </c>
      <c r="I937">
        <v>0</v>
      </c>
      <c r="J937" t="s">
        <v>343</v>
      </c>
      <c r="K937">
        <v>35000</v>
      </c>
      <c r="M937">
        <v>130000</v>
      </c>
    </row>
    <row r="938" spans="1:13" x14ac:dyDescent="0.35">
      <c r="A938" t="str">
        <f t="shared" si="48"/>
        <v>CAI_004573076264685000</v>
      </c>
      <c r="B938" t="s">
        <v>2337</v>
      </c>
      <c r="C938" s="1">
        <v>45730</v>
      </c>
      <c r="D938" t="str">
        <f t="shared" si="49"/>
        <v>762</v>
      </c>
      <c r="E938" t="str">
        <f t="shared" si="50"/>
        <v>64685000</v>
      </c>
      <c r="F938" t="s">
        <v>2506</v>
      </c>
      <c r="G938" t="s">
        <v>336</v>
      </c>
      <c r="H938" t="s">
        <v>5942</v>
      </c>
      <c r="I938">
        <v>0</v>
      </c>
      <c r="J938" t="s">
        <v>343</v>
      </c>
      <c r="K938">
        <v>35000</v>
      </c>
      <c r="M938">
        <v>130000</v>
      </c>
    </row>
    <row r="939" spans="1:13" x14ac:dyDescent="0.35">
      <c r="A939" t="str">
        <f t="shared" si="48"/>
        <v>CAI_004573076264685000</v>
      </c>
      <c r="B939" t="s">
        <v>2337</v>
      </c>
      <c r="C939" s="1">
        <v>45730</v>
      </c>
      <c r="D939" t="str">
        <f t="shared" si="49"/>
        <v>762</v>
      </c>
      <c r="E939" t="str">
        <f t="shared" si="50"/>
        <v>64685000</v>
      </c>
      <c r="F939" t="s">
        <v>2506</v>
      </c>
      <c r="G939" t="s">
        <v>336</v>
      </c>
      <c r="H939" t="s">
        <v>5884</v>
      </c>
      <c r="I939">
        <v>0</v>
      </c>
      <c r="J939" t="s">
        <v>343</v>
      </c>
      <c r="K939">
        <v>10000</v>
      </c>
      <c r="M939">
        <v>130000</v>
      </c>
    </row>
    <row r="940" spans="1:13" x14ac:dyDescent="0.35">
      <c r="A940" t="str">
        <f t="shared" si="48"/>
        <v>CAI_004573076362411000</v>
      </c>
      <c r="B940" t="s">
        <v>2337</v>
      </c>
      <c r="C940" s="1">
        <v>45730</v>
      </c>
      <c r="D940" t="str">
        <f>"763"</f>
        <v>763</v>
      </c>
      <c r="E940" t="str">
        <f>"62411000"</f>
        <v>62411000</v>
      </c>
      <c r="F940" t="s">
        <v>2507</v>
      </c>
      <c r="G940" t="s">
        <v>336</v>
      </c>
      <c r="H940" t="s">
        <v>5928</v>
      </c>
      <c r="I940">
        <v>0</v>
      </c>
      <c r="J940" t="s">
        <v>343</v>
      </c>
      <c r="K940">
        <v>8000</v>
      </c>
      <c r="M940">
        <v>8000</v>
      </c>
    </row>
    <row r="941" spans="1:13" x14ac:dyDescent="0.35">
      <c r="A941" t="str">
        <f t="shared" si="48"/>
        <v>CAI_004573076661810100</v>
      </c>
      <c r="B941" t="s">
        <v>2337</v>
      </c>
      <c r="C941" s="1">
        <v>45730</v>
      </c>
      <c r="D941" t="str">
        <f>"766"</f>
        <v>766</v>
      </c>
      <c r="E941" t="str">
        <f>"61810100"</f>
        <v>61810100</v>
      </c>
      <c r="F941" t="s">
        <v>2511</v>
      </c>
      <c r="G941" t="s">
        <v>336</v>
      </c>
      <c r="H941" t="s">
        <v>5965</v>
      </c>
      <c r="I941">
        <v>0</v>
      </c>
      <c r="J941" t="s">
        <v>343</v>
      </c>
      <c r="K941">
        <v>220000</v>
      </c>
      <c r="M941">
        <v>220000</v>
      </c>
    </row>
    <row r="942" spans="1:13" x14ac:dyDescent="0.35">
      <c r="A942" t="str">
        <f t="shared" si="48"/>
        <v>CAI_004573076663883000</v>
      </c>
      <c r="B942" t="s">
        <v>2337</v>
      </c>
      <c r="C942" s="1">
        <v>45730</v>
      </c>
      <c r="D942" t="str">
        <f>"766"</f>
        <v>766</v>
      </c>
      <c r="E942" t="str">
        <f>"63883000"</f>
        <v>63883000</v>
      </c>
      <c r="F942" t="s">
        <v>2512</v>
      </c>
      <c r="G942" t="s">
        <v>336</v>
      </c>
      <c r="H942" t="s">
        <v>5965</v>
      </c>
      <c r="I942">
        <v>0</v>
      </c>
      <c r="J942" t="s">
        <v>343</v>
      </c>
      <c r="K942">
        <v>167000</v>
      </c>
      <c r="M942">
        <v>167000</v>
      </c>
    </row>
    <row r="943" spans="1:13" x14ac:dyDescent="0.35">
      <c r="A943" t="str">
        <f t="shared" si="48"/>
        <v>CAI_004573376761830000</v>
      </c>
      <c r="B943" t="s">
        <v>2337</v>
      </c>
      <c r="C943" s="1">
        <v>45733</v>
      </c>
      <c r="D943" t="str">
        <f>"767"</f>
        <v>767</v>
      </c>
      <c r="E943" t="str">
        <f>"61830000"</f>
        <v>61830000</v>
      </c>
      <c r="F943" t="s">
        <v>2513</v>
      </c>
      <c r="G943" t="s">
        <v>336</v>
      </c>
      <c r="H943" t="s">
        <v>5942</v>
      </c>
      <c r="I943">
        <v>0</v>
      </c>
      <c r="J943" t="s">
        <v>343</v>
      </c>
      <c r="K943">
        <v>150000</v>
      </c>
      <c r="M943">
        <v>150000</v>
      </c>
    </row>
    <row r="944" spans="1:13" x14ac:dyDescent="0.35">
      <c r="A944" t="str">
        <f t="shared" si="48"/>
        <v>CAI_004573376861830000</v>
      </c>
      <c r="B944" t="s">
        <v>2337</v>
      </c>
      <c r="C944" s="1">
        <v>45733</v>
      </c>
      <c r="D944" t="str">
        <f>"768"</f>
        <v>768</v>
      </c>
      <c r="E944" t="str">
        <f>"61830000"</f>
        <v>61830000</v>
      </c>
      <c r="F944" t="s">
        <v>2514</v>
      </c>
      <c r="G944" t="s">
        <v>336</v>
      </c>
      <c r="H944" t="s">
        <v>5928</v>
      </c>
      <c r="I944">
        <v>0</v>
      </c>
      <c r="J944" t="s">
        <v>343</v>
      </c>
      <c r="K944">
        <v>44000</v>
      </c>
      <c r="M944">
        <v>89000</v>
      </c>
    </row>
    <row r="945" spans="1:13" x14ac:dyDescent="0.35">
      <c r="A945" t="str">
        <f t="shared" si="48"/>
        <v>CAI_004573376861830000</v>
      </c>
      <c r="B945" t="s">
        <v>2337</v>
      </c>
      <c r="C945" s="1">
        <v>45733</v>
      </c>
      <c r="D945" t="str">
        <f>"768"</f>
        <v>768</v>
      </c>
      <c r="E945" t="str">
        <f>"61830000"</f>
        <v>61830000</v>
      </c>
      <c r="F945" t="s">
        <v>2514</v>
      </c>
      <c r="G945" t="s">
        <v>336</v>
      </c>
      <c r="H945" t="s">
        <v>5873</v>
      </c>
      <c r="I945">
        <v>0</v>
      </c>
      <c r="J945" t="s">
        <v>343</v>
      </c>
      <c r="K945">
        <v>45000</v>
      </c>
      <c r="M945">
        <v>89000</v>
      </c>
    </row>
    <row r="946" spans="1:13" x14ac:dyDescent="0.35">
      <c r="A946" t="str">
        <f t="shared" si="48"/>
        <v>CAI_004573376961830000</v>
      </c>
      <c r="B946" t="s">
        <v>2337</v>
      </c>
      <c r="C946" s="1">
        <v>45733</v>
      </c>
      <c r="D946" t="str">
        <f>"769"</f>
        <v>769</v>
      </c>
      <c r="E946" t="str">
        <f>"61830000"</f>
        <v>61830000</v>
      </c>
      <c r="F946" t="s">
        <v>2515</v>
      </c>
      <c r="G946" t="s">
        <v>336</v>
      </c>
      <c r="H946" t="s">
        <v>5940</v>
      </c>
      <c r="I946">
        <v>0</v>
      </c>
      <c r="J946" t="s">
        <v>343</v>
      </c>
      <c r="K946">
        <v>30000</v>
      </c>
      <c r="M946">
        <v>56000</v>
      </c>
    </row>
    <row r="947" spans="1:13" x14ac:dyDescent="0.35">
      <c r="A947" t="str">
        <f t="shared" si="48"/>
        <v>CAI_004573376961830000</v>
      </c>
      <c r="B947" t="s">
        <v>2337</v>
      </c>
      <c r="C947" s="1">
        <v>45733</v>
      </c>
      <c r="D947" t="str">
        <f>"769"</f>
        <v>769</v>
      </c>
      <c r="E947" t="str">
        <f>"61830000"</f>
        <v>61830000</v>
      </c>
      <c r="F947" t="s">
        <v>2515</v>
      </c>
      <c r="G947" t="s">
        <v>336</v>
      </c>
      <c r="H947" t="s">
        <v>5873</v>
      </c>
      <c r="I947">
        <v>0</v>
      </c>
      <c r="J947" t="s">
        <v>343</v>
      </c>
      <c r="K947">
        <v>26000</v>
      </c>
      <c r="M947">
        <v>56000</v>
      </c>
    </row>
    <row r="948" spans="1:13" x14ac:dyDescent="0.35">
      <c r="A948" t="str">
        <f t="shared" si="48"/>
        <v>CAI_004573377062420000</v>
      </c>
      <c r="B948" t="s">
        <v>2337</v>
      </c>
      <c r="C948" s="1">
        <v>45733</v>
      </c>
      <c r="D948" t="str">
        <f>"770"</f>
        <v>770</v>
      </c>
      <c r="E948" t="str">
        <f>"62420000"</f>
        <v>62420000</v>
      </c>
      <c r="F948" t="s">
        <v>2516</v>
      </c>
      <c r="G948" t="s">
        <v>336</v>
      </c>
      <c r="H948" t="s">
        <v>5881</v>
      </c>
      <c r="I948">
        <v>0</v>
      </c>
      <c r="J948" t="s">
        <v>343</v>
      </c>
      <c r="K948">
        <v>10000</v>
      </c>
      <c r="M948">
        <v>50000</v>
      </c>
    </row>
    <row r="949" spans="1:13" x14ac:dyDescent="0.35">
      <c r="A949" t="str">
        <f t="shared" si="48"/>
        <v>CAI_004573377062420000</v>
      </c>
      <c r="B949" t="s">
        <v>2337</v>
      </c>
      <c r="C949" s="1">
        <v>45733</v>
      </c>
      <c r="D949" t="str">
        <f>"770"</f>
        <v>770</v>
      </c>
      <c r="E949" t="str">
        <f>"62420000"</f>
        <v>62420000</v>
      </c>
      <c r="F949" t="s">
        <v>2516</v>
      </c>
      <c r="G949" t="s">
        <v>336</v>
      </c>
      <c r="H949" t="s">
        <v>5875</v>
      </c>
      <c r="I949">
        <v>0</v>
      </c>
      <c r="J949" t="s">
        <v>343</v>
      </c>
      <c r="K949">
        <v>40000</v>
      </c>
      <c r="M949">
        <v>50000</v>
      </c>
    </row>
    <row r="950" spans="1:13" x14ac:dyDescent="0.35">
      <c r="A950" t="str">
        <f t="shared" si="48"/>
        <v>CAI_004573377161830000</v>
      </c>
      <c r="B950" t="s">
        <v>2337</v>
      </c>
      <c r="C950" s="1">
        <v>45733</v>
      </c>
      <c r="D950" t="str">
        <f>"771"</f>
        <v>771</v>
      </c>
      <c r="E950" t="str">
        <f>"61830000"</f>
        <v>61830000</v>
      </c>
      <c r="F950" t="s">
        <v>2517</v>
      </c>
      <c r="G950" t="s">
        <v>336</v>
      </c>
      <c r="H950" t="s">
        <v>5873</v>
      </c>
      <c r="I950">
        <v>0</v>
      </c>
      <c r="J950" t="s">
        <v>343</v>
      </c>
      <c r="K950">
        <v>162000</v>
      </c>
      <c r="M950">
        <v>162000</v>
      </c>
    </row>
    <row r="951" spans="1:13" x14ac:dyDescent="0.35">
      <c r="A951" t="str">
        <f t="shared" si="48"/>
        <v>CAI_004573377261830000</v>
      </c>
      <c r="B951" t="s">
        <v>2337</v>
      </c>
      <c r="C951" s="1">
        <v>45733</v>
      </c>
      <c r="D951" t="str">
        <f>"772"</f>
        <v>772</v>
      </c>
      <c r="E951" t="str">
        <f>"61830000"</f>
        <v>61830000</v>
      </c>
      <c r="F951" t="s">
        <v>2518</v>
      </c>
      <c r="G951" t="s">
        <v>336</v>
      </c>
      <c r="H951" t="s">
        <v>5948</v>
      </c>
      <c r="I951">
        <v>0</v>
      </c>
      <c r="J951" t="s">
        <v>343</v>
      </c>
      <c r="K951">
        <v>40000</v>
      </c>
      <c r="M951">
        <v>40000</v>
      </c>
    </row>
    <row r="952" spans="1:13" x14ac:dyDescent="0.35">
      <c r="A952" t="str">
        <f t="shared" si="48"/>
        <v>CAI_004573377361810100</v>
      </c>
      <c r="B952" t="s">
        <v>2337</v>
      </c>
      <c r="C952" s="1">
        <v>45733</v>
      </c>
      <c r="D952" t="str">
        <f>"773"</f>
        <v>773</v>
      </c>
      <c r="E952" t="str">
        <f>"61810100"</f>
        <v>61810100</v>
      </c>
      <c r="F952" t="s">
        <v>2520</v>
      </c>
      <c r="G952" t="s">
        <v>336</v>
      </c>
      <c r="H952" t="s">
        <v>5944</v>
      </c>
      <c r="I952">
        <v>0</v>
      </c>
      <c r="J952" t="s">
        <v>343</v>
      </c>
      <c r="K952">
        <v>162000</v>
      </c>
      <c r="M952">
        <v>162000</v>
      </c>
    </row>
    <row r="953" spans="1:13" x14ac:dyDescent="0.35">
      <c r="A953" t="str">
        <f t="shared" si="48"/>
        <v>CAI_004573377363883000</v>
      </c>
      <c r="B953" t="s">
        <v>2337</v>
      </c>
      <c r="C953" s="1">
        <v>45733</v>
      </c>
      <c r="D953" t="str">
        <f>"773"</f>
        <v>773</v>
      </c>
      <c r="E953" t="str">
        <f>"63883000"</f>
        <v>63883000</v>
      </c>
      <c r="F953" t="s">
        <v>2521</v>
      </c>
      <c r="G953" t="s">
        <v>336</v>
      </c>
      <c r="H953" t="s">
        <v>5944</v>
      </c>
      <c r="I953">
        <v>0</v>
      </c>
      <c r="J953" t="s">
        <v>343</v>
      </c>
      <c r="K953">
        <v>56700</v>
      </c>
      <c r="M953">
        <v>56700</v>
      </c>
    </row>
    <row r="954" spans="1:13" x14ac:dyDescent="0.35">
      <c r="A954" t="str">
        <f t="shared" si="48"/>
        <v>CAI_004573377461830000</v>
      </c>
      <c r="B954" t="s">
        <v>2337</v>
      </c>
      <c r="C954" s="1">
        <v>45733</v>
      </c>
      <c r="D954" t="str">
        <f>"774"</f>
        <v>774</v>
      </c>
      <c r="E954" t="str">
        <f>"61830000"</f>
        <v>61830000</v>
      </c>
      <c r="F954" t="s">
        <v>2522</v>
      </c>
      <c r="G954" t="s">
        <v>336</v>
      </c>
      <c r="H954" t="s">
        <v>5878</v>
      </c>
      <c r="I954">
        <v>0</v>
      </c>
      <c r="J954" t="s">
        <v>343</v>
      </c>
      <c r="K954">
        <v>10000</v>
      </c>
      <c r="M954">
        <v>10000</v>
      </c>
    </row>
    <row r="955" spans="1:13" x14ac:dyDescent="0.35">
      <c r="A955" t="str">
        <f t="shared" si="48"/>
        <v>CAI_004573478762880000</v>
      </c>
      <c r="B955" t="s">
        <v>2337</v>
      </c>
      <c r="C955" s="1">
        <v>45734</v>
      </c>
      <c r="D955" t="str">
        <f>"787"</f>
        <v>787</v>
      </c>
      <c r="E955" t="str">
        <f>"62880000"</f>
        <v>62880000</v>
      </c>
      <c r="F955" t="s">
        <v>2524</v>
      </c>
      <c r="G955" t="s">
        <v>336</v>
      </c>
      <c r="H955" t="s">
        <v>5940</v>
      </c>
      <c r="I955">
        <v>0</v>
      </c>
      <c r="J955" t="s">
        <v>343</v>
      </c>
      <c r="K955">
        <v>45000</v>
      </c>
      <c r="M955">
        <v>45000</v>
      </c>
    </row>
    <row r="956" spans="1:13" x14ac:dyDescent="0.35">
      <c r="A956" t="str">
        <f t="shared" si="48"/>
        <v>CAI_004573478960470100</v>
      </c>
      <c r="B956" t="s">
        <v>2337</v>
      </c>
      <c r="C956" s="1">
        <v>45734</v>
      </c>
      <c r="D956" t="str">
        <f>"789"</f>
        <v>789</v>
      </c>
      <c r="E956" t="str">
        <f>"60470100"</f>
        <v>60470100</v>
      </c>
      <c r="F956" t="s">
        <v>2527</v>
      </c>
      <c r="G956" t="s">
        <v>336</v>
      </c>
      <c r="H956" t="s">
        <v>348</v>
      </c>
      <c r="I956">
        <v>0</v>
      </c>
      <c r="J956" t="s">
        <v>343</v>
      </c>
      <c r="K956">
        <v>95000</v>
      </c>
      <c r="M956">
        <v>95000</v>
      </c>
    </row>
    <row r="957" spans="1:13" x14ac:dyDescent="0.35">
      <c r="A957" t="str">
        <f t="shared" si="48"/>
        <v>CAI_004573479061830000</v>
      </c>
      <c r="B957" t="s">
        <v>2337</v>
      </c>
      <c r="C957" s="1">
        <v>45734</v>
      </c>
      <c r="D957" t="str">
        <f>"790"</f>
        <v>790</v>
      </c>
      <c r="E957" t="str">
        <f>"61830000"</f>
        <v>61830000</v>
      </c>
      <c r="F957" t="s">
        <v>2528</v>
      </c>
      <c r="G957" t="s">
        <v>336</v>
      </c>
      <c r="H957" t="s">
        <v>5938</v>
      </c>
      <c r="I957">
        <v>0</v>
      </c>
      <c r="J957" t="s">
        <v>343</v>
      </c>
      <c r="K957">
        <v>10000</v>
      </c>
      <c r="M957">
        <v>10000</v>
      </c>
    </row>
    <row r="958" spans="1:13" x14ac:dyDescent="0.35">
      <c r="A958" t="str">
        <f t="shared" si="48"/>
        <v>CAI_004573479161830000</v>
      </c>
      <c r="B958" t="s">
        <v>2337</v>
      </c>
      <c r="C958" s="1">
        <v>45734</v>
      </c>
      <c r="D958" t="str">
        <f>"791"</f>
        <v>791</v>
      </c>
      <c r="E958" t="str">
        <f>"61830000"</f>
        <v>61830000</v>
      </c>
      <c r="F958" t="s">
        <v>2529</v>
      </c>
      <c r="G958" t="s">
        <v>336</v>
      </c>
      <c r="H958" t="s">
        <v>5938</v>
      </c>
      <c r="I958">
        <v>0</v>
      </c>
      <c r="J958" t="s">
        <v>343</v>
      </c>
      <c r="K958">
        <v>10000</v>
      </c>
      <c r="M958">
        <v>10000</v>
      </c>
    </row>
    <row r="959" spans="1:13" x14ac:dyDescent="0.35">
      <c r="A959" t="str">
        <f t="shared" si="48"/>
        <v>CAI_004573479261830000</v>
      </c>
      <c r="B959" t="s">
        <v>2337</v>
      </c>
      <c r="C959" s="1">
        <v>45734</v>
      </c>
      <c r="D959" t="str">
        <f>"792"</f>
        <v>792</v>
      </c>
      <c r="E959" t="str">
        <f>"61830000"</f>
        <v>61830000</v>
      </c>
      <c r="F959" t="s">
        <v>2530</v>
      </c>
      <c r="G959" t="s">
        <v>336</v>
      </c>
      <c r="H959" t="s">
        <v>5941</v>
      </c>
      <c r="I959">
        <v>0</v>
      </c>
      <c r="J959" t="s">
        <v>343</v>
      </c>
      <c r="K959">
        <v>20700</v>
      </c>
      <c r="M959">
        <v>20700</v>
      </c>
    </row>
    <row r="960" spans="1:13" x14ac:dyDescent="0.35">
      <c r="A960" t="str">
        <f t="shared" si="48"/>
        <v>CAI_004573479361830000</v>
      </c>
      <c r="B960" t="s">
        <v>2337</v>
      </c>
      <c r="C960" s="1">
        <v>45734</v>
      </c>
      <c r="D960" t="str">
        <f>"793"</f>
        <v>793</v>
      </c>
      <c r="E960" t="str">
        <f>"61830000"</f>
        <v>61830000</v>
      </c>
      <c r="F960" t="s">
        <v>2338</v>
      </c>
      <c r="G960" t="s">
        <v>336</v>
      </c>
      <c r="H960" t="s">
        <v>5873</v>
      </c>
      <c r="I960">
        <v>0</v>
      </c>
      <c r="J960" t="s">
        <v>343</v>
      </c>
      <c r="K960">
        <v>17000</v>
      </c>
      <c r="M960">
        <v>17000</v>
      </c>
    </row>
    <row r="961" spans="1:13" x14ac:dyDescent="0.35">
      <c r="A961" t="str">
        <f t="shared" si="48"/>
        <v>CAI_004573479461830000</v>
      </c>
      <c r="B961" t="s">
        <v>2337</v>
      </c>
      <c r="C961" s="1">
        <v>45734</v>
      </c>
      <c r="D961" t="str">
        <f>"794"</f>
        <v>794</v>
      </c>
      <c r="E961" t="str">
        <f>"61830000"</f>
        <v>61830000</v>
      </c>
      <c r="F961" t="s">
        <v>2531</v>
      </c>
      <c r="G961" t="s">
        <v>336</v>
      </c>
      <c r="H961" t="s">
        <v>5884</v>
      </c>
      <c r="I961">
        <v>0</v>
      </c>
      <c r="J961" t="s">
        <v>343</v>
      </c>
      <c r="K961">
        <v>28000</v>
      </c>
      <c r="M961">
        <v>28000</v>
      </c>
    </row>
    <row r="962" spans="1:13" x14ac:dyDescent="0.35">
      <c r="A962" t="str">
        <f t="shared" si="48"/>
        <v>CAI_004573479560470100</v>
      </c>
      <c r="B962" t="s">
        <v>2337</v>
      </c>
      <c r="C962" s="1">
        <v>45734</v>
      </c>
      <c r="D962" t="str">
        <f>"795"</f>
        <v>795</v>
      </c>
      <c r="E962" t="str">
        <f>"60470100"</f>
        <v>60470100</v>
      </c>
      <c r="F962" t="s">
        <v>2532</v>
      </c>
      <c r="G962" t="s">
        <v>336</v>
      </c>
      <c r="H962" t="s">
        <v>5964</v>
      </c>
      <c r="I962">
        <v>0</v>
      </c>
      <c r="J962" t="s">
        <v>343</v>
      </c>
      <c r="K962">
        <v>29600</v>
      </c>
      <c r="M962">
        <v>29600</v>
      </c>
    </row>
    <row r="963" spans="1:13" x14ac:dyDescent="0.35">
      <c r="A963" t="str">
        <f t="shared" ref="A963:A1026" si="51">CONCATENATE(B963,C963,D963,E963)</f>
        <v>CAI_004573479662650000</v>
      </c>
      <c r="B963" t="s">
        <v>2337</v>
      </c>
      <c r="C963" s="1">
        <v>45734</v>
      </c>
      <c r="D963" t="str">
        <f>"796"</f>
        <v>796</v>
      </c>
      <c r="E963" t="str">
        <f>"62650000"</f>
        <v>62650000</v>
      </c>
      <c r="F963" t="s">
        <v>2533</v>
      </c>
      <c r="G963" t="s">
        <v>336</v>
      </c>
      <c r="H963" t="s">
        <v>5964</v>
      </c>
      <c r="I963">
        <v>0</v>
      </c>
      <c r="J963" t="s">
        <v>343</v>
      </c>
      <c r="K963">
        <v>7800</v>
      </c>
      <c r="M963">
        <v>7800</v>
      </c>
    </row>
    <row r="964" spans="1:13" x14ac:dyDescent="0.35">
      <c r="A964" t="str">
        <f t="shared" si="51"/>
        <v>CAI_004573579861830000</v>
      </c>
      <c r="B964" t="s">
        <v>2337</v>
      </c>
      <c r="C964" s="1">
        <v>45735</v>
      </c>
      <c r="D964" t="str">
        <f>"798"</f>
        <v>798</v>
      </c>
      <c r="E964" t="str">
        <f>"61830000"</f>
        <v>61830000</v>
      </c>
      <c r="F964" t="s">
        <v>2534</v>
      </c>
      <c r="G964" t="s">
        <v>336</v>
      </c>
      <c r="H964" t="s">
        <v>5948</v>
      </c>
      <c r="I964">
        <v>0</v>
      </c>
      <c r="J964" t="s">
        <v>343</v>
      </c>
      <c r="K964">
        <v>30000</v>
      </c>
      <c r="M964">
        <v>30000</v>
      </c>
    </row>
    <row r="965" spans="1:13" x14ac:dyDescent="0.35">
      <c r="A965" t="str">
        <f t="shared" si="51"/>
        <v>CAI_004573579960470100</v>
      </c>
      <c r="B965" t="s">
        <v>2337</v>
      </c>
      <c r="C965" s="1">
        <v>45735</v>
      </c>
      <c r="D965" t="str">
        <f>"799"</f>
        <v>799</v>
      </c>
      <c r="E965" t="str">
        <f>"60470100"</f>
        <v>60470100</v>
      </c>
      <c r="F965" t="s">
        <v>2535</v>
      </c>
      <c r="G965" t="s">
        <v>336</v>
      </c>
      <c r="H965" t="s">
        <v>348</v>
      </c>
      <c r="I965">
        <v>0</v>
      </c>
      <c r="J965" t="s">
        <v>343</v>
      </c>
      <c r="K965">
        <v>10000</v>
      </c>
      <c r="M965">
        <v>10000</v>
      </c>
    </row>
    <row r="966" spans="1:13" x14ac:dyDescent="0.35">
      <c r="A966" t="str">
        <f t="shared" si="51"/>
        <v>CAI_004573580063180000</v>
      </c>
      <c r="B966" t="s">
        <v>2337</v>
      </c>
      <c r="C966" s="1">
        <v>45735</v>
      </c>
      <c r="D966" t="str">
        <f>"800"</f>
        <v>800</v>
      </c>
      <c r="E966" t="str">
        <f>"63180000"</f>
        <v>63180000</v>
      </c>
      <c r="F966" t="s">
        <v>2537</v>
      </c>
      <c r="G966" t="s">
        <v>336</v>
      </c>
      <c r="H966" t="s">
        <v>347</v>
      </c>
      <c r="I966">
        <v>0</v>
      </c>
      <c r="J966" t="s">
        <v>343</v>
      </c>
      <c r="K966">
        <v>6721</v>
      </c>
      <c r="M966">
        <v>6721</v>
      </c>
    </row>
    <row r="967" spans="1:13" x14ac:dyDescent="0.35">
      <c r="A967" t="str">
        <f t="shared" si="51"/>
        <v>CAI_004573580161810100</v>
      </c>
      <c r="B967" t="s">
        <v>2337</v>
      </c>
      <c r="C967" s="1">
        <v>45735</v>
      </c>
      <c r="D967" t="str">
        <f>"801"</f>
        <v>801</v>
      </c>
      <c r="E967" t="str">
        <f>"61810100"</f>
        <v>61810100</v>
      </c>
      <c r="F967" t="s">
        <v>2539</v>
      </c>
      <c r="G967" t="s">
        <v>336</v>
      </c>
      <c r="H967" t="s">
        <v>5944</v>
      </c>
      <c r="I967">
        <v>0</v>
      </c>
      <c r="J967" t="s">
        <v>343</v>
      </c>
      <c r="K967">
        <v>151000</v>
      </c>
      <c r="M967">
        <v>151000</v>
      </c>
    </row>
    <row r="968" spans="1:13" x14ac:dyDescent="0.35">
      <c r="A968" t="str">
        <f t="shared" si="51"/>
        <v>CAI_004573580163883000</v>
      </c>
      <c r="B968" t="s">
        <v>2337</v>
      </c>
      <c r="C968" s="1">
        <v>45735</v>
      </c>
      <c r="D968" t="str">
        <f>"801"</f>
        <v>801</v>
      </c>
      <c r="E968" t="str">
        <f>"63883000"</f>
        <v>63883000</v>
      </c>
      <c r="F968" t="s">
        <v>2540</v>
      </c>
      <c r="G968" t="s">
        <v>336</v>
      </c>
      <c r="H968" t="s">
        <v>5944</v>
      </c>
      <c r="I968">
        <v>0</v>
      </c>
      <c r="J968" t="s">
        <v>343</v>
      </c>
      <c r="K968">
        <v>35000</v>
      </c>
      <c r="M968">
        <v>35000</v>
      </c>
    </row>
    <row r="969" spans="1:13" x14ac:dyDescent="0.35">
      <c r="A969" t="str">
        <f t="shared" si="51"/>
        <v>CAI_004573580164685000</v>
      </c>
      <c r="B969" t="s">
        <v>2337</v>
      </c>
      <c r="C969" s="1">
        <v>45735</v>
      </c>
      <c r="D969" t="str">
        <f>"801"</f>
        <v>801</v>
      </c>
      <c r="E969" t="str">
        <f>"64685000"</f>
        <v>64685000</v>
      </c>
      <c r="F969" t="s">
        <v>2541</v>
      </c>
      <c r="G969" t="s">
        <v>336</v>
      </c>
      <c r="H969" t="s">
        <v>5884</v>
      </c>
      <c r="I969">
        <v>0</v>
      </c>
      <c r="J969" t="s">
        <v>343</v>
      </c>
      <c r="K969">
        <v>10000</v>
      </c>
      <c r="M969">
        <v>10000</v>
      </c>
    </row>
    <row r="970" spans="1:13" x14ac:dyDescent="0.35">
      <c r="A970" t="str">
        <f t="shared" si="51"/>
        <v>CAI_004573580261810100</v>
      </c>
      <c r="B970" t="s">
        <v>2337</v>
      </c>
      <c r="C970" s="1">
        <v>45735</v>
      </c>
      <c r="D970" t="str">
        <f>"802"</f>
        <v>802</v>
      </c>
      <c r="E970" t="str">
        <f>"61810100"</f>
        <v>61810100</v>
      </c>
      <c r="F970" t="s">
        <v>2543</v>
      </c>
      <c r="G970" t="s">
        <v>336</v>
      </c>
      <c r="H970" t="s">
        <v>5944</v>
      </c>
      <c r="I970">
        <v>0</v>
      </c>
      <c r="J970" t="s">
        <v>343</v>
      </c>
      <c r="K970">
        <v>196000</v>
      </c>
      <c r="M970">
        <v>196000</v>
      </c>
    </row>
    <row r="971" spans="1:13" x14ac:dyDescent="0.35">
      <c r="A971" t="str">
        <f t="shared" si="51"/>
        <v>CAI_004573580263883000</v>
      </c>
      <c r="B971" t="s">
        <v>2337</v>
      </c>
      <c r="C971" s="1">
        <v>45735</v>
      </c>
      <c r="D971" t="str">
        <f>"802"</f>
        <v>802</v>
      </c>
      <c r="E971" t="str">
        <f>"63883000"</f>
        <v>63883000</v>
      </c>
      <c r="F971" t="s">
        <v>2544</v>
      </c>
      <c r="G971" t="s">
        <v>336</v>
      </c>
      <c r="H971" t="s">
        <v>5944</v>
      </c>
      <c r="I971">
        <v>0</v>
      </c>
      <c r="J971" t="s">
        <v>343</v>
      </c>
      <c r="K971">
        <v>60900</v>
      </c>
      <c r="M971">
        <v>60900</v>
      </c>
    </row>
    <row r="972" spans="1:13" x14ac:dyDescent="0.35">
      <c r="A972" t="str">
        <f t="shared" si="51"/>
        <v>CAI_004573580360560000</v>
      </c>
      <c r="B972" t="s">
        <v>2337</v>
      </c>
      <c r="C972" s="1">
        <v>45735</v>
      </c>
      <c r="D972" t="str">
        <f>"803"</f>
        <v>803</v>
      </c>
      <c r="E972" t="str">
        <f>"60560000"</f>
        <v>60560000</v>
      </c>
      <c r="F972" t="s">
        <v>2545</v>
      </c>
      <c r="G972" t="s">
        <v>336</v>
      </c>
      <c r="H972" t="s">
        <v>5905</v>
      </c>
      <c r="I972">
        <v>0</v>
      </c>
      <c r="J972" t="s">
        <v>343</v>
      </c>
      <c r="K972">
        <v>6400</v>
      </c>
      <c r="M972">
        <v>6400</v>
      </c>
    </row>
    <row r="973" spans="1:13" x14ac:dyDescent="0.35">
      <c r="A973" t="str">
        <f t="shared" si="51"/>
        <v>CAI_004573680661830000</v>
      </c>
      <c r="B973" t="s">
        <v>2337</v>
      </c>
      <c r="C973" s="1">
        <v>45736</v>
      </c>
      <c r="D973" t="str">
        <f>"806"</f>
        <v>806</v>
      </c>
      <c r="E973" t="str">
        <f>"61830000"</f>
        <v>61830000</v>
      </c>
      <c r="F973" t="s">
        <v>2549</v>
      </c>
      <c r="G973" t="s">
        <v>336</v>
      </c>
      <c r="H973" t="s">
        <v>5878</v>
      </c>
      <c r="I973">
        <v>0</v>
      </c>
      <c r="J973" t="s">
        <v>343</v>
      </c>
      <c r="K973">
        <v>100000</v>
      </c>
      <c r="M973">
        <v>100000</v>
      </c>
    </row>
    <row r="974" spans="1:13" x14ac:dyDescent="0.35">
      <c r="A974" t="str">
        <f t="shared" si="51"/>
        <v>CAI_004573680663250000</v>
      </c>
      <c r="B974" t="s">
        <v>2337</v>
      </c>
      <c r="C974" s="1">
        <v>45736</v>
      </c>
      <c r="D974" t="str">
        <f>"806"</f>
        <v>806</v>
      </c>
      <c r="E974" t="str">
        <f>"63250000"</f>
        <v>63250000</v>
      </c>
      <c r="F974" t="s">
        <v>2550</v>
      </c>
      <c r="G974" t="s">
        <v>336</v>
      </c>
      <c r="H974" t="s">
        <v>5951</v>
      </c>
      <c r="I974">
        <v>0</v>
      </c>
      <c r="J974" t="s">
        <v>343</v>
      </c>
      <c r="K974">
        <v>15000</v>
      </c>
      <c r="M974">
        <v>15000</v>
      </c>
    </row>
    <row r="975" spans="1:13" x14ac:dyDescent="0.35">
      <c r="A975" t="str">
        <f t="shared" si="51"/>
        <v>CAI_004573680761830000</v>
      </c>
      <c r="B975" t="s">
        <v>2337</v>
      </c>
      <c r="C975" s="1">
        <v>45736</v>
      </c>
      <c r="D975" t="str">
        <f>"807"</f>
        <v>807</v>
      </c>
      <c r="E975" t="str">
        <f>"61830000"</f>
        <v>61830000</v>
      </c>
      <c r="F975" t="s">
        <v>2551</v>
      </c>
      <c r="G975" t="s">
        <v>336</v>
      </c>
      <c r="H975" t="s">
        <v>5928</v>
      </c>
      <c r="I975">
        <v>0</v>
      </c>
      <c r="J975" t="s">
        <v>343</v>
      </c>
      <c r="K975">
        <v>10000</v>
      </c>
      <c r="M975">
        <v>10000</v>
      </c>
    </row>
    <row r="976" spans="1:13" x14ac:dyDescent="0.35">
      <c r="A976" t="str">
        <f t="shared" si="51"/>
        <v>CAI_004573680860560000</v>
      </c>
      <c r="B976" t="s">
        <v>2337</v>
      </c>
      <c r="C976" s="1">
        <v>45736</v>
      </c>
      <c r="D976" t="str">
        <f>"808"</f>
        <v>808</v>
      </c>
      <c r="E976" t="str">
        <f>"60560000"</f>
        <v>60560000</v>
      </c>
      <c r="F976" t="s">
        <v>2552</v>
      </c>
      <c r="G976" t="s">
        <v>336</v>
      </c>
      <c r="H976" t="s">
        <v>5905</v>
      </c>
      <c r="I976">
        <v>0</v>
      </c>
      <c r="J976" t="s">
        <v>343</v>
      </c>
      <c r="K976">
        <v>15000</v>
      </c>
      <c r="M976">
        <v>15000</v>
      </c>
    </row>
    <row r="977" spans="1:13" x14ac:dyDescent="0.35">
      <c r="A977" t="str">
        <f t="shared" si="51"/>
        <v>CAI_004573680960560000</v>
      </c>
      <c r="B977" t="s">
        <v>2337</v>
      </c>
      <c r="C977" s="1">
        <v>45736</v>
      </c>
      <c r="D977" t="str">
        <f>"809"</f>
        <v>809</v>
      </c>
      <c r="E977" t="str">
        <f>"60560000"</f>
        <v>60560000</v>
      </c>
      <c r="F977" t="s">
        <v>2553</v>
      </c>
      <c r="G977" t="s">
        <v>336</v>
      </c>
      <c r="H977" t="s">
        <v>5905</v>
      </c>
      <c r="I977">
        <v>0</v>
      </c>
      <c r="J977" t="s">
        <v>343</v>
      </c>
      <c r="K977">
        <v>9000</v>
      </c>
      <c r="M977">
        <v>9000</v>
      </c>
    </row>
    <row r="978" spans="1:13" x14ac:dyDescent="0.35">
      <c r="A978" t="str">
        <f t="shared" si="51"/>
        <v>CAI_004573681063830000</v>
      </c>
      <c r="B978" t="s">
        <v>2337</v>
      </c>
      <c r="C978" s="1">
        <v>45736</v>
      </c>
      <c r="D978" t="str">
        <f>"810"</f>
        <v>810</v>
      </c>
      <c r="E978" t="str">
        <f>"63830000"</f>
        <v>63830000</v>
      </c>
      <c r="F978" t="s">
        <v>2554</v>
      </c>
      <c r="G978" t="s">
        <v>336</v>
      </c>
      <c r="H978" t="s">
        <v>348</v>
      </c>
      <c r="I978">
        <v>0</v>
      </c>
      <c r="J978" t="s">
        <v>343</v>
      </c>
      <c r="K978">
        <v>150000</v>
      </c>
      <c r="M978">
        <v>150000</v>
      </c>
    </row>
    <row r="979" spans="1:13" x14ac:dyDescent="0.35">
      <c r="A979" t="str">
        <f t="shared" si="51"/>
        <v>CAI_004573681161830000</v>
      </c>
      <c r="B979" t="s">
        <v>2337</v>
      </c>
      <c r="C979" s="1">
        <v>45736</v>
      </c>
      <c r="D979" t="str">
        <f>"811"</f>
        <v>811</v>
      </c>
      <c r="E979" t="str">
        <f>"61830000"</f>
        <v>61830000</v>
      </c>
      <c r="F979" t="s">
        <v>2555</v>
      </c>
      <c r="G979" t="s">
        <v>336</v>
      </c>
      <c r="H979" t="s">
        <v>5941</v>
      </c>
      <c r="I979">
        <v>0</v>
      </c>
      <c r="J979" t="s">
        <v>343</v>
      </c>
      <c r="K979">
        <v>10000</v>
      </c>
      <c r="M979">
        <v>10000</v>
      </c>
    </row>
    <row r="980" spans="1:13" x14ac:dyDescent="0.35">
      <c r="A980" t="str">
        <f t="shared" si="51"/>
        <v>CAI_004573681261830000</v>
      </c>
      <c r="B980" t="s">
        <v>2337</v>
      </c>
      <c r="C980" s="1">
        <v>45736</v>
      </c>
      <c r="D980" t="str">
        <f>"812"</f>
        <v>812</v>
      </c>
      <c r="E980" t="str">
        <f>"61830000"</f>
        <v>61830000</v>
      </c>
      <c r="F980" t="s">
        <v>2556</v>
      </c>
      <c r="G980" t="s">
        <v>336</v>
      </c>
      <c r="H980" t="s">
        <v>5941</v>
      </c>
      <c r="I980">
        <v>0</v>
      </c>
      <c r="J980" t="s">
        <v>343</v>
      </c>
      <c r="K980">
        <v>15000</v>
      </c>
      <c r="M980">
        <v>15000</v>
      </c>
    </row>
    <row r="981" spans="1:13" x14ac:dyDescent="0.35">
      <c r="A981" t="str">
        <f t="shared" si="51"/>
        <v>CAI_004573681363830000</v>
      </c>
      <c r="B981" t="s">
        <v>2337</v>
      </c>
      <c r="C981" s="1">
        <v>45736</v>
      </c>
      <c r="D981" t="str">
        <f>"813"</f>
        <v>813</v>
      </c>
      <c r="E981" t="str">
        <f>"63830000"</f>
        <v>63830000</v>
      </c>
      <c r="F981" t="s">
        <v>2488</v>
      </c>
      <c r="G981" t="s">
        <v>336</v>
      </c>
      <c r="H981" t="s">
        <v>5931</v>
      </c>
      <c r="I981">
        <v>0</v>
      </c>
      <c r="J981" t="s">
        <v>343</v>
      </c>
      <c r="K981">
        <v>53500</v>
      </c>
      <c r="M981">
        <v>53500</v>
      </c>
    </row>
    <row r="982" spans="1:13" x14ac:dyDescent="0.35">
      <c r="A982" t="str">
        <f t="shared" si="51"/>
        <v>CAI_004573681562480000</v>
      </c>
      <c r="B982" t="s">
        <v>2337</v>
      </c>
      <c r="C982" s="1">
        <v>45736</v>
      </c>
      <c r="D982" t="str">
        <f>"815"</f>
        <v>815</v>
      </c>
      <c r="E982" t="str">
        <f>"62480000"</f>
        <v>62480000</v>
      </c>
      <c r="F982" t="s">
        <v>2558</v>
      </c>
      <c r="G982" t="s">
        <v>336</v>
      </c>
      <c r="H982" t="s">
        <v>5951</v>
      </c>
      <c r="I982">
        <v>0</v>
      </c>
      <c r="J982" t="s">
        <v>343</v>
      </c>
      <c r="K982">
        <v>55000</v>
      </c>
      <c r="M982">
        <v>55000</v>
      </c>
    </row>
    <row r="983" spans="1:13" x14ac:dyDescent="0.35">
      <c r="A983" t="str">
        <f t="shared" si="51"/>
        <v>CAI_004573781660420000</v>
      </c>
      <c r="B983" t="s">
        <v>2337</v>
      </c>
      <c r="C983" s="1">
        <v>45737</v>
      </c>
      <c r="D983" t="str">
        <f>"816"</f>
        <v>816</v>
      </c>
      <c r="E983" t="str">
        <f>"60420000"</f>
        <v>60420000</v>
      </c>
      <c r="F983" t="s">
        <v>2560</v>
      </c>
      <c r="G983" t="s">
        <v>336</v>
      </c>
      <c r="H983" t="s">
        <v>5879</v>
      </c>
      <c r="I983">
        <v>0</v>
      </c>
      <c r="J983" t="s">
        <v>343</v>
      </c>
      <c r="K983">
        <v>43750</v>
      </c>
      <c r="M983">
        <v>43750</v>
      </c>
    </row>
    <row r="984" spans="1:13" x14ac:dyDescent="0.35">
      <c r="A984" t="str">
        <f t="shared" si="51"/>
        <v>CAI_004573781661810100</v>
      </c>
      <c r="B984" t="s">
        <v>2337</v>
      </c>
      <c r="C984" s="1">
        <v>45737</v>
      </c>
      <c r="D984" t="str">
        <f>"816"</f>
        <v>816</v>
      </c>
      <c r="E984" t="str">
        <f>"61810100"</f>
        <v>61810100</v>
      </c>
      <c r="F984" t="s">
        <v>2561</v>
      </c>
      <c r="G984" t="s">
        <v>336</v>
      </c>
      <c r="H984" t="s">
        <v>5944</v>
      </c>
      <c r="I984">
        <v>0</v>
      </c>
      <c r="J984" t="s">
        <v>343</v>
      </c>
      <c r="K984">
        <v>6000</v>
      </c>
      <c r="M984">
        <v>6000</v>
      </c>
    </row>
    <row r="985" spans="1:13" x14ac:dyDescent="0.35">
      <c r="A985" t="str">
        <f t="shared" si="51"/>
        <v>CAI_004573781661830000</v>
      </c>
      <c r="B985" t="s">
        <v>2337</v>
      </c>
      <c r="C985" s="1">
        <v>45737</v>
      </c>
      <c r="D985" t="str">
        <f>"816"</f>
        <v>816</v>
      </c>
      <c r="E985" t="str">
        <f>"61830000"</f>
        <v>61830000</v>
      </c>
      <c r="F985" t="s">
        <v>2562</v>
      </c>
      <c r="G985" t="s">
        <v>336</v>
      </c>
      <c r="H985" t="s">
        <v>5932</v>
      </c>
      <c r="I985">
        <v>0</v>
      </c>
      <c r="J985" t="s">
        <v>343</v>
      </c>
      <c r="K985">
        <v>35000</v>
      </c>
      <c r="M985">
        <v>35000</v>
      </c>
    </row>
    <row r="986" spans="1:13" x14ac:dyDescent="0.35">
      <c r="A986" t="str">
        <f t="shared" si="51"/>
        <v>CAI_004573781663883000</v>
      </c>
      <c r="B986" t="s">
        <v>2337</v>
      </c>
      <c r="C986" s="1">
        <v>45737</v>
      </c>
      <c r="D986" t="str">
        <f>"816"</f>
        <v>816</v>
      </c>
      <c r="E986" t="str">
        <f>"63883000"</f>
        <v>63883000</v>
      </c>
      <c r="F986" t="s">
        <v>2563</v>
      </c>
      <c r="G986" t="s">
        <v>336</v>
      </c>
      <c r="H986" t="s">
        <v>5944</v>
      </c>
      <c r="I986">
        <v>0</v>
      </c>
      <c r="J986" t="s">
        <v>343</v>
      </c>
      <c r="K986">
        <v>10500</v>
      </c>
      <c r="M986">
        <v>10500</v>
      </c>
    </row>
    <row r="987" spans="1:13" x14ac:dyDescent="0.35">
      <c r="A987" t="str">
        <f t="shared" si="51"/>
        <v>CAI_004573781761830000</v>
      </c>
      <c r="B987" t="s">
        <v>2337</v>
      </c>
      <c r="C987" s="1">
        <v>45737</v>
      </c>
      <c r="D987" t="str">
        <f>"817"</f>
        <v>817</v>
      </c>
      <c r="E987" t="str">
        <f>"61830000"</f>
        <v>61830000</v>
      </c>
      <c r="F987" t="s">
        <v>2564</v>
      </c>
      <c r="G987" t="s">
        <v>336</v>
      </c>
      <c r="H987" t="s">
        <v>5938</v>
      </c>
      <c r="I987">
        <v>0</v>
      </c>
      <c r="J987" t="s">
        <v>343</v>
      </c>
      <c r="K987">
        <v>10000</v>
      </c>
      <c r="M987">
        <v>10000</v>
      </c>
    </row>
    <row r="988" spans="1:13" x14ac:dyDescent="0.35">
      <c r="A988" t="str">
        <f t="shared" si="51"/>
        <v>CAI_004573781861830000</v>
      </c>
      <c r="B988" t="s">
        <v>2337</v>
      </c>
      <c r="C988" s="1">
        <v>45737</v>
      </c>
      <c r="D988" t="str">
        <f>"818"</f>
        <v>818</v>
      </c>
      <c r="E988" t="str">
        <f>"61830000"</f>
        <v>61830000</v>
      </c>
      <c r="F988" t="s">
        <v>2566</v>
      </c>
      <c r="G988" t="s">
        <v>336</v>
      </c>
      <c r="H988" t="s">
        <v>5928</v>
      </c>
      <c r="I988">
        <v>0</v>
      </c>
      <c r="J988" t="s">
        <v>343</v>
      </c>
      <c r="K988">
        <v>5000</v>
      </c>
      <c r="M988">
        <v>5000</v>
      </c>
    </row>
    <row r="989" spans="1:13" x14ac:dyDescent="0.35">
      <c r="A989" t="str">
        <f t="shared" si="51"/>
        <v>CAI_004573781863883000</v>
      </c>
      <c r="B989" t="s">
        <v>2337</v>
      </c>
      <c r="C989" s="1">
        <v>45737</v>
      </c>
      <c r="D989" t="str">
        <f>"818"</f>
        <v>818</v>
      </c>
      <c r="E989" t="str">
        <f>"63883000"</f>
        <v>63883000</v>
      </c>
      <c r="F989" t="s">
        <v>2383</v>
      </c>
      <c r="G989" t="s">
        <v>336</v>
      </c>
      <c r="H989" t="s">
        <v>5945</v>
      </c>
      <c r="I989">
        <v>0</v>
      </c>
      <c r="J989" t="s">
        <v>343</v>
      </c>
      <c r="K989">
        <v>44000</v>
      </c>
      <c r="M989">
        <v>44000</v>
      </c>
    </row>
    <row r="990" spans="1:13" x14ac:dyDescent="0.35">
      <c r="A990" t="str">
        <f t="shared" si="51"/>
        <v>CAI_004573782061830000</v>
      </c>
      <c r="B990" t="s">
        <v>2337</v>
      </c>
      <c r="C990" s="1">
        <v>45737</v>
      </c>
      <c r="D990" t="str">
        <f>"820"</f>
        <v>820</v>
      </c>
      <c r="E990" t="str">
        <f>"61830000"</f>
        <v>61830000</v>
      </c>
      <c r="F990" t="s">
        <v>2569</v>
      </c>
      <c r="G990" t="s">
        <v>336</v>
      </c>
      <c r="H990" t="s">
        <v>5928</v>
      </c>
      <c r="I990">
        <v>0</v>
      </c>
      <c r="J990" t="s">
        <v>343</v>
      </c>
      <c r="K990">
        <v>339000</v>
      </c>
      <c r="M990">
        <v>339000</v>
      </c>
    </row>
    <row r="991" spans="1:13" x14ac:dyDescent="0.35">
      <c r="A991" t="str">
        <f t="shared" si="51"/>
        <v>CAI_004573782061830000</v>
      </c>
      <c r="B991" t="s">
        <v>2337</v>
      </c>
      <c r="C991" s="1">
        <v>45737</v>
      </c>
      <c r="D991" t="str">
        <f>"820"</f>
        <v>820</v>
      </c>
      <c r="E991" t="str">
        <f>"61830000"</f>
        <v>61830000</v>
      </c>
      <c r="F991" t="s">
        <v>2570</v>
      </c>
      <c r="G991" t="s">
        <v>336</v>
      </c>
      <c r="H991" t="s">
        <v>5928</v>
      </c>
      <c r="I991">
        <v>0</v>
      </c>
      <c r="J991" t="s">
        <v>343</v>
      </c>
      <c r="K991">
        <v>10000</v>
      </c>
      <c r="M991">
        <v>10000</v>
      </c>
    </row>
    <row r="992" spans="1:13" x14ac:dyDescent="0.35">
      <c r="A992" t="str">
        <f t="shared" si="51"/>
        <v>CAI_004573782063280000</v>
      </c>
      <c r="B992" t="s">
        <v>2337</v>
      </c>
      <c r="C992" s="1">
        <v>45737</v>
      </c>
      <c r="D992" t="str">
        <f>"820"</f>
        <v>820</v>
      </c>
      <c r="E992" t="str">
        <f>"63280000"</f>
        <v>63280000</v>
      </c>
      <c r="F992" t="s">
        <v>2571</v>
      </c>
      <c r="G992" t="s">
        <v>336</v>
      </c>
      <c r="H992" t="s">
        <v>5928</v>
      </c>
      <c r="I992">
        <v>0</v>
      </c>
      <c r="J992" t="s">
        <v>343</v>
      </c>
      <c r="K992">
        <v>10000</v>
      </c>
      <c r="M992">
        <v>10000</v>
      </c>
    </row>
    <row r="993" spans="1:13" x14ac:dyDescent="0.35">
      <c r="A993" t="str">
        <f t="shared" si="51"/>
        <v>CAI_004573782063883000</v>
      </c>
      <c r="B993" t="s">
        <v>2337</v>
      </c>
      <c r="C993" s="1">
        <v>45737</v>
      </c>
      <c r="D993" t="str">
        <f>"820"</f>
        <v>820</v>
      </c>
      <c r="E993" t="str">
        <f>"63883000"</f>
        <v>63883000</v>
      </c>
      <c r="F993" t="s">
        <v>2572</v>
      </c>
      <c r="G993" t="s">
        <v>336</v>
      </c>
      <c r="H993" t="s">
        <v>5945</v>
      </c>
      <c r="I993">
        <v>0</v>
      </c>
      <c r="J993" t="s">
        <v>343</v>
      </c>
      <c r="K993">
        <v>66500</v>
      </c>
      <c r="M993">
        <v>66500</v>
      </c>
    </row>
    <row r="994" spans="1:13" x14ac:dyDescent="0.35">
      <c r="A994" t="str">
        <f t="shared" si="51"/>
        <v>CAI_004573782064685000</v>
      </c>
      <c r="B994" t="s">
        <v>2337</v>
      </c>
      <c r="C994" s="1">
        <v>45737</v>
      </c>
      <c r="D994" t="str">
        <f>"820"</f>
        <v>820</v>
      </c>
      <c r="E994" t="str">
        <f>"64685000"</f>
        <v>64685000</v>
      </c>
      <c r="F994" t="s">
        <v>2573</v>
      </c>
      <c r="G994" t="s">
        <v>336</v>
      </c>
      <c r="H994" t="s">
        <v>5928</v>
      </c>
      <c r="I994">
        <v>0</v>
      </c>
      <c r="J994" t="s">
        <v>343</v>
      </c>
      <c r="K994">
        <v>7000</v>
      </c>
      <c r="M994">
        <v>7000</v>
      </c>
    </row>
    <row r="995" spans="1:13" x14ac:dyDescent="0.35">
      <c r="A995" t="str">
        <f t="shared" si="51"/>
        <v>CAI_004573782162411000</v>
      </c>
      <c r="B995" t="s">
        <v>2337</v>
      </c>
      <c r="C995" s="1">
        <v>45737</v>
      </c>
      <c r="D995" t="str">
        <f>"821"</f>
        <v>821</v>
      </c>
      <c r="E995" t="str">
        <f>"62411000"</f>
        <v>62411000</v>
      </c>
      <c r="F995" t="s">
        <v>2574</v>
      </c>
      <c r="G995" t="s">
        <v>336</v>
      </c>
      <c r="H995" t="s">
        <v>5928</v>
      </c>
      <c r="I995">
        <v>0</v>
      </c>
      <c r="J995" t="s">
        <v>343</v>
      </c>
      <c r="K995">
        <v>55000</v>
      </c>
      <c r="M995">
        <v>55000</v>
      </c>
    </row>
    <row r="996" spans="1:13" x14ac:dyDescent="0.35">
      <c r="A996" t="str">
        <f t="shared" si="51"/>
        <v>CAI_004573782264630100</v>
      </c>
      <c r="B996" t="s">
        <v>2337</v>
      </c>
      <c r="C996" s="1">
        <v>45737</v>
      </c>
      <c r="D996" t="str">
        <f t="shared" ref="D996:D1001" si="52">"822"</f>
        <v>822</v>
      </c>
      <c r="E996" t="str">
        <f>"64630100"</f>
        <v>64630100</v>
      </c>
      <c r="F996" t="s">
        <v>2575</v>
      </c>
      <c r="G996" t="s">
        <v>336</v>
      </c>
      <c r="H996" t="s">
        <v>5896</v>
      </c>
      <c r="I996">
        <v>0</v>
      </c>
      <c r="J996" t="s">
        <v>343</v>
      </c>
      <c r="K996">
        <v>4000</v>
      </c>
      <c r="M996">
        <v>252000</v>
      </c>
    </row>
    <row r="997" spans="1:13" x14ac:dyDescent="0.35">
      <c r="A997" t="str">
        <f t="shared" si="51"/>
        <v>CAI_004573782264630100</v>
      </c>
      <c r="B997" t="s">
        <v>2337</v>
      </c>
      <c r="C997" s="1">
        <v>45737</v>
      </c>
      <c r="D997" t="str">
        <f t="shared" si="52"/>
        <v>822</v>
      </c>
      <c r="E997" t="str">
        <f>"64630100"</f>
        <v>64630100</v>
      </c>
      <c r="F997" t="s">
        <v>2575</v>
      </c>
      <c r="G997" t="s">
        <v>336</v>
      </c>
      <c r="H997" t="s">
        <v>5891</v>
      </c>
      <c r="I997">
        <v>0</v>
      </c>
      <c r="J997" t="s">
        <v>343</v>
      </c>
      <c r="K997">
        <v>90200</v>
      </c>
      <c r="M997">
        <v>252000</v>
      </c>
    </row>
    <row r="998" spans="1:13" x14ac:dyDescent="0.35">
      <c r="A998" t="str">
        <f t="shared" si="51"/>
        <v>CAI_004573782264630100</v>
      </c>
      <c r="B998" t="s">
        <v>2337</v>
      </c>
      <c r="C998" s="1">
        <v>45737</v>
      </c>
      <c r="D998" t="str">
        <f t="shared" si="52"/>
        <v>822</v>
      </c>
      <c r="E998" t="str">
        <f>"64630100"</f>
        <v>64630100</v>
      </c>
      <c r="F998" t="s">
        <v>2575</v>
      </c>
      <c r="G998" t="s">
        <v>336</v>
      </c>
      <c r="H998" t="s">
        <v>5894</v>
      </c>
      <c r="I998">
        <v>0</v>
      </c>
      <c r="J998" t="s">
        <v>343</v>
      </c>
      <c r="K998">
        <v>62200</v>
      </c>
      <c r="M998">
        <v>252000</v>
      </c>
    </row>
    <row r="999" spans="1:13" x14ac:dyDescent="0.35">
      <c r="A999" t="str">
        <f t="shared" si="51"/>
        <v>CAI_004573782264630100</v>
      </c>
      <c r="B999" t="s">
        <v>2337</v>
      </c>
      <c r="C999" s="1">
        <v>45737</v>
      </c>
      <c r="D999" t="str">
        <f t="shared" si="52"/>
        <v>822</v>
      </c>
      <c r="E999" t="str">
        <f>"64630100"</f>
        <v>64630100</v>
      </c>
      <c r="F999" t="s">
        <v>2575</v>
      </c>
      <c r="G999" t="s">
        <v>336</v>
      </c>
      <c r="H999" t="s">
        <v>5897</v>
      </c>
      <c r="I999">
        <v>0</v>
      </c>
      <c r="J999" t="s">
        <v>343</v>
      </c>
      <c r="K999">
        <v>30100</v>
      </c>
      <c r="M999">
        <v>252000</v>
      </c>
    </row>
    <row r="1000" spans="1:13" x14ac:dyDescent="0.35">
      <c r="A1000" t="str">
        <f t="shared" si="51"/>
        <v>CAI_004573782264630100</v>
      </c>
      <c r="B1000" t="s">
        <v>2337</v>
      </c>
      <c r="C1000" s="1">
        <v>45737</v>
      </c>
      <c r="D1000" t="str">
        <f t="shared" si="52"/>
        <v>822</v>
      </c>
      <c r="E1000" t="str">
        <f>"64630100"</f>
        <v>64630100</v>
      </c>
      <c r="F1000" t="s">
        <v>2575</v>
      </c>
      <c r="G1000" t="s">
        <v>336</v>
      </c>
      <c r="H1000" t="s">
        <v>5900</v>
      </c>
      <c r="I1000">
        <v>0</v>
      </c>
      <c r="J1000" t="s">
        <v>343</v>
      </c>
      <c r="K1000">
        <v>65500</v>
      </c>
      <c r="M1000">
        <v>252000</v>
      </c>
    </row>
    <row r="1001" spans="1:13" x14ac:dyDescent="0.35">
      <c r="A1001" t="str">
        <f t="shared" si="51"/>
        <v>CAI_004573782264685000</v>
      </c>
      <c r="B1001" t="s">
        <v>2337</v>
      </c>
      <c r="C1001" s="1">
        <v>45737</v>
      </c>
      <c r="D1001" t="str">
        <f t="shared" si="52"/>
        <v>822</v>
      </c>
      <c r="E1001" t="str">
        <f>"64685000"</f>
        <v>64685000</v>
      </c>
      <c r="F1001" t="s">
        <v>2576</v>
      </c>
      <c r="G1001" t="s">
        <v>336</v>
      </c>
      <c r="H1001" t="s">
        <v>5932</v>
      </c>
      <c r="I1001">
        <v>0</v>
      </c>
      <c r="J1001" t="s">
        <v>343</v>
      </c>
      <c r="K1001">
        <v>30000</v>
      </c>
      <c r="M1001">
        <v>30000</v>
      </c>
    </row>
    <row r="1002" spans="1:13" x14ac:dyDescent="0.35">
      <c r="A1002" t="str">
        <f t="shared" si="51"/>
        <v>CAI_004573782360420000</v>
      </c>
      <c r="B1002" t="s">
        <v>2337</v>
      </c>
      <c r="C1002" s="1">
        <v>45737</v>
      </c>
      <c r="D1002" t="str">
        <f>"823"</f>
        <v>823</v>
      </c>
      <c r="E1002" t="str">
        <f>"60420000"</f>
        <v>60420000</v>
      </c>
      <c r="F1002" t="s">
        <v>2578</v>
      </c>
      <c r="G1002" t="s">
        <v>336</v>
      </c>
      <c r="H1002" t="s">
        <v>5952</v>
      </c>
      <c r="I1002">
        <v>0</v>
      </c>
      <c r="J1002" t="s">
        <v>343</v>
      </c>
      <c r="K1002">
        <v>32890</v>
      </c>
      <c r="M1002">
        <v>32890</v>
      </c>
    </row>
    <row r="1003" spans="1:13" x14ac:dyDescent="0.35">
      <c r="A1003" t="str">
        <f t="shared" si="51"/>
        <v>CAI_004573782361810100</v>
      </c>
      <c r="B1003" t="s">
        <v>2337</v>
      </c>
      <c r="C1003" s="1">
        <v>45737</v>
      </c>
      <c r="D1003" t="str">
        <f>"823"</f>
        <v>823</v>
      </c>
      <c r="E1003" t="str">
        <f>"61810100"</f>
        <v>61810100</v>
      </c>
      <c r="F1003" t="s">
        <v>2577</v>
      </c>
      <c r="G1003" t="s">
        <v>336</v>
      </c>
      <c r="H1003" t="s">
        <v>5952</v>
      </c>
      <c r="I1003">
        <v>0</v>
      </c>
      <c r="J1003" t="s">
        <v>343</v>
      </c>
      <c r="K1003">
        <v>122000</v>
      </c>
      <c r="M1003">
        <v>122000</v>
      </c>
    </row>
    <row r="1004" spans="1:13" x14ac:dyDescent="0.35">
      <c r="A1004" t="str">
        <f t="shared" si="51"/>
        <v>CAI_004573782363883000</v>
      </c>
      <c r="B1004" t="s">
        <v>2337</v>
      </c>
      <c r="C1004" s="1">
        <v>45737</v>
      </c>
      <c r="D1004" t="str">
        <f>"823"</f>
        <v>823</v>
      </c>
      <c r="E1004" t="str">
        <f>"63883000"</f>
        <v>63883000</v>
      </c>
      <c r="F1004" t="s">
        <v>2579</v>
      </c>
      <c r="G1004" t="s">
        <v>336</v>
      </c>
      <c r="H1004" t="s">
        <v>5952</v>
      </c>
      <c r="I1004">
        <v>0</v>
      </c>
      <c r="J1004" t="s">
        <v>343</v>
      </c>
      <c r="K1004">
        <v>25500</v>
      </c>
      <c r="M1004">
        <v>25500</v>
      </c>
    </row>
    <row r="1005" spans="1:13" x14ac:dyDescent="0.35">
      <c r="A1005" t="str">
        <f t="shared" si="51"/>
        <v>CAI_004573782461830000</v>
      </c>
      <c r="B1005" t="s">
        <v>2337</v>
      </c>
      <c r="C1005" s="1">
        <v>45737</v>
      </c>
      <c r="D1005" t="str">
        <f>"824"</f>
        <v>824</v>
      </c>
      <c r="E1005" t="str">
        <f>"61830000"</f>
        <v>61830000</v>
      </c>
      <c r="F1005" t="s">
        <v>2580</v>
      </c>
      <c r="G1005" t="s">
        <v>336</v>
      </c>
      <c r="H1005" t="s">
        <v>5883</v>
      </c>
      <c r="I1005">
        <v>0</v>
      </c>
      <c r="J1005" t="s">
        <v>343</v>
      </c>
      <c r="K1005">
        <v>90000</v>
      </c>
      <c r="M1005">
        <v>132000</v>
      </c>
    </row>
    <row r="1006" spans="1:13" x14ac:dyDescent="0.35">
      <c r="A1006" t="str">
        <f t="shared" si="51"/>
        <v>CAI_004573782461830000</v>
      </c>
      <c r="B1006" t="s">
        <v>2337</v>
      </c>
      <c r="C1006" s="1">
        <v>45737</v>
      </c>
      <c r="D1006" t="str">
        <f>"824"</f>
        <v>824</v>
      </c>
      <c r="E1006" t="str">
        <f>"61830000"</f>
        <v>61830000</v>
      </c>
      <c r="F1006" t="s">
        <v>2580</v>
      </c>
      <c r="G1006" t="s">
        <v>336</v>
      </c>
      <c r="H1006" t="s">
        <v>5882</v>
      </c>
      <c r="I1006">
        <v>0</v>
      </c>
      <c r="J1006" t="s">
        <v>343</v>
      </c>
      <c r="K1006">
        <v>42000</v>
      </c>
      <c r="M1006">
        <v>132000</v>
      </c>
    </row>
    <row r="1007" spans="1:13" x14ac:dyDescent="0.35">
      <c r="A1007" t="str">
        <f t="shared" si="51"/>
        <v>CAI_004573782561830000</v>
      </c>
      <c r="B1007" t="s">
        <v>2337</v>
      </c>
      <c r="C1007" s="1">
        <v>45737</v>
      </c>
      <c r="D1007" t="str">
        <f>"825"</f>
        <v>825</v>
      </c>
      <c r="E1007" t="str">
        <f>"61830000"</f>
        <v>61830000</v>
      </c>
      <c r="F1007" t="s">
        <v>2435</v>
      </c>
      <c r="G1007" t="s">
        <v>336</v>
      </c>
      <c r="H1007" t="s">
        <v>5873</v>
      </c>
      <c r="I1007">
        <v>0</v>
      </c>
      <c r="J1007" t="s">
        <v>343</v>
      </c>
      <c r="K1007">
        <v>10000</v>
      </c>
      <c r="M1007">
        <v>10000</v>
      </c>
    </row>
    <row r="1008" spans="1:13" x14ac:dyDescent="0.35">
      <c r="A1008" t="str">
        <f t="shared" si="51"/>
        <v>CAI_004573782661830000</v>
      </c>
      <c r="B1008" t="s">
        <v>2337</v>
      </c>
      <c r="C1008" s="1">
        <v>45737</v>
      </c>
      <c r="D1008" t="str">
        <f>"826"</f>
        <v>826</v>
      </c>
      <c r="E1008" t="str">
        <f>"61830000"</f>
        <v>61830000</v>
      </c>
      <c r="F1008" t="s">
        <v>2581</v>
      </c>
      <c r="G1008" t="s">
        <v>336</v>
      </c>
      <c r="H1008" t="s">
        <v>5948</v>
      </c>
      <c r="I1008">
        <v>0</v>
      </c>
      <c r="J1008" t="s">
        <v>343</v>
      </c>
      <c r="K1008">
        <v>15000</v>
      </c>
      <c r="M1008">
        <v>15000</v>
      </c>
    </row>
    <row r="1009" spans="1:13" x14ac:dyDescent="0.35">
      <c r="A1009" t="str">
        <f t="shared" si="51"/>
        <v>CAI_004573782762411000</v>
      </c>
      <c r="B1009" t="s">
        <v>2337</v>
      </c>
      <c r="C1009" s="1">
        <v>45737</v>
      </c>
      <c r="D1009" t="str">
        <f>"827"</f>
        <v>827</v>
      </c>
      <c r="E1009" t="str">
        <f>"62411000"</f>
        <v>62411000</v>
      </c>
      <c r="F1009" t="s">
        <v>2582</v>
      </c>
      <c r="G1009" t="s">
        <v>336</v>
      </c>
      <c r="H1009" t="s">
        <v>5905</v>
      </c>
      <c r="I1009">
        <v>0</v>
      </c>
      <c r="J1009" t="s">
        <v>343</v>
      </c>
      <c r="K1009">
        <v>140000</v>
      </c>
      <c r="M1009">
        <v>140000</v>
      </c>
    </row>
    <row r="1010" spans="1:13" x14ac:dyDescent="0.35">
      <c r="A1010" t="str">
        <f t="shared" si="51"/>
        <v>CAI_004573782861830000</v>
      </c>
      <c r="B1010" t="s">
        <v>2337</v>
      </c>
      <c r="C1010" s="1">
        <v>45737</v>
      </c>
      <c r="D1010" t="str">
        <f>"828"</f>
        <v>828</v>
      </c>
      <c r="E1010" t="str">
        <f>"61830000"</f>
        <v>61830000</v>
      </c>
      <c r="F1010" t="s">
        <v>2583</v>
      </c>
      <c r="G1010" t="s">
        <v>336</v>
      </c>
      <c r="H1010" t="s">
        <v>5928</v>
      </c>
      <c r="I1010">
        <v>0</v>
      </c>
      <c r="J1010" t="s">
        <v>343</v>
      </c>
      <c r="K1010">
        <v>20000</v>
      </c>
      <c r="M1010">
        <v>20000</v>
      </c>
    </row>
    <row r="1011" spans="1:13" x14ac:dyDescent="0.35">
      <c r="A1011" t="str">
        <f t="shared" si="51"/>
        <v>CAI_004573782962420000</v>
      </c>
      <c r="B1011" t="s">
        <v>2337</v>
      </c>
      <c r="C1011" s="1">
        <v>45737</v>
      </c>
      <c r="D1011" t="str">
        <f>"829"</f>
        <v>829</v>
      </c>
      <c r="E1011" t="str">
        <f>"62420000"</f>
        <v>62420000</v>
      </c>
      <c r="F1011" t="s">
        <v>2584</v>
      </c>
      <c r="G1011" t="s">
        <v>336</v>
      </c>
      <c r="H1011" t="s">
        <v>5966</v>
      </c>
      <c r="I1011">
        <v>0</v>
      </c>
      <c r="J1011" t="s">
        <v>343</v>
      </c>
      <c r="K1011">
        <v>39000</v>
      </c>
      <c r="M1011">
        <v>79000</v>
      </c>
    </row>
    <row r="1012" spans="1:13" x14ac:dyDescent="0.35">
      <c r="A1012" t="str">
        <f t="shared" si="51"/>
        <v>CAI_004573782962420000</v>
      </c>
      <c r="B1012" t="s">
        <v>2337</v>
      </c>
      <c r="C1012" s="1">
        <v>45737</v>
      </c>
      <c r="D1012" t="str">
        <f>"829"</f>
        <v>829</v>
      </c>
      <c r="E1012" t="str">
        <f>"62420000"</f>
        <v>62420000</v>
      </c>
      <c r="F1012" t="s">
        <v>2584</v>
      </c>
      <c r="G1012" t="s">
        <v>336</v>
      </c>
      <c r="H1012" t="s">
        <v>5875</v>
      </c>
      <c r="I1012">
        <v>0</v>
      </c>
      <c r="J1012" t="s">
        <v>343</v>
      </c>
      <c r="K1012">
        <v>40000</v>
      </c>
      <c r="M1012">
        <v>79000</v>
      </c>
    </row>
    <row r="1013" spans="1:13" x14ac:dyDescent="0.35">
      <c r="A1013" t="str">
        <f t="shared" si="51"/>
        <v>CAI_004573783061830000</v>
      </c>
      <c r="B1013" t="s">
        <v>2337</v>
      </c>
      <c r="C1013" s="1">
        <v>45737</v>
      </c>
      <c r="D1013" t="str">
        <f>"830"</f>
        <v>830</v>
      </c>
      <c r="E1013" t="str">
        <f>"61830000"</f>
        <v>61830000</v>
      </c>
      <c r="F1013" t="s">
        <v>2585</v>
      </c>
      <c r="G1013" t="s">
        <v>336</v>
      </c>
      <c r="H1013" t="s">
        <v>5942</v>
      </c>
      <c r="I1013">
        <v>0</v>
      </c>
      <c r="J1013" t="s">
        <v>343</v>
      </c>
      <c r="K1013">
        <v>155000</v>
      </c>
      <c r="M1013">
        <v>155000</v>
      </c>
    </row>
    <row r="1014" spans="1:13" x14ac:dyDescent="0.35">
      <c r="A1014" t="str">
        <f t="shared" si="51"/>
        <v>CAI_004573783161810100</v>
      </c>
      <c r="B1014" t="s">
        <v>2337</v>
      </c>
      <c r="C1014" s="1">
        <v>45737</v>
      </c>
      <c r="D1014" t="str">
        <f>"831"</f>
        <v>831</v>
      </c>
      <c r="E1014" t="str">
        <f>"61810100"</f>
        <v>61810100</v>
      </c>
      <c r="F1014" t="s">
        <v>2586</v>
      </c>
      <c r="G1014" t="s">
        <v>336</v>
      </c>
      <c r="H1014" t="s">
        <v>5944</v>
      </c>
      <c r="I1014">
        <v>0</v>
      </c>
      <c r="J1014" t="s">
        <v>343</v>
      </c>
      <c r="K1014">
        <v>90000</v>
      </c>
      <c r="M1014">
        <v>90000</v>
      </c>
    </row>
    <row r="1015" spans="1:13" x14ac:dyDescent="0.35">
      <c r="A1015" t="str">
        <f t="shared" si="51"/>
        <v>CAI_004574083362480000</v>
      </c>
      <c r="B1015" t="s">
        <v>2337</v>
      </c>
      <c r="C1015" s="1">
        <v>45740</v>
      </c>
      <c r="D1015" t="str">
        <f>"833"</f>
        <v>833</v>
      </c>
      <c r="E1015" t="str">
        <f>"62480000"</f>
        <v>62480000</v>
      </c>
      <c r="F1015" t="s">
        <v>2588</v>
      </c>
      <c r="G1015" t="s">
        <v>336</v>
      </c>
      <c r="H1015" t="s">
        <v>5951</v>
      </c>
      <c r="I1015">
        <v>0</v>
      </c>
      <c r="J1015" t="s">
        <v>343</v>
      </c>
      <c r="K1015">
        <v>70000</v>
      </c>
      <c r="M1015">
        <v>70000</v>
      </c>
    </row>
    <row r="1016" spans="1:13" x14ac:dyDescent="0.35">
      <c r="A1016" t="str">
        <f t="shared" si="51"/>
        <v>CAI_004574083461830000</v>
      </c>
      <c r="B1016" t="s">
        <v>2337</v>
      </c>
      <c r="C1016" s="1">
        <v>45740</v>
      </c>
      <c r="D1016" t="str">
        <f>"834"</f>
        <v>834</v>
      </c>
      <c r="E1016" t="str">
        <f>"61830000"</f>
        <v>61830000</v>
      </c>
      <c r="F1016" t="s">
        <v>2589</v>
      </c>
      <c r="G1016" t="s">
        <v>336</v>
      </c>
      <c r="H1016" t="s">
        <v>5947</v>
      </c>
      <c r="I1016">
        <v>0</v>
      </c>
      <c r="J1016" t="s">
        <v>343</v>
      </c>
      <c r="K1016">
        <v>35000</v>
      </c>
      <c r="M1016">
        <v>35000</v>
      </c>
    </row>
    <row r="1017" spans="1:13" x14ac:dyDescent="0.35">
      <c r="A1017" t="str">
        <f t="shared" si="51"/>
        <v>CAI_004574083561830000</v>
      </c>
      <c r="B1017" t="s">
        <v>2337</v>
      </c>
      <c r="C1017" s="1">
        <v>45740</v>
      </c>
      <c r="D1017" t="str">
        <f>"835"</f>
        <v>835</v>
      </c>
      <c r="E1017" t="str">
        <f>"61830000"</f>
        <v>61830000</v>
      </c>
      <c r="F1017" t="s">
        <v>2590</v>
      </c>
      <c r="G1017" t="s">
        <v>336</v>
      </c>
      <c r="H1017" t="s">
        <v>5948</v>
      </c>
      <c r="I1017">
        <v>0</v>
      </c>
      <c r="J1017" t="s">
        <v>343</v>
      </c>
      <c r="K1017">
        <v>40000</v>
      </c>
      <c r="M1017">
        <v>40000</v>
      </c>
    </row>
    <row r="1018" spans="1:13" x14ac:dyDescent="0.35">
      <c r="A1018" t="str">
        <f t="shared" si="51"/>
        <v>CAI_004574083660470100</v>
      </c>
      <c r="B1018" t="s">
        <v>2337</v>
      </c>
      <c r="C1018" s="1">
        <v>45740</v>
      </c>
      <c r="D1018" t="str">
        <f>"836"</f>
        <v>836</v>
      </c>
      <c r="E1018" t="str">
        <f>"60470100"</f>
        <v>60470100</v>
      </c>
      <c r="F1018" t="s">
        <v>2591</v>
      </c>
      <c r="G1018" t="s">
        <v>336</v>
      </c>
      <c r="H1018" t="s">
        <v>348</v>
      </c>
      <c r="I1018">
        <v>0</v>
      </c>
      <c r="J1018" t="s">
        <v>343</v>
      </c>
      <c r="K1018">
        <v>-3500</v>
      </c>
      <c r="M1018">
        <v>-3500</v>
      </c>
    </row>
    <row r="1019" spans="1:13" x14ac:dyDescent="0.35">
      <c r="A1019" t="str">
        <f t="shared" si="51"/>
        <v>CAI_004574083862880000</v>
      </c>
      <c r="B1019" t="s">
        <v>2337</v>
      </c>
      <c r="C1019" s="1">
        <v>45740</v>
      </c>
      <c r="D1019" t="str">
        <f>"838"</f>
        <v>838</v>
      </c>
      <c r="E1019" t="str">
        <f>"62880000"</f>
        <v>62880000</v>
      </c>
      <c r="F1019" t="s">
        <v>2593</v>
      </c>
      <c r="G1019" t="s">
        <v>336</v>
      </c>
      <c r="H1019" t="s">
        <v>5942</v>
      </c>
      <c r="I1019">
        <v>0</v>
      </c>
      <c r="J1019" t="s">
        <v>343</v>
      </c>
      <c r="K1019">
        <v>45000</v>
      </c>
      <c r="M1019">
        <v>45000</v>
      </c>
    </row>
    <row r="1020" spans="1:13" x14ac:dyDescent="0.35">
      <c r="A1020" t="str">
        <f t="shared" si="51"/>
        <v>CAI_004574083960560000</v>
      </c>
      <c r="B1020" t="s">
        <v>2337</v>
      </c>
      <c r="C1020" s="1">
        <v>45740</v>
      </c>
      <c r="D1020" t="str">
        <f>"839"</f>
        <v>839</v>
      </c>
      <c r="E1020" t="str">
        <f>"60560000"</f>
        <v>60560000</v>
      </c>
      <c r="F1020" t="s">
        <v>2594</v>
      </c>
      <c r="G1020" t="s">
        <v>336</v>
      </c>
      <c r="H1020" t="s">
        <v>5905</v>
      </c>
      <c r="I1020">
        <v>0</v>
      </c>
      <c r="J1020" t="s">
        <v>343</v>
      </c>
      <c r="K1020">
        <v>54000</v>
      </c>
      <c r="M1020">
        <v>54000</v>
      </c>
    </row>
    <row r="1021" spans="1:13" x14ac:dyDescent="0.35">
      <c r="A1021" t="str">
        <f t="shared" si="51"/>
        <v>CAI_004574084061830000</v>
      </c>
      <c r="B1021" t="s">
        <v>2337</v>
      </c>
      <c r="C1021" s="1">
        <v>45740</v>
      </c>
      <c r="D1021" t="str">
        <f>"840"</f>
        <v>840</v>
      </c>
      <c r="E1021" t="str">
        <f>"61830000"</f>
        <v>61830000</v>
      </c>
      <c r="F1021" t="s">
        <v>2595</v>
      </c>
      <c r="G1021" t="s">
        <v>336</v>
      </c>
      <c r="H1021" t="s">
        <v>5873</v>
      </c>
      <c r="I1021">
        <v>0</v>
      </c>
      <c r="J1021" t="s">
        <v>343</v>
      </c>
      <c r="K1021">
        <v>21000</v>
      </c>
      <c r="M1021">
        <v>51000</v>
      </c>
    </row>
    <row r="1022" spans="1:13" x14ac:dyDescent="0.35">
      <c r="A1022" t="str">
        <f t="shared" si="51"/>
        <v>CAI_004574084061830000</v>
      </c>
      <c r="B1022" t="s">
        <v>2337</v>
      </c>
      <c r="C1022" s="1">
        <v>45740</v>
      </c>
      <c r="D1022" t="str">
        <f>"840"</f>
        <v>840</v>
      </c>
      <c r="E1022" t="str">
        <f>"61830000"</f>
        <v>61830000</v>
      </c>
      <c r="F1022" t="s">
        <v>2595</v>
      </c>
      <c r="G1022" t="s">
        <v>336</v>
      </c>
      <c r="H1022" t="s">
        <v>5940</v>
      </c>
      <c r="I1022">
        <v>0</v>
      </c>
      <c r="J1022" t="s">
        <v>343</v>
      </c>
      <c r="K1022">
        <v>30000</v>
      </c>
      <c r="M1022">
        <v>51000</v>
      </c>
    </row>
    <row r="1023" spans="1:13" x14ac:dyDescent="0.35">
      <c r="A1023" t="str">
        <f t="shared" si="51"/>
        <v>CAI_004574084161830000</v>
      </c>
      <c r="B1023" t="s">
        <v>2337</v>
      </c>
      <c r="C1023" s="1">
        <v>45740</v>
      </c>
      <c r="D1023" t="str">
        <f>"841"</f>
        <v>841</v>
      </c>
      <c r="E1023" t="str">
        <f>"61830000"</f>
        <v>61830000</v>
      </c>
      <c r="F1023" t="s">
        <v>2596</v>
      </c>
      <c r="G1023" t="s">
        <v>336</v>
      </c>
      <c r="H1023" t="s">
        <v>5928</v>
      </c>
      <c r="I1023">
        <v>0</v>
      </c>
      <c r="J1023" t="s">
        <v>343</v>
      </c>
      <c r="K1023">
        <v>11000</v>
      </c>
      <c r="M1023">
        <v>11000</v>
      </c>
    </row>
    <row r="1024" spans="1:13" x14ac:dyDescent="0.35">
      <c r="A1024" t="str">
        <f t="shared" si="51"/>
        <v>CAI_004574084261830000</v>
      </c>
      <c r="B1024" t="s">
        <v>2337</v>
      </c>
      <c r="C1024" s="1">
        <v>45740</v>
      </c>
      <c r="D1024" t="str">
        <f>"842"</f>
        <v>842</v>
      </c>
      <c r="E1024" t="str">
        <f>"61830000"</f>
        <v>61830000</v>
      </c>
      <c r="F1024" t="s">
        <v>2597</v>
      </c>
      <c r="G1024" t="s">
        <v>336</v>
      </c>
      <c r="H1024" t="s">
        <v>5873</v>
      </c>
      <c r="I1024">
        <v>0</v>
      </c>
      <c r="J1024" t="s">
        <v>343</v>
      </c>
      <c r="K1024">
        <v>45000</v>
      </c>
      <c r="M1024">
        <v>45000</v>
      </c>
    </row>
    <row r="1025" spans="1:13" x14ac:dyDescent="0.35">
      <c r="A1025" t="str">
        <f t="shared" si="51"/>
        <v>CAI_004574084361830000</v>
      </c>
      <c r="B1025" t="s">
        <v>2337</v>
      </c>
      <c r="C1025" s="1">
        <v>45740</v>
      </c>
      <c r="D1025" t="str">
        <f>"843"</f>
        <v>843</v>
      </c>
      <c r="E1025" t="str">
        <f>"61830000"</f>
        <v>61830000</v>
      </c>
      <c r="F1025" t="s">
        <v>2598</v>
      </c>
      <c r="G1025" t="s">
        <v>336</v>
      </c>
      <c r="H1025" t="s">
        <v>5939</v>
      </c>
      <c r="I1025">
        <v>0</v>
      </c>
      <c r="J1025" t="s">
        <v>343</v>
      </c>
      <c r="K1025">
        <v>14000</v>
      </c>
      <c r="M1025">
        <v>14000</v>
      </c>
    </row>
    <row r="1026" spans="1:13" x14ac:dyDescent="0.35">
      <c r="A1026" t="str">
        <f t="shared" si="51"/>
        <v>CAI_004574084462411000</v>
      </c>
      <c r="B1026" t="s">
        <v>2337</v>
      </c>
      <c r="C1026" s="1">
        <v>45740</v>
      </c>
      <c r="D1026" t="str">
        <f>"844"</f>
        <v>844</v>
      </c>
      <c r="E1026" t="str">
        <f>"62411000"</f>
        <v>62411000</v>
      </c>
      <c r="F1026" t="s">
        <v>2599</v>
      </c>
      <c r="G1026" t="s">
        <v>336</v>
      </c>
      <c r="H1026" t="s">
        <v>5905</v>
      </c>
      <c r="I1026">
        <v>0</v>
      </c>
      <c r="J1026" t="s">
        <v>343</v>
      </c>
      <c r="K1026">
        <v>20000</v>
      </c>
      <c r="M1026">
        <v>20000</v>
      </c>
    </row>
    <row r="1027" spans="1:13" x14ac:dyDescent="0.35">
      <c r="A1027" t="str">
        <f t="shared" ref="A1027:A1090" si="53">CONCATENATE(B1027,C1027,D1027,E1027)</f>
        <v>CAI_004574084562420000</v>
      </c>
      <c r="B1027" t="s">
        <v>2337</v>
      </c>
      <c r="C1027" s="1">
        <v>45740</v>
      </c>
      <c r="D1027" t="str">
        <f>"845"</f>
        <v>845</v>
      </c>
      <c r="E1027" t="str">
        <f>"62420000"</f>
        <v>62420000</v>
      </c>
      <c r="F1027" t="s">
        <v>2600</v>
      </c>
      <c r="G1027" t="s">
        <v>336</v>
      </c>
      <c r="H1027" t="s">
        <v>5880</v>
      </c>
      <c r="I1027">
        <v>0</v>
      </c>
      <c r="J1027" t="s">
        <v>343</v>
      </c>
      <c r="K1027">
        <v>30000</v>
      </c>
      <c r="M1027">
        <v>30000</v>
      </c>
    </row>
    <row r="1028" spans="1:13" x14ac:dyDescent="0.35">
      <c r="A1028" t="str">
        <f t="shared" si="53"/>
        <v>CAI_004574084661830000</v>
      </c>
      <c r="B1028" t="s">
        <v>2337</v>
      </c>
      <c r="C1028" s="1">
        <v>45740</v>
      </c>
      <c r="D1028" t="str">
        <f>"846"</f>
        <v>846</v>
      </c>
      <c r="E1028" t="str">
        <f>"61830000"</f>
        <v>61830000</v>
      </c>
      <c r="F1028" t="s">
        <v>2601</v>
      </c>
      <c r="G1028" t="s">
        <v>336</v>
      </c>
      <c r="H1028" t="s">
        <v>5873</v>
      </c>
      <c r="I1028">
        <v>0</v>
      </c>
      <c r="J1028" t="s">
        <v>343</v>
      </c>
      <c r="K1028">
        <v>138000</v>
      </c>
      <c r="M1028">
        <v>138000</v>
      </c>
    </row>
    <row r="1029" spans="1:13" x14ac:dyDescent="0.35">
      <c r="A1029" t="str">
        <f t="shared" si="53"/>
        <v>CAI_004574084761830000</v>
      </c>
      <c r="B1029" t="s">
        <v>2337</v>
      </c>
      <c r="C1029" s="1">
        <v>45740</v>
      </c>
      <c r="D1029" t="str">
        <f>"847"</f>
        <v>847</v>
      </c>
      <c r="E1029" t="str">
        <f>"61830000"</f>
        <v>61830000</v>
      </c>
      <c r="F1029" t="s">
        <v>2602</v>
      </c>
      <c r="G1029" t="s">
        <v>336</v>
      </c>
      <c r="H1029" t="s">
        <v>5933</v>
      </c>
      <c r="I1029">
        <v>0</v>
      </c>
      <c r="J1029" t="s">
        <v>343</v>
      </c>
      <c r="K1029">
        <v>60000</v>
      </c>
      <c r="M1029">
        <v>60000</v>
      </c>
    </row>
    <row r="1030" spans="1:13" x14ac:dyDescent="0.35">
      <c r="A1030" t="str">
        <f t="shared" si="53"/>
        <v>CAI_004574084862420000</v>
      </c>
      <c r="B1030" t="s">
        <v>2337</v>
      </c>
      <c r="C1030" s="1">
        <v>45740</v>
      </c>
      <c r="D1030" t="str">
        <f>"848"</f>
        <v>848</v>
      </c>
      <c r="E1030" t="str">
        <f>"62420000"</f>
        <v>62420000</v>
      </c>
      <c r="F1030" t="s">
        <v>2604</v>
      </c>
      <c r="G1030" t="s">
        <v>336</v>
      </c>
      <c r="H1030" t="s">
        <v>5880</v>
      </c>
      <c r="I1030">
        <v>0</v>
      </c>
      <c r="J1030" t="s">
        <v>343</v>
      </c>
      <c r="K1030">
        <v>30000</v>
      </c>
      <c r="M1030">
        <v>30000</v>
      </c>
    </row>
    <row r="1031" spans="1:13" x14ac:dyDescent="0.35">
      <c r="A1031" t="str">
        <f t="shared" si="53"/>
        <v>CAI_004574084864685000</v>
      </c>
      <c r="B1031" t="s">
        <v>2337</v>
      </c>
      <c r="C1031" s="1">
        <v>45740</v>
      </c>
      <c r="D1031" t="str">
        <f>"848"</f>
        <v>848</v>
      </c>
      <c r="E1031" t="str">
        <f>"64685000"</f>
        <v>64685000</v>
      </c>
      <c r="F1031" t="s">
        <v>2605</v>
      </c>
      <c r="G1031" t="s">
        <v>336</v>
      </c>
      <c r="H1031" t="s">
        <v>5884</v>
      </c>
      <c r="I1031">
        <v>0</v>
      </c>
      <c r="J1031" t="s">
        <v>343</v>
      </c>
      <c r="K1031">
        <v>10000</v>
      </c>
      <c r="M1031">
        <v>10000</v>
      </c>
    </row>
    <row r="1032" spans="1:13" x14ac:dyDescent="0.35">
      <c r="A1032" t="str">
        <f t="shared" si="53"/>
        <v>CAI_004574185061830000</v>
      </c>
      <c r="B1032" t="s">
        <v>2337</v>
      </c>
      <c r="C1032" s="1">
        <v>45741</v>
      </c>
      <c r="D1032" t="str">
        <f>"850"</f>
        <v>850</v>
      </c>
      <c r="E1032" t="str">
        <f>"61830000"</f>
        <v>61830000</v>
      </c>
      <c r="F1032" t="s">
        <v>2606</v>
      </c>
      <c r="G1032" t="s">
        <v>336</v>
      </c>
      <c r="H1032" t="s">
        <v>5938</v>
      </c>
      <c r="I1032">
        <v>0</v>
      </c>
      <c r="J1032" t="s">
        <v>343</v>
      </c>
      <c r="K1032">
        <v>15000</v>
      </c>
      <c r="M1032">
        <v>15000</v>
      </c>
    </row>
    <row r="1033" spans="1:13" x14ac:dyDescent="0.35">
      <c r="A1033" t="str">
        <f t="shared" si="53"/>
        <v>CAI_004574185163830000</v>
      </c>
      <c r="B1033" t="s">
        <v>2337</v>
      </c>
      <c r="C1033" s="1">
        <v>45741</v>
      </c>
      <c r="D1033" t="str">
        <f>"851"</f>
        <v>851</v>
      </c>
      <c r="E1033" t="str">
        <f>"63830000"</f>
        <v>63830000</v>
      </c>
      <c r="F1033" t="s">
        <v>2607</v>
      </c>
      <c r="G1033" t="s">
        <v>336</v>
      </c>
      <c r="H1033" t="s">
        <v>5935</v>
      </c>
      <c r="I1033">
        <v>0</v>
      </c>
      <c r="J1033" t="s">
        <v>343</v>
      </c>
      <c r="K1033">
        <v>50000</v>
      </c>
      <c r="M1033">
        <v>50000</v>
      </c>
    </row>
    <row r="1034" spans="1:13" x14ac:dyDescent="0.35">
      <c r="A1034" t="str">
        <f t="shared" si="53"/>
        <v>CAI_004574185260440300</v>
      </c>
      <c r="B1034" t="s">
        <v>2337</v>
      </c>
      <c r="C1034" s="1">
        <v>45741</v>
      </c>
      <c r="D1034" t="str">
        <f>"852"</f>
        <v>852</v>
      </c>
      <c r="E1034" t="str">
        <f>"60440300"</f>
        <v>60440300</v>
      </c>
      <c r="F1034" t="s">
        <v>2608</v>
      </c>
      <c r="G1034" t="s">
        <v>336</v>
      </c>
      <c r="H1034" t="s">
        <v>5967</v>
      </c>
      <c r="I1034">
        <v>0</v>
      </c>
      <c r="J1034" t="s">
        <v>343</v>
      </c>
      <c r="K1034">
        <v>55460</v>
      </c>
      <c r="M1034">
        <v>55460</v>
      </c>
    </row>
    <row r="1035" spans="1:13" x14ac:dyDescent="0.35">
      <c r="A1035" t="str">
        <f t="shared" si="53"/>
        <v>CAI_004574185361830000</v>
      </c>
      <c r="B1035" t="s">
        <v>2337</v>
      </c>
      <c r="C1035" s="1">
        <v>45741</v>
      </c>
      <c r="D1035" t="str">
        <f>"853"</f>
        <v>853</v>
      </c>
      <c r="E1035" t="str">
        <f>"61830000"</f>
        <v>61830000</v>
      </c>
      <c r="F1035" t="s">
        <v>2609</v>
      </c>
      <c r="G1035" t="s">
        <v>336</v>
      </c>
      <c r="H1035" t="s">
        <v>5938</v>
      </c>
      <c r="I1035">
        <v>0</v>
      </c>
      <c r="J1035" t="s">
        <v>343</v>
      </c>
      <c r="K1035">
        <v>15000</v>
      </c>
      <c r="M1035">
        <v>15000</v>
      </c>
    </row>
    <row r="1036" spans="1:13" x14ac:dyDescent="0.35">
      <c r="A1036" t="str">
        <f t="shared" si="53"/>
        <v>CAI_004574185461830000</v>
      </c>
      <c r="B1036" t="s">
        <v>2337</v>
      </c>
      <c r="C1036" s="1">
        <v>45741</v>
      </c>
      <c r="D1036" t="str">
        <f>"854"</f>
        <v>854</v>
      </c>
      <c r="E1036" t="str">
        <f>"61830000"</f>
        <v>61830000</v>
      </c>
      <c r="F1036" t="s">
        <v>2610</v>
      </c>
      <c r="G1036" t="s">
        <v>336</v>
      </c>
      <c r="H1036" t="s">
        <v>5938</v>
      </c>
      <c r="I1036">
        <v>0</v>
      </c>
      <c r="J1036" t="s">
        <v>343</v>
      </c>
      <c r="K1036">
        <v>60000</v>
      </c>
      <c r="M1036">
        <v>60000</v>
      </c>
    </row>
    <row r="1037" spans="1:13" x14ac:dyDescent="0.35">
      <c r="A1037" t="str">
        <f t="shared" si="53"/>
        <v>CAI_004574185562480000</v>
      </c>
      <c r="B1037" t="s">
        <v>2337</v>
      </c>
      <c r="C1037" s="1">
        <v>45741</v>
      </c>
      <c r="D1037" t="str">
        <f>"855"</f>
        <v>855</v>
      </c>
      <c r="E1037" t="str">
        <f>"62480000"</f>
        <v>62480000</v>
      </c>
      <c r="F1037" t="s">
        <v>2611</v>
      </c>
      <c r="G1037" t="s">
        <v>336</v>
      </c>
      <c r="H1037" t="s">
        <v>5887</v>
      </c>
      <c r="I1037">
        <v>0</v>
      </c>
      <c r="J1037" t="s">
        <v>343</v>
      </c>
      <c r="K1037">
        <v>85000</v>
      </c>
      <c r="M1037">
        <v>85000</v>
      </c>
    </row>
    <row r="1038" spans="1:13" x14ac:dyDescent="0.35">
      <c r="A1038" t="str">
        <f t="shared" si="53"/>
        <v>CAI_004574185662425000</v>
      </c>
      <c r="B1038" t="s">
        <v>2337</v>
      </c>
      <c r="C1038" s="1">
        <v>45741</v>
      </c>
      <c r="D1038" t="str">
        <f>"856"</f>
        <v>856</v>
      </c>
      <c r="E1038" t="str">
        <f>"62425000"</f>
        <v>62425000</v>
      </c>
      <c r="F1038" t="s">
        <v>2612</v>
      </c>
      <c r="G1038" t="s">
        <v>336</v>
      </c>
      <c r="H1038" t="s">
        <v>5928</v>
      </c>
      <c r="I1038">
        <v>0</v>
      </c>
      <c r="J1038" t="s">
        <v>343</v>
      </c>
      <c r="K1038">
        <v>19515</v>
      </c>
      <c r="M1038">
        <v>19515</v>
      </c>
    </row>
    <row r="1039" spans="1:13" x14ac:dyDescent="0.35">
      <c r="A1039" t="str">
        <f t="shared" si="53"/>
        <v>CAI_004574185762650000</v>
      </c>
      <c r="B1039" t="s">
        <v>2337</v>
      </c>
      <c r="C1039" s="1">
        <v>45741</v>
      </c>
      <c r="D1039" t="str">
        <f>"857"</f>
        <v>857</v>
      </c>
      <c r="E1039" t="str">
        <f>"62650000"</f>
        <v>62650000</v>
      </c>
      <c r="F1039" t="s">
        <v>2613</v>
      </c>
      <c r="G1039" t="s">
        <v>336</v>
      </c>
      <c r="H1039" t="s">
        <v>5964</v>
      </c>
      <c r="I1039">
        <v>0</v>
      </c>
      <c r="J1039" t="s">
        <v>343</v>
      </c>
      <c r="K1039">
        <v>7800</v>
      </c>
      <c r="M1039">
        <v>7800</v>
      </c>
    </row>
    <row r="1040" spans="1:13" x14ac:dyDescent="0.35">
      <c r="A1040" t="str">
        <f t="shared" si="53"/>
        <v>CAI_004574286060560000</v>
      </c>
      <c r="B1040" t="s">
        <v>2337</v>
      </c>
      <c r="C1040" s="1">
        <v>45742</v>
      </c>
      <c r="D1040" t="str">
        <f>"860"</f>
        <v>860</v>
      </c>
      <c r="E1040" t="str">
        <f>"60560000"</f>
        <v>60560000</v>
      </c>
      <c r="F1040" t="s">
        <v>2616</v>
      </c>
      <c r="G1040" t="s">
        <v>336</v>
      </c>
      <c r="H1040" t="s">
        <v>5928</v>
      </c>
      <c r="I1040">
        <v>0</v>
      </c>
      <c r="J1040" t="s">
        <v>343</v>
      </c>
      <c r="K1040">
        <v>13900</v>
      </c>
      <c r="M1040">
        <v>13900</v>
      </c>
    </row>
    <row r="1041" spans="1:13" x14ac:dyDescent="0.35">
      <c r="A1041" t="str">
        <f t="shared" si="53"/>
        <v>CAI_004574286160560000</v>
      </c>
      <c r="B1041" t="s">
        <v>2337</v>
      </c>
      <c r="C1041" s="1">
        <v>45742</v>
      </c>
      <c r="D1041" t="str">
        <f>"861"</f>
        <v>861</v>
      </c>
      <c r="E1041" t="str">
        <f>"60560000"</f>
        <v>60560000</v>
      </c>
      <c r="F1041" t="s">
        <v>2617</v>
      </c>
      <c r="G1041" t="s">
        <v>336</v>
      </c>
      <c r="H1041" t="s">
        <v>5905</v>
      </c>
      <c r="I1041">
        <v>0</v>
      </c>
      <c r="J1041" t="s">
        <v>343</v>
      </c>
      <c r="K1041">
        <v>9500</v>
      </c>
      <c r="M1041">
        <v>9500</v>
      </c>
    </row>
    <row r="1042" spans="1:13" x14ac:dyDescent="0.35">
      <c r="A1042" t="str">
        <f t="shared" si="53"/>
        <v>CAI_004574286363830000</v>
      </c>
      <c r="B1042" t="s">
        <v>2337</v>
      </c>
      <c r="C1042" s="1">
        <v>45742</v>
      </c>
      <c r="D1042" t="str">
        <f>"863"</f>
        <v>863</v>
      </c>
      <c r="E1042" t="str">
        <f>"63830000"</f>
        <v>63830000</v>
      </c>
      <c r="F1042" t="s">
        <v>2619</v>
      </c>
      <c r="G1042" t="s">
        <v>336</v>
      </c>
      <c r="H1042" t="s">
        <v>5931</v>
      </c>
      <c r="I1042">
        <v>0</v>
      </c>
      <c r="J1042" t="s">
        <v>343</v>
      </c>
      <c r="K1042">
        <v>97500</v>
      </c>
      <c r="M1042">
        <v>97500</v>
      </c>
    </row>
    <row r="1043" spans="1:13" x14ac:dyDescent="0.35">
      <c r="A1043" t="str">
        <f t="shared" si="53"/>
        <v>CAI_004574286461830000</v>
      </c>
      <c r="B1043" t="s">
        <v>2337</v>
      </c>
      <c r="C1043" s="1">
        <v>45742</v>
      </c>
      <c r="D1043" t="str">
        <f>"864"</f>
        <v>864</v>
      </c>
      <c r="E1043" t="str">
        <f>"61830000"</f>
        <v>61830000</v>
      </c>
      <c r="F1043" t="s">
        <v>2620</v>
      </c>
      <c r="G1043" t="s">
        <v>336</v>
      </c>
      <c r="H1043" t="s">
        <v>5884</v>
      </c>
      <c r="I1043">
        <v>0</v>
      </c>
      <c r="J1043" t="s">
        <v>343</v>
      </c>
      <c r="K1043">
        <v>34000</v>
      </c>
      <c r="M1043">
        <v>34000</v>
      </c>
    </row>
    <row r="1044" spans="1:13" x14ac:dyDescent="0.35">
      <c r="A1044" t="str">
        <f t="shared" si="53"/>
        <v>CAI_004574286561830000</v>
      </c>
      <c r="B1044" t="s">
        <v>2337</v>
      </c>
      <c r="C1044" s="1">
        <v>45742</v>
      </c>
      <c r="D1044" t="str">
        <f>"865"</f>
        <v>865</v>
      </c>
      <c r="E1044" t="str">
        <f>"61830000"</f>
        <v>61830000</v>
      </c>
      <c r="F1044" t="s">
        <v>2621</v>
      </c>
      <c r="G1044" t="s">
        <v>336</v>
      </c>
      <c r="H1044" t="s">
        <v>5938</v>
      </c>
      <c r="I1044">
        <v>0</v>
      </c>
      <c r="J1044" t="s">
        <v>343</v>
      </c>
      <c r="K1044">
        <v>15000</v>
      </c>
      <c r="M1044">
        <v>15000</v>
      </c>
    </row>
    <row r="1045" spans="1:13" x14ac:dyDescent="0.35">
      <c r="A1045" t="str">
        <f t="shared" si="53"/>
        <v>CAI_004574286661830000</v>
      </c>
      <c r="B1045" t="s">
        <v>2337</v>
      </c>
      <c r="C1045" s="1">
        <v>45742</v>
      </c>
      <c r="D1045" t="str">
        <f>"866"</f>
        <v>866</v>
      </c>
      <c r="E1045" t="str">
        <f>"61830000"</f>
        <v>61830000</v>
      </c>
      <c r="F1045" t="s">
        <v>2622</v>
      </c>
      <c r="G1045" t="s">
        <v>336</v>
      </c>
      <c r="H1045" t="s">
        <v>5932</v>
      </c>
      <c r="I1045">
        <v>0</v>
      </c>
      <c r="J1045" t="s">
        <v>343</v>
      </c>
      <c r="K1045">
        <v>108000</v>
      </c>
      <c r="M1045">
        <v>108000</v>
      </c>
    </row>
    <row r="1046" spans="1:13" x14ac:dyDescent="0.35">
      <c r="A1046" t="str">
        <f t="shared" si="53"/>
        <v>CAI_004574286761810100</v>
      </c>
      <c r="B1046" t="s">
        <v>2337</v>
      </c>
      <c r="C1046" s="1">
        <v>45742</v>
      </c>
      <c r="D1046" t="str">
        <f>"867"</f>
        <v>867</v>
      </c>
      <c r="E1046" t="str">
        <f>"61810100"</f>
        <v>61810100</v>
      </c>
      <c r="F1046" t="s">
        <v>2624</v>
      </c>
      <c r="G1046" t="s">
        <v>336</v>
      </c>
      <c r="H1046" t="s">
        <v>5944</v>
      </c>
      <c r="I1046">
        <v>0</v>
      </c>
      <c r="J1046" t="s">
        <v>343</v>
      </c>
      <c r="K1046">
        <v>138000</v>
      </c>
      <c r="M1046">
        <v>138000</v>
      </c>
    </row>
    <row r="1047" spans="1:13" x14ac:dyDescent="0.35">
      <c r="A1047" t="str">
        <f t="shared" si="53"/>
        <v>CAI_004574286763883000</v>
      </c>
      <c r="B1047" t="s">
        <v>2337</v>
      </c>
      <c r="C1047" s="1">
        <v>45742</v>
      </c>
      <c r="D1047" t="str">
        <f>"867"</f>
        <v>867</v>
      </c>
      <c r="E1047" t="str">
        <f>"63883000"</f>
        <v>63883000</v>
      </c>
      <c r="F1047" t="s">
        <v>2625</v>
      </c>
      <c r="G1047" t="s">
        <v>336</v>
      </c>
      <c r="H1047" t="s">
        <v>5944</v>
      </c>
      <c r="I1047">
        <v>0</v>
      </c>
      <c r="J1047" t="s">
        <v>343</v>
      </c>
      <c r="K1047">
        <v>48300</v>
      </c>
      <c r="M1047">
        <v>48300</v>
      </c>
    </row>
    <row r="1048" spans="1:13" x14ac:dyDescent="0.35">
      <c r="A1048" t="str">
        <f t="shared" si="53"/>
        <v>CAI_004574487161830000</v>
      </c>
      <c r="B1048" t="s">
        <v>2337</v>
      </c>
      <c r="C1048" s="1">
        <v>45744</v>
      </c>
      <c r="D1048" t="str">
        <f>"871"</f>
        <v>871</v>
      </c>
      <c r="E1048" t="str">
        <f>"61830000"</f>
        <v>61830000</v>
      </c>
      <c r="F1048" t="s">
        <v>2630</v>
      </c>
      <c r="G1048" t="s">
        <v>336</v>
      </c>
      <c r="H1048" t="s">
        <v>5928</v>
      </c>
      <c r="I1048">
        <v>0</v>
      </c>
      <c r="J1048" t="s">
        <v>343</v>
      </c>
      <c r="K1048">
        <v>20000</v>
      </c>
      <c r="M1048">
        <v>20000</v>
      </c>
    </row>
    <row r="1049" spans="1:13" x14ac:dyDescent="0.35">
      <c r="A1049" t="str">
        <f t="shared" si="53"/>
        <v>CAI_004574487163280000</v>
      </c>
      <c r="B1049" t="s">
        <v>2337</v>
      </c>
      <c r="C1049" s="1">
        <v>45744</v>
      </c>
      <c r="D1049" t="str">
        <f>"871"</f>
        <v>871</v>
      </c>
      <c r="E1049" t="str">
        <f>"63280000"</f>
        <v>63280000</v>
      </c>
      <c r="F1049" t="s">
        <v>2631</v>
      </c>
      <c r="G1049" t="s">
        <v>336</v>
      </c>
      <c r="H1049" t="s">
        <v>5928</v>
      </c>
      <c r="I1049">
        <v>0</v>
      </c>
      <c r="J1049" t="s">
        <v>343</v>
      </c>
      <c r="K1049">
        <v>10000</v>
      </c>
      <c r="M1049">
        <v>10000</v>
      </c>
    </row>
    <row r="1050" spans="1:13" x14ac:dyDescent="0.35">
      <c r="A1050" t="str">
        <f t="shared" si="53"/>
        <v>CAI_004574487261830000</v>
      </c>
      <c r="B1050" t="s">
        <v>2337</v>
      </c>
      <c r="C1050" s="1">
        <v>45744</v>
      </c>
      <c r="D1050" t="str">
        <f>"872"</f>
        <v>872</v>
      </c>
      <c r="E1050" t="str">
        <f>"61830000"</f>
        <v>61830000</v>
      </c>
      <c r="F1050" t="s">
        <v>2632</v>
      </c>
      <c r="G1050" t="s">
        <v>336</v>
      </c>
      <c r="H1050" t="s">
        <v>5948</v>
      </c>
      <c r="I1050">
        <v>0</v>
      </c>
      <c r="J1050" t="s">
        <v>343</v>
      </c>
      <c r="K1050">
        <v>15000</v>
      </c>
      <c r="M1050">
        <v>15000</v>
      </c>
    </row>
    <row r="1051" spans="1:13" x14ac:dyDescent="0.35">
      <c r="A1051" t="str">
        <f t="shared" si="53"/>
        <v>CAI_004574487362411000</v>
      </c>
      <c r="B1051" t="s">
        <v>2337</v>
      </c>
      <c r="C1051" s="1">
        <v>45744</v>
      </c>
      <c r="D1051" t="str">
        <f>"873"</f>
        <v>873</v>
      </c>
      <c r="E1051" t="str">
        <f>"62411000"</f>
        <v>62411000</v>
      </c>
      <c r="F1051" t="s">
        <v>2633</v>
      </c>
      <c r="G1051" t="s">
        <v>336</v>
      </c>
      <c r="H1051" t="s">
        <v>5905</v>
      </c>
      <c r="I1051">
        <v>0</v>
      </c>
      <c r="J1051" t="s">
        <v>343</v>
      </c>
      <c r="K1051">
        <v>140000</v>
      </c>
      <c r="M1051">
        <v>140000</v>
      </c>
    </row>
    <row r="1052" spans="1:13" x14ac:dyDescent="0.35">
      <c r="A1052" t="str">
        <f t="shared" si="53"/>
        <v>CAI_004574487461830000</v>
      </c>
      <c r="B1052" t="s">
        <v>2337</v>
      </c>
      <c r="C1052" s="1">
        <v>45744</v>
      </c>
      <c r="D1052" t="str">
        <f>"874"</f>
        <v>874</v>
      </c>
      <c r="E1052" t="str">
        <f>"61830000"</f>
        <v>61830000</v>
      </c>
      <c r="F1052" t="s">
        <v>2634</v>
      </c>
      <c r="G1052" t="s">
        <v>336</v>
      </c>
      <c r="H1052" t="s">
        <v>5873</v>
      </c>
      <c r="I1052">
        <v>0</v>
      </c>
      <c r="J1052" t="s">
        <v>343</v>
      </c>
      <c r="K1052">
        <v>58000</v>
      </c>
      <c r="M1052">
        <v>58000</v>
      </c>
    </row>
    <row r="1053" spans="1:13" x14ac:dyDescent="0.35">
      <c r="A1053" t="str">
        <f t="shared" si="53"/>
        <v>CAI_004574487561830000</v>
      </c>
      <c r="B1053" t="s">
        <v>2337</v>
      </c>
      <c r="C1053" s="1">
        <v>45744</v>
      </c>
      <c r="D1053" t="str">
        <f>"875"</f>
        <v>875</v>
      </c>
      <c r="E1053" t="str">
        <f>"61830000"</f>
        <v>61830000</v>
      </c>
      <c r="F1053" t="s">
        <v>2635</v>
      </c>
      <c r="G1053" t="s">
        <v>336</v>
      </c>
      <c r="H1053" t="s">
        <v>5938</v>
      </c>
      <c r="I1053">
        <v>0</v>
      </c>
      <c r="J1053" t="s">
        <v>343</v>
      </c>
      <c r="K1053">
        <v>10000</v>
      </c>
      <c r="M1053">
        <v>10000</v>
      </c>
    </row>
    <row r="1054" spans="1:13" x14ac:dyDescent="0.35">
      <c r="A1054" t="str">
        <f t="shared" si="53"/>
        <v>CAI_004574487661830000</v>
      </c>
      <c r="B1054" t="s">
        <v>2337</v>
      </c>
      <c r="C1054" s="1">
        <v>45744</v>
      </c>
      <c r="D1054" t="str">
        <f>"876"</f>
        <v>876</v>
      </c>
      <c r="E1054" t="str">
        <f>"61830000"</f>
        <v>61830000</v>
      </c>
      <c r="F1054" t="s">
        <v>2636</v>
      </c>
      <c r="G1054" t="s">
        <v>336</v>
      </c>
      <c r="H1054" t="s">
        <v>5882</v>
      </c>
      <c r="I1054">
        <v>0</v>
      </c>
      <c r="J1054" t="s">
        <v>343</v>
      </c>
      <c r="K1054">
        <v>49000</v>
      </c>
      <c r="M1054">
        <v>59000</v>
      </c>
    </row>
    <row r="1055" spans="1:13" x14ac:dyDescent="0.35">
      <c r="A1055" t="str">
        <f t="shared" si="53"/>
        <v>CAI_004574487661830000</v>
      </c>
      <c r="B1055" t="s">
        <v>2337</v>
      </c>
      <c r="C1055" s="1">
        <v>45744</v>
      </c>
      <c r="D1055" t="str">
        <f>"876"</f>
        <v>876</v>
      </c>
      <c r="E1055" t="str">
        <f>"61830000"</f>
        <v>61830000</v>
      </c>
      <c r="F1055" t="s">
        <v>2636</v>
      </c>
      <c r="G1055" t="s">
        <v>336</v>
      </c>
      <c r="H1055" t="s">
        <v>5883</v>
      </c>
      <c r="I1055">
        <v>0</v>
      </c>
      <c r="J1055" t="s">
        <v>343</v>
      </c>
      <c r="K1055">
        <v>10000</v>
      </c>
      <c r="M1055">
        <v>59000</v>
      </c>
    </row>
    <row r="1056" spans="1:13" x14ac:dyDescent="0.35">
      <c r="A1056" t="str">
        <f t="shared" si="53"/>
        <v>CAI_004574487761810100</v>
      </c>
      <c r="B1056" t="s">
        <v>2337</v>
      </c>
      <c r="C1056" s="1">
        <v>45744</v>
      </c>
      <c r="D1056" t="str">
        <f>"877"</f>
        <v>877</v>
      </c>
      <c r="E1056" t="str">
        <f>"61810100"</f>
        <v>61810100</v>
      </c>
      <c r="F1056" t="s">
        <v>2638</v>
      </c>
      <c r="G1056" t="s">
        <v>336</v>
      </c>
      <c r="H1056" t="s">
        <v>5952</v>
      </c>
      <c r="I1056">
        <v>0</v>
      </c>
      <c r="J1056" t="s">
        <v>343</v>
      </c>
      <c r="K1056">
        <v>142000</v>
      </c>
      <c r="M1056">
        <v>142000</v>
      </c>
    </row>
    <row r="1057" spans="1:13" x14ac:dyDescent="0.35">
      <c r="A1057" t="str">
        <f t="shared" si="53"/>
        <v>CAI_004574487763883000</v>
      </c>
      <c r="B1057" t="s">
        <v>2337</v>
      </c>
      <c r="C1057" s="1">
        <v>45744</v>
      </c>
      <c r="D1057" t="str">
        <f>"877"</f>
        <v>877</v>
      </c>
      <c r="E1057" t="str">
        <f>"63883000"</f>
        <v>63883000</v>
      </c>
      <c r="F1057" t="s">
        <v>2639</v>
      </c>
      <c r="G1057" t="s">
        <v>336</v>
      </c>
      <c r="H1057" t="s">
        <v>5952</v>
      </c>
      <c r="I1057">
        <v>0</v>
      </c>
      <c r="J1057" t="s">
        <v>343</v>
      </c>
      <c r="K1057">
        <v>34000</v>
      </c>
      <c r="M1057">
        <v>34000</v>
      </c>
    </row>
    <row r="1058" spans="1:13" x14ac:dyDescent="0.35">
      <c r="A1058" t="str">
        <f t="shared" si="53"/>
        <v>CAI_004574487764630100</v>
      </c>
      <c r="B1058" t="s">
        <v>2337</v>
      </c>
      <c r="C1058" s="1">
        <v>45744</v>
      </c>
      <c r="D1058" t="str">
        <f>"877"</f>
        <v>877</v>
      </c>
      <c r="E1058" t="str">
        <f>"64630100"</f>
        <v>64630100</v>
      </c>
      <c r="F1058" t="s">
        <v>2640</v>
      </c>
      <c r="G1058" t="s">
        <v>336</v>
      </c>
      <c r="H1058" t="s">
        <v>5952</v>
      </c>
      <c r="I1058">
        <v>0</v>
      </c>
      <c r="J1058" t="s">
        <v>343</v>
      </c>
      <c r="K1058">
        <v>5000</v>
      </c>
      <c r="M1058">
        <v>5000</v>
      </c>
    </row>
    <row r="1059" spans="1:13" x14ac:dyDescent="0.35">
      <c r="A1059" t="str">
        <f t="shared" si="53"/>
        <v>CAI_004574487861830000</v>
      </c>
      <c r="B1059" t="s">
        <v>2337</v>
      </c>
      <c r="C1059" s="1">
        <v>45744</v>
      </c>
      <c r="D1059" t="str">
        <f>"878"</f>
        <v>878</v>
      </c>
      <c r="E1059" t="str">
        <f>"61830000"</f>
        <v>61830000</v>
      </c>
      <c r="F1059" t="s">
        <v>2641</v>
      </c>
      <c r="G1059" t="s">
        <v>336</v>
      </c>
      <c r="H1059" t="s">
        <v>5933</v>
      </c>
      <c r="I1059">
        <v>0</v>
      </c>
      <c r="J1059" t="s">
        <v>343</v>
      </c>
      <c r="K1059">
        <v>105000</v>
      </c>
      <c r="M1059">
        <v>105000</v>
      </c>
    </row>
    <row r="1060" spans="1:13" x14ac:dyDescent="0.35">
      <c r="A1060" t="str">
        <f t="shared" si="53"/>
        <v>CAI_004574487961810100</v>
      </c>
      <c r="B1060" t="s">
        <v>2337</v>
      </c>
      <c r="C1060" s="1">
        <v>45744</v>
      </c>
      <c r="D1060" t="str">
        <f>"879"</f>
        <v>879</v>
      </c>
      <c r="E1060" t="str">
        <f>"61810100"</f>
        <v>61810100</v>
      </c>
      <c r="F1060" t="s">
        <v>2643</v>
      </c>
      <c r="G1060" t="s">
        <v>336</v>
      </c>
      <c r="H1060" t="s">
        <v>5944</v>
      </c>
      <c r="I1060">
        <v>0</v>
      </c>
      <c r="J1060" t="s">
        <v>343</v>
      </c>
      <c r="K1060">
        <v>205000</v>
      </c>
      <c r="M1060">
        <v>205000</v>
      </c>
    </row>
    <row r="1061" spans="1:13" x14ac:dyDescent="0.35">
      <c r="A1061" t="str">
        <f t="shared" si="53"/>
        <v>CAI_004574487962230000</v>
      </c>
      <c r="B1061" t="s">
        <v>2337</v>
      </c>
      <c r="C1061" s="1">
        <v>45744</v>
      </c>
      <c r="D1061" t="str">
        <f>"879"</f>
        <v>879</v>
      </c>
      <c r="E1061" t="str">
        <f>"62230000"</f>
        <v>62230000</v>
      </c>
      <c r="F1061" t="s">
        <v>2644</v>
      </c>
      <c r="G1061" t="s">
        <v>336</v>
      </c>
      <c r="H1061" t="s">
        <v>5944</v>
      </c>
      <c r="I1061">
        <v>0</v>
      </c>
      <c r="J1061" t="s">
        <v>343</v>
      </c>
      <c r="K1061">
        <v>4000</v>
      </c>
      <c r="M1061">
        <v>4000</v>
      </c>
    </row>
    <row r="1062" spans="1:13" x14ac:dyDescent="0.35">
      <c r="A1062" t="str">
        <f t="shared" si="53"/>
        <v>CAI_004574487963883000</v>
      </c>
      <c r="B1062" t="s">
        <v>2337</v>
      </c>
      <c r="C1062" s="1">
        <v>45744</v>
      </c>
      <c r="D1062" t="str">
        <f>"879"</f>
        <v>879</v>
      </c>
      <c r="E1062" t="str">
        <f>"63883000"</f>
        <v>63883000</v>
      </c>
      <c r="F1062" t="s">
        <v>2645</v>
      </c>
      <c r="G1062" t="s">
        <v>336</v>
      </c>
      <c r="H1062" t="s">
        <v>5944</v>
      </c>
      <c r="I1062">
        <v>0</v>
      </c>
      <c r="J1062" t="s">
        <v>343</v>
      </c>
      <c r="K1062">
        <v>62000</v>
      </c>
      <c r="M1062">
        <v>62000</v>
      </c>
    </row>
    <row r="1063" spans="1:13" x14ac:dyDescent="0.35">
      <c r="A1063" t="str">
        <f t="shared" si="53"/>
        <v>CAI_004574487964630100</v>
      </c>
      <c r="B1063" t="s">
        <v>2337</v>
      </c>
      <c r="C1063" s="1">
        <v>45744</v>
      </c>
      <c r="D1063" t="str">
        <f>"879"</f>
        <v>879</v>
      </c>
      <c r="E1063" t="str">
        <f>"64630100"</f>
        <v>64630100</v>
      </c>
      <c r="F1063" t="s">
        <v>2646</v>
      </c>
      <c r="G1063" t="s">
        <v>336</v>
      </c>
      <c r="H1063" t="s">
        <v>5953</v>
      </c>
      <c r="I1063">
        <v>0</v>
      </c>
      <c r="J1063" t="s">
        <v>343</v>
      </c>
      <c r="K1063">
        <v>1500</v>
      </c>
      <c r="M1063">
        <v>1500</v>
      </c>
    </row>
    <row r="1064" spans="1:13" x14ac:dyDescent="0.35">
      <c r="A1064" t="str">
        <f t="shared" si="53"/>
        <v>CAI_004574487964685000</v>
      </c>
      <c r="B1064" t="s">
        <v>2337</v>
      </c>
      <c r="C1064" s="1">
        <v>45744</v>
      </c>
      <c r="D1064" t="str">
        <f>"879"</f>
        <v>879</v>
      </c>
      <c r="E1064" t="str">
        <f>"64685000"</f>
        <v>64685000</v>
      </c>
      <c r="F1064" t="s">
        <v>2647</v>
      </c>
      <c r="G1064" t="s">
        <v>336</v>
      </c>
      <c r="H1064" t="s">
        <v>5884</v>
      </c>
      <c r="I1064">
        <v>0</v>
      </c>
      <c r="J1064" t="s">
        <v>343</v>
      </c>
      <c r="K1064">
        <v>20000</v>
      </c>
      <c r="M1064">
        <v>20000</v>
      </c>
    </row>
    <row r="1065" spans="1:13" x14ac:dyDescent="0.35">
      <c r="A1065" t="str">
        <f t="shared" si="53"/>
        <v>CAI_004574488061830000</v>
      </c>
      <c r="B1065" t="s">
        <v>2337</v>
      </c>
      <c r="C1065" s="1">
        <v>45744</v>
      </c>
      <c r="D1065" t="str">
        <f>"880"</f>
        <v>880</v>
      </c>
      <c r="E1065" t="str">
        <f>"61830000"</f>
        <v>61830000</v>
      </c>
      <c r="F1065" t="s">
        <v>2649</v>
      </c>
      <c r="G1065" t="s">
        <v>336</v>
      </c>
      <c r="H1065" t="s">
        <v>5942</v>
      </c>
      <c r="I1065">
        <v>0</v>
      </c>
      <c r="J1065" t="s">
        <v>343</v>
      </c>
      <c r="K1065">
        <v>390000</v>
      </c>
      <c r="M1065">
        <v>390000</v>
      </c>
    </row>
    <row r="1066" spans="1:13" x14ac:dyDescent="0.35">
      <c r="A1066" t="str">
        <f t="shared" si="53"/>
        <v>CAI_004574488064685000</v>
      </c>
      <c r="B1066" t="s">
        <v>2337</v>
      </c>
      <c r="C1066" s="1">
        <v>45744</v>
      </c>
      <c r="D1066" t="str">
        <f>"880"</f>
        <v>880</v>
      </c>
      <c r="E1066" t="str">
        <f>"64685000"</f>
        <v>64685000</v>
      </c>
      <c r="F1066" t="s">
        <v>2650</v>
      </c>
      <c r="G1066" t="s">
        <v>336</v>
      </c>
      <c r="H1066" t="s">
        <v>5942</v>
      </c>
      <c r="I1066">
        <v>0</v>
      </c>
      <c r="J1066" t="s">
        <v>343</v>
      </c>
      <c r="K1066">
        <v>5000</v>
      </c>
      <c r="M1066">
        <v>5000</v>
      </c>
    </row>
    <row r="1067" spans="1:13" x14ac:dyDescent="0.35">
      <c r="A1067" t="str">
        <f t="shared" si="53"/>
        <v>CAI_004574488165820000</v>
      </c>
      <c r="B1067" t="s">
        <v>2337</v>
      </c>
      <c r="C1067" s="1">
        <v>45744</v>
      </c>
      <c r="D1067" t="str">
        <f>"881"</f>
        <v>881</v>
      </c>
      <c r="E1067" t="str">
        <f>"65820000"</f>
        <v>65820000</v>
      </c>
      <c r="F1067" t="s">
        <v>2651</v>
      </c>
      <c r="G1067" t="s">
        <v>336</v>
      </c>
      <c r="H1067" t="s">
        <v>5931</v>
      </c>
      <c r="I1067">
        <v>0</v>
      </c>
      <c r="J1067" t="s">
        <v>343</v>
      </c>
      <c r="K1067">
        <v>1000000</v>
      </c>
      <c r="M1067">
        <v>1000000</v>
      </c>
    </row>
    <row r="1068" spans="1:13" x14ac:dyDescent="0.35">
      <c r="A1068" t="str">
        <f t="shared" si="53"/>
        <v>CAI_004574488263830000</v>
      </c>
      <c r="B1068" t="s">
        <v>2337</v>
      </c>
      <c r="C1068" s="1">
        <v>45744</v>
      </c>
      <c r="D1068" t="str">
        <f>"882"</f>
        <v>882</v>
      </c>
      <c r="E1068" t="str">
        <f>"63830000"</f>
        <v>63830000</v>
      </c>
      <c r="F1068" t="s">
        <v>2488</v>
      </c>
      <c r="G1068" t="s">
        <v>336</v>
      </c>
      <c r="H1068" t="s">
        <v>5931</v>
      </c>
      <c r="I1068">
        <v>0</v>
      </c>
      <c r="J1068" t="s">
        <v>343</v>
      </c>
      <c r="K1068">
        <v>28500</v>
      </c>
      <c r="M1068">
        <v>28500</v>
      </c>
    </row>
    <row r="1069" spans="1:13" x14ac:dyDescent="0.35">
      <c r="A1069" t="str">
        <f t="shared" si="53"/>
        <v>CAI_004574488361810100</v>
      </c>
      <c r="B1069" t="s">
        <v>2337</v>
      </c>
      <c r="C1069" s="1">
        <v>45744</v>
      </c>
      <c r="D1069" t="str">
        <f>"883"</f>
        <v>883</v>
      </c>
      <c r="E1069" t="str">
        <f>"61810100"</f>
        <v>61810100</v>
      </c>
      <c r="F1069" t="s">
        <v>2652</v>
      </c>
      <c r="G1069" t="s">
        <v>336</v>
      </c>
      <c r="H1069" t="s">
        <v>5965</v>
      </c>
      <c r="I1069">
        <v>0</v>
      </c>
      <c r="J1069" t="s">
        <v>343</v>
      </c>
      <c r="K1069">
        <v>192000</v>
      </c>
      <c r="M1069">
        <v>192000</v>
      </c>
    </row>
    <row r="1070" spans="1:13" x14ac:dyDescent="0.35">
      <c r="A1070" t="str">
        <f t="shared" si="53"/>
        <v>CAI_004574488363883000</v>
      </c>
      <c r="B1070" t="s">
        <v>2337</v>
      </c>
      <c r="C1070" s="1">
        <v>45744</v>
      </c>
      <c r="D1070" t="str">
        <f>"883"</f>
        <v>883</v>
      </c>
      <c r="E1070" t="str">
        <f>"63883000"</f>
        <v>63883000</v>
      </c>
      <c r="F1070" t="s">
        <v>2653</v>
      </c>
      <c r="G1070" t="s">
        <v>336</v>
      </c>
      <c r="H1070" t="s">
        <v>5965</v>
      </c>
      <c r="I1070">
        <v>0</v>
      </c>
      <c r="J1070" t="s">
        <v>343</v>
      </c>
      <c r="K1070">
        <v>121500</v>
      </c>
      <c r="M1070">
        <v>121500</v>
      </c>
    </row>
    <row r="1071" spans="1:13" x14ac:dyDescent="0.35">
      <c r="A1071" t="str">
        <f t="shared" si="53"/>
        <v>CAI_004574488461830000</v>
      </c>
      <c r="B1071" t="s">
        <v>2337</v>
      </c>
      <c r="C1071" s="1">
        <v>45744</v>
      </c>
      <c r="D1071" t="str">
        <f>"884"</f>
        <v>884</v>
      </c>
      <c r="E1071" t="str">
        <f>"61830000"</f>
        <v>61830000</v>
      </c>
      <c r="F1071" t="s">
        <v>2654</v>
      </c>
      <c r="G1071" t="s">
        <v>336</v>
      </c>
      <c r="H1071" t="s">
        <v>5928</v>
      </c>
      <c r="I1071">
        <v>0</v>
      </c>
      <c r="J1071" t="s">
        <v>343</v>
      </c>
      <c r="K1071">
        <v>44000</v>
      </c>
      <c r="M1071">
        <v>44000</v>
      </c>
    </row>
    <row r="1072" spans="1:13" x14ac:dyDescent="0.35">
      <c r="A1072" t="str">
        <f t="shared" si="53"/>
        <v>IMMO45719562430000</v>
      </c>
      <c r="B1072" t="s">
        <v>72</v>
      </c>
      <c r="C1072" s="1">
        <v>45719</v>
      </c>
      <c r="D1072" t="str">
        <f>"5"</f>
        <v>5</v>
      </c>
      <c r="E1072" t="str">
        <f>"62430000"</f>
        <v>62430000</v>
      </c>
      <c r="F1072" t="s">
        <v>2678</v>
      </c>
      <c r="G1072" t="s">
        <v>336</v>
      </c>
      <c r="H1072" t="s">
        <v>5929</v>
      </c>
      <c r="I1072">
        <v>0</v>
      </c>
      <c r="J1072" t="s">
        <v>343</v>
      </c>
      <c r="K1072">
        <v>150000</v>
      </c>
      <c r="M1072">
        <v>150000</v>
      </c>
    </row>
    <row r="1073" spans="1:13" x14ac:dyDescent="0.35">
      <c r="A1073" t="str">
        <f t="shared" si="53"/>
        <v>IMMO45727762881000</v>
      </c>
      <c r="B1073" t="s">
        <v>72</v>
      </c>
      <c r="C1073" s="1">
        <v>45727</v>
      </c>
      <c r="D1073" t="str">
        <f>"7"</f>
        <v>7</v>
      </c>
      <c r="E1073" t="str">
        <f>"62881000"</f>
        <v>62881000</v>
      </c>
      <c r="F1073" t="s">
        <v>2685</v>
      </c>
      <c r="G1073" t="s">
        <v>336</v>
      </c>
      <c r="H1073" t="s">
        <v>5928</v>
      </c>
      <c r="I1073">
        <v>0</v>
      </c>
      <c r="J1073" t="s">
        <v>343</v>
      </c>
      <c r="K1073">
        <v>66500</v>
      </c>
      <c r="M1073">
        <v>76000</v>
      </c>
    </row>
    <row r="1074" spans="1:13" x14ac:dyDescent="0.35">
      <c r="A1074" t="str">
        <f t="shared" si="53"/>
        <v>IMMO45727762881000</v>
      </c>
      <c r="B1074" t="s">
        <v>72</v>
      </c>
      <c r="C1074" s="1">
        <v>45727</v>
      </c>
      <c r="D1074" t="str">
        <f>"7"</f>
        <v>7</v>
      </c>
      <c r="E1074" t="str">
        <f>"62881000"</f>
        <v>62881000</v>
      </c>
      <c r="F1074" t="s">
        <v>2685</v>
      </c>
      <c r="G1074" t="s">
        <v>336</v>
      </c>
      <c r="H1074" t="s">
        <v>5884</v>
      </c>
      <c r="I1074">
        <v>0</v>
      </c>
      <c r="J1074" t="s">
        <v>343</v>
      </c>
      <c r="K1074">
        <v>9500</v>
      </c>
      <c r="M1074">
        <v>76000</v>
      </c>
    </row>
    <row r="1075" spans="1:13" x14ac:dyDescent="0.35">
      <c r="A1075" t="str">
        <f t="shared" si="53"/>
        <v>ND457371265880000</v>
      </c>
      <c r="B1075" t="s">
        <v>75</v>
      </c>
      <c r="C1075" s="1">
        <v>45737</v>
      </c>
      <c r="D1075" t="str">
        <f>"12"</f>
        <v>12</v>
      </c>
      <c r="E1075" t="str">
        <f>"65880000"</f>
        <v>65880000</v>
      </c>
      <c r="F1075" t="s">
        <v>2719</v>
      </c>
      <c r="G1075" t="s">
        <v>336</v>
      </c>
      <c r="H1075" t="s">
        <v>5954</v>
      </c>
      <c r="I1075">
        <v>0</v>
      </c>
      <c r="J1075" t="s">
        <v>343</v>
      </c>
      <c r="K1075">
        <v>10000000</v>
      </c>
      <c r="M1075">
        <v>10000000</v>
      </c>
    </row>
    <row r="1076" spans="1:13" x14ac:dyDescent="0.35">
      <c r="A1076" t="str">
        <f t="shared" si="53"/>
        <v>OD45717262420000</v>
      </c>
      <c r="B1076" t="s">
        <v>101</v>
      </c>
      <c r="C1076" s="1">
        <v>45717</v>
      </c>
      <c r="D1076" t="str">
        <f>"2"</f>
        <v>2</v>
      </c>
      <c r="E1076" t="str">
        <f>"62420000"</f>
        <v>62420000</v>
      </c>
      <c r="F1076" t="s">
        <v>2743</v>
      </c>
      <c r="G1076" t="s">
        <v>336</v>
      </c>
      <c r="H1076" t="s">
        <v>5929</v>
      </c>
      <c r="I1076">
        <v>0</v>
      </c>
      <c r="J1076" t="s">
        <v>343</v>
      </c>
      <c r="K1076">
        <v>-667745</v>
      </c>
      <c r="M1076">
        <v>-667745</v>
      </c>
    </row>
    <row r="1077" spans="1:13" x14ac:dyDescent="0.35">
      <c r="A1077" t="str">
        <f t="shared" si="53"/>
        <v>OD45717361400000</v>
      </c>
      <c r="B1077" t="s">
        <v>101</v>
      </c>
      <c r="C1077" s="1">
        <v>45717</v>
      </c>
      <c r="D1077" t="str">
        <f>"3"</f>
        <v>3</v>
      </c>
      <c r="E1077" t="str">
        <f>"61400000"</f>
        <v>61400000</v>
      </c>
      <c r="F1077" t="s">
        <v>2744</v>
      </c>
      <c r="G1077" t="s">
        <v>336</v>
      </c>
      <c r="H1077" t="s">
        <v>5903</v>
      </c>
      <c r="I1077">
        <v>0</v>
      </c>
      <c r="J1077" t="s">
        <v>343</v>
      </c>
      <c r="K1077">
        <v>-4531880</v>
      </c>
      <c r="M1077">
        <v>-4531880</v>
      </c>
    </row>
    <row r="1078" spans="1:13" x14ac:dyDescent="0.35">
      <c r="A1078" t="str">
        <f t="shared" si="53"/>
        <v>OD45717469110030</v>
      </c>
      <c r="B1078" t="s">
        <v>101</v>
      </c>
      <c r="C1078" s="1">
        <v>45717</v>
      </c>
      <c r="D1078" t="str">
        <f t="shared" ref="D1078:D1097" si="54">"4"</f>
        <v>4</v>
      </c>
      <c r="E1078" t="str">
        <f t="shared" ref="E1078:E1097" si="55">"69110030"</f>
        <v>69110030</v>
      </c>
      <c r="F1078" t="s">
        <v>2745</v>
      </c>
      <c r="G1078" t="s">
        <v>336</v>
      </c>
      <c r="H1078" t="s">
        <v>5909</v>
      </c>
      <c r="I1078">
        <v>0</v>
      </c>
      <c r="J1078" t="s">
        <v>343</v>
      </c>
      <c r="K1078">
        <v>203456</v>
      </c>
      <c r="M1078">
        <v>4265926</v>
      </c>
    </row>
    <row r="1079" spans="1:13" x14ac:dyDescent="0.35">
      <c r="A1079" t="str">
        <f t="shared" si="53"/>
        <v>OD45717469110030</v>
      </c>
      <c r="B1079" t="s">
        <v>101</v>
      </c>
      <c r="C1079" s="1">
        <v>45717</v>
      </c>
      <c r="D1079" t="str">
        <f t="shared" si="54"/>
        <v>4</v>
      </c>
      <c r="E1079" t="str">
        <f t="shared" si="55"/>
        <v>69110030</v>
      </c>
      <c r="F1079" t="s">
        <v>2745</v>
      </c>
      <c r="G1079" t="s">
        <v>336</v>
      </c>
      <c r="H1079" t="s">
        <v>5886</v>
      </c>
      <c r="I1079">
        <v>0</v>
      </c>
      <c r="J1079" t="s">
        <v>343</v>
      </c>
      <c r="K1079">
        <v>216098</v>
      </c>
      <c r="M1079">
        <v>4265926</v>
      </c>
    </row>
    <row r="1080" spans="1:13" x14ac:dyDescent="0.35">
      <c r="A1080" t="str">
        <f t="shared" si="53"/>
        <v>OD45717469110030</v>
      </c>
      <c r="B1080" t="s">
        <v>101</v>
      </c>
      <c r="C1080" s="1">
        <v>45717</v>
      </c>
      <c r="D1080" t="str">
        <f t="shared" si="54"/>
        <v>4</v>
      </c>
      <c r="E1080" t="str">
        <f t="shared" si="55"/>
        <v>69110030</v>
      </c>
      <c r="F1080" t="s">
        <v>2745</v>
      </c>
      <c r="G1080" t="s">
        <v>336</v>
      </c>
      <c r="H1080" t="s">
        <v>5902</v>
      </c>
      <c r="I1080">
        <v>0</v>
      </c>
      <c r="J1080" t="s">
        <v>343</v>
      </c>
      <c r="K1080">
        <v>880543</v>
      </c>
      <c r="M1080">
        <v>4265926</v>
      </c>
    </row>
    <row r="1081" spans="1:13" x14ac:dyDescent="0.35">
      <c r="A1081" t="str">
        <f t="shared" si="53"/>
        <v>OD45717469110030</v>
      </c>
      <c r="B1081" t="s">
        <v>101</v>
      </c>
      <c r="C1081" s="1">
        <v>45717</v>
      </c>
      <c r="D1081" t="str">
        <f t="shared" si="54"/>
        <v>4</v>
      </c>
      <c r="E1081" t="str">
        <f t="shared" si="55"/>
        <v>69110030</v>
      </c>
      <c r="F1081" t="s">
        <v>2745</v>
      </c>
      <c r="G1081" t="s">
        <v>336</v>
      </c>
      <c r="H1081" t="s">
        <v>5968</v>
      </c>
      <c r="I1081">
        <v>0</v>
      </c>
      <c r="J1081" t="s">
        <v>343</v>
      </c>
      <c r="K1081">
        <v>67039</v>
      </c>
      <c r="M1081">
        <v>4265926</v>
      </c>
    </row>
    <row r="1082" spans="1:13" x14ac:dyDescent="0.35">
      <c r="A1082" t="str">
        <f t="shared" si="53"/>
        <v>OD45717469110030</v>
      </c>
      <c r="B1082" t="s">
        <v>101</v>
      </c>
      <c r="C1082" s="1">
        <v>45717</v>
      </c>
      <c r="D1082" t="str">
        <f t="shared" si="54"/>
        <v>4</v>
      </c>
      <c r="E1082" t="str">
        <f t="shared" si="55"/>
        <v>69110030</v>
      </c>
      <c r="F1082" t="s">
        <v>2745</v>
      </c>
      <c r="G1082" t="s">
        <v>336</v>
      </c>
      <c r="H1082" t="s">
        <v>5910</v>
      </c>
      <c r="I1082">
        <v>0</v>
      </c>
      <c r="J1082" t="s">
        <v>343</v>
      </c>
      <c r="K1082">
        <v>49628</v>
      </c>
      <c r="M1082">
        <v>4265926</v>
      </c>
    </row>
    <row r="1083" spans="1:13" x14ac:dyDescent="0.35">
      <c r="A1083" t="str">
        <f t="shared" si="53"/>
        <v>OD45717469110030</v>
      </c>
      <c r="B1083" t="s">
        <v>101</v>
      </c>
      <c r="C1083" s="1">
        <v>45717</v>
      </c>
      <c r="D1083" t="str">
        <f t="shared" si="54"/>
        <v>4</v>
      </c>
      <c r="E1083" t="str">
        <f t="shared" si="55"/>
        <v>69110030</v>
      </c>
      <c r="F1083" t="s">
        <v>2745</v>
      </c>
      <c r="G1083" t="s">
        <v>336</v>
      </c>
      <c r="H1083" t="s">
        <v>5911</v>
      </c>
      <c r="I1083">
        <v>0</v>
      </c>
      <c r="J1083" t="s">
        <v>343</v>
      </c>
      <c r="K1083">
        <v>79363</v>
      </c>
      <c r="M1083">
        <v>4265926</v>
      </c>
    </row>
    <row r="1084" spans="1:13" x14ac:dyDescent="0.35">
      <c r="A1084" t="str">
        <f t="shared" si="53"/>
        <v>OD45717469110030</v>
      </c>
      <c r="B1084" t="s">
        <v>101</v>
      </c>
      <c r="C1084" s="1">
        <v>45717</v>
      </c>
      <c r="D1084" t="str">
        <f t="shared" si="54"/>
        <v>4</v>
      </c>
      <c r="E1084" t="str">
        <f t="shared" si="55"/>
        <v>69110030</v>
      </c>
      <c r="F1084" t="s">
        <v>2745</v>
      </c>
      <c r="G1084" t="s">
        <v>336</v>
      </c>
      <c r="H1084" t="s">
        <v>5912</v>
      </c>
      <c r="I1084">
        <v>0</v>
      </c>
      <c r="J1084" t="s">
        <v>343</v>
      </c>
      <c r="K1084">
        <v>48890</v>
      </c>
      <c r="M1084">
        <v>4265926</v>
      </c>
    </row>
    <row r="1085" spans="1:13" x14ac:dyDescent="0.35">
      <c r="A1085" t="str">
        <f t="shared" si="53"/>
        <v>OD45717469110030</v>
      </c>
      <c r="B1085" t="s">
        <v>101</v>
      </c>
      <c r="C1085" s="1">
        <v>45717</v>
      </c>
      <c r="D1085" t="str">
        <f t="shared" si="54"/>
        <v>4</v>
      </c>
      <c r="E1085" t="str">
        <f t="shared" si="55"/>
        <v>69110030</v>
      </c>
      <c r="F1085" t="s">
        <v>2745</v>
      </c>
      <c r="G1085" t="s">
        <v>336</v>
      </c>
      <c r="H1085" t="s">
        <v>5913</v>
      </c>
      <c r="I1085">
        <v>0</v>
      </c>
      <c r="J1085" t="s">
        <v>343</v>
      </c>
      <c r="K1085">
        <v>351190</v>
      </c>
      <c r="M1085">
        <v>4265926</v>
      </c>
    </row>
    <row r="1086" spans="1:13" x14ac:dyDescent="0.35">
      <c r="A1086" t="str">
        <f t="shared" si="53"/>
        <v>OD45717469110030</v>
      </c>
      <c r="B1086" t="s">
        <v>101</v>
      </c>
      <c r="C1086" s="1">
        <v>45717</v>
      </c>
      <c r="D1086" t="str">
        <f t="shared" si="54"/>
        <v>4</v>
      </c>
      <c r="E1086" t="str">
        <f t="shared" si="55"/>
        <v>69110030</v>
      </c>
      <c r="F1086" t="s">
        <v>2745</v>
      </c>
      <c r="G1086" t="s">
        <v>336</v>
      </c>
      <c r="H1086" t="s">
        <v>5903</v>
      </c>
      <c r="I1086">
        <v>0</v>
      </c>
      <c r="J1086" t="s">
        <v>343</v>
      </c>
      <c r="K1086">
        <v>158622</v>
      </c>
      <c r="M1086">
        <v>4265926</v>
      </c>
    </row>
    <row r="1087" spans="1:13" x14ac:dyDescent="0.35">
      <c r="A1087" t="str">
        <f t="shared" si="53"/>
        <v>OD45717469110030</v>
      </c>
      <c r="B1087" t="s">
        <v>101</v>
      </c>
      <c r="C1087" s="1">
        <v>45717</v>
      </c>
      <c r="D1087" t="str">
        <f t="shared" si="54"/>
        <v>4</v>
      </c>
      <c r="E1087" t="str">
        <f t="shared" si="55"/>
        <v>69110030</v>
      </c>
      <c r="F1087" t="s">
        <v>2745</v>
      </c>
      <c r="G1087" t="s">
        <v>336</v>
      </c>
      <c r="H1087" t="s">
        <v>5915</v>
      </c>
      <c r="I1087">
        <v>0</v>
      </c>
      <c r="J1087" t="s">
        <v>343</v>
      </c>
      <c r="K1087">
        <v>127409</v>
      </c>
      <c r="M1087">
        <v>4265926</v>
      </c>
    </row>
    <row r="1088" spans="1:13" x14ac:dyDescent="0.35">
      <c r="A1088" t="str">
        <f t="shared" si="53"/>
        <v>OD45717469110030</v>
      </c>
      <c r="B1088" t="s">
        <v>101</v>
      </c>
      <c r="C1088" s="1">
        <v>45717</v>
      </c>
      <c r="D1088" t="str">
        <f t="shared" si="54"/>
        <v>4</v>
      </c>
      <c r="E1088" t="str">
        <f t="shared" si="55"/>
        <v>69110030</v>
      </c>
      <c r="F1088" t="s">
        <v>2745</v>
      </c>
      <c r="G1088" t="s">
        <v>336</v>
      </c>
      <c r="H1088" t="s">
        <v>5917</v>
      </c>
      <c r="I1088">
        <v>0</v>
      </c>
      <c r="J1088" t="s">
        <v>343</v>
      </c>
      <c r="K1088">
        <v>448954</v>
      </c>
      <c r="M1088">
        <v>4265926</v>
      </c>
    </row>
    <row r="1089" spans="1:14" x14ac:dyDescent="0.35">
      <c r="A1089" t="str">
        <f t="shared" si="53"/>
        <v>OD45717469110030</v>
      </c>
      <c r="B1089" t="s">
        <v>101</v>
      </c>
      <c r="C1089" s="1">
        <v>45717</v>
      </c>
      <c r="D1089" t="str">
        <f t="shared" si="54"/>
        <v>4</v>
      </c>
      <c r="E1089" t="str">
        <f t="shared" si="55"/>
        <v>69110030</v>
      </c>
      <c r="F1089" t="s">
        <v>2745</v>
      </c>
      <c r="G1089" t="s">
        <v>336</v>
      </c>
      <c r="H1089" t="s">
        <v>5918</v>
      </c>
      <c r="I1089">
        <v>0</v>
      </c>
      <c r="J1089" t="s">
        <v>343</v>
      </c>
      <c r="K1089">
        <v>150018</v>
      </c>
      <c r="M1089">
        <v>4265926</v>
      </c>
    </row>
    <row r="1090" spans="1:14" x14ac:dyDescent="0.35">
      <c r="A1090" t="str">
        <f t="shared" si="53"/>
        <v>OD45717469110030</v>
      </c>
      <c r="B1090" t="s">
        <v>101</v>
      </c>
      <c r="C1090" s="1">
        <v>45717</v>
      </c>
      <c r="D1090" t="str">
        <f t="shared" si="54"/>
        <v>4</v>
      </c>
      <c r="E1090" t="str">
        <f t="shared" si="55"/>
        <v>69110030</v>
      </c>
      <c r="F1090" t="s">
        <v>2745</v>
      </c>
      <c r="G1090" t="s">
        <v>336</v>
      </c>
      <c r="H1090" t="s">
        <v>5920</v>
      </c>
      <c r="I1090">
        <v>0</v>
      </c>
      <c r="J1090" t="s">
        <v>343</v>
      </c>
      <c r="K1090">
        <v>153270</v>
      </c>
      <c r="M1090">
        <v>4265926</v>
      </c>
    </row>
    <row r="1091" spans="1:14" x14ac:dyDescent="0.35">
      <c r="A1091" t="str">
        <f t="shared" ref="A1091:A1154" si="56">CONCATENATE(B1091,C1091,D1091,E1091)</f>
        <v>OD45717469110030</v>
      </c>
      <c r="B1091" t="s">
        <v>101</v>
      </c>
      <c r="C1091" s="1">
        <v>45717</v>
      </c>
      <c r="D1091" t="str">
        <f t="shared" si="54"/>
        <v>4</v>
      </c>
      <c r="E1091" t="str">
        <f t="shared" si="55"/>
        <v>69110030</v>
      </c>
      <c r="F1091" t="s">
        <v>2745</v>
      </c>
      <c r="G1091" t="s">
        <v>336</v>
      </c>
      <c r="H1091" t="s">
        <v>5888</v>
      </c>
      <c r="I1091">
        <v>0</v>
      </c>
      <c r="J1091" t="s">
        <v>343</v>
      </c>
      <c r="K1091">
        <v>156538</v>
      </c>
      <c r="M1091">
        <v>4265926</v>
      </c>
    </row>
    <row r="1092" spans="1:14" x14ac:dyDescent="0.35">
      <c r="A1092" t="str">
        <f t="shared" si="56"/>
        <v>OD45717469110030</v>
      </c>
      <c r="B1092" t="s">
        <v>101</v>
      </c>
      <c r="C1092" s="1">
        <v>45717</v>
      </c>
      <c r="D1092" t="str">
        <f t="shared" si="54"/>
        <v>4</v>
      </c>
      <c r="E1092" t="str">
        <f t="shared" si="55"/>
        <v>69110030</v>
      </c>
      <c r="F1092" t="s">
        <v>2745</v>
      </c>
      <c r="G1092" t="s">
        <v>336</v>
      </c>
      <c r="H1092" t="s">
        <v>5921</v>
      </c>
      <c r="I1092">
        <v>0</v>
      </c>
      <c r="J1092" t="s">
        <v>343</v>
      </c>
      <c r="K1092">
        <v>264090</v>
      </c>
      <c r="M1092">
        <v>4265926</v>
      </c>
    </row>
    <row r="1093" spans="1:14" x14ac:dyDescent="0.35">
      <c r="A1093" t="str">
        <f t="shared" si="56"/>
        <v>OD45717469110030</v>
      </c>
      <c r="B1093" t="s">
        <v>101</v>
      </c>
      <c r="C1093" s="1">
        <v>45717</v>
      </c>
      <c r="D1093" t="str">
        <f t="shared" si="54"/>
        <v>4</v>
      </c>
      <c r="E1093" t="str">
        <f t="shared" si="55"/>
        <v>69110030</v>
      </c>
      <c r="F1093" t="s">
        <v>2745</v>
      </c>
      <c r="G1093" t="s">
        <v>336</v>
      </c>
      <c r="H1093" t="s">
        <v>5922</v>
      </c>
      <c r="I1093">
        <v>0</v>
      </c>
      <c r="J1093" t="s">
        <v>343</v>
      </c>
      <c r="K1093">
        <v>21891</v>
      </c>
      <c r="M1093">
        <v>4265926</v>
      </c>
    </row>
    <row r="1094" spans="1:14" x14ac:dyDescent="0.35">
      <c r="A1094" t="str">
        <f t="shared" si="56"/>
        <v>OD45717469110030</v>
      </c>
      <c r="B1094" t="s">
        <v>101</v>
      </c>
      <c r="C1094" s="1">
        <v>45717</v>
      </c>
      <c r="D1094" t="str">
        <f t="shared" si="54"/>
        <v>4</v>
      </c>
      <c r="E1094" t="str">
        <f t="shared" si="55"/>
        <v>69110030</v>
      </c>
      <c r="F1094" t="s">
        <v>2745</v>
      </c>
      <c r="G1094" t="s">
        <v>336</v>
      </c>
      <c r="H1094" t="s">
        <v>5924</v>
      </c>
      <c r="I1094">
        <v>0</v>
      </c>
      <c r="J1094" t="s">
        <v>343</v>
      </c>
      <c r="K1094">
        <v>11077</v>
      </c>
      <c r="M1094">
        <v>4265926</v>
      </c>
    </row>
    <row r="1095" spans="1:14" x14ac:dyDescent="0.35">
      <c r="A1095" t="str">
        <f t="shared" si="56"/>
        <v>OD45717469110030</v>
      </c>
      <c r="B1095" t="s">
        <v>101</v>
      </c>
      <c r="C1095" s="1">
        <v>45717</v>
      </c>
      <c r="D1095" t="str">
        <f t="shared" si="54"/>
        <v>4</v>
      </c>
      <c r="E1095" t="str">
        <f t="shared" si="55"/>
        <v>69110030</v>
      </c>
      <c r="F1095" t="s">
        <v>2745</v>
      </c>
      <c r="G1095" t="s">
        <v>336</v>
      </c>
      <c r="H1095" t="s">
        <v>5916</v>
      </c>
      <c r="I1095">
        <v>0</v>
      </c>
      <c r="J1095" t="s">
        <v>343</v>
      </c>
      <c r="K1095">
        <v>230904</v>
      </c>
      <c r="M1095">
        <v>4265926</v>
      </c>
    </row>
    <row r="1096" spans="1:14" x14ac:dyDescent="0.35">
      <c r="A1096" t="str">
        <f t="shared" si="56"/>
        <v>OD45717469110030</v>
      </c>
      <c r="B1096" t="s">
        <v>101</v>
      </c>
      <c r="C1096" s="1">
        <v>45717</v>
      </c>
      <c r="D1096" t="str">
        <f t="shared" si="54"/>
        <v>4</v>
      </c>
      <c r="E1096" t="str">
        <f t="shared" si="55"/>
        <v>69110030</v>
      </c>
      <c r="F1096" t="s">
        <v>2745</v>
      </c>
      <c r="G1096" t="s">
        <v>336</v>
      </c>
      <c r="H1096" t="s">
        <v>5923</v>
      </c>
      <c r="I1096">
        <v>0</v>
      </c>
      <c r="J1096" t="s">
        <v>343</v>
      </c>
      <c r="K1096">
        <v>395081</v>
      </c>
      <c r="M1096">
        <v>4265926</v>
      </c>
    </row>
    <row r="1097" spans="1:14" x14ac:dyDescent="0.35">
      <c r="A1097" t="str">
        <f t="shared" si="56"/>
        <v>OD45717469110030</v>
      </c>
      <c r="B1097" t="s">
        <v>101</v>
      </c>
      <c r="C1097" s="1">
        <v>45717</v>
      </c>
      <c r="D1097" t="str">
        <f t="shared" si="54"/>
        <v>4</v>
      </c>
      <c r="E1097" t="str">
        <f t="shared" si="55"/>
        <v>69110030</v>
      </c>
      <c r="F1097" t="s">
        <v>2745</v>
      </c>
      <c r="G1097" t="s">
        <v>336</v>
      </c>
      <c r="H1097" t="s">
        <v>5914</v>
      </c>
      <c r="I1097">
        <v>0</v>
      </c>
      <c r="J1097" t="s">
        <v>343</v>
      </c>
      <c r="K1097">
        <v>251865</v>
      </c>
      <c r="M1097">
        <v>4265926</v>
      </c>
    </row>
    <row r="1098" spans="1:14" x14ac:dyDescent="0.35">
      <c r="A1098" t="str">
        <f t="shared" si="56"/>
        <v>OD45717662100000</v>
      </c>
      <c r="B1098" t="s">
        <v>101</v>
      </c>
      <c r="C1098" s="1">
        <v>45717</v>
      </c>
      <c r="D1098" t="str">
        <f>"6"</f>
        <v>6</v>
      </c>
      <c r="E1098" t="str">
        <f>"62100000"</f>
        <v>62100000</v>
      </c>
      <c r="F1098" t="s">
        <v>2746</v>
      </c>
      <c r="G1098" t="s">
        <v>336</v>
      </c>
      <c r="H1098" t="s">
        <v>5928</v>
      </c>
      <c r="I1098">
        <v>0</v>
      </c>
      <c r="J1098" t="s">
        <v>343</v>
      </c>
      <c r="K1098">
        <v>-6710000</v>
      </c>
      <c r="M1098">
        <v>-6710000</v>
      </c>
    </row>
    <row r="1099" spans="1:14" x14ac:dyDescent="0.35">
      <c r="A1099" t="str">
        <f t="shared" si="56"/>
        <v>OD457176670610010</v>
      </c>
      <c r="B1099" t="s">
        <v>101</v>
      </c>
      <c r="C1099" s="1">
        <v>45717</v>
      </c>
      <c r="D1099" t="str">
        <f t="shared" ref="D1099:D1115" si="57">"66"</f>
        <v>66</v>
      </c>
      <c r="E1099" t="str">
        <f t="shared" ref="E1099:E1106" si="58">"70610010"</f>
        <v>70610010</v>
      </c>
      <c r="F1099" t="s">
        <v>2754</v>
      </c>
      <c r="G1099" t="s">
        <v>5885</v>
      </c>
      <c r="H1099" t="s">
        <v>5969</v>
      </c>
      <c r="I1099">
        <v>0</v>
      </c>
      <c r="J1099" t="s">
        <v>343</v>
      </c>
      <c r="L1099">
        <v>-78520790</v>
      </c>
      <c r="N1099">
        <v>-78520790</v>
      </c>
    </row>
    <row r="1100" spans="1:14" x14ac:dyDescent="0.35">
      <c r="A1100" t="str">
        <f t="shared" si="56"/>
        <v>OD457176670610010</v>
      </c>
      <c r="B1100" t="s">
        <v>101</v>
      </c>
      <c r="C1100" s="1">
        <v>45717</v>
      </c>
      <c r="D1100" t="str">
        <f t="shared" si="57"/>
        <v>66</v>
      </c>
      <c r="E1100" t="str">
        <f t="shared" si="58"/>
        <v>70610010</v>
      </c>
      <c r="F1100" t="s">
        <v>2755</v>
      </c>
      <c r="G1100" t="s">
        <v>5885</v>
      </c>
      <c r="H1100" t="s">
        <v>5970</v>
      </c>
      <c r="I1100">
        <v>0</v>
      </c>
      <c r="J1100" t="s">
        <v>343</v>
      </c>
      <c r="L1100">
        <v>345263019</v>
      </c>
      <c r="N1100">
        <v>345263019</v>
      </c>
    </row>
    <row r="1101" spans="1:14" x14ac:dyDescent="0.35">
      <c r="A1101" t="str">
        <f t="shared" si="56"/>
        <v>OD457176670610010</v>
      </c>
      <c r="B1101" t="s">
        <v>101</v>
      </c>
      <c r="C1101" s="1">
        <v>45717</v>
      </c>
      <c r="D1101" t="str">
        <f t="shared" si="57"/>
        <v>66</v>
      </c>
      <c r="E1101" t="str">
        <f t="shared" si="58"/>
        <v>70610010</v>
      </c>
      <c r="F1101" t="s">
        <v>2756</v>
      </c>
      <c r="G1101" t="s">
        <v>5885</v>
      </c>
      <c r="H1101" t="s">
        <v>5971</v>
      </c>
      <c r="I1101">
        <v>0</v>
      </c>
      <c r="J1101" t="s">
        <v>343</v>
      </c>
      <c r="L1101">
        <v>-800001</v>
      </c>
      <c r="N1101">
        <v>-800001</v>
      </c>
    </row>
    <row r="1102" spans="1:14" x14ac:dyDescent="0.35">
      <c r="A1102" t="str">
        <f t="shared" si="56"/>
        <v>OD457176670610010</v>
      </c>
      <c r="B1102" t="s">
        <v>101</v>
      </c>
      <c r="C1102" s="1">
        <v>45717</v>
      </c>
      <c r="D1102" t="str">
        <f t="shared" si="57"/>
        <v>66</v>
      </c>
      <c r="E1102" t="str">
        <f t="shared" si="58"/>
        <v>70610010</v>
      </c>
      <c r="F1102" t="s">
        <v>2757</v>
      </c>
      <c r="G1102" t="s">
        <v>5885</v>
      </c>
      <c r="H1102" t="s">
        <v>5972</v>
      </c>
      <c r="I1102">
        <v>0</v>
      </c>
      <c r="J1102" t="s">
        <v>343</v>
      </c>
      <c r="L1102">
        <v>-31817100</v>
      </c>
      <c r="N1102">
        <v>-31817100</v>
      </c>
    </row>
    <row r="1103" spans="1:14" x14ac:dyDescent="0.35">
      <c r="A1103" t="str">
        <f t="shared" si="56"/>
        <v>OD457176670610010</v>
      </c>
      <c r="B1103" t="s">
        <v>101</v>
      </c>
      <c r="C1103" s="1">
        <v>45717</v>
      </c>
      <c r="D1103" t="str">
        <f t="shared" si="57"/>
        <v>66</v>
      </c>
      <c r="E1103" t="str">
        <f t="shared" si="58"/>
        <v>70610010</v>
      </c>
      <c r="F1103" t="s">
        <v>2756</v>
      </c>
      <c r="G1103" t="s">
        <v>5885</v>
      </c>
      <c r="H1103" t="s">
        <v>5973</v>
      </c>
      <c r="I1103">
        <v>0</v>
      </c>
      <c r="J1103" t="s">
        <v>343</v>
      </c>
      <c r="L1103">
        <v>-228971671</v>
      </c>
      <c r="N1103">
        <v>-228971671</v>
      </c>
    </row>
    <row r="1104" spans="1:14" x14ac:dyDescent="0.35">
      <c r="A1104" t="str">
        <f t="shared" si="56"/>
        <v>OD457176670610010</v>
      </c>
      <c r="B1104" t="s">
        <v>101</v>
      </c>
      <c r="C1104" s="1">
        <v>45717</v>
      </c>
      <c r="D1104" t="str">
        <f t="shared" si="57"/>
        <v>66</v>
      </c>
      <c r="E1104" t="str">
        <f t="shared" si="58"/>
        <v>70610010</v>
      </c>
      <c r="F1104" t="s">
        <v>2758</v>
      </c>
      <c r="G1104" t="s">
        <v>5885</v>
      </c>
      <c r="H1104" t="s">
        <v>5974</v>
      </c>
      <c r="I1104">
        <v>0</v>
      </c>
      <c r="J1104" t="s">
        <v>343</v>
      </c>
      <c r="L1104">
        <v>-20888000</v>
      </c>
      <c r="N1104">
        <v>-20888000</v>
      </c>
    </row>
    <row r="1105" spans="1:14" x14ac:dyDescent="0.35">
      <c r="A1105" t="str">
        <f t="shared" si="56"/>
        <v>OD457176670610010</v>
      </c>
      <c r="B1105" t="s">
        <v>101</v>
      </c>
      <c r="C1105" s="1">
        <v>45717</v>
      </c>
      <c r="D1105" t="str">
        <f t="shared" si="57"/>
        <v>66</v>
      </c>
      <c r="E1105" t="str">
        <f t="shared" si="58"/>
        <v>70610010</v>
      </c>
      <c r="F1105" t="s">
        <v>2759</v>
      </c>
      <c r="G1105" t="s">
        <v>5885</v>
      </c>
      <c r="H1105" t="s">
        <v>5975</v>
      </c>
      <c r="I1105">
        <v>0</v>
      </c>
      <c r="J1105" t="s">
        <v>343</v>
      </c>
      <c r="L1105">
        <v>-97260655</v>
      </c>
      <c r="N1105">
        <v>-97260655</v>
      </c>
    </row>
    <row r="1106" spans="1:14" x14ac:dyDescent="0.35">
      <c r="A1106" t="str">
        <f t="shared" si="56"/>
        <v>OD457176670610010</v>
      </c>
      <c r="B1106" t="s">
        <v>101</v>
      </c>
      <c r="C1106" s="1">
        <v>45717</v>
      </c>
      <c r="D1106" t="str">
        <f t="shared" si="57"/>
        <v>66</v>
      </c>
      <c r="E1106" t="str">
        <f t="shared" si="58"/>
        <v>70610010</v>
      </c>
      <c r="F1106" t="s">
        <v>2760</v>
      </c>
      <c r="G1106" t="s">
        <v>5885</v>
      </c>
      <c r="H1106" t="s">
        <v>5976</v>
      </c>
      <c r="I1106">
        <v>0</v>
      </c>
      <c r="J1106" t="s">
        <v>343</v>
      </c>
      <c r="L1106">
        <v>300000</v>
      </c>
      <c r="N1106">
        <v>300000</v>
      </c>
    </row>
    <row r="1107" spans="1:14" x14ac:dyDescent="0.35">
      <c r="A1107" t="str">
        <f t="shared" si="56"/>
        <v>OD457176670610012</v>
      </c>
      <c r="B1107" t="s">
        <v>101</v>
      </c>
      <c r="C1107" s="1">
        <v>45717</v>
      </c>
      <c r="D1107" t="str">
        <f t="shared" si="57"/>
        <v>66</v>
      </c>
      <c r="E1107" t="str">
        <f>"70610012"</f>
        <v>70610012</v>
      </c>
      <c r="F1107" t="s">
        <v>2761</v>
      </c>
      <c r="G1107" t="s">
        <v>5885</v>
      </c>
      <c r="H1107" t="s">
        <v>5977</v>
      </c>
      <c r="I1107">
        <v>0</v>
      </c>
      <c r="J1107" t="s">
        <v>343</v>
      </c>
      <c r="L1107">
        <v>152502548</v>
      </c>
      <c r="N1107">
        <v>152502548</v>
      </c>
    </row>
    <row r="1108" spans="1:14" x14ac:dyDescent="0.35">
      <c r="A1108" t="str">
        <f t="shared" si="56"/>
        <v>OD457176670610020</v>
      </c>
      <c r="B1108" t="s">
        <v>101</v>
      </c>
      <c r="C1108" s="1">
        <v>45717</v>
      </c>
      <c r="D1108" t="str">
        <f t="shared" si="57"/>
        <v>66</v>
      </c>
      <c r="E1108" t="str">
        <f>"70610020"</f>
        <v>70610020</v>
      </c>
      <c r="F1108" t="s">
        <v>2762</v>
      </c>
      <c r="G1108" t="s">
        <v>5885</v>
      </c>
      <c r="H1108" t="s">
        <v>5978</v>
      </c>
      <c r="I1108">
        <v>0</v>
      </c>
      <c r="J1108" t="s">
        <v>343</v>
      </c>
      <c r="L1108">
        <v>66280000</v>
      </c>
      <c r="N1108">
        <v>66280000</v>
      </c>
    </row>
    <row r="1109" spans="1:14" x14ac:dyDescent="0.35">
      <c r="A1109" t="str">
        <f t="shared" si="56"/>
        <v>OD457176670610030</v>
      </c>
      <c r="B1109" t="s">
        <v>101</v>
      </c>
      <c r="C1109" s="1">
        <v>45717</v>
      </c>
      <c r="D1109" t="str">
        <f t="shared" si="57"/>
        <v>66</v>
      </c>
      <c r="E1109" t="str">
        <f>"70610030"</f>
        <v>70610030</v>
      </c>
      <c r="F1109" t="s">
        <v>2760</v>
      </c>
      <c r="G1109" t="s">
        <v>5885</v>
      </c>
      <c r="H1109" t="s">
        <v>5976</v>
      </c>
      <c r="I1109">
        <v>0</v>
      </c>
      <c r="J1109" t="s">
        <v>343</v>
      </c>
      <c r="L1109">
        <v>-5400000</v>
      </c>
      <c r="N1109">
        <v>-5400000</v>
      </c>
    </row>
    <row r="1110" spans="1:14" x14ac:dyDescent="0.35">
      <c r="A1110" t="str">
        <f t="shared" si="56"/>
        <v>OD457176670610040</v>
      </c>
      <c r="B1110" t="s">
        <v>101</v>
      </c>
      <c r="C1110" s="1">
        <v>45717</v>
      </c>
      <c r="D1110" t="str">
        <f t="shared" si="57"/>
        <v>66</v>
      </c>
      <c r="E1110" t="str">
        <f>"70610040"</f>
        <v>70610040</v>
      </c>
      <c r="F1110" t="s">
        <v>2763</v>
      </c>
      <c r="G1110" t="s">
        <v>5885</v>
      </c>
      <c r="H1110" t="s">
        <v>5975</v>
      </c>
      <c r="I1110">
        <v>0</v>
      </c>
      <c r="J1110" t="s">
        <v>343</v>
      </c>
      <c r="L1110">
        <v>-4500000</v>
      </c>
      <c r="N1110">
        <v>-4500000</v>
      </c>
    </row>
    <row r="1111" spans="1:14" x14ac:dyDescent="0.35">
      <c r="A1111" t="str">
        <f t="shared" si="56"/>
        <v>OD457176670610040</v>
      </c>
      <c r="B1111" t="s">
        <v>101</v>
      </c>
      <c r="C1111" s="1">
        <v>45717</v>
      </c>
      <c r="D1111" t="str">
        <f t="shared" si="57"/>
        <v>66</v>
      </c>
      <c r="E1111" t="str">
        <f>"70610040"</f>
        <v>70610040</v>
      </c>
      <c r="F1111" t="s">
        <v>2764</v>
      </c>
      <c r="G1111" t="s">
        <v>5885</v>
      </c>
      <c r="H1111" t="s">
        <v>5972</v>
      </c>
      <c r="I1111">
        <v>0</v>
      </c>
      <c r="J1111" t="s">
        <v>343</v>
      </c>
      <c r="L1111">
        <v>-19000000</v>
      </c>
      <c r="N1111">
        <v>-19000000</v>
      </c>
    </row>
    <row r="1112" spans="1:14" x14ac:dyDescent="0.35">
      <c r="A1112" t="str">
        <f t="shared" si="56"/>
        <v>OD457176670610040</v>
      </c>
      <c r="B1112" t="s">
        <v>101</v>
      </c>
      <c r="C1112" s="1">
        <v>45717</v>
      </c>
      <c r="D1112" t="str">
        <f t="shared" si="57"/>
        <v>66</v>
      </c>
      <c r="E1112" t="str">
        <f>"70610040"</f>
        <v>70610040</v>
      </c>
      <c r="F1112" t="s">
        <v>2765</v>
      </c>
      <c r="G1112" t="s">
        <v>5885</v>
      </c>
      <c r="H1112" t="s">
        <v>5979</v>
      </c>
      <c r="I1112">
        <v>0</v>
      </c>
      <c r="J1112" t="s">
        <v>343</v>
      </c>
      <c r="L1112">
        <v>23466780</v>
      </c>
      <c r="N1112">
        <v>23466780</v>
      </c>
    </row>
    <row r="1113" spans="1:14" x14ac:dyDescent="0.35">
      <c r="A1113" t="str">
        <f t="shared" si="56"/>
        <v>OD457176670610040</v>
      </c>
      <c r="B1113" t="s">
        <v>101</v>
      </c>
      <c r="C1113" s="1">
        <v>45717</v>
      </c>
      <c r="D1113" t="str">
        <f t="shared" si="57"/>
        <v>66</v>
      </c>
      <c r="E1113" t="str">
        <f>"70610040"</f>
        <v>70610040</v>
      </c>
      <c r="F1113" t="s">
        <v>2765</v>
      </c>
      <c r="G1113" t="s">
        <v>5885</v>
      </c>
      <c r="H1113" t="s">
        <v>350</v>
      </c>
      <c r="I1113">
        <v>0</v>
      </c>
      <c r="J1113" t="s">
        <v>343</v>
      </c>
      <c r="L1113">
        <v>6500500</v>
      </c>
      <c r="N1113">
        <v>6500500</v>
      </c>
    </row>
    <row r="1114" spans="1:14" x14ac:dyDescent="0.35">
      <c r="A1114" t="str">
        <f t="shared" si="56"/>
        <v>OD457176670610050</v>
      </c>
      <c r="B1114" t="s">
        <v>101</v>
      </c>
      <c r="C1114" s="1">
        <v>45717</v>
      </c>
      <c r="D1114" t="str">
        <f t="shared" si="57"/>
        <v>66</v>
      </c>
      <c r="E1114" t="str">
        <f>"70610050"</f>
        <v>70610050</v>
      </c>
      <c r="F1114" t="s">
        <v>2766</v>
      </c>
      <c r="G1114" t="s">
        <v>5885</v>
      </c>
      <c r="H1114" t="s">
        <v>5972</v>
      </c>
      <c r="I1114">
        <v>0</v>
      </c>
      <c r="J1114" t="s">
        <v>343</v>
      </c>
      <c r="L1114">
        <v>2079000</v>
      </c>
      <c r="N1114">
        <v>2079000</v>
      </c>
    </row>
    <row r="1115" spans="1:14" x14ac:dyDescent="0.35">
      <c r="A1115" t="str">
        <f t="shared" si="56"/>
        <v>OD457176670690000</v>
      </c>
      <c r="B1115" t="s">
        <v>101</v>
      </c>
      <c r="C1115" s="1">
        <v>45717</v>
      </c>
      <c r="D1115" t="str">
        <f t="shared" si="57"/>
        <v>66</v>
      </c>
      <c r="E1115" t="str">
        <f>"70690000"</f>
        <v>70690000</v>
      </c>
      <c r="F1115" t="s">
        <v>112</v>
      </c>
      <c r="G1115" t="s">
        <v>5885</v>
      </c>
      <c r="H1115" t="s">
        <v>5972</v>
      </c>
      <c r="I1115">
        <v>0</v>
      </c>
      <c r="J1115" t="s">
        <v>343</v>
      </c>
      <c r="L1115">
        <v>-10185450</v>
      </c>
      <c r="N1115">
        <v>-10185450</v>
      </c>
    </row>
    <row r="1116" spans="1:14" x14ac:dyDescent="0.35">
      <c r="A1116" t="str">
        <f t="shared" si="56"/>
        <v>OD457177562230000</v>
      </c>
      <c r="B1116" t="s">
        <v>101</v>
      </c>
      <c r="C1116" s="1">
        <v>45717</v>
      </c>
      <c r="D1116" t="str">
        <f>"75"</f>
        <v>75</v>
      </c>
      <c r="E1116" t="str">
        <f>"62230000"</f>
        <v>62230000</v>
      </c>
      <c r="F1116" t="s">
        <v>2767</v>
      </c>
      <c r="G1116" t="s">
        <v>336</v>
      </c>
      <c r="H1116" t="s">
        <v>5908</v>
      </c>
      <c r="I1116">
        <v>0</v>
      </c>
      <c r="J1116" t="s">
        <v>343</v>
      </c>
      <c r="K1116">
        <v>4240000</v>
      </c>
      <c r="M1116">
        <v>4240000</v>
      </c>
    </row>
    <row r="1117" spans="1:14" x14ac:dyDescent="0.35">
      <c r="A1117" t="str">
        <f t="shared" si="56"/>
        <v>OD457301265110200</v>
      </c>
      <c r="B1117" t="s">
        <v>101</v>
      </c>
      <c r="C1117" s="1">
        <v>45730</v>
      </c>
      <c r="D1117" t="str">
        <f>"12"</f>
        <v>12</v>
      </c>
      <c r="E1117" t="str">
        <f>"65110200"</f>
        <v>65110200</v>
      </c>
      <c r="F1117" t="s">
        <v>2768</v>
      </c>
      <c r="G1117" t="s">
        <v>336</v>
      </c>
      <c r="H1117" t="s">
        <v>5980</v>
      </c>
      <c r="I1117">
        <v>0</v>
      </c>
      <c r="J1117" t="s">
        <v>343</v>
      </c>
      <c r="K1117">
        <v>5411205</v>
      </c>
      <c r="M1117">
        <v>5411205</v>
      </c>
    </row>
    <row r="1118" spans="1:14" x14ac:dyDescent="0.35">
      <c r="A1118" t="str">
        <f t="shared" si="56"/>
        <v>OD457306365110200</v>
      </c>
      <c r="B1118" t="s">
        <v>101</v>
      </c>
      <c r="C1118" s="1">
        <v>45730</v>
      </c>
      <c r="D1118" t="str">
        <f>"63"</f>
        <v>63</v>
      </c>
      <c r="E1118" t="str">
        <f>"65110200"</f>
        <v>65110200</v>
      </c>
      <c r="F1118" t="s">
        <v>2769</v>
      </c>
      <c r="G1118" t="s">
        <v>336</v>
      </c>
      <c r="H1118" t="s">
        <v>5980</v>
      </c>
      <c r="I1118">
        <v>0</v>
      </c>
      <c r="J1118" t="s">
        <v>343</v>
      </c>
      <c r="K1118">
        <v>-5411205</v>
      </c>
      <c r="M1118">
        <v>-5411205</v>
      </c>
    </row>
    <row r="1119" spans="1:14" x14ac:dyDescent="0.35">
      <c r="A1119" t="str">
        <f t="shared" si="56"/>
        <v>OD457313162330000</v>
      </c>
      <c r="B1119" t="s">
        <v>101</v>
      </c>
      <c r="C1119" s="1">
        <v>45731</v>
      </c>
      <c r="D1119" t="str">
        <f>"31"</f>
        <v>31</v>
      </c>
      <c r="E1119" t="str">
        <f>"62330000"</f>
        <v>62330000</v>
      </c>
      <c r="F1119" t="s">
        <v>2771</v>
      </c>
      <c r="G1119" t="s">
        <v>336</v>
      </c>
      <c r="H1119" t="s">
        <v>5879</v>
      </c>
      <c r="I1119">
        <v>0</v>
      </c>
      <c r="J1119" t="s">
        <v>343</v>
      </c>
      <c r="L1119">
        <v>355662</v>
      </c>
      <c r="N1119">
        <v>1066987</v>
      </c>
    </row>
    <row r="1120" spans="1:14" x14ac:dyDescent="0.35">
      <c r="A1120" t="str">
        <f t="shared" si="56"/>
        <v>OD457313162330000</v>
      </c>
      <c r="B1120" t="s">
        <v>101</v>
      </c>
      <c r="C1120" s="1">
        <v>45731</v>
      </c>
      <c r="D1120" t="str">
        <f>"31"</f>
        <v>31</v>
      </c>
      <c r="E1120" t="str">
        <f>"62330000"</f>
        <v>62330000</v>
      </c>
      <c r="F1120" t="s">
        <v>2771</v>
      </c>
      <c r="G1120" t="s">
        <v>336</v>
      </c>
      <c r="H1120" t="s">
        <v>5928</v>
      </c>
      <c r="I1120">
        <v>0</v>
      </c>
      <c r="J1120" t="s">
        <v>343</v>
      </c>
      <c r="L1120">
        <v>711325</v>
      </c>
      <c r="N1120">
        <v>1066987</v>
      </c>
    </row>
    <row r="1121" spans="1:14" x14ac:dyDescent="0.35">
      <c r="A1121" t="str">
        <f t="shared" si="56"/>
        <v>OD457313167210000</v>
      </c>
      <c r="B1121" t="s">
        <v>101</v>
      </c>
      <c r="C1121" s="1">
        <v>45731</v>
      </c>
      <c r="D1121" t="str">
        <f>"31"</f>
        <v>31</v>
      </c>
      <c r="E1121" t="str">
        <f>"67210000"</f>
        <v>67210000</v>
      </c>
      <c r="F1121" t="s">
        <v>2771</v>
      </c>
      <c r="G1121" t="s">
        <v>336</v>
      </c>
      <c r="H1121" t="s">
        <v>5879</v>
      </c>
      <c r="I1121">
        <v>0</v>
      </c>
      <c r="J1121" t="s">
        <v>343</v>
      </c>
      <c r="K1121">
        <v>63159</v>
      </c>
      <c r="M1121">
        <v>189476</v>
      </c>
    </row>
    <row r="1122" spans="1:14" x14ac:dyDescent="0.35">
      <c r="A1122" t="str">
        <f t="shared" si="56"/>
        <v>OD457313167210000</v>
      </c>
      <c r="B1122" t="s">
        <v>101</v>
      </c>
      <c r="C1122" s="1">
        <v>45731</v>
      </c>
      <c r="D1122" t="str">
        <f>"31"</f>
        <v>31</v>
      </c>
      <c r="E1122" t="str">
        <f>"67210000"</f>
        <v>67210000</v>
      </c>
      <c r="F1122" t="s">
        <v>2771</v>
      </c>
      <c r="G1122" t="s">
        <v>336</v>
      </c>
      <c r="H1122" t="s">
        <v>5928</v>
      </c>
      <c r="I1122">
        <v>0</v>
      </c>
      <c r="J1122" t="s">
        <v>343</v>
      </c>
      <c r="K1122">
        <v>126317</v>
      </c>
      <c r="M1122">
        <v>189476</v>
      </c>
    </row>
    <row r="1123" spans="1:14" x14ac:dyDescent="0.35">
      <c r="A1123" t="str">
        <f t="shared" si="56"/>
        <v>OD457313262330000</v>
      </c>
      <c r="B1123" t="s">
        <v>101</v>
      </c>
      <c r="C1123" s="1">
        <v>45731</v>
      </c>
      <c r="D1123" t="str">
        <f>"32"</f>
        <v>32</v>
      </c>
      <c r="E1123" t="str">
        <f>"62330000"</f>
        <v>62330000</v>
      </c>
      <c r="F1123" t="s">
        <v>2773</v>
      </c>
      <c r="G1123" t="s">
        <v>336</v>
      </c>
      <c r="H1123" t="s">
        <v>5882</v>
      </c>
      <c r="I1123">
        <v>0</v>
      </c>
      <c r="J1123" t="s">
        <v>343</v>
      </c>
      <c r="L1123">
        <v>363469</v>
      </c>
      <c r="N1123">
        <v>363469</v>
      </c>
    </row>
    <row r="1124" spans="1:14" x14ac:dyDescent="0.35">
      <c r="A1124" t="str">
        <f t="shared" si="56"/>
        <v>OD457313267210000</v>
      </c>
      <c r="B1124" t="s">
        <v>101</v>
      </c>
      <c r="C1124" s="1">
        <v>45731</v>
      </c>
      <c r="D1124" t="str">
        <f>"32"</f>
        <v>32</v>
      </c>
      <c r="E1124" t="str">
        <f>"67210000"</f>
        <v>67210000</v>
      </c>
      <c r="F1124" t="s">
        <v>2773</v>
      </c>
      <c r="G1124" t="s">
        <v>336</v>
      </c>
      <c r="H1124" t="s">
        <v>5882</v>
      </c>
      <c r="I1124">
        <v>0</v>
      </c>
      <c r="J1124" t="s">
        <v>343</v>
      </c>
      <c r="K1124">
        <v>64545</v>
      </c>
      <c r="M1124">
        <v>64545</v>
      </c>
    </row>
    <row r="1125" spans="1:14" x14ac:dyDescent="0.35">
      <c r="A1125" t="str">
        <f t="shared" si="56"/>
        <v>OD457313362330000</v>
      </c>
      <c r="B1125" t="s">
        <v>101</v>
      </c>
      <c r="C1125" s="1">
        <v>45731</v>
      </c>
      <c r="D1125" t="str">
        <f t="shared" ref="D1125:D1130" si="59">"33"</f>
        <v>33</v>
      </c>
      <c r="E1125" t="str">
        <f>"62330000"</f>
        <v>62330000</v>
      </c>
      <c r="F1125" t="s">
        <v>2775</v>
      </c>
      <c r="G1125" t="s">
        <v>336</v>
      </c>
      <c r="H1125" t="s">
        <v>5937</v>
      </c>
      <c r="I1125">
        <v>0</v>
      </c>
      <c r="J1125" t="s">
        <v>343</v>
      </c>
      <c r="L1125">
        <v>320963</v>
      </c>
      <c r="N1125">
        <v>1604817</v>
      </c>
    </row>
    <row r="1126" spans="1:14" x14ac:dyDescent="0.35">
      <c r="A1126" t="str">
        <f t="shared" si="56"/>
        <v>OD457313362330000</v>
      </c>
      <c r="B1126" t="s">
        <v>101</v>
      </c>
      <c r="C1126" s="1">
        <v>45731</v>
      </c>
      <c r="D1126" t="str">
        <f t="shared" si="59"/>
        <v>33</v>
      </c>
      <c r="E1126" t="str">
        <f>"62330000"</f>
        <v>62330000</v>
      </c>
      <c r="F1126" t="s">
        <v>2775</v>
      </c>
      <c r="G1126" t="s">
        <v>336</v>
      </c>
      <c r="H1126" t="s">
        <v>5901</v>
      </c>
      <c r="I1126">
        <v>0</v>
      </c>
      <c r="J1126" t="s">
        <v>343</v>
      </c>
      <c r="L1126">
        <v>320963</v>
      </c>
      <c r="N1126">
        <v>1604817</v>
      </c>
    </row>
    <row r="1127" spans="1:14" x14ac:dyDescent="0.35">
      <c r="A1127" t="str">
        <f t="shared" si="56"/>
        <v>OD457313362330000</v>
      </c>
      <c r="B1127" t="s">
        <v>101</v>
      </c>
      <c r="C1127" s="1">
        <v>45731</v>
      </c>
      <c r="D1127" t="str">
        <f t="shared" si="59"/>
        <v>33</v>
      </c>
      <c r="E1127" t="str">
        <f>"62330000"</f>
        <v>62330000</v>
      </c>
      <c r="F1127" t="s">
        <v>2775</v>
      </c>
      <c r="G1127" t="s">
        <v>336</v>
      </c>
      <c r="H1127" t="s">
        <v>5873</v>
      </c>
      <c r="I1127">
        <v>0</v>
      </c>
      <c r="J1127" t="s">
        <v>343</v>
      </c>
      <c r="L1127">
        <v>962891</v>
      </c>
      <c r="N1127">
        <v>1604817</v>
      </c>
    </row>
    <row r="1128" spans="1:14" x14ac:dyDescent="0.35">
      <c r="A1128" t="str">
        <f t="shared" si="56"/>
        <v>OD457313367210000</v>
      </c>
      <c r="B1128" t="s">
        <v>101</v>
      </c>
      <c r="C1128" s="1">
        <v>45731</v>
      </c>
      <c r="D1128" t="str">
        <f t="shared" si="59"/>
        <v>33</v>
      </c>
      <c r="E1128" t="str">
        <f>"67210000"</f>
        <v>67210000</v>
      </c>
      <c r="F1128" t="s">
        <v>2775</v>
      </c>
      <c r="G1128" t="s">
        <v>336</v>
      </c>
      <c r="H1128" t="s">
        <v>5937</v>
      </c>
      <c r="I1128">
        <v>0</v>
      </c>
      <c r="J1128" t="s">
        <v>343</v>
      </c>
      <c r="K1128">
        <v>56997</v>
      </c>
      <c r="M1128">
        <v>284984</v>
      </c>
    </row>
    <row r="1129" spans="1:14" x14ac:dyDescent="0.35">
      <c r="A1129" t="str">
        <f t="shared" si="56"/>
        <v>OD457313367210000</v>
      </c>
      <c r="B1129" t="s">
        <v>101</v>
      </c>
      <c r="C1129" s="1">
        <v>45731</v>
      </c>
      <c r="D1129" t="str">
        <f t="shared" si="59"/>
        <v>33</v>
      </c>
      <c r="E1129" t="str">
        <f>"67210000"</f>
        <v>67210000</v>
      </c>
      <c r="F1129" t="s">
        <v>2775</v>
      </c>
      <c r="G1129" t="s">
        <v>336</v>
      </c>
      <c r="H1129" t="s">
        <v>5901</v>
      </c>
      <c r="I1129">
        <v>0</v>
      </c>
      <c r="J1129" t="s">
        <v>343</v>
      </c>
      <c r="K1129">
        <v>56997</v>
      </c>
      <c r="M1129">
        <v>284984</v>
      </c>
    </row>
    <row r="1130" spans="1:14" x14ac:dyDescent="0.35">
      <c r="A1130" t="str">
        <f t="shared" si="56"/>
        <v>OD457313367210000</v>
      </c>
      <c r="B1130" t="s">
        <v>101</v>
      </c>
      <c r="C1130" s="1">
        <v>45731</v>
      </c>
      <c r="D1130" t="str">
        <f t="shared" si="59"/>
        <v>33</v>
      </c>
      <c r="E1130" t="str">
        <f>"67210000"</f>
        <v>67210000</v>
      </c>
      <c r="F1130" t="s">
        <v>2775</v>
      </c>
      <c r="G1130" t="s">
        <v>336</v>
      </c>
      <c r="H1130" t="s">
        <v>5873</v>
      </c>
      <c r="I1130">
        <v>0</v>
      </c>
      <c r="J1130" t="s">
        <v>343</v>
      </c>
      <c r="K1130">
        <v>170990</v>
      </c>
      <c r="M1130">
        <v>284984</v>
      </c>
    </row>
    <row r="1131" spans="1:14" x14ac:dyDescent="0.35">
      <c r="A1131" t="str">
        <f t="shared" si="56"/>
        <v>OD457313462330000</v>
      </c>
      <c r="B1131" t="s">
        <v>101</v>
      </c>
      <c r="C1131" s="1">
        <v>45731</v>
      </c>
      <c r="D1131" t="str">
        <f>"34"</f>
        <v>34</v>
      </c>
      <c r="E1131" t="str">
        <f>"62330000"</f>
        <v>62330000</v>
      </c>
      <c r="F1131" t="s">
        <v>2777</v>
      </c>
      <c r="G1131" t="s">
        <v>336</v>
      </c>
      <c r="H1131" t="s">
        <v>5877</v>
      </c>
      <c r="I1131">
        <v>0</v>
      </c>
      <c r="J1131" t="s">
        <v>343</v>
      </c>
      <c r="L1131">
        <v>154409</v>
      </c>
      <c r="N1131">
        <v>154409</v>
      </c>
    </row>
    <row r="1132" spans="1:14" x14ac:dyDescent="0.35">
      <c r="A1132" t="str">
        <f t="shared" si="56"/>
        <v>OD457313467210000</v>
      </c>
      <c r="B1132" t="s">
        <v>101</v>
      </c>
      <c r="C1132" s="1">
        <v>45731</v>
      </c>
      <c r="D1132" t="str">
        <f>"34"</f>
        <v>34</v>
      </c>
      <c r="E1132" t="str">
        <f>"67210000"</f>
        <v>67210000</v>
      </c>
      <c r="F1132" t="s">
        <v>2777</v>
      </c>
      <c r="G1132" t="s">
        <v>336</v>
      </c>
      <c r="H1132" t="s">
        <v>5877</v>
      </c>
      <c r="I1132">
        <v>0</v>
      </c>
      <c r="J1132" t="s">
        <v>343</v>
      </c>
      <c r="K1132">
        <v>28303</v>
      </c>
      <c r="M1132">
        <v>28303</v>
      </c>
    </row>
    <row r="1133" spans="1:14" x14ac:dyDescent="0.35">
      <c r="A1133" t="str">
        <f t="shared" si="56"/>
        <v>OD457313562330000</v>
      </c>
      <c r="B1133" t="s">
        <v>101</v>
      </c>
      <c r="C1133" s="1">
        <v>45731</v>
      </c>
      <c r="D1133" t="str">
        <f>"35"</f>
        <v>35</v>
      </c>
      <c r="E1133" t="str">
        <f>"62330000"</f>
        <v>62330000</v>
      </c>
      <c r="F1133" t="s">
        <v>2778</v>
      </c>
      <c r="G1133" t="s">
        <v>336</v>
      </c>
      <c r="H1133" t="s">
        <v>5877</v>
      </c>
      <c r="I1133">
        <v>0</v>
      </c>
      <c r="J1133" t="s">
        <v>343</v>
      </c>
      <c r="L1133">
        <v>1132091</v>
      </c>
      <c r="N1133">
        <v>1132091</v>
      </c>
    </row>
    <row r="1134" spans="1:14" x14ac:dyDescent="0.35">
      <c r="A1134" t="str">
        <f t="shared" si="56"/>
        <v>OD457313567210000</v>
      </c>
      <c r="B1134" t="s">
        <v>101</v>
      </c>
      <c r="C1134" s="1">
        <v>45731</v>
      </c>
      <c r="D1134" t="str">
        <f>"35"</f>
        <v>35</v>
      </c>
      <c r="E1134" t="str">
        <f>"67210000"</f>
        <v>67210000</v>
      </c>
      <c r="F1134" t="s">
        <v>2778</v>
      </c>
      <c r="G1134" t="s">
        <v>336</v>
      </c>
      <c r="H1134" t="s">
        <v>5877</v>
      </c>
      <c r="I1134">
        <v>0</v>
      </c>
      <c r="J1134" t="s">
        <v>343</v>
      </c>
      <c r="K1134">
        <v>193174</v>
      </c>
      <c r="M1134">
        <v>193174</v>
      </c>
    </row>
    <row r="1135" spans="1:14" x14ac:dyDescent="0.35">
      <c r="A1135" t="str">
        <f t="shared" si="56"/>
        <v>OD457313662330000</v>
      </c>
      <c r="B1135" t="s">
        <v>101</v>
      </c>
      <c r="C1135" s="1">
        <v>45731</v>
      </c>
      <c r="D1135" t="str">
        <f>"36"</f>
        <v>36</v>
      </c>
      <c r="E1135" t="str">
        <f>"62330000"</f>
        <v>62330000</v>
      </c>
      <c r="F1135" t="s">
        <v>2780</v>
      </c>
      <c r="G1135" t="s">
        <v>336</v>
      </c>
      <c r="H1135" t="s">
        <v>5873</v>
      </c>
      <c r="I1135">
        <v>0</v>
      </c>
      <c r="J1135" t="s">
        <v>343</v>
      </c>
      <c r="L1135">
        <v>606478</v>
      </c>
      <c r="N1135">
        <v>606478</v>
      </c>
    </row>
    <row r="1136" spans="1:14" x14ac:dyDescent="0.35">
      <c r="A1136" t="str">
        <f t="shared" si="56"/>
        <v>OD457313667210000</v>
      </c>
      <c r="B1136" t="s">
        <v>101</v>
      </c>
      <c r="C1136" s="1">
        <v>45731</v>
      </c>
      <c r="D1136" t="str">
        <f>"36"</f>
        <v>36</v>
      </c>
      <c r="E1136" t="str">
        <f>"67210000"</f>
        <v>67210000</v>
      </c>
      <c r="F1136" t="s">
        <v>2780</v>
      </c>
      <c r="G1136" t="s">
        <v>336</v>
      </c>
      <c r="H1136" t="s">
        <v>5873</v>
      </c>
      <c r="I1136">
        <v>0</v>
      </c>
      <c r="J1136" t="s">
        <v>343</v>
      </c>
      <c r="K1136">
        <v>103487</v>
      </c>
      <c r="M1136">
        <v>103487</v>
      </c>
    </row>
    <row r="1137" spans="1:14" x14ac:dyDescent="0.35">
      <c r="A1137" t="str">
        <f t="shared" si="56"/>
        <v>OD457313762330000</v>
      </c>
      <c r="B1137" t="s">
        <v>101</v>
      </c>
      <c r="C1137" s="1">
        <v>45731</v>
      </c>
      <c r="D1137" t="str">
        <f>"37"</f>
        <v>37</v>
      </c>
      <c r="E1137" t="str">
        <f>"62330000"</f>
        <v>62330000</v>
      </c>
      <c r="F1137" t="s">
        <v>2781</v>
      </c>
      <c r="G1137" t="s">
        <v>336</v>
      </c>
      <c r="H1137" t="s">
        <v>5932</v>
      </c>
      <c r="I1137">
        <v>0</v>
      </c>
      <c r="J1137" t="s">
        <v>343</v>
      </c>
      <c r="L1137">
        <v>633432</v>
      </c>
      <c r="N1137">
        <v>633432</v>
      </c>
    </row>
    <row r="1138" spans="1:14" x14ac:dyDescent="0.35">
      <c r="A1138" t="str">
        <f t="shared" si="56"/>
        <v>OD457313767210000</v>
      </c>
      <c r="B1138" t="s">
        <v>101</v>
      </c>
      <c r="C1138" s="1">
        <v>45731</v>
      </c>
      <c r="D1138" t="str">
        <f>"37"</f>
        <v>37</v>
      </c>
      <c r="E1138" t="str">
        <f>"67210000"</f>
        <v>67210000</v>
      </c>
      <c r="F1138" t="s">
        <v>2781</v>
      </c>
      <c r="G1138" t="s">
        <v>336</v>
      </c>
      <c r="H1138" t="s">
        <v>5932</v>
      </c>
      <c r="I1138">
        <v>0</v>
      </c>
      <c r="J1138" t="s">
        <v>343</v>
      </c>
      <c r="K1138">
        <v>108086</v>
      </c>
      <c r="M1138">
        <v>108086</v>
      </c>
    </row>
    <row r="1139" spans="1:14" x14ac:dyDescent="0.35">
      <c r="A1139" t="str">
        <f t="shared" si="56"/>
        <v>OD457313862330000</v>
      </c>
      <c r="B1139" t="s">
        <v>101</v>
      </c>
      <c r="C1139" s="1">
        <v>45731</v>
      </c>
      <c r="D1139" t="str">
        <f>"38"</f>
        <v>38</v>
      </c>
      <c r="E1139" t="str">
        <f>"62330000"</f>
        <v>62330000</v>
      </c>
      <c r="F1139" t="s">
        <v>2782</v>
      </c>
      <c r="G1139" t="s">
        <v>336</v>
      </c>
      <c r="H1139" t="s">
        <v>5873</v>
      </c>
      <c r="I1139">
        <v>0</v>
      </c>
      <c r="J1139" t="s">
        <v>343</v>
      </c>
      <c r="L1139">
        <v>741250</v>
      </c>
      <c r="N1139">
        <v>741250</v>
      </c>
    </row>
    <row r="1140" spans="1:14" x14ac:dyDescent="0.35">
      <c r="A1140" t="str">
        <f t="shared" si="56"/>
        <v>OD457313867210000</v>
      </c>
      <c r="B1140" t="s">
        <v>101</v>
      </c>
      <c r="C1140" s="1">
        <v>45731</v>
      </c>
      <c r="D1140" t="str">
        <f>"38"</f>
        <v>38</v>
      </c>
      <c r="E1140" t="str">
        <f>"67210000"</f>
        <v>67210000</v>
      </c>
      <c r="F1140" t="s">
        <v>2782</v>
      </c>
      <c r="G1140" t="s">
        <v>336</v>
      </c>
      <c r="H1140" t="s">
        <v>5873</v>
      </c>
      <c r="I1140">
        <v>0</v>
      </c>
      <c r="J1140" t="s">
        <v>343</v>
      </c>
      <c r="K1140">
        <v>126483</v>
      </c>
      <c r="M1140">
        <v>126483</v>
      </c>
    </row>
    <row r="1141" spans="1:14" x14ac:dyDescent="0.35">
      <c r="A1141" t="str">
        <f t="shared" si="56"/>
        <v>OD457313962330000</v>
      </c>
      <c r="B1141" t="s">
        <v>101</v>
      </c>
      <c r="C1141" s="1">
        <v>45731</v>
      </c>
      <c r="D1141" t="str">
        <f>"39"</f>
        <v>39</v>
      </c>
      <c r="E1141" t="str">
        <f>"62330000"</f>
        <v>62330000</v>
      </c>
      <c r="F1141" t="s">
        <v>2783</v>
      </c>
      <c r="G1141" t="s">
        <v>336</v>
      </c>
      <c r="H1141" t="s">
        <v>5941</v>
      </c>
      <c r="I1141">
        <v>0</v>
      </c>
      <c r="J1141" t="s">
        <v>343</v>
      </c>
      <c r="L1141">
        <v>1272255</v>
      </c>
      <c r="N1141">
        <v>1272255</v>
      </c>
    </row>
    <row r="1142" spans="1:14" x14ac:dyDescent="0.35">
      <c r="A1142" t="str">
        <f t="shared" si="56"/>
        <v>OD457313967210000</v>
      </c>
      <c r="B1142" t="s">
        <v>101</v>
      </c>
      <c r="C1142" s="1">
        <v>45731</v>
      </c>
      <c r="D1142" t="str">
        <f>"39"</f>
        <v>39</v>
      </c>
      <c r="E1142" t="str">
        <f>"67210000"</f>
        <v>67210000</v>
      </c>
      <c r="F1142" t="s">
        <v>2783</v>
      </c>
      <c r="G1142" t="s">
        <v>336</v>
      </c>
      <c r="H1142" t="s">
        <v>5941</v>
      </c>
      <c r="I1142">
        <v>0</v>
      </c>
      <c r="J1142" t="s">
        <v>343</v>
      </c>
      <c r="K1142">
        <v>217092</v>
      </c>
      <c r="M1142">
        <v>217092</v>
      </c>
    </row>
    <row r="1143" spans="1:14" x14ac:dyDescent="0.35">
      <c r="A1143" t="str">
        <f t="shared" si="56"/>
        <v>OD457314062330100</v>
      </c>
      <c r="B1143" t="s">
        <v>101</v>
      </c>
      <c r="C1143" s="1">
        <v>45731</v>
      </c>
      <c r="D1143" t="str">
        <f>"40"</f>
        <v>40</v>
      </c>
      <c r="E1143" t="str">
        <f>"62330100"</f>
        <v>62330100</v>
      </c>
      <c r="F1143" t="s">
        <v>2784</v>
      </c>
      <c r="G1143" t="s">
        <v>336</v>
      </c>
      <c r="H1143" t="s">
        <v>5942</v>
      </c>
      <c r="I1143">
        <v>0</v>
      </c>
      <c r="J1143" t="s">
        <v>343</v>
      </c>
      <c r="L1143">
        <v>2071868</v>
      </c>
      <c r="N1143">
        <v>2071868</v>
      </c>
    </row>
    <row r="1144" spans="1:14" x14ac:dyDescent="0.35">
      <c r="A1144" t="str">
        <f t="shared" si="56"/>
        <v>OD457314067210000</v>
      </c>
      <c r="B1144" t="s">
        <v>101</v>
      </c>
      <c r="C1144" s="1">
        <v>45731</v>
      </c>
      <c r="D1144" t="str">
        <f>"40"</f>
        <v>40</v>
      </c>
      <c r="E1144" t="str">
        <f>"67210000"</f>
        <v>67210000</v>
      </c>
      <c r="F1144" t="s">
        <v>2784</v>
      </c>
      <c r="G1144" t="s">
        <v>336</v>
      </c>
      <c r="H1144" t="s">
        <v>5942</v>
      </c>
      <c r="I1144">
        <v>0</v>
      </c>
      <c r="J1144" t="s">
        <v>343</v>
      </c>
      <c r="K1144">
        <v>353535</v>
      </c>
      <c r="M1144">
        <v>353535</v>
      </c>
    </row>
    <row r="1145" spans="1:14" x14ac:dyDescent="0.35">
      <c r="A1145" t="str">
        <f t="shared" si="56"/>
        <v>OD457314162330100</v>
      </c>
      <c r="B1145" t="s">
        <v>101</v>
      </c>
      <c r="C1145" s="1">
        <v>45731</v>
      </c>
      <c r="D1145" t="str">
        <f>"41"</f>
        <v>41</v>
      </c>
      <c r="E1145" t="str">
        <f>"62330100"</f>
        <v>62330100</v>
      </c>
      <c r="F1145" t="s">
        <v>2785</v>
      </c>
      <c r="G1145" t="s">
        <v>336</v>
      </c>
      <c r="H1145" t="s">
        <v>5942</v>
      </c>
      <c r="I1145">
        <v>0</v>
      </c>
      <c r="J1145" t="s">
        <v>343</v>
      </c>
      <c r="L1145">
        <v>4143735</v>
      </c>
      <c r="N1145">
        <v>4143735</v>
      </c>
    </row>
    <row r="1146" spans="1:14" x14ac:dyDescent="0.35">
      <c r="A1146" t="str">
        <f t="shared" si="56"/>
        <v>OD457314167210000</v>
      </c>
      <c r="B1146" t="s">
        <v>101</v>
      </c>
      <c r="C1146" s="1">
        <v>45731</v>
      </c>
      <c r="D1146" t="str">
        <f>"41"</f>
        <v>41</v>
      </c>
      <c r="E1146" t="str">
        <f>"67210000"</f>
        <v>67210000</v>
      </c>
      <c r="F1146" t="s">
        <v>2785</v>
      </c>
      <c r="G1146" t="s">
        <v>336</v>
      </c>
      <c r="H1146" t="s">
        <v>5942</v>
      </c>
      <c r="I1146">
        <v>0</v>
      </c>
      <c r="J1146" t="s">
        <v>343</v>
      </c>
      <c r="K1146">
        <v>707069</v>
      </c>
      <c r="M1146">
        <v>707069</v>
      </c>
    </row>
    <row r="1147" spans="1:14" x14ac:dyDescent="0.35">
      <c r="A1147" t="str">
        <f t="shared" si="56"/>
        <v>OD457314262330100</v>
      </c>
      <c r="B1147" t="s">
        <v>101</v>
      </c>
      <c r="C1147" s="1">
        <v>45731</v>
      </c>
      <c r="D1147" t="str">
        <f>"42"</f>
        <v>42</v>
      </c>
      <c r="E1147" t="str">
        <f>"62330100"</f>
        <v>62330100</v>
      </c>
      <c r="F1147" t="s">
        <v>2786</v>
      </c>
      <c r="G1147" t="s">
        <v>336</v>
      </c>
      <c r="H1147" t="s">
        <v>5942</v>
      </c>
      <c r="I1147">
        <v>0</v>
      </c>
      <c r="J1147" t="s">
        <v>343</v>
      </c>
      <c r="L1147">
        <v>4143735</v>
      </c>
      <c r="N1147">
        <v>4143735</v>
      </c>
    </row>
    <row r="1148" spans="1:14" x14ac:dyDescent="0.35">
      <c r="A1148" t="str">
        <f t="shared" si="56"/>
        <v>OD457314267210000</v>
      </c>
      <c r="B1148" t="s">
        <v>101</v>
      </c>
      <c r="C1148" s="1">
        <v>45731</v>
      </c>
      <c r="D1148" t="str">
        <f>"42"</f>
        <v>42</v>
      </c>
      <c r="E1148" t="str">
        <f>"67210000"</f>
        <v>67210000</v>
      </c>
      <c r="F1148" t="s">
        <v>2786</v>
      </c>
      <c r="G1148" t="s">
        <v>336</v>
      </c>
      <c r="H1148" t="s">
        <v>5942</v>
      </c>
      <c r="I1148">
        <v>0</v>
      </c>
      <c r="J1148" t="s">
        <v>343</v>
      </c>
      <c r="K1148">
        <v>707069</v>
      </c>
      <c r="M1148">
        <v>707069</v>
      </c>
    </row>
    <row r="1149" spans="1:14" x14ac:dyDescent="0.35">
      <c r="A1149" t="str">
        <f t="shared" si="56"/>
        <v>OD457314362330100</v>
      </c>
      <c r="B1149" t="s">
        <v>101</v>
      </c>
      <c r="C1149" s="1">
        <v>45731</v>
      </c>
      <c r="D1149" t="str">
        <f>"43"</f>
        <v>43</v>
      </c>
      <c r="E1149" t="str">
        <f>"62330100"</f>
        <v>62330100</v>
      </c>
      <c r="F1149" t="s">
        <v>2787</v>
      </c>
      <c r="G1149" t="s">
        <v>336</v>
      </c>
      <c r="H1149" t="s">
        <v>5942</v>
      </c>
      <c r="I1149">
        <v>0</v>
      </c>
      <c r="J1149" t="s">
        <v>343</v>
      </c>
      <c r="L1149">
        <v>2071868</v>
      </c>
      <c r="N1149">
        <v>2071868</v>
      </c>
    </row>
    <row r="1150" spans="1:14" x14ac:dyDescent="0.35">
      <c r="A1150" t="str">
        <f t="shared" si="56"/>
        <v>OD457314367210000</v>
      </c>
      <c r="B1150" t="s">
        <v>101</v>
      </c>
      <c r="C1150" s="1">
        <v>45731</v>
      </c>
      <c r="D1150" t="str">
        <f>"43"</f>
        <v>43</v>
      </c>
      <c r="E1150" t="str">
        <f>"67210000"</f>
        <v>67210000</v>
      </c>
      <c r="F1150" t="s">
        <v>2787</v>
      </c>
      <c r="G1150" t="s">
        <v>336</v>
      </c>
      <c r="H1150" t="s">
        <v>5942</v>
      </c>
      <c r="I1150">
        <v>0</v>
      </c>
      <c r="J1150" t="s">
        <v>343</v>
      </c>
      <c r="K1150">
        <v>353535</v>
      </c>
      <c r="M1150">
        <v>353535</v>
      </c>
    </row>
    <row r="1151" spans="1:14" x14ac:dyDescent="0.35">
      <c r="A1151" t="str">
        <f t="shared" si="56"/>
        <v>OD457314462330000</v>
      </c>
      <c r="B1151" t="s">
        <v>101</v>
      </c>
      <c r="C1151" s="1">
        <v>45731</v>
      </c>
      <c r="D1151" t="str">
        <f>"44"</f>
        <v>44</v>
      </c>
      <c r="E1151" t="str">
        <f>"62330000"</f>
        <v>62330000</v>
      </c>
      <c r="F1151" t="s">
        <v>2789</v>
      </c>
      <c r="G1151" t="s">
        <v>336</v>
      </c>
      <c r="H1151" t="s">
        <v>5939</v>
      </c>
      <c r="I1151">
        <v>0</v>
      </c>
      <c r="J1151" t="s">
        <v>343</v>
      </c>
      <c r="L1151">
        <v>970364</v>
      </c>
      <c r="N1151">
        <v>970364</v>
      </c>
    </row>
    <row r="1152" spans="1:14" x14ac:dyDescent="0.35">
      <c r="A1152" t="str">
        <f t="shared" si="56"/>
        <v>OD457314467210000</v>
      </c>
      <c r="B1152" t="s">
        <v>101</v>
      </c>
      <c r="C1152" s="1">
        <v>45731</v>
      </c>
      <c r="D1152" t="str">
        <f>"44"</f>
        <v>44</v>
      </c>
      <c r="E1152" t="str">
        <f>"67210000"</f>
        <v>67210000</v>
      </c>
      <c r="F1152" t="s">
        <v>2789</v>
      </c>
      <c r="G1152" t="s">
        <v>336</v>
      </c>
      <c r="H1152" t="s">
        <v>5939</v>
      </c>
      <c r="I1152">
        <v>0</v>
      </c>
      <c r="J1152" t="s">
        <v>343</v>
      </c>
      <c r="K1152">
        <v>128618</v>
      </c>
      <c r="M1152">
        <v>128618</v>
      </c>
    </row>
    <row r="1153" spans="1:14" x14ac:dyDescent="0.35">
      <c r="A1153" t="str">
        <f t="shared" si="56"/>
        <v>OD457314562330000</v>
      </c>
      <c r="B1153" t="s">
        <v>101</v>
      </c>
      <c r="C1153" s="1">
        <v>45731</v>
      </c>
      <c r="D1153" t="str">
        <f>"45"</f>
        <v>45</v>
      </c>
      <c r="E1153" t="str">
        <f>"62330000"</f>
        <v>62330000</v>
      </c>
      <c r="F1153" t="s">
        <v>2790</v>
      </c>
      <c r="G1153" t="s">
        <v>336</v>
      </c>
      <c r="H1153" t="s">
        <v>5938</v>
      </c>
      <c r="I1153">
        <v>0</v>
      </c>
      <c r="J1153" t="s">
        <v>343</v>
      </c>
      <c r="L1153">
        <v>1239910</v>
      </c>
      <c r="N1153">
        <v>1239910</v>
      </c>
    </row>
    <row r="1154" spans="1:14" x14ac:dyDescent="0.35">
      <c r="A1154" t="str">
        <f t="shared" si="56"/>
        <v>OD457314567210000</v>
      </c>
      <c r="B1154" t="s">
        <v>101</v>
      </c>
      <c r="C1154" s="1">
        <v>45731</v>
      </c>
      <c r="D1154" t="str">
        <f>"45"</f>
        <v>45</v>
      </c>
      <c r="E1154" t="str">
        <f>"67210000"</f>
        <v>67210000</v>
      </c>
      <c r="F1154" t="s">
        <v>2790</v>
      </c>
      <c r="G1154" t="s">
        <v>336</v>
      </c>
      <c r="H1154" t="s">
        <v>5938</v>
      </c>
      <c r="I1154">
        <v>0</v>
      </c>
      <c r="J1154" t="s">
        <v>343</v>
      </c>
      <c r="K1154">
        <v>106498</v>
      </c>
      <c r="M1154">
        <v>106498</v>
      </c>
    </row>
    <row r="1155" spans="1:14" x14ac:dyDescent="0.35">
      <c r="A1155" t="str">
        <f t="shared" ref="A1155:A1218" si="60">CONCATENATE(B1155,C1155,D1155,E1155)</f>
        <v>OD457314662330000</v>
      </c>
      <c r="B1155" t="s">
        <v>101</v>
      </c>
      <c r="C1155" s="1">
        <v>45731</v>
      </c>
      <c r="D1155" t="str">
        <f>"46"</f>
        <v>46</v>
      </c>
      <c r="E1155" t="str">
        <f>"62330000"</f>
        <v>62330000</v>
      </c>
      <c r="F1155" t="s">
        <v>2791</v>
      </c>
      <c r="G1155" t="s">
        <v>336</v>
      </c>
      <c r="H1155" t="s">
        <v>5873</v>
      </c>
      <c r="I1155">
        <v>0</v>
      </c>
      <c r="J1155" t="s">
        <v>343</v>
      </c>
      <c r="L1155">
        <v>916455</v>
      </c>
      <c r="N1155">
        <v>916455</v>
      </c>
    </row>
    <row r="1156" spans="1:14" x14ac:dyDescent="0.35">
      <c r="A1156" t="str">
        <f t="shared" si="60"/>
        <v>OD457314667210000</v>
      </c>
      <c r="B1156" t="s">
        <v>101</v>
      </c>
      <c r="C1156" s="1">
        <v>45731</v>
      </c>
      <c r="D1156" t="str">
        <f>"46"</f>
        <v>46</v>
      </c>
      <c r="E1156" t="str">
        <f>"67210000"</f>
        <v>67210000</v>
      </c>
      <c r="F1156" t="s">
        <v>2791</v>
      </c>
      <c r="G1156" t="s">
        <v>336</v>
      </c>
      <c r="H1156" t="s">
        <v>5873</v>
      </c>
      <c r="I1156">
        <v>0</v>
      </c>
      <c r="J1156" t="s">
        <v>343</v>
      </c>
      <c r="K1156">
        <v>78716</v>
      </c>
      <c r="M1156">
        <v>78716</v>
      </c>
    </row>
    <row r="1157" spans="1:14" x14ac:dyDescent="0.35">
      <c r="A1157" t="str">
        <f t="shared" si="60"/>
        <v>OD457314862330000</v>
      </c>
      <c r="B1157" t="s">
        <v>101</v>
      </c>
      <c r="C1157" s="1">
        <v>45731</v>
      </c>
      <c r="D1157" t="str">
        <f>"48"</f>
        <v>48</v>
      </c>
      <c r="E1157" t="str">
        <f>"62330000"</f>
        <v>62330000</v>
      </c>
      <c r="F1157" t="s">
        <v>2793</v>
      </c>
      <c r="G1157" t="s">
        <v>336</v>
      </c>
      <c r="H1157" t="s">
        <v>5873</v>
      </c>
      <c r="I1157">
        <v>0</v>
      </c>
      <c r="J1157" t="s">
        <v>343</v>
      </c>
      <c r="L1157">
        <v>288589</v>
      </c>
      <c r="N1157">
        <v>288589</v>
      </c>
    </row>
    <row r="1158" spans="1:14" x14ac:dyDescent="0.35">
      <c r="A1158" t="str">
        <f t="shared" si="60"/>
        <v>OD457314867210000</v>
      </c>
      <c r="B1158" t="s">
        <v>101</v>
      </c>
      <c r="C1158" s="1">
        <v>45731</v>
      </c>
      <c r="D1158" t="str">
        <f>"48"</f>
        <v>48</v>
      </c>
      <c r="E1158" t="str">
        <f>"67210000"</f>
        <v>67210000</v>
      </c>
      <c r="F1158" t="s">
        <v>2793</v>
      </c>
      <c r="G1158" t="s">
        <v>336</v>
      </c>
      <c r="H1158" t="s">
        <v>5873</v>
      </c>
      <c r="I1158">
        <v>0</v>
      </c>
      <c r="J1158" t="s">
        <v>343</v>
      </c>
      <c r="K1158">
        <v>59391</v>
      </c>
      <c r="M1158">
        <v>59391</v>
      </c>
    </row>
    <row r="1159" spans="1:14" x14ac:dyDescent="0.35">
      <c r="A1159" t="str">
        <f t="shared" si="60"/>
        <v>OD457314962330000</v>
      </c>
      <c r="B1159" t="s">
        <v>101</v>
      </c>
      <c r="C1159" s="1">
        <v>45731</v>
      </c>
      <c r="D1159" t="str">
        <f>"49"</f>
        <v>49</v>
      </c>
      <c r="E1159" t="str">
        <f>"62330000"</f>
        <v>62330000</v>
      </c>
      <c r="F1159" t="s">
        <v>2795</v>
      </c>
      <c r="G1159" t="s">
        <v>336</v>
      </c>
      <c r="H1159" t="s">
        <v>5878</v>
      </c>
      <c r="I1159">
        <v>0</v>
      </c>
      <c r="J1159" t="s">
        <v>343</v>
      </c>
      <c r="L1159">
        <v>288589</v>
      </c>
      <c r="N1159">
        <v>288589</v>
      </c>
    </row>
    <row r="1160" spans="1:14" x14ac:dyDescent="0.35">
      <c r="A1160" t="str">
        <f t="shared" si="60"/>
        <v>OD457314967210000</v>
      </c>
      <c r="B1160" t="s">
        <v>101</v>
      </c>
      <c r="C1160" s="1">
        <v>45731</v>
      </c>
      <c r="D1160" t="str">
        <f>"49"</f>
        <v>49</v>
      </c>
      <c r="E1160" t="str">
        <f>"67210000"</f>
        <v>67210000</v>
      </c>
      <c r="F1160" t="s">
        <v>2795</v>
      </c>
      <c r="G1160" t="s">
        <v>336</v>
      </c>
      <c r="H1160" t="s">
        <v>5878</v>
      </c>
      <c r="I1160">
        <v>0</v>
      </c>
      <c r="J1160" t="s">
        <v>343</v>
      </c>
      <c r="K1160">
        <v>59391</v>
      </c>
      <c r="M1160">
        <v>59391</v>
      </c>
    </row>
    <row r="1161" spans="1:14" x14ac:dyDescent="0.35">
      <c r="A1161" t="str">
        <f t="shared" si="60"/>
        <v>OD457315062330000</v>
      </c>
      <c r="B1161" t="s">
        <v>101</v>
      </c>
      <c r="C1161" s="1">
        <v>45731</v>
      </c>
      <c r="D1161" t="str">
        <f>"50"</f>
        <v>50</v>
      </c>
      <c r="E1161" t="str">
        <f>"62330000"</f>
        <v>62330000</v>
      </c>
      <c r="F1161" t="s">
        <v>2797</v>
      </c>
      <c r="G1161" t="s">
        <v>336</v>
      </c>
      <c r="H1161" t="s">
        <v>5873</v>
      </c>
      <c r="I1161">
        <v>0</v>
      </c>
      <c r="J1161" t="s">
        <v>343</v>
      </c>
      <c r="L1161">
        <v>288589</v>
      </c>
      <c r="N1161">
        <v>288589</v>
      </c>
    </row>
    <row r="1162" spans="1:14" x14ac:dyDescent="0.35">
      <c r="A1162" t="str">
        <f t="shared" si="60"/>
        <v>OD457315067210000</v>
      </c>
      <c r="B1162" t="s">
        <v>101</v>
      </c>
      <c r="C1162" s="1">
        <v>45731</v>
      </c>
      <c r="D1162" t="str">
        <f>"50"</f>
        <v>50</v>
      </c>
      <c r="E1162" t="str">
        <f>"67210000"</f>
        <v>67210000</v>
      </c>
      <c r="F1162" t="s">
        <v>2797</v>
      </c>
      <c r="G1162" t="s">
        <v>336</v>
      </c>
      <c r="H1162" t="s">
        <v>5873</v>
      </c>
      <c r="I1162">
        <v>0</v>
      </c>
      <c r="J1162" t="s">
        <v>343</v>
      </c>
      <c r="K1162">
        <v>59391</v>
      </c>
      <c r="M1162">
        <v>59391</v>
      </c>
    </row>
    <row r="1163" spans="1:14" x14ac:dyDescent="0.35">
      <c r="A1163" t="str">
        <f t="shared" si="60"/>
        <v>OD457315162330000</v>
      </c>
      <c r="B1163" t="s">
        <v>101</v>
      </c>
      <c r="C1163" s="1">
        <v>45731</v>
      </c>
      <c r="D1163" t="str">
        <f>"51"</f>
        <v>51</v>
      </c>
      <c r="E1163" t="str">
        <f>"62330000"</f>
        <v>62330000</v>
      </c>
      <c r="F1163" t="s">
        <v>2799</v>
      </c>
      <c r="G1163" t="s">
        <v>336</v>
      </c>
      <c r="H1163" t="s">
        <v>5873</v>
      </c>
      <c r="I1163">
        <v>0</v>
      </c>
      <c r="J1163" t="s">
        <v>343</v>
      </c>
      <c r="L1163">
        <v>154409</v>
      </c>
      <c r="N1163">
        <v>154409</v>
      </c>
    </row>
    <row r="1164" spans="1:14" x14ac:dyDescent="0.35">
      <c r="A1164" t="str">
        <f t="shared" si="60"/>
        <v>OD457315167210000</v>
      </c>
      <c r="B1164" t="s">
        <v>101</v>
      </c>
      <c r="C1164" s="1">
        <v>45731</v>
      </c>
      <c r="D1164" t="str">
        <f>"51"</f>
        <v>51</v>
      </c>
      <c r="E1164" t="str">
        <f>"67210000"</f>
        <v>67210000</v>
      </c>
      <c r="F1164" t="s">
        <v>2799</v>
      </c>
      <c r="G1164" t="s">
        <v>336</v>
      </c>
      <c r="H1164" t="s">
        <v>5873</v>
      </c>
      <c r="I1164">
        <v>0</v>
      </c>
      <c r="J1164" t="s">
        <v>343</v>
      </c>
      <c r="K1164">
        <v>28303</v>
      </c>
      <c r="M1164">
        <v>28303</v>
      </c>
    </row>
    <row r="1165" spans="1:14" x14ac:dyDescent="0.35">
      <c r="A1165" t="str">
        <f t="shared" si="60"/>
        <v>OD457315262330000</v>
      </c>
      <c r="B1165" t="s">
        <v>101</v>
      </c>
      <c r="C1165" s="1">
        <v>45731</v>
      </c>
      <c r="D1165" t="str">
        <f>"52"</f>
        <v>52</v>
      </c>
      <c r="E1165" t="str">
        <f>"62330000"</f>
        <v>62330000</v>
      </c>
      <c r="F1165" t="s">
        <v>2801</v>
      </c>
      <c r="G1165" t="s">
        <v>336</v>
      </c>
      <c r="H1165" t="s">
        <v>5878</v>
      </c>
      <c r="I1165">
        <v>0</v>
      </c>
      <c r="J1165" t="s">
        <v>343</v>
      </c>
      <c r="L1165">
        <v>154409</v>
      </c>
      <c r="N1165">
        <v>154409</v>
      </c>
    </row>
    <row r="1166" spans="1:14" x14ac:dyDescent="0.35">
      <c r="A1166" t="str">
        <f t="shared" si="60"/>
        <v>OD457315267210000</v>
      </c>
      <c r="B1166" t="s">
        <v>101</v>
      </c>
      <c r="C1166" s="1">
        <v>45731</v>
      </c>
      <c r="D1166" t="str">
        <f>"52"</f>
        <v>52</v>
      </c>
      <c r="E1166" t="str">
        <f>"67210000"</f>
        <v>67210000</v>
      </c>
      <c r="F1166" t="s">
        <v>2801</v>
      </c>
      <c r="G1166" t="s">
        <v>336</v>
      </c>
      <c r="H1166" t="s">
        <v>5878</v>
      </c>
      <c r="I1166">
        <v>0</v>
      </c>
      <c r="J1166" t="s">
        <v>343</v>
      </c>
      <c r="K1166">
        <v>28303</v>
      </c>
      <c r="M1166">
        <v>28303</v>
      </c>
    </row>
    <row r="1167" spans="1:14" x14ac:dyDescent="0.35">
      <c r="A1167" t="str">
        <f t="shared" si="60"/>
        <v>OD457315362330000</v>
      </c>
      <c r="B1167" t="s">
        <v>101</v>
      </c>
      <c r="C1167" s="1">
        <v>45731</v>
      </c>
      <c r="D1167" t="str">
        <f>"53"</f>
        <v>53</v>
      </c>
      <c r="E1167" t="str">
        <f>"62330000"</f>
        <v>62330000</v>
      </c>
      <c r="F1167" t="s">
        <v>2803</v>
      </c>
      <c r="G1167" t="s">
        <v>336</v>
      </c>
      <c r="H1167" t="s">
        <v>5878</v>
      </c>
      <c r="I1167">
        <v>0</v>
      </c>
      <c r="J1167" t="s">
        <v>343</v>
      </c>
      <c r="L1167">
        <v>2746670</v>
      </c>
      <c r="N1167">
        <v>2746670</v>
      </c>
    </row>
    <row r="1168" spans="1:14" x14ac:dyDescent="0.35">
      <c r="A1168" t="str">
        <f t="shared" si="60"/>
        <v>OD457315367210000</v>
      </c>
      <c r="B1168" t="s">
        <v>101</v>
      </c>
      <c r="C1168" s="1">
        <v>45731</v>
      </c>
      <c r="D1168" t="str">
        <f>"53"</f>
        <v>53</v>
      </c>
      <c r="E1168" t="str">
        <f>"67210000"</f>
        <v>67210000</v>
      </c>
      <c r="F1168" t="s">
        <v>2803</v>
      </c>
      <c r="G1168" t="s">
        <v>336</v>
      </c>
      <c r="H1168" t="s">
        <v>5878</v>
      </c>
      <c r="I1168">
        <v>0</v>
      </c>
      <c r="J1168" t="s">
        <v>343</v>
      </c>
      <c r="K1168">
        <v>399457</v>
      </c>
      <c r="M1168">
        <v>399457</v>
      </c>
    </row>
    <row r="1169" spans="1:14" x14ac:dyDescent="0.35">
      <c r="A1169" t="str">
        <f t="shared" si="60"/>
        <v>OD457315462330100</v>
      </c>
      <c r="B1169" t="s">
        <v>101</v>
      </c>
      <c r="C1169" s="1">
        <v>45731</v>
      </c>
      <c r="D1169" t="str">
        <f>"54"</f>
        <v>54</v>
      </c>
      <c r="E1169" t="str">
        <f>"62330100"</f>
        <v>62330100</v>
      </c>
      <c r="F1169" t="s">
        <v>2804</v>
      </c>
      <c r="G1169" t="s">
        <v>336</v>
      </c>
      <c r="H1169" t="s">
        <v>5942</v>
      </c>
      <c r="I1169">
        <v>0</v>
      </c>
      <c r="J1169" t="s">
        <v>343</v>
      </c>
      <c r="L1169">
        <v>2946650</v>
      </c>
      <c r="N1169">
        <v>2946650</v>
      </c>
    </row>
    <row r="1170" spans="1:14" x14ac:dyDescent="0.35">
      <c r="A1170" t="str">
        <f t="shared" si="60"/>
        <v>OD457315467210000</v>
      </c>
      <c r="B1170" t="s">
        <v>101</v>
      </c>
      <c r="C1170" s="1">
        <v>45731</v>
      </c>
      <c r="D1170" t="str">
        <f>"54"</f>
        <v>54</v>
      </c>
      <c r="E1170" t="str">
        <f>"67210000"</f>
        <v>67210000</v>
      </c>
      <c r="F1170" t="s">
        <v>2804</v>
      </c>
      <c r="G1170" t="s">
        <v>336</v>
      </c>
      <c r="H1170" t="s">
        <v>5942</v>
      </c>
      <c r="I1170">
        <v>0</v>
      </c>
      <c r="J1170" t="s">
        <v>343</v>
      </c>
      <c r="K1170">
        <v>922687</v>
      </c>
      <c r="M1170">
        <v>922687</v>
      </c>
    </row>
    <row r="1171" spans="1:14" x14ac:dyDescent="0.35">
      <c r="A1171" t="str">
        <f t="shared" si="60"/>
        <v>OD457315562330100</v>
      </c>
      <c r="B1171" t="s">
        <v>101</v>
      </c>
      <c r="C1171" s="1">
        <v>45731</v>
      </c>
      <c r="D1171" t="str">
        <f>"55"</f>
        <v>55</v>
      </c>
      <c r="E1171" t="str">
        <f>"62330100"</f>
        <v>62330100</v>
      </c>
      <c r="F1171" t="s">
        <v>2805</v>
      </c>
      <c r="G1171" t="s">
        <v>336</v>
      </c>
      <c r="H1171" t="s">
        <v>5942</v>
      </c>
      <c r="I1171">
        <v>0</v>
      </c>
      <c r="J1171" t="s">
        <v>343</v>
      </c>
      <c r="L1171">
        <v>2946650</v>
      </c>
      <c r="N1171">
        <v>2946650</v>
      </c>
    </row>
    <row r="1172" spans="1:14" x14ac:dyDescent="0.35">
      <c r="A1172" t="str">
        <f t="shared" si="60"/>
        <v>OD457315567210000</v>
      </c>
      <c r="B1172" t="s">
        <v>101</v>
      </c>
      <c r="C1172" s="1">
        <v>45731</v>
      </c>
      <c r="D1172" t="str">
        <f>"55"</f>
        <v>55</v>
      </c>
      <c r="E1172" t="str">
        <f>"67210000"</f>
        <v>67210000</v>
      </c>
      <c r="F1172" t="s">
        <v>2805</v>
      </c>
      <c r="G1172" t="s">
        <v>336</v>
      </c>
      <c r="H1172" t="s">
        <v>5942</v>
      </c>
      <c r="I1172">
        <v>0</v>
      </c>
      <c r="J1172" t="s">
        <v>343</v>
      </c>
      <c r="K1172">
        <v>922687</v>
      </c>
      <c r="M1172">
        <v>922687</v>
      </c>
    </row>
    <row r="1173" spans="1:14" x14ac:dyDescent="0.35">
      <c r="A1173" t="str">
        <f t="shared" si="60"/>
        <v>OD457315662330100</v>
      </c>
      <c r="B1173" t="s">
        <v>101</v>
      </c>
      <c r="C1173" s="1">
        <v>45731</v>
      </c>
      <c r="D1173" t="str">
        <f>"56"</f>
        <v>56</v>
      </c>
      <c r="E1173" t="str">
        <f>"62330100"</f>
        <v>62330100</v>
      </c>
      <c r="F1173" t="s">
        <v>2806</v>
      </c>
      <c r="G1173" t="s">
        <v>336</v>
      </c>
      <c r="H1173" t="s">
        <v>5942</v>
      </c>
      <c r="I1173">
        <v>0</v>
      </c>
      <c r="J1173" t="s">
        <v>343</v>
      </c>
      <c r="L1173">
        <v>3928866</v>
      </c>
      <c r="N1173">
        <v>3928866</v>
      </c>
    </row>
    <row r="1174" spans="1:14" x14ac:dyDescent="0.35">
      <c r="A1174" t="str">
        <f t="shared" si="60"/>
        <v>OD457315667210000</v>
      </c>
      <c r="B1174" t="s">
        <v>101</v>
      </c>
      <c r="C1174" s="1">
        <v>45731</v>
      </c>
      <c r="D1174" t="str">
        <f>"56"</f>
        <v>56</v>
      </c>
      <c r="E1174" t="str">
        <f>"67210000"</f>
        <v>67210000</v>
      </c>
      <c r="F1174" t="s">
        <v>2806</v>
      </c>
      <c r="G1174" t="s">
        <v>336</v>
      </c>
      <c r="H1174" t="s">
        <v>5942</v>
      </c>
      <c r="I1174">
        <v>0</v>
      </c>
      <c r="J1174" t="s">
        <v>343</v>
      </c>
      <c r="K1174">
        <v>1230249</v>
      </c>
      <c r="M1174">
        <v>1230249</v>
      </c>
    </row>
    <row r="1175" spans="1:14" x14ac:dyDescent="0.35">
      <c r="A1175" t="str">
        <f t="shared" si="60"/>
        <v>OD457402465940000</v>
      </c>
      <c r="B1175" t="s">
        <v>101</v>
      </c>
      <c r="C1175" s="1">
        <v>45740</v>
      </c>
      <c r="D1175" t="str">
        <f>"24"</f>
        <v>24</v>
      </c>
      <c r="E1175" t="str">
        <f>"65940000"</f>
        <v>65940000</v>
      </c>
      <c r="F1175" t="s">
        <v>2820</v>
      </c>
      <c r="G1175" t="s">
        <v>336</v>
      </c>
      <c r="H1175" t="s">
        <v>5981</v>
      </c>
      <c r="I1175">
        <v>0</v>
      </c>
      <c r="J1175" t="s">
        <v>343</v>
      </c>
      <c r="K1175">
        <v>514844</v>
      </c>
      <c r="M1175">
        <v>514844</v>
      </c>
    </row>
    <row r="1176" spans="1:14" x14ac:dyDescent="0.35">
      <c r="A1176" t="str">
        <f t="shared" si="60"/>
        <v>OD457461464501000</v>
      </c>
      <c r="B1176" t="s">
        <v>101</v>
      </c>
      <c r="C1176" s="1">
        <v>45746</v>
      </c>
      <c r="D1176" t="str">
        <f>"14"</f>
        <v>14</v>
      </c>
      <c r="E1176" t="str">
        <f>"64501000"</f>
        <v>64501000</v>
      </c>
      <c r="F1176" t="s">
        <v>114</v>
      </c>
      <c r="G1176" t="s">
        <v>336</v>
      </c>
      <c r="H1176" t="s">
        <v>345</v>
      </c>
      <c r="I1176">
        <v>0</v>
      </c>
      <c r="J1176" t="s">
        <v>343</v>
      </c>
      <c r="K1176">
        <v>1411490</v>
      </c>
      <c r="M1176">
        <v>1411490</v>
      </c>
    </row>
    <row r="1177" spans="1:14" x14ac:dyDescent="0.35">
      <c r="A1177" t="str">
        <f t="shared" si="60"/>
        <v>OD457462962330100</v>
      </c>
      <c r="B1177" t="s">
        <v>101</v>
      </c>
      <c r="C1177" s="1">
        <v>45746</v>
      </c>
      <c r="D1177" t="str">
        <f>"29"</f>
        <v>29</v>
      </c>
      <c r="E1177" t="str">
        <f>"62330100"</f>
        <v>62330100</v>
      </c>
      <c r="F1177" t="s">
        <v>2823</v>
      </c>
      <c r="G1177" t="s">
        <v>336</v>
      </c>
      <c r="H1177" t="s">
        <v>5928</v>
      </c>
      <c r="I1177">
        <v>0</v>
      </c>
      <c r="J1177" t="s">
        <v>343</v>
      </c>
      <c r="L1177">
        <v>3137491</v>
      </c>
      <c r="N1177">
        <v>3137491</v>
      </c>
    </row>
    <row r="1178" spans="1:14" x14ac:dyDescent="0.35">
      <c r="A1178" t="str">
        <f t="shared" si="60"/>
        <v>OD457462967210000</v>
      </c>
      <c r="B1178" t="s">
        <v>101</v>
      </c>
      <c r="C1178" s="1">
        <v>45746</v>
      </c>
      <c r="D1178" t="str">
        <f>"29"</f>
        <v>29</v>
      </c>
      <c r="E1178" t="str">
        <f>"67210000"</f>
        <v>67210000</v>
      </c>
      <c r="F1178" t="s">
        <v>2823</v>
      </c>
      <c r="G1178" t="s">
        <v>336</v>
      </c>
      <c r="H1178" t="s">
        <v>5928</v>
      </c>
      <c r="I1178">
        <v>0</v>
      </c>
      <c r="J1178" t="s">
        <v>343</v>
      </c>
      <c r="K1178">
        <v>66899</v>
      </c>
      <c r="M1178">
        <v>66899</v>
      </c>
    </row>
    <row r="1179" spans="1:14" x14ac:dyDescent="0.35">
      <c r="A1179" t="str">
        <f t="shared" si="60"/>
        <v>OD457463062330100</v>
      </c>
      <c r="B1179" t="s">
        <v>101</v>
      </c>
      <c r="C1179" s="1">
        <v>45746</v>
      </c>
      <c r="D1179" t="str">
        <f>"30"</f>
        <v>30</v>
      </c>
      <c r="E1179" t="str">
        <f>"62330100"</f>
        <v>62330100</v>
      </c>
      <c r="F1179" t="s">
        <v>2825</v>
      </c>
      <c r="G1179" t="s">
        <v>336</v>
      </c>
      <c r="H1179" t="s">
        <v>5928</v>
      </c>
      <c r="I1179">
        <v>0</v>
      </c>
      <c r="J1179" t="s">
        <v>343</v>
      </c>
      <c r="L1179">
        <v>844097</v>
      </c>
      <c r="N1179">
        <v>844097</v>
      </c>
    </row>
    <row r="1180" spans="1:14" x14ac:dyDescent="0.35">
      <c r="A1180" t="str">
        <f t="shared" si="60"/>
        <v>OD457463067210000</v>
      </c>
      <c r="B1180" t="s">
        <v>101</v>
      </c>
      <c r="C1180" s="1">
        <v>45746</v>
      </c>
      <c r="D1180" t="str">
        <f>"30"</f>
        <v>30</v>
      </c>
      <c r="E1180" t="str">
        <f>"67210000"</f>
        <v>67210000</v>
      </c>
      <c r="F1180" t="s">
        <v>2825</v>
      </c>
      <c r="G1180" t="s">
        <v>336</v>
      </c>
      <c r="H1180" t="s">
        <v>5928</v>
      </c>
      <c r="I1180">
        <v>0</v>
      </c>
      <c r="J1180" t="s">
        <v>343</v>
      </c>
      <c r="K1180">
        <v>17999</v>
      </c>
      <c r="M1180">
        <v>17999</v>
      </c>
    </row>
    <row r="1181" spans="1:14" x14ac:dyDescent="0.35">
      <c r="A1181" t="str">
        <f t="shared" si="60"/>
        <v>OD45747160410000</v>
      </c>
      <c r="B1181" t="s">
        <v>101</v>
      </c>
      <c r="C1181" s="1">
        <v>45747</v>
      </c>
      <c r="D1181" t="str">
        <f>"1"</f>
        <v>1</v>
      </c>
      <c r="E1181" t="str">
        <f>"60410000"</f>
        <v>60410000</v>
      </c>
      <c r="F1181" t="s">
        <v>2827</v>
      </c>
      <c r="G1181" t="s">
        <v>336</v>
      </c>
      <c r="H1181" t="s">
        <v>5966</v>
      </c>
      <c r="I1181">
        <v>0</v>
      </c>
      <c r="J1181" t="s">
        <v>343</v>
      </c>
      <c r="K1181">
        <v>16671267</v>
      </c>
      <c r="M1181">
        <v>16671267</v>
      </c>
    </row>
    <row r="1182" spans="1:14" x14ac:dyDescent="0.35">
      <c r="A1182" t="str">
        <f t="shared" si="60"/>
        <v>OD45747568120000</v>
      </c>
      <c r="B1182" t="s">
        <v>101</v>
      </c>
      <c r="C1182" s="1">
        <v>45747</v>
      </c>
      <c r="D1182" t="str">
        <f t="shared" ref="D1182:D1212" si="61">"5"</f>
        <v>5</v>
      </c>
      <c r="E1182" t="str">
        <f>"68120000"</f>
        <v>68120000</v>
      </c>
      <c r="F1182" t="s">
        <v>2844</v>
      </c>
      <c r="G1182" t="s">
        <v>336</v>
      </c>
      <c r="H1182" t="s">
        <v>5982</v>
      </c>
      <c r="I1182">
        <v>0</v>
      </c>
      <c r="J1182" t="s">
        <v>343</v>
      </c>
      <c r="K1182">
        <v>23311</v>
      </c>
      <c r="M1182">
        <v>1049967</v>
      </c>
    </row>
    <row r="1183" spans="1:14" x14ac:dyDescent="0.35">
      <c r="A1183" t="str">
        <f t="shared" si="60"/>
        <v>OD45747568120000</v>
      </c>
      <c r="B1183" t="s">
        <v>101</v>
      </c>
      <c r="C1183" s="1">
        <v>45747</v>
      </c>
      <c r="D1183" t="str">
        <f t="shared" si="61"/>
        <v>5</v>
      </c>
      <c r="E1183" t="str">
        <f>"68120000"</f>
        <v>68120000</v>
      </c>
      <c r="F1183" t="s">
        <v>2844</v>
      </c>
      <c r="G1183" t="s">
        <v>336</v>
      </c>
      <c r="H1183" t="s">
        <v>5983</v>
      </c>
      <c r="I1183">
        <v>0</v>
      </c>
      <c r="J1183" t="s">
        <v>343</v>
      </c>
      <c r="K1183">
        <v>148237</v>
      </c>
      <c r="M1183">
        <v>1049967</v>
      </c>
    </row>
    <row r="1184" spans="1:14" x14ac:dyDescent="0.35">
      <c r="A1184" t="str">
        <f t="shared" si="60"/>
        <v>OD45747568120000</v>
      </c>
      <c r="B1184" t="s">
        <v>101</v>
      </c>
      <c r="C1184" s="1">
        <v>45747</v>
      </c>
      <c r="D1184" t="str">
        <f t="shared" si="61"/>
        <v>5</v>
      </c>
      <c r="E1184" t="str">
        <f>"68120000"</f>
        <v>68120000</v>
      </c>
      <c r="F1184" t="s">
        <v>2844</v>
      </c>
      <c r="G1184" t="s">
        <v>336</v>
      </c>
      <c r="H1184" t="s">
        <v>5984</v>
      </c>
      <c r="I1184">
        <v>0</v>
      </c>
      <c r="J1184" t="s">
        <v>343</v>
      </c>
      <c r="K1184">
        <v>148437</v>
      </c>
      <c r="M1184">
        <v>1049967</v>
      </c>
    </row>
    <row r="1185" spans="1:13" x14ac:dyDescent="0.35">
      <c r="A1185" t="str">
        <f t="shared" si="60"/>
        <v>OD45747568120000</v>
      </c>
      <c r="B1185" t="s">
        <v>101</v>
      </c>
      <c r="C1185" s="1">
        <v>45747</v>
      </c>
      <c r="D1185" t="str">
        <f t="shared" si="61"/>
        <v>5</v>
      </c>
      <c r="E1185" t="str">
        <f>"68120000"</f>
        <v>68120000</v>
      </c>
      <c r="F1185" t="s">
        <v>2844</v>
      </c>
      <c r="G1185" t="s">
        <v>336</v>
      </c>
      <c r="H1185" t="s">
        <v>5985</v>
      </c>
      <c r="I1185">
        <v>0</v>
      </c>
      <c r="J1185" t="s">
        <v>343</v>
      </c>
      <c r="K1185">
        <v>79964</v>
      </c>
      <c r="M1185">
        <v>1049967</v>
      </c>
    </row>
    <row r="1186" spans="1:13" x14ac:dyDescent="0.35">
      <c r="A1186" t="str">
        <f t="shared" si="60"/>
        <v>OD45747568120000</v>
      </c>
      <c r="B1186" t="s">
        <v>101</v>
      </c>
      <c r="C1186" s="1">
        <v>45747</v>
      </c>
      <c r="D1186" t="str">
        <f t="shared" si="61"/>
        <v>5</v>
      </c>
      <c r="E1186" t="str">
        <f>"68120000"</f>
        <v>68120000</v>
      </c>
      <c r="F1186" t="s">
        <v>2844</v>
      </c>
      <c r="G1186" t="s">
        <v>336</v>
      </c>
      <c r="H1186" t="s">
        <v>5986</v>
      </c>
      <c r="I1186">
        <v>0</v>
      </c>
      <c r="J1186" t="s">
        <v>343</v>
      </c>
      <c r="K1186">
        <v>650018</v>
      </c>
      <c r="M1186">
        <v>1049967</v>
      </c>
    </row>
    <row r="1187" spans="1:13" x14ac:dyDescent="0.35">
      <c r="A1187" t="str">
        <f t="shared" si="60"/>
        <v>OD45747568130000</v>
      </c>
      <c r="B1187" t="s">
        <v>101</v>
      </c>
      <c r="C1187" s="1">
        <v>45747</v>
      </c>
      <c r="D1187" t="str">
        <f t="shared" si="61"/>
        <v>5</v>
      </c>
      <c r="E1187" t="str">
        <f t="shared" ref="E1187:E1212" si="62">"68130000"</f>
        <v>68130000</v>
      </c>
      <c r="F1187" t="s">
        <v>2845</v>
      </c>
      <c r="G1187" t="s">
        <v>336</v>
      </c>
      <c r="H1187" t="s">
        <v>5873</v>
      </c>
      <c r="I1187">
        <v>0</v>
      </c>
      <c r="J1187" t="s">
        <v>343</v>
      </c>
      <c r="K1187">
        <v>3239634</v>
      </c>
      <c r="M1187">
        <v>140392026</v>
      </c>
    </row>
    <row r="1188" spans="1:13" x14ac:dyDescent="0.35">
      <c r="A1188" t="str">
        <f t="shared" si="60"/>
        <v>OD45747568130000</v>
      </c>
      <c r="B1188" t="s">
        <v>101</v>
      </c>
      <c r="C1188" s="1">
        <v>45747</v>
      </c>
      <c r="D1188" t="str">
        <f t="shared" si="61"/>
        <v>5</v>
      </c>
      <c r="E1188" t="str">
        <f t="shared" si="62"/>
        <v>68130000</v>
      </c>
      <c r="F1188" t="s">
        <v>2845</v>
      </c>
      <c r="G1188" t="s">
        <v>336</v>
      </c>
      <c r="H1188" t="s">
        <v>5878</v>
      </c>
      <c r="I1188">
        <v>0</v>
      </c>
      <c r="J1188" t="s">
        <v>343</v>
      </c>
      <c r="K1188">
        <v>413002</v>
      </c>
      <c r="M1188">
        <v>140392026</v>
      </c>
    </row>
    <row r="1189" spans="1:13" x14ac:dyDescent="0.35">
      <c r="A1189" t="str">
        <f t="shared" si="60"/>
        <v>OD45747568130000</v>
      </c>
      <c r="B1189" t="s">
        <v>101</v>
      </c>
      <c r="C1189" s="1">
        <v>45747</v>
      </c>
      <c r="D1189" t="str">
        <f t="shared" si="61"/>
        <v>5</v>
      </c>
      <c r="E1189" t="str">
        <f t="shared" si="62"/>
        <v>68130000</v>
      </c>
      <c r="F1189" t="s">
        <v>2845</v>
      </c>
      <c r="G1189" t="s">
        <v>336</v>
      </c>
      <c r="H1189" t="s">
        <v>5982</v>
      </c>
      <c r="I1189">
        <v>0</v>
      </c>
      <c r="J1189" t="s">
        <v>343</v>
      </c>
      <c r="K1189">
        <v>2113590</v>
      </c>
      <c r="M1189">
        <v>140392026</v>
      </c>
    </row>
    <row r="1190" spans="1:13" x14ac:dyDescent="0.35">
      <c r="A1190" t="str">
        <f t="shared" si="60"/>
        <v>OD45747568130000</v>
      </c>
      <c r="B1190" t="s">
        <v>101</v>
      </c>
      <c r="C1190" s="1">
        <v>45747</v>
      </c>
      <c r="D1190" t="str">
        <f t="shared" si="61"/>
        <v>5</v>
      </c>
      <c r="E1190" t="str">
        <f t="shared" si="62"/>
        <v>68130000</v>
      </c>
      <c r="F1190" t="s">
        <v>2845</v>
      </c>
      <c r="G1190" t="s">
        <v>336</v>
      </c>
      <c r="H1190" t="s">
        <v>5987</v>
      </c>
      <c r="I1190">
        <v>0</v>
      </c>
      <c r="J1190" t="s">
        <v>343</v>
      </c>
      <c r="K1190">
        <v>1387162</v>
      </c>
      <c r="M1190">
        <v>140392026</v>
      </c>
    </row>
    <row r="1191" spans="1:13" x14ac:dyDescent="0.35">
      <c r="A1191" t="str">
        <f t="shared" si="60"/>
        <v>OD45747568130000</v>
      </c>
      <c r="B1191" t="s">
        <v>101</v>
      </c>
      <c r="C1191" s="1">
        <v>45747</v>
      </c>
      <c r="D1191" t="str">
        <f t="shared" si="61"/>
        <v>5</v>
      </c>
      <c r="E1191" t="str">
        <f t="shared" si="62"/>
        <v>68130000</v>
      </c>
      <c r="F1191" t="s">
        <v>2845</v>
      </c>
      <c r="G1191" t="s">
        <v>336</v>
      </c>
      <c r="H1191" t="s">
        <v>5983</v>
      </c>
      <c r="I1191">
        <v>0</v>
      </c>
      <c r="J1191" t="s">
        <v>343</v>
      </c>
      <c r="K1191">
        <v>9593551</v>
      </c>
      <c r="M1191">
        <v>140392026</v>
      </c>
    </row>
    <row r="1192" spans="1:13" x14ac:dyDescent="0.35">
      <c r="A1192" t="str">
        <f t="shared" si="60"/>
        <v>OD45747568130000</v>
      </c>
      <c r="B1192" t="s">
        <v>101</v>
      </c>
      <c r="C1192" s="1">
        <v>45747</v>
      </c>
      <c r="D1192" t="str">
        <f t="shared" si="61"/>
        <v>5</v>
      </c>
      <c r="E1192" t="str">
        <f t="shared" si="62"/>
        <v>68130000</v>
      </c>
      <c r="F1192" t="s">
        <v>2845</v>
      </c>
      <c r="G1192" t="s">
        <v>336</v>
      </c>
      <c r="H1192" t="s">
        <v>5988</v>
      </c>
      <c r="I1192">
        <v>0</v>
      </c>
      <c r="J1192" t="s">
        <v>343</v>
      </c>
      <c r="K1192">
        <v>243559</v>
      </c>
      <c r="M1192">
        <v>140392026</v>
      </c>
    </row>
    <row r="1193" spans="1:13" x14ac:dyDescent="0.35">
      <c r="A1193" t="str">
        <f t="shared" si="60"/>
        <v>OD45747568130000</v>
      </c>
      <c r="B1193" t="s">
        <v>101</v>
      </c>
      <c r="C1193" s="1">
        <v>45747</v>
      </c>
      <c r="D1193" t="str">
        <f t="shared" si="61"/>
        <v>5</v>
      </c>
      <c r="E1193" t="str">
        <f t="shared" si="62"/>
        <v>68130000</v>
      </c>
      <c r="F1193" t="s">
        <v>2845</v>
      </c>
      <c r="G1193" t="s">
        <v>336</v>
      </c>
      <c r="H1193" t="s">
        <v>5984</v>
      </c>
      <c r="I1193">
        <v>0</v>
      </c>
      <c r="J1193" t="s">
        <v>343</v>
      </c>
      <c r="K1193">
        <v>948755</v>
      </c>
      <c r="M1193">
        <v>140392026</v>
      </c>
    </row>
    <row r="1194" spans="1:13" x14ac:dyDescent="0.35">
      <c r="A1194" t="str">
        <f t="shared" si="60"/>
        <v>OD45747568130000</v>
      </c>
      <c r="B1194" t="s">
        <v>101</v>
      </c>
      <c r="C1194" s="1">
        <v>45747</v>
      </c>
      <c r="D1194" t="str">
        <f t="shared" si="61"/>
        <v>5</v>
      </c>
      <c r="E1194" t="str">
        <f t="shared" si="62"/>
        <v>68130000</v>
      </c>
      <c r="F1194" t="s">
        <v>2845</v>
      </c>
      <c r="G1194" t="s">
        <v>336</v>
      </c>
      <c r="H1194" t="s">
        <v>5989</v>
      </c>
      <c r="I1194">
        <v>0</v>
      </c>
      <c r="J1194" t="s">
        <v>343</v>
      </c>
      <c r="K1194">
        <v>4588157</v>
      </c>
      <c r="M1194">
        <v>140392026</v>
      </c>
    </row>
    <row r="1195" spans="1:13" x14ac:dyDescent="0.35">
      <c r="A1195" t="str">
        <f t="shared" si="60"/>
        <v>OD45747568130000</v>
      </c>
      <c r="B1195" t="s">
        <v>101</v>
      </c>
      <c r="C1195" s="1">
        <v>45747</v>
      </c>
      <c r="D1195" t="str">
        <f t="shared" si="61"/>
        <v>5</v>
      </c>
      <c r="E1195" t="str">
        <f t="shared" si="62"/>
        <v>68130000</v>
      </c>
      <c r="F1195" t="s">
        <v>2845</v>
      </c>
      <c r="G1195" t="s">
        <v>336</v>
      </c>
      <c r="H1195" t="s">
        <v>5985</v>
      </c>
      <c r="I1195">
        <v>0</v>
      </c>
      <c r="J1195" t="s">
        <v>343</v>
      </c>
      <c r="K1195">
        <v>1573290</v>
      </c>
      <c r="M1195">
        <v>140392026</v>
      </c>
    </row>
    <row r="1196" spans="1:13" x14ac:dyDescent="0.35">
      <c r="A1196" t="str">
        <f t="shared" si="60"/>
        <v>OD45747568130000</v>
      </c>
      <c r="B1196" t="s">
        <v>101</v>
      </c>
      <c r="C1196" s="1">
        <v>45747</v>
      </c>
      <c r="D1196" t="str">
        <f t="shared" si="61"/>
        <v>5</v>
      </c>
      <c r="E1196" t="str">
        <f t="shared" si="62"/>
        <v>68130000</v>
      </c>
      <c r="F1196" t="s">
        <v>2845</v>
      </c>
      <c r="G1196" t="s">
        <v>336</v>
      </c>
      <c r="H1196" t="s">
        <v>5990</v>
      </c>
      <c r="I1196">
        <v>0</v>
      </c>
      <c r="J1196" t="s">
        <v>343</v>
      </c>
      <c r="K1196">
        <v>1305907</v>
      </c>
      <c r="M1196">
        <v>140392026</v>
      </c>
    </row>
    <row r="1197" spans="1:13" x14ac:dyDescent="0.35">
      <c r="A1197" t="str">
        <f t="shared" si="60"/>
        <v>OD45747568130000</v>
      </c>
      <c r="B1197" t="s">
        <v>101</v>
      </c>
      <c r="C1197" s="1">
        <v>45747</v>
      </c>
      <c r="D1197" t="str">
        <f t="shared" si="61"/>
        <v>5</v>
      </c>
      <c r="E1197" t="str">
        <f t="shared" si="62"/>
        <v>68130000</v>
      </c>
      <c r="F1197" t="s">
        <v>2845</v>
      </c>
      <c r="G1197" t="s">
        <v>336</v>
      </c>
      <c r="H1197" t="s">
        <v>5986</v>
      </c>
      <c r="I1197">
        <v>0</v>
      </c>
      <c r="J1197" t="s">
        <v>343</v>
      </c>
      <c r="K1197">
        <v>9911781</v>
      </c>
      <c r="M1197">
        <v>140392026</v>
      </c>
    </row>
    <row r="1198" spans="1:13" x14ac:dyDescent="0.35">
      <c r="A1198" t="str">
        <f t="shared" si="60"/>
        <v>OD45747568130000</v>
      </c>
      <c r="B1198" t="s">
        <v>101</v>
      </c>
      <c r="C1198" s="1">
        <v>45747</v>
      </c>
      <c r="D1198" t="str">
        <f t="shared" si="61"/>
        <v>5</v>
      </c>
      <c r="E1198" t="str">
        <f t="shared" si="62"/>
        <v>68130000</v>
      </c>
      <c r="F1198" t="s">
        <v>2845</v>
      </c>
      <c r="G1198" t="s">
        <v>336</v>
      </c>
      <c r="H1198" t="s">
        <v>5991</v>
      </c>
      <c r="I1198">
        <v>0</v>
      </c>
      <c r="J1198" t="s">
        <v>343</v>
      </c>
      <c r="K1198">
        <v>5700983</v>
      </c>
      <c r="M1198">
        <v>140392026</v>
      </c>
    </row>
    <row r="1199" spans="1:13" x14ac:dyDescent="0.35">
      <c r="A1199" t="str">
        <f t="shared" si="60"/>
        <v>OD45747568130000</v>
      </c>
      <c r="B1199" t="s">
        <v>101</v>
      </c>
      <c r="C1199" s="1">
        <v>45747</v>
      </c>
      <c r="D1199" t="str">
        <f t="shared" si="61"/>
        <v>5</v>
      </c>
      <c r="E1199" t="str">
        <f t="shared" si="62"/>
        <v>68130000</v>
      </c>
      <c r="F1199" t="s">
        <v>2845</v>
      </c>
      <c r="G1199" t="s">
        <v>336</v>
      </c>
      <c r="H1199" t="s">
        <v>5992</v>
      </c>
      <c r="I1199">
        <v>0</v>
      </c>
      <c r="J1199" t="s">
        <v>343</v>
      </c>
      <c r="K1199">
        <v>10887460</v>
      </c>
      <c r="M1199">
        <v>140392026</v>
      </c>
    </row>
    <row r="1200" spans="1:13" x14ac:dyDescent="0.35">
      <c r="A1200" t="str">
        <f t="shared" si="60"/>
        <v>OD45747568130000</v>
      </c>
      <c r="B1200" t="s">
        <v>101</v>
      </c>
      <c r="C1200" s="1">
        <v>45747</v>
      </c>
      <c r="D1200" t="str">
        <f t="shared" si="61"/>
        <v>5</v>
      </c>
      <c r="E1200" t="str">
        <f t="shared" si="62"/>
        <v>68130000</v>
      </c>
      <c r="F1200" t="s">
        <v>2845</v>
      </c>
      <c r="G1200" t="s">
        <v>336</v>
      </c>
      <c r="H1200" t="s">
        <v>5993</v>
      </c>
      <c r="I1200">
        <v>0</v>
      </c>
      <c r="J1200" t="s">
        <v>343</v>
      </c>
      <c r="K1200">
        <v>8851067</v>
      </c>
      <c r="M1200">
        <v>140392026</v>
      </c>
    </row>
    <row r="1201" spans="1:13" x14ac:dyDescent="0.35">
      <c r="A1201" t="str">
        <f t="shared" si="60"/>
        <v>OD45747568130000</v>
      </c>
      <c r="B1201" t="s">
        <v>101</v>
      </c>
      <c r="C1201" s="1">
        <v>45747</v>
      </c>
      <c r="D1201" t="str">
        <f t="shared" si="61"/>
        <v>5</v>
      </c>
      <c r="E1201" t="str">
        <f t="shared" si="62"/>
        <v>68130000</v>
      </c>
      <c r="F1201" t="s">
        <v>2845</v>
      </c>
      <c r="G1201" t="s">
        <v>336</v>
      </c>
      <c r="H1201" t="s">
        <v>5994</v>
      </c>
      <c r="I1201">
        <v>0</v>
      </c>
      <c r="J1201" t="s">
        <v>343</v>
      </c>
      <c r="K1201">
        <v>11021920</v>
      </c>
      <c r="M1201">
        <v>140392026</v>
      </c>
    </row>
    <row r="1202" spans="1:13" x14ac:dyDescent="0.35">
      <c r="A1202" t="str">
        <f t="shared" si="60"/>
        <v>OD45747568130000</v>
      </c>
      <c r="B1202" t="s">
        <v>101</v>
      </c>
      <c r="C1202" s="1">
        <v>45747</v>
      </c>
      <c r="D1202" t="str">
        <f t="shared" si="61"/>
        <v>5</v>
      </c>
      <c r="E1202" t="str">
        <f t="shared" si="62"/>
        <v>68130000</v>
      </c>
      <c r="F1202" t="s">
        <v>2845</v>
      </c>
      <c r="G1202" t="s">
        <v>336</v>
      </c>
      <c r="H1202" t="s">
        <v>5995</v>
      </c>
      <c r="I1202">
        <v>0</v>
      </c>
      <c r="J1202" t="s">
        <v>343</v>
      </c>
      <c r="K1202">
        <v>18828675</v>
      </c>
      <c r="M1202">
        <v>140392026</v>
      </c>
    </row>
    <row r="1203" spans="1:13" x14ac:dyDescent="0.35">
      <c r="A1203" t="str">
        <f t="shared" si="60"/>
        <v>OD45747568130000</v>
      </c>
      <c r="B1203" t="s">
        <v>101</v>
      </c>
      <c r="C1203" s="1">
        <v>45747</v>
      </c>
      <c r="D1203" t="str">
        <f t="shared" si="61"/>
        <v>5</v>
      </c>
      <c r="E1203" t="str">
        <f t="shared" si="62"/>
        <v>68130000</v>
      </c>
      <c r="F1203" t="s">
        <v>2845</v>
      </c>
      <c r="G1203" t="s">
        <v>336</v>
      </c>
      <c r="H1203" t="s">
        <v>5996</v>
      </c>
      <c r="I1203">
        <v>0</v>
      </c>
      <c r="J1203" t="s">
        <v>343</v>
      </c>
      <c r="K1203">
        <v>27495</v>
      </c>
      <c r="M1203">
        <v>140392026</v>
      </c>
    </row>
    <row r="1204" spans="1:13" x14ac:dyDescent="0.35">
      <c r="A1204" t="str">
        <f t="shared" si="60"/>
        <v>OD45747568130000</v>
      </c>
      <c r="B1204" t="s">
        <v>101</v>
      </c>
      <c r="C1204" s="1">
        <v>45747</v>
      </c>
      <c r="D1204" t="str">
        <f t="shared" si="61"/>
        <v>5</v>
      </c>
      <c r="E1204" t="str">
        <f t="shared" si="62"/>
        <v>68130000</v>
      </c>
      <c r="F1204" t="s">
        <v>2845</v>
      </c>
      <c r="G1204" t="s">
        <v>336</v>
      </c>
      <c r="H1204" t="s">
        <v>5997</v>
      </c>
      <c r="I1204">
        <v>0</v>
      </c>
      <c r="J1204" t="s">
        <v>343</v>
      </c>
      <c r="K1204">
        <v>11194273</v>
      </c>
      <c r="M1204">
        <v>140392026</v>
      </c>
    </row>
    <row r="1205" spans="1:13" x14ac:dyDescent="0.35">
      <c r="A1205" t="str">
        <f t="shared" si="60"/>
        <v>OD45747568130000</v>
      </c>
      <c r="B1205" t="s">
        <v>101</v>
      </c>
      <c r="C1205" s="1">
        <v>45747</v>
      </c>
      <c r="D1205" t="str">
        <f t="shared" si="61"/>
        <v>5</v>
      </c>
      <c r="E1205" t="str">
        <f t="shared" si="62"/>
        <v>68130000</v>
      </c>
      <c r="F1205" t="s">
        <v>2845</v>
      </c>
      <c r="G1205" t="s">
        <v>336</v>
      </c>
      <c r="H1205" t="s">
        <v>5998</v>
      </c>
      <c r="I1205">
        <v>0</v>
      </c>
      <c r="J1205" t="s">
        <v>343</v>
      </c>
      <c r="K1205">
        <v>13411759</v>
      </c>
      <c r="M1205">
        <v>140392026</v>
      </c>
    </row>
    <row r="1206" spans="1:13" x14ac:dyDescent="0.35">
      <c r="A1206" t="str">
        <f t="shared" si="60"/>
        <v>OD45747568130000</v>
      </c>
      <c r="B1206" t="s">
        <v>101</v>
      </c>
      <c r="C1206" s="1">
        <v>45747</v>
      </c>
      <c r="D1206" t="str">
        <f t="shared" si="61"/>
        <v>5</v>
      </c>
      <c r="E1206" t="str">
        <f t="shared" si="62"/>
        <v>68130000</v>
      </c>
      <c r="F1206" t="s">
        <v>2845</v>
      </c>
      <c r="G1206" t="s">
        <v>336</v>
      </c>
      <c r="H1206" t="s">
        <v>5999</v>
      </c>
      <c r="I1206">
        <v>0</v>
      </c>
      <c r="J1206" t="s">
        <v>343</v>
      </c>
      <c r="K1206">
        <v>2279904</v>
      </c>
      <c r="M1206">
        <v>140392026</v>
      </c>
    </row>
    <row r="1207" spans="1:13" x14ac:dyDescent="0.35">
      <c r="A1207" t="str">
        <f t="shared" si="60"/>
        <v>OD45747568130000</v>
      </c>
      <c r="B1207" t="s">
        <v>101</v>
      </c>
      <c r="C1207" s="1">
        <v>45747</v>
      </c>
      <c r="D1207" t="str">
        <f t="shared" si="61"/>
        <v>5</v>
      </c>
      <c r="E1207" t="str">
        <f t="shared" si="62"/>
        <v>68130000</v>
      </c>
      <c r="F1207" t="s">
        <v>2845</v>
      </c>
      <c r="G1207" t="s">
        <v>336</v>
      </c>
      <c r="H1207" t="s">
        <v>353</v>
      </c>
      <c r="I1207">
        <v>0</v>
      </c>
      <c r="J1207" t="s">
        <v>343</v>
      </c>
      <c r="K1207">
        <v>16524528</v>
      </c>
      <c r="M1207">
        <v>140392026</v>
      </c>
    </row>
    <row r="1208" spans="1:13" x14ac:dyDescent="0.35">
      <c r="A1208" t="str">
        <f t="shared" si="60"/>
        <v>OD45747568130000</v>
      </c>
      <c r="B1208" t="s">
        <v>101</v>
      </c>
      <c r="C1208" s="1">
        <v>45747</v>
      </c>
      <c r="D1208" t="str">
        <f t="shared" si="61"/>
        <v>5</v>
      </c>
      <c r="E1208" t="str">
        <f t="shared" si="62"/>
        <v>68130000</v>
      </c>
      <c r="F1208" t="s">
        <v>2845</v>
      </c>
      <c r="G1208" t="s">
        <v>336</v>
      </c>
      <c r="H1208" t="s">
        <v>6000</v>
      </c>
      <c r="I1208">
        <v>0</v>
      </c>
      <c r="J1208" t="s">
        <v>343</v>
      </c>
      <c r="K1208">
        <v>1866003</v>
      </c>
      <c r="M1208">
        <v>140392026</v>
      </c>
    </row>
    <row r="1209" spans="1:13" x14ac:dyDescent="0.35">
      <c r="A1209" t="str">
        <f t="shared" si="60"/>
        <v>OD45747568130000</v>
      </c>
      <c r="B1209" t="s">
        <v>101</v>
      </c>
      <c r="C1209" s="1">
        <v>45747</v>
      </c>
      <c r="D1209" t="str">
        <f t="shared" si="61"/>
        <v>5</v>
      </c>
      <c r="E1209" t="str">
        <f t="shared" si="62"/>
        <v>68130000</v>
      </c>
      <c r="F1209" t="s">
        <v>2845</v>
      </c>
      <c r="G1209" t="s">
        <v>336</v>
      </c>
      <c r="H1209" t="s">
        <v>6001</v>
      </c>
      <c r="I1209">
        <v>0</v>
      </c>
      <c r="J1209" t="s">
        <v>343</v>
      </c>
      <c r="K1209">
        <v>4158330</v>
      </c>
      <c r="M1209">
        <v>140392026</v>
      </c>
    </row>
    <row r="1210" spans="1:13" x14ac:dyDescent="0.35">
      <c r="A1210" t="str">
        <f t="shared" si="60"/>
        <v>OD45747568130000</v>
      </c>
      <c r="B1210" t="s">
        <v>101</v>
      </c>
      <c r="C1210" s="1">
        <v>45747</v>
      </c>
      <c r="D1210" t="str">
        <f t="shared" si="61"/>
        <v>5</v>
      </c>
      <c r="E1210" t="str">
        <f t="shared" si="62"/>
        <v>68130000</v>
      </c>
      <c r="F1210" t="s">
        <v>2845</v>
      </c>
      <c r="G1210" t="s">
        <v>336</v>
      </c>
      <c r="H1210" t="s">
        <v>6002</v>
      </c>
      <c r="I1210">
        <v>0</v>
      </c>
      <c r="J1210" t="s">
        <v>343</v>
      </c>
      <c r="K1210">
        <v>124199</v>
      </c>
      <c r="M1210">
        <v>140392026</v>
      </c>
    </row>
    <row r="1211" spans="1:13" x14ac:dyDescent="0.35">
      <c r="A1211" t="str">
        <f t="shared" si="60"/>
        <v>OD45747568130000</v>
      </c>
      <c r="B1211" t="s">
        <v>101</v>
      </c>
      <c r="C1211" s="1">
        <v>45747</v>
      </c>
      <c r="D1211" t="str">
        <f t="shared" si="61"/>
        <v>5</v>
      </c>
      <c r="E1211" t="str">
        <f t="shared" si="62"/>
        <v>68130000</v>
      </c>
      <c r="F1211" t="s">
        <v>2845</v>
      </c>
      <c r="G1211" t="s">
        <v>336</v>
      </c>
      <c r="H1211" t="s">
        <v>6003</v>
      </c>
      <c r="I1211">
        <v>0</v>
      </c>
      <c r="J1211" t="s">
        <v>343</v>
      </c>
      <c r="K1211">
        <v>98462</v>
      </c>
      <c r="M1211">
        <v>140392026</v>
      </c>
    </row>
    <row r="1212" spans="1:13" x14ac:dyDescent="0.35">
      <c r="A1212" t="str">
        <f t="shared" si="60"/>
        <v>OD45747568130000</v>
      </c>
      <c r="B1212" t="s">
        <v>101</v>
      </c>
      <c r="C1212" s="1">
        <v>45747</v>
      </c>
      <c r="D1212" t="str">
        <f t="shared" si="61"/>
        <v>5</v>
      </c>
      <c r="E1212" t="str">
        <f t="shared" si="62"/>
        <v>68130000</v>
      </c>
      <c r="F1212" t="s">
        <v>2845</v>
      </c>
      <c r="G1212" t="s">
        <v>336</v>
      </c>
      <c r="H1212" t="s">
        <v>6004</v>
      </c>
      <c r="I1212">
        <v>0</v>
      </c>
      <c r="J1212" t="s">
        <v>343</v>
      </c>
      <c r="K1212">
        <v>98580</v>
      </c>
      <c r="M1212">
        <v>140392026</v>
      </c>
    </row>
    <row r="1213" spans="1:13" x14ac:dyDescent="0.35">
      <c r="A1213" t="str">
        <f t="shared" si="60"/>
        <v>OD457471067130100</v>
      </c>
      <c r="B1213" t="s">
        <v>101</v>
      </c>
      <c r="C1213" s="1">
        <v>45747</v>
      </c>
      <c r="D1213" t="str">
        <f>"10"</f>
        <v>10</v>
      </c>
      <c r="E1213" t="str">
        <f>"67130100"</f>
        <v>67130100</v>
      </c>
      <c r="F1213" t="s">
        <v>2846</v>
      </c>
      <c r="G1213" t="s">
        <v>336</v>
      </c>
      <c r="H1213" t="s">
        <v>342</v>
      </c>
      <c r="I1213">
        <v>0</v>
      </c>
      <c r="J1213" t="s">
        <v>343</v>
      </c>
      <c r="K1213">
        <v>9478356</v>
      </c>
      <c r="M1213">
        <v>9478356</v>
      </c>
    </row>
    <row r="1214" spans="1:13" x14ac:dyDescent="0.35">
      <c r="A1214" t="str">
        <f t="shared" si="60"/>
        <v>OD457471167410000</v>
      </c>
      <c r="B1214" t="s">
        <v>101</v>
      </c>
      <c r="C1214" s="1">
        <v>45747</v>
      </c>
      <c r="D1214" t="str">
        <f>"11"</f>
        <v>11</v>
      </c>
      <c r="E1214" t="str">
        <f>"67410000"</f>
        <v>67410000</v>
      </c>
      <c r="F1214" t="s">
        <v>2847</v>
      </c>
      <c r="G1214" t="s">
        <v>336</v>
      </c>
      <c r="H1214" t="s">
        <v>342</v>
      </c>
      <c r="I1214">
        <v>0</v>
      </c>
      <c r="J1214" t="s">
        <v>343</v>
      </c>
      <c r="K1214">
        <v>3324096</v>
      </c>
      <c r="M1214">
        <v>3324096</v>
      </c>
    </row>
    <row r="1215" spans="1:13" x14ac:dyDescent="0.35">
      <c r="A1215" t="str">
        <f t="shared" si="60"/>
        <v>OD457471566410000</v>
      </c>
      <c r="B1215" t="s">
        <v>101</v>
      </c>
      <c r="C1215" s="1">
        <v>45747</v>
      </c>
      <c r="D1215" t="str">
        <f>"15"</f>
        <v>15</v>
      </c>
      <c r="E1215" t="str">
        <f>"66410000"</f>
        <v>66410000</v>
      </c>
      <c r="F1215" t="s">
        <v>2849</v>
      </c>
      <c r="G1215" t="s">
        <v>336</v>
      </c>
      <c r="H1215" t="s">
        <v>5903</v>
      </c>
      <c r="I1215">
        <v>0</v>
      </c>
      <c r="J1215" t="s">
        <v>343</v>
      </c>
      <c r="K1215">
        <v>246500</v>
      </c>
      <c r="M1215">
        <v>246500</v>
      </c>
    </row>
    <row r="1216" spans="1:13" x14ac:dyDescent="0.35">
      <c r="A1216" t="str">
        <f t="shared" si="60"/>
        <v>OD457471662810000</v>
      </c>
      <c r="B1216" t="s">
        <v>101</v>
      </c>
      <c r="C1216" s="1">
        <v>45747</v>
      </c>
      <c r="D1216" t="str">
        <f t="shared" ref="D1216:D1239" si="63">"16"</f>
        <v>16</v>
      </c>
      <c r="E1216" t="str">
        <f t="shared" ref="E1216:E1239" si="64">"62810000"</f>
        <v>62810000</v>
      </c>
      <c r="F1216" t="s">
        <v>2852</v>
      </c>
      <c r="G1216" t="s">
        <v>336</v>
      </c>
      <c r="H1216" t="s">
        <v>5909</v>
      </c>
      <c r="I1216">
        <v>0</v>
      </c>
      <c r="J1216" t="s">
        <v>343</v>
      </c>
      <c r="K1216">
        <v>254226</v>
      </c>
      <c r="M1216">
        <v>3881748</v>
      </c>
    </row>
    <row r="1217" spans="1:13" x14ac:dyDescent="0.35">
      <c r="A1217" t="str">
        <f t="shared" si="60"/>
        <v>OD457471662810000</v>
      </c>
      <c r="B1217" t="s">
        <v>101</v>
      </c>
      <c r="C1217" s="1">
        <v>45747</v>
      </c>
      <c r="D1217" t="str">
        <f t="shared" si="63"/>
        <v>16</v>
      </c>
      <c r="E1217" t="str">
        <f t="shared" si="64"/>
        <v>62810000</v>
      </c>
      <c r="F1217" t="s">
        <v>2852</v>
      </c>
      <c r="G1217" t="s">
        <v>336</v>
      </c>
      <c r="H1217" t="s">
        <v>5886</v>
      </c>
      <c r="I1217">
        <v>0</v>
      </c>
      <c r="J1217" t="s">
        <v>343</v>
      </c>
      <c r="K1217">
        <v>199148</v>
      </c>
      <c r="M1217">
        <v>3881748</v>
      </c>
    </row>
    <row r="1218" spans="1:13" x14ac:dyDescent="0.35">
      <c r="A1218" t="str">
        <f t="shared" si="60"/>
        <v>OD457471662810000</v>
      </c>
      <c r="B1218" t="s">
        <v>101</v>
      </c>
      <c r="C1218" s="1">
        <v>45747</v>
      </c>
      <c r="D1218" t="str">
        <f t="shared" si="63"/>
        <v>16</v>
      </c>
      <c r="E1218" t="str">
        <f t="shared" si="64"/>
        <v>62810000</v>
      </c>
      <c r="F1218" t="s">
        <v>2852</v>
      </c>
      <c r="G1218" t="s">
        <v>336</v>
      </c>
      <c r="H1218" t="s">
        <v>5902</v>
      </c>
      <c r="I1218">
        <v>0</v>
      </c>
      <c r="J1218" t="s">
        <v>343</v>
      </c>
      <c r="K1218">
        <v>425806</v>
      </c>
      <c r="M1218">
        <v>3881748</v>
      </c>
    </row>
    <row r="1219" spans="1:13" x14ac:dyDescent="0.35">
      <c r="A1219" t="str">
        <f t="shared" ref="A1219:A1282" si="65">CONCATENATE(B1219,C1219,D1219,E1219)</f>
        <v>OD457471662810000</v>
      </c>
      <c r="B1219" t="s">
        <v>101</v>
      </c>
      <c r="C1219" s="1">
        <v>45747</v>
      </c>
      <c r="D1219" t="str">
        <f t="shared" si="63"/>
        <v>16</v>
      </c>
      <c r="E1219" t="str">
        <f t="shared" si="64"/>
        <v>62810000</v>
      </c>
      <c r="F1219" t="s">
        <v>2852</v>
      </c>
      <c r="G1219" t="s">
        <v>336</v>
      </c>
      <c r="H1219" t="s">
        <v>5968</v>
      </c>
      <c r="I1219">
        <v>0</v>
      </c>
      <c r="J1219" t="s">
        <v>343</v>
      </c>
      <c r="K1219">
        <v>14829</v>
      </c>
      <c r="M1219">
        <v>3881748</v>
      </c>
    </row>
    <row r="1220" spans="1:13" x14ac:dyDescent="0.35">
      <c r="A1220" t="str">
        <f t="shared" si="65"/>
        <v>OD457471662810000</v>
      </c>
      <c r="B1220" t="s">
        <v>101</v>
      </c>
      <c r="C1220" s="1">
        <v>45747</v>
      </c>
      <c r="D1220" t="str">
        <f t="shared" si="63"/>
        <v>16</v>
      </c>
      <c r="E1220" t="str">
        <f t="shared" si="64"/>
        <v>62810000</v>
      </c>
      <c r="F1220" t="s">
        <v>2852</v>
      </c>
      <c r="G1220" t="s">
        <v>336</v>
      </c>
      <c r="H1220" t="s">
        <v>5910</v>
      </c>
      <c r="I1220">
        <v>0</v>
      </c>
      <c r="J1220" t="s">
        <v>343</v>
      </c>
      <c r="K1220">
        <v>8472</v>
      </c>
      <c r="M1220">
        <v>3881748</v>
      </c>
    </row>
    <row r="1221" spans="1:13" x14ac:dyDescent="0.35">
      <c r="A1221" t="str">
        <f t="shared" si="65"/>
        <v>OD457471662810000</v>
      </c>
      <c r="B1221" t="s">
        <v>101</v>
      </c>
      <c r="C1221" s="1">
        <v>45747</v>
      </c>
      <c r="D1221" t="str">
        <f t="shared" si="63"/>
        <v>16</v>
      </c>
      <c r="E1221" t="str">
        <f t="shared" si="64"/>
        <v>62810000</v>
      </c>
      <c r="F1221" t="s">
        <v>2852</v>
      </c>
      <c r="G1221" t="s">
        <v>336</v>
      </c>
      <c r="H1221" t="s">
        <v>5911</v>
      </c>
      <c r="I1221">
        <v>0</v>
      </c>
      <c r="J1221" t="s">
        <v>343</v>
      </c>
      <c r="K1221">
        <v>38130</v>
      </c>
      <c r="M1221">
        <v>3881748</v>
      </c>
    </row>
    <row r="1222" spans="1:13" x14ac:dyDescent="0.35">
      <c r="A1222" t="str">
        <f t="shared" si="65"/>
        <v>OD457471662810000</v>
      </c>
      <c r="B1222" t="s">
        <v>101</v>
      </c>
      <c r="C1222" s="1">
        <v>45747</v>
      </c>
      <c r="D1222" t="str">
        <f t="shared" si="63"/>
        <v>16</v>
      </c>
      <c r="E1222" t="str">
        <f t="shared" si="64"/>
        <v>62810000</v>
      </c>
      <c r="F1222" t="s">
        <v>2852</v>
      </c>
      <c r="G1222" t="s">
        <v>336</v>
      </c>
      <c r="H1222" t="s">
        <v>5912</v>
      </c>
      <c r="I1222">
        <v>0</v>
      </c>
      <c r="J1222" t="s">
        <v>343</v>
      </c>
      <c r="K1222">
        <v>211858</v>
      </c>
      <c r="M1222">
        <v>3881748</v>
      </c>
    </row>
    <row r="1223" spans="1:13" x14ac:dyDescent="0.35">
      <c r="A1223" t="str">
        <f t="shared" si="65"/>
        <v>OD457471662810000</v>
      </c>
      <c r="B1223" t="s">
        <v>101</v>
      </c>
      <c r="C1223" s="1">
        <v>45747</v>
      </c>
      <c r="D1223" t="str">
        <f t="shared" si="63"/>
        <v>16</v>
      </c>
      <c r="E1223" t="str">
        <f t="shared" si="64"/>
        <v>62810000</v>
      </c>
      <c r="F1223" t="s">
        <v>2852</v>
      </c>
      <c r="G1223" t="s">
        <v>336</v>
      </c>
      <c r="H1223" t="s">
        <v>5913</v>
      </c>
      <c r="I1223">
        <v>0</v>
      </c>
      <c r="J1223" t="s">
        <v>343</v>
      </c>
      <c r="K1223">
        <v>516931</v>
      </c>
      <c r="M1223">
        <v>3881748</v>
      </c>
    </row>
    <row r="1224" spans="1:13" x14ac:dyDescent="0.35">
      <c r="A1224" t="str">
        <f t="shared" si="65"/>
        <v>OD457471662810000</v>
      </c>
      <c r="B1224" t="s">
        <v>101</v>
      </c>
      <c r="C1224" s="1">
        <v>45747</v>
      </c>
      <c r="D1224" t="str">
        <f t="shared" si="63"/>
        <v>16</v>
      </c>
      <c r="E1224" t="str">
        <f t="shared" si="64"/>
        <v>62810000</v>
      </c>
      <c r="F1224" t="s">
        <v>2852</v>
      </c>
      <c r="G1224" t="s">
        <v>336</v>
      </c>
      <c r="H1224" t="s">
        <v>5914</v>
      </c>
      <c r="I1224">
        <v>0</v>
      </c>
      <c r="J1224" t="s">
        <v>343</v>
      </c>
      <c r="K1224">
        <v>277533</v>
      </c>
      <c r="M1224">
        <v>3881748</v>
      </c>
    </row>
    <row r="1225" spans="1:13" x14ac:dyDescent="0.35">
      <c r="A1225" t="str">
        <f t="shared" si="65"/>
        <v>OD457471662810000</v>
      </c>
      <c r="B1225" t="s">
        <v>101</v>
      </c>
      <c r="C1225" s="1">
        <v>45747</v>
      </c>
      <c r="D1225" t="str">
        <f t="shared" si="63"/>
        <v>16</v>
      </c>
      <c r="E1225" t="str">
        <f t="shared" si="64"/>
        <v>62810000</v>
      </c>
      <c r="F1225" t="s">
        <v>2852</v>
      </c>
      <c r="G1225" t="s">
        <v>336</v>
      </c>
      <c r="H1225" t="s">
        <v>5936</v>
      </c>
      <c r="I1225">
        <v>0</v>
      </c>
      <c r="J1225" t="s">
        <v>343</v>
      </c>
      <c r="K1225">
        <v>76267</v>
      </c>
      <c r="M1225">
        <v>3881748</v>
      </c>
    </row>
    <row r="1226" spans="1:13" x14ac:dyDescent="0.35">
      <c r="A1226" t="str">
        <f t="shared" si="65"/>
        <v>OD457471662810000</v>
      </c>
      <c r="B1226" t="s">
        <v>101</v>
      </c>
      <c r="C1226" s="1">
        <v>45747</v>
      </c>
      <c r="D1226" t="str">
        <f t="shared" si="63"/>
        <v>16</v>
      </c>
      <c r="E1226" t="str">
        <f t="shared" si="64"/>
        <v>62810000</v>
      </c>
      <c r="F1226" t="s">
        <v>2852</v>
      </c>
      <c r="G1226" t="s">
        <v>336</v>
      </c>
      <c r="H1226" t="s">
        <v>5903</v>
      </c>
      <c r="I1226">
        <v>0</v>
      </c>
      <c r="J1226" t="s">
        <v>343</v>
      </c>
      <c r="K1226">
        <v>33891</v>
      </c>
      <c r="M1226">
        <v>3881748</v>
      </c>
    </row>
    <row r="1227" spans="1:13" x14ac:dyDescent="0.35">
      <c r="A1227" t="str">
        <f t="shared" si="65"/>
        <v>OD457471662810000</v>
      </c>
      <c r="B1227" t="s">
        <v>101</v>
      </c>
      <c r="C1227" s="1">
        <v>45747</v>
      </c>
      <c r="D1227" t="str">
        <f t="shared" si="63"/>
        <v>16</v>
      </c>
      <c r="E1227" t="str">
        <f t="shared" si="64"/>
        <v>62810000</v>
      </c>
      <c r="F1227" t="s">
        <v>2852</v>
      </c>
      <c r="G1227" t="s">
        <v>336</v>
      </c>
      <c r="H1227" t="s">
        <v>5903</v>
      </c>
      <c r="I1227">
        <v>0</v>
      </c>
      <c r="J1227" t="s">
        <v>343</v>
      </c>
      <c r="K1227">
        <v>136364</v>
      </c>
      <c r="M1227">
        <v>3881748</v>
      </c>
    </row>
    <row r="1228" spans="1:13" x14ac:dyDescent="0.35">
      <c r="A1228" t="str">
        <f t="shared" si="65"/>
        <v>OD457471662810000</v>
      </c>
      <c r="B1228" t="s">
        <v>101</v>
      </c>
      <c r="C1228" s="1">
        <v>45747</v>
      </c>
      <c r="D1228" t="str">
        <f t="shared" si="63"/>
        <v>16</v>
      </c>
      <c r="E1228" t="str">
        <f t="shared" si="64"/>
        <v>62810000</v>
      </c>
      <c r="F1228" t="s">
        <v>2852</v>
      </c>
      <c r="G1228" t="s">
        <v>336</v>
      </c>
      <c r="H1228" t="s">
        <v>5915</v>
      </c>
      <c r="I1228">
        <v>0</v>
      </c>
      <c r="J1228" t="s">
        <v>343</v>
      </c>
      <c r="K1228">
        <v>50838</v>
      </c>
      <c r="M1228">
        <v>3881748</v>
      </c>
    </row>
    <row r="1229" spans="1:13" x14ac:dyDescent="0.35">
      <c r="A1229" t="str">
        <f t="shared" si="65"/>
        <v>OD457471662810000</v>
      </c>
      <c r="B1229" t="s">
        <v>101</v>
      </c>
      <c r="C1229" s="1">
        <v>45747</v>
      </c>
      <c r="D1229" t="str">
        <f t="shared" si="63"/>
        <v>16</v>
      </c>
      <c r="E1229" t="str">
        <f t="shared" si="64"/>
        <v>62810000</v>
      </c>
      <c r="F1229" t="s">
        <v>2852</v>
      </c>
      <c r="G1229" t="s">
        <v>336</v>
      </c>
      <c r="H1229" t="s">
        <v>5916</v>
      </c>
      <c r="I1229">
        <v>0</v>
      </c>
      <c r="J1229" t="s">
        <v>343</v>
      </c>
      <c r="K1229">
        <v>366447</v>
      </c>
      <c r="M1229">
        <v>3881748</v>
      </c>
    </row>
    <row r="1230" spans="1:13" x14ac:dyDescent="0.35">
      <c r="A1230" t="str">
        <f t="shared" si="65"/>
        <v>OD457471662810000</v>
      </c>
      <c r="B1230" t="s">
        <v>101</v>
      </c>
      <c r="C1230" s="1">
        <v>45747</v>
      </c>
      <c r="D1230" t="str">
        <f t="shared" si="63"/>
        <v>16</v>
      </c>
      <c r="E1230" t="str">
        <f t="shared" si="64"/>
        <v>62810000</v>
      </c>
      <c r="F1230" t="s">
        <v>2852</v>
      </c>
      <c r="G1230" t="s">
        <v>336</v>
      </c>
      <c r="H1230" t="s">
        <v>6005</v>
      </c>
      <c r="I1230">
        <v>0</v>
      </c>
      <c r="J1230" t="s">
        <v>343</v>
      </c>
      <c r="K1230">
        <v>97447</v>
      </c>
      <c r="M1230">
        <v>3881748</v>
      </c>
    </row>
    <row r="1231" spans="1:13" x14ac:dyDescent="0.35">
      <c r="A1231" t="str">
        <f t="shared" si="65"/>
        <v>OD457471662810000</v>
      </c>
      <c r="B1231" t="s">
        <v>101</v>
      </c>
      <c r="C1231" s="1">
        <v>45747</v>
      </c>
      <c r="D1231" t="str">
        <f t="shared" si="63"/>
        <v>16</v>
      </c>
      <c r="E1231" t="str">
        <f t="shared" si="64"/>
        <v>62810000</v>
      </c>
      <c r="F1231" t="s">
        <v>2852</v>
      </c>
      <c r="G1231" t="s">
        <v>336</v>
      </c>
      <c r="H1231" t="s">
        <v>5917</v>
      </c>
      <c r="I1231">
        <v>0</v>
      </c>
      <c r="J1231" t="s">
        <v>343</v>
      </c>
      <c r="K1231">
        <v>122859</v>
      </c>
      <c r="M1231">
        <v>3881748</v>
      </c>
    </row>
    <row r="1232" spans="1:13" x14ac:dyDescent="0.35">
      <c r="A1232" t="str">
        <f t="shared" si="65"/>
        <v>OD457471662810000</v>
      </c>
      <c r="B1232" t="s">
        <v>101</v>
      </c>
      <c r="C1232" s="1">
        <v>45747</v>
      </c>
      <c r="D1232" t="str">
        <f t="shared" si="63"/>
        <v>16</v>
      </c>
      <c r="E1232" t="str">
        <f t="shared" si="64"/>
        <v>62810000</v>
      </c>
      <c r="F1232" t="s">
        <v>2852</v>
      </c>
      <c r="G1232" t="s">
        <v>336</v>
      </c>
      <c r="H1232" t="s">
        <v>5918</v>
      </c>
      <c r="I1232">
        <v>0</v>
      </c>
      <c r="J1232" t="s">
        <v>343</v>
      </c>
      <c r="K1232">
        <v>218184</v>
      </c>
      <c r="M1232">
        <v>3881748</v>
      </c>
    </row>
    <row r="1233" spans="1:13" x14ac:dyDescent="0.35">
      <c r="A1233" t="str">
        <f t="shared" si="65"/>
        <v>OD457471662810000</v>
      </c>
      <c r="B1233" t="s">
        <v>101</v>
      </c>
      <c r="C1233" s="1">
        <v>45747</v>
      </c>
      <c r="D1233" t="str">
        <f t="shared" si="63"/>
        <v>16</v>
      </c>
      <c r="E1233" t="str">
        <f t="shared" si="64"/>
        <v>62810000</v>
      </c>
      <c r="F1233" t="s">
        <v>2852</v>
      </c>
      <c r="G1233" t="s">
        <v>336</v>
      </c>
      <c r="H1233" t="s">
        <v>5920</v>
      </c>
      <c r="I1233">
        <v>0</v>
      </c>
      <c r="J1233" t="s">
        <v>343</v>
      </c>
      <c r="K1233">
        <v>137694</v>
      </c>
      <c r="M1233">
        <v>3881748</v>
      </c>
    </row>
    <row r="1234" spans="1:13" x14ac:dyDescent="0.35">
      <c r="A1234" t="str">
        <f t="shared" si="65"/>
        <v>OD457471662810000</v>
      </c>
      <c r="B1234" t="s">
        <v>101</v>
      </c>
      <c r="C1234" s="1">
        <v>45747</v>
      </c>
      <c r="D1234" t="str">
        <f t="shared" si="63"/>
        <v>16</v>
      </c>
      <c r="E1234" t="str">
        <f t="shared" si="64"/>
        <v>62810000</v>
      </c>
      <c r="F1234" t="s">
        <v>2852</v>
      </c>
      <c r="G1234" t="s">
        <v>336</v>
      </c>
      <c r="H1234" t="s">
        <v>5888</v>
      </c>
      <c r="I1234">
        <v>0</v>
      </c>
      <c r="J1234" t="s">
        <v>343</v>
      </c>
      <c r="K1234">
        <v>127102</v>
      </c>
      <c r="M1234">
        <v>3881748</v>
      </c>
    </row>
    <row r="1235" spans="1:13" x14ac:dyDescent="0.35">
      <c r="A1235" t="str">
        <f t="shared" si="65"/>
        <v>OD457471662810000</v>
      </c>
      <c r="B1235" t="s">
        <v>101</v>
      </c>
      <c r="C1235" s="1">
        <v>45747</v>
      </c>
      <c r="D1235" t="str">
        <f t="shared" si="63"/>
        <v>16</v>
      </c>
      <c r="E1235" t="str">
        <f t="shared" si="64"/>
        <v>62810000</v>
      </c>
      <c r="F1235" t="s">
        <v>2852</v>
      </c>
      <c r="G1235" t="s">
        <v>336</v>
      </c>
      <c r="H1235" t="s">
        <v>5921</v>
      </c>
      <c r="I1235">
        <v>0</v>
      </c>
      <c r="J1235" t="s">
        <v>343</v>
      </c>
      <c r="K1235">
        <v>398249</v>
      </c>
      <c r="M1235">
        <v>3881748</v>
      </c>
    </row>
    <row r="1236" spans="1:13" x14ac:dyDescent="0.35">
      <c r="A1236" t="str">
        <f t="shared" si="65"/>
        <v>OD457471662810000</v>
      </c>
      <c r="B1236" t="s">
        <v>101</v>
      </c>
      <c r="C1236" s="1">
        <v>45747</v>
      </c>
      <c r="D1236" t="str">
        <f t="shared" si="63"/>
        <v>16</v>
      </c>
      <c r="E1236" t="str">
        <f t="shared" si="64"/>
        <v>62810000</v>
      </c>
      <c r="F1236" t="s">
        <v>2852</v>
      </c>
      <c r="G1236" t="s">
        <v>336</v>
      </c>
      <c r="H1236" t="s">
        <v>5922</v>
      </c>
      <c r="I1236">
        <v>0</v>
      </c>
      <c r="J1236" t="s">
        <v>343</v>
      </c>
      <c r="K1236">
        <v>93206</v>
      </c>
      <c r="M1236">
        <v>3881748</v>
      </c>
    </row>
    <row r="1237" spans="1:13" x14ac:dyDescent="0.35">
      <c r="A1237" t="str">
        <f t="shared" si="65"/>
        <v>OD457471662810000</v>
      </c>
      <c r="B1237" t="s">
        <v>101</v>
      </c>
      <c r="C1237" s="1">
        <v>45747</v>
      </c>
      <c r="D1237" t="str">
        <f t="shared" si="63"/>
        <v>16</v>
      </c>
      <c r="E1237" t="str">
        <f t="shared" si="64"/>
        <v>62810000</v>
      </c>
      <c r="F1237" t="s">
        <v>2852</v>
      </c>
      <c r="G1237" t="s">
        <v>336</v>
      </c>
      <c r="H1237" t="s">
        <v>5923</v>
      </c>
      <c r="I1237">
        <v>0</v>
      </c>
      <c r="J1237" t="s">
        <v>343</v>
      </c>
      <c r="K1237">
        <v>6354</v>
      </c>
      <c r="M1237">
        <v>3881748</v>
      </c>
    </row>
    <row r="1238" spans="1:13" x14ac:dyDescent="0.35">
      <c r="A1238" t="str">
        <f t="shared" si="65"/>
        <v>OD457471662810000</v>
      </c>
      <c r="B1238" t="s">
        <v>101</v>
      </c>
      <c r="C1238" s="1">
        <v>45747</v>
      </c>
      <c r="D1238" t="str">
        <f t="shared" si="63"/>
        <v>16</v>
      </c>
      <c r="E1238" t="str">
        <f t="shared" si="64"/>
        <v>62810000</v>
      </c>
      <c r="F1238" t="s">
        <v>2852</v>
      </c>
      <c r="G1238" t="s">
        <v>336</v>
      </c>
      <c r="H1238" t="s">
        <v>5924</v>
      </c>
      <c r="I1238">
        <v>0</v>
      </c>
      <c r="J1238" t="s">
        <v>343</v>
      </c>
      <c r="K1238">
        <v>2118</v>
      </c>
      <c r="M1238">
        <v>3881748</v>
      </c>
    </row>
    <row r="1239" spans="1:13" x14ac:dyDescent="0.35">
      <c r="A1239" t="str">
        <f t="shared" si="65"/>
        <v>OD457471662810000</v>
      </c>
      <c r="B1239" t="s">
        <v>101</v>
      </c>
      <c r="C1239" s="1">
        <v>45747</v>
      </c>
      <c r="D1239" t="str">
        <f t="shared" si="63"/>
        <v>16</v>
      </c>
      <c r="E1239" t="str">
        <f t="shared" si="64"/>
        <v>62810000</v>
      </c>
      <c r="F1239" t="s">
        <v>2852</v>
      </c>
      <c r="G1239" t="s">
        <v>336</v>
      </c>
      <c r="H1239" t="s">
        <v>6006</v>
      </c>
      <c r="I1239">
        <v>0</v>
      </c>
      <c r="J1239" t="s">
        <v>343</v>
      </c>
      <c r="K1239">
        <v>67795</v>
      </c>
      <c r="M1239">
        <v>3881748</v>
      </c>
    </row>
    <row r="1240" spans="1:13" x14ac:dyDescent="0.35">
      <c r="A1240" t="str">
        <f t="shared" si="65"/>
        <v>OD457471760420000</v>
      </c>
      <c r="B1240" t="s">
        <v>101</v>
      </c>
      <c r="C1240" s="1">
        <v>45747</v>
      </c>
      <c r="D1240" t="str">
        <f t="shared" ref="D1240:D1271" si="66">"17"</f>
        <v>17</v>
      </c>
      <c r="E1240" t="str">
        <f t="shared" ref="E1240:E1268" si="67">"60420000"</f>
        <v>60420000</v>
      </c>
      <c r="F1240" t="s">
        <v>2864</v>
      </c>
      <c r="G1240" t="s">
        <v>336</v>
      </c>
      <c r="H1240" t="s">
        <v>5905</v>
      </c>
      <c r="I1240">
        <v>0</v>
      </c>
      <c r="J1240" t="s">
        <v>343</v>
      </c>
      <c r="K1240">
        <v>544464</v>
      </c>
      <c r="M1240">
        <v>180701546</v>
      </c>
    </row>
    <row r="1241" spans="1:13" x14ac:dyDescent="0.35">
      <c r="A1241" t="str">
        <f t="shared" si="65"/>
        <v>OD457471760420000</v>
      </c>
      <c r="B1241" t="s">
        <v>101</v>
      </c>
      <c r="C1241" s="1">
        <v>45747</v>
      </c>
      <c r="D1241" t="str">
        <f t="shared" si="66"/>
        <v>17</v>
      </c>
      <c r="E1241" t="str">
        <f t="shared" si="67"/>
        <v>60420000</v>
      </c>
      <c r="F1241" t="s">
        <v>2864</v>
      </c>
      <c r="G1241" t="s">
        <v>336</v>
      </c>
      <c r="H1241" t="s">
        <v>5873</v>
      </c>
      <c r="I1241">
        <v>0</v>
      </c>
      <c r="J1241" t="s">
        <v>343</v>
      </c>
      <c r="K1241">
        <v>1425842</v>
      </c>
      <c r="M1241">
        <v>180701546</v>
      </c>
    </row>
    <row r="1242" spans="1:13" x14ac:dyDescent="0.35">
      <c r="A1242" t="str">
        <f t="shared" si="65"/>
        <v>OD457471760420000</v>
      </c>
      <c r="B1242" t="s">
        <v>101</v>
      </c>
      <c r="C1242" s="1">
        <v>45747</v>
      </c>
      <c r="D1242" t="str">
        <f t="shared" si="66"/>
        <v>17</v>
      </c>
      <c r="E1242" t="str">
        <f t="shared" si="67"/>
        <v>60420000</v>
      </c>
      <c r="F1242" t="s">
        <v>2864</v>
      </c>
      <c r="G1242" t="s">
        <v>336</v>
      </c>
      <c r="H1242" t="s">
        <v>5947</v>
      </c>
      <c r="I1242">
        <v>0</v>
      </c>
      <c r="J1242" t="s">
        <v>343</v>
      </c>
      <c r="K1242">
        <v>75196</v>
      </c>
      <c r="M1242">
        <v>180701546</v>
      </c>
    </row>
    <row r="1243" spans="1:13" x14ac:dyDescent="0.35">
      <c r="A1243" t="str">
        <f t="shared" si="65"/>
        <v>OD457471760420000</v>
      </c>
      <c r="B1243" t="s">
        <v>101</v>
      </c>
      <c r="C1243" s="1">
        <v>45747</v>
      </c>
      <c r="D1243" t="str">
        <f t="shared" si="66"/>
        <v>17</v>
      </c>
      <c r="E1243" t="str">
        <f t="shared" si="67"/>
        <v>60420000</v>
      </c>
      <c r="F1243" t="s">
        <v>2864</v>
      </c>
      <c r="G1243" t="s">
        <v>336</v>
      </c>
      <c r="H1243" t="s">
        <v>5949</v>
      </c>
      <c r="I1243">
        <v>0</v>
      </c>
      <c r="J1243" t="s">
        <v>343</v>
      </c>
      <c r="K1243">
        <v>138018</v>
      </c>
      <c r="M1243">
        <v>180701546</v>
      </c>
    </row>
    <row r="1244" spans="1:13" x14ac:dyDescent="0.35">
      <c r="A1244" t="str">
        <f t="shared" si="65"/>
        <v>OD457471760420000</v>
      </c>
      <c r="B1244" t="s">
        <v>101</v>
      </c>
      <c r="C1244" s="1">
        <v>45747</v>
      </c>
      <c r="D1244" t="str">
        <f t="shared" si="66"/>
        <v>17</v>
      </c>
      <c r="E1244" t="str">
        <f t="shared" si="67"/>
        <v>60420000</v>
      </c>
      <c r="F1244" t="s">
        <v>2864</v>
      </c>
      <c r="G1244" t="s">
        <v>336</v>
      </c>
      <c r="H1244" t="s">
        <v>5903</v>
      </c>
      <c r="I1244">
        <v>0</v>
      </c>
      <c r="J1244" t="s">
        <v>343</v>
      </c>
      <c r="K1244">
        <v>16411</v>
      </c>
      <c r="M1244">
        <v>180701546</v>
      </c>
    </row>
    <row r="1245" spans="1:13" x14ac:dyDescent="0.35">
      <c r="A1245" t="str">
        <f t="shared" si="65"/>
        <v>OD457471760420000</v>
      </c>
      <c r="B1245" t="s">
        <v>101</v>
      </c>
      <c r="C1245" s="1">
        <v>45747</v>
      </c>
      <c r="D1245" t="str">
        <f t="shared" si="66"/>
        <v>17</v>
      </c>
      <c r="E1245" t="str">
        <f t="shared" si="67"/>
        <v>60420000</v>
      </c>
      <c r="F1245" t="s">
        <v>2864</v>
      </c>
      <c r="G1245" t="s">
        <v>336</v>
      </c>
      <c r="H1245" t="s">
        <v>5931</v>
      </c>
      <c r="I1245">
        <v>0</v>
      </c>
      <c r="J1245" t="s">
        <v>343</v>
      </c>
      <c r="K1245">
        <v>302097</v>
      </c>
      <c r="M1245">
        <v>180701546</v>
      </c>
    </row>
    <row r="1246" spans="1:13" x14ac:dyDescent="0.35">
      <c r="A1246" t="str">
        <f t="shared" si="65"/>
        <v>OD457471760420000</v>
      </c>
      <c r="B1246" t="s">
        <v>101</v>
      </c>
      <c r="C1246" s="1">
        <v>45747</v>
      </c>
      <c r="D1246" t="str">
        <f t="shared" si="66"/>
        <v>17</v>
      </c>
      <c r="E1246" t="str">
        <f t="shared" si="67"/>
        <v>60420000</v>
      </c>
      <c r="F1246" t="s">
        <v>2864</v>
      </c>
      <c r="G1246" t="s">
        <v>336</v>
      </c>
      <c r="H1246" t="s">
        <v>5953</v>
      </c>
      <c r="I1246">
        <v>0</v>
      </c>
      <c r="J1246" t="s">
        <v>343</v>
      </c>
      <c r="K1246">
        <v>85437</v>
      </c>
      <c r="M1246">
        <v>180701546</v>
      </c>
    </row>
    <row r="1247" spans="1:13" x14ac:dyDescent="0.35">
      <c r="A1247" t="str">
        <f t="shared" si="65"/>
        <v>OD457471760420000</v>
      </c>
      <c r="B1247" t="s">
        <v>101</v>
      </c>
      <c r="C1247" s="1">
        <v>45747</v>
      </c>
      <c r="D1247" t="str">
        <f t="shared" si="66"/>
        <v>17</v>
      </c>
      <c r="E1247" t="str">
        <f t="shared" si="67"/>
        <v>60420000</v>
      </c>
      <c r="F1247" t="s">
        <v>2864</v>
      </c>
      <c r="G1247" t="s">
        <v>336</v>
      </c>
      <c r="H1247" t="s">
        <v>6007</v>
      </c>
      <c r="I1247">
        <v>0</v>
      </c>
      <c r="J1247" t="s">
        <v>343</v>
      </c>
      <c r="K1247">
        <v>7030327</v>
      </c>
      <c r="M1247">
        <v>180701546</v>
      </c>
    </row>
    <row r="1248" spans="1:13" x14ac:dyDescent="0.35">
      <c r="A1248" t="str">
        <f t="shared" si="65"/>
        <v>OD457471760420000</v>
      </c>
      <c r="B1248" t="s">
        <v>101</v>
      </c>
      <c r="C1248" s="1">
        <v>45747</v>
      </c>
      <c r="D1248" t="str">
        <f t="shared" si="66"/>
        <v>17</v>
      </c>
      <c r="E1248" t="str">
        <f t="shared" si="67"/>
        <v>60420000</v>
      </c>
      <c r="F1248" t="s">
        <v>2864</v>
      </c>
      <c r="G1248" t="s">
        <v>336</v>
      </c>
      <c r="H1248" t="s">
        <v>5959</v>
      </c>
      <c r="I1248">
        <v>0</v>
      </c>
      <c r="J1248" t="s">
        <v>343</v>
      </c>
      <c r="K1248">
        <v>36105175</v>
      </c>
      <c r="M1248">
        <v>180701546</v>
      </c>
    </row>
    <row r="1249" spans="1:13" x14ac:dyDescent="0.35">
      <c r="A1249" t="str">
        <f t="shared" si="65"/>
        <v>OD457471760420000</v>
      </c>
      <c r="B1249" t="s">
        <v>101</v>
      </c>
      <c r="C1249" s="1">
        <v>45747</v>
      </c>
      <c r="D1249" t="str">
        <f t="shared" si="66"/>
        <v>17</v>
      </c>
      <c r="E1249" t="str">
        <f t="shared" si="67"/>
        <v>60420000</v>
      </c>
      <c r="F1249" t="s">
        <v>2864</v>
      </c>
      <c r="G1249" t="s">
        <v>336</v>
      </c>
      <c r="H1249" t="s">
        <v>5944</v>
      </c>
      <c r="I1249">
        <v>0</v>
      </c>
      <c r="J1249" t="s">
        <v>343</v>
      </c>
      <c r="K1249">
        <v>42475645</v>
      </c>
      <c r="M1249">
        <v>180701546</v>
      </c>
    </row>
    <row r="1250" spans="1:13" x14ac:dyDescent="0.35">
      <c r="A1250" t="str">
        <f t="shared" si="65"/>
        <v>OD457471760420000</v>
      </c>
      <c r="B1250" t="s">
        <v>101</v>
      </c>
      <c r="C1250" s="1">
        <v>45747</v>
      </c>
      <c r="D1250" t="str">
        <f t="shared" si="66"/>
        <v>17</v>
      </c>
      <c r="E1250" t="str">
        <f t="shared" si="67"/>
        <v>60420000</v>
      </c>
      <c r="F1250" t="s">
        <v>2864</v>
      </c>
      <c r="G1250" t="s">
        <v>336</v>
      </c>
      <c r="H1250" t="s">
        <v>5952</v>
      </c>
      <c r="I1250">
        <v>0</v>
      </c>
      <c r="J1250" t="s">
        <v>343</v>
      </c>
      <c r="K1250">
        <v>36397006</v>
      </c>
      <c r="M1250">
        <v>180701546</v>
      </c>
    </row>
    <row r="1251" spans="1:13" x14ac:dyDescent="0.35">
      <c r="A1251" t="str">
        <f t="shared" si="65"/>
        <v>OD457471760420000</v>
      </c>
      <c r="B1251" t="s">
        <v>101</v>
      </c>
      <c r="C1251" s="1">
        <v>45747</v>
      </c>
      <c r="D1251" t="str">
        <f t="shared" si="66"/>
        <v>17</v>
      </c>
      <c r="E1251" t="str">
        <f t="shared" si="67"/>
        <v>60420000</v>
      </c>
      <c r="F1251" t="s">
        <v>2864</v>
      </c>
      <c r="G1251" t="s">
        <v>336</v>
      </c>
      <c r="H1251" t="s">
        <v>5957</v>
      </c>
      <c r="I1251">
        <v>0</v>
      </c>
      <c r="J1251" t="s">
        <v>343</v>
      </c>
      <c r="K1251">
        <v>1001417</v>
      </c>
      <c r="M1251">
        <v>180701546</v>
      </c>
    </row>
    <row r="1252" spans="1:13" x14ac:dyDescent="0.35">
      <c r="A1252" t="str">
        <f t="shared" si="65"/>
        <v>OD457471760420000</v>
      </c>
      <c r="B1252" t="s">
        <v>101</v>
      </c>
      <c r="C1252" s="1">
        <v>45747</v>
      </c>
      <c r="D1252" t="str">
        <f t="shared" si="66"/>
        <v>17</v>
      </c>
      <c r="E1252" t="str">
        <f t="shared" si="67"/>
        <v>60420000</v>
      </c>
      <c r="F1252" t="s">
        <v>2864</v>
      </c>
      <c r="G1252" t="s">
        <v>336</v>
      </c>
      <c r="H1252" t="s">
        <v>5965</v>
      </c>
      <c r="I1252">
        <v>0</v>
      </c>
      <c r="J1252" t="s">
        <v>343</v>
      </c>
      <c r="K1252">
        <v>19192067</v>
      </c>
      <c r="M1252">
        <v>180701546</v>
      </c>
    </row>
    <row r="1253" spans="1:13" x14ac:dyDescent="0.35">
      <c r="A1253" t="str">
        <f t="shared" si="65"/>
        <v>OD457471760420000</v>
      </c>
      <c r="B1253" t="s">
        <v>101</v>
      </c>
      <c r="C1253" s="1">
        <v>45747</v>
      </c>
      <c r="D1253" t="str">
        <f t="shared" si="66"/>
        <v>17</v>
      </c>
      <c r="E1253" t="str">
        <f t="shared" si="67"/>
        <v>60420000</v>
      </c>
      <c r="F1253" t="s">
        <v>2864</v>
      </c>
      <c r="G1253" t="s">
        <v>336</v>
      </c>
      <c r="H1253" t="s">
        <v>5945</v>
      </c>
      <c r="I1253">
        <v>0</v>
      </c>
      <c r="J1253" t="s">
        <v>343</v>
      </c>
      <c r="K1253">
        <v>32121553</v>
      </c>
      <c r="M1253">
        <v>180701546</v>
      </c>
    </row>
    <row r="1254" spans="1:13" x14ac:dyDescent="0.35">
      <c r="A1254" t="str">
        <f t="shared" si="65"/>
        <v>OD457471760420000</v>
      </c>
      <c r="B1254" t="s">
        <v>101</v>
      </c>
      <c r="C1254" s="1">
        <v>45747</v>
      </c>
      <c r="D1254" t="str">
        <f t="shared" si="66"/>
        <v>17</v>
      </c>
      <c r="E1254" t="str">
        <f t="shared" si="67"/>
        <v>60420000</v>
      </c>
      <c r="F1254" t="s">
        <v>2864</v>
      </c>
      <c r="G1254" t="s">
        <v>336</v>
      </c>
      <c r="H1254" t="s">
        <v>6008</v>
      </c>
      <c r="I1254">
        <v>0</v>
      </c>
      <c r="J1254" t="s">
        <v>343</v>
      </c>
      <c r="K1254">
        <v>454760</v>
      </c>
      <c r="M1254">
        <v>180701546</v>
      </c>
    </row>
    <row r="1255" spans="1:13" x14ac:dyDescent="0.35">
      <c r="A1255" t="str">
        <f t="shared" si="65"/>
        <v>OD457471760420000</v>
      </c>
      <c r="B1255" t="s">
        <v>101</v>
      </c>
      <c r="C1255" s="1">
        <v>45747</v>
      </c>
      <c r="D1255" t="str">
        <f t="shared" si="66"/>
        <v>17</v>
      </c>
      <c r="E1255" t="str">
        <f t="shared" si="67"/>
        <v>60420000</v>
      </c>
      <c r="F1255" t="s">
        <v>2864</v>
      </c>
      <c r="G1255" t="s">
        <v>336</v>
      </c>
      <c r="H1255" t="s">
        <v>5966</v>
      </c>
      <c r="I1255">
        <v>0</v>
      </c>
      <c r="J1255" t="s">
        <v>343</v>
      </c>
      <c r="K1255">
        <v>254379</v>
      </c>
      <c r="M1255">
        <v>180701546</v>
      </c>
    </row>
    <row r="1256" spans="1:13" x14ac:dyDescent="0.35">
      <c r="A1256" t="str">
        <f t="shared" si="65"/>
        <v>OD457471760420000</v>
      </c>
      <c r="B1256" t="s">
        <v>101</v>
      </c>
      <c r="C1256" s="1">
        <v>45747</v>
      </c>
      <c r="D1256" t="str">
        <f t="shared" si="66"/>
        <v>17</v>
      </c>
      <c r="E1256" t="str">
        <f t="shared" si="67"/>
        <v>60420000</v>
      </c>
      <c r="F1256" t="s">
        <v>2864</v>
      </c>
      <c r="G1256" t="s">
        <v>336</v>
      </c>
      <c r="H1256" t="s">
        <v>5875</v>
      </c>
      <c r="I1256">
        <v>0</v>
      </c>
      <c r="J1256" t="s">
        <v>343</v>
      </c>
      <c r="K1256">
        <v>304985</v>
      </c>
      <c r="M1256">
        <v>180701546</v>
      </c>
    </row>
    <row r="1257" spans="1:13" x14ac:dyDescent="0.35">
      <c r="A1257" t="str">
        <f t="shared" si="65"/>
        <v>OD457471760420000</v>
      </c>
      <c r="B1257" t="s">
        <v>101</v>
      </c>
      <c r="C1257" s="1">
        <v>45747</v>
      </c>
      <c r="D1257" t="str">
        <f t="shared" si="66"/>
        <v>17</v>
      </c>
      <c r="E1257" t="str">
        <f t="shared" si="67"/>
        <v>60420000</v>
      </c>
      <c r="F1257" t="s">
        <v>2864</v>
      </c>
      <c r="G1257" t="s">
        <v>336</v>
      </c>
      <c r="H1257" t="s">
        <v>5880</v>
      </c>
      <c r="I1257">
        <v>0</v>
      </c>
      <c r="J1257" t="s">
        <v>343</v>
      </c>
      <c r="K1257">
        <v>265467</v>
      </c>
      <c r="M1257">
        <v>180701546</v>
      </c>
    </row>
    <row r="1258" spans="1:13" x14ac:dyDescent="0.35">
      <c r="A1258" t="str">
        <f t="shared" si="65"/>
        <v>OD457471760420000</v>
      </c>
      <c r="B1258" t="s">
        <v>101</v>
      </c>
      <c r="C1258" s="1">
        <v>45747</v>
      </c>
      <c r="D1258" t="str">
        <f t="shared" si="66"/>
        <v>17</v>
      </c>
      <c r="E1258" t="str">
        <f t="shared" si="67"/>
        <v>60420000</v>
      </c>
      <c r="F1258" t="s">
        <v>2864</v>
      </c>
      <c r="G1258" t="s">
        <v>336</v>
      </c>
      <c r="H1258" t="s">
        <v>5958</v>
      </c>
      <c r="I1258">
        <v>0</v>
      </c>
      <c r="J1258" t="s">
        <v>343</v>
      </c>
      <c r="K1258">
        <v>706470</v>
      </c>
      <c r="M1258">
        <v>180701546</v>
      </c>
    </row>
    <row r="1259" spans="1:13" x14ac:dyDescent="0.35">
      <c r="A1259" t="str">
        <f t="shared" si="65"/>
        <v>OD457471760420000</v>
      </c>
      <c r="B1259" t="s">
        <v>101</v>
      </c>
      <c r="C1259" s="1">
        <v>45747</v>
      </c>
      <c r="D1259" t="str">
        <f t="shared" si="66"/>
        <v>17</v>
      </c>
      <c r="E1259" t="str">
        <f t="shared" si="67"/>
        <v>60420000</v>
      </c>
      <c r="F1259" t="s">
        <v>2864</v>
      </c>
      <c r="G1259" t="s">
        <v>336</v>
      </c>
      <c r="H1259" t="s">
        <v>5874</v>
      </c>
      <c r="I1259">
        <v>0</v>
      </c>
      <c r="J1259" t="s">
        <v>343</v>
      </c>
      <c r="K1259">
        <v>115751</v>
      </c>
      <c r="M1259">
        <v>180701546</v>
      </c>
    </row>
    <row r="1260" spans="1:13" x14ac:dyDescent="0.35">
      <c r="A1260" t="str">
        <f t="shared" si="65"/>
        <v>OD457471760420000</v>
      </c>
      <c r="B1260" t="s">
        <v>101</v>
      </c>
      <c r="C1260" s="1">
        <v>45747</v>
      </c>
      <c r="D1260" t="str">
        <f t="shared" si="66"/>
        <v>17</v>
      </c>
      <c r="E1260" t="str">
        <f t="shared" si="67"/>
        <v>60420000</v>
      </c>
      <c r="F1260" t="s">
        <v>2864</v>
      </c>
      <c r="G1260" t="s">
        <v>336</v>
      </c>
      <c r="H1260" t="s">
        <v>5876</v>
      </c>
      <c r="I1260">
        <v>0</v>
      </c>
      <c r="J1260" t="s">
        <v>343</v>
      </c>
      <c r="K1260">
        <v>88174</v>
      </c>
      <c r="M1260">
        <v>180701546</v>
      </c>
    </row>
    <row r="1261" spans="1:13" x14ac:dyDescent="0.35">
      <c r="A1261" t="str">
        <f t="shared" si="65"/>
        <v>OD457471760420000</v>
      </c>
      <c r="B1261" t="s">
        <v>101</v>
      </c>
      <c r="C1261" s="1">
        <v>45747</v>
      </c>
      <c r="D1261" t="str">
        <f t="shared" si="66"/>
        <v>17</v>
      </c>
      <c r="E1261" t="str">
        <f t="shared" si="67"/>
        <v>60420000</v>
      </c>
      <c r="F1261" t="s">
        <v>2864</v>
      </c>
      <c r="G1261" t="s">
        <v>336</v>
      </c>
      <c r="H1261" t="s">
        <v>5884</v>
      </c>
      <c r="I1261">
        <v>0</v>
      </c>
      <c r="J1261" t="s">
        <v>343</v>
      </c>
      <c r="K1261">
        <v>164204</v>
      </c>
      <c r="M1261">
        <v>180701546</v>
      </c>
    </row>
    <row r="1262" spans="1:13" x14ac:dyDescent="0.35">
      <c r="A1262" t="str">
        <f t="shared" si="65"/>
        <v>OD457471760420000</v>
      </c>
      <c r="B1262" t="s">
        <v>101</v>
      </c>
      <c r="C1262" s="1">
        <v>45747</v>
      </c>
      <c r="D1262" t="str">
        <f t="shared" si="66"/>
        <v>17</v>
      </c>
      <c r="E1262" t="str">
        <f t="shared" si="67"/>
        <v>60420000</v>
      </c>
      <c r="F1262" t="s">
        <v>2864</v>
      </c>
      <c r="G1262" t="s">
        <v>336</v>
      </c>
      <c r="H1262" t="s">
        <v>5904</v>
      </c>
      <c r="I1262">
        <v>0</v>
      </c>
      <c r="J1262" t="s">
        <v>343</v>
      </c>
      <c r="K1262">
        <v>84000</v>
      </c>
      <c r="M1262">
        <v>180701546</v>
      </c>
    </row>
    <row r="1263" spans="1:13" x14ac:dyDescent="0.35">
      <c r="A1263" t="str">
        <f t="shared" si="65"/>
        <v>OD457471760420000</v>
      </c>
      <c r="B1263" t="s">
        <v>101</v>
      </c>
      <c r="C1263" s="1">
        <v>45747</v>
      </c>
      <c r="D1263" t="str">
        <f t="shared" si="66"/>
        <v>17</v>
      </c>
      <c r="E1263" t="str">
        <f t="shared" si="67"/>
        <v>60420000</v>
      </c>
      <c r="F1263" t="s">
        <v>2864</v>
      </c>
      <c r="G1263" t="s">
        <v>336</v>
      </c>
      <c r="H1263" t="s">
        <v>5937</v>
      </c>
      <c r="I1263">
        <v>0</v>
      </c>
      <c r="J1263" t="s">
        <v>343</v>
      </c>
      <c r="K1263">
        <v>789891</v>
      </c>
      <c r="M1263">
        <v>180701546</v>
      </c>
    </row>
    <row r="1264" spans="1:13" x14ac:dyDescent="0.35">
      <c r="A1264" t="str">
        <f t="shared" si="65"/>
        <v>OD457471760420000</v>
      </c>
      <c r="B1264" t="s">
        <v>101</v>
      </c>
      <c r="C1264" s="1">
        <v>45747</v>
      </c>
      <c r="D1264" t="str">
        <f t="shared" si="66"/>
        <v>17</v>
      </c>
      <c r="E1264" t="str">
        <f t="shared" si="67"/>
        <v>60420000</v>
      </c>
      <c r="F1264" t="s">
        <v>2864</v>
      </c>
      <c r="G1264" t="s">
        <v>336</v>
      </c>
      <c r="H1264" t="s">
        <v>5932</v>
      </c>
      <c r="I1264">
        <v>0</v>
      </c>
      <c r="J1264" t="s">
        <v>343</v>
      </c>
      <c r="K1264">
        <v>50645</v>
      </c>
      <c r="M1264">
        <v>180701546</v>
      </c>
    </row>
    <row r="1265" spans="1:13" x14ac:dyDescent="0.35">
      <c r="A1265" t="str">
        <f t="shared" si="65"/>
        <v>OD457471760420000</v>
      </c>
      <c r="B1265" t="s">
        <v>101</v>
      </c>
      <c r="C1265" s="1">
        <v>45747</v>
      </c>
      <c r="D1265" t="str">
        <f t="shared" si="66"/>
        <v>17</v>
      </c>
      <c r="E1265" t="str">
        <f t="shared" si="67"/>
        <v>60420000</v>
      </c>
      <c r="F1265" t="s">
        <v>2864</v>
      </c>
      <c r="G1265" t="s">
        <v>336</v>
      </c>
      <c r="H1265" t="s">
        <v>5883</v>
      </c>
      <c r="I1265">
        <v>0</v>
      </c>
      <c r="J1265" t="s">
        <v>343</v>
      </c>
      <c r="K1265">
        <v>348600</v>
      </c>
      <c r="M1265">
        <v>180701546</v>
      </c>
    </row>
    <row r="1266" spans="1:13" x14ac:dyDescent="0.35">
      <c r="A1266" t="str">
        <f t="shared" si="65"/>
        <v>OD457471760420000</v>
      </c>
      <c r="B1266" t="s">
        <v>101</v>
      </c>
      <c r="C1266" s="1">
        <v>45747</v>
      </c>
      <c r="D1266" t="str">
        <f t="shared" si="66"/>
        <v>17</v>
      </c>
      <c r="E1266" t="str">
        <f t="shared" si="67"/>
        <v>60420000</v>
      </c>
      <c r="F1266" t="s">
        <v>2864</v>
      </c>
      <c r="G1266" t="s">
        <v>336</v>
      </c>
      <c r="H1266" t="s">
        <v>5927</v>
      </c>
      <c r="I1266">
        <v>0</v>
      </c>
      <c r="J1266" t="s">
        <v>343</v>
      </c>
      <c r="K1266">
        <v>95290</v>
      </c>
      <c r="M1266">
        <v>180701546</v>
      </c>
    </row>
    <row r="1267" spans="1:13" x14ac:dyDescent="0.35">
      <c r="A1267" t="str">
        <f t="shared" si="65"/>
        <v>OD457471760420000</v>
      </c>
      <c r="B1267" t="s">
        <v>101</v>
      </c>
      <c r="C1267" s="1">
        <v>45747</v>
      </c>
      <c r="D1267" t="str">
        <f t="shared" si="66"/>
        <v>17</v>
      </c>
      <c r="E1267" t="str">
        <f t="shared" si="67"/>
        <v>60420000</v>
      </c>
      <c r="F1267" t="s">
        <v>2864</v>
      </c>
      <c r="G1267" t="s">
        <v>336</v>
      </c>
      <c r="H1267" t="s">
        <v>5878</v>
      </c>
      <c r="I1267">
        <v>0</v>
      </c>
      <c r="J1267" t="s">
        <v>343</v>
      </c>
      <c r="K1267">
        <v>68275</v>
      </c>
      <c r="M1267">
        <v>180701546</v>
      </c>
    </row>
    <row r="1268" spans="1:13" x14ac:dyDescent="0.35">
      <c r="A1268" t="str">
        <f t="shared" si="65"/>
        <v>OD457471760420000</v>
      </c>
      <c r="B1268" t="s">
        <v>101</v>
      </c>
      <c r="C1268" s="1">
        <v>45747</v>
      </c>
      <c r="D1268" t="str">
        <f t="shared" si="66"/>
        <v>17</v>
      </c>
      <c r="E1268" t="str">
        <f t="shared" si="67"/>
        <v>60420000</v>
      </c>
      <c r="F1268" t="s">
        <v>2865</v>
      </c>
      <c r="G1268" t="s">
        <v>336</v>
      </c>
      <c r="H1268" t="s">
        <v>5878</v>
      </c>
      <c r="I1268">
        <v>0</v>
      </c>
      <c r="J1268" t="s">
        <v>343</v>
      </c>
      <c r="K1268">
        <v>1</v>
      </c>
      <c r="M1268">
        <v>1</v>
      </c>
    </row>
    <row r="1269" spans="1:13" x14ac:dyDescent="0.35">
      <c r="A1269" t="str">
        <f t="shared" si="65"/>
        <v>OD457471760520100</v>
      </c>
      <c r="B1269" t="s">
        <v>101</v>
      </c>
      <c r="C1269" s="1">
        <v>45747</v>
      </c>
      <c r="D1269" t="str">
        <f t="shared" si="66"/>
        <v>17</v>
      </c>
      <c r="E1269" t="str">
        <f t="shared" ref="E1269:E1274" si="68">"60520100"</f>
        <v>60520100</v>
      </c>
      <c r="F1269" t="s">
        <v>2865</v>
      </c>
      <c r="G1269" t="s">
        <v>336</v>
      </c>
      <c r="H1269" t="s">
        <v>5905</v>
      </c>
      <c r="I1269">
        <v>0</v>
      </c>
      <c r="J1269" t="s">
        <v>343</v>
      </c>
      <c r="K1269">
        <v>1091973</v>
      </c>
      <c r="M1269">
        <v>5328128</v>
      </c>
    </row>
    <row r="1270" spans="1:13" x14ac:dyDescent="0.35">
      <c r="A1270" t="str">
        <f t="shared" si="65"/>
        <v>OD457471760520100</v>
      </c>
      <c r="B1270" t="s">
        <v>101</v>
      </c>
      <c r="C1270" s="1">
        <v>45747</v>
      </c>
      <c r="D1270" t="str">
        <f t="shared" si="66"/>
        <v>17</v>
      </c>
      <c r="E1270" t="str">
        <f t="shared" si="68"/>
        <v>60520100</v>
      </c>
      <c r="F1270" t="s">
        <v>2865</v>
      </c>
      <c r="G1270" t="s">
        <v>336</v>
      </c>
      <c r="H1270" t="s">
        <v>5902</v>
      </c>
      <c r="I1270">
        <v>0</v>
      </c>
      <c r="J1270" t="s">
        <v>343</v>
      </c>
      <c r="K1270">
        <v>105196</v>
      </c>
      <c r="M1270">
        <v>5328128</v>
      </c>
    </row>
    <row r="1271" spans="1:13" x14ac:dyDescent="0.35">
      <c r="A1271" t="str">
        <f t="shared" si="65"/>
        <v>OD457471760520100</v>
      </c>
      <c r="B1271" t="s">
        <v>101</v>
      </c>
      <c r="C1271" s="1">
        <v>45747</v>
      </c>
      <c r="D1271" t="str">
        <f t="shared" si="66"/>
        <v>17</v>
      </c>
      <c r="E1271" t="str">
        <f t="shared" si="68"/>
        <v>60520100</v>
      </c>
      <c r="F1271" t="s">
        <v>2865</v>
      </c>
      <c r="G1271" t="s">
        <v>336</v>
      </c>
      <c r="H1271" t="s">
        <v>5913</v>
      </c>
      <c r="I1271">
        <v>0</v>
      </c>
      <c r="J1271" t="s">
        <v>343</v>
      </c>
      <c r="K1271">
        <v>52726</v>
      </c>
      <c r="M1271">
        <v>5328128</v>
      </c>
    </row>
    <row r="1272" spans="1:13" x14ac:dyDescent="0.35">
      <c r="A1272" t="str">
        <f t="shared" si="65"/>
        <v>OD457471760520100</v>
      </c>
      <c r="B1272" t="s">
        <v>101</v>
      </c>
      <c r="C1272" s="1">
        <v>45747</v>
      </c>
      <c r="D1272" t="str">
        <f t="shared" ref="D1272:D1289" si="69">"17"</f>
        <v>17</v>
      </c>
      <c r="E1272" t="str">
        <f t="shared" si="68"/>
        <v>60520100</v>
      </c>
      <c r="F1272" t="s">
        <v>2865</v>
      </c>
      <c r="G1272" t="s">
        <v>336</v>
      </c>
      <c r="H1272" t="s">
        <v>5904</v>
      </c>
      <c r="I1272">
        <v>0</v>
      </c>
      <c r="J1272" t="s">
        <v>343</v>
      </c>
      <c r="K1272">
        <v>105000</v>
      </c>
      <c r="M1272">
        <v>5328128</v>
      </c>
    </row>
    <row r="1273" spans="1:13" x14ac:dyDescent="0.35">
      <c r="A1273" t="str">
        <f t="shared" si="65"/>
        <v>OD457471760520100</v>
      </c>
      <c r="B1273" t="s">
        <v>101</v>
      </c>
      <c r="C1273" s="1">
        <v>45747</v>
      </c>
      <c r="D1273" t="str">
        <f t="shared" si="69"/>
        <v>17</v>
      </c>
      <c r="E1273" t="str">
        <f t="shared" si="68"/>
        <v>60520100</v>
      </c>
      <c r="F1273" t="s">
        <v>2865</v>
      </c>
      <c r="G1273" t="s">
        <v>336</v>
      </c>
      <c r="H1273" t="s">
        <v>5883</v>
      </c>
      <c r="I1273">
        <v>0</v>
      </c>
      <c r="J1273" t="s">
        <v>343</v>
      </c>
      <c r="K1273">
        <v>105000</v>
      </c>
      <c r="M1273">
        <v>5328128</v>
      </c>
    </row>
    <row r="1274" spans="1:13" x14ac:dyDescent="0.35">
      <c r="A1274" t="str">
        <f t="shared" si="65"/>
        <v>OD457471760520100</v>
      </c>
      <c r="B1274" t="s">
        <v>101</v>
      </c>
      <c r="C1274" s="1">
        <v>45747</v>
      </c>
      <c r="D1274" t="str">
        <f t="shared" si="69"/>
        <v>17</v>
      </c>
      <c r="E1274" t="str">
        <f t="shared" si="68"/>
        <v>60520100</v>
      </c>
      <c r="F1274" t="s">
        <v>2865</v>
      </c>
      <c r="G1274" t="s">
        <v>336</v>
      </c>
      <c r="H1274" t="s">
        <v>5928</v>
      </c>
      <c r="I1274">
        <v>0</v>
      </c>
      <c r="J1274" t="s">
        <v>343</v>
      </c>
      <c r="K1274">
        <v>3868233</v>
      </c>
      <c r="M1274">
        <v>5328128</v>
      </c>
    </row>
    <row r="1275" spans="1:13" x14ac:dyDescent="0.35">
      <c r="A1275" t="str">
        <f t="shared" si="65"/>
        <v>OD457471761810000</v>
      </c>
      <c r="B1275" t="s">
        <v>101</v>
      </c>
      <c r="C1275" s="1">
        <v>45747</v>
      </c>
      <c r="D1275" t="str">
        <f t="shared" si="69"/>
        <v>17</v>
      </c>
      <c r="E1275" t="str">
        <f t="shared" ref="E1275:E1289" si="70">"61810000"</f>
        <v>61810000</v>
      </c>
      <c r="F1275" t="s">
        <v>2861</v>
      </c>
      <c r="G1275" t="s">
        <v>336</v>
      </c>
      <c r="H1275" t="s">
        <v>5938</v>
      </c>
      <c r="I1275">
        <v>0</v>
      </c>
      <c r="J1275" t="s">
        <v>343</v>
      </c>
      <c r="K1275">
        <v>242227</v>
      </c>
      <c r="M1275">
        <v>7127004</v>
      </c>
    </row>
    <row r="1276" spans="1:13" x14ac:dyDescent="0.35">
      <c r="A1276" t="str">
        <f t="shared" si="65"/>
        <v>OD457471761810000</v>
      </c>
      <c r="B1276" t="s">
        <v>101</v>
      </c>
      <c r="C1276" s="1">
        <v>45747</v>
      </c>
      <c r="D1276" t="str">
        <f t="shared" si="69"/>
        <v>17</v>
      </c>
      <c r="E1276" t="str">
        <f t="shared" si="70"/>
        <v>61810000</v>
      </c>
      <c r="F1276" t="s">
        <v>2861</v>
      </c>
      <c r="G1276" t="s">
        <v>336</v>
      </c>
      <c r="H1276" t="s">
        <v>5877</v>
      </c>
      <c r="I1276">
        <v>0</v>
      </c>
      <c r="J1276" t="s">
        <v>343</v>
      </c>
      <c r="K1276">
        <v>440664</v>
      </c>
      <c r="M1276">
        <v>7127004</v>
      </c>
    </row>
    <row r="1277" spans="1:13" x14ac:dyDescent="0.35">
      <c r="A1277" t="str">
        <f t="shared" si="65"/>
        <v>OD457471761810000</v>
      </c>
      <c r="B1277" t="s">
        <v>101</v>
      </c>
      <c r="C1277" s="1">
        <v>45747</v>
      </c>
      <c r="D1277" t="str">
        <f t="shared" si="69"/>
        <v>17</v>
      </c>
      <c r="E1277" t="str">
        <f t="shared" si="70"/>
        <v>61810000</v>
      </c>
      <c r="F1277" t="s">
        <v>2861</v>
      </c>
      <c r="G1277" t="s">
        <v>336</v>
      </c>
      <c r="H1277" t="s">
        <v>5873</v>
      </c>
      <c r="I1277">
        <v>0</v>
      </c>
      <c r="J1277" t="s">
        <v>343</v>
      </c>
      <c r="K1277">
        <v>2594426</v>
      </c>
      <c r="M1277">
        <v>7127004</v>
      </c>
    </row>
    <row r="1278" spans="1:13" x14ac:dyDescent="0.35">
      <c r="A1278" t="str">
        <f t="shared" si="65"/>
        <v>OD457471761810000</v>
      </c>
      <c r="B1278" t="s">
        <v>101</v>
      </c>
      <c r="C1278" s="1">
        <v>45747</v>
      </c>
      <c r="D1278" t="str">
        <f t="shared" si="69"/>
        <v>17</v>
      </c>
      <c r="E1278" t="str">
        <f t="shared" si="70"/>
        <v>61810000</v>
      </c>
      <c r="F1278" t="s">
        <v>2861</v>
      </c>
      <c r="G1278" t="s">
        <v>336</v>
      </c>
      <c r="H1278" t="s">
        <v>5879</v>
      </c>
      <c r="I1278">
        <v>0</v>
      </c>
      <c r="J1278" t="s">
        <v>343</v>
      </c>
      <c r="K1278">
        <v>675534</v>
      </c>
      <c r="M1278">
        <v>7127004</v>
      </c>
    </row>
    <row r="1279" spans="1:13" x14ac:dyDescent="0.35">
      <c r="A1279" t="str">
        <f t="shared" si="65"/>
        <v>OD457471761810000</v>
      </c>
      <c r="B1279" t="s">
        <v>101</v>
      </c>
      <c r="C1279" s="1">
        <v>45747</v>
      </c>
      <c r="D1279" t="str">
        <f t="shared" si="69"/>
        <v>17</v>
      </c>
      <c r="E1279" t="str">
        <f t="shared" si="70"/>
        <v>61810000</v>
      </c>
      <c r="F1279" t="s">
        <v>2861</v>
      </c>
      <c r="G1279" t="s">
        <v>336</v>
      </c>
      <c r="H1279" t="s">
        <v>5878</v>
      </c>
      <c r="I1279">
        <v>0</v>
      </c>
      <c r="J1279" t="s">
        <v>343</v>
      </c>
      <c r="K1279">
        <v>945830</v>
      </c>
      <c r="M1279">
        <v>7127004</v>
      </c>
    </row>
    <row r="1280" spans="1:13" x14ac:dyDescent="0.35">
      <c r="A1280" t="str">
        <f t="shared" si="65"/>
        <v>OD457471761810000</v>
      </c>
      <c r="B1280" t="s">
        <v>101</v>
      </c>
      <c r="C1280" s="1">
        <v>45747</v>
      </c>
      <c r="D1280" t="str">
        <f t="shared" si="69"/>
        <v>17</v>
      </c>
      <c r="E1280" t="str">
        <f t="shared" si="70"/>
        <v>61810000</v>
      </c>
      <c r="F1280" t="s">
        <v>2861</v>
      </c>
      <c r="G1280" t="s">
        <v>336</v>
      </c>
      <c r="H1280" t="s">
        <v>5878</v>
      </c>
      <c r="I1280">
        <v>0</v>
      </c>
      <c r="J1280" t="s">
        <v>343</v>
      </c>
      <c r="K1280">
        <v>292009</v>
      </c>
      <c r="M1280">
        <v>7127004</v>
      </c>
    </row>
    <row r="1281" spans="1:14" x14ac:dyDescent="0.35">
      <c r="A1281" t="str">
        <f t="shared" si="65"/>
        <v>OD457471761810000</v>
      </c>
      <c r="B1281" t="s">
        <v>101</v>
      </c>
      <c r="C1281" s="1">
        <v>45747</v>
      </c>
      <c r="D1281" t="str">
        <f t="shared" si="69"/>
        <v>17</v>
      </c>
      <c r="E1281" t="str">
        <f t="shared" si="70"/>
        <v>61810000</v>
      </c>
      <c r="F1281" t="s">
        <v>2861</v>
      </c>
      <c r="G1281" t="s">
        <v>336</v>
      </c>
      <c r="H1281" t="s">
        <v>5941</v>
      </c>
      <c r="I1281">
        <v>0</v>
      </c>
      <c r="J1281" t="s">
        <v>343</v>
      </c>
      <c r="K1281">
        <v>118775</v>
      </c>
      <c r="M1281">
        <v>7127004</v>
      </c>
    </row>
    <row r="1282" spans="1:14" x14ac:dyDescent="0.35">
      <c r="A1282" t="str">
        <f t="shared" si="65"/>
        <v>OD457471761810000</v>
      </c>
      <c r="B1282" t="s">
        <v>101</v>
      </c>
      <c r="C1282" s="1">
        <v>45747</v>
      </c>
      <c r="D1282" t="str">
        <f t="shared" si="69"/>
        <v>17</v>
      </c>
      <c r="E1282" t="str">
        <f t="shared" si="70"/>
        <v>61810000</v>
      </c>
      <c r="F1282" t="s">
        <v>2861</v>
      </c>
      <c r="G1282" t="s">
        <v>336</v>
      </c>
      <c r="H1282" t="s">
        <v>5939</v>
      </c>
      <c r="I1282">
        <v>0</v>
      </c>
      <c r="J1282" t="s">
        <v>343</v>
      </c>
      <c r="K1282">
        <v>281908</v>
      </c>
      <c r="M1282">
        <v>7127004</v>
      </c>
    </row>
    <row r="1283" spans="1:14" x14ac:dyDescent="0.35">
      <c r="A1283" t="str">
        <f t="shared" ref="A1283:A1346" si="71">CONCATENATE(B1283,C1283,D1283,E1283)</f>
        <v>OD457471761810000</v>
      </c>
      <c r="B1283" t="s">
        <v>101</v>
      </c>
      <c r="C1283" s="1">
        <v>45747</v>
      </c>
      <c r="D1283" t="str">
        <f t="shared" si="69"/>
        <v>17</v>
      </c>
      <c r="E1283" t="str">
        <f t="shared" si="70"/>
        <v>61810000</v>
      </c>
      <c r="F1283" t="s">
        <v>2861</v>
      </c>
      <c r="G1283" t="s">
        <v>336</v>
      </c>
      <c r="H1283" t="s">
        <v>5948</v>
      </c>
      <c r="I1283">
        <v>0</v>
      </c>
      <c r="J1283" t="s">
        <v>343</v>
      </c>
      <c r="K1283">
        <v>129546</v>
      </c>
      <c r="M1283">
        <v>7127004</v>
      </c>
    </row>
    <row r="1284" spans="1:14" x14ac:dyDescent="0.35">
      <c r="A1284" t="str">
        <f t="shared" si="71"/>
        <v>OD457471761810000</v>
      </c>
      <c r="B1284" t="s">
        <v>101</v>
      </c>
      <c r="C1284" s="1">
        <v>45747</v>
      </c>
      <c r="D1284" t="str">
        <f t="shared" si="69"/>
        <v>17</v>
      </c>
      <c r="E1284" t="str">
        <f t="shared" si="70"/>
        <v>61810000</v>
      </c>
      <c r="F1284" t="s">
        <v>2861</v>
      </c>
      <c r="G1284" t="s">
        <v>336</v>
      </c>
      <c r="H1284" t="s">
        <v>5904</v>
      </c>
      <c r="I1284">
        <v>0</v>
      </c>
      <c r="J1284" t="s">
        <v>343</v>
      </c>
      <c r="K1284">
        <v>277340</v>
      </c>
      <c r="M1284">
        <v>7127004</v>
      </c>
    </row>
    <row r="1285" spans="1:14" x14ac:dyDescent="0.35">
      <c r="A1285" t="str">
        <f t="shared" si="71"/>
        <v>OD457471761810000</v>
      </c>
      <c r="B1285" t="s">
        <v>101</v>
      </c>
      <c r="C1285" s="1">
        <v>45747</v>
      </c>
      <c r="D1285" t="str">
        <f t="shared" si="69"/>
        <v>17</v>
      </c>
      <c r="E1285" t="str">
        <f t="shared" si="70"/>
        <v>61810000</v>
      </c>
      <c r="F1285" t="s">
        <v>2861</v>
      </c>
      <c r="G1285" t="s">
        <v>336</v>
      </c>
      <c r="H1285" t="s">
        <v>5937</v>
      </c>
      <c r="I1285">
        <v>0</v>
      </c>
      <c r="J1285" t="s">
        <v>343</v>
      </c>
      <c r="K1285">
        <v>274650</v>
      </c>
      <c r="M1285">
        <v>7127004</v>
      </c>
    </row>
    <row r="1286" spans="1:14" x14ac:dyDescent="0.35">
      <c r="A1286" t="str">
        <f t="shared" si="71"/>
        <v>OD457471761810000</v>
      </c>
      <c r="B1286" t="s">
        <v>101</v>
      </c>
      <c r="C1286" s="1">
        <v>45747</v>
      </c>
      <c r="D1286" t="str">
        <f t="shared" si="69"/>
        <v>17</v>
      </c>
      <c r="E1286" t="str">
        <f t="shared" si="70"/>
        <v>61810000</v>
      </c>
      <c r="F1286" t="s">
        <v>2861</v>
      </c>
      <c r="G1286" t="s">
        <v>336</v>
      </c>
      <c r="H1286" t="s">
        <v>5932</v>
      </c>
      <c r="I1286">
        <v>0</v>
      </c>
      <c r="J1286" t="s">
        <v>343</v>
      </c>
      <c r="K1286">
        <v>172109</v>
      </c>
      <c r="M1286">
        <v>7127004</v>
      </c>
    </row>
    <row r="1287" spans="1:14" x14ac:dyDescent="0.35">
      <c r="A1287" t="str">
        <f t="shared" si="71"/>
        <v>OD457471761810000</v>
      </c>
      <c r="B1287" t="s">
        <v>101</v>
      </c>
      <c r="C1287" s="1">
        <v>45747</v>
      </c>
      <c r="D1287" t="str">
        <f t="shared" si="69"/>
        <v>17</v>
      </c>
      <c r="E1287" t="str">
        <f t="shared" si="70"/>
        <v>61810000</v>
      </c>
      <c r="F1287" t="s">
        <v>2861</v>
      </c>
      <c r="G1287" t="s">
        <v>336</v>
      </c>
      <c r="H1287" t="s">
        <v>5882</v>
      </c>
      <c r="I1287">
        <v>0</v>
      </c>
      <c r="J1287" t="s">
        <v>343</v>
      </c>
      <c r="K1287">
        <v>191981</v>
      </c>
      <c r="M1287">
        <v>7127004</v>
      </c>
    </row>
    <row r="1288" spans="1:14" x14ac:dyDescent="0.35">
      <c r="A1288" t="str">
        <f t="shared" si="71"/>
        <v>OD457471761810000</v>
      </c>
      <c r="B1288" t="s">
        <v>101</v>
      </c>
      <c r="C1288" s="1">
        <v>45747</v>
      </c>
      <c r="D1288" t="str">
        <f t="shared" si="69"/>
        <v>17</v>
      </c>
      <c r="E1288" t="str">
        <f t="shared" si="70"/>
        <v>61810000</v>
      </c>
      <c r="F1288" t="s">
        <v>2861</v>
      </c>
      <c r="G1288" t="s">
        <v>336</v>
      </c>
      <c r="H1288" t="s">
        <v>5883</v>
      </c>
      <c r="I1288">
        <v>0</v>
      </c>
      <c r="J1288" t="s">
        <v>343</v>
      </c>
      <c r="K1288">
        <v>231000</v>
      </c>
      <c r="M1288">
        <v>7127004</v>
      </c>
    </row>
    <row r="1289" spans="1:14" x14ac:dyDescent="0.35">
      <c r="A1289" t="str">
        <f t="shared" si="71"/>
        <v>OD457471761810000</v>
      </c>
      <c r="B1289" t="s">
        <v>101</v>
      </c>
      <c r="C1289" s="1">
        <v>45747</v>
      </c>
      <c r="D1289" t="str">
        <f t="shared" si="69"/>
        <v>17</v>
      </c>
      <c r="E1289" t="str">
        <f t="shared" si="70"/>
        <v>61810000</v>
      </c>
      <c r="F1289" t="s">
        <v>2861</v>
      </c>
      <c r="G1289" t="s">
        <v>336</v>
      </c>
      <c r="H1289" t="s">
        <v>5928</v>
      </c>
      <c r="I1289">
        <v>0</v>
      </c>
      <c r="J1289" t="s">
        <v>343</v>
      </c>
      <c r="K1289">
        <v>259005</v>
      </c>
      <c r="M1289">
        <v>7127004</v>
      </c>
    </row>
    <row r="1290" spans="1:14" x14ac:dyDescent="0.35">
      <c r="A1290" t="str">
        <f t="shared" si="71"/>
        <v>OD457471963240100</v>
      </c>
      <c r="B1290" t="s">
        <v>101</v>
      </c>
      <c r="C1290" s="1">
        <v>45747</v>
      </c>
      <c r="D1290" t="str">
        <f>"19"</f>
        <v>19</v>
      </c>
      <c r="E1290" t="str">
        <f>"63240100"</f>
        <v>63240100</v>
      </c>
      <c r="F1290" t="s">
        <v>113</v>
      </c>
      <c r="G1290" t="s">
        <v>336</v>
      </c>
      <c r="H1290" t="s">
        <v>342</v>
      </c>
      <c r="I1290">
        <v>0</v>
      </c>
      <c r="J1290" t="s">
        <v>343</v>
      </c>
      <c r="K1290">
        <v>99736000</v>
      </c>
      <c r="M1290">
        <v>99736000</v>
      </c>
    </row>
    <row r="1291" spans="1:14" x14ac:dyDescent="0.35">
      <c r="A1291" t="str">
        <f t="shared" si="71"/>
        <v>OD457472275940000</v>
      </c>
      <c r="B1291" t="s">
        <v>101</v>
      </c>
      <c r="C1291" s="1">
        <v>45747</v>
      </c>
      <c r="D1291" t="str">
        <f>"22"</f>
        <v>22</v>
      </c>
      <c r="E1291" t="str">
        <f>"75940000"</f>
        <v>75940000</v>
      </c>
      <c r="F1291" t="s">
        <v>2815</v>
      </c>
      <c r="G1291" t="s">
        <v>336</v>
      </c>
      <c r="H1291" t="s">
        <v>5981</v>
      </c>
      <c r="I1291">
        <v>0</v>
      </c>
      <c r="J1291" t="s">
        <v>343</v>
      </c>
      <c r="L1291">
        <v>6046000</v>
      </c>
      <c r="N1291">
        <v>6046000</v>
      </c>
    </row>
    <row r="1292" spans="1:14" x14ac:dyDescent="0.35">
      <c r="A1292" t="str">
        <f t="shared" si="71"/>
        <v>OD457472565940000</v>
      </c>
      <c r="B1292" t="s">
        <v>101</v>
      </c>
      <c r="C1292" s="1">
        <v>45747</v>
      </c>
      <c r="D1292" t="str">
        <f>"25"</f>
        <v>25</v>
      </c>
      <c r="E1292" t="str">
        <f>"65940000"</f>
        <v>65940000</v>
      </c>
      <c r="F1292" t="s">
        <v>2867</v>
      </c>
      <c r="G1292" t="s">
        <v>336</v>
      </c>
      <c r="H1292" t="s">
        <v>5877</v>
      </c>
      <c r="I1292">
        <v>0</v>
      </c>
      <c r="J1292" t="s">
        <v>343</v>
      </c>
      <c r="K1292">
        <v>5692000</v>
      </c>
      <c r="M1292">
        <v>5692000</v>
      </c>
    </row>
    <row r="1293" spans="1:14" x14ac:dyDescent="0.35">
      <c r="A1293" t="str">
        <f t="shared" si="71"/>
        <v>OD457474762330000</v>
      </c>
      <c r="B1293" t="s">
        <v>101</v>
      </c>
      <c r="C1293" s="1">
        <v>45747</v>
      </c>
      <c r="D1293" t="str">
        <f>"47"</f>
        <v>47</v>
      </c>
      <c r="E1293" t="str">
        <f>"62330000"</f>
        <v>62330000</v>
      </c>
      <c r="F1293" t="s">
        <v>2873</v>
      </c>
      <c r="G1293" t="s">
        <v>336</v>
      </c>
      <c r="H1293" t="s">
        <v>5873</v>
      </c>
      <c r="I1293">
        <v>0</v>
      </c>
      <c r="J1293" t="s">
        <v>343</v>
      </c>
      <c r="L1293">
        <v>362602</v>
      </c>
      <c r="N1293">
        <v>362602</v>
      </c>
    </row>
    <row r="1294" spans="1:14" x14ac:dyDescent="0.35">
      <c r="A1294" t="str">
        <f t="shared" si="71"/>
        <v>OD457474767210000</v>
      </c>
      <c r="B1294" t="s">
        <v>101</v>
      </c>
      <c r="C1294" s="1">
        <v>45747</v>
      </c>
      <c r="D1294" t="str">
        <f>"47"</f>
        <v>47</v>
      </c>
      <c r="E1294" t="str">
        <f>"67210000"</f>
        <v>67210000</v>
      </c>
      <c r="F1294" t="s">
        <v>2873</v>
      </c>
      <c r="G1294" t="s">
        <v>336</v>
      </c>
      <c r="H1294" t="s">
        <v>5873</v>
      </c>
      <c r="I1294">
        <v>0</v>
      </c>
      <c r="J1294" t="s">
        <v>343</v>
      </c>
      <c r="K1294">
        <v>64393</v>
      </c>
      <c r="M1294">
        <v>64393</v>
      </c>
    </row>
    <row r="1295" spans="1:14" x14ac:dyDescent="0.35">
      <c r="A1295" t="str">
        <f t="shared" si="71"/>
        <v>OD457476061400000</v>
      </c>
      <c r="B1295" t="s">
        <v>101</v>
      </c>
      <c r="C1295" s="1">
        <v>45747</v>
      </c>
      <c r="D1295" t="str">
        <f>"60"</f>
        <v>60</v>
      </c>
      <c r="E1295" t="str">
        <f>"61400000"</f>
        <v>61400000</v>
      </c>
      <c r="F1295" t="s">
        <v>2880</v>
      </c>
      <c r="G1295" t="s">
        <v>336</v>
      </c>
      <c r="H1295" t="s">
        <v>5903</v>
      </c>
      <c r="I1295">
        <v>0</v>
      </c>
      <c r="J1295" t="s">
        <v>343</v>
      </c>
      <c r="K1295">
        <v>4422036</v>
      </c>
      <c r="M1295">
        <v>4422036</v>
      </c>
    </row>
    <row r="1296" spans="1:14" x14ac:dyDescent="0.35">
      <c r="A1296" t="str">
        <f t="shared" si="71"/>
        <v>OD457476568120000</v>
      </c>
      <c r="B1296" t="s">
        <v>101</v>
      </c>
      <c r="C1296" s="1">
        <v>45747</v>
      </c>
      <c r="D1296" t="str">
        <f t="shared" ref="D1296:D1324" si="72">"65"</f>
        <v>65</v>
      </c>
      <c r="E1296" t="str">
        <f>"68120000"</f>
        <v>68120000</v>
      </c>
      <c r="F1296" t="s">
        <v>2899</v>
      </c>
      <c r="G1296" t="s">
        <v>336</v>
      </c>
      <c r="H1296" t="s">
        <v>5982</v>
      </c>
      <c r="I1296">
        <v>0</v>
      </c>
      <c r="J1296" t="s">
        <v>343</v>
      </c>
      <c r="K1296">
        <v>23310</v>
      </c>
      <c r="M1296">
        <v>1049968</v>
      </c>
    </row>
    <row r="1297" spans="1:13" x14ac:dyDescent="0.35">
      <c r="A1297" t="str">
        <f t="shared" si="71"/>
        <v>OD457476568120000</v>
      </c>
      <c r="B1297" t="s">
        <v>101</v>
      </c>
      <c r="C1297" s="1">
        <v>45747</v>
      </c>
      <c r="D1297" t="str">
        <f t="shared" si="72"/>
        <v>65</v>
      </c>
      <c r="E1297" t="str">
        <f>"68120000"</f>
        <v>68120000</v>
      </c>
      <c r="F1297" t="s">
        <v>2899</v>
      </c>
      <c r="G1297" t="s">
        <v>336</v>
      </c>
      <c r="H1297" t="s">
        <v>5983</v>
      </c>
      <c r="I1297">
        <v>0</v>
      </c>
      <c r="J1297" t="s">
        <v>343</v>
      </c>
      <c r="K1297">
        <v>148237</v>
      </c>
      <c r="M1297">
        <v>1049968</v>
      </c>
    </row>
    <row r="1298" spans="1:13" x14ac:dyDescent="0.35">
      <c r="A1298" t="str">
        <f t="shared" si="71"/>
        <v>OD457476568120000</v>
      </c>
      <c r="B1298" t="s">
        <v>101</v>
      </c>
      <c r="C1298" s="1">
        <v>45747</v>
      </c>
      <c r="D1298" t="str">
        <f t="shared" si="72"/>
        <v>65</v>
      </c>
      <c r="E1298" t="str">
        <f>"68120000"</f>
        <v>68120000</v>
      </c>
      <c r="F1298" t="s">
        <v>2899</v>
      </c>
      <c r="G1298" t="s">
        <v>336</v>
      </c>
      <c r="H1298" t="s">
        <v>5984</v>
      </c>
      <c r="I1298">
        <v>0</v>
      </c>
      <c r="J1298" t="s">
        <v>343</v>
      </c>
      <c r="K1298">
        <v>148437</v>
      </c>
      <c r="M1298">
        <v>1049968</v>
      </c>
    </row>
    <row r="1299" spans="1:13" x14ac:dyDescent="0.35">
      <c r="A1299" t="str">
        <f t="shared" si="71"/>
        <v>OD457476568120000</v>
      </c>
      <c r="B1299" t="s">
        <v>101</v>
      </c>
      <c r="C1299" s="1">
        <v>45747</v>
      </c>
      <c r="D1299" t="str">
        <f t="shared" si="72"/>
        <v>65</v>
      </c>
      <c r="E1299" t="str">
        <f>"68120000"</f>
        <v>68120000</v>
      </c>
      <c r="F1299" t="s">
        <v>2899</v>
      </c>
      <c r="G1299" t="s">
        <v>336</v>
      </c>
      <c r="H1299" t="s">
        <v>5985</v>
      </c>
      <c r="I1299">
        <v>0</v>
      </c>
      <c r="J1299" t="s">
        <v>343</v>
      </c>
      <c r="K1299">
        <v>79965</v>
      </c>
      <c r="M1299">
        <v>1049968</v>
      </c>
    </row>
    <row r="1300" spans="1:13" x14ac:dyDescent="0.35">
      <c r="A1300" t="str">
        <f t="shared" si="71"/>
        <v>OD457476568120000</v>
      </c>
      <c r="B1300" t="s">
        <v>101</v>
      </c>
      <c r="C1300" s="1">
        <v>45747</v>
      </c>
      <c r="D1300" t="str">
        <f t="shared" si="72"/>
        <v>65</v>
      </c>
      <c r="E1300" t="str">
        <f>"68120000"</f>
        <v>68120000</v>
      </c>
      <c r="F1300" t="s">
        <v>2899</v>
      </c>
      <c r="G1300" t="s">
        <v>336</v>
      </c>
      <c r="H1300" t="s">
        <v>5986</v>
      </c>
      <c r="I1300">
        <v>0</v>
      </c>
      <c r="J1300" t="s">
        <v>343</v>
      </c>
      <c r="K1300">
        <v>650019</v>
      </c>
      <c r="M1300">
        <v>1049968</v>
      </c>
    </row>
    <row r="1301" spans="1:13" x14ac:dyDescent="0.35">
      <c r="A1301" t="str">
        <f t="shared" si="71"/>
        <v>OD457476568130000</v>
      </c>
      <c r="B1301" t="s">
        <v>101</v>
      </c>
      <c r="C1301" s="1">
        <v>45747</v>
      </c>
      <c r="D1301" t="str">
        <f t="shared" si="72"/>
        <v>65</v>
      </c>
      <c r="E1301" t="str">
        <f t="shared" ref="E1301:E1324" si="73">"68130000"</f>
        <v>68130000</v>
      </c>
      <c r="F1301" t="s">
        <v>2900</v>
      </c>
      <c r="G1301" t="s">
        <v>336</v>
      </c>
      <c r="H1301" t="s">
        <v>5982</v>
      </c>
      <c r="I1301">
        <v>0</v>
      </c>
      <c r="J1301" t="s">
        <v>343</v>
      </c>
      <c r="K1301">
        <v>2147357</v>
      </c>
      <c r="M1301">
        <v>140446767</v>
      </c>
    </row>
    <row r="1302" spans="1:13" x14ac:dyDescent="0.35">
      <c r="A1302" t="str">
        <f t="shared" si="71"/>
        <v>OD457476568130000</v>
      </c>
      <c r="B1302" t="s">
        <v>101</v>
      </c>
      <c r="C1302" s="1">
        <v>45747</v>
      </c>
      <c r="D1302" t="str">
        <f t="shared" si="72"/>
        <v>65</v>
      </c>
      <c r="E1302" t="str">
        <f t="shared" si="73"/>
        <v>68130000</v>
      </c>
      <c r="F1302" t="s">
        <v>2900</v>
      </c>
      <c r="G1302" t="s">
        <v>336</v>
      </c>
      <c r="H1302" t="s">
        <v>5987</v>
      </c>
      <c r="I1302">
        <v>0</v>
      </c>
      <c r="J1302" t="s">
        <v>343</v>
      </c>
      <c r="K1302">
        <v>1387160</v>
      </c>
      <c r="M1302">
        <v>140446767</v>
      </c>
    </row>
    <row r="1303" spans="1:13" x14ac:dyDescent="0.35">
      <c r="A1303" t="str">
        <f t="shared" si="71"/>
        <v>OD457476568130000</v>
      </c>
      <c r="B1303" t="s">
        <v>101</v>
      </c>
      <c r="C1303" s="1">
        <v>45747</v>
      </c>
      <c r="D1303" t="str">
        <f t="shared" si="72"/>
        <v>65</v>
      </c>
      <c r="E1303" t="str">
        <f t="shared" si="73"/>
        <v>68130000</v>
      </c>
      <c r="F1303" t="s">
        <v>2900</v>
      </c>
      <c r="G1303" t="s">
        <v>336</v>
      </c>
      <c r="H1303" t="s">
        <v>5983</v>
      </c>
      <c r="I1303">
        <v>0</v>
      </c>
      <c r="J1303" t="s">
        <v>343</v>
      </c>
      <c r="K1303">
        <v>12841881</v>
      </c>
      <c r="M1303">
        <v>140446767</v>
      </c>
    </row>
    <row r="1304" spans="1:13" x14ac:dyDescent="0.35">
      <c r="A1304" t="str">
        <f t="shared" si="71"/>
        <v>OD457476568130000</v>
      </c>
      <c r="B1304" t="s">
        <v>101</v>
      </c>
      <c r="C1304" s="1">
        <v>45747</v>
      </c>
      <c r="D1304" t="str">
        <f t="shared" si="72"/>
        <v>65</v>
      </c>
      <c r="E1304" t="str">
        <f t="shared" si="73"/>
        <v>68130000</v>
      </c>
      <c r="F1304" t="s">
        <v>2900</v>
      </c>
      <c r="G1304" t="s">
        <v>336</v>
      </c>
      <c r="H1304" t="s">
        <v>5988</v>
      </c>
      <c r="I1304">
        <v>0</v>
      </c>
      <c r="J1304" t="s">
        <v>343</v>
      </c>
      <c r="K1304">
        <v>243558</v>
      </c>
      <c r="M1304">
        <v>140446767</v>
      </c>
    </row>
    <row r="1305" spans="1:13" x14ac:dyDescent="0.35">
      <c r="A1305" t="str">
        <f t="shared" si="71"/>
        <v>OD457476568130000</v>
      </c>
      <c r="B1305" t="s">
        <v>101</v>
      </c>
      <c r="C1305" s="1">
        <v>45747</v>
      </c>
      <c r="D1305" t="str">
        <f t="shared" si="72"/>
        <v>65</v>
      </c>
      <c r="E1305" t="str">
        <f t="shared" si="73"/>
        <v>68130000</v>
      </c>
      <c r="F1305" t="s">
        <v>2900</v>
      </c>
      <c r="G1305" t="s">
        <v>336</v>
      </c>
      <c r="H1305" t="s">
        <v>5984</v>
      </c>
      <c r="I1305">
        <v>0</v>
      </c>
      <c r="J1305" t="s">
        <v>343</v>
      </c>
      <c r="K1305">
        <v>957430</v>
      </c>
      <c r="M1305">
        <v>140446767</v>
      </c>
    </row>
    <row r="1306" spans="1:13" x14ac:dyDescent="0.35">
      <c r="A1306" t="str">
        <f t="shared" si="71"/>
        <v>OD457476568130000</v>
      </c>
      <c r="B1306" t="s">
        <v>101</v>
      </c>
      <c r="C1306" s="1">
        <v>45747</v>
      </c>
      <c r="D1306" t="str">
        <f t="shared" si="72"/>
        <v>65</v>
      </c>
      <c r="E1306" t="str">
        <f t="shared" si="73"/>
        <v>68130000</v>
      </c>
      <c r="F1306" t="s">
        <v>2900</v>
      </c>
      <c r="G1306" t="s">
        <v>336</v>
      </c>
      <c r="H1306" t="s">
        <v>5989</v>
      </c>
      <c r="I1306">
        <v>0</v>
      </c>
      <c r="J1306" t="s">
        <v>343</v>
      </c>
      <c r="K1306">
        <v>5001157</v>
      </c>
      <c r="M1306">
        <v>140446767</v>
      </c>
    </row>
    <row r="1307" spans="1:13" x14ac:dyDescent="0.35">
      <c r="A1307" t="str">
        <f t="shared" si="71"/>
        <v>OD457476568130000</v>
      </c>
      <c r="B1307" t="s">
        <v>101</v>
      </c>
      <c r="C1307" s="1">
        <v>45747</v>
      </c>
      <c r="D1307" t="str">
        <f t="shared" si="72"/>
        <v>65</v>
      </c>
      <c r="E1307" t="str">
        <f t="shared" si="73"/>
        <v>68130000</v>
      </c>
      <c r="F1307" t="s">
        <v>2900</v>
      </c>
      <c r="G1307" t="s">
        <v>336</v>
      </c>
      <c r="H1307" t="s">
        <v>5985</v>
      </c>
      <c r="I1307">
        <v>0</v>
      </c>
      <c r="J1307" t="s">
        <v>343</v>
      </c>
      <c r="K1307">
        <v>1573299</v>
      </c>
      <c r="M1307">
        <v>140446767</v>
      </c>
    </row>
    <row r="1308" spans="1:13" x14ac:dyDescent="0.35">
      <c r="A1308" t="str">
        <f t="shared" si="71"/>
        <v>OD457476568130000</v>
      </c>
      <c r="B1308" t="s">
        <v>101</v>
      </c>
      <c r="C1308" s="1">
        <v>45747</v>
      </c>
      <c r="D1308" t="str">
        <f t="shared" si="72"/>
        <v>65</v>
      </c>
      <c r="E1308" t="str">
        <f t="shared" si="73"/>
        <v>68130000</v>
      </c>
      <c r="F1308" t="s">
        <v>2900</v>
      </c>
      <c r="G1308" t="s">
        <v>336</v>
      </c>
      <c r="H1308" t="s">
        <v>5990</v>
      </c>
      <c r="I1308">
        <v>0</v>
      </c>
      <c r="J1308" t="s">
        <v>343</v>
      </c>
      <c r="K1308">
        <v>1305907</v>
      </c>
      <c r="M1308">
        <v>140446767</v>
      </c>
    </row>
    <row r="1309" spans="1:13" x14ac:dyDescent="0.35">
      <c r="A1309" t="str">
        <f t="shared" si="71"/>
        <v>OD457476568130000</v>
      </c>
      <c r="B1309" t="s">
        <v>101</v>
      </c>
      <c r="C1309" s="1">
        <v>45747</v>
      </c>
      <c r="D1309" t="str">
        <f t="shared" si="72"/>
        <v>65</v>
      </c>
      <c r="E1309" t="str">
        <f t="shared" si="73"/>
        <v>68130000</v>
      </c>
      <c r="F1309" t="s">
        <v>2900</v>
      </c>
      <c r="G1309" t="s">
        <v>336</v>
      </c>
      <c r="H1309" t="s">
        <v>5986</v>
      </c>
      <c r="I1309">
        <v>0</v>
      </c>
      <c r="J1309" t="s">
        <v>343</v>
      </c>
      <c r="K1309">
        <v>9890827</v>
      </c>
      <c r="M1309">
        <v>140446767</v>
      </c>
    </row>
    <row r="1310" spans="1:13" x14ac:dyDescent="0.35">
      <c r="A1310" t="str">
        <f t="shared" si="71"/>
        <v>OD457476568130000</v>
      </c>
      <c r="B1310" t="s">
        <v>101</v>
      </c>
      <c r="C1310" s="1">
        <v>45747</v>
      </c>
      <c r="D1310" t="str">
        <f t="shared" si="72"/>
        <v>65</v>
      </c>
      <c r="E1310" t="str">
        <f t="shared" si="73"/>
        <v>68130000</v>
      </c>
      <c r="F1310" t="s">
        <v>2900</v>
      </c>
      <c r="G1310" t="s">
        <v>336</v>
      </c>
      <c r="H1310" t="s">
        <v>5991</v>
      </c>
      <c r="I1310">
        <v>0</v>
      </c>
      <c r="J1310" t="s">
        <v>343</v>
      </c>
      <c r="K1310">
        <v>5702873</v>
      </c>
      <c r="M1310">
        <v>140446767</v>
      </c>
    </row>
    <row r="1311" spans="1:13" x14ac:dyDescent="0.35">
      <c r="A1311" t="str">
        <f t="shared" si="71"/>
        <v>OD457476568130000</v>
      </c>
      <c r="B1311" t="s">
        <v>101</v>
      </c>
      <c r="C1311" s="1">
        <v>45747</v>
      </c>
      <c r="D1311" t="str">
        <f t="shared" si="72"/>
        <v>65</v>
      </c>
      <c r="E1311" t="str">
        <f t="shared" si="73"/>
        <v>68130000</v>
      </c>
      <c r="F1311" t="s">
        <v>2900</v>
      </c>
      <c r="G1311" t="s">
        <v>336</v>
      </c>
      <c r="H1311" t="s">
        <v>5992</v>
      </c>
      <c r="I1311">
        <v>0</v>
      </c>
      <c r="J1311" t="s">
        <v>343</v>
      </c>
      <c r="K1311">
        <v>10887452</v>
      </c>
      <c r="M1311">
        <v>140446767</v>
      </c>
    </row>
    <row r="1312" spans="1:13" x14ac:dyDescent="0.35">
      <c r="A1312" t="str">
        <f t="shared" si="71"/>
        <v>OD457476568130000</v>
      </c>
      <c r="B1312" t="s">
        <v>101</v>
      </c>
      <c r="C1312" s="1">
        <v>45747</v>
      </c>
      <c r="D1312" t="str">
        <f t="shared" si="72"/>
        <v>65</v>
      </c>
      <c r="E1312" t="str">
        <f t="shared" si="73"/>
        <v>68130000</v>
      </c>
      <c r="F1312" t="s">
        <v>2900</v>
      </c>
      <c r="G1312" t="s">
        <v>336</v>
      </c>
      <c r="H1312" t="s">
        <v>5993</v>
      </c>
      <c r="I1312">
        <v>0</v>
      </c>
      <c r="J1312" t="s">
        <v>343</v>
      </c>
      <c r="K1312">
        <v>8851073</v>
      </c>
      <c r="M1312">
        <v>140446767</v>
      </c>
    </row>
    <row r="1313" spans="1:14" x14ac:dyDescent="0.35">
      <c r="A1313" t="str">
        <f t="shared" si="71"/>
        <v>OD457476568130000</v>
      </c>
      <c r="B1313" t="s">
        <v>101</v>
      </c>
      <c r="C1313" s="1">
        <v>45747</v>
      </c>
      <c r="D1313" t="str">
        <f t="shared" si="72"/>
        <v>65</v>
      </c>
      <c r="E1313" t="str">
        <f t="shared" si="73"/>
        <v>68130000</v>
      </c>
      <c r="F1313" t="s">
        <v>2900</v>
      </c>
      <c r="G1313" t="s">
        <v>336</v>
      </c>
      <c r="H1313" t="s">
        <v>5994</v>
      </c>
      <c r="I1313">
        <v>0</v>
      </c>
      <c r="J1313" t="s">
        <v>343</v>
      </c>
      <c r="K1313">
        <v>11021926</v>
      </c>
      <c r="M1313">
        <v>140446767</v>
      </c>
    </row>
    <row r="1314" spans="1:14" x14ac:dyDescent="0.35">
      <c r="A1314" t="str">
        <f t="shared" si="71"/>
        <v>OD457476568130000</v>
      </c>
      <c r="B1314" t="s">
        <v>101</v>
      </c>
      <c r="C1314" s="1">
        <v>45747</v>
      </c>
      <c r="D1314" t="str">
        <f t="shared" si="72"/>
        <v>65</v>
      </c>
      <c r="E1314" t="str">
        <f t="shared" si="73"/>
        <v>68130000</v>
      </c>
      <c r="F1314" t="s">
        <v>2900</v>
      </c>
      <c r="G1314" t="s">
        <v>336</v>
      </c>
      <c r="H1314" t="s">
        <v>5995</v>
      </c>
      <c r="I1314">
        <v>0</v>
      </c>
      <c r="J1314" t="s">
        <v>343</v>
      </c>
      <c r="K1314">
        <v>18828660</v>
      </c>
      <c r="M1314">
        <v>140446767</v>
      </c>
    </row>
    <row r="1315" spans="1:14" x14ac:dyDescent="0.35">
      <c r="A1315" t="str">
        <f t="shared" si="71"/>
        <v>OD457476568130000</v>
      </c>
      <c r="B1315" t="s">
        <v>101</v>
      </c>
      <c r="C1315" s="1">
        <v>45747</v>
      </c>
      <c r="D1315" t="str">
        <f t="shared" si="72"/>
        <v>65</v>
      </c>
      <c r="E1315" t="str">
        <f t="shared" si="73"/>
        <v>68130000</v>
      </c>
      <c r="F1315" t="s">
        <v>2900</v>
      </c>
      <c r="G1315" t="s">
        <v>336</v>
      </c>
      <c r="H1315" t="s">
        <v>5996</v>
      </c>
      <c r="I1315">
        <v>0</v>
      </c>
      <c r="J1315" t="s">
        <v>343</v>
      </c>
      <c r="K1315">
        <v>36177</v>
      </c>
      <c r="M1315">
        <v>140446767</v>
      </c>
    </row>
    <row r="1316" spans="1:14" x14ac:dyDescent="0.35">
      <c r="A1316" t="str">
        <f t="shared" si="71"/>
        <v>OD457476568130000</v>
      </c>
      <c r="B1316" t="s">
        <v>101</v>
      </c>
      <c r="C1316" s="1">
        <v>45747</v>
      </c>
      <c r="D1316" t="str">
        <f t="shared" si="72"/>
        <v>65</v>
      </c>
      <c r="E1316" t="str">
        <f t="shared" si="73"/>
        <v>68130000</v>
      </c>
      <c r="F1316" t="s">
        <v>2900</v>
      </c>
      <c r="G1316" t="s">
        <v>336</v>
      </c>
      <c r="H1316" t="s">
        <v>5997</v>
      </c>
      <c r="I1316">
        <v>0</v>
      </c>
      <c r="J1316" t="s">
        <v>343</v>
      </c>
      <c r="K1316">
        <v>11194260</v>
      </c>
      <c r="M1316">
        <v>140446767</v>
      </c>
    </row>
    <row r="1317" spans="1:14" x14ac:dyDescent="0.35">
      <c r="A1317" t="str">
        <f t="shared" si="71"/>
        <v>OD457476568130000</v>
      </c>
      <c r="B1317" t="s">
        <v>101</v>
      </c>
      <c r="C1317" s="1">
        <v>45747</v>
      </c>
      <c r="D1317" t="str">
        <f t="shared" si="72"/>
        <v>65</v>
      </c>
      <c r="E1317" t="str">
        <f t="shared" si="73"/>
        <v>68130000</v>
      </c>
      <c r="F1317" t="s">
        <v>2900</v>
      </c>
      <c r="G1317" t="s">
        <v>336</v>
      </c>
      <c r="H1317" t="s">
        <v>5998</v>
      </c>
      <c r="I1317">
        <v>0</v>
      </c>
      <c r="J1317" t="s">
        <v>343</v>
      </c>
      <c r="K1317">
        <v>13412534</v>
      </c>
      <c r="M1317">
        <v>140446767</v>
      </c>
    </row>
    <row r="1318" spans="1:14" x14ac:dyDescent="0.35">
      <c r="A1318" t="str">
        <f t="shared" si="71"/>
        <v>OD457476568130000</v>
      </c>
      <c r="B1318" t="s">
        <v>101</v>
      </c>
      <c r="C1318" s="1">
        <v>45747</v>
      </c>
      <c r="D1318" t="str">
        <f t="shared" si="72"/>
        <v>65</v>
      </c>
      <c r="E1318" t="str">
        <f t="shared" si="73"/>
        <v>68130000</v>
      </c>
      <c r="F1318" t="s">
        <v>2900</v>
      </c>
      <c r="G1318" t="s">
        <v>336</v>
      </c>
      <c r="H1318" t="s">
        <v>5999</v>
      </c>
      <c r="I1318">
        <v>0</v>
      </c>
      <c r="J1318" t="s">
        <v>343</v>
      </c>
      <c r="K1318">
        <v>2279916</v>
      </c>
      <c r="M1318">
        <v>140446767</v>
      </c>
    </row>
    <row r="1319" spans="1:14" x14ac:dyDescent="0.35">
      <c r="A1319" t="str">
        <f t="shared" si="71"/>
        <v>OD457476568130000</v>
      </c>
      <c r="B1319" t="s">
        <v>101</v>
      </c>
      <c r="C1319" s="1">
        <v>45747</v>
      </c>
      <c r="D1319" t="str">
        <f t="shared" si="72"/>
        <v>65</v>
      </c>
      <c r="E1319" t="str">
        <f t="shared" si="73"/>
        <v>68130000</v>
      </c>
      <c r="F1319" t="s">
        <v>2900</v>
      </c>
      <c r="G1319" t="s">
        <v>336</v>
      </c>
      <c r="H1319" t="s">
        <v>353</v>
      </c>
      <c r="I1319">
        <v>0</v>
      </c>
      <c r="J1319" t="s">
        <v>343</v>
      </c>
      <c r="K1319">
        <v>16537741</v>
      </c>
      <c r="M1319">
        <v>140446767</v>
      </c>
    </row>
    <row r="1320" spans="1:14" x14ac:dyDescent="0.35">
      <c r="A1320" t="str">
        <f t="shared" si="71"/>
        <v>OD457476568130000</v>
      </c>
      <c r="B1320" t="s">
        <v>101</v>
      </c>
      <c r="C1320" s="1">
        <v>45747</v>
      </c>
      <c r="D1320" t="str">
        <f t="shared" si="72"/>
        <v>65</v>
      </c>
      <c r="E1320" t="str">
        <f t="shared" si="73"/>
        <v>68130000</v>
      </c>
      <c r="F1320" t="s">
        <v>2900</v>
      </c>
      <c r="G1320" t="s">
        <v>336</v>
      </c>
      <c r="H1320" t="s">
        <v>6000</v>
      </c>
      <c r="I1320">
        <v>0</v>
      </c>
      <c r="J1320" t="s">
        <v>343</v>
      </c>
      <c r="K1320">
        <v>1866000</v>
      </c>
      <c r="M1320">
        <v>140446767</v>
      </c>
    </row>
    <row r="1321" spans="1:14" x14ac:dyDescent="0.35">
      <c r="A1321" t="str">
        <f t="shared" si="71"/>
        <v>OD457476568130000</v>
      </c>
      <c r="B1321" t="s">
        <v>101</v>
      </c>
      <c r="C1321" s="1">
        <v>45747</v>
      </c>
      <c r="D1321" t="str">
        <f t="shared" si="72"/>
        <v>65</v>
      </c>
      <c r="E1321" t="str">
        <f t="shared" si="73"/>
        <v>68130000</v>
      </c>
      <c r="F1321" t="s">
        <v>2900</v>
      </c>
      <c r="G1321" t="s">
        <v>336</v>
      </c>
      <c r="H1321" t="s">
        <v>6001</v>
      </c>
      <c r="I1321">
        <v>0</v>
      </c>
      <c r="J1321" t="s">
        <v>343</v>
      </c>
      <c r="K1321">
        <v>4158331</v>
      </c>
      <c r="M1321">
        <v>140446767</v>
      </c>
    </row>
    <row r="1322" spans="1:14" x14ac:dyDescent="0.35">
      <c r="A1322" t="str">
        <f t="shared" si="71"/>
        <v>OD457476568130000</v>
      </c>
      <c r="B1322" t="s">
        <v>101</v>
      </c>
      <c r="C1322" s="1">
        <v>45747</v>
      </c>
      <c r="D1322" t="str">
        <f t="shared" si="72"/>
        <v>65</v>
      </c>
      <c r="E1322" t="str">
        <f t="shared" si="73"/>
        <v>68130000</v>
      </c>
      <c r="F1322" t="s">
        <v>2900</v>
      </c>
      <c r="G1322" t="s">
        <v>336</v>
      </c>
      <c r="H1322" t="s">
        <v>6002</v>
      </c>
      <c r="I1322">
        <v>0</v>
      </c>
      <c r="J1322" t="s">
        <v>343</v>
      </c>
      <c r="K1322">
        <v>124201</v>
      </c>
      <c r="M1322">
        <v>140446767</v>
      </c>
    </row>
    <row r="1323" spans="1:14" x14ac:dyDescent="0.35">
      <c r="A1323" t="str">
        <f t="shared" si="71"/>
        <v>OD457476568130000</v>
      </c>
      <c r="B1323" t="s">
        <v>101</v>
      </c>
      <c r="C1323" s="1">
        <v>45747</v>
      </c>
      <c r="D1323" t="str">
        <f t="shared" si="72"/>
        <v>65</v>
      </c>
      <c r="E1323" t="str">
        <f t="shared" si="73"/>
        <v>68130000</v>
      </c>
      <c r="F1323" t="s">
        <v>2900</v>
      </c>
      <c r="G1323" t="s">
        <v>336</v>
      </c>
      <c r="H1323" t="s">
        <v>6003</v>
      </c>
      <c r="I1323">
        <v>0</v>
      </c>
      <c r="J1323" t="s">
        <v>343</v>
      </c>
      <c r="K1323">
        <v>98466</v>
      </c>
      <c r="M1323">
        <v>140446767</v>
      </c>
    </row>
    <row r="1324" spans="1:14" x14ac:dyDescent="0.35">
      <c r="A1324" t="str">
        <f t="shared" si="71"/>
        <v>OD457476568130000</v>
      </c>
      <c r="B1324" t="s">
        <v>101</v>
      </c>
      <c r="C1324" s="1">
        <v>45747</v>
      </c>
      <c r="D1324" t="str">
        <f t="shared" si="72"/>
        <v>65</v>
      </c>
      <c r="E1324" t="str">
        <f t="shared" si="73"/>
        <v>68130000</v>
      </c>
      <c r="F1324" t="s">
        <v>2900</v>
      </c>
      <c r="G1324" t="s">
        <v>336</v>
      </c>
      <c r="H1324" t="s">
        <v>6004</v>
      </c>
      <c r="I1324">
        <v>0</v>
      </c>
      <c r="J1324" t="s">
        <v>343</v>
      </c>
      <c r="K1324">
        <v>98581</v>
      </c>
      <c r="M1324">
        <v>140446767</v>
      </c>
    </row>
    <row r="1325" spans="1:14" x14ac:dyDescent="0.35">
      <c r="A1325" t="str">
        <f t="shared" si="71"/>
        <v>OD457476770610010</v>
      </c>
      <c r="B1325" t="s">
        <v>101</v>
      </c>
      <c r="C1325" s="1">
        <v>45747</v>
      </c>
      <c r="D1325" t="str">
        <f t="shared" ref="D1325:D1341" si="74">"67"</f>
        <v>67</v>
      </c>
      <c r="E1325" t="str">
        <f t="shared" ref="E1325:E1332" si="75">"70610010"</f>
        <v>70610010</v>
      </c>
      <c r="F1325" t="s">
        <v>2902</v>
      </c>
      <c r="G1325" t="s">
        <v>5885</v>
      </c>
      <c r="H1325" t="s">
        <v>5969</v>
      </c>
      <c r="I1325">
        <v>0</v>
      </c>
      <c r="J1325" t="s">
        <v>343</v>
      </c>
      <c r="L1325">
        <v>94286110</v>
      </c>
      <c r="N1325">
        <v>94286110</v>
      </c>
    </row>
    <row r="1326" spans="1:14" x14ac:dyDescent="0.35">
      <c r="A1326" t="str">
        <f t="shared" si="71"/>
        <v>OD457476770610010</v>
      </c>
      <c r="B1326" t="s">
        <v>101</v>
      </c>
      <c r="C1326" s="1">
        <v>45747</v>
      </c>
      <c r="D1326" t="str">
        <f t="shared" si="74"/>
        <v>67</v>
      </c>
      <c r="E1326" t="str">
        <f t="shared" si="75"/>
        <v>70610010</v>
      </c>
      <c r="F1326" t="s">
        <v>2903</v>
      </c>
      <c r="G1326" t="s">
        <v>5885</v>
      </c>
      <c r="H1326" t="s">
        <v>5970</v>
      </c>
      <c r="I1326">
        <v>0</v>
      </c>
      <c r="J1326" t="s">
        <v>343</v>
      </c>
      <c r="L1326">
        <v>-389778789</v>
      </c>
      <c r="N1326">
        <v>-389778789</v>
      </c>
    </row>
    <row r="1327" spans="1:14" x14ac:dyDescent="0.35">
      <c r="A1327" t="str">
        <f t="shared" si="71"/>
        <v>OD457476770610010</v>
      </c>
      <c r="B1327" t="s">
        <v>101</v>
      </c>
      <c r="C1327" s="1">
        <v>45747</v>
      </c>
      <c r="D1327" t="str">
        <f t="shared" si="74"/>
        <v>67</v>
      </c>
      <c r="E1327" t="str">
        <f t="shared" si="75"/>
        <v>70610010</v>
      </c>
      <c r="F1327" t="s">
        <v>2904</v>
      </c>
      <c r="G1327" t="s">
        <v>5885</v>
      </c>
      <c r="H1327" t="s">
        <v>5971</v>
      </c>
      <c r="I1327">
        <v>0</v>
      </c>
      <c r="J1327" t="s">
        <v>343</v>
      </c>
      <c r="L1327">
        <v>1</v>
      </c>
      <c r="N1327">
        <v>1</v>
      </c>
    </row>
    <row r="1328" spans="1:14" x14ac:dyDescent="0.35">
      <c r="A1328" t="str">
        <f t="shared" si="71"/>
        <v>OD457476770610010</v>
      </c>
      <c r="B1328" t="s">
        <v>101</v>
      </c>
      <c r="C1328" s="1">
        <v>45747</v>
      </c>
      <c r="D1328" t="str">
        <f t="shared" si="74"/>
        <v>67</v>
      </c>
      <c r="E1328" t="str">
        <f t="shared" si="75"/>
        <v>70610010</v>
      </c>
      <c r="F1328" t="s">
        <v>2905</v>
      </c>
      <c r="G1328" t="s">
        <v>5885</v>
      </c>
      <c r="H1328" t="s">
        <v>5972</v>
      </c>
      <c r="I1328">
        <v>0</v>
      </c>
      <c r="J1328" t="s">
        <v>343</v>
      </c>
      <c r="L1328">
        <v>61614700</v>
      </c>
      <c r="N1328">
        <v>61614700</v>
      </c>
    </row>
    <row r="1329" spans="1:14" x14ac:dyDescent="0.35">
      <c r="A1329" t="str">
        <f t="shared" si="71"/>
        <v>OD457476770610010</v>
      </c>
      <c r="B1329" t="s">
        <v>101</v>
      </c>
      <c r="C1329" s="1">
        <v>45747</v>
      </c>
      <c r="D1329" t="str">
        <f t="shared" si="74"/>
        <v>67</v>
      </c>
      <c r="E1329" t="str">
        <f t="shared" si="75"/>
        <v>70610010</v>
      </c>
      <c r="F1329" t="s">
        <v>2906</v>
      </c>
      <c r="G1329" t="s">
        <v>5885</v>
      </c>
      <c r="H1329" t="s">
        <v>5973</v>
      </c>
      <c r="I1329">
        <v>0</v>
      </c>
      <c r="J1329" t="s">
        <v>343</v>
      </c>
      <c r="L1329">
        <v>350443031</v>
      </c>
      <c r="N1329">
        <v>350443031</v>
      </c>
    </row>
    <row r="1330" spans="1:14" x14ac:dyDescent="0.35">
      <c r="A1330" t="str">
        <f t="shared" si="71"/>
        <v>OD457476770610010</v>
      </c>
      <c r="B1330" t="s">
        <v>101</v>
      </c>
      <c r="C1330" s="1">
        <v>45747</v>
      </c>
      <c r="D1330" t="str">
        <f t="shared" si="74"/>
        <v>67</v>
      </c>
      <c r="E1330" t="str">
        <f t="shared" si="75"/>
        <v>70610010</v>
      </c>
      <c r="F1330" t="s">
        <v>2907</v>
      </c>
      <c r="G1330" t="s">
        <v>5885</v>
      </c>
      <c r="H1330" t="s">
        <v>5974</v>
      </c>
      <c r="I1330">
        <v>0</v>
      </c>
      <c r="J1330" t="s">
        <v>343</v>
      </c>
      <c r="L1330">
        <v>30686000</v>
      </c>
      <c r="N1330">
        <v>30686000</v>
      </c>
    </row>
    <row r="1331" spans="1:14" x14ac:dyDescent="0.35">
      <c r="A1331" t="str">
        <f t="shared" si="71"/>
        <v>OD457476770610010</v>
      </c>
      <c r="B1331" t="s">
        <v>101</v>
      </c>
      <c r="C1331" s="1">
        <v>45747</v>
      </c>
      <c r="D1331" t="str">
        <f t="shared" si="74"/>
        <v>67</v>
      </c>
      <c r="E1331" t="str">
        <f t="shared" si="75"/>
        <v>70610010</v>
      </c>
      <c r="F1331" t="s">
        <v>2908</v>
      </c>
      <c r="G1331" t="s">
        <v>5885</v>
      </c>
      <c r="H1331" t="s">
        <v>5977</v>
      </c>
      <c r="I1331">
        <v>0</v>
      </c>
      <c r="J1331" t="s">
        <v>343</v>
      </c>
      <c r="L1331">
        <v>135313571</v>
      </c>
      <c r="N1331">
        <v>135313571</v>
      </c>
    </row>
    <row r="1332" spans="1:14" x14ac:dyDescent="0.35">
      <c r="A1332" t="str">
        <f t="shared" si="71"/>
        <v>OD457476770610010</v>
      </c>
      <c r="B1332" t="s">
        <v>101</v>
      </c>
      <c r="C1332" s="1">
        <v>45747</v>
      </c>
      <c r="D1332" t="str">
        <f t="shared" si="74"/>
        <v>67</v>
      </c>
      <c r="E1332" t="str">
        <f t="shared" si="75"/>
        <v>70610010</v>
      </c>
      <c r="F1332" t="s">
        <v>2909</v>
      </c>
      <c r="G1332" t="s">
        <v>5885</v>
      </c>
      <c r="H1332" t="s">
        <v>5976</v>
      </c>
      <c r="I1332">
        <v>0</v>
      </c>
      <c r="J1332" t="s">
        <v>343</v>
      </c>
      <c r="L1332">
        <v>-300000</v>
      </c>
      <c r="N1332">
        <v>-300000</v>
      </c>
    </row>
    <row r="1333" spans="1:14" x14ac:dyDescent="0.35">
      <c r="A1333" t="str">
        <f t="shared" si="71"/>
        <v>OD457476770610012</v>
      </c>
      <c r="B1333" t="s">
        <v>101</v>
      </c>
      <c r="C1333" s="1">
        <v>45747</v>
      </c>
      <c r="D1333" t="str">
        <f t="shared" si="74"/>
        <v>67</v>
      </c>
      <c r="E1333" t="str">
        <f>"70610012"</f>
        <v>70610012</v>
      </c>
      <c r="F1333" t="s">
        <v>2910</v>
      </c>
      <c r="G1333" t="s">
        <v>5885</v>
      </c>
      <c r="H1333" t="s">
        <v>5977</v>
      </c>
      <c r="I1333">
        <v>0</v>
      </c>
      <c r="J1333" t="s">
        <v>343</v>
      </c>
      <c r="L1333">
        <v>-246916248</v>
      </c>
      <c r="N1333">
        <v>-246916248</v>
      </c>
    </row>
    <row r="1334" spans="1:14" x14ac:dyDescent="0.35">
      <c r="A1334" t="str">
        <f t="shared" si="71"/>
        <v>OD457476770610020</v>
      </c>
      <c r="B1334" t="s">
        <v>101</v>
      </c>
      <c r="C1334" s="1">
        <v>45747</v>
      </c>
      <c r="D1334" t="str">
        <f t="shared" si="74"/>
        <v>67</v>
      </c>
      <c r="E1334" t="str">
        <f>"70610020"</f>
        <v>70610020</v>
      </c>
      <c r="F1334" t="s">
        <v>2911</v>
      </c>
      <c r="G1334" t="s">
        <v>5885</v>
      </c>
      <c r="H1334" t="s">
        <v>5978</v>
      </c>
      <c r="I1334">
        <v>0</v>
      </c>
      <c r="J1334" t="s">
        <v>343</v>
      </c>
      <c r="L1334">
        <v>-7122000</v>
      </c>
      <c r="N1334">
        <v>-7122000</v>
      </c>
    </row>
    <row r="1335" spans="1:14" x14ac:dyDescent="0.35">
      <c r="A1335" t="str">
        <f t="shared" si="71"/>
        <v>OD457476770610030</v>
      </c>
      <c r="B1335" t="s">
        <v>101</v>
      </c>
      <c r="C1335" s="1">
        <v>45747</v>
      </c>
      <c r="D1335" t="str">
        <f t="shared" si="74"/>
        <v>67</v>
      </c>
      <c r="E1335" t="str">
        <f>"70610030"</f>
        <v>70610030</v>
      </c>
      <c r="F1335" t="s">
        <v>2909</v>
      </c>
      <c r="G1335" t="s">
        <v>5885</v>
      </c>
      <c r="H1335" t="s">
        <v>5976</v>
      </c>
      <c r="I1335">
        <v>0</v>
      </c>
      <c r="J1335" t="s">
        <v>343</v>
      </c>
      <c r="L1335">
        <v>3450000</v>
      </c>
      <c r="N1335">
        <v>3450000</v>
      </c>
    </row>
    <row r="1336" spans="1:14" x14ac:dyDescent="0.35">
      <c r="A1336" t="str">
        <f t="shared" si="71"/>
        <v>OD457476770610040</v>
      </c>
      <c r="B1336" t="s">
        <v>101</v>
      </c>
      <c r="C1336" s="1">
        <v>45747</v>
      </c>
      <c r="D1336" t="str">
        <f t="shared" si="74"/>
        <v>67</v>
      </c>
      <c r="E1336" t="str">
        <f>"70610040"</f>
        <v>70610040</v>
      </c>
      <c r="F1336" t="s">
        <v>2912</v>
      </c>
      <c r="G1336" t="s">
        <v>5885</v>
      </c>
      <c r="H1336" t="s">
        <v>5975</v>
      </c>
      <c r="I1336">
        <v>0</v>
      </c>
      <c r="J1336" t="s">
        <v>343</v>
      </c>
      <c r="L1336">
        <v>4500000</v>
      </c>
      <c r="N1336">
        <v>4500000</v>
      </c>
    </row>
    <row r="1337" spans="1:14" x14ac:dyDescent="0.35">
      <c r="A1337" t="str">
        <f t="shared" si="71"/>
        <v>OD457476770610040</v>
      </c>
      <c r="B1337" t="s">
        <v>101</v>
      </c>
      <c r="C1337" s="1">
        <v>45747</v>
      </c>
      <c r="D1337" t="str">
        <f t="shared" si="74"/>
        <v>67</v>
      </c>
      <c r="E1337" t="str">
        <f>"70610040"</f>
        <v>70610040</v>
      </c>
      <c r="F1337" t="s">
        <v>2913</v>
      </c>
      <c r="G1337" t="s">
        <v>5885</v>
      </c>
      <c r="H1337" t="s">
        <v>5972</v>
      </c>
      <c r="I1337">
        <v>0</v>
      </c>
      <c r="J1337" t="s">
        <v>343</v>
      </c>
      <c r="L1337">
        <v>17515000</v>
      </c>
      <c r="N1337">
        <v>17515000</v>
      </c>
    </row>
    <row r="1338" spans="1:14" x14ac:dyDescent="0.35">
      <c r="A1338" t="str">
        <f t="shared" si="71"/>
        <v>OD457476770610040</v>
      </c>
      <c r="B1338" t="s">
        <v>101</v>
      </c>
      <c r="C1338" s="1">
        <v>45747</v>
      </c>
      <c r="D1338" t="str">
        <f t="shared" si="74"/>
        <v>67</v>
      </c>
      <c r="E1338" t="str">
        <f>"70610040"</f>
        <v>70610040</v>
      </c>
      <c r="F1338" t="s">
        <v>2912</v>
      </c>
      <c r="G1338" t="s">
        <v>5885</v>
      </c>
      <c r="H1338" t="s">
        <v>5979</v>
      </c>
      <c r="I1338">
        <v>0</v>
      </c>
      <c r="J1338" t="s">
        <v>343</v>
      </c>
      <c r="L1338">
        <v>-39041780</v>
      </c>
      <c r="N1338">
        <v>-39041780</v>
      </c>
    </row>
    <row r="1339" spans="1:14" x14ac:dyDescent="0.35">
      <c r="A1339" t="str">
        <f t="shared" si="71"/>
        <v>OD457476770610040</v>
      </c>
      <c r="B1339" t="s">
        <v>101</v>
      </c>
      <c r="C1339" s="1">
        <v>45747</v>
      </c>
      <c r="D1339" t="str">
        <f t="shared" si="74"/>
        <v>67</v>
      </c>
      <c r="E1339" t="str">
        <f>"70610040"</f>
        <v>70610040</v>
      </c>
      <c r="F1339" t="s">
        <v>2912</v>
      </c>
      <c r="G1339" t="s">
        <v>5885</v>
      </c>
      <c r="H1339" t="s">
        <v>350</v>
      </c>
      <c r="I1339">
        <v>0</v>
      </c>
      <c r="J1339" t="s">
        <v>343</v>
      </c>
      <c r="L1339">
        <v>-6500500</v>
      </c>
      <c r="N1339">
        <v>-6500500</v>
      </c>
    </row>
    <row r="1340" spans="1:14" x14ac:dyDescent="0.35">
      <c r="A1340" t="str">
        <f t="shared" si="71"/>
        <v>OD457476770610050</v>
      </c>
      <c r="B1340" t="s">
        <v>101</v>
      </c>
      <c r="C1340" s="1">
        <v>45747</v>
      </c>
      <c r="D1340" t="str">
        <f t="shared" si="74"/>
        <v>67</v>
      </c>
      <c r="E1340" t="str">
        <f>"70610050"</f>
        <v>70610050</v>
      </c>
      <c r="F1340" t="s">
        <v>2914</v>
      </c>
      <c r="G1340" t="s">
        <v>5885</v>
      </c>
      <c r="H1340" t="s">
        <v>5972</v>
      </c>
      <c r="I1340">
        <v>0</v>
      </c>
      <c r="J1340" t="s">
        <v>343</v>
      </c>
      <c r="L1340">
        <v>-3168000</v>
      </c>
      <c r="N1340">
        <v>-3168000</v>
      </c>
    </row>
    <row r="1341" spans="1:14" x14ac:dyDescent="0.35">
      <c r="A1341" t="str">
        <f t="shared" si="71"/>
        <v>OD457476770690000</v>
      </c>
      <c r="B1341" t="s">
        <v>101</v>
      </c>
      <c r="C1341" s="1">
        <v>45747</v>
      </c>
      <c r="D1341" t="str">
        <f t="shared" si="74"/>
        <v>67</v>
      </c>
      <c r="E1341" t="str">
        <f>"70690000"</f>
        <v>70690000</v>
      </c>
      <c r="F1341" t="s">
        <v>2915</v>
      </c>
      <c r="G1341" t="s">
        <v>5885</v>
      </c>
      <c r="H1341" t="s">
        <v>5972</v>
      </c>
      <c r="I1341">
        <v>0</v>
      </c>
      <c r="J1341" t="s">
        <v>343</v>
      </c>
      <c r="L1341">
        <v>10185450</v>
      </c>
      <c r="N1341">
        <v>10185450</v>
      </c>
    </row>
    <row r="1342" spans="1:14" x14ac:dyDescent="0.35">
      <c r="A1342" t="str">
        <f t="shared" si="71"/>
        <v>OD457476960520000</v>
      </c>
      <c r="B1342" t="s">
        <v>101</v>
      </c>
      <c r="C1342" s="1">
        <v>45747</v>
      </c>
      <c r="D1342" t="str">
        <f>"69"</f>
        <v>69</v>
      </c>
      <c r="E1342" t="str">
        <f>"60520000"</f>
        <v>60520000</v>
      </c>
      <c r="F1342" t="s">
        <v>2916</v>
      </c>
      <c r="G1342" t="s">
        <v>336</v>
      </c>
      <c r="H1342" t="s">
        <v>5908</v>
      </c>
      <c r="I1342">
        <v>0</v>
      </c>
      <c r="J1342" t="s">
        <v>343</v>
      </c>
      <c r="K1342">
        <v>-695205</v>
      </c>
      <c r="M1342">
        <v>-695205</v>
      </c>
    </row>
    <row r="1343" spans="1:14" x14ac:dyDescent="0.35">
      <c r="A1343" t="str">
        <f t="shared" si="71"/>
        <v>OD457477060520000</v>
      </c>
      <c r="B1343" t="s">
        <v>101</v>
      </c>
      <c r="C1343" s="1">
        <v>45747</v>
      </c>
      <c r="D1343" t="str">
        <f>"70"</f>
        <v>70</v>
      </c>
      <c r="E1343" t="str">
        <f>"60520000"</f>
        <v>60520000</v>
      </c>
      <c r="F1343" t="s">
        <v>2917</v>
      </c>
      <c r="G1343" t="s">
        <v>336</v>
      </c>
      <c r="H1343" t="s">
        <v>5908</v>
      </c>
      <c r="I1343">
        <v>0</v>
      </c>
      <c r="J1343" t="s">
        <v>343</v>
      </c>
      <c r="K1343">
        <v>-747010</v>
      </c>
      <c r="M1343">
        <v>-747010</v>
      </c>
    </row>
    <row r="1344" spans="1:14" x14ac:dyDescent="0.35">
      <c r="A1344" t="str">
        <f t="shared" si="71"/>
        <v>OD457477160510000</v>
      </c>
      <c r="B1344" t="s">
        <v>101</v>
      </c>
      <c r="C1344" s="1">
        <v>45747</v>
      </c>
      <c r="D1344" t="str">
        <f>"71"</f>
        <v>71</v>
      </c>
      <c r="E1344" t="str">
        <f>"60510000"</f>
        <v>60510000</v>
      </c>
      <c r="F1344" t="s">
        <v>2918</v>
      </c>
      <c r="G1344" t="s">
        <v>336</v>
      </c>
      <c r="H1344" t="s">
        <v>5908</v>
      </c>
      <c r="I1344">
        <v>0</v>
      </c>
      <c r="J1344" t="s">
        <v>343</v>
      </c>
      <c r="K1344">
        <v>-4346</v>
      </c>
      <c r="M1344">
        <v>-4346</v>
      </c>
    </row>
    <row r="1345" spans="1:13" x14ac:dyDescent="0.35">
      <c r="A1345" t="str">
        <f t="shared" si="71"/>
        <v>OD457477262230000</v>
      </c>
      <c r="B1345" t="s">
        <v>101</v>
      </c>
      <c r="C1345" s="1">
        <v>45747</v>
      </c>
      <c r="D1345" t="str">
        <f>"72"</f>
        <v>72</v>
      </c>
      <c r="E1345" t="str">
        <f>"62230000"</f>
        <v>62230000</v>
      </c>
      <c r="F1345" t="s">
        <v>2919</v>
      </c>
      <c r="G1345" t="s">
        <v>336</v>
      </c>
      <c r="H1345" t="s">
        <v>5908</v>
      </c>
      <c r="I1345">
        <v>0</v>
      </c>
      <c r="J1345" t="s">
        <v>343</v>
      </c>
      <c r="K1345">
        <v>-1060000</v>
      </c>
      <c r="M1345">
        <v>-1060000</v>
      </c>
    </row>
    <row r="1346" spans="1:13" x14ac:dyDescent="0.35">
      <c r="A1346" t="str">
        <f t="shared" si="71"/>
        <v>OD457477362230000</v>
      </c>
      <c r="B1346" t="s">
        <v>101</v>
      </c>
      <c r="C1346" s="1">
        <v>45747</v>
      </c>
      <c r="D1346" t="str">
        <f>"73"</f>
        <v>73</v>
      </c>
      <c r="E1346" t="str">
        <f>"62230000"</f>
        <v>62230000</v>
      </c>
      <c r="F1346" t="s">
        <v>2920</v>
      </c>
      <c r="G1346" t="s">
        <v>336</v>
      </c>
      <c r="H1346" t="s">
        <v>5908</v>
      </c>
      <c r="I1346">
        <v>0</v>
      </c>
      <c r="J1346" t="s">
        <v>343</v>
      </c>
      <c r="K1346">
        <v>-1060000</v>
      </c>
      <c r="M1346">
        <v>-1060000</v>
      </c>
    </row>
    <row r="1347" spans="1:13" x14ac:dyDescent="0.35">
      <c r="A1347" t="str">
        <f t="shared" ref="A1347:A1410" si="76">CONCATENATE(B1347,C1347,D1347,E1347)</f>
        <v>OD457477462411000</v>
      </c>
      <c r="B1347" t="s">
        <v>101</v>
      </c>
      <c r="C1347" s="1">
        <v>45747</v>
      </c>
      <c r="D1347" t="str">
        <f>"74"</f>
        <v>74</v>
      </c>
      <c r="E1347" t="str">
        <f>"62411000"</f>
        <v>62411000</v>
      </c>
      <c r="F1347" t="s">
        <v>2921</v>
      </c>
      <c r="G1347" t="s">
        <v>336</v>
      </c>
      <c r="H1347" t="s">
        <v>5908</v>
      </c>
      <c r="I1347">
        <v>0</v>
      </c>
      <c r="J1347" t="s">
        <v>343</v>
      </c>
      <c r="K1347">
        <v>-385000</v>
      </c>
      <c r="M1347">
        <v>-770000</v>
      </c>
    </row>
    <row r="1348" spans="1:13" x14ac:dyDescent="0.35">
      <c r="A1348" t="str">
        <f t="shared" si="76"/>
        <v>OD457477462411000</v>
      </c>
      <c r="B1348" t="s">
        <v>101</v>
      </c>
      <c r="C1348" s="1">
        <v>45747</v>
      </c>
      <c r="D1348" t="str">
        <f>"74"</f>
        <v>74</v>
      </c>
      <c r="E1348" t="str">
        <f>"62411000"</f>
        <v>62411000</v>
      </c>
      <c r="F1348" t="s">
        <v>2921</v>
      </c>
      <c r="G1348" t="s">
        <v>336</v>
      </c>
      <c r="H1348" t="s">
        <v>5908</v>
      </c>
      <c r="I1348">
        <v>0</v>
      </c>
      <c r="J1348" t="s">
        <v>343</v>
      </c>
      <c r="K1348">
        <v>-385000</v>
      </c>
      <c r="M1348">
        <v>-770000</v>
      </c>
    </row>
    <row r="1349" spans="1:13" x14ac:dyDescent="0.35">
      <c r="A1349" t="str">
        <f t="shared" si="76"/>
        <v>OD457477562411000</v>
      </c>
      <c r="B1349" t="s">
        <v>101</v>
      </c>
      <c r="C1349" s="1">
        <v>45747</v>
      </c>
      <c r="D1349" t="str">
        <f>"75"</f>
        <v>75</v>
      </c>
      <c r="E1349" t="str">
        <f>"62411000"</f>
        <v>62411000</v>
      </c>
      <c r="F1349" t="s">
        <v>2922</v>
      </c>
      <c r="G1349" t="s">
        <v>336</v>
      </c>
      <c r="H1349" t="s">
        <v>5908</v>
      </c>
      <c r="I1349">
        <v>0</v>
      </c>
      <c r="J1349" t="s">
        <v>343</v>
      </c>
      <c r="K1349">
        <v>-154400</v>
      </c>
      <c r="M1349">
        <v>-154400</v>
      </c>
    </row>
    <row r="1350" spans="1:13" x14ac:dyDescent="0.35">
      <c r="A1350" t="str">
        <f t="shared" si="76"/>
        <v>OD457477660520000</v>
      </c>
      <c r="B1350" t="s">
        <v>101</v>
      </c>
      <c r="C1350" s="1">
        <v>45747</v>
      </c>
      <c r="D1350" t="str">
        <f>"76"</f>
        <v>76</v>
      </c>
      <c r="E1350" t="str">
        <f>"60520000"</f>
        <v>60520000</v>
      </c>
      <c r="F1350" t="s">
        <v>2923</v>
      </c>
      <c r="G1350" t="s">
        <v>336</v>
      </c>
      <c r="H1350" t="s">
        <v>5905</v>
      </c>
      <c r="I1350">
        <v>0</v>
      </c>
      <c r="J1350" t="s">
        <v>343</v>
      </c>
      <c r="K1350">
        <v>6864390</v>
      </c>
      <c r="M1350">
        <v>6864390</v>
      </c>
    </row>
    <row r="1351" spans="1:13" x14ac:dyDescent="0.35">
      <c r="A1351" t="str">
        <f t="shared" si="76"/>
        <v>OD457477762420000</v>
      </c>
      <c r="B1351" t="s">
        <v>101</v>
      </c>
      <c r="C1351" s="1">
        <v>45747</v>
      </c>
      <c r="D1351" t="str">
        <f>"77"</f>
        <v>77</v>
      </c>
      <c r="E1351" t="str">
        <f>"62420000"</f>
        <v>62420000</v>
      </c>
      <c r="F1351" t="s">
        <v>2942</v>
      </c>
      <c r="G1351" t="s">
        <v>336</v>
      </c>
      <c r="H1351" t="s">
        <v>5929</v>
      </c>
      <c r="I1351">
        <v>0</v>
      </c>
      <c r="J1351" t="s">
        <v>343</v>
      </c>
      <c r="K1351">
        <v>445290</v>
      </c>
      <c r="M1351">
        <v>445290</v>
      </c>
    </row>
    <row r="1352" spans="1:13" x14ac:dyDescent="0.35">
      <c r="A1352" t="str">
        <f t="shared" si="76"/>
        <v>OD457477865880000</v>
      </c>
      <c r="B1352" t="s">
        <v>101</v>
      </c>
      <c r="C1352" s="1">
        <v>45747</v>
      </c>
      <c r="D1352" t="str">
        <f>"78"</f>
        <v>78</v>
      </c>
      <c r="E1352" t="str">
        <f>"65880000"</f>
        <v>65880000</v>
      </c>
      <c r="F1352" t="s">
        <v>2943</v>
      </c>
      <c r="G1352" t="s">
        <v>336</v>
      </c>
      <c r="H1352" t="s">
        <v>5954</v>
      </c>
      <c r="I1352">
        <v>0</v>
      </c>
      <c r="J1352" t="s">
        <v>343</v>
      </c>
      <c r="K1352">
        <v>4</v>
      </c>
      <c r="M1352">
        <v>4</v>
      </c>
    </row>
    <row r="1353" spans="1:13" x14ac:dyDescent="0.35">
      <c r="A1353" t="str">
        <f t="shared" si="76"/>
        <v>OD457477968120000</v>
      </c>
      <c r="B1353" t="s">
        <v>101</v>
      </c>
      <c r="C1353" s="1">
        <v>45747</v>
      </c>
      <c r="D1353" t="str">
        <f t="shared" ref="D1353:D1383" si="77">"79"</f>
        <v>79</v>
      </c>
      <c r="E1353" t="str">
        <f>"68120000"</f>
        <v>68120000</v>
      </c>
      <c r="F1353" t="s">
        <v>2960</v>
      </c>
      <c r="G1353" t="s">
        <v>336</v>
      </c>
      <c r="H1353" t="s">
        <v>5982</v>
      </c>
      <c r="I1353">
        <v>0</v>
      </c>
      <c r="J1353" t="s">
        <v>343</v>
      </c>
      <c r="K1353">
        <v>-23311</v>
      </c>
      <c r="M1353">
        <v>-1049967</v>
      </c>
    </row>
    <row r="1354" spans="1:13" x14ac:dyDescent="0.35">
      <c r="A1354" t="str">
        <f t="shared" si="76"/>
        <v>OD457477968120000</v>
      </c>
      <c r="B1354" t="s">
        <v>101</v>
      </c>
      <c r="C1354" s="1">
        <v>45747</v>
      </c>
      <c r="D1354" t="str">
        <f t="shared" si="77"/>
        <v>79</v>
      </c>
      <c r="E1354" t="str">
        <f>"68120000"</f>
        <v>68120000</v>
      </c>
      <c r="F1354" t="s">
        <v>2960</v>
      </c>
      <c r="G1354" t="s">
        <v>336</v>
      </c>
      <c r="H1354" t="s">
        <v>5983</v>
      </c>
      <c r="I1354">
        <v>0</v>
      </c>
      <c r="J1354" t="s">
        <v>343</v>
      </c>
      <c r="K1354">
        <v>-148237</v>
      </c>
      <c r="M1354">
        <v>-1049967</v>
      </c>
    </row>
    <row r="1355" spans="1:13" x14ac:dyDescent="0.35">
      <c r="A1355" t="str">
        <f t="shared" si="76"/>
        <v>OD457477968120000</v>
      </c>
      <c r="B1355" t="s">
        <v>101</v>
      </c>
      <c r="C1355" s="1">
        <v>45747</v>
      </c>
      <c r="D1355" t="str">
        <f t="shared" si="77"/>
        <v>79</v>
      </c>
      <c r="E1355" t="str">
        <f>"68120000"</f>
        <v>68120000</v>
      </c>
      <c r="F1355" t="s">
        <v>2960</v>
      </c>
      <c r="G1355" t="s">
        <v>336</v>
      </c>
      <c r="H1355" t="s">
        <v>5984</v>
      </c>
      <c r="I1355">
        <v>0</v>
      </c>
      <c r="J1355" t="s">
        <v>343</v>
      </c>
      <c r="K1355">
        <v>-148437</v>
      </c>
      <c r="M1355">
        <v>-1049967</v>
      </c>
    </row>
    <row r="1356" spans="1:13" x14ac:dyDescent="0.35">
      <c r="A1356" t="str">
        <f t="shared" si="76"/>
        <v>OD457477968120000</v>
      </c>
      <c r="B1356" t="s">
        <v>101</v>
      </c>
      <c r="C1356" s="1">
        <v>45747</v>
      </c>
      <c r="D1356" t="str">
        <f t="shared" si="77"/>
        <v>79</v>
      </c>
      <c r="E1356" t="str">
        <f>"68120000"</f>
        <v>68120000</v>
      </c>
      <c r="F1356" t="s">
        <v>2960</v>
      </c>
      <c r="G1356" t="s">
        <v>336</v>
      </c>
      <c r="H1356" t="s">
        <v>5985</v>
      </c>
      <c r="I1356">
        <v>0</v>
      </c>
      <c r="J1356" t="s">
        <v>343</v>
      </c>
      <c r="K1356">
        <v>-79964</v>
      </c>
      <c r="M1356">
        <v>-1049967</v>
      </c>
    </row>
    <row r="1357" spans="1:13" x14ac:dyDescent="0.35">
      <c r="A1357" t="str">
        <f t="shared" si="76"/>
        <v>OD457477968120000</v>
      </c>
      <c r="B1357" t="s">
        <v>101</v>
      </c>
      <c r="C1357" s="1">
        <v>45747</v>
      </c>
      <c r="D1357" t="str">
        <f t="shared" si="77"/>
        <v>79</v>
      </c>
      <c r="E1357" t="str">
        <f>"68120000"</f>
        <v>68120000</v>
      </c>
      <c r="F1357" t="s">
        <v>2960</v>
      </c>
      <c r="G1357" t="s">
        <v>336</v>
      </c>
      <c r="H1357" t="s">
        <v>5986</v>
      </c>
      <c r="I1357">
        <v>0</v>
      </c>
      <c r="J1357" t="s">
        <v>343</v>
      </c>
      <c r="K1357">
        <v>-650018</v>
      </c>
      <c r="M1357">
        <v>-1049967</v>
      </c>
    </row>
    <row r="1358" spans="1:13" x14ac:dyDescent="0.35">
      <c r="A1358" t="str">
        <f t="shared" si="76"/>
        <v>OD457477968130000</v>
      </c>
      <c r="B1358" t="s">
        <v>101</v>
      </c>
      <c r="C1358" s="1">
        <v>45747</v>
      </c>
      <c r="D1358" t="str">
        <f t="shared" si="77"/>
        <v>79</v>
      </c>
      <c r="E1358" t="str">
        <f t="shared" ref="E1358:E1383" si="78">"68130000"</f>
        <v>68130000</v>
      </c>
      <c r="F1358" t="s">
        <v>2961</v>
      </c>
      <c r="G1358" t="s">
        <v>336</v>
      </c>
      <c r="H1358" t="s">
        <v>5873</v>
      </c>
      <c r="I1358">
        <v>0</v>
      </c>
      <c r="J1358" t="s">
        <v>343</v>
      </c>
      <c r="K1358">
        <v>-3239634</v>
      </c>
      <c r="M1358">
        <v>-140392026</v>
      </c>
    </row>
    <row r="1359" spans="1:13" x14ac:dyDescent="0.35">
      <c r="A1359" t="str">
        <f t="shared" si="76"/>
        <v>OD457477968130000</v>
      </c>
      <c r="B1359" t="s">
        <v>101</v>
      </c>
      <c r="C1359" s="1">
        <v>45747</v>
      </c>
      <c r="D1359" t="str">
        <f t="shared" si="77"/>
        <v>79</v>
      </c>
      <c r="E1359" t="str">
        <f t="shared" si="78"/>
        <v>68130000</v>
      </c>
      <c r="F1359" t="s">
        <v>2961</v>
      </c>
      <c r="G1359" t="s">
        <v>336</v>
      </c>
      <c r="H1359" t="s">
        <v>5878</v>
      </c>
      <c r="I1359">
        <v>0</v>
      </c>
      <c r="J1359" t="s">
        <v>343</v>
      </c>
      <c r="K1359">
        <v>-413002</v>
      </c>
      <c r="M1359">
        <v>-140392026</v>
      </c>
    </row>
    <row r="1360" spans="1:13" x14ac:dyDescent="0.35">
      <c r="A1360" t="str">
        <f t="shared" si="76"/>
        <v>OD457477968130000</v>
      </c>
      <c r="B1360" t="s">
        <v>101</v>
      </c>
      <c r="C1360" s="1">
        <v>45747</v>
      </c>
      <c r="D1360" t="str">
        <f t="shared" si="77"/>
        <v>79</v>
      </c>
      <c r="E1360" t="str">
        <f t="shared" si="78"/>
        <v>68130000</v>
      </c>
      <c r="F1360" t="s">
        <v>2961</v>
      </c>
      <c r="G1360" t="s">
        <v>336</v>
      </c>
      <c r="H1360" t="s">
        <v>5982</v>
      </c>
      <c r="I1360">
        <v>0</v>
      </c>
      <c r="J1360" t="s">
        <v>343</v>
      </c>
      <c r="K1360">
        <v>-2113590</v>
      </c>
      <c r="M1360">
        <v>-140392026</v>
      </c>
    </row>
    <row r="1361" spans="1:13" x14ac:dyDescent="0.35">
      <c r="A1361" t="str">
        <f t="shared" si="76"/>
        <v>OD457477968130000</v>
      </c>
      <c r="B1361" t="s">
        <v>101</v>
      </c>
      <c r="C1361" s="1">
        <v>45747</v>
      </c>
      <c r="D1361" t="str">
        <f t="shared" si="77"/>
        <v>79</v>
      </c>
      <c r="E1361" t="str">
        <f t="shared" si="78"/>
        <v>68130000</v>
      </c>
      <c r="F1361" t="s">
        <v>2961</v>
      </c>
      <c r="G1361" t="s">
        <v>336</v>
      </c>
      <c r="H1361" t="s">
        <v>5987</v>
      </c>
      <c r="I1361">
        <v>0</v>
      </c>
      <c r="J1361" t="s">
        <v>343</v>
      </c>
      <c r="K1361">
        <v>-1387162</v>
      </c>
      <c r="M1361">
        <v>-140392026</v>
      </c>
    </row>
    <row r="1362" spans="1:13" x14ac:dyDescent="0.35">
      <c r="A1362" t="str">
        <f t="shared" si="76"/>
        <v>OD457477968130000</v>
      </c>
      <c r="B1362" t="s">
        <v>101</v>
      </c>
      <c r="C1362" s="1">
        <v>45747</v>
      </c>
      <c r="D1362" t="str">
        <f t="shared" si="77"/>
        <v>79</v>
      </c>
      <c r="E1362" t="str">
        <f t="shared" si="78"/>
        <v>68130000</v>
      </c>
      <c r="F1362" t="s">
        <v>2961</v>
      </c>
      <c r="G1362" t="s">
        <v>336</v>
      </c>
      <c r="H1362" t="s">
        <v>5983</v>
      </c>
      <c r="I1362">
        <v>0</v>
      </c>
      <c r="J1362" t="s">
        <v>343</v>
      </c>
      <c r="K1362">
        <v>-9593551</v>
      </c>
      <c r="M1362">
        <v>-140392026</v>
      </c>
    </row>
    <row r="1363" spans="1:13" x14ac:dyDescent="0.35">
      <c r="A1363" t="str">
        <f t="shared" si="76"/>
        <v>OD457477968130000</v>
      </c>
      <c r="B1363" t="s">
        <v>101</v>
      </c>
      <c r="C1363" s="1">
        <v>45747</v>
      </c>
      <c r="D1363" t="str">
        <f t="shared" si="77"/>
        <v>79</v>
      </c>
      <c r="E1363" t="str">
        <f t="shared" si="78"/>
        <v>68130000</v>
      </c>
      <c r="F1363" t="s">
        <v>2961</v>
      </c>
      <c r="G1363" t="s">
        <v>336</v>
      </c>
      <c r="H1363" t="s">
        <v>5988</v>
      </c>
      <c r="I1363">
        <v>0</v>
      </c>
      <c r="J1363" t="s">
        <v>343</v>
      </c>
      <c r="K1363">
        <v>-243559</v>
      </c>
      <c r="M1363">
        <v>-140392026</v>
      </c>
    </row>
    <row r="1364" spans="1:13" x14ac:dyDescent="0.35">
      <c r="A1364" t="str">
        <f t="shared" si="76"/>
        <v>OD457477968130000</v>
      </c>
      <c r="B1364" t="s">
        <v>101</v>
      </c>
      <c r="C1364" s="1">
        <v>45747</v>
      </c>
      <c r="D1364" t="str">
        <f t="shared" si="77"/>
        <v>79</v>
      </c>
      <c r="E1364" t="str">
        <f t="shared" si="78"/>
        <v>68130000</v>
      </c>
      <c r="F1364" t="s">
        <v>2961</v>
      </c>
      <c r="G1364" t="s">
        <v>336</v>
      </c>
      <c r="H1364" t="s">
        <v>5984</v>
      </c>
      <c r="I1364">
        <v>0</v>
      </c>
      <c r="J1364" t="s">
        <v>343</v>
      </c>
      <c r="K1364">
        <v>-948755</v>
      </c>
      <c r="M1364">
        <v>-140392026</v>
      </c>
    </row>
    <row r="1365" spans="1:13" x14ac:dyDescent="0.35">
      <c r="A1365" t="str">
        <f t="shared" si="76"/>
        <v>OD457477968130000</v>
      </c>
      <c r="B1365" t="s">
        <v>101</v>
      </c>
      <c r="C1365" s="1">
        <v>45747</v>
      </c>
      <c r="D1365" t="str">
        <f t="shared" si="77"/>
        <v>79</v>
      </c>
      <c r="E1365" t="str">
        <f t="shared" si="78"/>
        <v>68130000</v>
      </c>
      <c r="F1365" t="s">
        <v>2961</v>
      </c>
      <c r="G1365" t="s">
        <v>336</v>
      </c>
      <c r="H1365" t="s">
        <v>5989</v>
      </c>
      <c r="I1365">
        <v>0</v>
      </c>
      <c r="J1365" t="s">
        <v>343</v>
      </c>
      <c r="K1365">
        <v>-4588157</v>
      </c>
      <c r="M1365">
        <v>-140392026</v>
      </c>
    </row>
    <row r="1366" spans="1:13" x14ac:dyDescent="0.35">
      <c r="A1366" t="str">
        <f t="shared" si="76"/>
        <v>OD457477968130000</v>
      </c>
      <c r="B1366" t="s">
        <v>101</v>
      </c>
      <c r="C1366" s="1">
        <v>45747</v>
      </c>
      <c r="D1366" t="str">
        <f t="shared" si="77"/>
        <v>79</v>
      </c>
      <c r="E1366" t="str">
        <f t="shared" si="78"/>
        <v>68130000</v>
      </c>
      <c r="F1366" t="s">
        <v>2961</v>
      </c>
      <c r="G1366" t="s">
        <v>336</v>
      </c>
      <c r="H1366" t="s">
        <v>5985</v>
      </c>
      <c r="I1366">
        <v>0</v>
      </c>
      <c r="J1366" t="s">
        <v>343</v>
      </c>
      <c r="K1366">
        <v>-1573290</v>
      </c>
      <c r="M1366">
        <v>-140392026</v>
      </c>
    </row>
    <row r="1367" spans="1:13" x14ac:dyDescent="0.35">
      <c r="A1367" t="str">
        <f t="shared" si="76"/>
        <v>OD457477968130000</v>
      </c>
      <c r="B1367" t="s">
        <v>101</v>
      </c>
      <c r="C1367" s="1">
        <v>45747</v>
      </c>
      <c r="D1367" t="str">
        <f t="shared" si="77"/>
        <v>79</v>
      </c>
      <c r="E1367" t="str">
        <f t="shared" si="78"/>
        <v>68130000</v>
      </c>
      <c r="F1367" t="s">
        <v>2961</v>
      </c>
      <c r="G1367" t="s">
        <v>336</v>
      </c>
      <c r="H1367" t="s">
        <v>5990</v>
      </c>
      <c r="I1367">
        <v>0</v>
      </c>
      <c r="J1367" t="s">
        <v>343</v>
      </c>
      <c r="K1367">
        <v>-1305907</v>
      </c>
      <c r="M1367">
        <v>-140392026</v>
      </c>
    </row>
    <row r="1368" spans="1:13" x14ac:dyDescent="0.35">
      <c r="A1368" t="str">
        <f t="shared" si="76"/>
        <v>OD457477968130000</v>
      </c>
      <c r="B1368" t="s">
        <v>101</v>
      </c>
      <c r="C1368" s="1">
        <v>45747</v>
      </c>
      <c r="D1368" t="str">
        <f t="shared" si="77"/>
        <v>79</v>
      </c>
      <c r="E1368" t="str">
        <f t="shared" si="78"/>
        <v>68130000</v>
      </c>
      <c r="F1368" t="s">
        <v>2961</v>
      </c>
      <c r="G1368" t="s">
        <v>336</v>
      </c>
      <c r="H1368" t="s">
        <v>5986</v>
      </c>
      <c r="I1368">
        <v>0</v>
      </c>
      <c r="J1368" t="s">
        <v>343</v>
      </c>
      <c r="K1368">
        <v>-9911781</v>
      </c>
      <c r="M1368">
        <v>-140392026</v>
      </c>
    </row>
    <row r="1369" spans="1:13" x14ac:dyDescent="0.35">
      <c r="A1369" t="str">
        <f t="shared" si="76"/>
        <v>OD457477968130000</v>
      </c>
      <c r="B1369" t="s">
        <v>101</v>
      </c>
      <c r="C1369" s="1">
        <v>45747</v>
      </c>
      <c r="D1369" t="str">
        <f t="shared" si="77"/>
        <v>79</v>
      </c>
      <c r="E1369" t="str">
        <f t="shared" si="78"/>
        <v>68130000</v>
      </c>
      <c r="F1369" t="s">
        <v>2961</v>
      </c>
      <c r="G1369" t="s">
        <v>336</v>
      </c>
      <c r="H1369" t="s">
        <v>5991</v>
      </c>
      <c r="I1369">
        <v>0</v>
      </c>
      <c r="J1369" t="s">
        <v>343</v>
      </c>
      <c r="K1369">
        <v>-5700983</v>
      </c>
      <c r="M1369">
        <v>-140392026</v>
      </c>
    </row>
    <row r="1370" spans="1:13" x14ac:dyDescent="0.35">
      <c r="A1370" t="str">
        <f t="shared" si="76"/>
        <v>OD457477968130000</v>
      </c>
      <c r="B1370" t="s">
        <v>101</v>
      </c>
      <c r="C1370" s="1">
        <v>45747</v>
      </c>
      <c r="D1370" t="str">
        <f t="shared" si="77"/>
        <v>79</v>
      </c>
      <c r="E1370" t="str">
        <f t="shared" si="78"/>
        <v>68130000</v>
      </c>
      <c r="F1370" t="s">
        <v>2961</v>
      </c>
      <c r="G1370" t="s">
        <v>336</v>
      </c>
      <c r="H1370" t="s">
        <v>5992</v>
      </c>
      <c r="I1370">
        <v>0</v>
      </c>
      <c r="J1370" t="s">
        <v>343</v>
      </c>
      <c r="K1370">
        <v>-10887460</v>
      </c>
      <c r="M1370">
        <v>-140392026</v>
      </c>
    </row>
    <row r="1371" spans="1:13" x14ac:dyDescent="0.35">
      <c r="A1371" t="str">
        <f t="shared" si="76"/>
        <v>OD457477968130000</v>
      </c>
      <c r="B1371" t="s">
        <v>101</v>
      </c>
      <c r="C1371" s="1">
        <v>45747</v>
      </c>
      <c r="D1371" t="str">
        <f t="shared" si="77"/>
        <v>79</v>
      </c>
      <c r="E1371" t="str">
        <f t="shared" si="78"/>
        <v>68130000</v>
      </c>
      <c r="F1371" t="s">
        <v>2961</v>
      </c>
      <c r="G1371" t="s">
        <v>336</v>
      </c>
      <c r="H1371" t="s">
        <v>5993</v>
      </c>
      <c r="I1371">
        <v>0</v>
      </c>
      <c r="J1371" t="s">
        <v>343</v>
      </c>
      <c r="K1371">
        <v>-8851067</v>
      </c>
      <c r="M1371">
        <v>-140392026</v>
      </c>
    </row>
    <row r="1372" spans="1:13" x14ac:dyDescent="0.35">
      <c r="A1372" t="str">
        <f t="shared" si="76"/>
        <v>OD457477968130000</v>
      </c>
      <c r="B1372" t="s">
        <v>101</v>
      </c>
      <c r="C1372" s="1">
        <v>45747</v>
      </c>
      <c r="D1372" t="str">
        <f t="shared" si="77"/>
        <v>79</v>
      </c>
      <c r="E1372" t="str">
        <f t="shared" si="78"/>
        <v>68130000</v>
      </c>
      <c r="F1372" t="s">
        <v>2961</v>
      </c>
      <c r="G1372" t="s">
        <v>336</v>
      </c>
      <c r="H1372" t="s">
        <v>5994</v>
      </c>
      <c r="I1372">
        <v>0</v>
      </c>
      <c r="J1372" t="s">
        <v>343</v>
      </c>
      <c r="K1372">
        <v>-11021920</v>
      </c>
      <c r="M1372">
        <v>-140392026</v>
      </c>
    </row>
    <row r="1373" spans="1:13" x14ac:dyDescent="0.35">
      <c r="A1373" t="str">
        <f t="shared" si="76"/>
        <v>OD457477968130000</v>
      </c>
      <c r="B1373" t="s">
        <v>101</v>
      </c>
      <c r="C1373" s="1">
        <v>45747</v>
      </c>
      <c r="D1373" t="str">
        <f t="shared" si="77"/>
        <v>79</v>
      </c>
      <c r="E1373" t="str">
        <f t="shared" si="78"/>
        <v>68130000</v>
      </c>
      <c r="F1373" t="s">
        <v>2961</v>
      </c>
      <c r="G1373" t="s">
        <v>336</v>
      </c>
      <c r="H1373" t="s">
        <v>5995</v>
      </c>
      <c r="I1373">
        <v>0</v>
      </c>
      <c r="J1373" t="s">
        <v>343</v>
      </c>
      <c r="K1373">
        <v>-18828675</v>
      </c>
      <c r="M1373">
        <v>-140392026</v>
      </c>
    </row>
    <row r="1374" spans="1:13" x14ac:dyDescent="0.35">
      <c r="A1374" t="str">
        <f t="shared" si="76"/>
        <v>OD457477968130000</v>
      </c>
      <c r="B1374" t="s">
        <v>101</v>
      </c>
      <c r="C1374" s="1">
        <v>45747</v>
      </c>
      <c r="D1374" t="str">
        <f t="shared" si="77"/>
        <v>79</v>
      </c>
      <c r="E1374" t="str">
        <f t="shared" si="78"/>
        <v>68130000</v>
      </c>
      <c r="F1374" t="s">
        <v>2961</v>
      </c>
      <c r="G1374" t="s">
        <v>336</v>
      </c>
      <c r="H1374" t="s">
        <v>5996</v>
      </c>
      <c r="I1374">
        <v>0</v>
      </c>
      <c r="J1374" t="s">
        <v>343</v>
      </c>
      <c r="K1374">
        <v>-27495</v>
      </c>
      <c r="M1374">
        <v>-140392026</v>
      </c>
    </row>
    <row r="1375" spans="1:13" x14ac:dyDescent="0.35">
      <c r="A1375" t="str">
        <f t="shared" si="76"/>
        <v>OD457477968130000</v>
      </c>
      <c r="B1375" t="s">
        <v>101</v>
      </c>
      <c r="C1375" s="1">
        <v>45747</v>
      </c>
      <c r="D1375" t="str">
        <f t="shared" si="77"/>
        <v>79</v>
      </c>
      <c r="E1375" t="str">
        <f t="shared" si="78"/>
        <v>68130000</v>
      </c>
      <c r="F1375" t="s">
        <v>2961</v>
      </c>
      <c r="G1375" t="s">
        <v>336</v>
      </c>
      <c r="H1375" t="s">
        <v>5997</v>
      </c>
      <c r="I1375">
        <v>0</v>
      </c>
      <c r="J1375" t="s">
        <v>343</v>
      </c>
      <c r="K1375">
        <v>-11194273</v>
      </c>
      <c r="M1375">
        <v>-140392026</v>
      </c>
    </row>
    <row r="1376" spans="1:13" x14ac:dyDescent="0.35">
      <c r="A1376" t="str">
        <f t="shared" si="76"/>
        <v>OD457477968130000</v>
      </c>
      <c r="B1376" t="s">
        <v>101</v>
      </c>
      <c r="C1376" s="1">
        <v>45747</v>
      </c>
      <c r="D1376" t="str">
        <f t="shared" si="77"/>
        <v>79</v>
      </c>
      <c r="E1376" t="str">
        <f t="shared" si="78"/>
        <v>68130000</v>
      </c>
      <c r="F1376" t="s">
        <v>2961</v>
      </c>
      <c r="G1376" t="s">
        <v>336</v>
      </c>
      <c r="H1376" t="s">
        <v>5998</v>
      </c>
      <c r="I1376">
        <v>0</v>
      </c>
      <c r="J1376" t="s">
        <v>343</v>
      </c>
      <c r="K1376">
        <v>-13411759</v>
      </c>
      <c r="M1376">
        <v>-140392026</v>
      </c>
    </row>
    <row r="1377" spans="1:13" x14ac:dyDescent="0.35">
      <c r="A1377" t="str">
        <f t="shared" si="76"/>
        <v>OD457477968130000</v>
      </c>
      <c r="B1377" t="s">
        <v>101</v>
      </c>
      <c r="C1377" s="1">
        <v>45747</v>
      </c>
      <c r="D1377" t="str">
        <f t="shared" si="77"/>
        <v>79</v>
      </c>
      <c r="E1377" t="str">
        <f t="shared" si="78"/>
        <v>68130000</v>
      </c>
      <c r="F1377" t="s">
        <v>2961</v>
      </c>
      <c r="G1377" t="s">
        <v>336</v>
      </c>
      <c r="H1377" t="s">
        <v>5999</v>
      </c>
      <c r="I1377">
        <v>0</v>
      </c>
      <c r="J1377" t="s">
        <v>343</v>
      </c>
      <c r="K1377">
        <v>-2279904</v>
      </c>
      <c r="M1377">
        <v>-140392026</v>
      </c>
    </row>
    <row r="1378" spans="1:13" x14ac:dyDescent="0.35">
      <c r="A1378" t="str">
        <f t="shared" si="76"/>
        <v>OD457477968130000</v>
      </c>
      <c r="B1378" t="s">
        <v>101</v>
      </c>
      <c r="C1378" s="1">
        <v>45747</v>
      </c>
      <c r="D1378" t="str">
        <f t="shared" si="77"/>
        <v>79</v>
      </c>
      <c r="E1378" t="str">
        <f t="shared" si="78"/>
        <v>68130000</v>
      </c>
      <c r="F1378" t="s">
        <v>2961</v>
      </c>
      <c r="G1378" t="s">
        <v>336</v>
      </c>
      <c r="H1378" t="s">
        <v>353</v>
      </c>
      <c r="I1378">
        <v>0</v>
      </c>
      <c r="J1378" t="s">
        <v>343</v>
      </c>
      <c r="K1378">
        <v>-16524528</v>
      </c>
      <c r="M1378">
        <v>-140392026</v>
      </c>
    </row>
    <row r="1379" spans="1:13" x14ac:dyDescent="0.35">
      <c r="A1379" t="str">
        <f t="shared" si="76"/>
        <v>OD457477968130000</v>
      </c>
      <c r="B1379" t="s">
        <v>101</v>
      </c>
      <c r="C1379" s="1">
        <v>45747</v>
      </c>
      <c r="D1379" t="str">
        <f t="shared" si="77"/>
        <v>79</v>
      </c>
      <c r="E1379" t="str">
        <f t="shared" si="78"/>
        <v>68130000</v>
      </c>
      <c r="F1379" t="s">
        <v>2961</v>
      </c>
      <c r="G1379" t="s">
        <v>336</v>
      </c>
      <c r="H1379" t="s">
        <v>6000</v>
      </c>
      <c r="I1379">
        <v>0</v>
      </c>
      <c r="J1379" t="s">
        <v>343</v>
      </c>
      <c r="K1379">
        <v>-1866003</v>
      </c>
      <c r="M1379">
        <v>-140392026</v>
      </c>
    </row>
    <row r="1380" spans="1:13" x14ac:dyDescent="0.35">
      <c r="A1380" t="str">
        <f t="shared" si="76"/>
        <v>OD457477968130000</v>
      </c>
      <c r="B1380" t="s">
        <v>101</v>
      </c>
      <c r="C1380" s="1">
        <v>45747</v>
      </c>
      <c r="D1380" t="str">
        <f t="shared" si="77"/>
        <v>79</v>
      </c>
      <c r="E1380" t="str">
        <f t="shared" si="78"/>
        <v>68130000</v>
      </c>
      <c r="F1380" t="s">
        <v>2961</v>
      </c>
      <c r="G1380" t="s">
        <v>336</v>
      </c>
      <c r="H1380" t="s">
        <v>6001</v>
      </c>
      <c r="I1380">
        <v>0</v>
      </c>
      <c r="J1380" t="s">
        <v>343</v>
      </c>
      <c r="K1380">
        <v>-4158330</v>
      </c>
      <c r="M1380">
        <v>-140392026</v>
      </c>
    </row>
    <row r="1381" spans="1:13" x14ac:dyDescent="0.35">
      <c r="A1381" t="str">
        <f t="shared" si="76"/>
        <v>OD457477968130000</v>
      </c>
      <c r="B1381" t="s">
        <v>101</v>
      </c>
      <c r="C1381" s="1">
        <v>45747</v>
      </c>
      <c r="D1381" t="str">
        <f t="shared" si="77"/>
        <v>79</v>
      </c>
      <c r="E1381" t="str">
        <f t="shared" si="78"/>
        <v>68130000</v>
      </c>
      <c r="F1381" t="s">
        <v>2961</v>
      </c>
      <c r="G1381" t="s">
        <v>336</v>
      </c>
      <c r="H1381" t="s">
        <v>6002</v>
      </c>
      <c r="I1381">
        <v>0</v>
      </c>
      <c r="J1381" t="s">
        <v>343</v>
      </c>
      <c r="K1381">
        <v>-124199</v>
      </c>
      <c r="M1381">
        <v>-140392026</v>
      </c>
    </row>
    <row r="1382" spans="1:13" x14ac:dyDescent="0.35">
      <c r="A1382" t="str">
        <f t="shared" si="76"/>
        <v>OD457477968130000</v>
      </c>
      <c r="B1382" t="s">
        <v>101</v>
      </c>
      <c r="C1382" s="1">
        <v>45747</v>
      </c>
      <c r="D1382" t="str">
        <f t="shared" si="77"/>
        <v>79</v>
      </c>
      <c r="E1382" t="str">
        <f t="shared" si="78"/>
        <v>68130000</v>
      </c>
      <c r="F1382" t="s">
        <v>2961</v>
      </c>
      <c r="G1382" t="s">
        <v>336</v>
      </c>
      <c r="H1382" t="s">
        <v>6003</v>
      </c>
      <c r="I1382">
        <v>0</v>
      </c>
      <c r="J1382" t="s">
        <v>343</v>
      </c>
      <c r="K1382">
        <v>-98462</v>
      </c>
      <c r="M1382">
        <v>-140392026</v>
      </c>
    </row>
    <row r="1383" spans="1:13" x14ac:dyDescent="0.35">
      <c r="A1383" t="str">
        <f t="shared" si="76"/>
        <v>OD457477968130000</v>
      </c>
      <c r="B1383" t="s">
        <v>101</v>
      </c>
      <c r="C1383" s="1">
        <v>45747</v>
      </c>
      <c r="D1383" t="str">
        <f t="shared" si="77"/>
        <v>79</v>
      </c>
      <c r="E1383" t="str">
        <f t="shared" si="78"/>
        <v>68130000</v>
      </c>
      <c r="F1383" t="s">
        <v>2961</v>
      </c>
      <c r="G1383" t="s">
        <v>336</v>
      </c>
      <c r="H1383" t="s">
        <v>6004</v>
      </c>
      <c r="I1383">
        <v>0</v>
      </c>
      <c r="J1383" t="s">
        <v>343</v>
      </c>
      <c r="K1383">
        <v>-98580</v>
      </c>
      <c r="M1383">
        <v>-140392026</v>
      </c>
    </row>
    <row r="1384" spans="1:13" x14ac:dyDescent="0.35">
      <c r="A1384" t="str">
        <f t="shared" si="76"/>
        <v>OD457478061810100</v>
      </c>
      <c r="B1384" t="s">
        <v>101</v>
      </c>
      <c r="C1384" s="1">
        <v>45747</v>
      </c>
      <c r="D1384" t="str">
        <f t="shared" ref="D1384:D1393" si="79">"80"</f>
        <v>80</v>
      </c>
      <c r="E1384" t="str">
        <f t="shared" ref="E1384:E1393" si="80">"61810100"</f>
        <v>61810100</v>
      </c>
      <c r="F1384" t="s">
        <v>2963</v>
      </c>
      <c r="G1384" t="s">
        <v>336</v>
      </c>
      <c r="H1384" t="s">
        <v>5944</v>
      </c>
      <c r="I1384">
        <v>0</v>
      </c>
      <c r="J1384" t="s">
        <v>343</v>
      </c>
      <c r="K1384">
        <v>3481500</v>
      </c>
      <c r="M1384">
        <v>7811000</v>
      </c>
    </row>
    <row r="1385" spans="1:13" x14ac:dyDescent="0.35">
      <c r="A1385" t="str">
        <f t="shared" si="76"/>
        <v>OD457478061810100</v>
      </c>
      <c r="B1385" t="s">
        <v>101</v>
      </c>
      <c r="C1385" s="1">
        <v>45747</v>
      </c>
      <c r="D1385" t="str">
        <f t="shared" si="79"/>
        <v>80</v>
      </c>
      <c r="E1385" t="str">
        <f t="shared" si="80"/>
        <v>61810100</v>
      </c>
      <c r="F1385" t="s">
        <v>2963</v>
      </c>
      <c r="G1385" t="s">
        <v>336</v>
      </c>
      <c r="H1385" t="s">
        <v>5952</v>
      </c>
      <c r="I1385">
        <v>0</v>
      </c>
      <c r="J1385" t="s">
        <v>343</v>
      </c>
      <c r="K1385">
        <v>546500</v>
      </c>
      <c r="M1385">
        <v>7811000</v>
      </c>
    </row>
    <row r="1386" spans="1:13" x14ac:dyDescent="0.35">
      <c r="A1386" t="str">
        <f t="shared" si="76"/>
        <v>OD457478061810100</v>
      </c>
      <c r="B1386" t="s">
        <v>101</v>
      </c>
      <c r="C1386" s="1">
        <v>45747</v>
      </c>
      <c r="D1386" t="str">
        <f t="shared" si="79"/>
        <v>80</v>
      </c>
      <c r="E1386" t="str">
        <f t="shared" si="80"/>
        <v>61810100</v>
      </c>
      <c r="F1386" t="s">
        <v>2963</v>
      </c>
      <c r="G1386" t="s">
        <v>336</v>
      </c>
      <c r="H1386" t="s">
        <v>5957</v>
      </c>
      <c r="I1386">
        <v>0</v>
      </c>
      <c r="J1386" t="s">
        <v>343</v>
      </c>
      <c r="K1386">
        <v>1212000</v>
      </c>
      <c r="M1386">
        <v>7811000</v>
      </c>
    </row>
    <row r="1387" spans="1:13" x14ac:dyDescent="0.35">
      <c r="A1387" t="str">
        <f t="shared" si="76"/>
        <v>OD457478061810100</v>
      </c>
      <c r="B1387" t="s">
        <v>101</v>
      </c>
      <c r="C1387" s="1">
        <v>45747</v>
      </c>
      <c r="D1387" t="str">
        <f t="shared" si="79"/>
        <v>80</v>
      </c>
      <c r="E1387" t="str">
        <f t="shared" si="80"/>
        <v>61810100</v>
      </c>
      <c r="F1387" t="s">
        <v>2963</v>
      </c>
      <c r="G1387" t="s">
        <v>336</v>
      </c>
      <c r="H1387" t="s">
        <v>6007</v>
      </c>
      <c r="I1387">
        <v>0</v>
      </c>
      <c r="J1387" t="s">
        <v>343</v>
      </c>
      <c r="K1387">
        <v>29000</v>
      </c>
      <c r="M1387">
        <v>7811000</v>
      </c>
    </row>
    <row r="1388" spans="1:13" x14ac:dyDescent="0.35">
      <c r="A1388" t="str">
        <f t="shared" si="76"/>
        <v>OD457478061810100</v>
      </c>
      <c r="B1388" t="s">
        <v>101</v>
      </c>
      <c r="C1388" s="1">
        <v>45747</v>
      </c>
      <c r="D1388" t="str">
        <f t="shared" si="79"/>
        <v>80</v>
      </c>
      <c r="E1388" t="str">
        <f t="shared" si="80"/>
        <v>61810100</v>
      </c>
      <c r="F1388" t="s">
        <v>2963</v>
      </c>
      <c r="G1388" t="s">
        <v>336</v>
      </c>
      <c r="H1388" t="s">
        <v>6009</v>
      </c>
      <c r="I1388">
        <v>0</v>
      </c>
      <c r="J1388" t="s">
        <v>343</v>
      </c>
      <c r="K1388">
        <v>1531500</v>
      </c>
      <c r="M1388">
        <v>7811000</v>
      </c>
    </row>
    <row r="1389" spans="1:13" x14ac:dyDescent="0.35">
      <c r="A1389" t="str">
        <f t="shared" si="76"/>
        <v>OD457478061810100</v>
      </c>
      <c r="B1389" t="s">
        <v>101</v>
      </c>
      <c r="C1389" s="1">
        <v>45747</v>
      </c>
      <c r="D1389" t="str">
        <f t="shared" si="79"/>
        <v>80</v>
      </c>
      <c r="E1389" t="str">
        <f t="shared" si="80"/>
        <v>61810100</v>
      </c>
      <c r="F1389" t="s">
        <v>2963</v>
      </c>
      <c r="G1389" t="s">
        <v>336</v>
      </c>
      <c r="H1389" t="s">
        <v>5953</v>
      </c>
      <c r="I1389">
        <v>0</v>
      </c>
      <c r="J1389" t="s">
        <v>343</v>
      </c>
      <c r="K1389">
        <v>196500</v>
      </c>
      <c r="M1389">
        <v>7811000</v>
      </c>
    </row>
    <row r="1390" spans="1:13" x14ac:dyDescent="0.35">
      <c r="A1390" t="str">
        <f t="shared" si="76"/>
        <v>OD457478061810100</v>
      </c>
      <c r="B1390" t="s">
        <v>101</v>
      </c>
      <c r="C1390" s="1">
        <v>45747</v>
      </c>
      <c r="D1390" t="str">
        <f t="shared" si="79"/>
        <v>80</v>
      </c>
      <c r="E1390" t="str">
        <f t="shared" si="80"/>
        <v>61810100</v>
      </c>
      <c r="F1390" t="s">
        <v>2963</v>
      </c>
      <c r="G1390" t="s">
        <v>336</v>
      </c>
      <c r="H1390" t="s">
        <v>5965</v>
      </c>
      <c r="I1390">
        <v>0</v>
      </c>
      <c r="J1390" t="s">
        <v>343</v>
      </c>
      <c r="K1390">
        <v>401000</v>
      </c>
      <c r="M1390">
        <v>7811000</v>
      </c>
    </row>
    <row r="1391" spans="1:13" x14ac:dyDescent="0.35">
      <c r="A1391" t="str">
        <f t="shared" si="76"/>
        <v>OD457478061810100</v>
      </c>
      <c r="B1391" t="s">
        <v>101</v>
      </c>
      <c r="C1391" s="1">
        <v>45747</v>
      </c>
      <c r="D1391" t="str">
        <f t="shared" si="79"/>
        <v>80</v>
      </c>
      <c r="E1391" t="str">
        <f t="shared" si="80"/>
        <v>61810100</v>
      </c>
      <c r="F1391" t="s">
        <v>2963</v>
      </c>
      <c r="G1391" t="s">
        <v>336</v>
      </c>
      <c r="H1391" t="s">
        <v>5945</v>
      </c>
      <c r="I1391">
        <v>0</v>
      </c>
      <c r="J1391" t="s">
        <v>343</v>
      </c>
      <c r="K1391">
        <v>326000</v>
      </c>
      <c r="M1391">
        <v>7811000</v>
      </c>
    </row>
    <row r="1392" spans="1:13" x14ac:dyDescent="0.35">
      <c r="A1392" t="str">
        <f t="shared" si="76"/>
        <v>OD457478061810100</v>
      </c>
      <c r="B1392" t="s">
        <v>101</v>
      </c>
      <c r="C1392" s="1">
        <v>45747</v>
      </c>
      <c r="D1392" t="str">
        <f t="shared" si="79"/>
        <v>80</v>
      </c>
      <c r="E1392" t="str">
        <f t="shared" si="80"/>
        <v>61810100</v>
      </c>
      <c r="F1392" t="s">
        <v>2963</v>
      </c>
      <c r="G1392" t="s">
        <v>336</v>
      </c>
      <c r="H1392" t="s">
        <v>5901</v>
      </c>
      <c r="I1392">
        <v>0</v>
      </c>
      <c r="J1392" t="s">
        <v>343</v>
      </c>
      <c r="K1392">
        <v>9000</v>
      </c>
      <c r="M1392">
        <v>7811000</v>
      </c>
    </row>
    <row r="1393" spans="1:13" x14ac:dyDescent="0.35">
      <c r="A1393" t="str">
        <f t="shared" si="76"/>
        <v>OD457478061810100</v>
      </c>
      <c r="B1393" t="s">
        <v>101</v>
      </c>
      <c r="C1393" s="1">
        <v>45747</v>
      </c>
      <c r="D1393" t="str">
        <f t="shared" si="79"/>
        <v>80</v>
      </c>
      <c r="E1393" t="str">
        <f t="shared" si="80"/>
        <v>61810100</v>
      </c>
      <c r="F1393" t="s">
        <v>2963</v>
      </c>
      <c r="G1393" t="s">
        <v>336</v>
      </c>
      <c r="H1393" t="s">
        <v>5873</v>
      </c>
      <c r="I1393">
        <v>0</v>
      </c>
      <c r="J1393" t="s">
        <v>343</v>
      </c>
      <c r="K1393">
        <v>78000</v>
      </c>
      <c r="M1393">
        <v>7811000</v>
      </c>
    </row>
    <row r="1394" spans="1:13" x14ac:dyDescent="0.35">
      <c r="A1394" t="str">
        <f t="shared" si="76"/>
        <v>PAI45747PAIE3202564130000</v>
      </c>
      <c r="B1394" t="s">
        <v>2964</v>
      </c>
      <c r="C1394" s="1">
        <v>45747</v>
      </c>
      <c r="D1394" t="s">
        <v>2965</v>
      </c>
      <c r="E1394" t="str">
        <f t="shared" ref="E1394:E1416" si="81">"64130000"</f>
        <v>64130000</v>
      </c>
      <c r="F1394" t="s">
        <v>2986</v>
      </c>
      <c r="G1394" t="s">
        <v>336</v>
      </c>
      <c r="H1394" t="s">
        <v>5909</v>
      </c>
      <c r="I1394">
        <v>0</v>
      </c>
      <c r="J1394" t="s">
        <v>343</v>
      </c>
      <c r="K1394">
        <v>140965</v>
      </c>
      <c r="M1394">
        <v>4031932</v>
      </c>
    </row>
    <row r="1395" spans="1:13" x14ac:dyDescent="0.35">
      <c r="A1395" t="str">
        <f t="shared" si="76"/>
        <v>PAI45747PAIE3202564130000</v>
      </c>
      <c r="B1395" t="s">
        <v>2964</v>
      </c>
      <c r="C1395" s="1">
        <v>45747</v>
      </c>
      <c r="D1395" t="s">
        <v>2965</v>
      </c>
      <c r="E1395" t="str">
        <f t="shared" si="81"/>
        <v>64130000</v>
      </c>
      <c r="F1395" t="s">
        <v>2986</v>
      </c>
      <c r="G1395" t="s">
        <v>336</v>
      </c>
      <c r="H1395" t="s">
        <v>5886</v>
      </c>
      <c r="I1395">
        <v>0</v>
      </c>
      <c r="J1395" t="s">
        <v>343</v>
      </c>
      <c r="K1395">
        <v>668295</v>
      </c>
      <c r="M1395">
        <v>4031932</v>
      </c>
    </row>
    <row r="1396" spans="1:13" x14ac:dyDescent="0.35">
      <c r="A1396" t="str">
        <f t="shared" si="76"/>
        <v>PAI45747PAIE3202564130000</v>
      </c>
      <c r="B1396" t="s">
        <v>2964</v>
      </c>
      <c r="C1396" s="1">
        <v>45747</v>
      </c>
      <c r="D1396" t="s">
        <v>2965</v>
      </c>
      <c r="E1396" t="str">
        <f t="shared" si="81"/>
        <v>64130000</v>
      </c>
      <c r="F1396" t="s">
        <v>2986</v>
      </c>
      <c r="G1396" t="s">
        <v>336</v>
      </c>
      <c r="H1396" t="s">
        <v>5902</v>
      </c>
      <c r="I1396">
        <v>0</v>
      </c>
      <c r="J1396" t="s">
        <v>343</v>
      </c>
      <c r="K1396">
        <v>755588</v>
      </c>
      <c r="M1396">
        <v>4031932</v>
      </c>
    </row>
    <row r="1397" spans="1:13" x14ac:dyDescent="0.35">
      <c r="A1397" t="str">
        <f t="shared" si="76"/>
        <v>PAI45747PAIE3202564130000</v>
      </c>
      <c r="B1397" t="s">
        <v>2964</v>
      </c>
      <c r="C1397" s="1">
        <v>45747</v>
      </c>
      <c r="D1397" t="s">
        <v>2965</v>
      </c>
      <c r="E1397" t="str">
        <f t="shared" si="81"/>
        <v>64130000</v>
      </c>
      <c r="F1397" t="s">
        <v>2986</v>
      </c>
      <c r="G1397" t="s">
        <v>336</v>
      </c>
      <c r="H1397" t="s">
        <v>5910</v>
      </c>
      <c r="I1397">
        <v>0</v>
      </c>
      <c r="J1397" t="s">
        <v>343</v>
      </c>
      <c r="K1397">
        <v>28447</v>
      </c>
      <c r="M1397">
        <v>4031932</v>
      </c>
    </row>
    <row r="1398" spans="1:13" x14ac:dyDescent="0.35">
      <c r="A1398" t="str">
        <f t="shared" si="76"/>
        <v>PAI45747PAIE3202564130000</v>
      </c>
      <c r="B1398" t="s">
        <v>2964</v>
      </c>
      <c r="C1398" s="1">
        <v>45747</v>
      </c>
      <c r="D1398" t="s">
        <v>2965</v>
      </c>
      <c r="E1398" t="str">
        <f t="shared" si="81"/>
        <v>64130000</v>
      </c>
      <c r="F1398" t="s">
        <v>2986</v>
      </c>
      <c r="G1398" t="s">
        <v>336</v>
      </c>
      <c r="H1398" t="s">
        <v>5911</v>
      </c>
      <c r="I1398">
        <v>0</v>
      </c>
      <c r="J1398" t="s">
        <v>343</v>
      </c>
      <c r="K1398">
        <v>25752</v>
      </c>
      <c r="M1398">
        <v>4031932</v>
      </c>
    </row>
    <row r="1399" spans="1:13" x14ac:dyDescent="0.35">
      <c r="A1399" t="str">
        <f t="shared" si="76"/>
        <v>PAI45747PAIE3202564130000</v>
      </c>
      <c r="B1399" t="s">
        <v>2964</v>
      </c>
      <c r="C1399" s="1">
        <v>45747</v>
      </c>
      <c r="D1399" t="s">
        <v>2965</v>
      </c>
      <c r="E1399" t="str">
        <f t="shared" si="81"/>
        <v>64130000</v>
      </c>
      <c r="F1399" t="s">
        <v>2986</v>
      </c>
      <c r="G1399" t="s">
        <v>336</v>
      </c>
      <c r="H1399" t="s">
        <v>5912</v>
      </c>
      <c r="I1399">
        <v>0</v>
      </c>
      <c r="J1399" t="s">
        <v>343</v>
      </c>
      <c r="K1399">
        <v>695794</v>
      </c>
      <c r="M1399">
        <v>4031932</v>
      </c>
    </row>
    <row r="1400" spans="1:13" x14ac:dyDescent="0.35">
      <c r="A1400" t="str">
        <f t="shared" si="76"/>
        <v>PAI45747PAIE3202564130000</v>
      </c>
      <c r="B1400" t="s">
        <v>2964</v>
      </c>
      <c r="C1400" s="1">
        <v>45747</v>
      </c>
      <c r="D1400" t="s">
        <v>2965</v>
      </c>
      <c r="E1400" t="str">
        <f t="shared" si="81"/>
        <v>64130000</v>
      </c>
      <c r="F1400" t="s">
        <v>2986</v>
      </c>
      <c r="G1400" t="s">
        <v>336</v>
      </c>
      <c r="H1400" t="s">
        <v>5913</v>
      </c>
      <c r="I1400">
        <v>0</v>
      </c>
      <c r="J1400" t="s">
        <v>343</v>
      </c>
      <c r="K1400">
        <v>79719</v>
      </c>
      <c r="M1400">
        <v>4031932</v>
      </c>
    </row>
    <row r="1401" spans="1:13" x14ac:dyDescent="0.35">
      <c r="A1401" t="str">
        <f t="shared" si="76"/>
        <v>PAI45747PAIE3202564130000</v>
      </c>
      <c r="B1401" t="s">
        <v>2964</v>
      </c>
      <c r="C1401" s="1">
        <v>45747</v>
      </c>
      <c r="D1401" t="s">
        <v>2965</v>
      </c>
      <c r="E1401" t="str">
        <f t="shared" si="81"/>
        <v>64130000</v>
      </c>
      <c r="F1401" t="s">
        <v>2986</v>
      </c>
      <c r="G1401" t="s">
        <v>336</v>
      </c>
      <c r="H1401" t="s">
        <v>5914</v>
      </c>
      <c r="I1401">
        <v>0</v>
      </c>
      <c r="J1401" t="s">
        <v>343</v>
      </c>
      <c r="K1401">
        <v>111195</v>
      </c>
      <c r="M1401">
        <v>4031932</v>
      </c>
    </row>
    <row r="1402" spans="1:13" x14ac:dyDescent="0.35">
      <c r="A1402" t="str">
        <f t="shared" si="76"/>
        <v>PAI45747PAIE3202564130000</v>
      </c>
      <c r="B1402" t="s">
        <v>2964</v>
      </c>
      <c r="C1402" s="1">
        <v>45747</v>
      </c>
      <c r="D1402" t="s">
        <v>2965</v>
      </c>
      <c r="E1402" t="str">
        <f t="shared" si="81"/>
        <v>64130000</v>
      </c>
      <c r="F1402" t="s">
        <v>2986</v>
      </c>
      <c r="G1402" t="s">
        <v>336</v>
      </c>
      <c r="H1402" t="s">
        <v>5935</v>
      </c>
      <c r="I1402">
        <v>0</v>
      </c>
      <c r="J1402" t="s">
        <v>343</v>
      </c>
      <c r="K1402">
        <v>128102</v>
      </c>
      <c r="M1402">
        <v>4031932</v>
      </c>
    </row>
    <row r="1403" spans="1:13" x14ac:dyDescent="0.35">
      <c r="A1403" t="str">
        <f t="shared" si="76"/>
        <v>PAI45747PAIE3202564130000</v>
      </c>
      <c r="B1403" t="s">
        <v>2964</v>
      </c>
      <c r="C1403" s="1">
        <v>45747</v>
      </c>
      <c r="D1403" t="s">
        <v>2965</v>
      </c>
      <c r="E1403" t="str">
        <f t="shared" si="81"/>
        <v>64130000</v>
      </c>
      <c r="F1403" t="s">
        <v>2986</v>
      </c>
      <c r="G1403" t="s">
        <v>336</v>
      </c>
      <c r="H1403" t="s">
        <v>5936</v>
      </c>
      <c r="I1403">
        <v>0</v>
      </c>
      <c r="J1403" t="s">
        <v>343</v>
      </c>
      <c r="K1403">
        <v>494897</v>
      </c>
      <c r="M1403">
        <v>4031932</v>
      </c>
    </row>
    <row r="1404" spans="1:13" x14ac:dyDescent="0.35">
      <c r="A1404" t="str">
        <f t="shared" si="76"/>
        <v>PAI45747PAIE3202564130000</v>
      </c>
      <c r="B1404" t="s">
        <v>2964</v>
      </c>
      <c r="C1404" s="1">
        <v>45747</v>
      </c>
      <c r="D1404" t="s">
        <v>2965</v>
      </c>
      <c r="E1404" t="str">
        <f t="shared" si="81"/>
        <v>64130000</v>
      </c>
      <c r="F1404" t="s">
        <v>2986</v>
      </c>
      <c r="G1404" t="s">
        <v>336</v>
      </c>
      <c r="H1404" t="s">
        <v>5903</v>
      </c>
      <c r="I1404">
        <v>0</v>
      </c>
      <c r="J1404" t="s">
        <v>343</v>
      </c>
      <c r="K1404">
        <v>24936</v>
      </c>
      <c r="M1404">
        <v>4031932</v>
      </c>
    </row>
    <row r="1405" spans="1:13" x14ac:dyDescent="0.35">
      <c r="A1405" t="str">
        <f t="shared" si="76"/>
        <v>PAI45747PAIE3202564130000</v>
      </c>
      <c r="B1405" t="s">
        <v>2964</v>
      </c>
      <c r="C1405" s="1">
        <v>45747</v>
      </c>
      <c r="D1405" t="s">
        <v>2965</v>
      </c>
      <c r="E1405" t="str">
        <f t="shared" si="81"/>
        <v>64130000</v>
      </c>
      <c r="F1405" t="s">
        <v>2986</v>
      </c>
      <c r="G1405" t="s">
        <v>336</v>
      </c>
      <c r="H1405" t="s">
        <v>5915</v>
      </c>
      <c r="I1405">
        <v>0</v>
      </c>
      <c r="J1405" t="s">
        <v>343</v>
      </c>
      <c r="K1405">
        <v>57651</v>
      </c>
      <c r="M1405">
        <v>4031932</v>
      </c>
    </row>
    <row r="1406" spans="1:13" x14ac:dyDescent="0.35">
      <c r="A1406" t="str">
        <f t="shared" si="76"/>
        <v>PAI45747PAIE3202564130000</v>
      </c>
      <c r="B1406" t="s">
        <v>2964</v>
      </c>
      <c r="C1406" s="1">
        <v>45747</v>
      </c>
      <c r="D1406" t="s">
        <v>2965</v>
      </c>
      <c r="E1406" t="str">
        <f t="shared" si="81"/>
        <v>64130000</v>
      </c>
      <c r="F1406" t="s">
        <v>2986</v>
      </c>
      <c r="G1406" t="s">
        <v>336</v>
      </c>
      <c r="H1406" t="s">
        <v>5917</v>
      </c>
      <c r="I1406">
        <v>0</v>
      </c>
      <c r="J1406" t="s">
        <v>343</v>
      </c>
      <c r="K1406">
        <v>32274</v>
      </c>
      <c r="M1406">
        <v>4031932</v>
      </c>
    </row>
    <row r="1407" spans="1:13" x14ac:dyDescent="0.35">
      <c r="A1407" t="str">
        <f t="shared" si="76"/>
        <v>PAI45747PAIE3202564130000</v>
      </c>
      <c r="B1407" t="s">
        <v>2964</v>
      </c>
      <c r="C1407" s="1">
        <v>45747</v>
      </c>
      <c r="D1407" t="s">
        <v>2965</v>
      </c>
      <c r="E1407" t="str">
        <f t="shared" si="81"/>
        <v>64130000</v>
      </c>
      <c r="F1407" t="s">
        <v>2986</v>
      </c>
      <c r="G1407" t="s">
        <v>336</v>
      </c>
      <c r="H1407" t="s">
        <v>5918</v>
      </c>
      <c r="I1407">
        <v>0</v>
      </c>
      <c r="J1407" t="s">
        <v>343</v>
      </c>
      <c r="K1407">
        <v>150365</v>
      </c>
      <c r="M1407">
        <v>4031932</v>
      </c>
    </row>
    <row r="1408" spans="1:13" x14ac:dyDescent="0.35">
      <c r="A1408" t="str">
        <f t="shared" si="76"/>
        <v>PAI45747PAIE3202564130000</v>
      </c>
      <c r="B1408" t="s">
        <v>2964</v>
      </c>
      <c r="C1408" s="1">
        <v>45747</v>
      </c>
      <c r="D1408" t="s">
        <v>2965</v>
      </c>
      <c r="E1408" t="str">
        <f t="shared" si="81"/>
        <v>64130000</v>
      </c>
      <c r="F1408" t="s">
        <v>2986</v>
      </c>
      <c r="G1408" t="s">
        <v>336</v>
      </c>
      <c r="H1408" t="s">
        <v>5919</v>
      </c>
      <c r="I1408">
        <v>0</v>
      </c>
      <c r="J1408" t="s">
        <v>343</v>
      </c>
      <c r="K1408">
        <v>45088</v>
      </c>
      <c r="M1408">
        <v>4031932</v>
      </c>
    </row>
    <row r="1409" spans="1:13" x14ac:dyDescent="0.35">
      <c r="A1409" t="str">
        <f t="shared" si="76"/>
        <v>PAI45747PAIE3202564130000</v>
      </c>
      <c r="B1409" t="s">
        <v>2964</v>
      </c>
      <c r="C1409" s="1">
        <v>45747</v>
      </c>
      <c r="D1409" t="s">
        <v>2965</v>
      </c>
      <c r="E1409" t="str">
        <f t="shared" si="81"/>
        <v>64130000</v>
      </c>
      <c r="F1409" t="s">
        <v>2986</v>
      </c>
      <c r="G1409" t="s">
        <v>336</v>
      </c>
      <c r="H1409" t="s">
        <v>5920</v>
      </c>
      <c r="I1409">
        <v>0</v>
      </c>
      <c r="J1409" t="s">
        <v>343</v>
      </c>
      <c r="K1409">
        <v>60332</v>
      </c>
      <c r="M1409">
        <v>4031932</v>
      </c>
    </row>
    <row r="1410" spans="1:13" x14ac:dyDescent="0.35">
      <c r="A1410" t="str">
        <f t="shared" si="76"/>
        <v>PAI45747PAIE3202564130000</v>
      </c>
      <c r="B1410" t="s">
        <v>2964</v>
      </c>
      <c r="C1410" s="1">
        <v>45747</v>
      </c>
      <c r="D1410" t="s">
        <v>2965</v>
      </c>
      <c r="E1410" t="str">
        <f t="shared" si="81"/>
        <v>64130000</v>
      </c>
      <c r="F1410" t="s">
        <v>2986</v>
      </c>
      <c r="G1410" t="s">
        <v>336</v>
      </c>
      <c r="H1410" t="s">
        <v>5888</v>
      </c>
      <c r="I1410">
        <v>0</v>
      </c>
      <c r="J1410" t="s">
        <v>343</v>
      </c>
      <c r="K1410">
        <v>69073</v>
      </c>
      <c r="M1410">
        <v>4031932</v>
      </c>
    </row>
    <row r="1411" spans="1:13" x14ac:dyDescent="0.35">
      <c r="A1411" t="str">
        <f t="shared" ref="A1411:A1474" si="82">CONCATENATE(B1411,C1411,D1411,E1411)</f>
        <v>PAI45747PAIE3202564130000</v>
      </c>
      <c r="B1411" t="s">
        <v>2964</v>
      </c>
      <c r="C1411" s="1">
        <v>45747</v>
      </c>
      <c r="D1411" t="s">
        <v>2965</v>
      </c>
      <c r="E1411" t="str">
        <f t="shared" si="81"/>
        <v>64130000</v>
      </c>
      <c r="F1411" t="s">
        <v>2986</v>
      </c>
      <c r="G1411" t="s">
        <v>336</v>
      </c>
      <c r="H1411" t="s">
        <v>5961</v>
      </c>
      <c r="I1411">
        <v>0</v>
      </c>
      <c r="J1411" t="s">
        <v>343</v>
      </c>
      <c r="K1411">
        <v>150380</v>
      </c>
      <c r="M1411">
        <v>4031932</v>
      </c>
    </row>
    <row r="1412" spans="1:13" x14ac:dyDescent="0.35">
      <c r="A1412" t="str">
        <f t="shared" si="82"/>
        <v>PAI45747PAIE3202564130000</v>
      </c>
      <c r="B1412" t="s">
        <v>2964</v>
      </c>
      <c r="C1412" s="1">
        <v>45747</v>
      </c>
      <c r="D1412" t="s">
        <v>2965</v>
      </c>
      <c r="E1412" t="str">
        <f t="shared" si="81"/>
        <v>64130000</v>
      </c>
      <c r="F1412" t="s">
        <v>2986</v>
      </c>
      <c r="G1412" t="s">
        <v>336</v>
      </c>
      <c r="H1412" t="s">
        <v>5921</v>
      </c>
      <c r="I1412">
        <v>0</v>
      </c>
      <c r="J1412" t="s">
        <v>343</v>
      </c>
      <c r="K1412">
        <v>258365</v>
      </c>
      <c r="M1412">
        <v>4031932</v>
      </c>
    </row>
    <row r="1413" spans="1:13" x14ac:dyDescent="0.35">
      <c r="A1413" t="str">
        <f t="shared" si="82"/>
        <v>PAI45747PAIE3202564130000</v>
      </c>
      <c r="B1413" t="s">
        <v>2964</v>
      </c>
      <c r="C1413" s="1">
        <v>45747</v>
      </c>
      <c r="D1413" t="s">
        <v>2965</v>
      </c>
      <c r="E1413" t="str">
        <f t="shared" si="81"/>
        <v>64130000</v>
      </c>
      <c r="F1413" t="s">
        <v>2986</v>
      </c>
      <c r="G1413" t="s">
        <v>336</v>
      </c>
      <c r="H1413" t="s">
        <v>5922</v>
      </c>
      <c r="I1413">
        <v>0</v>
      </c>
      <c r="J1413" t="s">
        <v>343</v>
      </c>
      <c r="K1413">
        <v>53501</v>
      </c>
      <c r="M1413">
        <v>4031932</v>
      </c>
    </row>
    <row r="1414" spans="1:13" x14ac:dyDescent="0.35">
      <c r="A1414" t="str">
        <f t="shared" si="82"/>
        <v>PAI45747PAIE3202564130000</v>
      </c>
      <c r="B1414" t="s">
        <v>2964</v>
      </c>
      <c r="C1414" s="1">
        <v>45747</v>
      </c>
      <c r="D1414" t="s">
        <v>2965</v>
      </c>
      <c r="E1414" t="str">
        <f t="shared" si="81"/>
        <v>64130000</v>
      </c>
      <c r="F1414" t="s">
        <v>2986</v>
      </c>
      <c r="G1414" t="s">
        <v>336</v>
      </c>
      <c r="H1414" t="s">
        <v>5942</v>
      </c>
      <c r="I1414">
        <v>0</v>
      </c>
      <c r="J1414" t="s">
        <v>343</v>
      </c>
      <c r="K1414">
        <v>1213</v>
      </c>
      <c r="M1414">
        <v>4031932</v>
      </c>
    </row>
    <row r="1415" spans="1:13" x14ac:dyDescent="0.35">
      <c r="A1415" t="str">
        <f t="shared" si="82"/>
        <v>PAI45747PAIE3202564130000</v>
      </c>
      <c r="B1415" t="s">
        <v>2964</v>
      </c>
      <c r="C1415" s="1">
        <v>45747</v>
      </c>
      <c r="D1415" t="s">
        <v>2965</v>
      </c>
      <c r="E1415" t="str">
        <f t="shared" si="81"/>
        <v>64130000</v>
      </c>
      <c r="F1415" t="s">
        <v>2987</v>
      </c>
      <c r="G1415" t="s">
        <v>336</v>
      </c>
      <c r="H1415" t="s">
        <v>5911</v>
      </c>
      <c r="I1415">
        <v>0</v>
      </c>
      <c r="J1415" t="s">
        <v>343</v>
      </c>
      <c r="K1415">
        <v>45441</v>
      </c>
      <c r="M1415">
        <v>328831</v>
      </c>
    </row>
    <row r="1416" spans="1:13" x14ac:dyDescent="0.35">
      <c r="A1416" t="str">
        <f t="shared" si="82"/>
        <v>PAI45747PAIE3202564130000</v>
      </c>
      <c r="B1416" t="s">
        <v>2964</v>
      </c>
      <c r="C1416" s="1">
        <v>45747</v>
      </c>
      <c r="D1416" t="s">
        <v>2965</v>
      </c>
      <c r="E1416" t="str">
        <f t="shared" si="81"/>
        <v>64130000</v>
      </c>
      <c r="F1416" t="s">
        <v>2987</v>
      </c>
      <c r="G1416" t="s">
        <v>336</v>
      </c>
      <c r="H1416" t="s">
        <v>5917</v>
      </c>
      <c r="I1416">
        <v>0</v>
      </c>
      <c r="J1416" t="s">
        <v>343</v>
      </c>
      <c r="K1416">
        <v>283390</v>
      </c>
      <c r="M1416">
        <v>328831</v>
      </c>
    </row>
    <row r="1417" spans="1:13" x14ac:dyDescent="0.35">
      <c r="A1417" t="str">
        <f t="shared" si="82"/>
        <v>PAI45747PAIE3202564140000</v>
      </c>
      <c r="B1417" t="s">
        <v>2964</v>
      </c>
      <c r="C1417" s="1">
        <v>45747</v>
      </c>
      <c r="D1417" t="s">
        <v>2965</v>
      </c>
      <c r="E1417" t="str">
        <f t="shared" ref="E1417:E1439" si="83">"64140000"</f>
        <v>64140000</v>
      </c>
      <c r="F1417" t="s">
        <v>2988</v>
      </c>
      <c r="G1417" t="s">
        <v>336</v>
      </c>
      <c r="H1417" t="s">
        <v>5909</v>
      </c>
      <c r="I1417">
        <v>0</v>
      </c>
      <c r="J1417" t="s">
        <v>343</v>
      </c>
      <c r="K1417">
        <v>46989</v>
      </c>
      <c r="M1417">
        <v>727831</v>
      </c>
    </row>
    <row r="1418" spans="1:13" x14ac:dyDescent="0.35">
      <c r="A1418" t="str">
        <f t="shared" si="82"/>
        <v>PAI45747PAIE3202564140000</v>
      </c>
      <c r="B1418" t="s">
        <v>2964</v>
      </c>
      <c r="C1418" s="1">
        <v>45747</v>
      </c>
      <c r="D1418" t="s">
        <v>2965</v>
      </c>
      <c r="E1418" t="str">
        <f t="shared" si="83"/>
        <v>64140000</v>
      </c>
      <c r="F1418" t="s">
        <v>2988</v>
      </c>
      <c r="G1418" t="s">
        <v>336</v>
      </c>
      <c r="H1418" t="s">
        <v>5886</v>
      </c>
      <c r="I1418">
        <v>0</v>
      </c>
      <c r="J1418" t="s">
        <v>343</v>
      </c>
      <c r="K1418">
        <v>34971</v>
      </c>
      <c r="M1418">
        <v>727831</v>
      </c>
    </row>
    <row r="1419" spans="1:13" x14ac:dyDescent="0.35">
      <c r="A1419" t="str">
        <f t="shared" si="82"/>
        <v>PAI45747PAIE3202564140000</v>
      </c>
      <c r="B1419" t="s">
        <v>2964</v>
      </c>
      <c r="C1419" s="1">
        <v>45747</v>
      </c>
      <c r="D1419" t="s">
        <v>2965</v>
      </c>
      <c r="E1419" t="str">
        <f t="shared" si="83"/>
        <v>64140000</v>
      </c>
      <c r="F1419" t="s">
        <v>2988</v>
      </c>
      <c r="G1419" t="s">
        <v>336</v>
      </c>
      <c r="H1419" t="s">
        <v>5902</v>
      </c>
      <c r="I1419">
        <v>0</v>
      </c>
      <c r="J1419" t="s">
        <v>343</v>
      </c>
      <c r="K1419">
        <v>140994</v>
      </c>
      <c r="M1419">
        <v>727831</v>
      </c>
    </row>
    <row r="1420" spans="1:13" x14ac:dyDescent="0.35">
      <c r="A1420" t="str">
        <f t="shared" si="82"/>
        <v>PAI45747PAIE3202564140000</v>
      </c>
      <c r="B1420" t="s">
        <v>2964</v>
      </c>
      <c r="C1420" s="1">
        <v>45747</v>
      </c>
      <c r="D1420" t="s">
        <v>2965</v>
      </c>
      <c r="E1420" t="str">
        <f t="shared" si="83"/>
        <v>64140000</v>
      </c>
      <c r="F1420" t="s">
        <v>2988</v>
      </c>
      <c r="G1420" t="s">
        <v>336</v>
      </c>
      <c r="H1420" t="s">
        <v>5910</v>
      </c>
      <c r="I1420">
        <v>0</v>
      </c>
      <c r="J1420" t="s">
        <v>343</v>
      </c>
      <c r="K1420">
        <v>9482</v>
      </c>
      <c r="M1420">
        <v>727831</v>
      </c>
    </row>
    <row r="1421" spans="1:13" x14ac:dyDescent="0.35">
      <c r="A1421" t="str">
        <f t="shared" si="82"/>
        <v>PAI45747PAIE3202564140000</v>
      </c>
      <c r="B1421" t="s">
        <v>2964</v>
      </c>
      <c r="C1421" s="1">
        <v>45747</v>
      </c>
      <c r="D1421" t="s">
        <v>2965</v>
      </c>
      <c r="E1421" t="str">
        <f t="shared" si="83"/>
        <v>64140000</v>
      </c>
      <c r="F1421" t="s">
        <v>2988</v>
      </c>
      <c r="G1421" t="s">
        <v>336</v>
      </c>
      <c r="H1421" t="s">
        <v>5911</v>
      </c>
      <c r="I1421">
        <v>0</v>
      </c>
      <c r="J1421" t="s">
        <v>343</v>
      </c>
      <c r="K1421">
        <v>8583</v>
      </c>
      <c r="M1421">
        <v>727831</v>
      </c>
    </row>
    <row r="1422" spans="1:13" x14ac:dyDescent="0.35">
      <c r="A1422" t="str">
        <f t="shared" si="82"/>
        <v>PAI45747PAIE3202564140000</v>
      </c>
      <c r="B1422" t="s">
        <v>2964</v>
      </c>
      <c r="C1422" s="1">
        <v>45747</v>
      </c>
      <c r="D1422" t="s">
        <v>2965</v>
      </c>
      <c r="E1422" t="str">
        <f t="shared" si="83"/>
        <v>64140000</v>
      </c>
      <c r="F1422" t="s">
        <v>2988</v>
      </c>
      <c r="G1422" t="s">
        <v>336</v>
      </c>
      <c r="H1422" t="s">
        <v>5912</v>
      </c>
      <c r="I1422">
        <v>0</v>
      </c>
      <c r="J1422" t="s">
        <v>343</v>
      </c>
      <c r="K1422">
        <v>38506</v>
      </c>
      <c r="M1422">
        <v>727831</v>
      </c>
    </row>
    <row r="1423" spans="1:13" x14ac:dyDescent="0.35">
      <c r="A1423" t="str">
        <f t="shared" si="82"/>
        <v>PAI45747PAIE3202564140000</v>
      </c>
      <c r="B1423" t="s">
        <v>2964</v>
      </c>
      <c r="C1423" s="1">
        <v>45747</v>
      </c>
      <c r="D1423" t="s">
        <v>2965</v>
      </c>
      <c r="E1423" t="str">
        <f t="shared" si="83"/>
        <v>64140000</v>
      </c>
      <c r="F1423" t="s">
        <v>2988</v>
      </c>
      <c r="G1423" t="s">
        <v>336</v>
      </c>
      <c r="H1423" t="s">
        <v>5913</v>
      </c>
      <c r="I1423">
        <v>0</v>
      </c>
      <c r="J1423" t="s">
        <v>343</v>
      </c>
      <c r="K1423">
        <v>26573</v>
      </c>
      <c r="M1423">
        <v>727831</v>
      </c>
    </row>
    <row r="1424" spans="1:13" x14ac:dyDescent="0.35">
      <c r="A1424" t="str">
        <f t="shared" si="82"/>
        <v>PAI45747PAIE3202564140000</v>
      </c>
      <c r="B1424" t="s">
        <v>2964</v>
      </c>
      <c r="C1424" s="1">
        <v>45747</v>
      </c>
      <c r="D1424" t="s">
        <v>2965</v>
      </c>
      <c r="E1424" t="str">
        <f t="shared" si="83"/>
        <v>64140000</v>
      </c>
      <c r="F1424" t="s">
        <v>2988</v>
      </c>
      <c r="G1424" t="s">
        <v>336</v>
      </c>
      <c r="H1424" t="s">
        <v>5914</v>
      </c>
      <c r="I1424">
        <v>0</v>
      </c>
      <c r="J1424" t="s">
        <v>343</v>
      </c>
      <c r="K1424">
        <v>37067</v>
      </c>
      <c r="M1424">
        <v>727831</v>
      </c>
    </row>
    <row r="1425" spans="1:13" x14ac:dyDescent="0.35">
      <c r="A1425" t="str">
        <f t="shared" si="82"/>
        <v>PAI45747PAIE3202564140000</v>
      </c>
      <c r="B1425" t="s">
        <v>2964</v>
      </c>
      <c r="C1425" s="1">
        <v>45747</v>
      </c>
      <c r="D1425" t="s">
        <v>2965</v>
      </c>
      <c r="E1425" t="str">
        <f t="shared" si="83"/>
        <v>64140000</v>
      </c>
      <c r="F1425" t="s">
        <v>2988</v>
      </c>
      <c r="G1425" t="s">
        <v>336</v>
      </c>
      <c r="H1425" t="s">
        <v>5935</v>
      </c>
      <c r="I1425">
        <v>0</v>
      </c>
      <c r="J1425" t="s">
        <v>343</v>
      </c>
      <c r="K1425">
        <v>42700</v>
      </c>
      <c r="M1425">
        <v>727831</v>
      </c>
    </row>
    <row r="1426" spans="1:13" x14ac:dyDescent="0.35">
      <c r="A1426" t="str">
        <f t="shared" si="82"/>
        <v>PAI45747PAIE3202564140000</v>
      </c>
      <c r="B1426" t="s">
        <v>2964</v>
      </c>
      <c r="C1426" s="1">
        <v>45747</v>
      </c>
      <c r="D1426" t="s">
        <v>2965</v>
      </c>
      <c r="E1426" t="str">
        <f t="shared" si="83"/>
        <v>64140000</v>
      </c>
      <c r="F1426" t="s">
        <v>2988</v>
      </c>
      <c r="G1426" t="s">
        <v>336</v>
      </c>
      <c r="H1426" t="s">
        <v>5936</v>
      </c>
      <c r="I1426">
        <v>0</v>
      </c>
      <c r="J1426" t="s">
        <v>343</v>
      </c>
      <c r="K1426">
        <v>40917</v>
      </c>
      <c r="M1426">
        <v>727831</v>
      </c>
    </row>
    <row r="1427" spans="1:13" x14ac:dyDescent="0.35">
      <c r="A1427" t="str">
        <f t="shared" si="82"/>
        <v>PAI45747PAIE3202564140000</v>
      </c>
      <c r="B1427" t="s">
        <v>2964</v>
      </c>
      <c r="C1427" s="1">
        <v>45747</v>
      </c>
      <c r="D1427" t="s">
        <v>2965</v>
      </c>
      <c r="E1427" t="str">
        <f t="shared" si="83"/>
        <v>64140000</v>
      </c>
      <c r="F1427" t="s">
        <v>2988</v>
      </c>
      <c r="G1427" t="s">
        <v>336</v>
      </c>
      <c r="H1427" t="s">
        <v>5903</v>
      </c>
      <c r="I1427">
        <v>0</v>
      </c>
      <c r="J1427" t="s">
        <v>343</v>
      </c>
      <c r="K1427">
        <v>8311</v>
      </c>
      <c r="M1427">
        <v>727831</v>
      </c>
    </row>
    <row r="1428" spans="1:13" x14ac:dyDescent="0.35">
      <c r="A1428" t="str">
        <f t="shared" si="82"/>
        <v>PAI45747PAIE3202564140000</v>
      </c>
      <c r="B1428" t="s">
        <v>2964</v>
      </c>
      <c r="C1428" s="1">
        <v>45747</v>
      </c>
      <c r="D1428" t="s">
        <v>2965</v>
      </c>
      <c r="E1428" t="str">
        <f t="shared" si="83"/>
        <v>64140000</v>
      </c>
      <c r="F1428" t="s">
        <v>2988</v>
      </c>
      <c r="G1428" t="s">
        <v>336</v>
      </c>
      <c r="H1428" t="s">
        <v>5915</v>
      </c>
      <c r="I1428">
        <v>0</v>
      </c>
      <c r="J1428" t="s">
        <v>343</v>
      </c>
      <c r="K1428">
        <v>19219</v>
      </c>
      <c r="M1428">
        <v>727831</v>
      </c>
    </row>
    <row r="1429" spans="1:13" x14ac:dyDescent="0.35">
      <c r="A1429" t="str">
        <f t="shared" si="82"/>
        <v>PAI45747PAIE3202564140000</v>
      </c>
      <c r="B1429" t="s">
        <v>2964</v>
      </c>
      <c r="C1429" s="1">
        <v>45747</v>
      </c>
      <c r="D1429" t="s">
        <v>2965</v>
      </c>
      <c r="E1429" t="str">
        <f t="shared" si="83"/>
        <v>64140000</v>
      </c>
      <c r="F1429" t="s">
        <v>2988</v>
      </c>
      <c r="G1429" t="s">
        <v>336</v>
      </c>
      <c r="H1429" t="s">
        <v>5917</v>
      </c>
      <c r="I1429">
        <v>0</v>
      </c>
      <c r="J1429" t="s">
        <v>343</v>
      </c>
      <c r="K1429">
        <v>10758</v>
      </c>
      <c r="M1429">
        <v>727831</v>
      </c>
    </row>
    <row r="1430" spans="1:13" x14ac:dyDescent="0.35">
      <c r="A1430" t="str">
        <f t="shared" si="82"/>
        <v>PAI45747PAIE3202564140000</v>
      </c>
      <c r="B1430" t="s">
        <v>2964</v>
      </c>
      <c r="C1430" s="1">
        <v>45747</v>
      </c>
      <c r="D1430" t="s">
        <v>2965</v>
      </c>
      <c r="E1430" t="str">
        <f t="shared" si="83"/>
        <v>64140000</v>
      </c>
      <c r="F1430" t="s">
        <v>2988</v>
      </c>
      <c r="G1430" t="s">
        <v>336</v>
      </c>
      <c r="H1430" t="s">
        <v>5918</v>
      </c>
      <c r="I1430">
        <v>0</v>
      </c>
      <c r="J1430" t="s">
        <v>343</v>
      </c>
      <c r="K1430">
        <v>50118</v>
      </c>
      <c r="M1430">
        <v>727831</v>
      </c>
    </row>
    <row r="1431" spans="1:13" x14ac:dyDescent="0.35">
      <c r="A1431" t="str">
        <f t="shared" si="82"/>
        <v>PAI45747PAIE3202564140000</v>
      </c>
      <c r="B1431" t="s">
        <v>2964</v>
      </c>
      <c r="C1431" s="1">
        <v>45747</v>
      </c>
      <c r="D1431" t="s">
        <v>2965</v>
      </c>
      <c r="E1431" t="str">
        <f t="shared" si="83"/>
        <v>64140000</v>
      </c>
      <c r="F1431" t="s">
        <v>2988</v>
      </c>
      <c r="G1431" t="s">
        <v>336</v>
      </c>
      <c r="H1431" t="s">
        <v>5919</v>
      </c>
      <c r="I1431">
        <v>0</v>
      </c>
      <c r="J1431" t="s">
        <v>343</v>
      </c>
      <c r="K1431">
        <v>15029</v>
      </c>
      <c r="M1431">
        <v>727831</v>
      </c>
    </row>
    <row r="1432" spans="1:13" x14ac:dyDescent="0.35">
      <c r="A1432" t="str">
        <f t="shared" si="82"/>
        <v>PAI45747PAIE3202564140000</v>
      </c>
      <c r="B1432" t="s">
        <v>2964</v>
      </c>
      <c r="C1432" s="1">
        <v>45747</v>
      </c>
      <c r="D1432" t="s">
        <v>2965</v>
      </c>
      <c r="E1432" t="str">
        <f t="shared" si="83"/>
        <v>64140000</v>
      </c>
      <c r="F1432" t="s">
        <v>2988</v>
      </c>
      <c r="G1432" t="s">
        <v>336</v>
      </c>
      <c r="H1432" t="s">
        <v>5920</v>
      </c>
      <c r="I1432">
        <v>0</v>
      </c>
      <c r="J1432" t="s">
        <v>343</v>
      </c>
      <c r="K1432">
        <v>20113</v>
      </c>
      <c r="M1432">
        <v>727831</v>
      </c>
    </row>
    <row r="1433" spans="1:13" x14ac:dyDescent="0.35">
      <c r="A1433" t="str">
        <f t="shared" si="82"/>
        <v>PAI45747PAIE3202564140000</v>
      </c>
      <c r="B1433" t="s">
        <v>2964</v>
      </c>
      <c r="C1433" s="1">
        <v>45747</v>
      </c>
      <c r="D1433" t="s">
        <v>2965</v>
      </c>
      <c r="E1433" t="str">
        <f t="shared" si="83"/>
        <v>64140000</v>
      </c>
      <c r="F1433" t="s">
        <v>2988</v>
      </c>
      <c r="G1433" t="s">
        <v>336</v>
      </c>
      <c r="H1433" t="s">
        <v>5888</v>
      </c>
      <c r="I1433">
        <v>0</v>
      </c>
      <c r="J1433" t="s">
        <v>343</v>
      </c>
      <c r="K1433">
        <v>23022</v>
      </c>
      <c r="M1433">
        <v>727831</v>
      </c>
    </row>
    <row r="1434" spans="1:13" x14ac:dyDescent="0.35">
      <c r="A1434" t="str">
        <f t="shared" si="82"/>
        <v>PAI45747PAIE3202564140000</v>
      </c>
      <c r="B1434" t="s">
        <v>2964</v>
      </c>
      <c r="C1434" s="1">
        <v>45747</v>
      </c>
      <c r="D1434" t="s">
        <v>2965</v>
      </c>
      <c r="E1434" t="str">
        <f t="shared" si="83"/>
        <v>64140000</v>
      </c>
      <c r="F1434" t="s">
        <v>2988</v>
      </c>
      <c r="G1434" t="s">
        <v>336</v>
      </c>
      <c r="H1434" t="s">
        <v>5961</v>
      </c>
      <c r="I1434">
        <v>0</v>
      </c>
      <c r="J1434" t="s">
        <v>343</v>
      </c>
      <c r="K1434">
        <v>50121</v>
      </c>
      <c r="M1434">
        <v>727831</v>
      </c>
    </row>
    <row r="1435" spans="1:13" x14ac:dyDescent="0.35">
      <c r="A1435" t="str">
        <f t="shared" si="82"/>
        <v>PAI45747PAIE3202564140000</v>
      </c>
      <c r="B1435" t="s">
        <v>2964</v>
      </c>
      <c r="C1435" s="1">
        <v>45747</v>
      </c>
      <c r="D1435" t="s">
        <v>2965</v>
      </c>
      <c r="E1435" t="str">
        <f t="shared" si="83"/>
        <v>64140000</v>
      </c>
      <c r="F1435" t="s">
        <v>2988</v>
      </c>
      <c r="G1435" t="s">
        <v>336</v>
      </c>
      <c r="H1435" t="s">
        <v>5921</v>
      </c>
      <c r="I1435">
        <v>0</v>
      </c>
      <c r="J1435" t="s">
        <v>343</v>
      </c>
      <c r="K1435">
        <v>86118</v>
      </c>
      <c r="M1435">
        <v>727831</v>
      </c>
    </row>
    <row r="1436" spans="1:13" x14ac:dyDescent="0.35">
      <c r="A1436" t="str">
        <f t="shared" si="82"/>
        <v>PAI45747PAIE3202564140000</v>
      </c>
      <c r="B1436" t="s">
        <v>2964</v>
      </c>
      <c r="C1436" s="1">
        <v>45747</v>
      </c>
      <c r="D1436" t="s">
        <v>2965</v>
      </c>
      <c r="E1436" t="str">
        <f t="shared" si="83"/>
        <v>64140000</v>
      </c>
      <c r="F1436" t="s">
        <v>2988</v>
      </c>
      <c r="G1436" t="s">
        <v>336</v>
      </c>
      <c r="H1436" t="s">
        <v>5922</v>
      </c>
      <c r="I1436">
        <v>0</v>
      </c>
      <c r="J1436" t="s">
        <v>343</v>
      </c>
      <c r="K1436">
        <v>17836</v>
      </c>
      <c r="M1436">
        <v>727831</v>
      </c>
    </row>
    <row r="1437" spans="1:13" x14ac:dyDescent="0.35">
      <c r="A1437" t="str">
        <f t="shared" si="82"/>
        <v>PAI45747PAIE3202564140000</v>
      </c>
      <c r="B1437" t="s">
        <v>2964</v>
      </c>
      <c r="C1437" s="1">
        <v>45747</v>
      </c>
      <c r="D1437" t="s">
        <v>2965</v>
      </c>
      <c r="E1437" t="str">
        <f t="shared" si="83"/>
        <v>64140000</v>
      </c>
      <c r="F1437" t="s">
        <v>2988</v>
      </c>
      <c r="G1437" t="s">
        <v>336</v>
      </c>
      <c r="H1437" t="s">
        <v>5942</v>
      </c>
      <c r="I1437">
        <v>0</v>
      </c>
      <c r="J1437" t="s">
        <v>343</v>
      </c>
      <c r="K1437">
        <v>404</v>
      </c>
      <c r="M1437">
        <v>727831</v>
      </c>
    </row>
    <row r="1438" spans="1:13" x14ac:dyDescent="0.35">
      <c r="A1438" t="str">
        <f t="shared" si="82"/>
        <v>PAI45747PAIE3202564140000</v>
      </c>
      <c r="B1438" t="s">
        <v>2964</v>
      </c>
      <c r="C1438" s="1">
        <v>45747</v>
      </c>
      <c r="D1438" t="s">
        <v>2965</v>
      </c>
      <c r="E1438" t="str">
        <f t="shared" si="83"/>
        <v>64140000</v>
      </c>
      <c r="F1438" t="s">
        <v>2989</v>
      </c>
      <c r="G1438" t="s">
        <v>336</v>
      </c>
      <c r="H1438" t="s">
        <v>5911</v>
      </c>
      <c r="I1438">
        <v>0</v>
      </c>
      <c r="J1438" t="s">
        <v>343</v>
      </c>
      <c r="K1438">
        <v>15146</v>
      </c>
      <c r="M1438">
        <v>109605</v>
      </c>
    </row>
    <row r="1439" spans="1:13" x14ac:dyDescent="0.35">
      <c r="A1439" t="str">
        <f t="shared" si="82"/>
        <v>PAI45747PAIE3202564140000</v>
      </c>
      <c r="B1439" t="s">
        <v>2964</v>
      </c>
      <c r="C1439" s="1">
        <v>45747</v>
      </c>
      <c r="D1439" t="s">
        <v>2965</v>
      </c>
      <c r="E1439" t="str">
        <f t="shared" si="83"/>
        <v>64140000</v>
      </c>
      <c r="F1439" t="s">
        <v>2989</v>
      </c>
      <c r="G1439" t="s">
        <v>336</v>
      </c>
      <c r="H1439" t="s">
        <v>5917</v>
      </c>
      <c r="I1439">
        <v>0</v>
      </c>
      <c r="J1439" t="s">
        <v>343</v>
      </c>
      <c r="K1439">
        <v>94459</v>
      </c>
      <c r="M1439">
        <v>109605</v>
      </c>
    </row>
    <row r="1440" spans="1:13" x14ac:dyDescent="0.35">
      <c r="A1440" t="str">
        <f t="shared" si="82"/>
        <v>PAI45747PAIE3202564150000</v>
      </c>
      <c r="B1440" t="s">
        <v>2964</v>
      </c>
      <c r="C1440" s="1">
        <v>45747</v>
      </c>
      <c r="D1440" t="s">
        <v>2965</v>
      </c>
      <c r="E1440" t="str">
        <f t="shared" ref="E1440:E1462" si="84">"64150000"</f>
        <v>64150000</v>
      </c>
      <c r="F1440" t="s">
        <v>2990</v>
      </c>
      <c r="G1440" t="s">
        <v>336</v>
      </c>
      <c r="H1440" t="s">
        <v>5909</v>
      </c>
      <c r="I1440">
        <v>0</v>
      </c>
      <c r="J1440" t="s">
        <v>343</v>
      </c>
      <c r="K1440">
        <v>140964</v>
      </c>
      <c r="M1440">
        <v>2183534</v>
      </c>
    </row>
    <row r="1441" spans="1:13" x14ac:dyDescent="0.35">
      <c r="A1441" t="str">
        <f t="shared" si="82"/>
        <v>PAI45747PAIE3202564150000</v>
      </c>
      <c r="B1441" t="s">
        <v>2964</v>
      </c>
      <c r="C1441" s="1">
        <v>45747</v>
      </c>
      <c r="D1441" t="s">
        <v>2965</v>
      </c>
      <c r="E1441" t="str">
        <f t="shared" si="84"/>
        <v>64150000</v>
      </c>
      <c r="F1441" t="s">
        <v>2990</v>
      </c>
      <c r="G1441" t="s">
        <v>336</v>
      </c>
      <c r="H1441" t="s">
        <v>5886</v>
      </c>
      <c r="I1441">
        <v>0</v>
      </c>
      <c r="J1441" t="s">
        <v>343</v>
      </c>
      <c r="K1441">
        <v>104914</v>
      </c>
      <c r="M1441">
        <v>2183534</v>
      </c>
    </row>
    <row r="1442" spans="1:13" x14ac:dyDescent="0.35">
      <c r="A1442" t="str">
        <f t="shared" si="82"/>
        <v>PAI45747PAIE3202564150000</v>
      </c>
      <c r="B1442" t="s">
        <v>2964</v>
      </c>
      <c r="C1442" s="1">
        <v>45747</v>
      </c>
      <c r="D1442" t="s">
        <v>2965</v>
      </c>
      <c r="E1442" t="str">
        <f t="shared" si="84"/>
        <v>64150000</v>
      </c>
      <c r="F1442" t="s">
        <v>2990</v>
      </c>
      <c r="G1442" t="s">
        <v>336</v>
      </c>
      <c r="H1442" t="s">
        <v>5902</v>
      </c>
      <c r="I1442">
        <v>0</v>
      </c>
      <c r="J1442" t="s">
        <v>343</v>
      </c>
      <c r="K1442">
        <v>422996</v>
      </c>
      <c r="M1442">
        <v>2183534</v>
      </c>
    </row>
    <row r="1443" spans="1:13" x14ac:dyDescent="0.35">
      <c r="A1443" t="str">
        <f t="shared" si="82"/>
        <v>PAI45747PAIE3202564150000</v>
      </c>
      <c r="B1443" t="s">
        <v>2964</v>
      </c>
      <c r="C1443" s="1">
        <v>45747</v>
      </c>
      <c r="D1443" t="s">
        <v>2965</v>
      </c>
      <c r="E1443" t="str">
        <f t="shared" si="84"/>
        <v>64150000</v>
      </c>
      <c r="F1443" t="s">
        <v>2990</v>
      </c>
      <c r="G1443" t="s">
        <v>336</v>
      </c>
      <c r="H1443" t="s">
        <v>5910</v>
      </c>
      <c r="I1443">
        <v>0</v>
      </c>
      <c r="J1443" t="s">
        <v>343</v>
      </c>
      <c r="K1443">
        <v>28450</v>
      </c>
      <c r="M1443">
        <v>2183534</v>
      </c>
    </row>
    <row r="1444" spans="1:13" x14ac:dyDescent="0.35">
      <c r="A1444" t="str">
        <f t="shared" si="82"/>
        <v>PAI45747PAIE3202564150000</v>
      </c>
      <c r="B1444" t="s">
        <v>2964</v>
      </c>
      <c r="C1444" s="1">
        <v>45747</v>
      </c>
      <c r="D1444" t="s">
        <v>2965</v>
      </c>
      <c r="E1444" t="str">
        <f t="shared" si="84"/>
        <v>64150000</v>
      </c>
      <c r="F1444" t="s">
        <v>2990</v>
      </c>
      <c r="G1444" t="s">
        <v>336</v>
      </c>
      <c r="H1444" t="s">
        <v>5911</v>
      </c>
      <c r="I1444">
        <v>0</v>
      </c>
      <c r="J1444" t="s">
        <v>343</v>
      </c>
      <c r="K1444">
        <v>25754</v>
      </c>
      <c r="M1444">
        <v>2183534</v>
      </c>
    </row>
    <row r="1445" spans="1:13" x14ac:dyDescent="0.35">
      <c r="A1445" t="str">
        <f t="shared" si="82"/>
        <v>PAI45747PAIE3202564150000</v>
      </c>
      <c r="B1445" t="s">
        <v>2964</v>
      </c>
      <c r="C1445" s="1">
        <v>45747</v>
      </c>
      <c r="D1445" t="s">
        <v>2965</v>
      </c>
      <c r="E1445" t="str">
        <f t="shared" si="84"/>
        <v>64150000</v>
      </c>
      <c r="F1445" t="s">
        <v>2990</v>
      </c>
      <c r="G1445" t="s">
        <v>336</v>
      </c>
      <c r="H1445" t="s">
        <v>5912</v>
      </c>
      <c r="I1445">
        <v>0</v>
      </c>
      <c r="J1445" t="s">
        <v>343</v>
      </c>
      <c r="K1445">
        <v>115520</v>
      </c>
      <c r="M1445">
        <v>2183534</v>
      </c>
    </row>
    <row r="1446" spans="1:13" x14ac:dyDescent="0.35">
      <c r="A1446" t="str">
        <f t="shared" si="82"/>
        <v>PAI45747PAIE3202564150000</v>
      </c>
      <c r="B1446" t="s">
        <v>2964</v>
      </c>
      <c r="C1446" s="1">
        <v>45747</v>
      </c>
      <c r="D1446" t="s">
        <v>2965</v>
      </c>
      <c r="E1446" t="str">
        <f t="shared" si="84"/>
        <v>64150000</v>
      </c>
      <c r="F1446" t="s">
        <v>2990</v>
      </c>
      <c r="G1446" t="s">
        <v>336</v>
      </c>
      <c r="H1446" t="s">
        <v>5913</v>
      </c>
      <c r="I1446">
        <v>0</v>
      </c>
      <c r="J1446" t="s">
        <v>343</v>
      </c>
      <c r="K1446">
        <v>79722</v>
      </c>
      <c r="M1446">
        <v>2183534</v>
      </c>
    </row>
    <row r="1447" spans="1:13" x14ac:dyDescent="0.35">
      <c r="A1447" t="str">
        <f t="shared" si="82"/>
        <v>PAI45747PAIE3202564150000</v>
      </c>
      <c r="B1447" t="s">
        <v>2964</v>
      </c>
      <c r="C1447" s="1">
        <v>45747</v>
      </c>
      <c r="D1447" t="s">
        <v>2965</v>
      </c>
      <c r="E1447" t="str">
        <f t="shared" si="84"/>
        <v>64150000</v>
      </c>
      <c r="F1447" t="s">
        <v>2990</v>
      </c>
      <c r="G1447" t="s">
        <v>336</v>
      </c>
      <c r="H1447" t="s">
        <v>5914</v>
      </c>
      <c r="I1447">
        <v>0</v>
      </c>
      <c r="J1447" t="s">
        <v>343</v>
      </c>
      <c r="K1447">
        <v>111194</v>
      </c>
      <c r="M1447">
        <v>2183534</v>
      </c>
    </row>
    <row r="1448" spans="1:13" x14ac:dyDescent="0.35">
      <c r="A1448" t="str">
        <f t="shared" si="82"/>
        <v>PAI45747PAIE3202564150000</v>
      </c>
      <c r="B1448" t="s">
        <v>2964</v>
      </c>
      <c r="C1448" s="1">
        <v>45747</v>
      </c>
      <c r="D1448" t="s">
        <v>2965</v>
      </c>
      <c r="E1448" t="str">
        <f t="shared" si="84"/>
        <v>64150000</v>
      </c>
      <c r="F1448" t="s">
        <v>2990</v>
      </c>
      <c r="G1448" t="s">
        <v>336</v>
      </c>
      <c r="H1448" t="s">
        <v>5935</v>
      </c>
      <c r="I1448">
        <v>0</v>
      </c>
      <c r="J1448" t="s">
        <v>343</v>
      </c>
      <c r="K1448">
        <v>128104</v>
      </c>
      <c r="M1448">
        <v>2183534</v>
      </c>
    </row>
    <row r="1449" spans="1:13" x14ac:dyDescent="0.35">
      <c r="A1449" t="str">
        <f t="shared" si="82"/>
        <v>PAI45747PAIE3202564150000</v>
      </c>
      <c r="B1449" t="s">
        <v>2964</v>
      </c>
      <c r="C1449" s="1">
        <v>45747</v>
      </c>
      <c r="D1449" t="s">
        <v>2965</v>
      </c>
      <c r="E1449" t="str">
        <f t="shared" si="84"/>
        <v>64150000</v>
      </c>
      <c r="F1449" t="s">
        <v>2990</v>
      </c>
      <c r="G1449" t="s">
        <v>336</v>
      </c>
      <c r="H1449" t="s">
        <v>5936</v>
      </c>
      <c r="I1449">
        <v>0</v>
      </c>
      <c r="J1449" t="s">
        <v>343</v>
      </c>
      <c r="K1449">
        <v>122754</v>
      </c>
      <c r="M1449">
        <v>2183534</v>
      </c>
    </row>
    <row r="1450" spans="1:13" x14ac:dyDescent="0.35">
      <c r="A1450" t="str">
        <f t="shared" si="82"/>
        <v>PAI45747PAIE3202564150000</v>
      </c>
      <c r="B1450" t="s">
        <v>2964</v>
      </c>
      <c r="C1450" s="1">
        <v>45747</v>
      </c>
      <c r="D1450" t="s">
        <v>2965</v>
      </c>
      <c r="E1450" t="str">
        <f t="shared" si="84"/>
        <v>64150000</v>
      </c>
      <c r="F1450" t="s">
        <v>2990</v>
      </c>
      <c r="G1450" t="s">
        <v>336</v>
      </c>
      <c r="H1450" t="s">
        <v>5903</v>
      </c>
      <c r="I1450">
        <v>0</v>
      </c>
      <c r="J1450" t="s">
        <v>343</v>
      </c>
      <c r="K1450">
        <v>24938</v>
      </c>
      <c r="M1450">
        <v>2183534</v>
      </c>
    </row>
    <row r="1451" spans="1:13" x14ac:dyDescent="0.35">
      <c r="A1451" t="str">
        <f t="shared" si="82"/>
        <v>PAI45747PAIE3202564150000</v>
      </c>
      <c r="B1451" t="s">
        <v>2964</v>
      </c>
      <c r="C1451" s="1">
        <v>45747</v>
      </c>
      <c r="D1451" t="s">
        <v>2965</v>
      </c>
      <c r="E1451" t="str">
        <f t="shared" si="84"/>
        <v>64150000</v>
      </c>
      <c r="F1451" t="s">
        <v>2990</v>
      </c>
      <c r="G1451" t="s">
        <v>336</v>
      </c>
      <c r="H1451" t="s">
        <v>5915</v>
      </c>
      <c r="I1451">
        <v>0</v>
      </c>
      <c r="J1451" t="s">
        <v>343</v>
      </c>
      <c r="K1451">
        <v>57654</v>
      </c>
      <c r="M1451">
        <v>2183534</v>
      </c>
    </row>
    <row r="1452" spans="1:13" x14ac:dyDescent="0.35">
      <c r="A1452" t="str">
        <f t="shared" si="82"/>
        <v>PAI45747PAIE3202564150000</v>
      </c>
      <c r="B1452" t="s">
        <v>2964</v>
      </c>
      <c r="C1452" s="1">
        <v>45747</v>
      </c>
      <c r="D1452" t="s">
        <v>2965</v>
      </c>
      <c r="E1452" t="str">
        <f t="shared" si="84"/>
        <v>64150000</v>
      </c>
      <c r="F1452" t="s">
        <v>2990</v>
      </c>
      <c r="G1452" t="s">
        <v>336</v>
      </c>
      <c r="H1452" t="s">
        <v>5917</v>
      </c>
      <c r="I1452">
        <v>0</v>
      </c>
      <c r="J1452" t="s">
        <v>343</v>
      </c>
      <c r="K1452">
        <v>32272</v>
      </c>
      <c r="M1452">
        <v>2183534</v>
      </c>
    </row>
    <row r="1453" spans="1:13" x14ac:dyDescent="0.35">
      <c r="A1453" t="str">
        <f t="shared" si="82"/>
        <v>PAI45747PAIE3202564150000</v>
      </c>
      <c r="B1453" t="s">
        <v>2964</v>
      </c>
      <c r="C1453" s="1">
        <v>45747</v>
      </c>
      <c r="D1453" t="s">
        <v>2965</v>
      </c>
      <c r="E1453" t="str">
        <f t="shared" si="84"/>
        <v>64150000</v>
      </c>
      <c r="F1453" t="s">
        <v>2990</v>
      </c>
      <c r="G1453" t="s">
        <v>336</v>
      </c>
      <c r="H1453" t="s">
        <v>5918</v>
      </c>
      <c r="I1453">
        <v>0</v>
      </c>
      <c r="J1453" t="s">
        <v>343</v>
      </c>
      <c r="K1453">
        <v>150366</v>
      </c>
      <c r="M1453">
        <v>2183534</v>
      </c>
    </row>
    <row r="1454" spans="1:13" x14ac:dyDescent="0.35">
      <c r="A1454" t="str">
        <f t="shared" si="82"/>
        <v>PAI45747PAIE3202564150000</v>
      </c>
      <c r="B1454" t="s">
        <v>2964</v>
      </c>
      <c r="C1454" s="1">
        <v>45747</v>
      </c>
      <c r="D1454" t="s">
        <v>2965</v>
      </c>
      <c r="E1454" t="str">
        <f t="shared" si="84"/>
        <v>64150000</v>
      </c>
      <c r="F1454" t="s">
        <v>2990</v>
      </c>
      <c r="G1454" t="s">
        <v>336</v>
      </c>
      <c r="H1454" t="s">
        <v>5919</v>
      </c>
      <c r="I1454">
        <v>0</v>
      </c>
      <c r="J1454" t="s">
        <v>343</v>
      </c>
      <c r="K1454">
        <v>45088</v>
      </c>
      <c r="M1454">
        <v>2183534</v>
      </c>
    </row>
    <row r="1455" spans="1:13" x14ac:dyDescent="0.35">
      <c r="A1455" t="str">
        <f t="shared" si="82"/>
        <v>PAI45747PAIE3202564150000</v>
      </c>
      <c r="B1455" t="s">
        <v>2964</v>
      </c>
      <c r="C1455" s="1">
        <v>45747</v>
      </c>
      <c r="D1455" t="s">
        <v>2965</v>
      </c>
      <c r="E1455" t="str">
        <f t="shared" si="84"/>
        <v>64150000</v>
      </c>
      <c r="F1455" t="s">
        <v>2990</v>
      </c>
      <c r="G1455" t="s">
        <v>336</v>
      </c>
      <c r="H1455" t="s">
        <v>5920</v>
      </c>
      <c r="I1455">
        <v>0</v>
      </c>
      <c r="J1455" t="s">
        <v>343</v>
      </c>
      <c r="K1455">
        <v>60328</v>
      </c>
      <c r="M1455">
        <v>2183534</v>
      </c>
    </row>
    <row r="1456" spans="1:13" x14ac:dyDescent="0.35">
      <c r="A1456" t="str">
        <f t="shared" si="82"/>
        <v>PAI45747PAIE3202564150000</v>
      </c>
      <c r="B1456" t="s">
        <v>2964</v>
      </c>
      <c r="C1456" s="1">
        <v>45747</v>
      </c>
      <c r="D1456" t="s">
        <v>2965</v>
      </c>
      <c r="E1456" t="str">
        <f t="shared" si="84"/>
        <v>64150000</v>
      </c>
      <c r="F1456" t="s">
        <v>2990</v>
      </c>
      <c r="G1456" t="s">
        <v>336</v>
      </c>
      <c r="H1456" t="s">
        <v>5888</v>
      </c>
      <c r="I1456">
        <v>0</v>
      </c>
      <c r="J1456" t="s">
        <v>343</v>
      </c>
      <c r="K1456">
        <v>69066</v>
      </c>
      <c r="M1456">
        <v>2183534</v>
      </c>
    </row>
    <row r="1457" spans="1:13" x14ac:dyDescent="0.35">
      <c r="A1457" t="str">
        <f t="shared" si="82"/>
        <v>PAI45747PAIE3202564150000</v>
      </c>
      <c r="B1457" t="s">
        <v>2964</v>
      </c>
      <c r="C1457" s="1">
        <v>45747</v>
      </c>
      <c r="D1457" t="s">
        <v>2965</v>
      </c>
      <c r="E1457" t="str">
        <f t="shared" si="84"/>
        <v>64150000</v>
      </c>
      <c r="F1457" t="s">
        <v>2990</v>
      </c>
      <c r="G1457" t="s">
        <v>336</v>
      </c>
      <c r="H1457" t="s">
        <v>5961</v>
      </c>
      <c r="I1457">
        <v>0</v>
      </c>
      <c r="J1457" t="s">
        <v>343</v>
      </c>
      <c r="K1457">
        <v>150376</v>
      </c>
      <c r="M1457">
        <v>2183534</v>
      </c>
    </row>
    <row r="1458" spans="1:13" x14ac:dyDescent="0.35">
      <c r="A1458" t="str">
        <f t="shared" si="82"/>
        <v>PAI45747PAIE3202564150000</v>
      </c>
      <c r="B1458" t="s">
        <v>2964</v>
      </c>
      <c r="C1458" s="1">
        <v>45747</v>
      </c>
      <c r="D1458" t="s">
        <v>2965</v>
      </c>
      <c r="E1458" t="str">
        <f t="shared" si="84"/>
        <v>64150000</v>
      </c>
      <c r="F1458" t="s">
        <v>2990</v>
      </c>
      <c r="G1458" t="s">
        <v>336</v>
      </c>
      <c r="H1458" t="s">
        <v>5921</v>
      </c>
      <c r="I1458">
        <v>0</v>
      </c>
      <c r="J1458" t="s">
        <v>343</v>
      </c>
      <c r="K1458">
        <v>258358</v>
      </c>
      <c r="M1458">
        <v>2183534</v>
      </c>
    </row>
    <row r="1459" spans="1:13" x14ac:dyDescent="0.35">
      <c r="A1459" t="str">
        <f t="shared" si="82"/>
        <v>PAI45747PAIE3202564150000</v>
      </c>
      <c r="B1459" t="s">
        <v>2964</v>
      </c>
      <c r="C1459" s="1">
        <v>45747</v>
      </c>
      <c r="D1459" t="s">
        <v>2965</v>
      </c>
      <c r="E1459" t="str">
        <f t="shared" si="84"/>
        <v>64150000</v>
      </c>
      <c r="F1459" t="s">
        <v>2990</v>
      </c>
      <c r="G1459" t="s">
        <v>336</v>
      </c>
      <c r="H1459" t="s">
        <v>5922</v>
      </c>
      <c r="I1459">
        <v>0</v>
      </c>
      <c r="J1459" t="s">
        <v>343</v>
      </c>
      <c r="K1459">
        <v>53504</v>
      </c>
      <c r="M1459">
        <v>2183534</v>
      </c>
    </row>
    <row r="1460" spans="1:13" x14ac:dyDescent="0.35">
      <c r="A1460" t="str">
        <f t="shared" si="82"/>
        <v>PAI45747PAIE3202564150000</v>
      </c>
      <c r="B1460" t="s">
        <v>2964</v>
      </c>
      <c r="C1460" s="1">
        <v>45747</v>
      </c>
      <c r="D1460" t="s">
        <v>2965</v>
      </c>
      <c r="E1460" t="str">
        <f t="shared" si="84"/>
        <v>64150000</v>
      </c>
      <c r="F1460" t="s">
        <v>2990</v>
      </c>
      <c r="G1460" t="s">
        <v>336</v>
      </c>
      <c r="H1460" t="s">
        <v>5942</v>
      </c>
      <c r="I1460">
        <v>0</v>
      </c>
      <c r="J1460" t="s">
        <v>343</v>
      </c>
      <c r="K1460">
        <v>1212</v>
      </c>
      <c r="M1460">
        <v>2183534</v>
      </c>
    </row>
    <row r="1461" spans="1:13" x14ac:dyDescent="0.35">
      <c r="A1461" t="str">
        <f t="shared" si="82"/>
        <v>PAI45747PAIE3202564150000</v>
      </c>
      <c r="B1461" t="s">
        <v>2964</v>
      </c>
      <c r="C1461" s="1">
        <v>45747</v>
      </c>
      <c r="D1461" t="s">
        <v>2965</v>
      </c>
      <c r="E1461" t="str">
        <f t="shared" si="84"/>
        <v>64150000</v>
      </c>
      <c r="F1461" t="s">
        <v>2991</v>
      </c>
      <c r="G1461" t="s">
        <v>336</v>
      </c>
      <c r="H1461" t="s">
        <v>5911</v>
      </c>
      <c r="I1461">
        <v>0</v>
      </c>
      <c r="J1461" t="s">
        <v>343</v>
      </c>
      <c r="K1461">
        <v>45440</v>
      </c>
      <c r="M1461">
        <v>328818</v>
      </c>
    </row>
    <row r="1462" spans="1:13" x14ac:dyDescent="0.35">
      <c r="A1462" t="str">
        <f t="shared" si="82"/>
        <v>PAI45747PAIE3202564150000</v>
      </c>
      <c r="B1462" t="s">
        <v>2964</v>
      </c>
      <c r="C1462" s="1">
        <v>45747</v>
      </c>
      <c r="D1462" t="s">
        <v>2965</v>
      </c>
      <c r="E1462" t="str">
        <f t="shared" si="84"/>
        <v>64150000</v>
      </c>
      <c r="F1462" t="s">
        <v>2991</v>
      </c>
      <c r="G1462" t="s">
        <v>336</v>
      </c>
      <c r="H1462" t="s">
        <v>5917</v>
      </c>
      <c r="I1462">
        <v>0</v>
      </c>
      <c r="J1462" t="s">
        <v>343</v>
      </c>
      <c r="K1462">
        <v>283378</v>
      </c>
      <c r="M1462">
        <v>328818</v>
      </c>
    </row>
    <row r="1463" spans="1:13" x14ac:dyDescent="0.35">
      <c r="A1463" t="str">
        <f t="shared" si="82"/>
        <v>PAI45747PAIE3202566110000</v>
      </c>
      <c r="B1463" t="s">
        <v>2964</v>
      </c>
      <c r="C1463" s="1">
        <v>45747</v>
      </c>
      <c r="D1463" t="s">
        <v>2965</v>
      </c>
      <c r="E1463" t="str">
        <f t="shared" ref="E1463:E1485" si="85">"66110000"</f>
        <v>66110000</v>
      </c>
      <c r="F1463" t="s">
        <v>2992</v>
      </c>
      <c r="G1463" t="s">
        <v>336</v>
      </c>
      <c r="H1463" t="s">
        <v>5909</v>
      </c>
      <c r="I1463">
        <v>0</v>
      </c>
      <c r="J1463" t="s">
        <v>343</v>
      </c>
      <c r="K1463">
        <v>10870172</v>
      </c>
      <c r="M1463">
        <v>119955720</v>
      </c>
    </row>
    <row r="1464" spans="1:13" x14ac:dyDescent="0.35">
      <c r="A1464" t="str">
        <f t="shared" si="82"/>
        <v>PAI45747PAIE3202566110000</v>
      </c>
      <c r="B1464" t="s">
        <v>2964</v>
      </c>
      <c r="C1464" s="1">
        <v>45747</v>
      </c>
      <c r="D1464" t="s">
        <v>2965</v>
      </c>
      <c r="E1464" t="str">
        <f t="shared" si="85"/>
        <v>66110000</v>
      </c>
      <c r="F1464" t="s">
        <v>2992</v>
      </c>
      <c r="G1464" t="s">
        <v>336</v>
      </c>
      <c r="H1464" t="s">
        <v>5886</v>
      </c>
      <c r="I1464">
        <v>0</v>
      </c>
      <c r="J1464" t="s">
        <v>343</v>
      </c>
      <c r="K1464">
        <v>3628144</v>
      </c>
      <c r="M1464">
        <v>119955720</v>
      </c>
    </row>
    <row r="1465" spans="1:13" x14ac:dyDescent="0.35">
      <c r="A1465" t="str">
        <f t="shared" si="82"/>
        <v>PAI45747PAIE3202566110000</v>
      </c>
      <c r="B1465" t="s">
        <v>2964</v>
      </c>
      <c r="C1465" s="1">
        <v>45747</v>
      </c>
      <c r="D1465" t="s">
        <v>2965</v>
      </c>
      <c r="E1465" t="str">
        <f t="shared" si="85"/>
        <v>66110000</v>
      </c>
      <c r="F1465" t="s">
        <v>2992</v>
      </c>
      <c r="G1465" t="s">
        <v>336</v>
      </c>
      <c r="H1465" t="s">
        <v>5902</v>
      </c>
      <c r="I1465">
        <v>0</v>
      </c>
      <c r="J1465" t="s">
        <v>343</v>
      </c>
      <c r="K1465">
        <v>25215723</v>
      </c>
      <c r="M1465">
        <v>119955720</v>
      </c>
    </row>
    <row r="1466" spans="1:13" x14ac:dyDescent="0.35">
      <c r="A1466" t="str">
        <f t="shared" si="82"/>
        <v>PAI45747PAIE3202566110000</v>
      </c>
      <c r="B1466" t="s">
        <v>2964</v>
      </c>
      <c r="C1466" s="1">
        <v>45747</v>
      </c>
      <c r="D1466" t="s">
        <v>2965</v>
      </c>
      <c r="E1466" t="str">
        <f t="shared" si="85"/>
        <v>66110000</v>
      </c>
      <c r="F1466" t="s">
        <v>2992</v>
      </c>
      <c r="G1466" t="s">
        <v>336</v>
      </c>
      <c r="H1466" t="s">
        <v>5910</v>
      </c>
      <c r="I1466">
        <v>0</v>
      </c>
      <c r="J1466" t="s">
        <v>343</v>
      </c>
      <c r="K1466">
        <v>2042558</v>
      </c>
      <c r="M1466">
        <v>119955720</v>
      </c>
    </row>
    <row r="1467" spans="1:13" x14ac:dyDescent="0.35">
      <c r="A1467" t="str">
        <f t="shared" si="82"/>
        <v>PAI45747PAIE3202566110000</v>
      </c>
      <c r="B1467" t="s">
        <v>2964</v>
      </c>
      <c r="C1467" s="1">
        <v>45747</v>
      </c>
      <c r="D1467" t="s">
        <v>2965</v>
      </c>
      <c r="E1467" t="str">
        <f t="shared" si="85"/>
        <v>66110000</v>
      </c>
      <c r="F1467" t="s">
        <v>2992</v>
      </c>
      <c r="G1467" t="s">
        <v>336</v>
      </c>
      <c r="H1467" t="s">
        <v>5911</v>
      </c>
      <c r="I1467">
        <v>0</v>
      </c>
      <c r="J1467" t="s">
        <v>343</v>
      </c>
      <c r="K1467">
        <v>1579378</v>
      </c>
      <c r="M1467">
        <v>119955720</v>
      </c>
    </row>
    <row r="1468" spans="1:13" x14ac:dyDescent="0.35">
      <c r="A1468" t="str">
        <f t="shared" si="82"/>
        <v>PAI45747PAIE3202566110000</v>
      </c>
      <c r="B1468" t="s">
        <v>2964</v>
      </c>
      <c r="C1468" s="1">
        <v>45747</v>
      </c>
      <c r="D1468" t="s">
        <v>2965</v>
      </c>
      <c r="E1468" t="str">
        <f t="shared" si="85"/>
        <v>66110000</v>
      </c>
      <c r="F1468" t="s">
        <v>2992</v>
      </c>
      <c r="G1468" t="s">
        <v>336</v>
      </c>
      <c r="H1468" t="s">
        <v>5912</v>
      </c>
      <c r="I1468">
        <v>0</v>
      </c>
      <c r="J1468" t="s">
        <v>343</v>
      </c>
      <c r="K1468">
        <v>3902672</v>
      </c>
      <c r="M1468">
        <v>119955720</v>
      </c>
    </row>
    <row r="1469" spans="1:13" x14ac:dyDescent="0.35">
      <c r="A1469" t="str">
        <f t="shared" si="82"/>
        <v>PAI45747PAIE3202566110000</v>
      </c>
      <c r="B1469" t="s">
        <v>2964</v>
      </c>
      <c r="C1469" s="1">
        <v>45747</v>
      </c>
      <c r="D1469" t="s">
        <v>2965</v>
      </c>
      <c r="E1469" t="str">
        <f t="shared" si="85"/>
        <v>66110000</v>
      </c>
      <c r="F1469" t="s">
        <v>2992</v>
      </c>
      <c r="G1469" t="s">
        <v>336</v>
      </c>
      <c r="H1469" t="s">
        <v>5913</v>
      </c>
      <c r="I1469">
        <v>0</v>
      </c>
      <c r="J1469" t="s">
        <v>343</v>
      </c>
      <c r="K1469">
        <v>5883216</v>
      </c>
      <c r="M1469">
        <v>119955720</v>
      </c>
    </row>
    <row r="1470" spans="1:13" x14ac:dyDescent="0.35">
      <c r="A1470" t="str">
        <f t="shared" si="82"/>
        <v>PAI45747PAIE3202566110000</v>
      </c>
      <c r="B1470" t="s">
        <v>2964</v>
      </c>
      <c r="C1470" s="1">
        <v>45747</v>
      </c>
      <c r="D1470" t="s">
        <v>2965</v>
      </c>
      <c r="E1470" t="str">
        <f t="shared" si="85"/>
        <v>66110000</v>
      </c>
      <c r="F1470" t="s">
        <v>2992</v>
      </c>
      <c r="G1470" t="s">
        <v>336</v>
      </c>
      <c r="H1470" t="s">
        <v>5914</v>
      </c>
      <c r="I1470">
        <v>0</v>
      </c>
      <c r="J1470" t="s">
        <v>343</v>
      </c>
      <c r="K1470">
        <v>6955199</v>
      </c>
      <c r="M1470">
        <v>119955720</v>
      </c>
    </row>
    <row r="1471" spans="1:13" x14ac:dyDescent="0.35">
      <c r="A1471" t="str">
        <f t="shared" si="82"/>
        <v>PAI45747PAIE3202566110000</v>
      </c>
      <c r="B1471" t="s">
        <v>2964</v>
      </c>
      <c r="C1471" s="1">
        <v>45747</v>
      </c>
      <c r="D1471" t="s">
        <v>2965</v>
      </c>
      <c r="E1471" t="str">
        <f t="shared" si="85"/>
        <v>66110000</v>
      </c>
      <c r="F1471" t="s">
        <v>2992</v>
      </c>
      <c r="G1471" t="s">
        <v>336</v>
      </c>
      <c r="H1471" t="s">
        <v>5935</v>
      </c>
      <c r="I1471">
        <v>0</v>
      </c>
      <c r="J1471" t="s">
        <v>343</v>
      </c>
      <c r="K1471">
        <v>5410190</v>
      </c>
      <c r="M1471">
        <v>119955720</v>
      </c>
    </row>
    <row r="1472" spans="1:13" x14ac:dyDescent="0.35">
      <c r="A1472" t="str">
        <f t="shared" si="82"/>
        <v>PAI45747PAIE3202566110000</v>
      </c>
      <c r="B1472" t="s">
        <v>2964</v>
      </c>
      <c r="C1472" s="1">
        <v>45747</v>
      </c>
      <c r="D1472" t="s">
        <v>2965</v>
      </c>
      <c r="E1472" t="str">
        <f t="shared" si="85"/>
        <v>66110000</v>
      </c>
      <c r="F1472" t="s">
        <v>2992</v>
      </c>
      <c r="G1472" t="s">
        <v>336</v>
      </c>
      <c r="H1472" t="s">
        <v>5936</v>
      </c>
      <c r="I1472">
        <v>0</v>
      </c>
      <c r="J1472" t="s">
        <v>343</v>
      </c>
      <c r="K1472">
        <v>5347490</v>
      </c>
      <c r="M1472">
        <v>119955720</v>
      </c>
    </row>
    <row r="1473" spans="1:13" x14ac:dyDescent="0.35">
      <c r="A1473" t="str">
        <f t="shared" si="82"/>
        <v>PAI45747PAIE3202566110000</v>
      </c>
      <c r="B1473" t="s">
        <v>2964</v>
      </c>
      <c r="C1473" s="1">
        <v>45747</v>
      </c>
      <c r="D1473" t="s">
        <v>2965</v>
      </c>
      <c r="E1473" t="str">
        <f t="shared" si="85"/>
        <v>66110000</v>
      </c>
      <c r="F1473" t="s">
        <v>2992</v>
      </c>
      <c r="G1473" t="s">
        <v>336</v>
      </c>
      <c r="H1473" t="s">
        <v>5903</v>
      </c>
      <c r="I1473">
        <v>0</v>
      </c>
      <c r="J1473" t="s">
        <v>343</v>
      </c>
      <c r="K1473">
        <v>1582348</v>
      </c>
      <c r="M1473">
        <v>119955720</v>
      </c>
    </row>
    <row r="1474" spans="1:13" x14ac:dyDescent="0.35">
      <c r="A1474" t="str">
        <f t="shared" si="82"/>
        <v>PAI45747PAIE3202566110000</v>
      </c>
      <c r="B1474" t="s">
        <v>2964</v>
      </c>
      <c r="C1474" s="1">
        <v>45747</v>
      </c>
      <c r="D1474" t="s">
        <v>2965</v>
      </c>
      <c r="E1474" t="str">
        <f t="shared" si="85"/>
        <v>66110000</v>
      </c>
      <c r="F1474" t="s">
        <v>2992</v>
      </c>
      <c r="G1474" t="s">
        <v>336</v>
      </c>
      <c r="H1474" t="s">
        <v>5915</v>
      </c>
      <c r="I1474">
        <v>0</v>
      </c>
      <c r="J1474" t="s">
        <v>343</v>
      </c>
      <c r="K1474">
        <v>2083314</v>
      </c>
      <c r="M1474">
        <v>119955720</v>
      </c>
    </row>
    <row r="1475" spans="1:13" x14ac:dyDescent="0.35">
      <c r="A1475" t="str">
        <f t="shared" ref="A1475:A1538" si="86">CONCATENATE(B1475,C1475,D1475,E1475)</f>
        <v>PAI45747PAIE3202566110000</v>
      </c>
      <c r="B1475" t="s">
        <v>2964</v>
      </c>
      <c r="C1475" s="1">
        <v>45747</v>
      </c>
      <c r="D1475" t="s">
        <v>2965</v>
      </c>
      <c r="E1475" t="str">
        <f t="shared" si="85"/>
        <v>66110000</v>
      </c>
      <c r="F1475" t="s">
        <v>2992</v>
      </c>
      <c r="G1475" t="s">
        <v>336</v>
      </c>
      <c r="H1475" t="s">
        <v>5917</v>
      </c>
      <c r="I1475">
        <v>0</v>
      </c>
      <c r="J1475" t="s">
        <v>343</v>
      </c>
      <c r="K1475">
        <v>1385542</v>
      </c>
      <c r="M1475">
        <v>119955720</v>
      </c>
    </row>
    <row r="1476" spans="1:13" x14ac:dyDescent="0.35">
      <c r="A1476" t="str">
        <f t="shared" si="86"/>
        <v>PAI45747PAIE3202566110000</v>
      </c>
      <c r="B1476" t="s">
        <v>2964</v>
      </c>
      <c r="C1476" s="1">
        <v>45747</v>
      </c>
      <c r="D1476" t="s">
        <v>2965</v>
      </c>
      <c r="E1476" t="str">
        <f t="shared" si="85"/>
        <v>66110000</v>
      </c>
      <c r="F1476" t="s">
        <v>2992</v>
      </c>
      <c r="G1476" t="s">
        <v>336</v>
      </c>
      <c r="H1476" t="s">
        <v>5918</v>
      </c>
      <c r="I1476">
        <v>0</v>
      </c>
      <c r="J1476" t="s">
        <v>343</v>
      </c>
      <c r="K1476">
        <v>8890394</v>
      </c>
      <c r="M1476">
        <v>119955720</v>
      </c>
    </row>
    <row r="1477" spans="1:13" x14ac:dyDescent="0.35">
      <c r="A1477" t="str">
        <f t="shared" si="86"/>
        <v>PAI45747PAIE3202566110000</v>
      </c>
      <c r="B1477" t="s">
        <v>2964</v>
      </c>
      <c r="C1477" s="1">
        <v>45747</v>
      </c>
      <c r="D1477" t="s">
        <v>2965</v>
      </c>
      <c r="E1477" t="str">
        <f t="shared" si="85"/>
        <v>66110000</v>
      </c>
      <c r="F1477" t="s">
        <v>2992</v>
      </c>
      <c r="G1477" t="s">
        <v>336</v>
      </c>
      <c r="H1477" t="s">
        <v>5919</v>
      </c>
      <c r="I1477">
        <v>0</v>
      </c>
      <c r="J1477" t="s">
        <v>343</v>
      </c>
      <c r="K1477">
        <v>2480156</v>
      </c>
      <c r="M1477">
        <v>119955720</v>
      </c>
    </row>
    <row r="1478" spans="1:13" x14ac:dyDescent="0.35">
      <c r="A1478" t="str">
        <f t="shared" si="86"/>
        <v>PAI45747PAIE3202566110000</v>
      </c>
      <c r="B1478" t="s">
        <v>2964</v>
      </c>
      <c r="C1478" s="1">
        <v>45747</v>
      </c>
      <c r="D1478" t="s">
        <v>2965</v>
      </c>
      <c r="E1478" t="str">
        <f t="shared" si="85"/>
        <v>66110000</v>
      </c>
      <c r="F1478" t="s">
        <v>2992</v>
      </c>
      <c r="G1478" t="s">
        <v>336</v>
      </c>
      <c r="H1478" t="s">
        <v>5920</v>
      </c>
      <c r="I1478">
        <v>0</v>
      </c>
      <c r="J1478" t="s">
        <v>343</v>
      </c>
      <c r="K1478">
        <v>3318159</v>
      </c>
      <c r="M1478">
        <v>119955720</v>
      </c>
    </row>
    <row r="1479" spans="1:13" x14ac:dyDescent="0.35">
      <c r="A1479" t="str">
        <f t="shared" si="86"/>
        <v>PAI45747PAIE3202566110000</v>
      </c>
      <c r="B1479" t="s">
        <v>2964</v>
      </c>
      <c r="C1479" s="1">
        <v>45747</v>
      </c>
      <c r="D1479" t="s">
        <v>2965</v>
      </c>
      <c r="E1479" t="str">
        <f t="shared" si="85"/>
        <v>66110000</v>
      </c>
      <c r="F1479" t="s">
        <v>2992</v>
      </c>
      <c r="G1479" t="s">
        <v>336</v>
      </c>
      <c r="H1479" t="s">
        <v>5888</v>
      </c>
      <c r="I1479">
        <v>0</v>
      </c>
      <c r="J1479" t="s">
        <v>343</v>
      </c>
      <c r="K1479">
        <v>3878363</v>
      </c>
      <c r="M1479">
        <v>119955720</v>
      </c>
    </row>
    <row r="1480" spans="1:13" x14ac:dyDescent="0.35">
      <c r="A1480" t="str">
        <f t="shared" si="86"/>
        <v>PAI45747PAIE3202566110000</v>
      </c>
      <c r="B1480" t="s">
        <v>2964</v>
      </c>
      <c r="C1480" s="1">
        <v>45747</v>
      </c>
      <c r="D1480" t="s">
        <v>2965</v>
      </c>
      <c r="E1480" t="str">
        <f t="shared" si="85"/>
        <v>66110000</v>
      </c>
      <c r="F1480" t="s">
        <v>2992</v>
      </c>
      <c r="G1480" t="s">
        <v>336</v>
      </c>
      <c r="H1480" t="s">
        <v>5961</v>
      </c>
      <c r="I1480">
        <v>0</v>
      </c>
      <c r="J1480" t="s">
        <v>343</v>
      </c>
      <c r="K1480">
        <v>8370299</v>
      </c>
      <c r="M1480">
        <v>119955720</v>
      </c>
    </row>
    <row r="1481" spans="1:13" x14ac:dyDescent="0.35">
      <c r="A1481" t="str">
        <f t="shared" si="86"/>
        <v>PAI45747PAIE3202566110000</v>
      </c>
      <c r="B1481" t="s">
        <v>2964</v>
      </c>
      <c r="C1481" s="1">
        <v>45747</v>
      </c>
      <c r="D1481" t="s">
        <v>2965</v>
      </c>
      <c r="E1481" t="str">
        <f t="shared" si="85"/>
        <v>66110000</v>
      </c>
      <c r="F1481" t="s">
        <v>2992</v>
      </c>
      <c r="G1481" t="s">
        <v>336</v>
      </c>
      <c r="H1481" t="s">
        <v>5921</v>
      </c>
      <c r="I1481">
        <v>0</v>
      </c>
      <c r="J1481" t="s">
        <v>343</v>
      </c>
      <c r="K1481">
        <v>14639096</v>
      </c>
      <c r="M1481">
        <v>119955720</v>
      </c>
    </row>
    <row r="1482" spans="1:13" x14ac:dyDescent="0.35">
      <c r="A1482" t="str">
        <f t="shared" si="86"/>
        <v>PAI45747PAIE3202566110000</v>
      </c>
      <c r="B1482" t="s">
        <v>2964</v>
      </c>
      <c r="C1482" s="1">
        <v>45747</v>
      </c>
      <c r="D1482" t="s">
        <v>2965</v>
      </c>
      <c r="E1482" t="str">
        <f t="shared" si="85"/>
        <v>66110000</v>
      </c>
      <c r="F1482" t="s">
        <v>2992</v>
      </c>
      <c r="G1482" t="s">
        <v>336</v>
      </c>
      <c r="H1482" t="s">
        <v>5922</v>
      </c>
      <c r="I1482">
        <v>0</v>
      </c>
      <c r="J1482" t="s">
        <v>343</v>
      </c>
      <c r="K1482">
        <v>2396941</v>
      </c>
      <c r="M1482">
        <v>119955720</v>
      </c>
    </row>
    <row r="1483" spans="1:13" x14ac:dyDescent="0.35">
      <c r="A1483" t="str">
        <f t="shared" si="86"/>
        <v>PAI45747PAIE3202566110000</v>
      </c>
      <c r="B1483" t="s">
        <v>2964</v>
      </c>
      <c r="C1483" s="1">
        <v>45747</v>
      </c>
      <c r="D1483" t="s">
        <v>2965</v>
      </c>
      <c r="E1483" t="str">
        <f t="shared" si="85"/>
        <v>66110000</v>
      </c>
      <c r="F1483" t="s">
        <v>2992</v>
      </c>
      <c r="G1483" t="s">
        <v>336</v>
      </c>
      <c r="H1483" t="s">
        <v>5942</v>
      </c>
      <c r="I1483">
        <v>0</v>
      </c>
      <c r="J1483" t="s">
        <v>343</v>
      </c>
      <c r="K1483">
        <v>96366</v>
      </c>
      <c r="M1483">
        <v>119955720</v>
      </c>
    </row>
    <row r="1484" spans="1:13" x14ac:dyDescent="0.35">
      <c r="A1484" t="str">
        <f t="shared" si="86"/>
        <v>PAI45747PAIE3202566110000</v>
      </c>
      <c r="B1484" t="s">
        <v>2964</v>
      </c>
      <c r="C1484" s="1">
        <v>45747</v>
      </c>
      <c r="D1484" t="s">
        <v>2965</v>
      </c>
      <c r="E1484" t="str">
        <f t="shared" si="85"/>
        <v>66110000</v>
      </c>
      <c r="F1484" t="s">
        <v>2993</v>
      </c>
      <c r="G1484" t="s">
        <v>336</v>
      </c>
      <c r="H1484" t="s">
        <v>5911</v>
      </c>
      <c r="I1484">
        <v>0</v>
      </c>
      <c r="J1484" t="s">
        <v>343</v>
      </c>
      <c r="K1484">
        <v>1813240</v>
      </c>
      <c r="M1484">
        <v>15277963</v>
      </c>
    </row>
    <row r="1485" spans="1:13" x14ac:dyDescent="0.35">
      <c r="A1485" t="str">
        <f t="shared" si="86"/>
        <v>PAI45747PAIE3202566110000</v>
      </c>
      <c r="B1485" t="s">
        <v>2964</v>
      </c>
      <c r="C1485" s="1">
        <v>45747</v>
      </c>
      <c r="D1485" t="s">
        <v>2965</v>
      </c>
      <c r="E1485" t="str">
        <f t="shared" si="85"/>
        <v>66110000</v>
      </c>
      <c r="F1485" t="s">
        <v>2993</v>
      </c>
      <c r="G1485" t="s">
        <v>336</v>
      </c>
      <c r="H1485" t="s">
        <v>5917</v>
      </c>
      <c r="I1485">
        <v>0</v>
      </c>
      <c r="J1485" t="s">
        <v>343</v>
      </c>
      <c r="K1485">
        <v>13464723</v>
      </c>
      <c r="M1485">
        <v>15277963</v>
      </c>
    </row>
    <row r="1486" spans="1:13" x14ac:dyDescent="0.35">
      <c r="A1486" t="str">
        <f t="shared" si="86"/>
        <v>PAI45747PAIE3202566110100</v>
      </c>
      <c r="B1486" t="s">
        <v>2964</v>
      </c>
      <c r="C1486" s="1">
        <v>45747</v>
      </c>
      <c r="D1486" t="s">
        <v>2965</v>
      </c>
      <c r="E1486" t="str">
        <f t="shared" ref="E1486:E1494" si="87">"66110100"</f>
        <v>66110100</v>
      </c>
      <c r="F1486" t="s">
        <v>2994</v>
      </c>
      <c r="G1486" t="s">
        <v>336</v>
      </c>
      <c r="H1486" t="s">
        <v>5902</v>
      </c>
      <c r="I1486">
        <v>0</v>
      </c>
      <c r="J1486" t="s">
        <v>343</v>
      </c>
      <c r="K1486">
        <v>1244511</v>
      </c>
      <c r="M1486">
        <v>3291955</v>
      </c>
    </row>
    <row r="1487" spans="1:13" x14ac:dyDescent="0.35">
      <c r="A1487" t="str">
        <f t="shared" si="86"/>
        <v>PAI45747PAIE3202566110100</v>
      </c>
      <c r="B1487" t="s">
        <v>2964</v>
      </c>
      <c r="C1487" s="1">
        <v>45747</v>
      </c>
      <c r="D1487" t="s">
        <v>2965</v>
      </c>
      <c r="E1487" t="str">
        <f t="shared" si="87"/>
        <v>66110100</v>
      </c>
      <c r="F1487" t="s">
        <v>2994</v>
      </c>
      <c r="G1487" t="s">
        <v>336</v>
      </c>
      <c r="H1487" t="s">
        <v>5911</v>
      </c>
      <c r="I1487">
        <v>0</v>
      </c>
      <c r="J1487" t="s">
        <v>343</v>
      </c>
      <c r="K1487">
        <v>99995</v>
      </c>
      <c r="M1487">
        <v>3291955</v>
      </c>
    </row>
    <row r="1488" spans="1:13" x14ac:dyDescent="0.35">
      <c r="A1488" t="str">
        <f t="shared" si="86"/>
        <v>PAI45747PAIE3202566110100</v>
      </c>
      <c r="B1488" t="s">
        <v>2964</v>
      </c>
      <c r="C1488" s="1">
        <v>45747</v>
      </c>
      <c r="D1488" t="s">
        <v>2965</v>
      </c>
      <c r="E1488" t="str">
        <f t="shared" si="87"/>
        <v>66110100</v>
      </c>
      <c r="F1488" t="s">
        <v>2994</v>
      </c>
      <c r="G1488" t="s">
        <v>336</v>
      </c>
      <c r="H1488" t="s">
        <v>5917</v>
      </c>
      <c r="I1488">
        <v>0</v>
      </c>
      <c r="J1488" t="s">
        <v>343</v>
      </c>
      <c r="K1488">
        <v>1125843</v>
      </c>
      <c r="M1488">
        <v>3291955</v>
      </c>
    </row>
    <row r="1489" spans="1:13" x14ac:dyDescent="0.35">
      <c r="A1489" t="str">
        <f t="shared" si="86"/>
        <v>PAI45747PAIE3202566110100</v>
      </c>
      <c r="B1489" t="s">
        <v>2964</v>
      </c>
      <c r="C1489" s="1">
        <v>45747</v>
      </c>
      <c r="D1489" t="s">
        <v>2965</v>
      </c>
      <c r="E1489" t="str">
        <f t="shared" si="87"/>
        <v>66110100</v>
      </c>
      <c r="F1489" t="s">
        <v>2994</v>
      </c>
      <c r="G1489" t="s">
        <v>336</v>
      </c>
      <c r="H1489" t="s">
        <v>5919</v>
      </c>
      <c r="I1489">
        <v>0</v>
      </c>
      <c r="J1489" t="s">
        <v>343</v>
      </c>
      <c r="K1489">
        <v>193819</v>
      </c>
      <c r="M1489">
        <v>3291955</v>
      </c>
    </row>
    <row r="1490" spans="1:13" x14ac:dyDescent="0.35">
      <c r="A1490" t="str">
        <f t="shared" si="86"/>
        <v>PAI45747PAIE3202566110100</v>
      </c>
      <c r="B1490" t="s">
        <v>2964</v>
      </c>
      <c r="C1490" s="1">
        <v>45747</v>
      </c>
      <c r="D1490" t="s">
        <v>2965</v>
      </c>
      <c r="E1490" t="str">
        <f t="shared" si="87"/>
        <v>66110100</v>
      </c>
      <c r="F1490" t="s">
        <v>2994</v>
      </c>
      <c r="G1490" t="s">
        <v>336</v>
      </c>
      <c r="H1490" t="s">
        <v>5961</v>
      </c>
      <c r="I1490">
        <v>0</v>
      </c>
      <c r="J1490" t="s">
        <v>343</v>
      </c>
      <c r="K1490">
        <v>211928</v>
      </c>
      <c r="M1490">
        <v>3291955</v>
      </c>
    </row>
    <row r="1491" spans="1:13" x14ac:dyDescent="0.35">
      <c r="A1491" t="str">
        <f t="shared" si="86"/>
        <v>PAI45747PAIE3202566110100</v>
      </c>
      <c r="B1491" t="s">
        <v>2964</v>
      </c>
      <c r="C1491" s="1">
        <v>45747</v>
      </c>
      <c r="D1491" t="s">
        <v>2965</v>
      </c>
      <c r="E1491" t="str">
        <f t="shared" si="87"/>
        <v>66110100</v>
      </c>
      <c r="F1491" t="s">
        <v>2994</v>
      </c>
      <c r="G1491" t="s">
        <v>336</v>
      </c>
      <c r="H1491" t="s">
        <v>5921</v>
      </c>
      <c r="I1491">
        <v>0</v>
      </c>
      <c r="J1491" t="s">
        <v>343</v>
      </c>
      <c r="K1491">
        <v>311442</v>
      </c>
      <c r="M1491">
        <v>3291955</v>
      </c>
    </row>
    <row r="1492" spans="1:13" x14ac:dyDescent="0.35">
      <c r="A1492" t="str">
        <f t="shared" si="86"/>
        <v>PAI45747PAIE3202566110100</v>
      </c>
      <c r="B1492" t="s">
        <v>2964</v>
      </c>
      <c r="C1492" s="1">
        <v>45747</v>
      </c>
      <c r="D1492" t="s">
        <v>2965</v>
      </c>
      <c r="E1492" t="str">
        <f t="shared" si="87"/>
        <v>66110100</v>
      </c>
      <c r="F1492" t="s">
        <v>2994</v>
      </c>
      <c r="G1492" t="s">
        <v>336</v>
      </c>
      <c r="H1492" t="s">
        <v>5922</v>
      </c>
      <c r="I1492">
        <v>0</v>
      </c>
      <c r="J1492" t="s">
        <v>343</v>
      </c>
      <c r="K1492">
        <v>104417</v>
      </c>
      <c r="M1492">
        <v>3291955</v>
      </c>
    </row>
    <row r="1493" spans="1:13" x14ac:dyDescent="0.35">
      <c r="A1493" t="str">
        <f t="shared" si="86"/>
        <v>PAI45747PAIE3202566110100</v>
      </c>
      <c r="B1493" t="s">
        <v>2964</v>
      </c>
      <c r="C1493" s="1">
        <v>45747</v>
      </c>
      <c r="D1493" t="s">
        <v>2965</v>
      </c>
      <c r="E1493" t="str">
        <f t="shared" si="87"/>
        <v>66110100</v>
      </c>
      <c r="F1493" t="s">
        <v>2995</v>
      </c>
      <c r="G1493" t="s">
        <v>336</v>
      </c>
      <c r="H1493" t="s">
        <v>5911</v>
      </c>
      <c r="I1493">
        <v>0</v>
      </c>
      <c r="J1493" t="s">
        <v>343</v>
      </c>
      <c r="K1493">
        <v>882359</v>
      </c>
      <c r="M1493">
        <v>1018060</v>
      </c>
    </row>
    <row r="1494" spans="1:13" x14ac:dyDescent="0.35">
      <c r="A1494" t="str">
        <f t="shared" si="86"/>
        <v>PAI45747PAIE3202566110100</v>
      </c>
      <c r="B1494" t="s">
        <v>2964</v>
      </c>
      <c r="C1494" s="1">
        <v>45747</v>
      </c>
      <c r="D1494" t="s">
        <v>2965</v>
      </c>
      <c r="E1494" t="str">
        <f t="shared" si="87"/>
        <v>66110100</v>
      </c>
      <c r="F1494" t="s">
        <v>2995</v>
      </c>
      <c r="G1494" t="s">
        <v>336</v>
      </c>
      <c r="H1494" t="s">
        <v>5917</v>
      </c>
      <c r="I1494">
        <v>0</v>
      </c>
      <c r="J1494" t="s">
        <v>343</v>
      </c>
      <c r="K1494">
        <v>135701</v>
      </c>
      <c r="M1494">
        <v>1018060</v>
      </c>
    </row>
    <row r="1495" spans="1:13" x14ac:dyDescent="0.35">
      <c r="A1495" t="str">
        <f t="shared" si="86"/>
        <v>PAI45747PAIE3202566120010</v>
      </c>
      <c r="B1495" t="s">
        <v>2964</v>
      </c>
      <c r="C1495" s="1">
        <v>45747</v>
      </c>
      <c r="D1495" t="s">
        <v>2965</v>
      </c>
      <c r="E1495" t="str">
        <f t="shared" ref="E1495:E1514" si="88">"66120010"</f>
        <v>66120010</v>
      </c>
      <c r="F1495" t="s">
        <v>2996</v>
      </c>
      <c r="G1495" t="s">
        <v>336</v>
      </c>
      <c r="H1495" t="s">
        <v>5909</v>
      </c>
      <c r="I1495">
        <v>0</v>
      </c>
      <c r="J1495" t="s">
        <v>343</v>
      </c>
      <c r="K1495">
        <v>129905</v>
      </c>
      <c r="M1495">
        <v>4992883</v>
      </c>
    </row>
    <row r="1496" spans="1:13" x14ac:dyDescent="0.35">
      <c r="A1496" t="str">
        <f t="shared" si="86"/>
        <v>PAI45747PAIE3202566120010</v>
      </c>
      <c r="B1496" t="s">
        <v>2964</v>
      </c>
      <c r="C1496" s="1">
        <v>45747</v>
      </c>
      <c r="D1496" t="s">
        <v>2965</v>
      </c>
      <c r="E1496" t="str">
        <f t="shared" si="88"/>
        <v>66120010</v>
      </c>
      <c r="F1496" t="s">
        <v>2996</v>
      </c>
      <c r="G1496" t="s">
        <v>336</v>
      </c>
      <c r="H1496" t="s">
        <v>5886</v>
      </c>
      <c r="I1496">
        <v>0</v>
      </c>
      <c r="J1496" t="s">
        <v>343</v>
      </c>
      <c r="K1496">
        <v>28988</v>
      </c>
      <c r="M1496">
        <v>4992883</v>
      </c>
    </row>
    <row r="1497" spans="1:13" x14ac:dyDescent="0.35">
      <c r="A1497" t="str">
        <f t="shared" si="86"/>
        <v>PAI45747PAIE3202566120010</v>
      </c>
      <c r="B1497" t="s">
        <v>2964</v>
      </c>
      <c r="C1497" s="1">
        <v>45747</v>
      </c>
      <c r="D1497" t="s">
        <v>2965</v>
      </c>
      <c r="E1497" t="str">
        <f t="shared" si="88"/>
        <v>66120010</v>
      </c>
      <c r="F1497" t="s">
        <v>2996</v>
      </c>
      <c r="G1497" t="s">
        <v>336</v>
      </c>
      <c r="H1497" t="s">
        <v>5902</v>
      </c>
      <c r="I1497">
        <v>0</v>
      </c>
      <c r="J1497" t="s">
        <v>343</v>
      </c>
      <c r="K1497">
        <v>1494666</v>
      </c>
      <c r="M1497">
        <v>4992883</v>
      </c>
    </row>
    <row r="1498" spans="1:13" x14ac:dyDescent="0.35">
      <c r="A1498" t="str">
        <f t="shared" si="86"/>
        <v>PAI45747PAIE3202566120010</v>
      </c>
      <c r="B1498" t="s">
        <v>2964</v>
      </c>
      <c r="C1498" s="1">
        <v>45747</v>
      </c>
      <c r="D1498" t="s">
        <v>2965</v>
      </c>
      <c r="E1498" t="str">
        <f t="shared" si="88"/>
        <v>66120010</v>
      </c>
      <c r="F1498" t="s">
        <v>2996</v>
      </c>
      <c r="G1498" t="s">
        <v>336</v>
      </c>
      <c r="H1498" t="s">
        <v>5910</v>
      </c>
      <c r="I1498">
        <v>0</v>
      </c>
      <c r="J1498" t="s">
        <v>343</v>
      </c>
      <c r="K1498">
        <v>154938</v>
      </c>
      <c r="M1498">
        <v>4992883</v>
      </c>
    </row>
    <row r="1499" spans="1:13" x14ac:dyDescent="0.35">
      <c r="A1499" t="str">
        <f t="shared" si="86"/>
        <v>PAI45747PAIE3202566120010</v>
      </c>
      <c r="B1499" t="s">
        <v>2964</v>
      </c>
      <c r="C1499" s="1">
        <v>45747</v>
      </c>
      <c r="D1499" t="s">
        <v>2965</v>
      </c>
      <c r="E1499" t="str">
        <f t="shared" si="88"/>
        <v>66120010</v>
      </c>
      <c r="F1499" t="s">
        <v>2996</v>
      </c>
      <c r="G1499" t="s">
        <v>336</v>
      </c>
      <c r="H1499" t="s">
        <v>5911</v>
      </c>
      <c r="I1499">
        <v>0</v>
      </c>
      <c r="J1499" t="s">
        <v>343</v>
      </c>
      <c r="K1499">
        <v>102785</v>
      </c>
      <c r="M1499">
        <v>4992883</v>
      </c>
    </row>
    <row r="1500" spans="1:13" x14ac:dyDescent="0.35">
      <c r="A1500" t="str">
        <f t="shared" si="86"/>
        <v>PAI45747PAIE3202566120010</v>
      </c>
      <c r="B1500" t="s">
        <v>2964</v>
      </c>
      <c r="C1500" s="1">
        <v>45747</v>
      </c>
      <c r="D1500" t="s">
        <v>2965</v>
      </c>
      <c r="E1500" t="str">
        <f t="shared" si="88"/>
        <v>66120010</v>
      </c>
      <c r="F1500" t="s">
        <v>2996</v>
      </c>
      <c r="G1500" t="s">
        <v>336</v>
      </c>
      <c r="H1500" t="s">
        <v>5912</v>
      </c>
      <c r="I1500">
        <v>0</v>
      </c>
      <c r="J1500" t="s">
        <v>343</v>
      </c>
      <c r="K1500">
        <v>40616</v>
      </c>
      <c r="M1500">
        <v>4992883</v>
      </c>
    </row>
    <row r="1501" spans="1:13" x14ac:dyDescent="0.35">
      <c r="A1501" t="str">
        <f t="shared" si="86"/>
        <v>PAI45747PAIE3202566120010</v>
      </c>
      <c r="B1501" t="s">
        <v>2964</v>
      </c>
      <c r="C1501" s="1">
        <v>45747</v>
      </c>
      <c r="D1501" t="s">
        <v>2965</v>
      </c>
      <c r="E1501" t="str">
        <f t="shared" si="88"/>
        <v>66120010</v>
      </c>
      <c r="F1501" t="s">
        <v>2996</v>
      </c>
      <c r="G1501" t="s">
        <v>336</v>
      </c>
      <c r="H1501" t="s">
        <v>5913</v>
      </c>
      <c r="I1501">
        <v>0</v>
      </c>
      <c r="J1501" t="s">
        <v>343</v>
      </c>
      <c r="K1501">
        <v>195405</v>
      </c>
      <c r="M1501">
        <v>4992883</v>
      </c>
    </row>
    <row r="1502" spans="1:13" x14ac:dyDescent="0.35">
      <c r="A1502" t="str">
        <f t="shared" si="86"/>
        <v>PAI45747PAIE3202566120010</v>
      </c>
      <c r="B1502" t="s">
        <v>2964</v>
      </c>
      <c r="C1502" s="1">
        <v>45747</v>
      </c>
      <c r="D1502" t="s">
        <v>2965</v>
      </c>
      <c r="E1502" t="str">
        <f t="shared" si="88"/>
        <v>66120010</v>
      </c>
      <c r="F1502" t="s">
        <v>2996</v>
      </c>
      <c r="G1502" t="s">
        <v>336</v>
      </c>
      <c r="H1502" t="s">
        <v>5914</v>
      </c>
      <c r="I1502">
        <v>0</v>
      </c>
      <c r="J1502" t="s">
        <v>343</v>
      </c>
      <c r="K1502">
        <v>146727</v>
      </c>
      <c r="M1502">
        <v>4992883</v>
      </c>
    </row>
    <row r="1503" spans="1:13" x14ac:dyDescent="0.35">
      <c r="A1503" t="str">
        <f t="shared" si="86"/>
        <v>PAI45747PAIE3202566120010</v>
      </c>
      <c r="B1503" t="s">
        <v>2964</v>
      </c>
      <c r="C1503" s="1">
        <v>45747</v>
      </c>
      <c r="D1503" t="s">
        <v>2965</v>
      </c>
      <c r="E1503" t="str">
        <f t="shared" si="88"/>
        <v>66120010</v>
      </c>
      <c r="F1503" t="s">
        <v>2996</v>
      </c>
      <c r="G1503" t="s">
        <v>336</v>
      </c>
      <c r="H1503" t="s">
        <v>5935</v>
      </c>
      <c r="I1503">
        <v>0</v>
      </c>
      <c r="J1503" t="s">
        <v>343</v>
      </c>
      <c r="K1503">
        <v>35275</v>
      </c>
      <c r="M1503">
        <v>4992883</v>
      </c>
    </row>
    <row r="1504" spans="1:13" x14ac:dyDescent="0.35">
      <c r="A1504" t="str">
        <f t="shared" si="86"/>
        <v>PAI45747PAIE3202566120010</v>
      </c>
      <c r="B1504" t="s">
        <v>2964</v>
      </c>
      <c r="C1504" s="1">
        <v>45747</v>
      </c>
      <c r="D1504" t="s">
        <v>2965</v>
      </c>
      <c r="E1504" t="str">
        <f t="shared" si="88"/>
        <v>66120010</v>
      </c>
      <c r="F1504" t="s">
        <v>2996</v>
      </c>
      <c r="G1504" t="s">
        <v>336</v>
      </c>
      <c r="H1504" t="s">
        <v>5936</v>
      </c>
      <c r="I1504">
        <v>0</v>
      </c>
      <c r="J1504" t="s">
        <v>343</v>
      </c>
      <c r="K1504">
        <v>355974</v>
      </c>
      <c r="M1504">
        <v>4992883</v>
      </c>
    </row>
    <row r="1505" spans="1:13" x14ac:dyDescent="0.35">
      <c r="A1505" t="str">
        <f t="shared" si="86"/>
        <v>PAI45747PAIE3202566120010</v>
      </c>
      <c r="B1505" t="s">
        <v>2964</v>
      </c>
      <c r="C1505" s="1">
        <v>45747</v>
      </c>
      <c r="D1505" t="s">
        <v>2965</v>
      </c>
      <c r="E1505" t="str">
        <f t="shared" si="88"/>
        <v>66120010</v>
      </c>
      <c r="F1505" t="s">
        <v>2996</v>
      </c>
      <c r="G1505" t="s">
        <v>336</v>
      </c>
      <c r="H1505" t="s">
        <v>5903</v>
      </c>
      <c r="I1505">
        <v>0</v>
      </c>
      <c r="J1505" t="s">
        <v>343</v>
      </c>
      <c r="K1505">
        <v>195678</v>
      </c>
      <c r="M1505">
        <v>4992883</v>
      </c>
    </row>
    <row r="1506" spans="1:13" x14ac:dyDescent="0.35">
      <c r="A1506" t="str">
        <f t="shared" si="86"/>
        <v>PAI45747PAIE3202566120010</v>
      </c>
      <c r="B1506" t="s">
        <v>2964</v>
      </c>
      <c r="C1506" s="1">
        <v>45747</v>
      </c>
      <c r="D1506" t="s">
        <v>2965</v>
      </c>
      <c r="E1506" t="str">
        <f t="shared" si="88"/>
        <v>66120010</v>
      </c>
      <c r="F1506" t="s">
        <v>2996</v>
      </c>
      <c r="G1506" t="s">
        <v>336</v>
      </c>
      <c r="H1506" t="s">
        <v>5915</v>
      </c>
      <c r="I1506">
        <v>0</v>
      </c>
      <c r="J1506" t="s">
        <v>343</v>
      </c>
      <c r="K1506">
        <v>221888</v>
      </c>
      <c r="M1506">
        <v>4992883</v>
      </c>
    </row>
    <row r="1507" spans="1:13" x14ac:dyDescent="0.35">
      <c r="A1507" t="str">
        <f t="shared" si="86"/>
        <v>PAI45747PAIE3202566120010</v>
      </c>
      <c r="B1507" t="s">
        <v>2964</v>
      </c>
      <c r="C1507" s="1">
        <v>45747</v>
      </c>
      <c r="D1507" t="s">
        <v>2965</v>
      </c>
      <c r="E1507" t="str">
        <f t="shared" si="88"/>
        <v>66120010</v>
      </c>
      <c r="F1507" t="s">
        <v>2996</v>
      </c>
      <c r="G1507" t="s">
        <v>336</v>
      </c>
      <c r="H1507" t="s">
        <v>5917</v>
      </c>
      <c r="I1507">
        <v>0</v>
      </c>
      <c r="J1507" t="s">
        <v>343</v>
      </c>
      <c r="K1507">
        <v>63124</v>
      </c>
      <c r="M1507">
        <v>4992883</v>
      </c>
    </row>
    <row r="1508" spans="1:13" x14ac:dyDescent="0.35">
      <c r="A1508" t="str">
        <f t="shared" si="86"/>
        <v>PAI45747PAIE3202566120010</v>
      </c>
      <c r="B1508" t="s">
        <v>2964</v>
      </c>
      <c r="C1508" s="1">
        <v>45747</v>
      </c>
      <c r="D1508" t="s">
        <v>2965</v>
      </c>
      <c r="E1508" t="str">
        <f t="shared" si="88"/>
        <v>66120010</v>
      </c>
      <c r="F1508" t="s">
        <v>2996</v>
      </c>
      <c r="G1508" t="s">
        <v>336</v>
      </c>
      <c r="H1508" t="s">
        <v>5918</v>
      </c>
      <c r="I1508">
        <v>0</v>
      </c>
      <c r="J1508" t="s">
        <v>343</v>
      </c>
      <c r="K1508">
        <v>328329</v>
      </c>
      <c r="M1508">
        <v>4992883</v>
      </c>
    </row>
    <row r="1509" spans="1:13" x14ac:dyDescent="0.35">
      <c r="A1509" t="str">
        <f t="shared" si="86"/>
        <v>PAI45747PAIE3202566120010</v>
      </c>
      <c r="B1509" t="s">
        <v>2964</v>
      </c>
      <c r="C1509" s="1">
        <v>45747</v>
      </c>
      <c r="D1509" t="s">
        <v>2965</v>
      </c>
      <c r="E1509" t="str">
        <f t="shared" si="88"/>
        <v>66120010</v>
      </c>
      <c r="F1509" t="s">
        <v>2996</v>
      </c>
      <c r="G1509" t="s">
        <v>336</v>
      </c>
      <c r="H1509" t="s">
        <v>5919</v>
      </c>
      <c r="I1509">
        <v>0</v>
      </c>
      <c r="J1509" t="s">
        <v>343</v>
      </c>
      <c r="K1509">
        <v>146144</v>
      </c>
      <c r="M1509">
        <v>4992883</v>
      </c>
    </row>
    <row r="1510" spans="1:13" x14ac:dyDescent="0.35">
      <c r="A1510" t="str">
        <f t="shared" si="86"/>
        <v>PAI45747PAIE3202566120010</v>
      </c>
      <c r="B1510" t="s">
        <v>2964</v>
      </c>
      <c r="C1510" s="1">
        <v>45747</v>
      </c>
      <c r="D1510" t="s">
        <v>2965</v>
      </c>
      <c r="E1510" t="str">
        <f t="shared" si="88"/>
        <v>66120010</v>
      </c>
      <c r="F1510" t="s">
        <v>2996</v>
      </c>
      <c r="G1510" t="s">
        <v>336</v>
      </c>
      <c r="H1510" t="s">
        <v>5920</v>
      </c>
      <c r="I1510">
        <v>0</v>
      </c>
      <c r="J1510" t="s">
        <v>343</v>
      </c>
      <c r="K1510">
        <v>241481</v>
      </c>
      <c r="M1510">
        <v>4992883</v>
      </c>
    </row>
    <row r="1511" spans="1:13" x14ac:dyDescent="0.35">
      <c r="A1511" t="str">
        <f t="shared" si="86"/>
        <v>PAI45747PAIE3202566120010</v>
      </c>
      <c r="B1511" t="s">
        <v>2964</v>
      </c>
      <c r="C1511" s="1">
        <v>45747</v>
      </c>
      <c r="D1511" t="s">
        <v>2965</v>
      </c>
      <c r="E1511" t="str">
        <f t="shared" si="88"/>
        <v>66120010</v>
      </c>
      <c r="F1511" t="s">
        <v>2996</v>
      </c>
      <c r="G1511" t="s">
        <v>336</v>
      </c>
      <c r="H1511" t="s">
        <v>5888</v>
      </c>
      <c r="I1511">
        <v>0</v>
      </c>
      <c r="J1511" t="s">
        <v>343</v>
      </c>
      <c r="K1511">
        <v>239696</v>
      </c>
      <c r="M1511">
        <v>4992883</v>
      </c>
    </row>
    <row r="1512" spans="1:13" x14ac:dyDescent="0.35">
      <c r="A1512" t="str">
        <f t="shared" si="86"/>
        <v>PAI45747PAIE3202566120010</v>
      </c>
      <c r="B1512" t="s">
        <v>2964</v>
      </c>
      <c r="C1512" s="1">
        <v>45747</v>
      </c>
      <c r="D1512" t="s">
        <v>2965</v>
      </c>
      <c r="E1512" t="str">
        <f t="shared" si="88"/>
        <v>66120010</v>
      </c>
      <c r="F1512" t="s">
        <v>2996</v>
      </c>
      <c r="G1512" t="s">
        <v>336</v>
      </c>
      <c r="H1512" t="s">
        <v>5961</v>
      </c>
      <c r="I1512">
        <v>0</v>
      </c>
      <c r="J1512" t="s">
        <v>343</v>
      </c>
      <c r="K1512">
        <v>99226</v>
      </c>
      <c r="M1512">
        <v>4992883</v>
      </c>
    </row>
    <row r="1513" spans="1:13" x14ac:dyDescent="0.35">
      <c r="A1513" t="str">
        <f t="shared" si="86"/>
        <v>PAI45747PAIE3202566120010</v>
      </c>
      <c r="B1513" t="s">
        <v>2964</v>
      </c>
      <c r="C1513" s="1">
        <v>45747</v>
      </c>
      <c r="D1513" t="s">
        <v>2965</v>
      </c>
      <c r="E1513" t="str">
        <f t="shared" si="88"/>
        <v>66120010</v>
      </c>
      <c r="F1513" t="s">
        <v>2996</v>
      </c>
      <c r="G1513" t="s">
        <v>336</v>
      </c>
      <c r="H1513" t="s">
        <v>5921</v>
      </c>
      <c r="I1513">
        <v>0</v>
      </c>
      <c r="J1513" t="s">
        <v>343</v>
      </c>
      <c r="K1513">
        <v>621840</v>
      </c>
      <c r="M1513">
        <v>4992883</v>
      </c>
    </row>
    <row r="1514" spans="1:13" x14ac:dyDescent="0.35">
      <c r="A1514" t="str">
        <f t="shared" si="86"/>
        <v>PAI45747PAIE3202566120010</v>
      </c>
      <c r="B1514" t="s">
        <v>2964</v>
      </c>
      <c r="C1514" s="1">
        <v>45747</v>
      </c>
      <c r="D1514" t="s">
        <v>2965</v>
      </c>
      <c r="E1514" t="str">
        <f t="shared" si="88"/>
        <v>66120010</v>
      </c>
      <c r="F1514" t="s">
        <v>2996</v>
      </c>
      <c r="G1514" t="s">
        <v>336</v>
      </c>
      <c r="H1514" t="s">
        <v>5922</v>
      </c>
      <c r="I1514">
        <v>0</v>
      </c>
      <c r="J1514" t="s">
        <v>343</v>
      </c>
      <c r="K1514">
        <v>150198</v>
      </c>
      <c r="M1514">
        <v>4992883</v>
      </c>
    </row>
    <row r="1515" spans="1:13" x14ac:dyDescent="0.35">
      <c r="A1515" t="str">
        <f t="shared" si="86"/>
        <v>PAI45747PAIE3202566120100</v>
      </c>
      <c r="B1515" t="s">
        <v>2964</v>
      </c>
      <c r="C1515" s="1">
        <v>45747</v>
      </c>
      <c r="D1515" t="s">
        <v>2965</v>
      </c>
      <c r="E1515" t="str">
        <f t="shared" ref="E1515:E1535" si="89">"66120100"</f>
        <v>66120100</v>
      </c>
      <c r="F1515" t="s">
        <v>2997</v>
      </c>
      <c r="G1515" t="s">
        <v>336</v>
      </c>
      <c r="H1515" t="s">
        <v>5909</v>
      </c>
      <c r="I1515">
        <v>0</v>
      </c>
      <c r="J1515" t="s">
        <v>343</v>
      </c>
      <c r="K1515">
        <v>30000</v>
      </c>
      <c r="M1515">
        <v>11408350</v>
      </c>
    </row>
    <row r="1516" spans="1:13" x14ac:dyDescent="0.35">
      <c r="A1516" t="str">
        <f t="shared" si="86"/>
        <v>PAI45747PAIE3202566120100</v>
      </c>
      <c r="B1516" t="s">
        <v>2964</v>
      </c>
      <c r="C1516" s="1">
        <v>45747</v>
      </c>
      <c r="D1516" t="s">
        <v>2965</v>
      </c>
      <c r="E1516" t="str">
        <f t="shared" si="89"/>
        <v>66120100</v>
      </c>
      <c r="F1516" t="s">
        <v>2997</v>
      </c>
      <c r="G1516" t="s">
        <v>336</v>
      </c>
      <c r="H1516" t="s">
        <v>5886</v>
      </c>
      <c r="I1516">
        <v>0</v>
      </c>
      <c r="J1516" t="s">
        <v>343</v>
      </c>
      <c r="K1516">
        <v>804610</v>
      </c>
      <c r="M1516">
        <v>11408350</v>
      </c>
    </row>
    <row r="1517" spans="1:13" x14ac:dyDescent="0.35">
      <c r="A1517" t="str">
        <f t="shared" si="86"/>
        <v>PAI45747PAIE3202566120100</v>
      </c>
      <c r="B1517" t="s">
        <v>2964</v>
      </c>
      <c r="C1517" s="1">
        <v>45747</v>
      </c>
      <c r="D1517" t="s">
        <v>2965</v>
      </c>
      <c r="E1517" t="str">
        <f t="shared" si="89"/>
        <v>66120100</v>
      </c>
      <c r="F1517" t="s">
        <v>2997</v>
      </c>
      <c r="G1517" t="s">
        <v>336</v>
      </c>
      <c r="H1517" t="s">
        <v>5902</v>
      </c>
      <c r="I1517">
        <v>0</v>
      </c>
      <c r="J1517" t="s">
        <v>343</v>
      </c>
      <c r="K1517">
        <v>1724383</v>
      </c>
      <c r="M1517">
        <v>11408350</v>
      </c>
    </row>
    <row r="1518" spans="1:13" x14ac:dyDescent="0.35">
      <c r="A1518" t="str">
        <f t="shared" si="86"/>
        <v>PAI45747PAIE3202566120100</v>
      </c>
      <c r="B1518" t="s">
        <v>2964</v>
      </c>
      <c r="C1518" s="1">
        <v>45747</v>
      </c>
      <c r="D1518" t="s">
        <v>2965</v>
      </c>
      <c r="E1518" t="str">
        <f t="shared" si="89"/>
        <v>66120100</v>
      </c>
      <c r="F1518" t="s">
        <v>2997</v>
      </c>
      <c r="G1518" t="s">
        <v>336</v>
      </c>
      <c r="H1518" t="s">
        <v>5910</v>
      </c>
      <c r="I1518">
        <v>0</v>
      </c>
      <c r="J1518" t="s">
        <v>343</v>
      </c>
      <c r="K1518">
        <v>126558</v>
      </c>
      <c r="M1518">
        <v>11408350</v>
      </c>
    </row>
    <row r="1519" spans="1:13" x14ac:dyDescent="0.35">
      <c r="A1519" t="str">
        <f t="shared" si="86"/>
        <v>PAI45747PAIE3202566120100</v>
      </c>
      <c r="B1519" t="s">
        <v>2964</v>
      </c>
      <c r="C1519" s="1">
        <v>45747</v>
      </c>
      <c r="D1519" t="s">
        <v>2965</v>
      </c>
      <c r="E1519" t="str">
        <f t="shared" si="89"/>
        <v>66120100</v>
      </c>
      <c r="F1519" t="s">
        <v>2997</v>
      </c>
      <c r="G1519" t="s">
        <v>336</v>
      </c>
      <c r="H1519" t="s">
        <v>5911</v>
      </c>
      <c r="I1519">
        <v>0</v>
      </c>
      <c r="J1519" t="s">
        <v>343</v>
      </c>
      <c r="K1519">
        <v>127690</v>
      </c>
      <c r="M1519">
        <v>11408350</v>
      </c>
    </row>
    <row r="1520" spans="1:13" x14ac:dyDescent="0.35">
      <c r="A1520" t="str">
        <f t="shared" si="86"/>
        <v>PAI45747PAIE3202566120100</v>
      </c>
      <c r="B1520" t="s">
        <v>2964</v>
      </c>
      <c r="C1520" s="1">
        <v>45747</v>
      </c>
      <c r="D1520" t="s">
        <v>2965</v>
      </c>
      <c r="E1520" t="str">
        <f t="shared" si="89"/>
        <v>66120100</v>
      </c>
      <c r="F1520" t="s">
        <v>2997</v>
      </c>
      <c r="G1520" t="s">
        <v>336</v>
      </c>
      <c r="H1520" t="s">
        <v>5913</v>
      </c>
      <c r="I1520">
        <v>0</v>
      </c>
      <c r="J1520" t="s">
        <v>343</v>
      </c>
      <c r="K1520">
        <v>229435</v>
      </c>
      <c r="M1520">
        <v>11408350</v>
      </c>
    </row>
    <row r="1521" spans="1:13" x14ac:dyDescent="0.35">
      <c r="A1521" t="str">
        <f t="shared" si="86"/>
        <v>PAI45747PAIE3202566120100</v>
      </c>
      <c r="B1521" t="s">
        <v>2964</v>
      </c>
      <c r="C1521" s="1">
        <v>45747</v>
      </c>
      <c r="D1521" t="s">
        <v>2965</v>
      </c>
      <c r="E1521" t="str">
        <f t="shared" si="89"/>
        <v>66120100</v>
      </c>
      <c r="F1521" t="s">
        <v>2997</v>
      </c>
      <c r="G1521" t="s">
        <v>336</v>
      </c>
      <c r="H1521" t="s">
        <v>5914</v>
      </c>
      <c r="I1521">
        <v>0</v>
      </c>
      <c r="J1521" t="s">
        <v>343</v>
      </c>
      <c r="K1521">
        <v>24426</v>
      </c>
      <c r="M1521">
        <v>11408350</v>
      </c>
    </row>
    <row r="1522" spans="1:13" x14ac:dyDescent="0.35">
      <c r="A1522" t="str">
        <f t="shared" si="86"/>
        <v>PAI45747PAIE3202566120100</v>
      </c>
      <c r="B1522" t="s">
        <v>2964</v>
      </c>
      <c r="C1522" s="1">
        <v>45747</v>
      </c>
      <c r="D1522" t="s">
        <v>2965</v>
      </c>
      <c r="E1522" t="str">
        <f t="shared" si="89"/>
        <v>66120100</v>
      </c>
      <c r="F1522" t="s">
        <v>2997</v>
      </c>
      <c r="G1522" t="s">
        <v>336</v>
      </c>
      <c r="H1522" t="s">
        <v>5936</v>
      </c>
      <c r="I1522">
        <v>0</v>
      </c>
      <c r="J1522" t="s">
        <v>343</v>
      </c>
      <c r="K1522">
        <v>495868</v>
      </c>
      <c r="M1522">
        <v>11408350</v>
      </c>
    </row>
    <row r="1523" spans="1:13" x14ac:dyDescent="0.35">
      <c r="A1523" t="str">
        <f t="shared" si="86"/>
        <v>PAI45747PAIE3202566120100</v>
      </c>
      <c r="B1523" t="s">
        <v>2964</v>
      </c>
      <c r="C1523" s="1">
        <v>45747</v>
      </c>
      <c r="D1523" t="s">
        <v>2965</v>
      </c>
      <c r="E1523" t="str">
        <f t="shared" si="89"/>
        <v>66120100</v>
      </c>
      <c r="F1523" t="s">
        <v>2997</v>
      </c>
      <c r="G1523" t="s">
        <v>336</v>
      </c>
      <c r="H1523" t="s">
        <v>5903</v>
      </c>
      <c r="I1523">
        <v>0</v>
      </c>
      <c r="J1523" t="s">
        <v>343</v>
      </c>
      <c r="K1523">
        <v>106682</v>
      </c>
      <c r="M1523">
        <v>11408350</v>
      </c>
    </row>
    <row r="1524" spans="1:13" x14ac:dyDescent="0.35">
      <c r="A1524" t="str">
        <f t="shared" si="86"/>
        <v>PAI45747PAIE3202566120100</v>
      </c>
      <c r="B1524" t="s">
        <v>2964</v>
      </c>
      <c r="C1524" s="1">
        <v>45747</v>
      </c>
      <c r="D1524" t="s">
        <v>2965</v>
      </c>
      <c r="E1524" t="str">
        <f t="shared" si="89"/>
        <v>66120100</v>
      </c>
      <c r="F1524" t="s">
        <v>2997</v>
      </c>
      <c r="G1524" t="s">
        <v>336</v>
      </c>
      <c r="H1524" t="s">
        <v>5915</v>
      </c>
      <c r="I1524">
        <v>0</v>
      </c>
      <c r="J1524" t="s">
        <v>343</v>
      </c>
      <c r="K1524">
        <v>1500273</v>
      </c>
      <c r="M1524">
        <v>11408350</v>
      </c>
    </row>
    <row r="1525" spans="1:13" x14ac:dyDescent="0.35">
      <c r="A1525" t="str">
        <f t="shared" si="86"/>
        <v>PAI45747PAIE3202566120100</v>
      </c>
      <c r="B1525" t="s">
        <v>2964</v>
      </c>
      <c r="C1525" s="1">
        <v>45747</v>
      </c>
      <c r="D1525" t="s">
        <v>2965</v>
      </c>
      <c r="E1525" t="str">
        <f t="shared" si="89"/>
        <v>66120100</v>
      </c>
      <c r="F1525" t="s">
        <v>2997</v>
      </c>
      <c r="G1525" t="s">
        <v>336</v>
      </c>
      <c r="H1525" t="s">
        <v>5917</v>
      </c>
      <c r="I1525">
        <v>0</v>
      </c>
      <c r="J1525" t="s">
        <v>343</v>
      </c>
      <c r="K1525">
        <v>136344</v>
      </c>
      <c r="M1525">
        <v>11408350</v>
      </c>
    </row>
    <row r="1526" spans="1:13" x14ac:dyDescent="0.35">
      <c r="A1526" t="str">
        <f t="shared" si="86"/>
        <v>PAI45747PAIE3202566120100</v>
      </c>
      <c r="B1526" t="s">
        <v>2964</v>
      </c>
      <c r="C1526" s="1">
        <v>45747</v>
      </c>
      <c r="D1526" t="s">
        <v>2965</v>
      </c>
      <c r="E1526" t="str">
        <f t="shared" si="89"/>
        <v>66120100</v>
      </c>
      <c r="F1526" t="s">
        <v>2997</v>
      </c>
      <c r="G1526" t="s">
        <v>336</v>
      </c>
      <c r="H1526" t="s">
        <v>5918</v>
      </c>
      <c r="I1526">
        <v>0</v>
      </c>
      <c r="J1526" t="s">
        <v>343</v>
      </c>
      <c r="K1526">
        <v>1058510</v>
      </c>
      <c r="M1526">
        <v>11408350</v>
      </c>
    </row>
    <row r="1527" spans="1:13" x14ac:dyDescent="0.35">
      <c r="A1527" t="str">
        <f t="shared" si="86"/>
        <v>PAI45747PAIE3202566120100</v>
      </c>
      <c r="B1527" t="s">
        <v>2964</v>
      </c>
      <c r="C1527" s="1">
        <v>45747</v>
      </c>
      <c r="D1527" t="s">
        <v>2965</v>
      </c>
      <c r="E1527" t="str">
        <f t="shared" si="89"/>
        <v>66120100</v>
      </c>
      <c r="F1527" t="s">
        <v>2997</v>
      </c>
      <c r="G1527" t="s">
        <v>336</v>
      </c>
      <c r="H1527" t="s">
        <v>5919</v>
      </c>
      <c r="I1527">
        <v>0</v>
      </c>
      <c r="J1527" t="s">
        <v>343</v>
      </c>
      <c r="K1527">
        <v>390180</v>
      </c>
      <c r="M1527">
        <v>11408350</v>
      </c>
    </row>
    <row r="1528" spans="1:13" x14ac:dyDescent="0.35">
      <c r="A1528" t="str">
        <f t="shared" si="86"/>
        <v>PAI45747PAIE3202566120100</v>
      </c>
      <c r="B1528" t="s">
        <v>2964</v>
      </c>
      <c r="C1528" s="1">
        <v>45747</v>
      </c>
      <c r="D1528" t="s">
        <v>2965</v>
      </c>
      <c r="E1528" t="str">
        <f t="shared" si="89"/>
        <v>66120100</v>
      </c>
      <c r="F1528" t="s">
        <v>2997</v>
      </c>
      <c r="G1528" t="s">
        <v>336</v>
      </c>
      <c r="H1528" t="s">
        <v>5920</v>
      </c>
      <c r="I1528">
        <v>0</v>
      </c>
      <c r="J1528" t="s">
        <v>343</v>
      </c>
      <c r="K1528">
        <v>230686</v>
      </c>
      <c r="M1528">
        <v>11408350</v>
      </c>
    </row>
    <row r="1529" spans="1:13" x14ac:dyDescent="0.35">
      <c r="A1529" t="str">
        <f t="shared" si="86"/>
        <v>PAI45747PAIE3202566120100</v>
      </c>
      <c r="B1529" t="s">
        <v>2964</v>
      </c>
      <c r="C1529" s="1">
        <v>45747</v>
      </c>
      <c r="D1529" t="s">
        <v>2965</v>
      </c>
      <c r="E1529" t="str">
        <f t="shared" si="89"/>
        <v>66120100</v>
      </c>
      <c r="F1529" t="s">
        <v>2997</v>
      </c>
      <c r="G1529" t="s">
        <v>336</v>
      </c>
      <c r="H1529" t="s">
        <v>5888</v>
      </c>
      <c r="I1529">
        <v>0</v>
      </c>
      <c r="J1529" t="s">
        <v>343</v>
      </c>
      <c r="K1529">
        <v>365453</v>
      </c>
      <c r="M1529">
        <v>11408350</v>
      </c>
    </row>
    <row r="1530" spans="1:13" x14ac:dyDescent="0.35">
      <c r="A1530" t="str">
        <f t="shared" si="86"/>
        <v>PAI45747PAIE3202566120100</v>
      </c>
      <c r="B1530" t="s">
        <v>2964</v>
      </c>
      <c r="C1530" s="1">
        <v>45747</v>
      </c>
      <c r="D1530" t="s">
        <v>2965</v>
      </c>
      <c r="E1530" t="str">
        <f t="shared" si="89"/>
        <v>66120100</v>
      </c>
      <c r="F1530" t="s">
        <v>2997</v>
      </c>
      <c r="G1530" t="s">
        <v>336</v>
      </c>
      <c r="H1530" t="s">
        <v>5961</v>
      </c>
      <c r="I1530">
        <v>0</v>
      </c>
      <c r="J1530" t="s">
        <v>343</v>
      </c>
      <c r="K1530">
        <v>398702</v>
      </c>
      <c r="M1530">
        <v>11408350</v>
      </c>
    </row>
    <row r="1531" spans="1:13" x14ac:dyDescent="0.35">
      <c r="A1531" t="str">
        <f t="shared" si="86"/>
        <v>PAI45747PAIE3202566120100</v>
      </c>
      <c r="B1531" t="s">
        <v>2964</v>
      </c>
      <c r="C1531" s="1">
        <v>45747</v>
      </c>
      <c r="D1531" t="s">
        <v>2965</v>
      </c>
      <c r="E1531" t="str">
        <f t="shared" si="89"/>
        <v>66120100</v>
      </c>
      <c r="F1531" t="s">
        <v>2997</v>
      </c>
      <c r="G1531" t="s">
        <v>336</v>
      </c>
      <c r="H1531" t="s">
        <v>5921</v>
      </c>
      <c r="I1531">
        <v>0</v>
      </c>
      <c r="J1531" t="s">
        <v>343</v>
      </c>
      <c r="K1531">
        <v>2316926</v>
      </c>
      <c r="M1531">
        <v>11408350</v>
      </c>
    </row>
    <row r="1532" spans="1:13" x14ac:dyDescent="0.35">
      <c r="A1532" t="str">
        <f t="shared" si="86"/>
        <v>PAI45747PAIE3202566120100</v>
      </c>
      <c r="B1532" t="s">
        <v>2964</v>
      </c>
      <c r="C1532" s="1">
        <v>45747</v>
      </c>
      <c r="D1532" t="s">
        <v>2965</v>
      </c>
      <c r="E1532" t="str">
        <f t="shared" si="89"/>
        <v>66120100</v>
      </c>
      <c r="F1532" t="s">
        <v>2997</v>
      </c>
      <c r="G1532" t="s">
        <v>336</v>
      </c>
      <c r="H1532" t="s">
        <v>5922</v>
      </c>
      <c r="I1532">
        <v>0</v>
      </c>
      <c r="J1532" t="s">
        <v>343</v>
      </c>
      <c r="K1532">
        <v>1338593</v>
      </c>
      <c r="M1532">
        <v>11408350</v>
      </c>
    </row>
    <row r="1533" spans="1:13" x14ac:dyDescent="0.35">
      <c r="A1533" t="str">
        <f t="shared" si="86"/>
        <v>PAI45747PAIE3202566120100</v>
      </c>
      <c r="B1533" t="s">
        <v>2964</v>
      </c>
      <c r="C1533" s="1">
        <v>45747</v>
      </c>
      <c r="D1533" t="s">
        <v>2965</v>
      </c>
      <c r="E1533" t="str">
        <f t="shared" si="89"/>
        <v>66120100</v>
      </c>
      <c r="F1533" t="s">
        <v>2997</v>
      </c>
      <c r="G1533" t="s">
        <v>336</v>
      </c>
      <c r="H1533" t="s">
        <v>5942</v>
      </c>
      <c r="I1533">
        <v>0</v>
      </c>
      <c r="J1533" t="s">
        <v>343</v>
      </c>
      <c r="K1533">
        <v>3031</v>
      </c>
      <c r="M1533">
        <v>11408350</v>
      </c>
    </row>
    <row r="1534" spans="1:13" x14ac:dyDescent="0.35">
      <c r="A1534" t="str">
        <f t="shared" si="86"/>
        <v>PAI45747PAIE3202566120100</v>
      </c>
      <c r="B1534" t="s">
        <v>2964</v>
      </c>
      <c r="C1534" s="1">
        <v>45747</v>
      </c>
      <c r="D1534" t="s">
        <v>2965</v>
      </c>
      <c r="E1534" t="str">
        <f t="shared" si="89"/>
        <v>66120100</v>
      </c>
      <c r="F1534" t="s">
        <v>2998</v>
      </c>
      <c r="G1534" t="s">
        <v>336</v>
      </c>
      <c r="H1534" t="s">
        <v>5911</v>
      </c>
      <c r="I1534">
        <v>0</v>
      </c>
      <c r="J1534" t="s">
        <v>343</v>
      </c>
      <c r="K1534">
        <v>217292</v>
      </c>
      <c r="M1534">
        <v>1449574</v>
      </c>
    </row>
    <row r="1535" spans="1:13" x14ac:dyDescent="0.35">
      <c r="A1535" t="str">
        <f t="shared" si="86"/>
        <v>PAI45747PAIE3202566120100</v>
      </c>
      <c r="B1535" t="s">
        <v>2964</v>
      </c>
      <c r="C1535" s="1">
        <v>45747</v>
      </c>
      <c r="D1535" t="s">
        <v>2965</v>
      </c>
      <c r="E1535" t="str">
        <f t="shared" si="89"/>
        <v>66120100</v>
      </c>
      <c r="F1535" t="s">
        <v>2998</v>
      </c>
      <c r="G1535" t="s">
        <v>336</v>
      </c>
      <c r="H1535" t="s">
        <v>5917</v>
      </c>
      <c r="I1535">
        <v>0</v>
      </c>
      <c r="J1535" t="s">
        <v>343</v>
      </c>
      <c r="K1535">
        <v>1232282</v>
      </c>
      <c r="M1535">
        <v>1449574</v>
      </c>
    </row>
    <row r="1536" spans="1:13" x14ac:dyDescent="0.35">
      <c r="A1536" t="str">
        <f t="shared" si="86"/>
        <v>PAI45747PAIE3202566120200</v>
      </c>
      <c r="B1536" t="s">
        <v>2964</v>
      </c>
      <c r="C1536" s="1">
        <v>45747</v>
      </c>
      <c r="D1536" t="s">
        <v>2965</v>
      </c>
      <c r="E1536" t="str">
        <f t="shared" ref="E1536:E1553" si="90">"66120200"</f>
        <v>66120200</v>
      </c>
      <c r="F1536" t="s">
        <v>2999</v>
      </c>
      <c r="G1536" t="s">
        <v>336</v>
      </c>
      <c r="H1536" t="s">
        <v>5909</v>
      </c>
      <c r="I1536">
        <v>0</v>
      </c>
      <c r="J1536" t="s">
        <v>343</v>
      </c>
      <c r="K1536">
        <v>80000</v>
      </c>
      <c r="M1536">
        <v>28966143</v>
      </c>
    </row>
    <row r="1537" spans="1:13" x14ac:dyDescent="0.35">
      <c r="A1537" t="str">
        <f t="shared" si="86"/>
        <v>PAI45747PAIE3202566120200</v>
      </c>
      <c r="B1537" t="s">
        <v>2964</v>
      </c>
      <c r="C1537" s="1">
        <v>45747</v>
      </c>
      <c r="D1537" t="s">
        <v>2965</v>
      </c>
      <c r="E1537" t="str">
        <f t="shared" si="90"/>
        <v>66120200</v>
      </c>
      <c r="F1537" t="s">
        <v>2999</v>
      </c>
      <c r="G1537" t="s">
        <v>336</v>
      </c>
      <c r="H1537" t="s">
        <v>5902</v>
      </c>
      <c r="I1537">
        <v>0</v>
      </c>
      <c r="J1537" t="s">
        <v>343</v>
      </c>
      <c r="K1537">
        <v>2080067</v>
      </c>
      <c r="M1537">
        <v>28966143</v>
      </c>
    </row>
    <row r="1538" spans="1:13" x14ac:dyDescent="0.35">
      <c r="A1538" t="str">
        <f t="shared" si="86"/>
        <v>PAI45747PAIE3202566120200</v>
      </c>
      <c r="B1538" t="s">
        <v>2964</v>
      </c>
      <c r="C1538" s="1">
        <v>45747</v>
      </c>
      <c r="D1538" t="s">
        <v>2965</v>
      </c>
      <c r="E1538" t="str">
        <f t="shared" si="90"/>
        <v>66120200</v>
      </c>
      <c r="F1538" t="s">
        <v>2999</v>
      </c>
      <c r="G1538" t="s">
        <v>336</v>
      </c>
      <c r="H1538" t="s">
        <v>5910</v>
      </c>
      <c r="I1538">
        <v>0</v>
      </c>
      <c r="J1538" t="s">
        <v>343</v>
      </c>
      <c r="K1538">
        <v>180308</v>
      </c>
      <c r="M1538">
        <v>28966143</v>
      </c>
    </row>
    <row r="1539" spans="1:13" x14ac:dyDescent="0.35">
      <c r="A1539" t="str">
        <f t="shared" ref="A1539:A1602" si="91">CONCATENATE(B1539,C1539,D1539,E1539)</f>
        <v>PAI45747PAIE3202566120200</v>
      </c>
      <c r="B1539" t="s">
        <v>2964</v>
      </c>
      <c r="C1539" s="1">
        <v>45747</v>
      </c>
      <c r="D1539" t="s">
        <v>2965</v>
      </c>
      <c r="E1539" t="str">
        <f t="shared" si="90"/>
        <v>66120200</v>
      </c>
      <c r="F1539" t="s">
        <v>2999</v>
      </c>
      <c r="G1539" t="s">
        <v>336</v>
      </c>
      <c r="H1539" t="s">
        <v>5911</v>
      </c>
      <c r="I1539">
        <v>0</v>
      </c>
      <c r="J1539" t="s">
        <v>343</v>
      </c>
      <c r="K1539">
        <v>338886</v>
      </c>
      <c r="M1539">
        <v>28966143</v>
      </c>
    </row>
    <row r="1540" spans="1:13" x14ac:dyDescent="0.35">
      <c r="A1540" t="str">
        <f t="shared" si="91"/>
        <v>PAI45747PAIE3202566120200</v>
      </c>
      <c r="B1540" t="s">
        <v>2964</v>
      </c>
      <c r="C1540" s="1">
        <v>45747</v>
      </c>
      <c r="D1540" t="s">
        <v>2965</v>
      </c>
      <c r="E1540" t="str">
        <f t="shared" si="90"/>
        <v>66120200</v>
      </c>
      <c r="F1540" t="s">
        <v>2999</v>
      </c>
      <c r="G1540" t="s">
        <v>336</v>
      </c>
      <c r="H1540" t="s">
        <v>5913</v>
      </c>
      <c r="I1540">
        <v>0</v>
      </c>
      <c r="J1540" t="s">
        <v>343</v>
      </c>
      <c r="K1540">
        <v>345000</v>
      </c>
      <c r="M1540">
        <v>28966143</v>
      </c>
    </row>
    <row r="1541" spans="1:13" x14ac:dyDescent="0.35">
      <c r="A1541" t="str">
        <f t="shared" si="91"/>
        <v>PAI45747PAIE3202566120200</v>
      </c>
      <c r="B1541" t="s">
        <v>2964</v>
      </c>
      <c r="C1541" s="1">
        <v>45747</v>
      </c>
      <c r="D1541" t="s">
        <v>2965</v>
      </c>
      <c r="E1541" t="str">
        <f t="shared" si="90"/>
        <v>66120200</v>
      </c>
      <c r="F1541" t="s">
        <v>2999</v>
      </c>
      <c r="G1541" t="s">
        <v>336</v>
      </c>
      <c r="H1541" t="s">
        <v>5914</v>
      </c>
      <c r="I1541">
        <v>0</v>
      </c>
      <c r="J1541" t="s">
        <v>343</v>
      </c>
      <c r="K1541">
        <v>264573</v>
      </c>
      <c r="M1541">
        <v>28966143</v>
      </c>
    </row>
    <row r="1542" spans="1:13" x14ac:dyDescent="0.35">
      <c r="A1542" t="str">
        <f t="shared" si="91"/>
        <v>PAI45747PAIE3202566120200</v>
      </c>
      <c r="B1542" t="s">
        <v>2964</v>
      </c>
      <c r="C1542" s="1">
        <v>45747</v>
      </c>
      <c r="D1542" t="s">
        <v>2965</v>
      </c>
      <c r="E1542" t="str">
        <f t="shared" si="90"/>
        <v>66120200</v>
      </c>
      <c r="F1542" t="s">
        <v>2999</v>
      </c>
      <c r="G1542" t="s">
        <v>336</v>
      </c>
      <c r="H1542" t="s">
        <v>5935</v>
      </c>
      <c r="I1542">
        <v>0</v>
      </c>
      <c r="J1542" t="s">
        <v>343</v>
      </c>
      <c r="K1542">
        <v>2028202</v>
      </c>
      <c r="M1542">
        <v>28966143</v>
      </c>
    </row>
    <row r="1543" spans="1:13" x14ac:dyDescent="0.35">
      <c r="A1543" t="str">
        <f t="shared" si="91"/>
        <v>PAI45747PAIE3202566120200</v>
      </c>
      <c r="B1543" t="s">
        <v>2964</v>
      </c>
      <c r="C1543" s="1">
        <v>45747</v>
      </c>
      <c r="D1543" t="s">
        <v>2965</v>
      </c>
      <c r="E1543" t="str">
        <f t="shared" si="90"/>
        <v>66120200</v>
      </c>
      <c r="F1543" t="s">
        <v>2999</v>
      </c>
      <c r="G1543" t="s">
        <v>336</v>
      </c>
      <c r="H1543" t="s">
        <v>5936</v>
      </c>
      <c r="I1543">
        <v>0</v>
      </c>
      <c r="J1543" t="s">
        <v>343</v>
      </c>
      <c r="K1543">
        <v>218667</v>
      </c>
      <c r="M1543">
        <v>28966143</v>
      </c>
    </row>
    <row r="1544" spans="1:13" x14ac:dyDescent="0.35">
      <c r="A1544" t="str">
        <f t="shared" si="91"/>
        <v>PAI45747PAIE3202566120200</v>
      </c>
      <c r="B1544" t="s">
        <v>2964</v>
      </c>
      <c r="C1544" s="1">
        <v>45747</v>
      </c>
      <c r="D1544" t="s">
        <v>2965</v>
      </c>
      <c r="E1544" t="str">
        <f t="shared" si="90"/>
        <v>66120200</v>
      </c>
      <c r="F1544" t="s">
        <v>2999</v>
      </c>
      <c r="G1544" t="s">
        <v>336</v>
      </c>
      <c r="H1544" t="s">
        <v>5903</v>
      </c>
      <c r="I1544">
        <v>0</v>
      </c>
      <c r="J1544" t="s">
        <v>343</v>
      </c>
      <c r="K1544">
        <v>190000</v>
      </c>
      <c r="M1544">
        <v>28966143</v>
      </c>
    </row>
    <row r="1545" spans="1:13" x14ac:dyDescent="0.35">
      <c r="A1545" t="str">
        <f t="shared" si="91"/>
        <v>PAI45747PAIE3202566120200</v>
      </c>
      <c r="B1545" t="s">
        <v>2964</v>
      </c>
      <c r="C1545" s="1">
        <v>45747</v>
      </c>
      <c r="D1545" t="s">
        <v>2965</v>
      </c>
      <c r="E1545" t="str">
        <f t="shared" si="90"/>
        <v>66120200</v>
      </c>
      <c r="F1545" t="s">
        <v>2999</v>
      </c>
      <c r="G1545" t="s">
        <v>336</v>
      </c>
      <c r="H1545" t="s">
        <v>5915</v>
      </c>
      <c r="I1545">
        <v>0</v>
      </c>
      <c r="J1545" t="s">
        <v>343</v>
      </c>
      <c r="K1545">
        <v>1500698</v>
      </c>
      <c r="M1545">
        <v>28966143</v>
      </c>
    </row>
    <row r="1546" spans="1:13" x14ac:dyDescent="0.35">
      <c r="A1546" t="str">
        <f t="shared" si="91"/>
        <v>PAI45747PAIE3202566120200</v>
      </c>
      <c r="B1546" t="s">
        <v>2964</v>
      </c>
      <c r="C1546" s="1">
        <v>45747</v>
      </c>
      <c r="D1546" t="s">
        <v>2965</v>
      </c>
      <c r="E1546" t="str">
        <f t="shared" si="90"/>
        <v>66120200</v>
      </c>
      <c r="F1546" t="s">
        <v>2999</v>
      </c>
      <c r="G1546" t="s">
        <v>336</v>
      </c>
      <c r="H1546" t="s">
        <v>5917</v>
      </c>
      <c r="I1546">
        <v>0</v>
      </c>
      <c r="J1546" t="s">
        <v>343</v>
      </c>
      <c r="K1546">
        <v>100000</v>
      </c>
      <c r="M1546">
        <v>28966143</v>
      </c>
    </row>
    <row r="1547" spans="1:13" x14ac:dyDescent="0.35">
      <c r="A1547" t="str">
        <f t="shared" si="91"/>
        <v>PAI45747PAIE3202566120200</v>
      </c>
      <c r="B1547" t="s">
        <v>2964</v>
      </c>
      <c r="C1547" s="1">
        <v>45747</v>
      </c>
      <c r="D1547" t="s">
        <v>2965</v>
      </c>
      <c r="E1547" t="str">
        <f t="shared" si="90"/>
        <v>66120200</v>
      </c>
      <c r="F1547" t="s">
        <v>2999</v>
      </c>
      <c r="G1547" t="s">
        <v>336</v>
      </c>
      <c r="H1547" t="s">
        <v>5918</v>
      </c>
      <c r="I1547">
        <v>0</v>
      </c>
      <c r="J1547" t="s">
        <v>343</v>
      </c>
      <c r="K1547">
        <v>4127848</v>
      </c>
      <c r="M1547">
        <v>28966143</v>
      </c>
    </row>
    <row r="1548" spans="1:13" x14ac:dyDescent="0.35">
      <c r="A1548" t="str">
        <f t="shared" si="91"/>
        <v>PAI45747PAIE3202566120200</v>
      </c>
      <c r="B1548" t="s">
        <v>2964</v>
      </c>
      <c r="C1548" s="1">
        <v>45747</v>
      </c>
      <c r="D1548" t="s">
        <v>2965</v>
      </c>
      <c r="E1548" t="str">
        <f t="shared" si="90"/>
        <v>66120200</v>
      </c>
      <c r="F1548" t="s">
        <v>2999</v>
      </c>
      <c r="G1548" t="s">
        <v>336</v>
      </c>
      <c r="H1548" t="s">
        <v>5919</v>
      </c>
      <c r="I1548">
        <v>0</v>
      </c>
      <c r="J1548" t="s">
        <v>343</v>
      </c>
      <c r="K1548">
        <v>1105616</v>
      </c>
      <c r="M1548">
        <v>28966143</v>
      </c>
    </row>
    <row r="1549" spans="1:13" x14ac:dyDescent="0.35">
      <c r="A1549" t="str">
        <f t="shared" si="91"/>
        <v>PAI45747PAIE3202566120200</v>
      </c>
      <c r="B1549" t="s">
        <v>2964</v>
      </c>
      <c r="C1549" s="1">
        <v>45747</v>
      </c>
      <c r="D1549" t="s">
        <v>2965</v>
      </c>
      <c r="E1549" t="str">
        <f t="shared" si="90"/>
        <v>66120200</v>
      </c>
      <c r="F1549" t="s">
        <v>2999</v>
      </c>
      <c r="G1549" t="s">
        <v>336</v>
      </c>
      <c r="H1549" t="s">
        <v>5920</v>
      </c>
      <c r="I1549">
        <v>0</v>
      </c>
      <c r="J1549" t="s">
        <v>343</v>
      </c>
      <c r="K1549">
        <v>964512</v>
      </c>
      <c r="M1549">
        <v>28966143</v>
      </c>
    </row>
    <row r="1550" spans="1:13" x14ac:dyDescent="0.35">
      <c r="A1550" t="str">
        <f t="shared" si="91"/>
        <v>PAI45747PAIE3202566120200</v>
      </c>
      <c r="B1550" t="s">
        <v>2964</v>
      </c>
      <c r="C1550" s="1">
        <v>45747</v>
      </c>
      <c r="D1550" t="s">
        <v>2965</v>
      </c>
      <c r="E1550" t="str">
        <f t="shared" si="90"/>
        <v>66120200</v>
      </c>
      <c r="F1550" t="s">
        <v>2999</v>
      </c>
      <c r="G1550" t="s">
        <v>336</v>
      </c>
      <c r="H1550" t="s">
        <v>5888</v>
      </c>
      <c r="I1550">
        <v>0</v>
      </c>
      <c r="J1550" t="s">
        <v>343</v>
      </c>
      <c r="K1550">
        <v>1077656</v>
      </c>
      <c r="M1550">
        <v>28966143</v>
      </c>
    </row>
    <row r="1551" spans="1:13" x14ac:dyDescent="0.35">
      <c r="A1551" t="str">
        <f t="shared" si="91"/>
        <v>PAI45747PAIE3202566120200</v>
      </c>
      <c r="B1551" t="s">
        <v>2964</v>
      </c>
      <c r="C1551" s="1">
        <v>45747</v>
      </c>
      <c r="D1551" t="s">
        <v>2965</v>
      </c>
      <c r="E1551" t="str">
        <f t="shared" si="90"/>
        <v>66120200</v>
      </c>
      <c r="F1551" t="s">
        <v>2999</v>
      </c>
      <c r="G1551" t="s">
        <v>336</v>
      </c>
      <c r="H1551" t="s">
        <v>5961</v>
      </c>
      <c r="I1551">
        <v>0</v>
      </c>
      <c r="J1551" t="s">
        <v>343</v>
      </c>
      <c r="K1551">
        <v>6142836</v>
      </c>
      <c r="M1551">
        <v>28966143</v>
      </c>
    </row>
    <row r="1552" spans="1:13" x14ac:dyDescent="0.35">
      <c r="A1552" t="str">
        <f t="shared" si="91"/>
        <v>PAI45747PAIE3202566120200</v>
      </c>
      <c r="B1552" t="s">
        <v>2964</v>
      </c>
      <c r="C1552" s="1">
        <v>45747</v>
      </c>
      <c r="D1552" t="s">
        <v>2965</v>
      </c>
      <c r="E1552" t="str">
        <f t="shared" si="90"/>
        <v>66120200</v>
      </c>
      <c r="F1552" t="s">
        <v>2999</v>
      </c>
      <c r="G1552" t="s">
        <v>336</v>
      </c>
      <c r="H1552" t="s">
        <v>5921</v>
      </c>
      <c r="I1552">
        <v>0</v>
      </c>
      <c r="J1552" t="s">
        <v>343</v>
      </c>
      <c r="K1552">
        <v>7645450</v>
      </c>
      <c r="M1552">
        <v>28966143</v>
      </c>
    </row>
    <row r="1553" spans="1:13" x14ac:dyDescent="0.35">
      <c r="A1553" t="str">
        <f t="shared" si="91"/>
        <v>PAI45747PAIE3202566120200</v>
      </c>
      <c r="B1553" t="s">
        <v>2964</v>
      </c>
      <c r="C1553" s="1">
        <v>45747</v>
      </c>
      <c r="D1553" t="s">
        <v>2965</v>
      </c>
      <c r="E1553" t="str">
        <f t="shared" si="90"/>
        <v>66120200</v>
      </c>
      <c r="F1553" t="s">
        <v>2999</v>
      </c>
      <c r="G1553" t="s">
        <v>336</v>
      </c>
      <c r="H1553" t="s">
        <v>5922</v>
      </c>
      <c r="I1553">
        <v>0</v>
      </c>
      <c r="J1553" t="s">
        <v>343</v>
      </c>
      <c r="K1553">
        <v>575824</v>
      </c>
      <c r="M1553">
        <v>28966143</v>
      </c>
    </row>
    <row r="1554" spans="1:13" x14ac:dyDescent="0.35">
      <c r="A1554" t="str">
        <f t="shared" si="91"/>
        <v>PAI45747PAIE3202566120300</v>
      </c>
      <c r="B1554" t="s">
        <v>2964</v>
      </c>
      <c r="C1554" s="1">
        <v>45747</v>
      </c>
      <c r="D1554" t="s">
        <v>2965</v>
      </c>
      <c r="E1554" t="str">
        <f t="shared" ref="E1554:E1559" si="92">"66120300"</f>
        <v>66120300</v>
      </c>
      <c r="F1554" t="s">
        <v>3000</v>
      </c>
      <c r="G1554" t="s">
        <v>336</v>
      </c>
      <c r="H1554" t="s">
        <v>5935</v>
      </c>
      <c r="I1554">
        <v>0</v>
      </c>
      <c r="J1554" t="s">
        <v>343</v>
      </c>
      <c r="K1554">
        <v>467075</v>
      </c>
      <c r="M1554">
        <v>589211</v>
      </c>
    </row>
    <row r="1555" spans="1:13" x14ac:dyDescent="0.35">
      <c r="A1555" t="str">
        <f t="shared" si="91"/>
        <v>PAI45747PAIE3202566120300</v>
      </c>
      <c r="B1555" t="s">
        <v>2964</v>
      </c>
      <c r="C1555" s="1">
        <v>45747</v>
      </c>
      <c r="D1555" t="s">
        <v>2965</v>
      </c>
      <c r="E1555" t="str">
        <f t="shared" si="92"/>
        <v>66120300</v>
      </c>
      <c r="F1555" t="s">
        <v>3000</v>
      </c>
      <c r="G1555" t="s">
        <v>336</v>
      </c>
      <c r="H1555" t="s">
        <v>5936</v>
      </c>
      <c r="I1555">
        <v>0</v>
      </c>
      <c r="J1555" t="s">
        <v>343</v>
      </c>
      <c r="K1555">
        <v>15941</v>
      </c>
      <c r="M1555">
        <v>589211</v>
      </c>
    </row>
    <row r="1556" spans="1:13" x14ac:dyDescent="0.35">
      <c r="A1556" t="str">
        <f t="shared" si="91"/>
        <v>PAI45747PAIE3202566120300</v>
      </c>
      <c r="B1556" t="s">
        <v>2964</v>
      </c>
      <c r="C1556" s="1">
        <v>45747</v>
      </c>
      <c r="D1556" t="s">
        <v>2965</v>
      </c>
      <c r="E1556" t="str">
        <f t="shared" si="92"/>
        <v>66120300</v>
      </c>
      <c r="F1556" t="s">
        <v>3000</v>
      </c>
      <c r="G1556" t="s">
        <v>336</v>
      </c>
      <c r="H1556" t="s">
        <v>5918</v>
      </c>
      <c r="I1556">
        <v>0</v>
      </c>
      <c r="J1556" t="s">
        <v>343</v>
      </c>
      <c r="K1556">
        <v>28735</v>
      </c>
      <c r="M1556">
        <v>589211</v>
      </c>
    </row>
    <row r="1557" spans="1:13" x14ac:dyDescent="0.35">
      <c r="A1557" t="str">
        <f t="shared" si="91"/>
        <v>PAI45747PAIE3202566120300</v>
      </c>
      <c r="B1557" t="s">
        <v>2964</v>
      </c>
      <c r="C1557" s="1">
        <v>45747</v>
      </c>
      <c r="D1557" t="s">
        <v>2965</v>
      </c>
      <c r="E1557" t="str">
        <f t="shared" si="92"/>
        <v>66120300</v>
      </c>
      <c r="F1557" t="s">
        <v>3000</v>
      </c>
      <c r="G1557" t="s">
        <v>336</v>
      </c>
      <c r="H1557" t="s">
        <v>5961</v>
      </c>
      <c r="I1557">
        <v>0</v>
      </c>
      <c r="J1557" t="s">
        <v>343</v>
      </c>
      <c r="K1557">
        <v>77460</v>
      </c>
      <c r="M1557">
        <v>589211</v>
      </c>
    </row>
    <row r="1558" spans="1:13" x14ac:dyDescent="0.35">
      <c r="A1558" t="str">
        <f t="shared" si="91"/>
        <v>PAI45747PAIE3202566120300</v>
      </c>
      <c r="B1558" t="s">
        <v>2964</v>
      </c>
      <c r="C1558" s="1">
        <v>45747</v>
      </c>
      <c r="D1558" t="s">
        <v>2965</v>
      </c>
      <c r="E1558" t="str">
        <f t="shared" si="92"/>
        <v>66120300</v>
      </c>
      <c r="F1558" t="s">
        <v>3001</v>
      </c>
      <c r="G1558" t="s">
        <v>336</v>
      </c>
      <c r="H1558" t="s">
        <v>5911</v>
      </c>
      <c r="I1558">
        <v>0</v>
      </c>
      <c r="J1558" t="s">
        <v>343</v>
      </c>
      <c r="K1558">
        <v>111709</v>
      </c>
      <c r="M1558">
        <v>1139619</v>
      </c>
    </row>
    <row r="1559" spans="1:13" x14ac:dyDescent="0.35">
      <c r="A1559" t="str">
        <f t="shared" si="91"/>
        <v>PAI45747PAIE3202566120300</v>
      </c>
      <c r="B1559" t="s">
        <v>2964</v>
      </c>
      <c r="C1559" s="1">
        <v>45747</v>
      </c>
      <c r="D1559" t="s">
        <v>2965</v>
      </c>
      <c r="E1559" t="str">
        <f t="shared" si="92"/>
        <v>66120300</v>
      </c>
      <c r="F1559" t="s">
        <v>3001</v>
      </c>
      <c r="G1559" t="s">
        <v>336</v>
      </c>
      <c r="H1559" t="s">
        <v>5917</v>
      </c>
      <c r="I1559">
        <v>0</v>
      </c>
      <c r="J1559" t="s">
        <v>343</v>
      </c>
      <c r="K1559">
        <v>1027910</v>
      </c>
      <c r="M1559">
        <v>1139619</v>
      </c>
    </row>
    <row r="1560" spans="1:13" x14ac:dyDescent="0.35">
      <c r="A1560" t="str">
        <f t="shared" si="91"/>
        <v>PAI45747PAIE3202566130000</v>
      </c>
      <c r="B1560" t="s">
        <v>2964</v>
      </c>
      <c r="C1560" s="1">
        <v>45747</v>
      </c>
      <c r="D1560" t="s">
        <v>2965</v>
      </c>
      <c r="E1560" t="str">
        <f t="shared" ref="E1560:E1573" si="93">"66130000"</f>
        <v>66130000</v>
      </c>
      <c r="F1560" t="s">
        <v>3002</v>
      </c>
      <c r="G1560" t="s">
        <v>336</v>
      </c>
      <c r="H1560" t="s">
        <v>5909</v>
      </c>
      <c r="I1560">
        <v>0</v>
      </c>
      <c r="J1560" t="s">
        <v>343</v>
      </c>
      <c r="K1560">
        <v>558926</v>
      </c>
      <c r="M1560">
        <v>10331648</v>
      </c>
    </row>
    <row r="1561" spans="1:13" x14ac:dyDescent="0.35">
      <c r="A1561" t="str">
        <f t="shared" si="91"/>
        <v>PAI45747PAIE3202566130000</v>
      </c>
      <c r="B1561" t="s">
        <v>2964</v>
      </c>
      <c r="C1561" s="1">
        <v>45747</v>
      </c>
      <c r="D1561" t="s">
        <v>2965</v>
      </c>
      <c r="E1561" t="str">
        <f t="shared" si="93"/>
        <v>66130000</v>
      </c>
      <c r="F1561" t="s">
        <v>3002</v>
      </c>
      <c r="G1561" t="s">
        <v>336</v>
      </c>
      <c r="H1561" t="s">
        <v>5902</v>
      </c>
      <c r="I1561">
        <v>0</v>
      </c>
      <c r="J1561" t="s">
        <v>343</v>
      </c>
      <c r="K1561">
        <v>1147440</v>
      </c>
      <c r="M1561">
        <v>10331648</v>
      </c>
    </row>
    <row r="1562" spans="1:13" x14ac:dyDescent="0.35">
      <c r="A1562" t="str">
        <f t="shared" si="91"/>
        <v>PAI45747PAIE3202566130000</v>
      </c>
      <c r="B1562" t="s">
        <v>2964</v>
      </c>
      <c r="C1562" s="1">
        <v>45747</v>
      </c>
      <c r="D1562" t="s">
        <v>2965</v>
      </c>
      <c r="E1562" t="str">
        <f t="shared" si="93"/>
        <v>66130000</v>
      </c>
      <c r="F1562" t="s">
        <v>3002</v>
      </c>
      <c r="G1562" t="s">
        <v>336</v>
      </c>
      <c r="H1562" t="s">
        <v>5914</v>
      </c>
      <c r="I1562">
        <v>0</v>
      </c>
      <c r="J1562" t="s">
        <v>343</v>
      </c>
      <c r="K1562">
        <v>218806</v>
      </c>
      <c r="M1562">
        <v>10331648</v>
      </c>
    </row>
    <row r="1563" spans="1:13" x14ac:dyDescent="0.35">
      <c r="A1563" t="str">
        <f t="shared" si="91"/>
        <v>PAI45747PAIE3202566130000</v>
      </c>
      <c r="B1563" t="s">
        <v>2964</v>
      </c>
      <c r="C1563" s="1">
        <v>45747</v>
      </c>
      <c r="D1563" t="s">
        <v>2965</v>
      </c>
      <c r="E1563" t="str">
        <f t="shared" si="93"/>
        <v>66130000</v>
      </c>
      <c r="F1563" t="s">
        <v>3002</v>
      </c>
      <c r="G1563" t="s">
        <v>336</v>
      </c>
      <c r="H1563" t="s">
        <v>5935</v>
      </c>
      <c r="I1563">
        <v>0</v>
      </c>
      <c r="J1563" t="s">
        <v>343</v>
      </c>
      <c r="K1563">
        <v>2626954</v>
      </c>
      <c r="M1563">
        <v>10331648</v>
      </c>
    </row>
    <row r="1564" spans="1:13" x14ac:dyDescent="0.35">
      <c r="A1564" t="str">
        <f t="shared" si="91"/>
        <v>PAI45747PAIE3202566130000</v>
      </c>
      <c r="B1564" t="s">
        <v>2964</v>
      </c>
      <c r="C1564" s="1">
        <v>45747</v>
      </c>
      <c r="D1564" t="s">
        <v>2965</v>
      </c>
      <c r="E1564" t="str">
        <f t="shared" si="93"/>
        <v>66130000</v>
      </c>
      <c r="F1564" t="s">
        <v>3002</v>
      </c>
      <c r="G1564" t="s">
        <v>336</v>
      </c>
      <c r="H1564" t="s">
        <v>5936</v>
      </c>
      <c r="I1564">
        <v>0</v>
      </c>
      <c r="J1564" t="s">
        <v>343</v>
      </c>
      <c r="K1564">
        <v>658094</v>
      </c>
      <c r="M1564">
        <v>10331648</v>
      </c>
    </row>
    <row r="1565" spans="1:13" x14ac:dyDescent="0.35">
      <c r="A1565" t="str">
        <f t="shared" si="91"/>
        <v>PAI45747PAIE3202566130000</v>
      </c>
      <c r="B1565" t="s">
        <v>2964</v>
      </c>
      <c r="C1565" s="1">
        <v>45747</v>
      </c>
      <c r="D1565" t="s">
        <v>2965</v>
      </c>
      <c r="E1565" t="str">
        <f t="shared" si="93"/>
        <v>66130000</v>
      </c>
      <c r="F1565" t="s">
        <v>3002</v>
      </c>
      <c r="G1565" t="s">
        <v>336</v>
      </c>
      <c r="H1565" t="s">
        <v>5915</v>
      </c>
      <c r="I1565">
        <v>0</v>
      </c>
      <c r="J1565" t="s">
        <v>343</v>
      </c>
      <c r="K1565">
        <v>734936</v>
      </c>
      <c r="M1565">
        <v>10331648</v>
      </c>
    </row>
    <row r="1566" spans="1:13" x14ac:dyDescent="0.35">
      <c r="A1566" t="str">
        <f t="shared" si="91"/>
        <v>PAI45747PAIE3202566130000</v>
      </c>
      <c r="B1566" t="s">
        <v>2964</v>
      </c>
      <c r="C1566" s="1">
        <v>45747</v>
      </c>
      <c r="D1566" t="s">
        <v>2965</v>
      </c>
      <c r="E1566" t="str">
        <f t="shared" si="93"/>
        <v>66130000</v>
      </c>
      <c r="F1566" t="s">
        <v>3002</v>
      </c>
      <c r="G1566" t="s">
        <v>336</v>
      </c>
      <c r="H1566" t="s">
        <v>5918</v>
      </c>
      <c r="I1566">
        <v>0</v>
      </c>
      <c r="J1566" t="s">
        <v>343</v>
      </c>
      <c r="K1566">
        <v>778186</v>
      </c>
      <c r="M1566">
        <v>10331648</v>
      </c>
    </row>
    <row r="1567" spans="1:13" x14ac:dyDescent="0.35">
      <c r="A1567" t="str">
        <f t="shared" si="91"/>
        <v>PAI45747PAIE3202566130000</v>
      </c>
      <c r="B1567" t="s">
        <v>2964</v>
      </c>
      <c r="C1567" s="1">
        <v>45747</v>
      </c>
      <c r="D1567" t="s">
        <v>2965</v>
      </c>
      <c r="E1567" t="str">
        <f t="shared" si="93"/>
        <v>66130000</v>
      </c>
      <c r="F1567" t="s">
        <v>3002</v>
      </c>
      <c r="G1567" t="s">
        <v>336</v>
      </c>
      <c r="H1567" t="s">
        <v>5919</v>
      </c>
      <c r="I1567">
        <v>0</v>
      </c>
      <c r="J1567" t="s">
        <v>343</v>
      </c>
      <c r="K1567">
        <v>301443</v>
      </c>
      <c r="M1567">
        <v>10331648</v>
      </c>
    </row>
    <row r="1568" spans="1:13" x14ac:dyDescent="0.35">
      <c r="A1568" t="str">
        <f t="shared" si="91"/>
        <v>PAI45747PAIE3202566130000</v>
      </c>
      <c r="B1568" t="s">
        <v>2964</v>
      </c>
      <c r="C1568" s="1">
        <v>45747</v>
      </c>
      <c r="D1568" t="s">
        <v>2965</v>
      </c>
      <c r="E1568" t="str">
        <f t="shared" si="93"/>
        <v>66130000</v>
      </c>
      <c r="F1568" t="s">
        <v>3002</v>
      </c>
      <c r="G1568" t="s">
        <v>336</v>
      </c>
      <c r="H1568" t="s">
        <v>5920</v>
      </c>
      <c r="I1568">
        <v>0</v>
      </c>
      <c r="J1568" t="s">
        <v>343</v>
      </c>
      <c r="K1568">
        <v>934593</v>
      </c>
      <c r="M1568">
        <v>10331648</v>
      </c>
    </row>
    <row r="1569" spans="1:14" x14ac:dyDescent="0.35">
      <c r="A1569" t="str">
        <f t="shared" si="91"/>
        <v>PAI45747PAIE3202566130000</v>
      </c>
      <c r="B1569" t="s">
        <v>2964</v>
      </c>
      <c r="C1569" s="1">
        <v>45747</v>
      </c>
      <c r="D1569" t="s">
        <v>2965</v>
      </c>
      <c r="E1569" t="str">
        <f t="shared" si="93"/>
        <v>66130000</v>
      </c>
      <c r="F1569" t="s">
        <v>3002</v>
      </c>
      <c r="G1569" t="s">
        <v>336</v>
      </c>
      <c r="H1569" t="s">
        <v>5888</v>
      </c>
      <c r="I1569">
        <v>0</v>
      </c>
      <c r="J1569" t="s">
        <v>343</v>
      </c>
      <c r="K1569">
        <v>849970</v>
      </c>
      <c r="M1569">
        <v>10331648</v>
      </c>
    </row>
    <row r="1570" spans="1:14" x14ac:dyDescent="0.35">
      <c r="A1570" t="str">
        <f t="shared" si="91"/>
        <v>PAI45747PAIE3202566130000</v>
      </c>
      <c r="B1570" t="s">
        <v>2964</v>
      </c>
      <c r="C1570" s="1">
        <v>45747</v>
      </c>
      <c r="D1570" t="s">
        <v>2965</v>
      </c>
      <c r="E1570" t="str">
        <f t="shared" si="93"/>
        <v>66130000</v>
      </c>
      <c r="F1570" t="s">
        <v>3002</v>
      </c>
      <c r="G1570" t="s">
        <v>336</v>
      </c>
      <c r="H1570" t="s">
        <v>5961</v>
      </c>
      <c r="I1570">
        <v>0</v>
      </c>
      <c r="J1570" t="s">
        <v>343</v>
      </c>
      <c r="K1570">
        <v>715629</v>
      </c>
      <c r="M1570">
        <v>10331648</v>
      </c>
    </row>
    <row r="1571" spans="1:14" x14ac:dyDescent="0.35">
      <c r="A1571" t="str">
        <f t="shared" si="91"/>
        <v>PAI45747PAIE3202566130000</v>
      </c>
      <c r="B1571" t="s">
        <v>2964</v>
      </c>
      <c r="C1571" s="1">
        <v>45747</v>
      </c>
      <c r="D1571" t="s">
        <v>2965</v>
      </c>
      <c r="E1571" t="str">
        <f t="shared" si="93"/>
        <v>66130000</v>
      </c>
      <c r="F1571" t="s">
        <v>3002</v>
      </c>
      <c r="G1571" t="s">
        <v>336</v>
      </c>
      <c r="H1571" t="s">
        <v>5921</v>
      </c>
      <c r="I1571">
        <v>0</v>
      </c>
      <c r="J1571" t="s">
        <v>343</v>
      </c>
      <c r="K1571">
        <v>806671</v>
      </c>
      <c r="M1571">
        <v>10331648</v>
      </c>
    </row>
    <row r="1572" spans="1:14" x14ac:dyDescent="0.35">
      <c r="A1572" t="str">
        <f t="shared" si="91"/>
        <v>PAI45747PAIE3202566130000</v>
      </c>
      <c r="B1572" t="s">
        <v>2964</v>
      </c>
      <c r="C1572" s="1">
        <v>45747</v>
      </c>
      <c r="D1572" t="s">
        <v>2965</v>
      </c>
      <c r="E1572" t="str">
        <f t="shared" si="93"/>
        <v>66130000</v>
      </c>
      <c r="F1572" t="s">
        <v>3003</v>
      </c>
      <c r="G1572" t="s">
        <v>336</v>
      </c>
      <c r="H1572" t="s">
        <v>5911</v>
      </c>
      <c r="I1572">
        <v>0</v>
      </c>
      <c r="J1572" t="s">
        <v>343</v>
      </c>
      <c r="K1572">
        <v>752917</v>
      </c>
      <c r="M1572">
        <v>7323224</v>
      </c>
    </row>
    <row r="1573" spans="1:14" x14ac:dyDescent="0.35">
      <c r="A1573" t="str">
        <f t="shared" si="91"/>
        <v>PAI45747PAIE3202566130000</v>
      </c>
      <c r="B1573" t="s">
        <v>2964</v>
      </c>
      <c r="C1573" s="1">
        <v>45747</v>
      </c>
      <c r="D1573" t="s">
        <v>2965</v>
      </c>
      <c r="E1573" t="str">
        <f t="shared" si="93"/>
        <v>66130000</v>
      </c>
      <c r="F1573" t="s">
        <v>3003</v>
      </c>
      <c r="G1573" t="s">
        <v>336</v>
      </c>
      <c r="H1573" t="s">
        <v>5917</v>
      </c>
      <c r="I1573">
        <v>0</v>
      </c>
      <c r="J1573" t="s">
        <v>343</v>
      </c>
      <c r="K1573">
        <v>6570307</v>
      </c>
      <c r="M1573">
        <v>7323224</v>
      </c>
    </row>
    <row r="1574" spans="1:14" x14ac:dyDescent="0.35">
      <c r="A1574" t="str">
        <f t="shared" si="91"/>
        <v>PAI45747PAIE3202566140000</v>
      </c>
      <c r="B1574" t="s">
        <v>2964</v>
      </c>
      <c r="C1574" s="1">
        <v>45747</v>
      </c>
      <c r="D1574" t="s">
        <v>2965</v>
      </c>
      <c r="E1574" t="str">
        <f t="shared" ref="E1574:E1579" si="94">"66140000"</f>
        <v>66140000</v>
      </c>
      <c r="F1574" t="s">
        <v>3004</v>
      </c>
      <c r="G1574" t="s">
        <v>336</v>
      </c>
      <c r="H1574" t="s">
        <v>5936</v>
      </c>
      <c r="I1574">
        <v>0</v>
      </c>
      <c r="J1574" t="s">
        <v>343</v>
      </c>
      <c r="K1574">
        <v>64402</v>
      </c>
      <c r="M1574">
        <v>741453</v>
      </c>
    </row>
    <row r="1575" spans="1:14" x14ac:dyDescent="0.35">
      <c r="A1575" t="str">
        <f t="shared" si="91"/>
        <v>PAI45747PAIE3202566140000</v>
      </c>
      <c r="B1575" t="s">
        <v>2964</v>
      </c>
      <c r="C1575" s="1">
        <v>45747</v>
      </c>
      <c r="D1575" t="s">
        <v>2965</v>
      </c>
      <c r="E1575" t="str">
        <f t="shared" si="94"/>
        <v>66140000</v>
      </c>
      <c r="F1575" t="s">
        <v>3004</v>
      </c>
      <c r="G1575" t="s">
        <v>336</v>
      </c>
      <c r="H1575" t="s">
        <v>5918</v>
      </c>
      <c r="I1575">
        <v>0</v>
      </c>
      <c r="J1575" t="s">
        <v>343</v>
      </c>
      <c r="K1575">
        <v>285415</v>
      </c>
      <c r="M1575">
        <v>741453</v>
      </c>
    </row>
    <row r="1576" spans="1:14" x14ac:dyDescent="0.35">
      <c r="A1576" t="str">
        <f t="shared" si="91"/>
        <v>PAI45747PAIE3202566140000</v>
      </c>
      <c r="B1576" t="s">
        <v>2964</v>
      </c>
      <c r="C1576" s="1">
        <v>45747</v>
      </c>
      <c r="D1576" t="s">
        <v>2965</v>
      </c>
      <c r="E1576" t="str">
        <f t="shared" si="94"/>
        <v>66140000</v>
      </c>
      <c r="F1576" t="s">
        <v>3004</v>
      </c>
      <c r="G1576" t="s">
        <v>336</v>
      </c>
      <c r="H1576" t="s">
        <v>5961</v>
      </c>
      <c r="I1576">
        <v>0</v>
      </c>
      <c r="J1576" t="s">
        <v>343</v>
      </c>
      <c r="K1576">
        <v>391636</v>
      </c>
      <c r="M1576">
        <v>741453</v>
      </c>
    </row>
    <row r="1577" spans="1:14" x14ac:dyDescent="0.35">
      <c r="A1577" t="str">
        <f t="shared" si="91"/>
        <v>PAI45747PAIE3202566140000</v>
      </c>
      <c r="B1577" t="s">
        <v>2964</v>
      </c>
      <c r="C1577" s="1">
        <v>45747</v>
      </c>
      <c r="D1577" t="s">
        <v>2965</v>
      </c>
      <c r="E1577" t="str">
        <f t="shared" si="94"/>
        <v>66140000</v>
      </c>
      <c r="F1577" t="s">
        <v>3005</v>
      </c>
      <c r="G1577" t="s">
        <v>336</v>
      </c>
      <c r="H1577" t="s">
        <v>5961</v>
      </c>
      <c r="I1577">
        <v>0</v>
      </c>
      <c r="J1577" t="s">
        <v>343</v>
      </c>
      <c r="L1577">
        <v>46946</v>
      </c>
      <c r="N1577">
        <v>46946</v>
      </c>
    </row>
    <row r="1578" spans="1:14" x14ac:dyDescent="0.35">
      <c r="A1578" t="str">
        <f t="shared" si="91"/>
        <v>PAI45747PAIE3202566140000</v>
      </c>
      <c r="B1578" t="s">
        <v>2964</v>
      </c>
      <c r="C1578" s="1">
        <v>45747</v>
      </c>
      <c r="D1578" t="s">
        <v>2965</v>
      </c>
      <c r="E1578" t="str">
        <f t="shared" si="94"/>
        <v>66140000</v>
      </c>
      <c r="F1578" t="s">
        <v>3006</v>
      </c>
      <c r="G1578" t="s">
        <v>336</v>
      </c>
      <c r="H1578" t="s">
        <v>5911</v>
      </c>
      <c r="I1578">
        <v>0</v>
      </c>
      <c r="J1578" t="s">
        <v>343</v>
      </c>
      <c r="K1578">
        <v>226467</v>
      </c>
      <c r="M1578">
        <v>2644381</v>
      </c>
    </row>
    <row r="1579" spans="1:14" x14ac:dyDescent="0.35">
      <c r="A1579" t="str">
        <f t="shared" si="91"/>
        <v>PAI45747PAIE3202566140000</v>
      </c>
      <c r="B1579" t="s">
        <v>2964</v>
      </c>
      <c r="C1579" s="1">
        <v>45747</v>
      </c>
      <c r="D1579" t="s">
        <v>2965</v>
      </c>
      <c r="E1579" t="str">
        <f t="shared" si="94"/>
        <v>66140000</v>
      </c>
      <c r="F1579" t="s">
        <v>3006</v>
      </c>
      <c r="G1579" t="s">
        <v>336</v>
      </c>
      <c r="H1579" t="s">
        <v>5917</v>
      </c>
      <c r="I1579">
        <v>0</v>
      </c>
      <c r="J1579" t="s">
        <v>343</v>
      </c>
      <c r="K1579">
        <v>2417914</v>
      </c>
      <c r="M1579">
        <v>2644381</v>
      </c>
    </row>
    <row r="1580" spans="1:14" x14ac:dyDescent="0.35">
      <c r="A1580" t="str">
        <f t="shared" si="91"/>
        <v>PAI45747PAIE3202566320000</v>
      </c>
      <c r="B1580" t="s">
        <v>2964</v>
      </c>
      <c r="C1580" s="1">
        <v>45747</v>
      </c>
      <c r="D1580" t="s">
        <v>2965</v>
      </c>
      <c r="E1580" t="str">
        <f t="shared" ref="E1580:E1594" si="95">"66320000"</f>
        <v>66320000</v>
      </c>
      <c r="F1580" t="s">
        <v>3007</v>
      </c>
      <c r="G1580" t="s">
        <v>336</v>
      </c>
      <c r="H1580" t="s">
        <v>5909</v>
      </c>
      <c r="I1580">
        <v>0</v>
      </c>
      <c r="J1580" t="s">
        <v>343</v>
      </c>
      <c r="K1580">
        <v>150000</v>
      </c>
      <c r="M1580">
        <v>21464381</v>
      </c>
    </row>
    <row r="1581" spans="1:14" x14ac:dyDescent="0.35">
      <c r="A1581" t="str">
        <f t="shared" si="91"/>
        <v>PAI45747PAIE3202566320000</v>
      </c>
      <c r="B1581" t="s">
        <v>2964</v>
      </c>
      <c r="C1581" s="1">
        <v>45747</v>
      </c>
      <c r="D1581" t="s">
        <v>2965</v>
      </c>
      <c r="E1581" t="str">
        <f t="shared" si="95"/>
        <v>66320000</v>
      </c>
      <c r="F1581" t="s">
        <v>3007</v>
      </c>
      <c r="G1581" t="s">
        <v>336</v>
      </c>
      <c r="H1581" t="s">
        <v>5886</v>
      </c>
      <c r="I1581">
        <v>0</v>
      </c>
      <c r="J1581" t="s">
        <v>343</v>
      </c>
      <c r="K1581">
        <v>4496667</v>
      </c>
      <c r="M1581">
        <v>21464381</v>
      </c>
    </row>
    <row r="1582" spans="1:14" x14ac:dyDescent="0.35">
      <c r="A1582" t="str">
        <f t="shared" si="91"/>
        <v>PAI45747PAIE3202566320000</v>
      </c>
      <c r="B1582" t="s">
        <v>2964</v>
      </c>
      <c r="C1582" s="1">
        <v>45747</v>
      </c>
      <c r="D1582" t="s">
        <v>2965</v>
      </c>
      <c r="E1582" t="str">
        <f t="shared" si="95"/>
        <v>66320000</v>
      </c>
      <c r="F1582" t="s">
        <v>3007</v>
      </c>
      <c r="G1582" t="s">
        <v>336</v>
      </c>
      <c r="H1582" t="s">
        <v>5902</v>
      </c>
      <c r="I1582">
        <v>0</v>
      </c>
      <c r="J1582" t="s">
        <v>343</v>
      </c>
      <c r="K1582">
        <v>4225000</v>
      </c>
      <c r="M1582">
        <v>21464381</v>
      </c>
    </row>
    <row r="1583" spans="1:14" x14ac:dyDescent="0.35">
      <c r="A1583" t="str">
        <f t="shared" si="91"/>
        <v>PAI45747PAIE3202566320000</v>
      </c>
      <c r="B1583" t="s">
        <v>2964</v>
      </c>
      <c r="C1583" s="1">
        <v>45747</v>
      </c>
      <c r="D1583" t="s">
        <v>2965</v>
      </c>
      <c r="E1583" t="str">
        <f t="shared" si="95"/>
        <v>66320000</v>
      </c>
      <c r="F1583" t="s">
        <v>3007</v>
      </c>
      <c r="G1583" t="s">
        <v>336</v>
      </c>
      <c r="H1583" t="s">
        <v>5911</v>
      </c>
      <c r="I1583">
        <v>0</v>
      </c>
      <c r="J1583" t="s">
        <v>343</v>
      </c>
      <c r="K1583">
        <v>100000</v>
      </c>
      <c r="M1583">
        <v>21464381</v>
      </c>
    </row>
    <row r="1584" spans="1:14" x14ac:dyDescent="0.35">
      <c r="A1584" t="str">
        <f t="shared" si="91"/>
        <v>PAI45747PAIE3202566320000</v>
      </c>
      <c r="B1584" t="s">
        <v>2964</v>
      </c>
      <c r="C1584" s="1">
        <v>45747</v>
      </c>
      <c r="D1584" t="s">
        <v>2965</v>
      </c>
      <c r="E1584" t="str">
        <f t="shared" si="95"/>
        <v>66320000</v>
      </c>
      <c r="F1584" t="s">
        <v>3007</v>
      </c>
      <c r="G1584" t="s">
        <v>336</v>
      </c>
      <c r="H1584" t="s">
        <v>5912</v>
      </c>
      <c r="I1584">
        <v>0</v>
      </c>
      <c r="J1584" t="s">
        <v>343</v>
      </c>
      <c r="K1584">
        <v>5997214</v>
      </c>
      <c r="M1584">
        <v>21464381</v>
      </c>
    </row>
    <row r="1585" spans="1:13" x14ac:dyDescent="0.35">
      <c r="A1585" t="str">
        <f t="shared" si="91"/>
        <v>PAI45747PAIE3202566320000</v>
      </c>
      <c r="B1585" t="s">
        <v>2964</v>
      </c>
      <c r="C1585" s="1">
        <v>45747</v>
      </c>
      <c r="D1585" t="s">
        <v>2965</v>
      </c>
      <c r="E1585" t="str">
        <f t="shared" si="95"/>
        <v>66320000</v>
      </c>
      <c r="F1585" t="s">
        <v>3007</v>
      </c>
      <c r="G1585" t="s">
        <v>336</v>
      </c>
      <c r="H1585" t="s">
        <v>5913</v>
      </c>
      <c r="I1585">
        <v>0</v>
      </c>
      <c r="J1585" t="s">
        <v>343</v>
      </c>
      <c r="K1585">
        <v>160000</v>
      </c>
      <c r="M1585">
        <v>21464381</v>
      </c>
    </row>
    <row r="1586" spans="1:13" x14ac:dyDescent="0.35">
      <c r="A1586" t="str">
        <f t="shared" si="91"/>
        <v>PAI45747PAIE3202566320000</v>
      </c>
      <c r="B1586" t="s">
        <v>2964</v>
      </c>
      <c r="C1586" s="1">
        <v>45747</v>
      </c>
      <c r="D1586" t="s">
        <v>2965</v>
      </c>
      <c r="E1586" t="str">
        <f t="shared" si="95"/>
        <v>66320000</v>
      </c>
      <c r="F1586" t="s">
        <v>3007</v>
      </c>
      <c r="G1586" t="s">
        <v>336</v>
      </c>
      <c r="H1586" t="s">
        <v>5914</v>
      </c>
      <c r="I1586">
        <v>0</v>
      </c>
      <c r="J1586" t="s">
        <v>343</v>
      </c>
      <c r="K1586">
        <v>1722193</v>
      </c>
      <c r="M1586">
        <v>21464381</v>
      </c>
    </row>
    <row r="1587" spans="1:13" x14ac:dyDescent="0.35">
      <c r="A1587" t="str">
        <f t="shared" si="91"/>
        <v>PAI45747PAIE3202566320000</v>
      </c>
      <c r="B1587" t="s">
        <v>2964</v>
      </c>
      <c r="C1587" s="1">
        <v>45747</v>
      </c>
      <c r="D1587" t="s">
        <v>2965</v>
      </c>
      <c r="E1587" t="str">
        <f t="shared" si="95"/>
        <v>66320000</v>
      </c>
      <c r="F1587" t="s">
        <v>3007</v>
      </c>
      <c r="G1587" t="s">
        <v>336</v>
      </c>
      <c r="H1587" t="s">
        <v>5935</v>
      </c>
      <c r="I1587">
        <v>0</v>
      </c>
      <c r="J1587" t="s">
        <v>343</v>
      </c>
      <c r="K1587">
        <v>120000</v>
      </c>
      <c r="M1587">
        <v>21464381</v>
      </c>
    </row>
    <row r="1588" spans="1:13" x14ac:dyDescent="0.35">
      <c r="A1588" t="str">
        <f t="shared" si="91"/>
        <v>PAI45747PAIE3202566320000</v>
      </c>
      <c r="B1588" t="s">
        <v>2964</v>
      </c>
      <c r="C1588" s="1">
        <v>45747</v>
      </c>
      <c r="D1588" t="s">
        <v>2965</v>
      </c>
      <c r="E1588" t="str">
        <f t="shared" si="95"/>
        <v>66320000</v>
      </c>
      <c r="F1588" t="s">
        <v>3007</v>
      </c>
      <c r="G1588" t="s">
        <v>336</v>
      </c>
      <c r="H1588" t="s">
        <v>5936</v>
      </c>
      <c r="I1588">
        <v>0</v>
      </c>
      <c r="J1588" t="s">
        <v>343</v>
      </c>
      <c r="K1588">
        <v>3444496</v>
      </c>
      <c r="M1588">
        <v>21464381</v>
      </c>
    </row>
    <row r="1589" spans="1:13" x14ac:dyDescent="0.35">
      <c r="A1589" t="str">
        <f t="shared" si="91"/>
        <v>PAI45747PAIE3202566320000</v>
      </c>
      <c r="B1589" t="s">
        <v>2964</v>
      </c>
      <c r="C1589" s="1">
        <v>45747</v>
      </c>
      <c r="D1589" t="s">
        <v>2965</v>
      </c>
      <c r="E1589" t="str">
        <f t="shared" si="95"/>
        <v>66320000</v>
      </c>
      <c r="F1589" t="s">
        <v>3007</v>
      </c>
      <c r="G1589" t="s">
        <v>336</v>
      </c>
      <c r="H1589" t="s">
        <v>5903</v>
      </c>
      <c r="I1589">
        <v>0</v>
      </c>
      <c r="J1589" t="s">
        <v>343</v>
      </c>
      <c r="K1589">
        <v>70000</v>
      </c>
      <c r="M1589">
        <v>21464381</v>
      </c>
    </row>
    <row r="1590" spans="1:13" x14ac:dyDescent="0.35">
      <c r="A1590" t="str">
        <f t="shared" si="91"/>
        <v>PAI45747PAIE3202566320000</v>
      </c>
      <c r="B1590" t="s">
        <v>2964</v>
      </c>
      <c r="C1590" s="1">
        <v>45747</v>
      </c>
      <c r="D1590" t="s">
        <v>2965</v>
      </c>
      <c r="E1590" t="str">
        <f t="shared" si="95"/>
        <v>66320000</v>
      </c>
      <c r="F1590" t="s">
        <v>3007</v>
      </c>
      <c r="G1590" t="s">
        <v>336</v>
      </c>
      <c r="H1590" t="s">
        <v>5918</v>
      </c>
      <c r="I1590">
        <v>0</v>
      </c>
      <c r="J1590" t="s">
        <v>343</v>
      </c>
      <c r="K1590">
        <v>158500</v>
      </c>
      <c r="M1590">
        <v>21464381</v>
      </c>
    </row>
    <row r="1591" spans="1:13" x14ac:dyDescent="0.35">
      <c r="A1591" t="str">
        <f t="shared" si="91"/>
        <v>PAI45747PAIE3202566320000</v>
      </c>
      <c r="B1591" t="s">
        <v>2964</v>
      </c>
      <c r="C1591" s="1">
        <v>45747</v>
      </c>
      <c r="D1591" t="s">
        <v>2965</v>
      </c>
      <c r="E1591" t="str">
        <f t="shared" si="95"/>
        <v>66320000</v>
      </c>
      <c r="F1591" t="s">
        <v>3007</v>
      </c>
      <c r="G1591" t="s">
        <v>336</v>
      </c>
      <c r="H1591" t="s">
        <v>5919</v>
      </c>
      <c r="I1591">
        <v>0</v>
      </c>
      <c r="J1591" t="s">
        <v>343</v>
      </c>
      <c r="K1591">
        <v>45311</v>
      </c>
      <c r="M1591">
        <v>21464381</v>
      </c>
    </row>
    <row r="1592" spans="1:13" x14ac:dyDescent="0.35">
      <c r="A1592" t="str">
        <f t="shared" si="91"/>
        <v>PAI45747PAIE3202566320000</v>
      </c>
      <c r="B1592" t="s">
        <v>2964</v>
      </c>
      <c r="C1592" s="1">
        <v>45747</v>
      </c>
      <c r="D1592" t="s">
        <v>2965</v>
      </c>
      <c r="E1592" t="str">
        <f t="shared" si="95"/>
        <v>66320000</v>
      </c>
      <c r="F1592" t="s">
        <v>3007</v>
      </c>
      <c r="G1592" t="s">
        <v>336</v>
      </c>
      <c r="H1592" t="s">
        <v>5888</v>
      </c>
      <c r="I1592">
        <v>0</v>
      </c>
      <c r="J1592" t="s">
        <v>343</v>
      </c>
      <c r="K1592">
        <v>255000</v>
      </c>
      <c r="M1592">
        <v>21464381</v>
      </c>
    </row>
    <row r="1593" spans="1:13" x14ac:dyDescent="0.35">
      <c r="A1593" t="str">
        <f t="shared" si="91"/>
        <v>PAI45747PAIE3202566320000</v>
      </c>
      <c r="B1593" t="s">
        <v>2964</v>
      </c>
      <c r="C1593" s="1">
        <v>45747</v>
      </c>
      <c r="D1593" t="s">
        <v>2965</v>
      </c>
      <c r="E1593" t="str">
        <f t="shared" si="95"/>
        <v>66320000</v>
      </c>
      <c r="F1593" t="s">
        <v>3007</v>
      </c>
      <c r="G1593" t="s">
        <v>336</v>
      </c>
      <c r="H1593" t="s">
        <v>5961</v>
      </c>
      <c r="I1593">
        <v>0</v>
      </c>
      <c r="J1593" t="s">
        <v>343</v>
      </c>
      <c r="K1593">
        <v>100000</v>
      </c>
      <c r="M1593">
        <v>21464381</v>
      </c>
    </row>
    <row r="1594" spans="1:13" x14ac:dyDescent="0.35">
      <c r="A1594" t="str">
        <f t="shared" si="91"/>
        <v>PAI45747PAIE3202566320000</v>
      </c>
      <c r="B1594" t="s">
        <v>2964</v>
      </c>
      <c r="C1594" s="1">
        <v>45747</v>
      </c>
      <c r="D1594" t="s">
        <v>2965</v>
      </c>
      <c r="E1594" t="str">
        <f t="shared" si="95"/>
        <v>66320000</v>
      </c>
      <c r="F1594" t="s">
        <v>3007</v>
      </c>
      <c r="G1594" t="s">
        <v>336</v>
      </c>
      <c r="H1594" t="s">
        <v>5921</v>
      </c>
      <c r="I1594">
        <v>0</v>
      </c>
      <c r="J1594" t="s">
        <v>343</v>
      </c>
      <c r="K1594">
        <v>420000</v>
      </c>
      <c r="M1594">
        <v>21464381</v>
      </c>
    </row>
    <row r="1595" spans="1:13" x14ac:dyDescent="0.35">
      <c r="A1595" t="str">
        <f t="shared" si="91"/>
        <v>PAI45747PAIE3202566340000</v>
      </c>
      <c r="B1595" t="s">
        <v>2964</v>
      </c>
      <c r="C1595" s="1">
        <v>45747</v>
      </c>
      <c r="D1595" t="s">
        <v>2965</v>
      </c>
      <c r="E1595" t="str">
        <f t="shared" ref="E1595:E1616" si="96">"66340000"</f>
        <v>66340000</v>
      </c>
      <c r="F1595" t="s">
        <v>3008</v>
      </c>
      <c r="G1595" t="s">
        <v>336</v>
      </c>
      <c r="H1595" t="s">
        <v>5909</v>
      </c>
      <c r="I1595">
        <v>0</v>
      </c>
      <c r="J1595" t="s">
        <v>343</v>
      </c>
      <c r="K1595">
        <v>453843</v>
      </c>
      <c r="M1595">
        <v>18890669</v>
      </c>
    </row>
    <row r="1596" spans="1:13" x14ac:dyDescent="0.35">
      <c r="A1596" t="str">
        <f t="shared" si="91"/>
        <v>PAI45747PAIE3202566340000</v>
      </c>
      <c r="B1596" t="s">
        <v>2964</v>
      </c>
      <c r="C1596" s="1">
        <v>45747</v>
      </c>
      <c r="D1596" t="s">
        <v>2965</v>
      </c>
      <c r="E1596" t="str">
        <f t="shared" si="96"/>
        <v>66340000</v>
      </c>
      <c r="F1596" t="s">
        <v>3008</v>
      </c>
      <c r="G1596" t="s">
        <v>336</v>
      </c>
      <c r="H1596" t="s">
        <v>5886</v>
      </c>
      <c r="I1596">
        <v>0</v>
      </c>
      <c r="J1596" t="s">
        <v>343</v>
      </c>
      <c r="K1596">
        <v>101509</v>
      </c>
      <c r="M1596">
        <v>18890669</v>
      </c>
    </row>
    <row r="1597" spans="1:13" x14ac:dyDescent="0.35">
      <c r="A1597" t="str">
        <f t="shared" si="91"/>
        <v>PAI45747PAIE3202566340000</v>
      </c>
      <c r="B1597" t="s">
        <v>2964</v>
      </c>
      <c r="C1597" s="1">
        <v>45747</v>
      </c>
      <c r="D1597" t="s">
        <v>2965</v>
      </c>
      <c r="E1597" t="str">
        <f t="shared" si="96"/>
        <v>66340000</v>
      </c>
      <c r="F1597" t="s">
        <v>3008</v>
      </c>
      <c r="G1597" t="s">
        <v>336</v>
      </c>
      <c r="H1597" t="s">
        <v>5902</v>
      </c>
      <c r="I1597">
        <v>0</v>
      </c>
      <c r="J1597" t="s">
        <v>343</v>
      </c>
      <c r="K1597">
        <v>4188510</v>
      </c>
      <c r="M1597">
        <v>18890669</v>
      </c>
    </row>
    <row r="1598" spans="1:13" x14ac:dyDescent="0.35">
      <c r="A1598" t="str">
        <f t="shared" si="91"/>
        <v>PAI45747PAIE3202566340000</v>
      </c>
      <c r="B1598" t="s">
        <v>2964</v>
      </c>
      <c r="C1598" s="1">
        <v>45747</v>
      </c>
      <c r="D1598" t="s">
        <v>2965</v>
      </c>
      <c r="E1598" t="str">
        <f t="shared" si="96"/>
        <v>66340000</v>
      </c>
      <c r="F1598" t="s">
        <v>3008</v>
      </c>
      <c r="G1598" t="s">
        <v>336</v>
      </c>
      <c r="H1598" t="s">
        <v>5910</v>
      </c>
      <c r="I1598">
        <v>0</v>
      </c>
      <c r="J1598" t="s">
        <v>343</v>
      </c>
      <c r="K1598">
        <v>369839</v>
      </c>
      <c r="M1598">
        <v>18890669</v>
      </c>
    </row>
    <row r="1599" spans="1:13" x14ac:dyDescent="0.35">
      <c r="A1599" t="str">
        <f t="shared" si="91"/>
        <v>PAI45747PAIE3202566340000</v>
      </c>
      <c r="B1599" t="s">
        <v>2964</v>
      </c>
      <c r="C1599" s="1">
        <v>45747</v>
      </c>
      <c r="D1599" t="s">
        <v>2965</v>
      </c>
      <c r="E1599" t="str">
        <f t="shared" si="96"/>
        <v>66340000</v>
      </c>
      <c r="F1599" t="s">
        <v>3008</v>
      </c>
      <c r="G1599" t="s">
        <v>336</v>
      </c>
      <c r="H1599" t="s">
        <v>5911</v>
      </c>
      <c r="I1599">
        <v>0</v>
      </c>
      <c r="J1599" t="s">
        <v>343</v>
      </c>
      <c r="K1599">
        <v>280000</v>
      </c>
      <c r="M1599">
        <v>18890669</v>
      </c>
    </row>
    <row r="1600" spans="1:13" x14ac:dyDescent="0.35">
      <c r="A1600" t="str">
        <f t="shared" si="91"/>
        <v>PAI45747PAIE3202566340000</v>
      </c>
      <c r="B1600" t="s">
        <v>2964</v>
      </c>
      <c r="C1600" s="1">
        <v>45747</v>
      </c>
      <c r="D1600" t="s">
        <v>2965</v>
      </c>
      <c r="E1600" t="str">
        <f t="shared" si="96"/>
        <v>66340000</v>
      </c>
      <c r="F1600" t="s">
        <v>3008</v>
      </c>
      <c r="G1600" t="s">
        <v>336</v>
      </c>
      <c r="H1600" t="s">
        <v>5913</v>
      </c>
      <c r="I1600">
        <v>0</v>
      </c>
      <c r="J1600" t="s">
        <v>343</v>
      </c>
      <c r="K1600">
        <v>662676</v>
      </c>
      <c r="M1600">
        <v>18890669</v>
      </c>
    </row>
    <row r="1601" spans="1:13" x14ac:dyDescent="0.35">
      <c r="A1601" t="str">
        <f t="shared" si="91"/>
        <v>PAI45747PAIE3202566340000</v>
      </c>
      <c r="B1601" t="s">
        <v>2964</v>
      </c>
      <c r="C1601" s="1">
        <v>45747</v>
      </c>
      <c r="D1601" t="s">
        <v>2965</v>
      </c>
      <c r="E1601" t="str">
        <f t="shared" si="96"/>
        <v>66340000</v>
      </c>
      <c r="F1601" t="s">
        <v>3008</v>
      </c>
      <c r="G1601" t="s">
        <v>336</v>
      </c>
      <c r="H1601" t="s">
        <v>5914</v>
      </c>
      <c r="I1601">
        <v>0</v>
      </c>
      <c r="J1601" t="s">
        <v>343</v>
      </c>
      <c r="K1601">
        <v>410684</v>
      </c>
      <c r="M1601">
        <v>18890669</v>
      </c>
    </row>
    <row r="1602" spans="1:13" x14ac:dyDescent="0.35">
      <c r="A1602" t="str">
        <f t="shared" si="91"/>
        <v>PAI45747PAIE3202566340000</v>
      </c>
      <c r="B1602" t="s">
        <v>2964</v>
      </c>
      <c r="C1602" s="1">
        <v>45747</v>
      </c>
      <c r="D1602" t="s">
        <v>2965</v>
      </c>
      <c r="E1602" t="str">
        <f t="shared" si="96"/>
        <v>66340000</v>
      </c>
      <c r="F1602" t="s">
        <v>3008</v>
      </c>
      <c r="G1602" t="s">
        <v>336</v>
      </c>
      <c r="H1602" t="s">
        <v>5935</v>
      </c>
      <c r="I1602">
        <v>0</v>
      </c>
      <c r="J1602" t="s">
        <v>343</v>
      </c>
      <c r="K1602">
        <v>134167</v>
      </c>
      <c r="M1602">
        <v>18890669</v>
      </c>
    </row>
    <row r="1603" spans="1:13" x14ac:dyDescent="0.35">
      <c r="A1603" t="str">
        <f t="shared" ref="A1603:A1666" si="97">CONCATENATE(B1603,C1603,D1603,E1603)</f>
        <v>PAI45747PAIE3202566340000</v>
      </c>
      <c r="B1603" t="s">
        <v>2964</v>
      </c>
      <c r="C1603" s="1">
        <v>45747</v>
      </c>
      <c r="D1603" t="s">
        <v>2965</v>
      </c>
      <c r="E1603" t="str">
        <f t="shared" si="96"/>
        <v>66340000</v>
      </c>
      <c r="F1603" t="s">
        <v>3008</v>
      </c>
      <c r="G1603" t="s">
        <v>336</v>
      </c>
      <c r="H1603" t="s">
        <v>5936</v>
      </c>
      <c r="I1603">
        <v>0</v>
      </c>
      <c r="J1603" t="s">
        <v>343</v>
      </c>
      <c r="K1603">
        <v>1157404</v>
      </c>
      <c r="M1603">
        <v>18890669</v>
      </c>
    </row>
    <row r="1604" spans="1:13" x14ac:dyDescent="0.35">
      <c r="A1604" t="str">
        <f t="shared" si="97"/>
        <v>PAI45747PAIE3202566340000</v>
      </c>
      <c r="B1604" t="s">
        <v>2964</v>
      </c>
      <c r="C1604" s="1">
        <v>45747</v>
      </c>
      <c r="D1604" t="s">
        <v>2965</v>
      </c>
      <c r="E1604" t="str">
        <f t="shared" si="96"/>
        <v>66340000</v>
      </c>
      <c r="F1604" t="s">
        <v>3008</v>
      </c>
      <c r="G1604" t="s">
        <v>336</v>
      </c>
      <c r="H1604" t="s">
        <v>5903</v>
      </c>
      <c r="I1604">
        <v>0</v>
      </c>
      <c r="J1604" t="s">
        <v>343</v>
      </c>
      <c r="K1604">
        <v>420000</v>
      </c>
      <c r="M1604">
        <v>18890669</v>
      </c>
    </row>
    <row r="1605" spans="1:13" x14ac:dyDescent="0.35">
      <c r="A1605" t="str">
        <f t="shared" si="97"/>
        <v>PAI45747PAIE3202566340000</v>
      </c>
      <c r="B1605" t="s">
        <v>2964</v>
      </c>
      <c r="C1605" s="1">
        <v>45747</v>
      </c>
      <c r="D1605" t="s">
        <v>2965</v>
      </c>
      <c r="E1605" t="str">
        <f t="shared" si="96"/>
        <v>66340000</v>
      </c>
      <c r="F1605" t="s">
        <v>3008</v>
      </c>
      <c r="G1605" t="s">
        <v>336</v>
      </c>
      <c r="H1605" t="s">
        <v>5915</v>
      </c>
      <c r="I1605">
        <v>0</v>
      </c>
      <c r="J1605" t="s">
        <v>343</v>
      </c>
      <c r="K1605">
        <v>521509</v>
      </c>
      <c r="M1605">
        <v>18890669</v>
      </c>
    </row>
    <row r="1606" spans="1:13" x14ac:dyDescent="0.35">
      <c r="A1606" t="str">
        <f t="shared" si="97"/>
        <v>PAI45747PAIE3202566340000</v>
      </c>
      <c r="B1606" t="s">
        <v>2964</v>
      </c>
      <c r="C1606" s="1">
        <v>45747</v>
      </c>
      <c r="D1606" t="s">
        <v>2965</v>
      </c>
      <c r="E1606" t="str">
        <f t="shared" si="96"/>
        <v>66340000</v>
      </c>
      <c r="F1606" t="s">
        <v>3008</v>
      </c>
      <c r="G1606" t="s">
        <v>336</v>
      </c>
      <c r="H1606" t="s">
        <v>5917</v>
      </c>
      <c r="I1606">
        <v>0</v>
      </c>
      <c r="J1606" t="s">
        <v>343</v>
      </c>
      <c r="K1606">
        <v>105000</v>
      </c>
      <c r="M1606">
        <v>18890669</v>
      </c>
    </row>
    <row r="1607" spans="1:13" x14ac:dyDescent="0.35">
      <c r="A1607" t="str">
        <f t="shared" si="97"/>
        <v>PAI45747PAIE3202566340000</v>
      </c>
      <c r="B1607" t="s">
        <v>2964</v>
      </c>
      <c r="C1607" s="1">
        <v>45747</v>
      </c>
      <c r="D1607" t="s">
        <v>2965</v>
      </c>
      <c r="E1607" t="str">
        <f t="shared" si="96"/>
        <v>66340000</v>
      </c>
      <c r="F1607" t="s">
        <v>3008</v>
      </c>
      <c r="G1607" t="s">
        <v>336</v>
      </c>
      <c r="H1607" t="s">
        <v>5918</v>
      </c>
      <c r="I1607">
        <v>0</v>
      </c>
      <c r="J1607" t="s">
        <v>343</v>
      </c>
      <c r="K1607">
        <v>2173604</v>
      </c>
      <c r="M1607">
        <v>18890669</v>
      </c>
    </row>
    <row r="1608" spans="1:13" x14ac:dyDescent="0.35">
      <c r="A1608" t="str">
        <f t="shared" si="97"/>
        <v>PAI45747PAIE3202566340000</v>
      </c>
      <c r="B1608" t="s">
        <v>2964</v>
      </c>
      <c r="C1608" s="1">
        <v>45747</v>
      </c>
      <c r="D1608" t="s">
        <v>2965</v>
      </c>
      <c r="E1608" t="str">
        <f t="shared" si="96"/>
        <v>66340000</v>
      </c>
      <c r="F1608" t="s">
        <v>3008</v>
      </c>
      <c r="G1608" t="s">
        <v>336</v>
      </c>
      <c r="H1608" t="s">
        <v>5919</v>
      </c>
      <c r="I1608">
        <v>0</v>
      </c>
      <c r="J1608" t="s">
        <v>343</v>
      </c>
      <c r="K1608">
        <v>576358</v>
      </c>
      <c r="M1608">
        <v>18890669</v>
      </c>
    </row>
    <row r="1609" spans="1:13" x14ac:dyDescent="0.35">
      <c r="A1609" t="str">
        <f t="shared" si="97"/>
        <v>PAI45747PAIE3202566340000</v>
      </c>
      <c r="B1609" t="s">
        <v>2964</v>
      </c>
      <c r="C1609" s="1">
        <v>45747</v>
      </c>
      <c r="D1609" t="s">
        <v>2965</v>
      </c>
      <c r="E1609" t="str">
        <f t="shared" si="96"/>
        <v>66340000</v>
      </c>
      <c r="F1609" t="s">
        <v>3008</v>
      </c>
      <c r="G1609" t="s">
        <v>336</v>
      </c>
      <c r="H1609" t="s">
        <v>5920</v>
      </c>
      <c r="I1609">
        <v>0</v>
      </c>
      <c r="J1609" t="s">
        <v>343</v>
      </c>
      <c r="K1609">
        <v>789844</v>
      </c>
      <c r="M1609">
        <v>18890669</v>
      </c>
    </row>
    <row r="1610" spans="1:13" x14ac:dyDescent="0.35">
      <c r="A1610" t="str">
        <f t="shared" si="97"/>
        <v>PAI45747PAIE3202566340000</v>
      </c>
      <c r="B1610" t="s">
        <v>2964</v>
      </c>
      <c r="C1610" s="1">
        <v>45747</v>
      </c>
      <c r="D1610" t="s">
        <v>2965</v>
      </c>
      <c r="E1610" t="str">
        <f t="shared" si="96"/>
        <v>66340000</v>
      </c>
      <c r="F1610" t="s">
        <v>3008</v>
      </c>
      <c r="G1610" t="s">
        <v>336</v>
      </c>
      <c r="H1610" t="s">
        <v>5888</v>
      </c>
      <c r="I1610">
        <v>0</v>
      </c>
      <c r="J1610" t="s">
        <v>343</v>
      </c>
      <c r="K1610">
        <v>927515</v>
      </c>
      <c r="M1610">
        <v>18890669</v>
      </c>
    </row>
    <row r="1611" spans="1:13" x14ac:dyDescent="0.35">
      <c r="A1611" t="str">
        <f t="shared" si="97"/>
        <v>PAI45747PAIE3202566340000</v>
      </c>
      <c r="B1611" t="s">
        <v>2964</v>
      </c>
      <c r="C1611" s="1">
        <v>45747</v>
      </c>
      <c r="D1611" t="s">
        <v>2965</v>
      </c>
      <c r="E1611" t="str">
        <f t="shared" si="96"/>
        <v>66340000</v>
      </c>
      <c r="F1611" t="s">
        <v>3008</v>
      </c>
      <c r="G1611" t="s">
        <v>336</v>
      </c>
      <c r="H1611" t="s">
        <v>5961</v>
      </c>
      <c r="I1611">
        <v>0</v>
      </c>
      <c r="J1611" t="s">
        <v>343</v>
      </c>
      <c r="K1611">
        <v>2284083</v>
      </c>
      <c r="M1611">
        <v>18890669</v>
      </c>
    </row>
    <row r="1612" spans="1:13" x14ac:dyDescent="0.35">
      <c r="A1612" t="str">
        <f t="shared" si="97"/>
        <v>PAI45747PAIE3202566340000</v>
      </c>
      <c r="B1612" t="s">
        <v>2964</v>
      </c>
      <c r="C1612" s="1">
        <v>45747</v>
      </c>
      <c r="D1612" t="s">
        <v>2965</v>
      </c>
      <c r="E1612" t="str">
        <f t="shared" si="96"/>
        <v>66340000</v>
      </c>
      <c r="F1612" t="s">
        <v>3008</v>
      </c>
      <c r="G1612" t="s">
        <v>336</v>
      </c>
      <c r="H1612" t="s">
        <v>5921</v>
      </c>
      <c r="I1612">
        <v>0</v>
      </c>
      <c r="J1612" t="s">
        <v>343</v>
      </c>
      <c r="K1612">
        <v>2896599</v>
      </c>
      <c r="M1612">
        <v>18890669</v>
      </c>
    </row>
    <row r="1613" spans="1:13" x14ac:dyDescent="0.35">
      <c r="A1613" t="str">
        <f t="shared" si="97"/>
        <v>PAI45747PAIE3202566340000</v>
      </c>
      <c r="B1613" t="s">
        <v>2964</v>
      </c>
      <c r="C1613" s="1">
        <v>45747</v>
      </c>
      <c r="D1613" t="s">
        <v>2965</v>
      </c>
      <c r="E1613" t="str">
        <f t="shared" si="96"/>
        <v>66340000</v>
      </c>
      <c r="F1613" t="s">
        <v>3008</v>
      </c>
      <c r="G1613" t="s">
        <v>336</v>
      </c>
      <c r="H1613" t="s">
        <v>5922</v>
      </c>
      <c r="I1613">
        <v>0</v>
      </c>
      <c r="J1613" t="s">
        <v>343</v>
      </c>
      <c r="K1613">
        <v>404849</v>
      </c>
      <c r="M1613">
        <v>18890669</v>
      </c>
    </row>
    <row r="1614" spans="1:13" x14ac:dyDescent="0.35">
      <c r="A1614" t="str">
        <f t="shared" si="97"/>
        <v>PAI45747PAIE3202566340000</v>
      </c>
      <c r="B1614" t="s">
        <v>2964</v>
      </c>
      <c r="C1614" s="1">
        <v>45747</v>
      </c>
      <c r="D1614" t="s">
        <v>2965</v>
      </c>
      <c r="E1614" t="str">
        <f t="shared" si="96"/>
        <v>66340000</v>
      </c>
      <c r="F1614" t="s">
        <v>3008</v>
      </c>
      <c r="G1614" t="s">
        <v>336</v>
      </c>
      <c r="H1614" t="s">
        <v>5942</v>
      </c>
      <c r="I1614">
        <v>0</v>
      </c>
      <c r="J1614" t="s">
        <v>343</v>
      </c>
      <c r="K1614">
        <v>32676</v>
      </c>
      <c r="M1614">
        <v>18890669</v>
      </c>
    </row>
    <row r="1615" spans="1:13" x14ac:dyDescent="0.35">
      <c r="A1615" t="str">
        <f t="shared" si="97"/>
        <v>PAI45747PAIE3202566340000</v>
      </c>
      <c r="B1615" t="s">
        <v>2964</v>
      </c>
      <c r="C1615" s="1">
        <v>45747</v>
      </c>
      <c r="D1615" t="s">
        <v>2965</v>
      </c>
      <c r="E1615" t="str">
        <f t="shared" si="96"/>
        <v>66340000</v>
      </c>
      <c r="F1615" t="s">
        <v>3009</v>
      </c>
      <c r="G1615" t="s">
        <v>336</v>
      </c>
      <c r="H1615" t="s">
        <v>5911</v>
      </c>
      <c r="I1615">
        <v>0</v>
      </c>
      <c r="J1615" t="s">
        <v>343</v>
      </c>
      <c r="K1615">
        <v>247331</v>
      </c>
      <c r="M1615">
        <v>1388643</v>
      </c>
    </row>
    <row r="1616" spans="1:13" x14ac:dyDescent="0.35">
      <c r="A1616" t="str">
        <f t="shared" si="97"/>
        <v>PAI45747PAIE3202566340000</v>
      </c>
      <c r="B1616" t="s">
        <v>2964</v>
      </c>
      <c r="C1616" s="1">
        <v>45747</v>
      </c>
      <c r="D1616" t="s">
        <v>2965</v>
      </c>
      <c r="E1616" t="str">
        <f t="shared" si="96"/>
        <v>66340000</v>
      </c>
      <c r="F1616" t="s">
        <v>3009</v>
      </c>
      <c r="G1616" t="s">
        <v>336</v>
      </c>
      <c r="H1616" t="s">
        <v>5917</v>
      </c>
      <c r="I1616">
        <v>0</v>
      </c>
      <c r="J1616" t="s">
        <v>343</v>
      </c>
      <c r="K1616">
        <v>1141312</v>
      </c>
      <c r="M1616">
        <v>1388643</v>
      </c>
    </row>
    <row r="1617" spans="1:13" x14ac:dyDescent="0.35">
      <c r="A1617" t="str">
        <f t="shared" si="97"/>
        <v>PAI45747PAIE3202566411000</v>
      </c>
      <c r="B1617" t="s">
        <v>2964</v>
      </c>
      <c r="C1617" s="1">
        <v>45747</v>
      </c>
      <c r="D1617" t="s">
        <v>2965</v>
      </c>
      <c r="E1617" t="str">
        <f t="shared" ref="E1617:E1657" si="98">"66411000"</f>
        <v>66411000</v>
      </c>
      <c r="F1617" t="s">
        <v>3010</v>
      </c>
      <c r="G1617" t="s">
        <v>336</v>
      </c>
      <c r="H1617" t="s">
        <v>5909</v>
      </c>
      <c r="I1617">
        <v>0</v>
      </c>
      <c r="J1617" t="s">
        <v>343</v>
      </c>
      <c r="K1617">
        <v>60382</v>
      </c>
      <c r="M1617">
        <v>2197069</v>
      </c>
    </row>
    <row r="1618" spans="1:13" x14ac:dyDescent="0.35">
      <c r="A1618" t="str">
        <f t="shared" si="97"/>
        <v>PAI45747PAIE3202566411000</v>
      </c>
      <c r="B1618" t="s">
        <v>2964</v>
      </c>
      <c r="C1618" s="1">
        <v>45747</v>
      </c>
      <c r="D1618" t="s">
        <v>2965</v>
      </c>
      <c r="E1618" t="str">
        <f t="shared" si="98"/>
        <v>66411000</v>
      </c>
      <c r="F1618" t="s">
        <v>3010</v>
      </c>
      <c r="G1618" t="s">
        <v>336</v>
      </c>
      <c r="H1618" t="s">
        <v>5886</v>
      </c>
      <c r="I1618">
        <v>0</v>
      </c>
      <c r="J1618" t="s">
        <v>343</v>
      </c>
      <c r="K1618">
        <v>12939</v>
      </c>
      <c r="M1618">
        <v>2197069</v>
      </c>
    </row>
    <row r="1619" spans="1:13" x14ac:dyDescent="0.35">
      <c r="A1619" t="str">
        <f t="shared" si="97"/>
        <v>PAI45747PAIE3202566411000</v>
      </c>
      <c r="B1619" t="s">
        <v>2964</v>
      </c>
      <c r="C1619" s="1">
        <v>45747</v>
      </c>
      <c r="D1619" t="s">
        <v>2965</v>
      </c>
      <c r="E1619" t="str">
        <f t="shared" si="98"/>
        <v>66411000</v>
      </c>
      <c r="F1619" t="s">
        <v>3010</v>
      </c>
      <c r="G1619" t="s">
        <v>336</v>
      </c>
      <c r="H1619" t="s">
        <v>5902</v>
      </c>
      <c r="I1619">
        <v>0</v>
      </c>
      <c r="J1619" t="s">
        <v>343</v>
      </c>
      <c r="K1619">
        <v>505479</v>
      </c>
      <c r="M1619">
        <v>2197069</v>
      </c>
    </row>
    <row r="1620" spans="1:13" x14ac:dyDescent="0.35">
      <c r="A1620" t="str">
        <f t="shared" si="97"/>
        <v>PAI45747PAIE3202566411000</v>
      </c>
      <c r="B1620" t="s">
        <v>2964</v>
      </c>
      <c r="C1620" s="1">
        <v>45747</v>
      </c>
      <c r="D1620" t="s">
        <v>2965</v>
      </c>
      <c r="E1620" t="str">
        <f t="shared" si="98"/>
        <v>66411000</v>
      </c>
      <c r="F1620" t="s">
        <v>3010</v>
      </c>
      <c r="G1620" t="s">
        <v>336</v>
      </c>
      <c r="H1620" t="s">
        <v>5910</v>
      </c>
      <c r="I1620">
        <v>0</v>
      </c>
      <c r="J1620" t="s">
        <v>343</v>
      </c>
      <c r="K1620">
        <v>46232</v>
      </c>
      <c r="M1620">
        <v>2197069</v>
      </c>
    </row>
    <row r="1621" spans="1:13" x14ac:dyDescent="0.35">
      <c r="A1621" t="str">
        <f t="shared" si="97"/>
        <v>PAI45747PAIE3202566411000</v>
      </c>
      <c r="B1621" t="s">
        <v>2964</v>
      </c>
      <c r="C1621" s="1">
        <v>45747</v>
      </c>
      <c r="D1621" t="s">
        <v>2965</v>
      </c>
      <c r="E1621" t="str">
        <f t="shared" si="98"/>
        <v>66411000</v>
      </c>
      <c r="F1621" t="s">
        <v>3010</v>
      </c>
      <c r="G1621" t="s">
        <v>336</v>
      </c>
      <c r="H1621" t="s">
        <v>5911</v>
      </c>
      <c r="I1621">
        <v>0</v>
      </c>
      <c r="J1621" t="s">
        <v>343</v>
      </c>
      <c r="K1621">
        <v>30191</v>
      </c>
      <c r="M1621">
        <v>2197069</v>
      </c>
    </row>
    <row r="1622" spans="1:13" x14ac:dyDescent="0.35">
      <c r="A1622" t="str">
        <f t="shared" si="97"/>
        <v>PAI45747PAIE3202566411000</v>
      </c>
      <c r="B1622" t="s">
        <v>2964</v>
      </c>
      <c r="C1622" s="1">
        <v>45747</v>
      </c>
      <c r="D1622" t="s">
        <v>2965</v>
      </c>
      <c r="E1622" t="str">
        <f t="shared" si="98"/>
        <v>66411000</v>
      </c>
      <c r="F1622" t="s">
        <v>3010</v>
      </c>
      <c r="G1622" t="s">
        <v>336</v>
      </c>
      <c r="H1622" t="s">
        <v>5912</v>
      </c>
      <c r="I1622">
        <v>0</v>
      </c>
      <c r="J1622" t="s">
        <v>343</v>
      </c>
      <c r="K1622">
        <v>8626</v>
      </c>
      <c r="M1622">
        <v>2197069</v>
      </c>
    </row>
    <row r="1623" spans="1:13" x14ac:dyDescent="0.35">
      <c r="A1623" t="str">
        <f t="shared" si="97"/>
        <v>PAI45747PAIE3202566411000</v>
      </c>
      <c r="B1623" t="s">
        <v>2964</v>
      </c>
      <c r="C1623" s="1">
        <v>45747</v>
      </c>
      <c r="D1623" t="s">
        <v>2965</v>
      </c>
      <c r="E1623" t="str">
        <f t="shared" si="98"/>
        <v>66411000</v>
      </c>
      <c r="F1623" t="s">
        <v>3010</v>
      </c>
      <c r="G1623" t="s">
        <v>336</v>
      </c>
      <c r="H1623" t="s">
        <v>5913</v>
      </c>
      <c r="I1623">
        <v>0</v>
      </c>
      <c r="J1623" t="s">
        <v>343</v>
      </c>
      <c r="K1623">
        <v>64695</v>
      </c>
      <c r="M1623">
        <v>2197069</v>
      </c>
    </row>
    <row r="1624" spans="1:13" x14ac:dyDescent="0.35">
      <c r="A1624" t="str">
        <f t="shared" si="97"/>
        <v>PAI45747PAIE3202566411000</v>
      </c>
      <c r="B1624" t="s">
        <v>2964</v>
      </c>
      <c r="C1624" s="1">
        <v>45747</v>
      </c>
      <c r="D1624" t="s">
        <v>2965</v>
      </c>
      <c r="E1624" t="str">
        <f t="shared" si="98"/>
        <v>66411000</v>
      </c>
      <c r="F1624" t="s">
        <v>3010</v>
      </c>
      <c r="G1624" t="s">
        <v>336</v>
      </c>
      <c r="H1624" t="s">
        <v>5914</v>
      </c>
      <c r="I1624">
        <v>0</v>
      </c>
      <c r="J1624" t="s">
        <v>343</v>
      </c>
      <c r="K1624">
        <v>47443</v>
      </c>
      <c r="M1624">
        <v>2197069</v>
      </c>
    </row>
    <row r="1625" spans="1:13" x14ac:dyDescent="0.35">
      <c r="A1625" t="str">
        <f t="shared" si="97"/>
        <v>PAI45747PAIE3202566411000</v>
      </c>
      <c r="B1625" t="s">
        <v>2964</v>
      </c>
      <c r="C1625" s="1">
        <v>45747</v>
      </c>
      <c r="D1625" t="s">
        <v>2965</v>
      </c>
      <c r="E1625" t="str">
        <f t="shared" si="98"/>
        <v>66411000</v>
      </c>
      <c r="F1625" t="s">
        <v>3010</v>
      </c>
      <c r="G1625" t="s">
        <v>336</v>
      </c>
      <c r="H1625" t="s">
        <v>5935</v>
      </c>
      <c r="I1625">
        <v>0</v>
      </c>
      <c r="J1625" t="s">
        <v>343</v>
      </c>
      <c r="K1625">
        <v>17252</v>
      </c>
      <c r="M1625">
        <v>2197069</v>
      </c>
    </row>
    <row r="1626" spans="1:13" x14ac:dyDescent="0.35">
      <c r="A1626" t="str">
        <f t="shared" si="97"/>
        <v>PAI45747PAIE3202566411000</v>
      </c>
      <c r="B1626" t="s">
        <v>2964</v>
      </c>
      <c r="C1626" s="1">
        <v>45747</v>
      </c>
      <c r="D1626" t="s">
        <v>2965</v>
      </c>
      <c r="E1626" t="str">
        <f t="shared" si="98"/>
        <v>66411000</v>
      </c>
      <c r="F1626" t="s">
        <v>3010</v>
      </c>
      <c r="G1626" t="s">
        <v>336</v>
      </c>
      <c r="H1626" t="s">
        <v>5936</v>
      </c>
      <c r="I1626">
        <v>0</v>
      </c>
      <c r="J1626" t="s">
        <v>343</v>
      </c>
      <c r="K1626">
        <v>125077</v>
      </c>
      <c r="M1626">
        <v>2197069</v>
      </c>
    </row>
    <row r="1627" spans="1:13" x14ac:dyDescent="0.35">
      <c r="A1627" t="str">
        <f t="shared" si="97"/>
        <v>PAI45747PAIE3202566411000</v>
      </c>
      <c r="B1627" t="s">
        <v>2964</v>
      </c>
      <c r="C1627" s="1">
        <v>45747</v>
      </c>
      <c r="D1627" t="s">
        <v>2965</v>
      </c>
      <c r="E1627" t="str">
        <f t="shared" si="98"/>
        <v>66411000</v>
      </c>
      <c r="F1627" t="s">
        <v>3010</v>
      </c>
      <c r="G1627" t="s">
        <v>336</v>
      </c>
      <c r="H1627" t="s">
        <v>5903</v>
      </c>
      <c r="I1627">
        <v>0</v>
      </c>
      <c r="J1627" t="s">
        <v>343</v>
      </c>
      <c r="K1627">
        <v>21565</v>
      </c>
      <c r="M1627">
        <v>2197069</v>
      </c>
    </row>
    <row r="1628" spans="1:13" x14ac:dyDescent="0.35">
      <c r="A1628" t="str">
        <f t="shared" si="97"/>
        <v>PAI45747PAIE3202566411000</v>
      </c>
      <c r="B1628" t="s">
        <v>2964</v>
      </c>
      <c r="C1628" s="1">
        <v>45747</v>
      </c>
      <c r="D1628" t="s">
        <v>2965</v>
      </c>
      <c r="E1628" t="str">
        <f t="shared" si="98"/>
        <v>66411000</v>
      </c>
      <c r="F1628" t="s">
        <v>3010</v>
      </c>
      <c r="G1628" t="s">
        <v>336</v>
      </c>
      <c r="H1628" t="s">
        <v>5915</v>
      </c>
      <c r="I1628">
        <v>0</v>
      </c>
      <c r="J1628" t="s">
        <v>343</v>
      </c>
      <c r="K1628">
        <v>54351</v>
      </c>
      <c r="M1628">
        <v>2197069</v>
      </c>
    </row>
    <row r="1629" spans="1:13" x14ac:dyDescent="0.35">
      <c r="A1629" t="str">
        <f t="shared" si="97"/>
        <v>PAI45747PAIE3202566411000</v>
      </c>
      <c r="B1629" t="s">
        <v>2964</v>
      </c>
      <c r="C1629" s="1">
        <v>45747</v>
      </c>
      <c r="D1629" t="s">
        <v>2965</v>
      </c>
      <c r="E1629" t="str">
        <f t="shared" si="98"/>
        <v>66411000</v>
      </c>
      <c r="F1629" t="s">
        <v>3010</v>
      </c>
      <c r="G1629" t="s">
        <v>336</v>
      </c>
      <c r="H1629" t="s">
        <v>5917</v>
      </c>
      <c r="I1629">
        <v>0</v>
      </c>
      <c r="J1629" t="s">
        <v>343</v>
      </c>
      <c r="K1629">
        <v>12939</v>
      </c>
      <c r="M1629">
        <v>2197069</v>
      </c>
    </row>
    <row r="1630" spans="1:13" x14ac:dyDescent="0.35">
      <c r="A1630" t="str">
        <f t="shared" si="97"/>
        <v>PAI45747PAIE3202566411000</v>
      </c>
      <c r="B1630" t="s">
        <v>2964</v>
      </c>
      <c r="C1630" s="1">
        <v>45747</v>
      </c>
      <c r="D1630" t="s">
        <v>2965</v>
      </c>
      <c r="E1630" t="str">
        <f t="shared" si="98"/>
        <v>66411000</v>
      </c>
      <c r="F1630" t="s">
        <v>3010</v>
      </c>
      <c r="G1630" t="s">
        <v>336</v>
      </c>
      <c r="H1630" t="s">
        <v>5918</v>
      </c>
      <c r="I1630">
        <v>0</v>
      </c>
      <c r="J1630" t="s">
        <v>343</v>
      </c>
      <c r="K1630">
        <v>255938</v>
      </c>
      <c r="M1630">
        <v>2197069</v>
      </c>
    </row>
    <row r="1631" spans="1:13" x14ac:dyDescent="0.35">
      <c r="A1631" t="str">
        <f t="shared" si="97"/>
        <v>PAI45747PAIE3202566411000</v>
      </c>
      <c r="B1631" t="s">
        <v>2964</v>
      </c>
      <c r="C1631" s="1">
        <v>45747</v>
      </c>
      <c r="D1631" t="s">
        <v>2965</v>
      </c>
      <c r="E1631" t="str">
        <f t="shared" si="98"/>
        <v>66411000</v>
      </c>
      <c r="F1631" t="s">
        <v>3010</v>
      </c>
      <c r="G1631" t="s">
        <v>336</v>
      </c>
      <c r="H1631" t="s">
        <v>5919</v>
      </c>
      <c r="I1631">
        <v>0</v>
      </c>
      <c r="J1631" t="s">
        <v>343</v>
      </c>
      <c r="K1631">
        <v>69008</v>
      </c>
      <c r="M1631">
        <v>2197069</v>
      </c>
    </row>
    <row r="1632" spans="1:13" x14ac:dyDescent="0.35">
      <c r="A1632" t="str">
        <f t="shared" si="97"/>
        <v>PAI45747PAIE3202566411000</v>
      </c>
      <c r="B1632" t="s">
        <v>2964</v>
      </c>
      <c r="C1632" s="1">
        <v>45747</v>
      </c>
      <c r="D1632" t="s">
        <v>2965</v>
      </c>
      <c r="E1632" t="str">
        <f t="shared" si="98"/>
        <v>66411000</v>
      </c>
      <c r="F1632" t="s">
        <v>3010</v>
      </c>
      <c r="G1632" t="s">
        <v>336</v>
      </c>
      <c r="H1632" t="s">
        <v>5920</v>
      </c>
      <c r="I1632">
        <v>0</v>
      </c>
      <c r="J1632" t="s">
        <v>343</v>
      </c>
      <c r="K1632">
        <v>96799</v>
      </c>
      <c r="M1632">
        <v>2197069</v>
      </c>
    </row>
    <row r="1633" spans="1:13" x14ac:dyDescent="0.35">
      <c r="A1633" t="str">
        <f t="shared" si="97"/>
        <v>PAI45747PAIE3202566411000</v>
      </c>
      <c r="B1633" t="s">
        <v>2964</v>
      </c>
      <c r="C1633" s="1">
        <v>45747</v>
      </c>
      <c r="D1633" t="s">
        <v>2965</v>
      </c>
      <c r="E1633" t="str">
        <f t="shared" si="98"/>
        <v>66411000</v>
      </c>
      <c r="F1633" t="s">
        <v>3010</v>
      </c>
      <c r="G1633" t="s">
        <v>336</v>
      </c>
      <c r="H1633" t="s">
        <v>5888</v>
      </c>
      <c r="I1633">
        <v>0</v>
      </c>
      <c r="J1633" t="s">
        <v>343</v>
      </c>
      <c r="K1633">
        <v>94886</v>
      </c>
      <c r="M1633">
        <v>2197069</v>
      </c>
    </row>
    <row r="1634" spans="1:13" x14ac:dyDescent="0.35">
      <c r="A1634" t="str">
        <f t="shared" si="97"/>
        <v>PAI45747PAIE3202566411000</v>
      </c>
      <c r="B1634" t="s">
        <v>2964</v>
      </c>
      <c r="C1634" s="1">
        <v>45747</v>
      </c>
      <c r="D1634" t="s">
        <v>2965</v>
      </c>
      <c r="E1634" t="str">
        <f t="shared" si="98"/>
        <v>66411000</v>
      </c>
      <c r="F1634" t="s">
        <v>3010</v>
      </c>
      <c r="G1634" t="s">
        <v>336</v>
      </c>
      <c r="H1634" t="s">
        <v>5961</v>
      </c>
      <c r="I1634">
        <v>0</v>
      </c>
      <c r="J1634" t="s">
        <v>343</v>
      </c>
      <c r="K1634">
        <v>268717</v>
      </c>
      <c r="M1634">
        <v>2197069</v>
      </c>
    </row>
    <row r="1635" spans="1:13" x14ac:dyDescent="0.35">
      <c r="A1635" t="str">
        <f t="shared" si="97"/>
        <v>PAI45747PAIE3202566411000</v>
      </c>
      <c r="B1635" t="s">
        <v>2964</v>
      </c>
      <c r="C1635" s="1">
        <v>45747</v>
      </c>
      <c r="D1635" t="s">
        <v>2965</v>
      </c>
      <c r="E1635" t="str">
        <f t="shared" si="98"/>
        <v>66411000</v>
      </c>
      <c r="F1635" t="s">
        <v>3010</v>
      </c>
      <c r="G1635" t="s">
        <v>336</v>
      </c>
      <c r="H1635" t="s">
        <v>5921</v>
      </c>
      <c r="I1635">
        <v>0</v>
      </c>
      <c r="J1635" t="s">
        <v>343</v>
      </c>
      <c r="K1635">
        <v>348481</v>
      </c>
      <c r="M1635">
        <v>2197069</v>
      </c>
    </row>
    <row r="1636" spans="1:13" x14ac:dyDescent="0.35">
      <c r="A1636" t="str">
        <f t="shared" si="97"/>
        <v>PAI45747PAIE3202566411000</v>
      </c>
      <c r="B1636" t="s">
        <v>2964</v>
      </c>
      <c r="C1636" s="1">
        <v>45747</v>
      </c>
      <c r="D1636" t="s">
        <v>2965</v>
      </c>
      <c r="E1636" t="str">
        <f t="shared" si="98"/>
        <v>66411000</v>
      </c>
      <c r="F1636" t="s">
        <v>3010</v>
      </c>
      <c r="G1636" t="s">
        <v>336</v>
      </c>
      <c r="H1636" t="s">
        <v>5922</v>
      </c>
      <c r="I1636">
        <v>0</v>
      </c>
      <c r="J1636" t="s">
        <v>343</v>
      </c>
      <c r="K1636">
        <v>51756</v>
      </c>
      <c r="M1636">
        <v>2197069</v>
      </c>
    </row>
    <row r="1637" spans="1:13" x14ac:dyDescent="0.35">
      <c r="A1637" t="str">
        <f t="shared" si="97"/>
        <v>PAI45747PAIE3202566411000</v>
      </c>
      <c r="B1637" t="s">
        <v>2964</v>
      </c>
      <c r="C1637" s="1">
        <v>45747</v>
      </c>
      <c r="D1637" t="s">
        <v>2965</v>
      </c>
      <c r="E1637" t="str">
        <f t="shared" si="98"/>
        <v>66411000</v>
      </c>
      <c r="F1637" t="s">
        <v>3010</v>
      </c>
      <c r="G1637" t="s">
        <v>336</v>
      </c>
      <c r="H1637" t="s">
        <v>5942</v>
      </c>
      <c r="I1637">
        <v>0</v>
      </c>
      <c r="J1637" t="s">
        <v>343</v>
      </c>
      <c r="K1637">
        <v>4313</v>
      </c>
      <c r="M1637">
        <v>2197069</v>
      </c>
    </row>
    <row r="1638" spans="1:13" x14ac:dyDescent="0.35">
      <c r="A1638" t="str">
        <f t="shared" si="97"/>
        <v>PAI45747PAIE3202566411000</v>
      </c>
      <c r="B1638" t="s">
        <v>2964</v>
      </c>
      <c r="C1638" s="1">
        <v>45747</v>
      </c>
      <c r="D1638" t="s">
        <v>2965</v>
      </c>
      <c r="E1638" t="str">
        <f t="shared" si="98"/>
        <v>66411000</v>
      </c>
      <c r="F1638" t="s">
        <v>3011</v>
      </c>
      <c r="G1638" t="s">
        <v>336</v>
      </c>
      <c r="H1638" t="s">
        <v>5902</v>
      </c>
      <c r="I1638">
        <v>0</v>
      </c>
      <c r="J1638" t="s">
        <v>343</v>
      </c>
      <c r="K1638">
        <v>53292</v>
      </c>
      <c r="M1638">
        <v>273219</v>
      </c>
    </row>
    <row r="1639" spans="1:13" x14ac:dyDescent="0.35">
      <c r="A1639" t="str">
        <f t="shared" si="97"/>
        <v>PAI45747PAIE3202566411000</v>
      </c>
      <c r="B1639" t="s">
        <v>2964</v>
      </c>
      <c r="C1639" s="1">
        <v>45747</v>
      </c>
      <c r="D1639" t="s">
        <v>2965</v>
      </c>
      <c r="E1639" t="str">
        <f t="shared" si="98"/>
        <v>66411000</v>
      </c>
      <c r="F1639" t="s">
        <v>3011</v>
      </c>
      <c r="G1639" t="s">
        <v>336</v>
      </c>
      <c r="H1639" t="s">
        <v>5911</v>
      </c>
      <c r="I1639">
        <v>0</v>
      </c>
      <c r="J1639" t="s">
        <v>343</v>
      </c>
      <c r="K1639">
        <v>4313</v>
      </c>
      <c r="M1639">
        <v>273219</v>
      </c>
    </row>
    <row r="1640" spans="1:13" x14ac:dyDescent="0.35">
      <c r="A1640" t="str">
        <f t="shared" si="97"/>
        <v>PAI45747PAIE3202566411000</v>
      </c>
      <c r="B1640" t="s">
        <v>2964</v>
      </c>
      <c r="C1640" s="1">
        <v>45747</v>
      </c>
      <c r="D1640" t="s">
        <v>2965</v>
      </c>
      <c r="E1640" t="str">
        <f t="shared" si="98"/>
        <v>66411000</v>
      </c>
      <c r="F1640" t="s">
        <v>3011</v>
      </c>
      <c r="G1640" t="s">
        <v>336</v>
      </c>
      <c r="H1640" t="s">
        <v>5913</v>
      </c>
      <c r="I1640">
        <v>0</v>
      </c>
      <c r="J1640" t="s">
        <v>343</v>
      </c>
      <c r="K1640">
        <v>17252</v>
      </c>
      <c r="M1640">
        <v>273219</v>
      </c>
    </row>
    <row r="1641" spans="1:13" x14ac:dyDescent="0.35">
      <c r="A1641" t="str">
        <f t="shared" si="97"/>
        <v>PAI45747PAIE3202566411000</v>
      </c>
      <c r="B1641" t="s">
        <v>2964</v>
      </c>
      <c r="C1641" s="1">
        <v>45747</v>
      </c>
      <c r="D1641" t="s">
        <v>2965</v>
      </c>
      <c r="E1641" t="str">
        <f t="shared" si="98"/>
        <v>66411000</v>
      </c>
      <c r="F1641" t="s">
        <v>3011</v>
      </c>
      <c r="G1641" t="s">
        <v>336</v>
      </c>
      <c r="H1641" t="s">
        <v>5914</v>
      </c>
      <c r="I1641">
        <v>0</v>
      </c>
      <c r="J1641" t="s">
        <v>343</v>
      </c>
      <c r="K1641">
        <v>4313</v>
      </c>
      <c r="M1641">
        <v>273219</v>
      </c>
    </row>
    <row r="1642" spans="1:13" x14ac:dyDescent="0.35">
      <c r="A1642" t="str">
        <f t="shared" si="97"/>
        <v>PAI45747PAIE3202566411000</v>
      </c>
      <c r="B1642" t="s">
        <v>2964</v>
      </c>
      <c r="C1642" s="1">
        <v>45747</v>
      </c>
      <c r="D1642" t="s">
        <v>2965</v>
      </c>
      <c r="E1642" t="str">
        <f t="shared" si="98"/>
        <v>66411000</v>
      </c>
      <c r="F1642" t="s">
        <v>3011</v>
      </c>
      <c r="G1642" t="s">
        <v>336</v>
      </c>
      <c r="H1642" t="s">
        <v>5936</v>
      </c>
      <c r="I1642">
        <v>0</v>
      </c>
      <c r="J1642" t="s">
        <v>343</v>
      </c>
      <c r="K1642">
        <v>21565</v>
      </c>
      <c r="M1642">
        <v>273219</v>
      </c>
    </row>
    <row r="1643" spans="1:13" x14ac:dyDescent="0.35">
      <c r="A1643" t="str">
        <f t="shared" si="97"/>
        <v>PAI45747PAIE3202566411000</v>
      </c>
      <c r="B1643" t="s">
        <v>2964</v>
      </c>
      <c r="C1643" s="1">
        <v>45747</v>
      </c>
      <c r="D1643" t="s">
        <v>2965</v>
      </c>
      <c r="E1643" t="str">
        <f t="shared" si="98"/>
        <v>66411000</v>
      </c>
      <c r="F1643" t="s">
        <v>3011</v>
      </c>
      <c r="G1643" t="s">
        <v>336</v>
      </c>
      <c r="H1643" t="s">
        <v>5903</v>
      </c>
      <c r="I1643">
        <v>0</v>
      </c>
      <c r="J1643" t="s">
        <v>343</v>
      </c>
      <c r="K1643">
        <v>30191</v>
      </c>
      <c r="M1643">
        <v>273219</v>
      </c>
    </row>
    <row r="1644" spans="1:13" x14ac:dyDescent="0.35">
      <c r="A1644" t="str">
        <f t="shared" si="97"/>
        <v>PAI45747PAIE3202566411000</v>
      </c>
      <c r="B1644" t="s">
        <v>2964</v>
      </c>
      <c r="C1644" s="1">
        <v>45747</v>
      </c>
      <c r="D1644" t="s">
        <v>2965</v>
      </c>
      <c r="E1644" t="str">
        <f t="shared" si="98"/>
        <v>66411000</v>
      </c>
      <c r="F1644" t="s">
        <v>3011</v>
      </c>
      <c r="G1644" t="s">
        <v>336</v>
      </c>
      <c r="H1644" t="s">
        <v>5915</v>
      </c>
      <c r="I1644">
        <v>0</v>
      </c>
      <c r="J1644" t="s">
        <v>343</v>
      </c>
      <c r="K1644">
        <v>17252</v>
      </c>
      <c r="M1644">
        <v>273219</v>
      </c>
    </row>
    <row r="1645" spans="1:13" x14ac:dyDescent="0.35">
      <c r="A1645" t="str">
        <f t="shared" si="97"/>
        <v>PAI45747PAIE3202566411000</v>
      </c>
      <c r="B1645" t="s">
        <v>2964</v>
      </c>
      <c r="C1645" s="1">
        <v>45747</v>
      </c>
      <c r="D1645" t="s">
        <v>2965</v>
      </c>
      <c r="E1645" t="str">
        <f t="shared" si="98"/>
        <v>66411000</v>
      </c>
      <c r="F1645" t="s">
        <v>3011</v>
      </c>
      <c r="G1645" t="s">
        <v>336</v>
      </c>
      <c r="H1645" t="s">
        <v>5918</v>
      </c>
      <c r="I1645">
        <v>0</v>
      </c>
      <c r="J1645" t="s">
        <v>343</v>
      </c>
      <c r="K1645">
        <v>25878</v>
      </c>
      <c r="M1645">
        <v>273219</v>
      </c>
    </row>
    <row r="1646" spans="1:13" x14ac:dyDescent="0.35">
      <c r="A1646" t="str">
        <f t="shared" si="97"/>
        <v>PAI45747PAIE3202566411000</v>
      </c>
      <c r="B1646" t="s">
        <v>2964</v>
      </c>
      <c r="C1646" s="1">
        <v>45747</v>
      </c>
      <c r="D1646" t="s">
        <v>2965</v>
      </c>
      <c r="E1646" t="str">
        <f t="shared" si="98"/>
        <v>66411000</v>
      </c>
      <c r="F1646" t="s">
        <v>3011</v>
      </c>
      <c r="G1646" t="s">
        <v>336</v>
      </c>
      <c r="H1646" t="s">
        <v>5919</v>
      </c>
      <c r="I1646">
        <v>0</v>
      </c>
      <c r="J1646" t="s">
        <v>343</v>
      </c>
      <c r="K1646">
        <v>8590</v>
      </c>
      <c r="M1646">
        <v>273219</v>
      </c>
    </row>
    <row r="1647" spans="1:13" x14ac:dyDescent="0.35">
      <c r="A1647" t="str">
        <f t="shared" si="97"/>
        <v>PAI45747PAIE3202566411000</v>
      </c>
      <c r="B1647" t="s">
        <v>2964</v>
      </c>
      <c r="C1647" s="1">
        <v>45747</v>
      </c>
      <c r="D1647" t="s">
        <v>2965</v>
      </c>
      <c r="E1647" t="str">
        <f t="shared" si="98"/>
        <v>66411000</v>
      </c>
      <c r="F1647" t="s">
        <v>3011</v>
      </c>
      <c r="G1647" t="s">
        <v>336</v>
      </c>
      <c r="H1647" t="s">
        <v>5920</v>
      </c>
      <c r="I1647">
        <v>0</v>
      </c>
      <c r="J1647" t="s">
        <v>343</v>
      </c>
      <c r="K1647">
        <v>12939</v>
      </c>
      <c r="M1647">
        <v>273219</v>
      </c>
    </row>
    <row r="1648" spans="1:13" x14ac:dyDescent="0.35">
      <c r="A1648" t="str">
        <f t="shared" si="97"/>
        <v>PAI45747PAIE3202566411000</v>
      </c>
      <c r="B1648" t="s">
        <v>2964</v>
      </c>
      <c r="C1648" s="1">
        <v>45747</v>
      </c>
      <c r="D1648" t="s">
        <v>2965</v>
      </c>
      <c r="E1648" t="str">
        <f t="shared" si="98"/>
        <v>66411000</v>
      </c>
      <c r="F1648" t="s">
        <v>3011</v>
      </c>
      <c r="G1648" t="s">
        <v>336</v>
      </c>
      <c r="H1648" t="s">
        <v>5888</v>
      </c>
      <c r="I1648">
        <v>0</v>
      </c>
      <c r="J1648" t="s">
        <v>343</v>
      </c>
      <c r="K1648">
        <v>21565</v>
      </c>
      <c r="M1648">
        <v>273219</v>
      </c>
    </row>
    <row r="1649" spans="1:13" x14ac:dyDescent="0.35">
      <c r="A1649" t="str">
        <f t="shared" si="97"/>
        <v>PAI45747PAIE3202566411000</v>
      </c>
      <c r="B1649" t="s">
        <v>2964</v>
      </c>
      <c r="C1649" s="1">
        <v>45747</v>
      </c>
      <c r="D1649" t="s">
        <v>2965</v>
      </c>
      <c r="E1649" t="str">
        <f t="shared" si="98"/>
        <v>66411000</v>
      </c>
      <c r="F1649" t="s">
        <v>3011</v>
      </c>
      <c r="G1649" t="s">
        <v>336</v>
      </c>
      <c r="H1649" t="s">
        <v>5961</v>
      </c>
      <c r="I1649">
        <v>0</v>
      </c>
      <c r="J1649" t="s">
        <v>343</v>
      </c>
      <c r="K1649">
        <v>30191</v>
      </c>
      <c r="M1649">
        <v>273219</v>
      </c>
    </row>
    <row r="1650" spans="1:13" x14ac:dyDescent="0.35">
      <c r="A1650" t="str">
        <f t="shared" si="97"/>
        <v>PAI45747PAIE3202566411000</v>
      </c>
      <c r="B1650" t="s">
        <v>2964</v>
      </c>
      <c r="C1650" s="1">
        <v>45747</v>
      </c>
      <c r="D1650" t="s">
        <v>2965</v>
      </c>
      <c r="E1650" t="str">
        <f t="shared" si="98"/>
        <v>66411000</v>
      </c>
      <c r="F1650" t="s">
        <v>3011</v>
      </c>
      <c r="G1650" t="s">
        <v>336</v>
      </c>
      <c r="H1650" t="s">
        <v>5921</v>
      </c>
      <c r="I1650">
        <v>0</v>
      </c>
      <c r="J1650" t="s">
        <v>343</v>
      </c>
      <c r="K1650">
        <v>25878</v>
      </c>
      <c r="M1650">
        <v>273219</v>
      </c>
    </row>
    <row r="1651" spans="1:13" x14ac:dyDescent="0.35">
      <c r="A1651" t="str">
        <f t="shared" si="97"/>
        <v>PAI45747PAIE3202566411000</v>
      </c>
      <c r="B1651" t="s">
        <v>2964</v>
      </c>
      <c r="C1651" s="1">
        <v>45747</v>
      </c>
      <c r="D1651" t="s">
        <v>2965</v>
      </c>
      <c r="E1651" t="str">
        <f t="shared" si="98"/>
        <v>66411000</v>
      </c>
      <c r="F1651" t="s">
        <v>3012</v>
      </c>
      <c r="G1651" t="s">
        <v>336</v>
      </c>
      <c r="H1651" t="s">
        <v>5886</v>
      </c>
      <c r="I1651">
        <v>0</v>
      </c>
      <c r="J1651" t="s">
        <v>343</v>
      </c>
      <c r="K1651">
        <v>4313</v>
      </c>
      <c r="M1651">
        <v>17252</v>
      </c>
    </row>
    <row r="1652" spans="1:13" x14ac:dyDescent="0.35">
      <c r="A1652" t="str">
        <f t="shared" si="97"/>
        <v>PAI45747PAIE3202566411000</v>
      </c>
      <c r="B1652" t="s">
        <v>2964</v>
      </c>
      <c r="C1652" s="1">
        <v>45747</v>
      </c>
      <c r="D1652" t="s">
        <v>2965</v>
      </c>
      <c r="E1652" t="str">
        <f t="shared" si="98"/>
        <v>66411000</v>
      </c>
      <c r="F1652" t="s">
        <v>3012</v>
      </c>
      <c r="G1652" t="s">
        <v>336</v>
      </c>
      <c r="H1652" t="s">
        <v>5902</v>
      </c>
      <c r="I1652">
        <v>0</v>
      </c>
      <c r="J1652" t="s">
        <v>343</v>
      </c>
      <c r="K1652">
        <v>4313</v>
      </c>
      <c r="M1652">
        <v>17252</v>
      </c>
    </row>
    <row r="1653" spans="1:13" x14ac:dyDescent="0.35">
      <c r="A1653" t="str">
        <f t="shared" si="97"/>
        <v>PAI45747PAIE3202566411000</v>
      </c>
      <c r="B1653" t="s">
        <v>2964</v>
      </c>
      <c r="C1653" s="1">
        <v>45747</v>
      </c>
      <c r="D1653" t="s">
        <v>2965</v>
      </c>
      <c r="E1653" t="str">
        <f t="shared" si="98"/>
        <v>66411000</v>
      </c>
      <c r="F1653" t="s">
        <v>3012</v>
      </c>
      <c r="G1653" t="s">
        <v>336</v>
      </c>
      <c r="H1653" t="s">
        <v>5912</v>
      </c>
      <c r="I1653">
        <v>0</v>
      </c>
      <c r="J1653" t="s">
        <v>343</v>
      </c>
      <c r="K1653">
        <v>4313</v>
      </c>
      <c r="M1653">
        <v>17252</v>
      </c>
    </row>
    <row r="1654" spans="1:13" x14ac:dyDescent="0.35">
      <c r="A1654" t="str">
        <f t="shared" si="97"/>
        <v>PAI45747PAIE3202566411000</v>
      </c>
      <c r="B1654" t="s">
        <v>2964</v>
      </c>
      <c r="C1654" s="1">
        <v>45747</v>
      </c>
      <c r="D1654" t="s">
        <v>2965</v>
      </c>
      <c r="E1654" t="str">
        <f t="shared" si="98"/>
        <v>66411000</v>
      </c>
      <c r="F1654" t="s">
        <v>3012</v>
      </c>
      <c r="G1654" t="s">
        <v>336</v>
      </c>
      <c r="H1654" t="s">
        <v>5936</v>
      </c>
      <c r="I1654">
        <v>0</v>
      </c>
      <c r="J1654" t="s">
        <v>343</v>
      </c>
      <c r="K1654">
        <v>4313</v>
      </c>
      <c r="M1654">
        <v>17252</v>
      </c>
    </row>
    <row r="1655" spans="1:13" x14ac:dyDescent="0.35">
      <c r="A1655" t="str">
        <f t="shared" si="97"/>
        <v>PAI45747PAIE3202566411000</v>
      </c>
      <c r="B1655" t="s">
        <v>2964</v>
      </c>
      <c r="C1655" s="1">
        <v>45747</v>
      </c>
      <c r="D1655" t="s">
        <v>2965</v>
      </c>
      <c r="E1655" t="str">
        <f t="shared" si="98"/>
        <v>66411000</v>
      </c>
      <c r="F1655" t="s">
        <v>3013</v>
      </c>
      <c r="G1655" t="s">
        <v>336</v>
      </c>
      <c r="H1655" t="s">
        <v>5911</v>
      </c>
      <c r="I1655">
        <v>0</v>
      </c>
      <c r="J1655" t="s">
        <v>343</v>
      </c>
      <c r="K1655">
        <v>60382</v>
      </c>
      <c r="M1655">
        <v>349353</v>
      </c>
    </row>
    <row r="1656" spans="1:13" x14ac:dyDescent="0.35">
      <c r="A1656" t="str">
        <f t="shared" si="97"/>
        <v>PAI45747PAIE3202566411000</v>
      </c>
      <c r="B1656" t="s">
        <v>2964</v>
      </c>
      <c r="C1656" s="1">
        <v>45747</v>
      </c>
      <c r="D1656" t="s">
        <v>2965</v>
      </c>
      <c r="E1656" t="str">
        <f t="shared" si="98"/>
        <v>66411000</v>
      </c>
      <c r="F1656" t="s">
        <v>3013</v>
      </c>
      <c r="G1656" t="s">
        <v>336</v>
      </c>
      <c r="H1656" t="s">
        <v>5917</v>
      </c>
      <c r="I1656">
        <v>0</v>
      </c>
      <c r="J1656" t="s">
        <v>343</v>
      </c>
      <c r="K1656">
        <v>288971</v>
      </c>
      <c r="M1656">
        <v>349353</v>
      </c>
    </row>
    <row r="1657" spans="1:13" x14ac:dyDescent="0.35">
      <c r="A1657" t="str">
        <f t="shared" si="97"/>
        <v>PAI45747PAIE3202566411000</v>
      </c>
      <c r="B1657" t="s">
        <v>2964</v>
      </c>
      <c r="C1657" s="1">
        <v>45747</v>
      </c>
      <c r="D1657" t="s">
        <v>2965</v>
      </c>
      <c r="E1657" t="str">
        <f t="shared" si="98"/>
        <v>66411000</v>
      </c>
      <c r="F1657" t="s">
        <v>3014</v>
      </c>
      <c r="G1657" t="s">
        <v>336</v>
      </c>
      <c r="H1657" t="s">
        <v>5917</v>
      </c>
      <c r="I1657">
        <v>0</v>
      </c>
      <c r="J1657" t="s">
        <v>343</v>
      </c>
      <c r="K1657">
        <v>21565</v>
      </c>
      <c r="M1657">
        <v>21565</v>
      </c>
    </row>
    <row r="1658" spans="1:13" x14ac:dyDescent="0.35">
      <c r="A1658" t="str">
        <f t="shared" si="97"/>
        <v>PAI45747PAIE3202566412000</v>
      </c>
      <c r="B1658" t="s">
        <v>2964</v>
      </c>
      <c r="C1658" s="1">
        <v>45747</v>
      </c>
      <c r="D1658" t="s">
        <v>2965</v>
      </c>
      <c r="E1658" t="str">
        <f t="shared" ref="E1658:E1698" si="99">"66412000"</f>
        <v>66412000</v>
      </c>
      <c r="F1658" t="s">
        <v>3015</v>
      </c>
      <c r="G1658" t="s">
        <v>336</v>
      </c>
      <c r="H1658" t="s">
        <v>5909</v>
      </c>
      <c r="I1658">
        <v>0</v>
      </c>
      <c r="J1658" t="s">
        <v>343</v>
      </c>
      <c r="K1658">
        <v>52500</v>
      </c>
      <c r="M1658">
        <v>1910278</v>
      </c>
    </row>
    <row r="1659" spans="1:13" x14ac:dyDescent="0.35">
      <c r="A1659" t="str">
        <f t="shared" si="97"/>
        <v>PAI45747PAIE3202566412000</v>
      </c>
      <c r="B1659" t="s">
        <v>2964</v>
      </c>
      <c r="C1659" s="1">
        <v>45747</v>
      </c>
      <c r="D1659" t="s">
        <v>2965</v>
      </c>
      <c r="E1659" t="str">
        <f t="shared" si="99"/>
        <v>66412000</v>
      </c>
      <c r="F1659" t="s">
        <v>3015</v>
      </c>
      <c r="G1659" t="s">
        <v>336</v>
      </c>
      <c r="H1659" t="s">
        <v>5886</v>
      </c>
      <c r="I1659">
        <v>0</v>
      </c>
      <c r="J1659" t="s">
        <v>343</v>
      </c>
      <c r="K1659">
        <v>11250</v>
      </c>
      <c r="M1659">
        <v>1910278</v>
      </c>
    </row>
    <row r="1660" spans="1:13" x14ac:dyDescent="0.35">
      <c r="A1660" t="str">
        <f t="shared" si="97"/>
        <v>PAI45747PAIE3202566412000</v>
      </c>
      <c r="B1660" t="s">
        <v>2964</v>
      </c>
      <c r="C1660" s="1">
        <v>45747</v>
      </c>
      <c r="D1660" t="s">
        <v>2965</v>
      </c>
      <c r="E1660" t="str">
        <f t="shared" si="99"/>
        <v>66412000</v>
      </c>
      <c r="F1660" t="s">
        <v>3015</v>
      </c>
      <c r="G1660" t="s">
        <v>336</v>
      </c>
      <c r="H1660" t="s">
        <v>5902</v>
      </c>
      <c r="I1660">
        <v>0</v>
      </c>
      <c r="J1660" t="s">
        <v>343</v>
      </c>
      <c r="K1660">
        <v>439499</v>
      </c>
      <c r="M1660">
        <v>1910278</v>
      </c>
    </row>
    <row r="1661" spans="1:13" x14ac:dyDescent="0.35">
      <c r="A1661" t="str">
        <f t="shared" si="97"/>
        <v>PAI45747PAIE3202566412000</v>
      </c>
      <c r="B1661" t="s">
        <v>2964</v>
      </c>
      <c r="C1661" s="1">
        <v>45747</v>
      </c>
      <c r="D1661" t="s">
        <v>2965</v>
      </c>
      <c r="E1661" t="str">
        <f t="shared" si="99"/>
        <v>66412000</v>
      </c>
      <c r="F1661" t="s">
        <v>3015</v>
      </c>
      <c r="G1661" t="s">
        <v>336</v>
      </c>
      <c r="H1661" t="s">
        <v>5910</v>
      </c>
      <c r="I1661">
        <v>0</v>
      </c>
      <c r="J1661" t="s">
        <v>343</v>
      </c>
      <c r="K1661">
        <v>40198</v>
      </c>
      <c r="M1661">
        <v>1910278</v>
      </c>
    </row>
    <row r="1662" spans="1:13" x14ac:dyDescent="0.35">
      <c r="A1662" t="str">
        <f t="shared" si="97"/>
        <v>PAI45747PAIE3202566412000</v>
      </c>
      <c r="B1662" t="s">
        <v>2964</v>
      </c>
      <c r="C1662" s="1">
        <v>45747</v>
      </c>
      <c r="D1662" t="s">
        <v>2965</v>
      </c>
      <c r="E1662" t="str">
        <f t="shared" si="99"/>
        <v>66412000</v>
      </c>
      <c r="F1662" t="s">
        <v>3015</v>
      </c>
      <c r="G1662" t="s">
        <v>336</v>
      </c>
      <c r="H1662" t="s">
        <v>5911</v>
      </c>
      <c r="I1662">
        <v>0</v>
      </c>
      <c r="J1662" t="s">
        <v>343</v>
      </c>
      <c r="K1662">
        <v>26250</v>
      </c>
      <c r="M1662">
        <v>1910278</v>
      </c>
    </row>
    <row r="1663" spans="1:13" x14ac:dyDescent="0.35">
      <c r="A1663" t="str">
        <f t="shared" si="97"/>
        <v>PAI45747PAIE3202566412000</v>
      </c>
      <c r="B1663" t="s">
        <v>2964</v>
      </c>
      <c r="C1663" s="1">
        <v>45747</v>
      </c>
      <c r="D1663" t="s">
        <v>2965</v>
      </c>
      <c r="E1663" t="str">
        <f t="shared" si="99"/>
        <v>66412000</v>
      </c>
      <c r="F1663" t="s">
        <v>3015</v>
      </c>
      <c r="G1663" t="s">
        <v>336</v>
      </c>
      <c r="H1663" t="s">
        <v>5912</v>
      </c>
      <c r="I1663">
        <v>0</v>
      </c>
      <c r="J1663" t="s">
        <v>343</v>
      </c>
      <c r="K1663">
        <v>7500</v>
      </c>
      <c r="M1663">
        <v>1910278</v>
      </c>
    </row>
    <row r="1664" spans="1:13" x14ac:dyDescent="0.35">
      <c r="A1664" t="str">
        <f t="shared" si="97"/>
        <v>PAI45747PAIE3202566412000</v>
      </c>
      <c r="B1664" t="s">
        <v>2964</v>
      </c>
      <c r="C1664" s="1">
        <v>45747</v>
      </c>
      <c r="D1664" t="s">
        <v>2965</v>
      </c>
      <c r="E1664" t="str">
        <f t="shared" si="99"/>
        <v>66412000</v>
      </c>
      <c r="F1664" t="s">
        <v>3015</v>
      </c>
      <c r="G1664" t="s">
        <v>336</v>
      </c>
      <c r="H1664" t="s">
        <v>5913</v>
      </c>
      <c r="I1664">
        <v>0</v>
      </c>
      <c r="J1664" t="s">
        <v>343</v>
      </c>
      <c r="K1664">
        <v>56250</v>
      </c>
      <c r="M1664">
        <v>1910278</v>
      </c>
    </row>
    <row r="1665" spans="1:13" x14ac:dyDescent="0.35">
      <c r="A1665" t="str">
        <f t="shared" si="97"/>
        <v>PAI45747PAIE3202566412000</v>
      </c>
      <c r="B1665" t="s">
        <v>2964</v>
      </c>
      <c r="C1665" s="1">
        <v>45747</v>
      </c>
      <c r="D1665" t="s">
        <v>2965</v>
      </c>
      <c r="E1665" t="str">
        <f t="shared" si="99"/>
        <v>66412000</v>
      </c>
      <c r="F1665" t="s">
        <v>3015</v>
      </c>
      <c r="G1665" t="s">
        <v>336</v>
      </c>
      <c r="H1665" t="s">
        <v>5914</v>
      </c>
      <c r="I1665">
        <v>0</v>
      </c>
      <c r="J1665" t="s">
        <v>343</v>
      </c>
      <c r="K1665">
        <v>41250</v>
      </c>
      <c r="M1665">
        <v>1910278</v>
      </c>
    </row>
    <row r="1666" spans="1:13" x14ac:dyDescent="0.35">
      <c r="A1666" t="str">
        <f t="shared" si="97"/>
        <v>PAI45747PAIE3202566412000</v>
      </c>
      <c r="B1666" t="s">
        <v>2964</v>
      </c>
      <c r="C1666" s="1">
        <v>45747</v>
      </c>
      <c r="D1666" t="s">
        <v>2965</v>
      </c>
      <c r="E1666" t="str">
        <f t="shared" si="99"/>
        <v>66412000</v>
      </c>
      <c r="F1666" t="s">
        <v>3015</v>
      </c>
      <c r="G1666" t="s">
        <v>336</v>
      </c>
      <c r="H1666" t="s">
        <v>5935</v>
      </c>
      <c r="I1666">
        <v>0</v>
      </c>
      <c r="J1666" t="s">
        <v>343</v>
      </c>
      <c r="K1666">
        <v>15000</v>
      </c>
      <c r="M1666">
        <v>1910278</v>
      </c>
    </row>
    <row r="1667" spans="1:13" x14ac:dyDescent="0.35">
      <c r="A1667" t="str">
        <f t="shared" ref="A1667:A1730" si="100">CONCATENATE(B1667,C1667,D1667,E1667)</f>
        <v>PAI45747PAIE3202566412000</v>
      </c>
      <c r="B1667" t="s">
        <v>2964</v>
      </c>
      <c r="C1667" s="1">
        <v>45747</v>
      </c>
      <c r="D1667" t="s">
        <v>2965</v>
      </c>
      <c r="E1667" t="str">
        <f t="shared" si="99"/>
        <v>66412000</v>
      </c>
      <c r="F1667" t="s">
        <v>3015</v>
      </c>
      <c r="G1667" t="s">
        <v>336</v>
      </c>
      <c r="H1667" t="s">
        <v>5936</v>
      </c>
      <c r="I1667">
        <v>0</v>
      </c>
      <c r="J1667" t="s">
        <v>343</v>
      </c>
      <c r="K1667">
        <v>108750</v>
      </c>
      <c r="M1667">
        <v>1910278</v>
      </c>
    </row>
    <row r="1668" spans="1:13" x14ac:dyDescent="0.35">
      <c r="A1668" t="str">
        <f t="shared" si="100"/>
        <v>PAI45747PAIE3202566412000</v>
      </c>
      <c r="B1668" t="s">
        <v>2964</v>
      </c>
      <c r="C1668" s="1">
        <v>45747</v>
      </c>
      <c r="D1668" t="s">
        <v>2965</v>
      </c>
      <c r="E1668" t="str">
        <f t="shared" si="99"/>
        <v>66412000</v>
      </c>
      <c r="F1668" t="s">
        <v>3015</v>
      </c>
      <c r="G1668" t="s">
        <v>336</v>
      </c>
      <c r="H1668" t="s">
        <v>5903</v>
      </c>
      <c r="I1668">
        <v>0</v>
      </c>
      <c r="J1668" t="s">
        <v>343</v>
      </c>
      <c r="K1668">
        <v>18750</v>
      </c>
      <c r="M1668">
        <v>1910278</v>
      </c>
    </row>
    <row r="1669" spans="1:13" x14ac:dyDescent="0.35">
      <c r="A1669" t="str">
        <f t="shared" si="100"/>
        <v>PAI45747PAIE3202566412000</v>
      </c>
      <c r="B1669" t="s">
        <v>2964</v>
      </c>
      <c r="C1669" s="1">
        <v>45747</v>
      </c>
      <c r="D1669" t="s">
        <v>2965</v>
      </c>
      <c r="E1669" t="str">
        <f t="shared" si="99"/>
        <v>66412000</v>
      </c>
      <c r="F1669" t="s">
        <v>3015</v>
      </c>
      <c r="G1669" t="s">
        <v>336</v>
      </c>
      <c r="H1669" t="s">
        <v>5915</v>
      </c>
      <c r="I1669">
        <v>0</v>
      </c>
      <c r="J1669" t="s">
        <v>343</v>
      </c>
      <c r="K1669">
        <v>47256</v>
      </c>
      <c r="M1669">
        <v>1910278</v>
      </c>
    </row>
    <row r="1670" spans="1:13" x14ac:dyDescent="0.35">
      <c r="A1670" t="str">
        <f t="shared" si="100"/>
        <v>PAI45747PAIE3202566412000</v>
      </c>
      <c r="B1670" t="s">
        <v>2964</v>
      </c>
      <c r="C1670" s="1">
        <v>45747</v>
      </c>
      <c r="D1670" t="s">
        <v>2965</v>
      </c>
      <c r="E1670" t="str">
        <f t="shared" si="99"/>
        <v>66412000</v>
      </c>
      <c r="F1670" t="s">
        <v>3015</v>
      </c>
      <c r="G1670" t="s">
        <v>336</v>
      </c>
      <c r="H1670" t="s">
        <v>5917</v>
      </c>
      <c r="I1670">
        <v>0</v>
      </c>
      <c r="J1670" t="s">
        <v>343</v>
      </c>
      <c r="K1670">
        <v>11250</v>
      </c>
      <c r="M1670">
        <v>1910278</v>
      </c>
    </row>
    <row r="1671" spans="1:13" x14ac:dyDescent="0.35">
      <c r="A1671" t="str">
        <f t="shared" si="100"/>
        <v>PAI45747PAIE3202566412000</v>
      </c>
      <c r="B1671" t="s">
        <v>2964</v>
      </c>
      <c r="C1671" s="1">
        <v>45747</v>
      </c>
      <c r="D1671" t="s">
        <v>2965</v>
      </c>
      <c r="E1671" t="str">
        <f t="shared" si="99"/>
        <v>66412000</v>
      </c>
      <c r="F1671" t="s">
        <v>3015</v>
      </c>
      <c r="G1671" t="s">
        <v>336</v>
      </c>
      <c r="H1671" t="s">
        <v>5918</v>
      </c>
      <c r="I1671">
        <v>0</v>
      </c>
      <c r="J1671" t="s">
        <v>343</v>
      </c>
      <c r="K1671">
        <v>222529</v>
      </c>
      <c r="M1671">
        <v>1910278</v>
      </c>
    </row>
    <row r="1672" spans="1:13" x14ac:dyDescent="0.35">
      <c r="A1672" t="str">
        <f t="shared" si="100"/>
        <v>PAI45747PAIE3202566412000</v>
      </c>
      <c r="B1672" t="s">
        <v>2964</v>
      </c>
      <c r="C1672" s="1">
        <v>45747</v>
      </c>
      <c r="D1672" t="s">
        <v>2965</v>
      </c>
      <c r="E1672" t="str">
        <f t="shared" si="99"/>
        <v>66412000</v>
      </c>
      <c r="F1672" t="s">
        <v>3015</v>
      </c>
      <c r="G1672" t="s">
        <v>336</v>
      </c>
      <c r="H1672" t="s">
        <v>5919</v>
      </c>
      <c r="I1672">
        <v>0</v>
      </c>
      <c r="J1672" t="s">
        <v>343</v>
      </c>
      <c r="K1672">
        <v>60000</v>
      </c>
      <c r="M1672">
        <v>1910278</v>
      </c>
    </row>
    <row r="1673" spans="1:13" x14ac:dyDescent="0.35">
      <c r="A1673" t="str">
        <f t="shared" si="100"/>
        <v>PAI45747PAIE3202566412000</v>
      </c>
      <c r="B1673" t="s">
        <v>2964</v>
      </c>
      <c r="C1673" s="1">
        <v>45747</v>
      </c>
      <c r="D1673" t="s">
        <v>2965</v>
      </c>
      <c r="E1673" t="str">
        <f t="shared" si="99"/>
        <v>66412000</v>
      </c>
      <c r="F1673" t="s">
        <v>3015</v>
      </c>
      <c r="G1673" t="s">
        <v>336</v>
      </c>
      <c r="H1673" t="s">
        <v>5920</v>
      </c>
      <c r="I1673">
        <v>0</v>
      </c>
      <c r="J1673" t="s">
        <v>343</v>
      </c>
      <c r="K1673">
        <v>84164</v>
      </c>
      <c r="M1673">
        <v>1910278</v>
      </c>
    </row>
    <row r="1674" spans="1:13" x14ac:dyDescent="0.35">
      <c r="A1674" t="str">
        <f t="shared" si="100"/>
        <v>PAI45747PAIE3202566412000</v>
      </c>
      <c r="B1674" t="s">
        <v>2964</v>
      </c>
      <c r="C1674" s="1">
        <v>45747</v>
      </c>
      <c r="D1674" t="s">
        <v>2965</v>
      </c>
      <c r="E1674" t="str">
        <f t="shared" si="99"/>
        <v>66412000</v>
      </c>
      <c r="F1674" t="s">
        <v>3015</v>
      </c>
      <c r="G1674" t="s">
        <v>336</v>
      </c>
      <c r="H1674" t="s">
        <v>5888</v>
      </c>
      <c r="I1674">
        <v>0</v>
      </c>
      <c r="J1674" t="s">
        <v>343</v>
      </c>
      <c r="K1674">
        <v>82500</v>
      </c>
      <c r="M1674">
        <v>1910278</v>
      </c>
    </row>
    <row r="1675" spans="1:13" x14ac:dyDescent="0.35">
      <c r="A1675" t="str">
        <f t="shared" si="100"/>
        <v>PAI45747PAIE3202566412000</v>
      </c>
      <c r="B1675" t="s">
        <v>2964</v>
      </c>
      <c r="C1675" s="1">
        <v>45747</v>
      </c>
      <c r="D1675" t="s">
        <v>2965</v>
      </c>
      <c r="E1675" t="str">
        <f t="shared" si="99"/>
        <v>66412000</v>
      </c>
      <c r="F1675" t="s">
        <v>3015</v>
      </c>
      <c r="G1675" t="s">
        <v>336</v>
      </c>
      <c r="H1675" t="s">
        <v>5961</v>
      </c>
      <c r="I1675">
        <v>0</v>
      </c>
      <c r="J1675" t="s">
        <v>343</v>
      </c>
      <c r="K1675">
        <v>233640</v>
      </c>
      <c r="M1675">
        <v>1910278</v>
      </c>
    </row>
    <row r="1676" spans="1:13" x14ac:dyDescent="0.35">
      <c r="A1676" t="str">
        <f t="shared" si="100"/>
        <v>PAI45747PAIE3202566412000</v>
      </c>
      <c r="B1676" t="s">
        <v>2964</v>
      </c>
      <c r="C1676" s="1">
        <v>45747</v>
      </c>
      <c r="D1676" t="s">
        <v>2965</v>
      </c>
      <c r="E1676" t="str">
        <f t="shared" si="99"/>
        <v>66412000</v>
      </c>
      <c r="F1676" t="s">
        <v>3015</v>
      </c>
      <c r="G1676" t="s">
        <v>336</v>
      </c>
      <c r="H1676" t="s">
        <v>5921</v>
      </c>
      <c r="I1676">
        <v>0</v>
      </c>
      <c r="J1676" t="s">
        <v>343</v>
      </c>
      <c r="K1676">
        <v>302992</v>
      </c>
      <c r="M1676">
        <v>1910278</v>
      </c>
    </row>
    <row r="1677" spans="1:13" x14ac:dyDescent="0.35">
      <c r="A1677" t="str">
        <f t="shared" si="100"/>
        <v>PAI45747PAIE3202566412000</v>
      </c>
      <c r="B1677" t="s">
        <v>2964</v>
      </c>
      <c r="C1677" s="1">
        <v>45747</v>
      </c>
      <c r="D1677" t="s">
        <v>2965</v>
      </c>
      <c r="E1677" t="str">
        <f t="shared" si="99"/>
        <v>66412000</v>
      </c>
      <c r="F1677" t="s">
        <v>3015</v>
      </c>
      <c r="G1677" t="s">
        <v>336</v>
      </c>
      <c r="H1677" t="s">
        <v>5922</v>
      </c>
      <c r="I1677">
        <v>0</v>
      </c>
      <c r="J1677" t="s">
        <v>343</v>
      </c>
      <c r="K1677">
        <v>45000</v>
      </c>
      <c r="M1677">
        <v>1910278</v>
      </c>
    </row>
    <row r="1678" spans="1:13" x14ac:dyDescent="0.35">
      <c r="A1678" t="str">
        <f t="shared" si="100"/>
        <v>PAI45747PAIE3202566412000</v>
      </c>
      <c r="B1678" t="s">
        <v>2964</v>
      </c>
      <c r="C1678" s="1">
        <v>45747</v>
      </c>
      <c r="D1678" t="s">
        <v>2965</v>
      </c>
      <c r="E1678" t="str">
        <f t="shared" si="99"/>
        <v>66412000</v>
      </c>
      <c r="F1678" t="s">
        <v>3015</v>
      </c>
      <c r="G1678" t="s">
        <v>336</v>
      </c>
      <c r="H1678" t="s">
        <v>5942</v>
      </c>
      <c r="I1678">
        <v>0</v>
      </c>
      <c r="J1678" t="s">
        <v>343</v>
      </c>
      <c r="K1678">
        <v>3750</v>
      </c>
      <c r="M1678">
        <v>1910278</v>
      </c>
    </row>
    <row r="1679" spans="1:13" x14ac:dyDescent="0.35">
      <c r="A1679" t="str">
        <f t="shared" si="100"/>
        <v>PAI45747PAIE3202566412000</v>
      </c>
      <c r="B1679" t="s">
        <v>2964</v>
      </c>
      <c r="C1679" s="1">
        <v>45747</v>
      </c>
      <c r="D1679" t="s">
        <v>2965</v>
      </c>
      <c r="E1679" t="str">
        <f t="shared" si="99"/>
        <v>66412000</v>
      </c>
      <c r="F1679" t="s">
        <v>3016</v>
      </c>
      <c r="G1679" t="s">
        <v>336</v>
      </c>
      <c r="H1679" t="s">
        <v>5902</v>
      </c>
      <c r="I1679">
        <v>0</v>
      </c>
      <c r="J1679" t="s">
        <v>343</v>
      </c>
      <c r="K1679">
        <v>46336</v>
      </c>
      <c r="M1679">
        <v>237555</v>
      </c>
    </row>
    <row r="1680" spans="1:13" x14ac:dyDescent="0.35">
      <c r="A1680" t="str">
        <f t="shared" si="100"/>
        <v>PAI45747PAIE3202566412000</v>
      </c>
      <c r="B1680" t="s">
        <v>2964</v>
      </c>
      <c r="C1680" s="1">
        <v>45747</v>
      </c>
      <c r="D1680" t="s">
        <v>2965</v>
      </c>
      <c r="E1680" t="str">
        <f t="shared" si="99"/>
        <v>66412000</v>
      </c>
      <c r="F1680" t="s">
        <v>3016</v>
      </c>
      <c r="G1680" t="s">
        <v>336</v>
      </c>
      <c r="H1680" t="s">
        <v>5911</v>
      </c>
      <c r="I1680">
        <v>0</v>
      </c>
      <c r="J1680" t="s">
        <v>343</v>
      </c>
      <c r="K1680">
        <v>3750</v>
      </c>
      <c r="M1680">
        <v>237555</v>
      </c>
    </row>
    <row r="1681" spans="1:13" x14ac:dyDescent="0.35">
      <c r="A1681" t="str">
        <f t="shared" si="100"/>
        <v>PAI45747PAIE3202566412000</v>
      </c>
      <c r="B1681" t="s">
        <v>2964</v>
      </c>
      <c r="C1681" s="1">
        <v>45747</v>
      </c>
      <c r="D1681" t="s">
        <v>2965</v>
      </c>
      <c r="E1681" t="str">
        <f t="shared" si="99"/>
        <v>66412000</v>
      </c>
      <c r="F1681" t="s">
        <v>3016</v>
      </c>
      <c r="G1681" t="s">
        <v>336</v>
      </c>
      <c r="H1681" t="s">
        <v>5913</v>
      </c>
      <c r="I1681">
        <v>0</v>
      </c>
      <c r="J1681" t="s">
        <v>343</v>
      </c>
      <c r="K1681">
        <v>15000</v>
      </c>
      <c r="M1681">
        <v>237555</v>
      </c>
    </row>
    <row r="1682" spans="1:13" x14ac:dyDescent="0.35">
      <c r="A1682" t="str">
        <f t="shared" si="100"/>
        <v>PAI45747PAIE3202566412000</v>
      </c>
      <c r="B1682" t="s">
        <v>2964</v>
      </c>
      <c r="C1682" s="1">
        <v>45747</v>
      </c>
      <c r="D1682" t="s">
        <v>2965</v>
      </c>
      <c r="E1682" t="str">
        <f t="shared" si="99"/>
        <v>66412000</v>
      </c>
      <c r="F1682" t="s">
        <v>3016</v>
      </c>
      <c r="G1682" t="s">
        <v>336</v>
      </c>
      <c r="H1682" t="s">
        <v>5914</v>
      </c>
      <c r="I1682">
        <v>0</v>
      </c>
      <c r="J1682" t="s">
        <v>343</v>
      </c>
      <c r="K1682">
        <v>3750</v>
      </c>
      <c r="M1682">
        <v>237555</v>
      </c>
    </row>
    <row r="1683" spans="1:13" x14ac:dyDescent="0.35">
      <c r="A1683" t="str">
        <f t="shared" si="100"/>
        <v>PAI45747PAIE3202566412000</v>
      </c>
      <c r="B1683" t="s">
        <v>2964</v>
      </c>
      <c r="C1683" s="1">
        <v>45747</v>
      </c>
      <c r="D1683" t="s">
        <v>2965</v>
      </c>
      <c r="E1683" t="str">
        <f t="shared" si="99"/>
        <v>66412000</v>
      </c>
      <c r="F1683" t="s">
        <v>3016</v>
      </c>
      <c r="G1683" t="s">
        <v>336</v>
      </c>
      <c r="H1683" t="s">
        <v>5936</v>
      </c>
      <c r="I1683">
        <v>0</v>
      </c>
      <c r="J1683" t="s">
        <v>343</v>
      </c>
      <c r="K1683">
        <v>18750</v>
      </c>
      <c r="M1683">
        <v>237555</v>
      </c>
    </row>
    <row r="1684" spans="1:13" x14ac:dyDescent="0.35">
      <c r="A1684" t="str">
        <f t="shared" si="100"/>
        <v>PAI45747PAIE3202566412000</v>
      </c>
      <c r="B1684" t="s">
        <v>2964</v>
      </c>
      <c r="C1684" s="1">
        <v>45747</v>
      </c>
      <c r="D1684" t="s">
        <v>2965</v>
      </c>
      <c r="E1684" t="str">
        <f t="shared" si="99"/>
        <v>66412000</v>
      </c>
      <c r="F1684" t="s">
        <v>3016</v>
      </c>
      <c r="G1684" t="s">
        <v>336</v>
      </c>
      <c r="H1684" t="s">
        <v>5903</v>
      </c>
      <c r="I1684">
        <v>0</v>
      </c>
      <c r="J1684" t="s">
        <v>343</v>
      </c>
      <c r="K1684">
        <v>26250</v>
      </c>
      <c r="M1684">
        <v>237555</v>
      </c>
    </row>
    <row r="1685" spans="1:13" x14ac:dyDescent="0.35">
      <c r="A1685" t="str">
        <f t="shared" si="100"/>
        <v>PAI45747PAIE3202566412000</v>
      </c>
      <c r="B1685" t="s">
        <v>2964</v>
      </c>
      <c r="C1685" s="1">
        <v>45747</v>
      </c>
      <c r="D1685" t="s">
        <v>2965</v>
      </c>
      <c r="E1685" t="str">
        <f t="shared" si="99"/>
        <v>66412000</v>
      </c>
      <c r="F1685" t="s">
        <v>3016</v>
      </c>
      <c r="G1685" t="s">
        <v>336</v>
      </c>
      <c r="H1685" t="s">
        <v>5915</v>
      </c>
      <c r="I1685">
        <v>0</v>
      </c>
      <c r="J1685" t="s">
        <v>343</v>
      </c>
      <c r="K1685">
        <v>15000</v>
      </c>
      <c r="M1685">
        <v>237555</v>
      </c>
    </row>
    <row r="1686" spans="1:13" x14ac:dyDescent="0.35">
      <c r="A1686" t="str">
        <f t="shared" si="100"/>
        <v>PAI45747PAIE3202566412000</v>
      </c>
      <c r="B1686" t="s">
        <v>2964</v>
      </c>
      <c r="C1686" s="1">
        <v>45747</v>
      </c>
      <c r="D1686" t="s">
        <v>2965</v>
      </c>
      <c r="E1686" t="str">
        <f t="shared" si="99"/>
        <v>66412000</v>
      </c>
      <c r="F1686" t="s">
        <v>3016</v>
      </c>
      <c r="G1686" t="s">
        <v>336</v>
      </c>
      <c r="H1686" t="s">
        <v>5918</v>
      </c>
      <c r="I1686">
        <v>0</v>
      </c>
      <c r="J1686" t="s">
        <v>343</v>
      </c>
      <c r="K1686">
        <v>22500</v>
      </c>
      <c r="M1686">
        <v>237555</v>
      </c>
    </row>
    <row r="1687" spans="1:13" x14ac:dyDescent="0.35">
      <c r="A1687" t="str">
        <f t="shared" si="100"/>
        <v>PAI45747PAIE3202566412000</v>
      </c>
      <c r="B1687" t="s">
        <v>2964</v>
      </c>
      <c r="C1687" s="1">
        <v>45747</v>
      </c>
      <c r="D1687" t="s">
        <v>2965</v>
      </c>
      <c r="E1687" t="str">
        <f t="shared" si="99"/>
        <v>66412000</v>
      </c>
      <c r="F1687" t="s">
        <v>3016</v>
      </c>
      <c r="G1687" t="s">
        <v>336</v>
      </c>
      <c r="H1687" t="s">
        <v>5919</v>
      </c>
      <c r="I1687">
        <v>0</v>
      </c>
      <c r="J1687" t="s">
        <v>343</v>
      </c>
      <c r="K1687">
        <v>7469</v>
      </c>
      <c r="M1687">
        <v>237555</v>
      </c>
    </row>
    <row r="1688" spans="1:13" x14ac:dyDescent="0.35">
      <c r="A1688" t="str">
        <f t="shared" si="100"/>
        <v>PAI45747PAIE3202566412000</v>
      </c>
      <c r="B1688" t="s">
        <v>2964</v>
      </c>
      <c r="C1688" s="1">
        <v>45747</v>
      </c>
      <c r="D1688" t="s">
        <v>2965</v>
      </c>
      <c r="E1688" t="str">
        <f t="shared" si="99"/>
        <v>66412000</v>
      </c>
      <c r="F1688" t="s">
        <v>3016</v>
      </c>
      <c r="G1688" t="s">
        <v>336</v>
      </c>
      <c r="H1688" t="s">
        <v>5920</v>
      </c>
      <c r="I1688">
        <v>0</v>
      </c>
      <c r="J1688" t="s">
        <v>343</v>
      </c>
      <c r="K1688">
        <v>11250</v>
      </c>
      <c r="M1688">
        <v>237555</v>
      </c>
    </row>
    <row r="1689" spans="1:13" x14ac:dyDescent="0.35">
      <c r="A1689" t="str">
        <f t="shared" si="100"/>
        <v>PAI45747PAIE3202566412000</v>
      </c>
      <c r="B1689" t="s">
        <v>2964</v>
      </c>
      <c r="C1689" s="1">
        <v>45747</v>
      </c>
      <c r="D1689" t="s">
        <v>2965</v>
      </c>
      <c r="E1689" t="str">
        <f t="shared" si="99"/>
        <v>66412000</v>
      </c>
      <c r="F1689" t="s">
        <v>3016</v>
      </c>
      <c r="G1689" t="s">
        <v>336</v>
      </c>
      <c r="H1689" t="s">
        <v>5888</v>
      </c>
      <c r="I1689">
        <v>0</v>
      </c>
      <c r="J1689" t="s">
        <v>343</v>
      </c>
      <c r="K1689">
        <v>18750</v>
      </c>
      <c r="M1689">
        <v>237555</v>
      </c>
    </row>
    <row r="1690" spans="1:13" x14ac:dyDescent="0.35">
      <c r="A1690" t="str">
        <f t="shared" si="100"/>
        <v>PAI45747PAIE3202566412000</v>
      </c>
      <c r="B1690" t="s">
        <v>2964</v>
      </c>
      <c r="C1690" s="1">
        <v>45747</v>
      </c>
      <c r="D1690" t="s">
        <v>2965</v>
      </c>
      <c r="E1690" t="str">
        <f t="shared" si="99"/>
        <v>66412000</v>
      </c>
      <c r="F1690" t="s">
        <v>3016</v>
      </c>
      <c r="G1690" t="s">
        <v>336</v>
      </c>
      <c r="H1690" t="s">
        <v>5961</v>
      </c>
      <c r="I1690">
        <v>0</v>
      </c>
      <c r="J1690" t="s">
        <v>343</v>
      </c>
      <c r="K1690">
        <v>26250</v>
      </c>
      <c r="M1690">
        <v>237555</v>
      </c>
    </row>
    <row r="1691" spans="1:13" x14ac:dyDescent="0.35">
      <c r="A1691" t="str">
        <f t="shared" si="100"/>
        <v>PAI45747PAIE3202566412000</v>
      </c>
      <c r="B1691" t="s">
        <v>2964</v>
      </c>
      <c r="C1691" s="1">
        <v>45747</v>
      </c>
      <c r="D1691" t="s">
        <v>2965</v>
      </c>
      <c r="E1691" t="str">
        <f t="shared" si="99"/>
        <v>66412000</v>
      </c>
      <c r="F1691" t="s">
        <v>3016</v>
      </c>
      <c r="G1691" t="s">
        <v>336</v>
      </c>
      <c r="H1691" t="s">
        <v>5921</v>
      </c>
      <c r="I1691">
        <v>0</v>
      </c>
      <c r="J1691" t="s">
        <v>343</v>
      </c>
      <c r="K1691">
        <v>22500</v>
      </c>
      <c r="M1691">
        <v>237555</v>
      </c>
    </row>
    <row r="1692" spans="1:13" x14ac:dyDescent="0.35">
      <c r="A1692" t="str">
        <f t="shared" si="100"/>
        <v>PAI45747PAIE3202566412000</v>
      </c>
      <c r="B1692" t="s">
        <v>2964</v>
      </c>
      <c r="C1692" s="1">
        <v>45747</v>
      </c>
      <c r="D1692" t="s">
        <v>2965</v>
      </c>
      <c r="E1692" t="str">
        <f t="shared" si="99"/>
        <v>66412000</v>
      </c>
      <c r="F1692" t="s">
        <v>3017</v>
      </c>
      <c r="G1692" t="s">
        <v>336</v>
      </c>
      <c r="H1692" t="s">
        <v>5886</v>
      </c>
      <c r="I1692">
        <v>0</v>
      </c>
      <c r="J1692" t="s">
        <v>343</v>
      </c>
      <c r="K1692">
        <v>3750</v>
      </c>
      <c r="M1692">
        <v>15000</v>
      </c>
    </row>
    <row r="1693" spans="1:13" x14ac:dyDescent="0.35">
      <c r="A1693" t="str">
        <f t="shared" si="100"/>
        <v>PAI45747PAIE3202566412000</v>
      </c>
      <c r="B1693" t="s">
        <v>2964</v>
      </c>
      <c r="C1693" s="1">
        <v>45747</v>
      </c>
      <c r="D1693" t="s">
        <v>2965</v>
      </c>
      <c r="E1693" t="str">
        <f t="shared" si="99"/>
        <v>66412000</v>
      </c>
      <c r="F1693" t="s">
        <v>3017</v>
      </c>
      <c r="G1693" t="s">
        <v>336</v>
      </c>
      <c r="H1693" t="s">
        <v>5902</v>
      </c>
      <c r="I1693">
        <v>0</v>
      </c>
      <c r="J1693" t="s">
        <v>343</v>
      </c>
      <c r="K1693">
        <v>3750</v>
      </c>
      <c r="M1693">
        <v>15000</v>
      </c>
    </row>
    <row r="1694" spans="1:13" x14ac:dyDescent="0.35">
      <c r="A1694" t="str">
        <f t="shared" si="100"/>
        <v>PAI45747PAIE3202566412000</v>
      </c>
      <c r="B1694" t="s">
        <v>2964</v>
      </c>
      <c r="C1694" s="1">
        <v>45747</v>
      </c>
      <c r="D1694" t="s">
        <v>2965</v>
      </c>
      <c r="E1694" t="str">
        <f t="shared" si="99"/>
        <v>66412000</v>
      </c>
      <c r="F1694" t="s">
        <v>3017</v>
      </c>
      <c r="G1694" t="s">
        <v>336</v>
      </c>
      <c r="H1694" t="s">
        <v>5912</v>
      </c>
      <c r="I1694">
        <v>0</v>
      </c>
      <c r="J1694" t="s">
        <v>343</v>
      </c>
      <c r="K1694">
        <v>3750</v>
      </c>
      <c r="M1694">
        <v>15000</v>
      </c>
    </row>
    <row r="1695" spans="1:13" x14ac:dyDescent="0.35">
      <c r="A1695" t="str">
        <f t="shared" si="100"/>
        <v>PAI45747PAIE3202566412000</v>
      </c>
      <c r="B1695" t="s">
        <v>2964</v>
      </c>
      <c r="C1695" s="1">
        <v>45747</v>
      </c>
      <c r="D1695" t="s">
        <v>2965</v>
      </c>
      <c r="E1695" t="str">
        <f t="shared" si="99"/>
        <v>66412000</v>
      </c>
      <c r="F1695" t="s">
        <v>3017</v>
      </c>
      <c r="G1695" t="s">
        <v>336</v>
      </c>
      <c r="H1695" t="s">
        <v>5936</v>
      </c>
      <c r="I1695">
        <v>0</v>
      </c>
      <c r="J1695" t="s">
        <v>343</v>
      </c>
      <c r="K1695">
        <v>3750</v>
      </c>
      <c r="M1695">
        <v>15000</v>
      </c>
    </row>
    <row r="1696" spans="1:13" x14ac:dyDescent="0.35">
      <c r="A1696" t="str">
        <f t="shared" si="100"/>
        <v>PAI45747PAIE3202566412000</v>
      </c>
      <c r="B1696" t="s">
        <v>2964</v>
      </c>
      <c r="C1696" s="1">
        <v>45747</v>
      </c>
      <c r="D1696" t="s">
        <v>2965</v>
      </c>
      <c r="E1696" t="str">
        <f t="shared" si="99"/>
        <v>66412000</v>
      </c>
      <c r="F1696" t="s">
        <v>3018</v>
      </c>
      <c r="G1696" t="s">
        <v>336</v>
      </c>
      <c r="H1696" t="s">
        <v>5911</v>
      </c>
      <c r="I1696">
        <v>0</v>
      </c>
      <c r="J1696" t="s">
        <v>343</v>
      </c>
      <c r="K1696">
        <v>52500</v>
      </c>
      <c r="M1696">
        <v>303750</v>
      </c>
    </row>
    <row r="1697" spans="1:13" x14ac:dyDescent="0.35">
      <c r="A1697" t="str">
        <f t="shared" si="100"/>
        <v>PAI45747PAIE3202566412000</v>
      </c>
      <c r="B1697" t="s">
        <v>2964</v>
      </c>
      <c r="C1697" s="1">
        <v>45747</v>
      </c>
      <c r="D1697" t="s">
        <v>2965</v>
      </c>
      <c r="E1697" t="str">
        <f t="shared" si="99"/>
        <v>66412000</v>
      </c>
      <c r="F1697" t="s">
        <v>3018</v>
      </c>
      <c r="G1697" t="s">
        <v>336</v>
      </c>
      <c r="H1697" t="s">
        <v>5917</v>
      </c>
      <c r="I1697">
        <v>0</v>
      </c>
      <c r="J1697" t="s">
        <v>343</v>
      </c>
      <c r="K1697">
        <v>251250</v>
      </c>
      <c r="M1697">
        <v>303750</v>
      </c>
    </row>
    <row r="1698" spans="1:13" x14ac:dyDescent="0.35">
      <c r="A1698" t="str">
        <f t="shared" si="100"/>
        <v>PAI45747PAIE3202566412000</v>
      </c>
      <c r="B1698" t="s">
        <v>2964</v>
      </c>
      <c r="C1698" s="1">
        <v>45747</v>
      </c>
      <c r="D1698" t="s">
        <v>2965</v>
      </c>
      <c r="E1698" t="str">
        <f t="shared" si="99"/>
        <v>66412000</v>
      </c>
      <c r="F1698" t="s">
        <v>3019</v>
      </c>
      <c r="G1698" t="s">
        <v>336</v>
      </c>
      <c r="H1698" t="s">
        <v>5917</v>
      </c>
      <c r="I1698">
        <v>0</v>
      </c>
      <c r="J1698" t="s">
        <v>343</v>
      </c>
      <c r="K1698">
        <v>18750</v>
      </c>
      <c r="M1698">
        <v>18750</v>
      </c>
    </row>
    <row r="1699" spans="1:13" x14ac:dyDescent="0.35">
      <c r="A1699" t="str">
        <f t="shared" si="100"/>
        <v>PAI45747PAIE3202566413000</v>
      </c>
      <c r="B1699" t="s">
        <v>2964</v>
      </c>
      <c r="C1699" s="1">
        <v>45747</v>
      </c>
      <c r="D1699" t="s">
        <v>2965</v>
      </c>
      <c r="E1699" t="str">
        <f t="shared" ref="E1699:E1739" si="101">"66413000"</f>
        <v>66413000</v>
      </c>
      <c r="F1699" t="s">
        <v>3020</v>
      </c>
      <c r="G1699" t="s">
        <v>336</v>
      </c>
      <c r="H1699" t="s">
        <v>5909</v>
      </c>
      <c r="I1699">
        <v>0</v>
      </c>
      <c r="J1699" t="s">
        <v>343</v>
      </c>
      <c r="K1699">
        <v>904528</v>
      </c>
      <c r="M1699">
        <v>11007669</v>
      </c>
    </row>
    <row r="1700" spans="1:13" x14ac:dyDescent="0.35">
      <c r="A1700" t="str">
        <f t="shared" si="100"/>
        <v>PAI45747PAIE3202566413000</v>
      </c>
      <c r="B1700" t="s">
        <v>2964</v>
      </c>
      <c r="C1700" s="1">
        <v>45747</v>
      </c>
      <c r="D1700" t="s">
        <v>2965</v>
      </c>
      <c r="E1700" t="str">
        <f t="shared" si="101"/>
        <v>66413000</v>
      </c>
      <c r="F1700" t="s">
        <v>3020</v>
      </c>
      <c r="G1700" t="s">
        <v>336</v>
      </c>
      <c r="H1700" t="s">
        <v>5886</v>
      </c>
      <c r="I1700">
        <v>0</v>
      </c>
      <c r="J1700" t="s">
        <v>343</v>
      </c>
      <c r="K1700">
        <v>201679</v>
      </c>
      <c r="M1700">
        <v>11007669</v>
      </c>
    </row>
    <row r="1701" spans="1:13" x14ac:dyDescent="0.35">
      <c r="A1701" t="str">
        <f t="shared" si="100"/>
        <v>PAI45747PAIE3202566413000</v>
      </c>
      <c r="B1701" t="s">
        <v>2964</v>
      </c>
      <c r="C1701" s="1">
        <v>45747</v>
      </c>
      <c r="D1701" t="s">
        <v>2965</v>
      </c>
      <c r="E1701" t="str">
        <f t="shared" si="101"/>
        <v>66413000</v>
      </c>
      <c r="F1701" t="s">
        <v>3020</v>
      </c>
      <c r="G1701" t="s">
        <v>336</v>
      </c>
      <c r="H1701" t="s">
        <v>5902</v>
      </c>
      <c r="I1701">
        <v>0</v>
      </c>
      <c r="J1701" t="s">
        <v>343</v>
      </c>
      <c r="K1701">
        <v>2186808</v>
      </c>
      <c r="M1701">
        <v>11007669</v>
      </c>
    </row>
    <row r="1702" spans="1:13" x14ac:dyDescent="0.35">
      <c r="A1702" t="str">
        <f t="shared" si="100"/>
        <v>PAI45747PAIE3202566413000</v>
      </c>
      <c r="B1702" t="s">
        <v>2964</v>
      </c>
      <c r="C1702" s="1">
        <v>45747</v>
      </c>
      <c r="D1702" t="s">
        <v>2965</v>
      </c>
      <c r="E1702" t="str">
        <f t="shared" si="101"/>
        <v>66413000</v>
      </c>
      <c r="F1702" t="s">
        <v>3020</v>
      </c>
      <c r="G1702" t="s">
        <v>336</v>
      </c>
      <c r="H1702" t="s">
        <v>5910</v>
      </c>
      <c r="I1702">
        <v>0</v>
      </c>
      <c r="J1702" t="s">
        <v>343</v>
      </c>
      <c r="K1702">
        <v>182539</v>
      </c>
      <c r="M1702">
        <v>11007669</v>
      </c>
    </row>
    <row r="1703" spans="1:13" x14ac:dyDescent="0.35">
      <c r="A1703" t="str">
        <f t="shared" si="100"/>
        <v>PAI45747PAIE3202566413000</v>
      </c>
      <c r="B1703" t="s">
        <v>2964</v>
      </c>
      <c r="C1703" s="1">
        <v>45747</v>
      </c>
      <c r="D1703" t="s">
        <v>2965</v>
      </c>
      <c r="E1703" t="str">
        <f t="shared" si="101"/>
        <v>66413000</v>
      </c>
      <c r="F1703" t="s">
        <v>3020</v>
      </c>
      <c r="G1703" t="s">
        <v>336</v>
      </c>
      <c r="H1703" t="s">
        <v>5911</v>
      </c>
      <c r="I1703">
        <v>0</v>
      </c>
      <c r="J1703" t="s">
        <v>343</v>
      </c>
      <c r="K1703">
        <v>111034</v>
      </c>
      <c r="M1703">
        <v>11007669</v>
      </c>
    </row>
    <row r="1704" spans="1:13" x14ac:dyDescent="0.35">
      <c r="A1704" t="str">
        <f t="shared" si="100"/>
        <v>PAI45747PAIE3202566413000</v>
      </c>
      <c r="B1704" t="s">
        <v>2964</v>
      </c>
      <c r="C1704" s="1">
        <v>45747</v>
      </c>
      <c r="D1704" t="s">
        <v>2965</v>
      </c>
      <c r="E1704" t="str">
        <f t="shared" si="101"/>
        <v>66413000</v>
      </c>
      <c r="F1704" t="s">
        <v>3020</v>
      </c>
      <c r="G1704" t="s">
        <v>336</v>
      </c>
      <c r="H1704" t="s">
        <v>5912</v>
      </c>
      <c r="I1704">
        <v>0</v>
      </c>
      <c r="J1704" t="s">
        <v>343</v>
      </c>
      <c r="K1704">
        <v>255586</v>
      </c>
      <c r="M1704">
        <v>11007669</v>
      </c>
    </row>
    <row r="1705" spans="1:13" x14ac:dyDescent="0.35">
      <c r="A1705" t="str">
        <f t="shared" si="100"/>
        <v>PAI45747PAIE3202566413000</v>
      </c>
      <c r="B1705" t="s">
        <v>2964</v>
      </c>
      <c r="C1705" s="1">
        <v>45747</v>
      </c>
      <c r="D1705" t="s">
        <v>2965</v>
      </c>
      <c r="E1705" t="str">
        <f t="shared" si="101"/>
        <v>66413000</v>
      </c>
      <c r="F1705" t="s">
        <v>3020</v>
      </c>
      <c r="G1705" t="s">
        <v>336</v>
      </c>
      <c r="H1705" t="s">
        <v>5913</v>
      </c>
      <c r="I1705">
        <v>0</v>
      </c>
      <c r="J1705" t="s">
        <v>343</v>
      </c>
      <c r="K1705">
        <v>442429</v>
      </c>
      <c r="M1705">
        <v>11007669</v>
      </c>
    </row>
    <row r="1706" spans="1:13" x14ac:dyDescent="0.35">
      <c r="A1706" t="str">
        <f t="shared" si="100"/>
        <v>PAI45747PAIE3202566413000</v>
      </c>
      <c r="B1706" t="s">
        <v>2964</v>
      </c>
      <c r="C1706" s="1">
        <v>45747</v>
      </c>
      <c r="D1706" t="s">
        <v>2965</v>
      </c>
      <c r="E1706" t="str">
        <f t="shared" si="101"/>
        <v>66413000</v>
      </c>
      <c r="F1706" t="s">
        <v>3020</v>
      </c>
      <c r="G1706" t="s">
        <v>336</v>
      </c>
      <c r="H1706" t="s">
        <v>5914</v>
      </c>
      <c r="I1706">
        <v>0</v>
      </c>
      <c r="J1706" t="s">
        <v>343</v>
      </c>
      <c r="K1706">
        <v>588283</v>
      </c>
      <c r="M1706">
        <v>11007669</v>
      </c>
    </row>
    <row r="1707" spans="1:13" x14ac:dyDescent="0.35">
      <c r="A1707" t="str">
        <f t="shared" si="100"/>
        <v>PAI45747PAIE3202566413000</v>
      </c>
      <c r="B1707" t="s">
        <v>2964</v>
      </c>
      <c r="C1707" s="1">
        <v>45747</v>
      </c>
      <c r="D1707" t="s">
        <v>2965</v>
      </c>
      <c r="E1707" t="str">
        <f t="shared" si="101"/>
        <v>66413000</v>
      </c>
      <c r="F1707" t="s">
        <v>3020</v>
      </c>
      <c r="G1707" t="s">
        <v>336</v>
      </c>
      <c r="H1707" t="s">
        <v>5935</v>
      </c>
      <c r="I1707">
        <v>0</v>
      </c>
      <c r="J1707" t="s">
        <v>343</v>
      </c>
      <c r="K1707">
        <v>566615</v>
      </c>
      <c r="M1707">
        <v>11007669</v>
      </c>
    </row>
    <row r="1708" spans="1:13" x14ac:dyDescent="0.35">
      <c r="A1708" t="str">
        <f t="shared" si="100"/>
        <v>PAI45747PAIE3202566413000</v>
      </c>
      <c r="B1708" t="s">
        <v>2964</v>
      </c>
      <c r="C1708" s="1">
        <v>45747</v>
      </c>
      <c r="D1708" t="s">
        <v>2965</v>
      </c>
      <c r="E1708" t="str">
        <f t="shared" si="101"/>
        <v>66413000</v>
      </c>
      <c r="F1708" t="s">
        <v>3020</v>
      </c>
      <c r="G1708" t="s">
        <v>336</v>
      </c>
      <c r="H1708" t="s">
        <v>5936</v>
      </c>
      <c r="I1708">
        <v>0</v>
      </c>
      <c r="J1708" t="s">
        <v>343</v>
      </c>
      <c r="K1708">
        <v>406241</v>
      </c>
      <c r="M1708">
        <v>11007669</v>
      </c>
    </row>
    <row r="1709" spans="1:13" x14ac:dyDescent="0.35">
      <c r="A1709" t="str">
        <f t="shared" si="100"/>
        <v>PAI45747PAIE3202566413000</v>
      </c>
      <c r="B1709" t="s">
        <v>2964</v>
      </c>
      <c r="C1709" s="1">
        <v>45747</v>
      </c>
      <c r="D1709" t="s">
        <v>2965</v>
      </c>
      <c r="E1709" t="str">
        <f t="shared" si="101"/>
        <v>66413000</v>
      </c>
      <c r="F1709" t="s">
        <v>3020</v>
      </c>
      <c r="G1709" t="s">
        <v>336</v>
      </c>
      <c r="H1709" t="s">
        <v>5903</v>
      </c>
      <c r="I1709">
        <v>0</v>
      </c>
      <c r="J1709" t="s">
        <v>343</v>
      </c>
      <c r="K1709">
        <v>63918</v>
      </c>
      <c r="M1709">
        <v>11007669</v>
      </c>
    </row>
    <row r="1710" spans="1:13" x14ac:dyDescent="0.35">
      <c r="A1710" t="str">
        <f t="shared" si="100"/>
        <v>PAI45747PAIE3202566413000</v>
      </c>
      <c r="B1710" t="s">
        <v>2964</v>
      </c>
      <c r="C1710" s="1">
        <v>45747</v>
      </c>
      <c r="D1710" t="s">
        <v>2965</v>
      </c>
      <c r="E1710" t="str">
        <f t="shared" si="101"/>
        <v>66413000</v>
      </c>
      <c r="F1710" t="s">
        <v>3020</v>
      </c>
      <c r="G1710" t="s">
        <v>336</v>
      </c>
      <c r="H1710" t="s">
        <v>5915</v>
      </c>
      <c r="I1710">
        <v>0</v>
      </c>
      <c r="J1710" t="s">
        <v>343</v>
      </c>
      <c r="K1710">
        <v>266157</v>
      </c>
      <c r="M1710">
        <v>11007669</v>
      </c>
    </row>
    <row r="1711" spans="1:13" x14ac:dyDescent="0.35">
      <c r="A1711" t="str">
        <f t="shared" si="100"/>
        <v>PAI45747PAIE3202566413000</v>
      </c>
      <c r="B1711" t="s">
        <v>2964</v>
      </c>
      <c r="C1711" s="1">
        <v>45747</v>
      </c>
      <c r="D1711" t="s">
        <v>2965</v>
      </c>
      <c r="E1711" t="str">
        <f t="shared" si="101"/>
        <v>66413000</v>
      </c>
      <c r="F1711" t="s">
        <v>3020</v>
      </c>
      <c r="G1711" t="s">
        <v>336</v>
      </c>
      <c r="H1711" t="s">
        <v>5917</v>
      </c>
      <c r="I1711">
        <v>0</v>
      </c>
      <c r="J1711" t="s">
        <v>343</v>
      </c>
      <c r="K1711">
        <v>207092</v>
      </c>
      <c r="M1711">
        <v>11007669</v>
      </c>
    </row>
    <row r="1712" spans="1:13" x14ac:dyDescent="0.35">
      <c r="A1712" t="str">
        <f t="shared" si="100"/>
        <v>PAI45747PAIE3202566413000</v>
      </c>
      <c r="B1712" t="s">
        <v>2964</v>
      </c>
      <c r="C1712" s="1">
        <v>45747</v>
      </c>
      <c r="D1712" t="s">
        <v>2965</v>
      </c>
      <c r="E1712" t="str">
        <f t="shared" si="101"/>
        <v>66413000</v>
      </c>
      <c r="F1712" t="s">
        <v>3020</v>
      </c>
      <c r="G1712" t="s">
        <v>336</v>
      </c>
      <c r="H1712" t="s">
        <v>5918</v>
      </c>
      <c r="I1712">
        <v>0</v>
      </c>
      <c r="J1712" t="s">
        <v>343</v>
      </c>
      <c r="K1712">
        <v>890770</v>
      </c>
      <c r="M1712">
        <v>11007669</v>
      </c>
    </row>
    <row r="1713" spans="1:13" x14ac:dyDescent="0.35">
      <c r="A1713" t="str">
        <f t="shared" si="100"/>
        <v>PAI45747PAIE3202566413000</v>
      </c>
      <c r="B1713" t="s">
        <v>2964</v>
      </c>
      <c r="C1713" s="1">
        <v>45747</v>
      </c>
      <c r="D1713" t="s">
        <v>2965</v>
      </c>
      <c r="E1713" t="str">
        <f t="shared" si="101"/>
        <v>66413000</v>
      </c>
      <c r="F1713" t="s">
        <v>3020</v>
      </c>
      <c r="G1713" t="s">
        <v>336</v>
      </c>
      <c r="H1713" t="s">
        <v>5919</v>
      </c>
      <c r="I1713">
        <v>0</v>
      </c>
      <c r="J1713" t="s">
        <v>343</v>
      </c>
      <c r="K1713">
        <v>271895</v>
      </c>
      <c r="M1713">
        <v>11007669</v>
      </c>
    </row>
    <row r="1714" spans="1:13" x14ac:dyDescent="0.35">
      <c r="A1714" t="str">
        <f t="shared" si="100"/>
        <v>PAI45747PAIE3202566413000</v>
      </c>
      <c r="B1714" t="s">
        <v>2964</v>
      </c>
      <c r="C1714" s="1">
        <v>45747</v>
      </c>
      <c r="D1714" t="s">
        <v>2965</v>
      </c>
      <c r="E1714" t="str">
        <f t="shared" si="101"/>
        <v>66413000</v>
      </c>
      <c r="F1714" t="s">
        <v>3020</v>
      </c>
      <c r="G1714" t="s">
        <v>336</v>
      </c>
      <c r="H1714" t="s">
        <v>5920</v>
      </c>
      <c r="I1714">
        <v>0</v>
      </c>
      <c r="J1714" t="s">
        <v>343</v>
      </c>
      <c r="K1714">
        <v>346570</v>
      </c>
      <c r="M1714">
        <v>11007669</v>
      </c>
    </row>
    <row r="1715" spans="1:13" x14ac:dyDescent="0.35">
      <c r="A1715" t="str">
        <f t="shared" si="100"/>
        <v>PAI45747PAIE3202566413000</v>
      </c>
      <c r="B1715" t="s">
        <v>2964</v>
      </c>
      <c r="C1715" s="1">
        <v>45747</v>
      </c>
      <c r="D1715" t="s">
        <v>2965</v>
      </c>
      <c r="E1715" t="str">
        <f t="shared" si="101"/>
        <v>66413000</v>
      </c>
      <c r="F1715" t="s">
        <v>3020</v>
      </c>
      <c r="G1715" t="s">
        <v>336</v>
      </c>
      <c r="H1715" t="s">
        <v>5888</v>
      </c>
      <c r="I1715">
        <v>0</v>
      </c>
      <c r="J1715" t="s">
        <v>343</v>
      </c>
      <c r="K1715">
        <v>391381</v>
      </c>
      <c r="M1715">
        <v>11007669</v>
      </c>
    </row>
    <row r="1716" spans="1:13" x14ac:dyDescent="0.35">
      <c r="A1716" t="str">
        <f t="shared" si="100"/>
        <v>PAI45747PAIE3202566413000</v>
      </c>
      <c r="B1716" t="s">
        <v>2964</v>
      </c>
      <c r="C1716" s="1">
        <v>45747</v>
      </c>
      <c r="D1716" t="s">
        <v>2965</v>
      </c>
      <c r="E1716" t="str">
        <f t="shared" si="101"/>
        <v>66413000</v>
      </c>
      <c r="F1716" t="s">
        <v>3020</v>
      </c>
      <c r="G1716" t="s">
        <v>336</v>
      </c>
      <c r="H1716" t="s">
        <v>5961</v>
      </c>
      <c r="I1716">
        <v>0</v>
      </c>
      <c r="J1716" t="s">
        <v>343</v>
      </c>
      <c r="K1716">
        <v>817118</v>
      </c>
      <c r="M1716">
        <v>11007669</v>
      </c>
    </row>
    <row r="1717" spans="1:13" x14ac:dyDescent="0.35">
      <c r="A1717" t="str">
        <f t="shared" si="100"/>
        <v>PAI45747PAIE3202566413000</v>
      </c>
      <c r="B1717" t="s">
        <v>2964</v>
      </c>
      <c r="C1717" s="1">
        <v>45747</v>
      </c>
      <c r="D1717" t="s">
        <v>2965</v>
      </c>
      <c r="E1717" t="str">
        <f t="shared" si="101"/>
        <v>66413000</v>
      </c>
      <c r="F1717" t="s">
        <v>3020</v>
      </c>
      <c r="G1717" t="s">
        <v>336</v>
      </c>
      <c r="H1717" t="s">
        <v>5921</v>
      </c>
      <c r="I1717">
        <v>0</v>
      </c>
      <c r="J1717" t="s">
        <v>343</v>
      </c>
      <c r="K1717">
        <v>1555937</v>
      </c>
      <c r="M1717">
        <v>11007669</v>
      </c>
    </row>
    <row r="1718" spans="1:13" x14ac:dyDescent="0.35">
      <c r="A1718" t="str">
        <f t="shared" si="100"/>
        <v>PAI45747PAIE3202566413000</v>
      </c>
      <c r="B1718" t="s">
        <v>2964</v>
      </c>
      <c r="C1718" s="1">
        <v>45747</v>
      </c>
      <c r="D1718" t="s">
        <v>2965</v>
      </c>
      <c r="E1718" t="str">
        <f t="shared" si="101"/>
        <v>66413000</v>
      </c>
      <c r="F1718" t="s">
        <v>3020</v>
      </c>
      <c r="G1718" t="s">
        <v>336</v>
      </c>
      <c r="H1718" t="s">
        <v>5922</v>
      </c>
      <c r="I1718">
        <v>0</v>
      </c>
      <c r="J1718" t="s">
        <v>343</v>
      </c>
      <c r="K1718">
        <v>343309</v>
      </c>
      <c r="M1718">
        <v>11007669</v>
      </c>
    </row>
    <row r="1719" spans="1:13" x14ac:dyDescent="0.35">
      <c r="A1719" t="str">
        <f t="shared" si="100"/>
        <v>PAI45747PAIE3202566413000</v>
      </c>
      <c r="B1719" t="s">
        <v>2964</v>
      </c>
      <c r="C1719" s="1">
        <v>45747</v>
      </c>
      <c r="D1719" t="s">
        <v>2965</v>
      </c>
      <c r="E1719" t="str">
        <f t="shared" si="101"/>
        <v>66413000</v>
      </c>
      <c r="F1719" t="s">
        <v>3020</v>
      </c>
      <c r="G1719" t="s">
        <v>336</v>
      </c>
      <c r="H1719" t="s">
        <v>5942</v>
      </c>
      <c r="I1719">
        <v>0</v>
      </c>
      <c r="J1719" t="s">
        <v>343</v>
      </c>
      <c r="K1719">
        <v>7780</v>
      </c>
      <c r="M1719">
        <v>11007669</v>
      </c>
    </row>
    <row r="1720" spans="1:13" x14ac:dyDescent="0.35">
      <c r="A1720" t="str">
        <f t="shared" si="100"/>
        <v>PAI45747PAIE3202566413000</v>
      </c>
      <c r="B1720" t="s">
        <v>2964</v>
      </c>
      <c r="C1720" s="1">
        <v>45747</v>
      </c>
      <c r="D1720" t="s">
        <v>2965</v>
      </c>
      <c r="E1720" t="str">
        <f t="shared" si="101"/>
        <v>66413000</v>
      </c>
      <c r="F1720" t="s">
        <v>3021</v>
      </c>
      <c r="G1720" t="s">
        <v>336</v>
      </c>
      <c r="H1720" t="s">
        <v>5902</v>
      </c>
      <c r="I1720">
        <v>0</v>
      </c>
      <c r="J1720" t="s">
        <v>343</v>
      </c>
      <c r="K1720">
        <v>163503</v>
      </c>
      <c r="M1720">
        <v>1115401</v>
      </c>
    </row>
    <row r="1721" spans="1:13" x14ac:dyDescent="0.35">
      <c r="A1721" t="str">
        <f t="shared" si="100"/>
        <v>PAI45747PAIE3202566413000</v>
      </c>
      <c r="B1721" t="s">
        <v>2964</v>
      </c>
      <c r="C1721" s="1">
        <v>45747</v>
      </c>
      <c r="D1721" t="s">
        <v>2965</v>
      </c>
      <c r="E1721" t="str">
        <f t="shared" si="101"/>
        <v>66413000</v>
      </c>
      <c r="F1721" t="s">
        <v>3021</v>
      </c>
      <c r="G1721" t="s">
        <v>336</v>
      </c>
      <c r="H1721" t="s">
        <v>5911</v>
      </c>
      <c r="I1721">
        <v>0</v>
      </c>
      <c r="J1721" t="s">
        <v>343</v>
      </c>
      <c r="K1721">
        <v>54212</v>
      </c>
      <c r="M1721">
        <v>1115401</v>
      </c>
    </row>
    <row r="1722" spans="1:13" x14ac:dyDescent="0.35">
      <c r="A1722" t="str">
        <f t="shared" si="100"/>
        <v>PAI45747PAIE3202566413000</v>
      </c>
      <c r="B1722" t="s">
        <v>2964</v>
      </c>
      <c r="C1722" s="1">
        <v>45747</v>
      </c>
      <c r="D1722" t="s">
        <v>2965</v>
      </c>
      <c r="E1722" t="str">
        <f t="shared" si="101"/>
        <v>66413000</v>
      </c>
      <c r="F1722" t="s">
        <v>3021</v>
      </c>
      <c r="G1722" t="s">
        <v>336</v>
      </c>
      <c r="H1722" t="s">
        <v>5913</v>
      </c>
      <c r="I1722">
        <v>0</v>
      </c>
      <c r="J1722" t="s">
        <v>343</v>
      </c>
      <c r="K1722">
        <v>69106</v>
      </c>
      <c r="M1722">
        <v>1115401</v>
      </c>
    </row>
    <row r="1723" spans="1:13" x14ac:dyDescent="0.35">
      <c r="A1723" t="str">
        <f t="shared" si="100"/>
        <v>PAI45747PAIE3202566413000</v>
      </c>
      <c r="B1723" t="s">
        <v>2964</v>
      </c>
      <c r="C1723" s="1">
        <v>45747</v>
      </c>
      <c r="D1723" t="s">
        <v>2965</v>
      </c>
      <c r="E1723" t="str">
        <f t="shared" si="101"/>
        <v>66413000</v>
      </c>
      <c r="F1723" t="s">
        <v>3021</v>
      </c>
      <c r="G1723" t="s">
        <v>336</v>
      </c>
      <c r="H1723" t="s">
        <v>5914</v>
      </c>
      <c r="I1723">
        <v>0</v>
      </c>
      <c r="J1723" t="s">
        <v>343</v>
      </c>
      <c r="K1723">
        <v>125212</v>
      </c>
      <c r="M1723">
        <v>1115401</v>
      </c>
    </row>
    <row r="1724" spans="1:13" x14ac:dyDescent="0.35">
      <c r="A1724" t="str">
        <f t="shared" si="100"/>
        <v>PAI45747PAIE3202566413000</v>
      </c>
      <c r="B1724" t="s">
        <v>2964</v>
      </c>
      <c r="C1724" s="1">
        <v>45747</v>
      </c>
      <c r="D1724" t="s">
        <v>2965</v>
      </c>
      <c r="E1724" t="str">
        <f t="shared" si="101"/>
        <v>66413000</v>
      </c>
      <c r="F1724" t="s">
        <v>3021</v>
      </c>
      <c r="G1724" t="s">
        <v>336</v>
      </c>
      <c r="H1724" t="s">
        <v>5936</v>
      </c>
      <c r="I1724">
        <v>0</v>
      </c>
      <c r="J1724" t="s">
        <v>343</v>
      </c>
      <c r="K1724">
        <v>69967</v>
      </c>
      <c r="M1724">
        <v>1115401</v>
      </c>
    </row>
    <row r="1725" spans="1:13" x14ac:dyDescent="0.35">
      <c r="A1725" t="str">
        <f t="shared" si="100"/>
        <v>PAI45747PAIE3202566413000</v>
      </c>
      <c r="B1725" t="s">
        <v>2964</v>
      </c>
      <c r="C1725" s="1">
        <v>45747</v>
      </c>
      <c r="D1725" t="s">
        <v>2965</v>
      </c>
      <c r="E1725" t="str">
        <f t="shared" si="101"/>
        <v>66413000</v>
      </c>
      <c r="F1725" t="s">
        <v>3021</v>
      </c>
      <c r="G1725" t="s">
        <v>336</v>
      </c>
      <c r="H1725" t="s">
        <v>5903</v>
      </c>
      <c r="I1725">
        <v>0</v>
      </c>
      <c r="J1725" t="s">
        <v>343</v>
      </c>
      <c r="K1725">
        <v>96089</v>
      </c>
      <c r="M1725">
        <v>1115401</v>
      </c>
    </row>
    <row r="1726" spans="1:13" x14ac:dyDescent="0.35">
      <c r="A1726" t="str">
        <f t="shared" si="100"/>
        <v>PAI45747PAIE3202566413000</v>
      </c>
      <c r="B1726" t="s">
        <v>2964</v>
      </c>
      <c r="C1726" s="1">
        <v>45747</v>
      </c>
      <c r="D1726" t="s">
        <v>2965</v>
      </c>
      <c r="E1726" t="str">
        <f t="shared" si="101"/>
        <v>66413000</v>
      </c>
      <c r="F1726" t="s">
        <v>3021</v>
      </c>
      <c r="G1726" t="s">
        <v>336</v>
      </c>
      <c r="H1726" t="s">
        <v>5915</v>
      </c>
      <c r="I1726">
        <v>0</v>
      </c>
      <c r="J1726" t="s">
        <v>343</v>
      </c>
      <c r="K1726">
        <v>103775</v>
      </c>
      <c r="M1726">
        <v>1115401</v>
      </c>
    </row>
    <row r="1727" spans="1:13" x14ac:dyDescent="0.35">
      <c r="A1727" t="str">
        <f t="shared" si="100"/>
        <v>PAI45747PAIE3202566413000</v>
      </c>
      <c r="B1727" t="s">
        <v>2964</v>
      </c>
      <c r="C1727" s="1">
        <v>45747</v>
      </c>
      <c r="D1727" t="s">
        <v>2965</v>
      </c>
      <c r="E1727" t="str">
        <f t="shared" si="101"/>
        <v>66413000</v>
      </c>
      <c r="F1727" t="s">
        <v>3021</v>
      </c>
      <c r="G1727" t="s">
        <v>336</v>
      </c>
      <c r="H1727" t="s">
        <v>5918</v>
      </c>
      <c r="I1727">
        <v>0</v>
      </c>
      <c r="J1727" t="s">
        <v>343</v>
      </c>
      <c r="K1727">
        <v>74066</v>
      </c>
      <c r="M1727">
        <v>1115401</v>
      </c>
    </row>
    <row r="1728" spans="1:13" x14ac:dyDescent="0.35">
      <c r="A1728" t="str">
        <f t="shared" si="100"/>
        <v>PAI45747PAIE3202566413000</v>
      </c>
      <c r="B1728" t="s">
        <v>2964</v>
      </c>
      <c r="C1728" s="1">
        <v>45747</v>
      </c>
      <c r="D1728" t="s">
        <v>2965</v>
      </c>
      <c r="E1728" t="str">
        <f t="shared" si="101"/>
        <v>66413000</v>
      </c>
      <c r="F1728" t="s">
        <v>3021</v>
      </c>
      <c r="G1728" t="s">
        <v>336</v>
      </c>
      <c r="H1728" t="s">
        <v>5919</v>
      </c>
      <c r="I1728">
        <v>0</v>
      </c>
      <c r="J1728" t="s">
        <v>343</v>
      </c>
      <c r="K1728">
        <v>17415</v>
      </c>
      <c r="M1728">
        <v>1115401</v>
      </c>
    </row>
    <row r="1729" spans="1:13" x14ac:dyDescent="0.35">
      <c r="A1729" t="str">
        <f t="shared" si="100"/>
        <v>PAI45747PAIE3202566413000</v>
      </c>
      <c r="B1729" t="s">
        <v>2964</v>
      </c>
      <c r="C1729" s="1">
        <v>45747</v>
      </c>
      <c r="D1729" t="s">
        <v>2965</v>
      </c>
      <c r="E1729" t="str">
        <f t="shared" si="101"/>
        <v>66413000</v>
      </c>
      <c r="F1729" t="s">
        <v>3021</v>
      </c>
      <c r="G1729" t="s">
        <v>336</v>
      </c>
      <c r="H1729" t="s">
        <v>5920</v>
      </c>
      <c r="I1729">
        <v>0</v>
      </c>
      <c r="J1729" t="s">
        <v>343</v>
      </c>
      <c r="K1729">
        <v>40553</v>
      </c>
      <c r="M1729">
        <v>1115401</v>
      </c>
    </row>
    <row r="1730" spans="1:13" x14ac:dyDescent="0.35">
      <c r="A1730" t="str">
        <f t="shared" si="100"/>
        <v>PAI45747PAIE3202566413000</v>
      </c>
      <c r="B1730" t="s">
        <v>2964</v>
      </c>
      <c r="C1730" s="1">
        <v>45747</v>
      </c>
      <c r="D1730" t="s">
        <v>2965</v>
      </c>
      <c r="E1730" t="str">
        <f t="shared" si="101"/>
        <v>66413000</v>
      </c>
      <c r="F1730" t="s">
        <v>3021</v>
      </c>
      <c r="G1730" t="s">
        <v>336</v>
      </c>
      <c r="H1730" t="s">
        <v>5888</v>
      </c>
      <c r="I1730">
        <v>0</v>
      </c>
      <c r="J1730" t="s">
        <v>343</v>
      </c>
      <c r="K1730">
        <v>51834</v>
      </c>
      <c r="M1730">
        <v>1115401</v>
      </c>
    </row>
    <row r="1731" spans="1:13" x14ac:dyDescent="0.35">
      <c r="A1731" t="str">
        <f t="shared" ref="A1731:A1794" si="102">CONCATENATE(B1731,C1731,D1731,E1731)</f>
        <v>PAI45747PAIE3202566413000</v>
      </c>
      <c r="B1731" t="s">
        <v>2964</v>
      </c>
      <c r="C1731" s="1">
        <v>45747</v>
      </c>
      <c r="D1731" t="s">
        <v>2965</v>
      </c>
      <c r="E1731" t="str">
        <f t="shared" si="101"/>
        <v>66413000</v>
      </c>
      <c r="F1731" t="s">
        <v>3021</v>
      </c>
      <c r="G1731" t="s">
        <v>336</v>
      </c>
      <c r="H1731" t="s">
        <v>5961</v>
      </c>
      <c r="I1731">
        <v>0</v>
      </c>
      <c r="J1731" t="s">
        <v>343</v>
      </c>
      <c r="K1731">
        <v>147781</v>
      </c>
      <c r="M1731">
        <v>1115401</v>
      </c>
    </row>
    <row r="1732" spans="1:13" x14ac:dyDescent="0.35">
      <c r="A1732" t="str">
        <f t="shared" si="102"/>
        <v>PAI45747PAIE3202566413000</v>
      </c>
      <c r="B1732" t="s">
        <v>2964</v>
      </c>
      <c r="C1732" s="1">
        <v>45747</v>
      </c>
      <c r="D1732" t="s">
        <v>2965</v>
      </c>
      <c r="E1732" t="str">
        <f t="shared" si="101"/>
        <v>66413000</v>
      </c>
      <c r="F1732" t="s">
        <v>3021</v>
      </c>
      <c r="G1732" t="s">
        <v>336</v>
      </c>
      <c r="H1732" t="s">
        <v>5921</v>
      </c>
      <c r="I1732">
        <v>0</v>
      </c>
      <c r="J1732" t="s">
        <v>343</v>
      </c>
      <c r="K1732">
        <v>101888</v>
      </c>
      <c r="M1732">
        <v>1115401</v>
      </c>
    </row>
    <row r="1733" spans="1:13" x14ac:dyDescent="0.35">
      <c r="A1733" t="str">
        <f t="shared" si="102"/>
        <v>PAI45747PAIE3202566413000</v>
      </c>
      <c r="B1733" t="s">
        <v>2964</v>
      </c>
      <c r="C1733" s="1">
        <v>45747</v>
      </c>
      <c r="D1733" t="s">
        <v>2965</v>
      </c>
      <c r="E1733" t="str">
        <f t="shared" si="101"/>
        <v>66413000</v>
      </c>
      <c r="F1733" t="s">
        <v>3022</v>
      </c>
      <c r="G1733" t="s">
        <v>336</v>
      </c>
      <c r="H1733" t="s">
        <v>5886</v>
      </c>
      <c r="I1733">
        <v>0</v>
      </c>
      <c r="J1733" t="s">
        <v>343</v>
      </c>
      <c r="K1733">
        <v>259875</v>
      </c>
      <c r="M1733">
        <v>1039500</v>
      </c>
    </row>
    <row r="1734" spans="1:13" x14ac:dyDescent="0.35">
      <c r="A1734" t="str">
        <f t="shared" si="102"/>
        <v>PAI45747PAIE3202566413000</v>
      </c>
      <c r="B1734" t="s">
        <v>2964</v>
      </c>
      <c r="C1734" s="1">
        <v>45747</v>
      </c>
      <c r="D1734" t="s">
        <v>2965</v>
      </c>
      <c r="E1734" t="str">
        <f t="shared" si="101"/>
        <v>66413000</v>
      </c>
      <c r="F1734" t="s">
        <v>3022</v>
      </c>
      <c r="G1734" t="s">
        <v>336</v>
      </c>
      <c r="H1734" t="s">
        <v>5902</v>
      </c>
      <c r="I1734">
        <v>0</v>
      </c>
      <c r="J1734" t="s">
        <v>343</v>
      </c>
      <c r="K1734">
        <v>259875</v>
      </c>
      <c r="M1734">
        <v>1039500</v>
      </c>
    </row>
    <row r="1735" spans="1:13" x14ac:dyDescent="0.35">
      <c r="A1735" t="str">
        <f t="shared" si="102"/>
        <v>PAI45747PAIE3202566413000</v>
      </c>
      <c r="B1735" t="s">
        <v>2964</v>
      </c>
      <c r="C1735" s="1">
        <v>45747</v>
      </c>
      <c r="D1735" t="s">
        <v>2965</v>
      </c>
      <c r="E1735" t="str">
        <f t="shared" si="101"/>
        <v>66413000</v>
      </c>
      <c r="F1735" t="s">
        <v>3022</v>
      </c>
      <c r="G1735" t="s">
        <v>336</v>
      </c>
      <c r="H1735" t="s">
        <v>5912</v>
      </c>
      <c r="I1735">
        <v>0</v>
      </c>
      <c r="J1735" t="s">
        <v>343</v>
      </c>
      <c r="K1735">
        <v>259875</v>
      </c>
      <c r="M1735">
        <v>1039500</v>
      </c>
    </row>
    <row r="1736" spans="1:13" x14ac:dyDescent="0.35">
      <c r="A1736" t="str">
        <f t="shared" si="102"/>
        <v>PAI45747PAIE3202566413000</v>
      </c>
      <c r="B1736" t="s">
        <v>2964</v>
      </c>
      <c r="C1736" s="1">
        <v>45747</v>
      </c>
      <c r="D1736" t="s">
        <v>2965</v>
      </c>
      <c r="E1736" t="str">
        <f t="shared" si="101"/>
        <v>66413000</v>
      </c>
      <c r="F1736" t="s">
        <v>3022</v>
      </c>
      <c r="G1736" t="s">
        <v>336</v>
      </c>
      <c r="H1736" t="s">
        <v>5936</v>
      </c>
      <c r="I1736">
        <v>0</v>
      </c>
      <c r="J1736" t="s">
        <v>343</v>
      </c>
      <c r="K1736">
        <v>259875</v>
      </c>
      <c r="M1736">
        <v>1039500</v>
      </c>
    </row>
    <row r="1737" spans="1:13" x14ac:dyDescent="0.35">
      <c r="A1737" t="str">
        <f t="shared" si="102"/>
        <v>PAI45747PAIE3202566413000</v>
      </c>
      <c r="B1737" t="s">
        <v>2964</v>
      </c>
      <c r="C1737" s="1">
        <v>45747</v>
      </c>
      <c r="D1737" t="s">
        <v>2965</v>
      </c>
      <c r="E1737" t="str">
        <f t="shared" si="101"/>
        <v>66413000</v>
      </c>
      <c r="F1737" t="s">
        <v>3023</v>
      </c>
      <c r="G1737" t="s">
        <v>336</v>
      </c>
      <c r="H1737" t="s">
        <v>5911</v>
      </c>
      <c r="I1737">
        <v>0</v>
      </c>
      <c r="J1737" t="s">
        <v>343</v>
      </c>
      <c r="K1737">
        <v>291575</v>
      </c>
      <c r="M1737">
        <v>1987117</v>
      </c>
    </row>
    <row r="1738" spans="1:13" x14ac:dyDescent="0.35">
      <c r="A1738" t="str">
        <f t="shared" si="102"/>
        <v>PAI45747PAIE3202566413000</v>
      </c>
      <c r="B1738" t="s">
        <v>2964</v>
      </c>
      <c r="C1738" s="1">
        <v>45747</v>
      </c>
      <c r="D1738" t="s">
        <v>2965</v>
      </c>
      <c r="E1738" t="str">
        <f t="shared" si="101"/>
        <v>66413000</v>
      </c>
      <c r="F1738" t="s">
        <v>3023</v>
      </c>
      <c r="G1738" t="s">
        <v>336</v>
      </c>
      <c r="H1738" t="s">
        <v>5917</v>
      </c>
      <c r="I1738">
        <v>0</v>
      </c>
      <c r="J1738" t="s">
        <v>343</v>
      </c>
      <c r="K1738">
        <v>1695542</v>
      </c>
      <c r="M1738">
        <v>1987117</v>
      </c>
    </row>
    <row r="1739" spans="1:13" x14ac:dyDescent="0.35">
      <c r="A1739" t="str">
        <f t="shared" si="102"/>
        <v>PAI45747PAIE3202566413000</v>
      </c>
      <c r="B1739" t="s">
        <v>2964</v>
      </c>
      <c r="C1739" s="1">
        <v>45747</v>
      </c>
      <c r="D1739" t="s">
        <v>2965</v>
      </c>
      <c r="E1739" t="str">
        <f t="shared" si="101"/>
        <v>66413000</v>
      </c>
      <c r="F1739" t="s">
        <v>3024</v>
      </c>
      <c r="G1739" t="s">
        <v>336</v>
      </c>
      <c r="H1739" t="s">
        <v>5917</v>
      </c>
      <c r="I1739">
        <v>0</v>
      </c>
      <c r="J1739" t="s">
        <v>343</v>
      </c>
      <c r="K1739">
        <v>122924</v>
      </c>
      <c r="M1739">
        <v>122924</v>
      </c>
    </row>
    <row r="1740" spans="1:13" x14ac:dyDescent="0.35">
      <c r="A1740" t="str">
        <f t="shared" si="102"/>
        <v>PAIAP45717566182000</v>
      </c>
      <c r="B1740" t="s">
        <v>3025</v>
      </c>
      <c r="C1740" s="1">
        <v>45717</v>
      </c>
      <c r="D1740" t="str">
        <f t="shared" ref="D1740:D1747" si="103">"5"</f>
        <v>5</v>
      </c>
      <c r="E1740" t="str">
        <f t="shared" ref="E1740:E1767" si="104">"66182000"</f>
        <v>66182000</v>
      </c>
      <c r="F1740" t="s">
        <v>3027</v>
      </c>
      <c r="G1740" t="s">
        <v>336</v>
      </c>
      <c r="H1740" t="s">
        <v>5911</v>
      </c>
      <c r="I1740">
        <v>0</v>
      </c>
      <c r="J1740" t="s">
        <v>343</v>
      </c>
      <c r="K1740">
        <v>-111185</v>
      </c>
      <c r="M1740">
        <v>-7132680</v>
      </c>
    </row>
    <row r="1741" spans="1:13" x14ac:dyDescent="0.35">
      <c r="A1741" t="str">
        <f t="shared" si="102"/>
        <v>PAIAP45717566182000</v>
      </c>
      <c r="B1741" t="s">
        <v>3025</v>
      </c>
      <c r="C1741" s="1">
        <v>45717</v>
      </c>
      <c r="D1741" t="str">
        <f t="shared" si="103"/>
        <v>5</v>
      </c>
      <c r="E1741" t="str">
        <f t="shared" si="104"/>
        <v>66182000</v>
      </c>
      <c r="F1741" t="s">
        <v>3027</v>
      </c>
      <c r="G1741" t="s">
        <v>336</v>
      </c>
      <c r="H1741" t="s">
        <v>5918</v>
      </c>
      <c r="I1741">
        <v>0</v>
      </c>
      <c r="J1741" t="s">
        <v>343</v>
      </c>
      <c r="K1741">
        <v>-1769115</v>
      </c>
      <c r="M1741">
        <v>-7132680</v>
      </c>
    </row>
    <row r="1742" spans="1:13" x14ac:dyDescent="0.35">
      <c r="A1742" t="str">
        <f t="shared" si="102"/>
        <v>PAIAP45717566182000</v>
      </c>
      <c r="B1742" t="s">
        <v>3025</v>
      </c>
      <c r="C1742" s="1">
        <v>45717</v>
      </c>
      <c r="D1742" t="str">
        <f t="shared" si="103"/>
        <v>5</v>
      </c>
      <c r="E1742" t="str">
        <f t="shared" si="104"/>
        <v>66182000</v>
      </c>
      <c r="F1742" t="s">
        <v>3027</v>
      </c>
      <c r="G1742" t="s">
        <v>336</v>
      </c>
      <c r="H1742" t="s">
        <v>5919</v>
      </c>
      <c r="I1742">
        <v>0</v>
      </c>
      <c r="J1742" t="s">
        <v>343</v>
      </c>
      <c r="K1742">
        <v>-554095</v>
      </c>
      <c r="M1742">
        <v>-7132680</v>
      </c>
    </row>
    <row r="1743" spans="1:13" x14ac:dyDescent="0.35">
      <c r="A1743" t="str">
        <f t="shared" si="102"/>
        <v>PAIAP45717566182000</v>
      </c>
      <c r="B1743" t="s">
        <v>3025</v>
      </c>
      <c r="C1743" s="1">
        <v>45717</v>
      </c>
      <c r="D1743" t="str">
        <f t="shared" si="103"/>
        <v>5</v>
      </c>
      <c r="E1743" t="str">
        <f t="shared" si="104"/>
        <v>66182000</v>
      </c>
      <c r="F1743" t="s">
        <v>3027</v>
      </c>
      <c r="G1743" t="s">
        <v>336</v>
      </c>
      <c r="H1743" t="s">
        <v>5920</v>
      </c>
      <c r="I1743">
        <v>0</v>
      </c>
      <c r="J1743" t="s">
        <v>343</v>
      </c>
      <c r="K1743">
        <v>-828850</v>
      </c>
      <c r="M1743">
        <v>-7132680</v>
      </c>
    </row>
    <row r="1744" spans="1:13" x14ac:dyDescent="0.35">
      <c r="A1744" t="str">
        <f t="shared" si="102"/>
        <v>PAIAP45717566182000</v>
      </c>
      <c r="B1744" t="s">
        <v>3025</v>
      </c>
      <c r="C1744" s="1">
        <v>45717</v>
      </c>
      <c r="D1744" t="str">
        <f t="shared" si="103"/>
        <v>5</v>
      </c>
      <c r="E1744" t="str">
        <f t="shared" si="104"/>
        <v>66182000</v>
      </c>
      <c r="F1744" t="s">
        <v>3027</v>
      </c>
      <c r="G1744" t="s">
        <v>336</v>
      </c>
      <c r="H1744" t="s">
        <v>5888</v>
      </c>
      <c r="I1744">
        <v>0</v>
      </c>
      <c r="J1744" t="s">
        <v>343</v>
      </c>
      <c r="K1744">
        <v>-1346305</v>
      </c>
      <c r="M1744">
        <v>-7132680</v>
      </c>
    </row>
    <row r="1745" spans="1:13" x14ac:dyDescent="0.35">
      <c r="A1745" t="str">
        <f t="shared" si="102"/>
        <v>PAIAP45717566182000</v>
      </c>
      <c r="B1745" t="s">
        <v>3025</v>
      </c>
      <c r="C1745" s="1">
        <v>45717</v>
      </c>
      <c r="D1745" t="str">
        <f t="shared" si="103"/>
        <v>5</v>
      </c>
      <c r="E1745" t="str">
        <f t="shared" si="104"/>
        <v>66182000</v>
      </c>
      <c r="F1745" t="s">
        <v>3027</v>
      </c>
      <c r="G1745" t="s">
        <v>336</v>
      </c>
      <c r="H1745" t="s">
        <v>5961</v>
      </c>
      <c r="I1745">
        <v>0</v>
      </c>
      <c r="J1745" t="s">
        <v>343</v>
      </c>
      <c r="K1745">
        <v>-947900</v>
      </c>
      <c r="M1745">
        <v>-7132680</v>
      </c>
    </row>
    <row r="1746" spans="1:13" x14ac:dyDescent="0.35">
      <c r="A1746" t="str">
        <f t="shared" si="102"/>
        <v>PAIAP45717566182000</v>
      </c>
      <c r="B1746" t="s">
        <v>3025</v>
      </c>
      <c r="C1746" s="1">
        <v>45717</v>
      </c>
      <c r="D1746" t="str">
        <f t="shared" si="103"/>
        <v>5</v>
      </c>
      <c r="E1746" t="str">
        <f t="shared" si="104"/>
        <v>66182000</v>
      </c>
      <c r="F1746" t="s">
        <v>3027</v>
      </c>
      <c r="G1746" t="s">
        <v>336</v>
      </c>
      <c r="H1746" t="s">
        <v>5921</v>
      </c>
      <c r="I1746">
        <v>0</v>
      </c>
      <c r="J1746" t="s">
        <v>343</v>
      </c>
      <c r="K1746">
        <v>-1387480</v>
      </c>
      <c r="M1746">
        <v>-7132680</v>
      </c>
    </row>
    <row r="1747" spans="1:13" x14ac:dyDescent="0.35">
      <c r="A1747" t="str">
        <f t="shared" si="102"/>
        <v>PAIAP45717566182000</v>
      </c>
      <c r="B1747" t="s">
        <v>3025</v>
      </c>
      <c r="C1747" s="1">
        <v>45717</v>
      </c>
      <c r="D1747" t="str">
        <f t="shared" si="103"/>
        <v>5</v>
      </c>
      <c r="E1747" t="str">
        <f t="shared" si="104"/>
        <v>66182000</v>
      </c>
      <c r="F1747" t="s">
        <v>3027</v>
      </c>
      <c r="G1747" t="s">
        <v>336</v>
      </c>
      <c r="H1747" t="s">
        <v>5922</v>
      </c>
      <c r="I1747">
        <v>0</v>
      </c>
      <c r="J1747" t="s">
        <v>343</v>
      </c>
      <c r="K1747">
        <v>-187750</v>
      </c>
      <c r="M1747">
        <v>-7132680</v>
      </c>
    </row>
    <row r="1748" spans="1:13" x14ac:dyDescent="0.35">
      <c r="A1748" t="str">
        <f t="shared" si="102"/>
        <v>PAIAP45747666182000</v>
      </c>
      <c r="B1748" t="s">
        <v>3025</v>
      </c>
      <c r="C1748" s="1">
        <v>45747</v>
      </c>
      <c r="D1748" t="str">
        <f t="shared" ref="D1748:D1757" si="105">"6"</f>
        <v>6</v>
      </c>
      <c r="E1748" t="str">
        <f t="shared" si="104"/>
        <v>66182000</v>
      </c>
      <c r="F1748" t="s">
        <v>3028</v>
      </c>
      <c r="G1748" t="s">
        <v>336</v>
      </c>
      <c r="H1748" t="s">
        <v>5968</v>
      </c>
      <c r="I1748">
        <v>0</v>
      </c>
      <c r="J1748" t="s">
        <v>343</v>
      </c>
      <c r="K1748">
        <v>68730</v>
      </c>
      <c r="M1748">
        <v>10950100</v>
      </c>
    </row>
    <row r="1749" spans="1:13" x14ac:dyDescent="0.35">
      <c r="A1749" t="str">
        <f t="shared" si="102"/>
        <v>PAIAP45747666182000</v>
      </c>
      <c r="B1749" t="s">
        <v>3025</v>
      </c>
      <c r="C1749" s="1">
        <v>45747</v>
      </c>
      <c r="D1749" t="str">
        <f t="shared" si="105"/>
        <v>6</v>
      </c>
      <c r="E1749" t="str">
        <f t="shared" si="104"/>
        <v>66182000</v>
      </c>
      <c r="F1749" t="s">
        <v>3028</v>
      </c>
      <c r="G1749" t="s">
        <v>336</v>
      </c>
      <c r="H1749" t="s">
        <v>5911</v>
      </c>
      <c r="I1749">
        <v>0</v>
      </c>
      <c r="J1749" t="s">
        <v>343</v>
      </c>
      <c r="K1749">
        <v>120850</v>
      </c>
      <c r="M1749">
        <v>10950100</v>
      </c>
    </row>
    <row r="1750" spans="1:13" x14ac:dyDescent="0.35">
      <c r="A1750" t="str">
        <f t="shared" si="102"/>
        <v>PAIAP45747666182000</v>
      </c>
      <c r="B1750" t="s">
        <v>3025</v>
      </c>
      <c r="C1750" s="1">
        <v>45747</v>
      </c>
      <c r="D1750" t="str">
        <f t="shared" si="105"/>
        <v>6</v>
      </c>
      <c r="E1750" t="str">
        <f t="shared" si="104"/>
        <v>66182000</v>
      </c>
      <c r="F1750" t="s">
        <v>3028</v>
      </c>
      <c r="G1750" t="s">
        <v>336</v>
      </c>
      <c r="H1750" t="s">
        <v>5918</v>
      </c>
      <c r="I1750">
        <v>0</v>
      </c>
      <c r="J1750" t="s">
        <v>343</v>
      </c>
      <c r="K1750">
        <v>1701430</v>
      </c>
      <c r="M1750">
        <v>10950100</v>
      </c>
    </row>
    <row r="1751" spans="1:13" x14ac:dyDescent="0.35">
      <c r="A1751" t="str">
        <f t="shared" si="102"/>
        <v>PAIAP45747666182000</v>
      </c>
      <c r="B1751" t="s">
        <v>3025</v>
      </c>
      <c r="C1751" s="1">
        <v>45747</v>
      </c>
      <c r="D1751" t="str">
        <f t="shared" si="105"/>
        <v>6</v>
      </c>
      <c r="E1751" t="str">
        <f t="shared" si="104"/>
        <v>66182000</v>
      </c>
      <c r="F1751" t="s">
        <v>3028</v>
      </c>
      <c r="G1751" t="s">
        <v>336</v>
      </c>
      <c r="H1751" t="s">
        <v>5919</v>
      </c>
      <c r="I1751">
        <v>0</v>
      </c>
      <c r="J1751" t="s">
        <v>343</v>
      </c>
      <c r="K1751">
        <v>503730</v>
      </c>
      <c r="M1751">
        <v>10950100</v>
      </c>
    </row>
    <row r="1752" spans="1:13" x14ac:dyDescent="0.35">
      <c r="A1752" t="str">
        <f t="shared" si="102"/>
        <v>PAIAP45747666182000</v>
      </c>
      <c r="B1752" t="s">
        <v>3025</v>
      </c>
      <c r="C1752" s="1">
        <v>45747</v>
      </c>
      <c r="D1752" t="str">
        <f t="shared" si="105"/>
        <v>6</v>
      </c>
      <c r="E1752" t="str">
        <f t="shared" si="104"/>
        <v>66182000</v>
      </c>
      <c r="F1752" t="s">
        <v>3028</v>
      </c>
      <c r="G1752" t="s">
        <v>336</v>
      </c>
      <c r="H1752" t="s">
        <v>5920</v>
      </c>
      <c r="I1752">
        <v>0</v>
      </c>
      <c r="J1752" t="s">
        <v>343</v>
      </c>
      <c r="K1752">
        <v>636515</v>
      </c>
      <c r="M1752">
        <v>10950100</v>
      </c>
    </row>
    <row r="1753" spans="1:13" x14ac:dyDescent="0.35">
      <c r="A1753" t="str">
        <f t="shared" si="102"/>
        <v>PAIAP45747666182000</v>
      </c>
      <c r="B1753" t="s">
        <v>3025</v>
      </c>
      <c r="C1753" s="1">
        <v>45747</v>
      </c>
      <c r="D1753" t="str">
        <f t="shared" si="105"/>
        <v>6</v>
      </c>
      <c r="E1753" t="str">
        <f t="shared" si="104"/>
        <v>66182000</v>
      </c>
      <c r="F1753" t="s">
        <v>3028</v>
      </c>
      <c r="G1753" t="s">
        <v>336</v>
      </c>
      <c r="H1753" t="s">
        <v>5888</v>
      </c>
      <c r="I1753">
        <v>0</v>
      </c>
      <c r="J1753" t="s">
        <v>343</v>
      </c>
      <c r="K1753">
        <v>1318810</v>
      </c>
      <c r="M1753">
        <v>10950100</v>
      </c>
    </row>
    <row r="1754" spans="1:13" x14ac:dyDescent="0.35">
      <c r="A1754" t="str">
        <f t="shared" si="102"/>
        <v>PAIAP45747666182000</v>
      </c>
      <c r="B1754" t="s">
        <v>3025</v>
      </c>
      <c r="C1754" s="1">
        <v>45747</v>
      </c>
      <c r="D1754" t="str">
        <f t="shared" si="105"/>
        <v>6</v>
      </c>
      <c r="E1754" t="str">
        <f t="shared" si="104"/>
        <v>66182000</v>
      </c>
      <c r="F1754" t="s">
        <v>3028</v>
      </c>
      <c r="G1754" t="s">
        <v>336</v>
      </c>
      <c r="H1754" t="s">
        <v>5961</v>
      </c>
      <c r="I1754">
        <v>0</v>
      </c>
      <c r="J1754" t="s">
        <v>343</v>
      </c>
      <c r="K1754">
        <v>4489035</v>
      </c>
      <c r="M1754">
        <v>10950100</v>
      </c>
    </row>
    <row r="1755" spans="1:13" x14ac:dyDescent="0.35">
      <c r="A1755" t="str">
        <f t="shared" si="102"/>
        <v>PAIAP45747666182000</v>
      </c>
      <c r="B1755" t="s">
        <v>3025</v>
      </c>
      <c r="C1755" s="1">
        <v>45747</v>
      </c>
      <c r="D1755" t="str">
        <f t="shared" si="105"/>
        <v>6</v>
      </c>
      <c r="E1755" t="str">
        <f t="shared" si="104"/>
        <v>66182000</v>
      </c>
      <c r="F1755" t="s">
        <v>3028</v>
      </c>
      <c r="G1755" t="s">
        <v>336</v>
      </c>
      <c r="H1755" t="s">
        <v>5921</v>
      </c>
      <c r="I1755">
        <v>0</v>
      </c>
      <c r="J1755" t="s">
        <v>343</v>
      </c>
      <c r="K1755">
        <v>1616445</v>
      </c>
      <c r="M1755">
        <v>10950100</v>
      </c>
    </row>
    <row r="1756" spans="1:13" x14ac:dyDescent="0.35">
      <c r="A1756" t="str">
        <f t="shared" si="102"/>
        <v>PAIAP45747666182000</v>
      </c>
      <c r="B1756" t="s">
        <v>3025</v>
      </c>
      <c r="C1756" s="1">
        <v>45747</v>
      </c>
      <c r="D1756" t="str">
        <f t="shared" si="105"/>
        <v>6</v>
      </c>
      <c r="E1756" t="str">
        <f t="shared" si="104"/>
        <v>66182000</v>
      </c>
      <c r="F1756" t="s">
        <v>3028</v>
      </c>
      <c r="G1756" t="s">
        <v>336</v>
      </c>
      <c r="H1756" t="s">
        <v>5922</v>
      </c>
      <c r="I1756">
        <v>0</v>
      </c>
      <c r="J1756" t="s">
        <v>343</v>
      </c>
      <c r="K1756">
        <v>302245</v>
      </c>
      <c r="M1756">
        <v>10950100</v>
      </c>
    </row>
    <row r="1757" spans="1:13" x14ac:dyDescent="0.35">
      <c r="A1757" t="str">
        <f t="shared" si="102"/>
        <v>PAIAP45747666182000</v>
      </c>
      <c r="B1757" t="s">
        <v>3025</v>
      </c>
      <c r="C1757" s="1">
        <v>45747</v>
      </c>
      <c r="D1757" t="str">
        <f t="shared" si="105"/>
        <v>6</v>
      </c>
      <c r="E1757" t="str">
        <f t="shared" si="104"/>
        <v>66182000</v>
      </c>
      <c r="F1757" t="s">
        <v>3028</v>
      </c>
      <c r="G1757" t="s">
        <v>336</v>
      </c>
      <c r="H1757" t="s">
        <v>5928</v>
      </c>
      <c r="I1757">
        <v>0</v>
      </c>
      <c r="J1757" t="s">
        <v>343</v>
      </c>
      <c r="K1757">
        <v>192310</v>
      </c>
      <c r="M1757">
        <v>10950100</v>
      </c>
    </row>
    <row r="1758" spans="1:13" x14ac:dyDescent="0.35">
      <c r="A1758" t="str">
        <f t="shared" si="102"/>
        <v>PAIAP45747766182000</v>
      </c>
      <c r="B1758" t="s">
        <v>3025</v>
      </c>
      <c r="C1758" s="1">
        <v>45747</v>
      </c>
      <c r="D1758" t="str">
        <f t="shared" ref="D1758:D1767" si="106">"7"</f>
        <v>7</v>
      </c>
      <c r="E1758" t="str">
        <f t="shared" si="104"/>
        <v>66182000</v>
      </c>
      <c r="F1758" t="s">
        <v>3030</v>
      </c>
      <c r="G1758" t="s">
        <v>336</v>
      </c>
      <c r="H1758" t="s">
        <v>5968</v>
      </c>
      <c r="I1758">
        <v>0</v>
      </c>
      <c r="J1758" t="s">
        <v>343</v>
      </c>
      <c r="K1758">
        <v>128290</v>
      </c>
      <c r="M1758">
        <v>28952888</v>
      </c>
    </row>
    <row r="1759" spans="1:13" x14ac:dyDescent="0.35">
      <c r="A1759" t="str">
        <f t="shared" si="102"/>
        <v>PAIAP45747766182000</v>
      </c>
      <c r="B1759" t="s">
        <v>3025</v>
      </c>
      <c r="C1759" s="1">
        <v>45747</v>
      </c>
      <c r="D1759" t="str">
        <f t="shared" si="106"/>
        <v>7</v>
      </c>
      <c r="E1759" t="str">
        <f t="shared" si="104"/>
        <v>66182000</v>
      </c>
      <c r="F1759" t="s">
        <v>3030</v>
      </c>
      <c r="G1759" t="s">
        <v>336</v>
      </c>
      <c r="H1759" t="s">
        <v>5911</v>
      </c>
      <c r="I1759">
        <v>0</v>
      </c>
      <c r="J1759" t="s">
        <v>343</v>
      </c>
      <c r="K1759">
        <v>145000</v>
      </c>
      <c r="M1759">
        <v>28952888</v>
      </c>
    </row>
    <row r="1760" spans="1:13" x14ac:dyDescent="0.35">
      <c r="A1760" t="str">
        <f t="shared" si="102"/>
        <v>PAIAP45747766182000</v>
      </c>
      <c r="B1760" t="s">
        <v>3025</v>
      </c>
      <c r="C1760" s="1">
        <v>45747</v>
      </c>
      <c r="D1760" t="str">
        <f t="shared" si="106"/>
        <v>7</v>
      </c>
      <c r="E1760" t="str">
        <f t="shared" si="104"/>
        <v>66182000</v>
      </c>
      <c r="F1760" t="s">
        <v>3030</v>
      </c>
      <c r="G1760" t="s">
        <v>336</v>
      </c>
      <c r="H1760" t="s">
        <v>5918</v>
      </c>
      <c r="I1760">
        <v>0</v>
      </c>
      <c r="J1760" t="s">
        <v>343</v>
      </c>
      <c r="K1760">
        <v>1701030</v>
      </c>
      <c r="M1760">
        <v>28952888</v>
      </c>
    </row>
    <row r="1761" spans="1:13" x14ac:dyDescent="0.35">
      <c r="A1761" t="str">
        <f t="shared" si="102"/>
        <v>PAIAP45747766182000</v>
      </c>
      <c r="B1761" t="s">
        <v>3025</v>
      </c>
      <c r="C1761" s="1">
        <v>45747</v>
      </c>
      <c r="D1761" t="str">
        <f t="shared" si="106"/>
        <v>7</v>
      </c>
      <c r="E1761" t="str">
        <f t="shared" si="104"/>
        <v>66182000</v>
      </c>
      <c r="F1761" t="s">
        <v>3030</v>
      </c>
      <c r="G1761" t="s">
        <v>336</v>
      </c>
      <c r="H1761" t="s">
        <v>5919</v>
      </c>
      <c r="I1761">
        <v>0</v>
      </c>
      <c r="J1761" t="s">
        <v>343</v>
      </c>
      <c r="K1761">
        <v>686820</v>
      </c>
      <c r="M1761">
        <v>28952888</v>
      </c>
    </row>
    <row r="1762" spans="1:13" x14ac:dyDescent="0.35">
      <c r="A1762" t="str">
        <f t="shared" si="102"/>
        <v>PAIAP45747766182000</v>
      </c>
      <c r="B1762" t="s">
        <v>3025</v>
      </c>
      <c r="C1762" s="1">
        <v>45747</v>
      </c>
      <c r="D1762" t="str">
        <f t="shared" si="106"/>
        <v>7</v>
      </c>
      <c r="E1762" t="str">
        <f t="shared" si="104"/>
        <v>66182000</v>
      </c>
      <c r="F1762" t="s">
        <v>3030</v>
      </c>
      <c r="G1762" t="s">
        <v>336</v>
      </c>
      <c r="H1762" t="s">
        <v>5920</v>
      </c>
      <c r="I1762">
        <v>0</v>
      </c>
      <c r="J1762" t="s">
        <v>343</v>
      </c>
      <c r="K1762">
        <v>874545</v>
      </c>
      <c r="M1762">
        <v>28952888</v>
      </c>
    </row>
    <row r="1763" spans="1:13" x14ac:dyDescent="0.35">
      <c r="A1763" t="str">
        <f t="shared" si="102"/>
        <v>PAIAP45747766182000</v>
      </c>
      <c r="B1763" t="s">
        <v>3025</v>
      </c>
      <c r="C1763" s="1">
        <v>45747</v>
      </c>
      <c r="D1763" t="str">
        <f t="shared" si="106"/>
        <v>7</v>
      </c>
      <c r="E1763" t="str">
        <f t="shared" si="104"/>
        <v>66182000</v>
      </c>
      <c r="F1763" t="s">
        <v>3030</v>
      </c>
      <c r="G1763" t="s">
        <v>336</v>
      </c>
      <c r="H1763" t="s">
        <v>5888</v>
      </c>
      <c r="I1763">
        <v>0</v>
      </c>
      <c r="J1763" t="s">
        <v>343</v>
      </c>
      <c r="K1763">
        <v>1625480</v>
      </c>
      <c r="M1763">
        <v>28952888</v>
      </c>
    </row>
    <row r="1764" spans="1:13" x14ac:dyDescent="0.35">
      <c r="A1764" t="str">
        <f t="shared" si="102"/>
        <v>PAIAP45747766182000</v>
      </c>
      <c r="B1764" t="s">
        <v>3025</v>
      </c>
      <c r="C1764" s="1">
        <v>45747</v>
      </c>
      <c r="D1764" t="str">
        <f t="shared" si="106"/>
        <v>7</v>
      </c>
      <c r="E1764" t="str">
        <f t="shared" si="104"/>
        <v>66182000</v>
      </c>
      <c r="F1764" t="s">
        <v>3030</v>
      </c>
      <c r="G1764" t="s">
        <v>336</v>
      </c>
      <c r="H1764" t="s">
        <v>5961</v>
      </c>
      <c r="I1764">
        <v>0</v>
      </c>
      <c r="J1764" t="s">
        <v>343</v>
      </c>
      <c r="K1764">
        <v>21099388</v>
      </c>
      <c r="M1764">
        <v>28952888</v>
      </c>
    </row>
    <row r="1765" spans="1:13" x14ac:dyDescent="0.35">
      <c r="A1765" t="str">
        <f t="shared" si="102"/>
        <v>PAIAP45747766182000</v>
      </c>
      <c r="B1765" t="s">
        <v>3025</v>
      </c>
      <c r="C1765" s="1">
        <v>45747</v>
      </c>
      <c r="D1765" t="str">
        <f t="shared" si="106"/>
        <v>7</v>
      </c>
      <c r="E1765" t="str">
        <f t="shared" si="104"/>
        <v>66182000</v>
      </c>
      <c r="F1765" t="s">
        <v>3030</v>
      </c>
      <c r="G1765" t="s">
        <v>336</v>
      </c>
      <c r="H1765" t="s">
        <v>5921</v>
      </c>
      <c r="I1765">
        <v>0</v>
      </c>
      <c r="J1765" t="s">
        <v>343</v>
      </c>
      <c r="K1765">
        <v>2152035</v>
      </c>
      <c r="M1765">
        <v>28952888</v>
      </c>
    </row>
    <row r="1766" spans="1:13" x14ac:dyDescent="0.35">
      <c r="A1766" t="str">
        <f t="shared" si="102"/>
        <v>PAIAP45747766182000</v>
      </c>
      <c r="B1766" t="s">
        <v>3025</v>
      </c>
      <c r="C1766" s="1">
        <v>45747</v>
      </c>
      <c r="D1766" t="str">
        <f t="shared" si="106"/>
        <v>7</v>
      </c>
      <c r="E1766" t="str">
        <f t="shared" si="104"/>
        <v>66182000</v>
      </c>
      <c r="F1766" t="s">
        <v>3030</v>
      </c>
      <c r="G1766" t="s">
        <v>336</v>
      </c>
      <c r="H1766" t="s">
        <v>5922</v>
      </c>
      <c r="I1766">
        <v>0</v>
      </c>
      <c r="J1766" t="s">
        <v>343</v>
      </c>
      <c r="K1766">
        <v>485355</v>
      </c>
      <c r="M1766">
        <v>28952888</v>
      </c>
    </row>
    <row r="1767" spans="1:13" x14ac:dyDescent="0.35">
      <c r="A1767" t="str">
        <f t="shared" si="102"/>
        <v>PAIAP45747766182000</v>
      </c>
      <c r="B1767" t="s">
        <v>3025</v>
      </c>
      <c r="C1767" s="1">
        <v>45747</v>
      </c>
      <c r="D1767" t="str">
        <f t="shared" si="106"/>
        <v>7</v>
      </c>
      <c r="E1767" t="str">
        <f t="shared" si="104"/>
        <v>66182000</v>
      </c>
      <c r="F1767" t="s">
        <v>3030</v>
      </c>
      <c r="G1767" t="s">
        <v>336</v>
      </c>
      <c r="H1767" t="s">
        <v>5928</v>
      </c>
      <c r="I1767">
        <v>0</v>
      </c>
      <c r="J1767" t="s">
        <v>343</v>
      </c>
      <c r="K1767">
        <v>54945</v>
      </c>
      <c r="M1767">
        <v>28952888</v>
      </c>
    </row>
    <row r="1768" spans="1:13" x14ac:dyDescent="0.35">
      <c r="A1768" t="str">
        <f t="shared" si="102"/>
        <v>PMN05457195263180000</v>
      </c>
      <c r="B1768" t="s">
        <v>3031</v>
      </c>
      <c r="C1768" s="1">
        <v>45719</v>
      </c>
      <c r="D1768" t="str">
        <f>"52"</f>
        <v>52</v>
      </c>
      <c r="E1768" t="str">
        <f t="shared" ref="E1768:E1776" si="107">"63180000"</f>
        <v>63180000</v>
      </c>
      <c r="F1768" t="s">
        <v>3034</v>
      </c>
      <c r="G1768" t="s">
        <v>336</v>
      </c>
      <c r="H1768" t="s">
        <v>347</v>
      </c>
      <c r="I1768">
        <v>0</v>
      </c>
      <c r="J1768" t="s">
        <v>343</v>
      </c>
      <c r="K1768">
        <v>11044</v>
      </c>
      <c r="M1768">
        <v>11044</v>
      </c>
    </row>
    <row r="1769" spans="1:13" x14ac:dyDescent="0.35">
      <c r="A1769" t="str">
        <f t="shared" si="102"/>
        <v>PMN05457195463180000</v>
      </c>
      <c r="B1769" t="s">
        <v>3031</v>
      </c>
      <c r="C1769" s="1">
        <v>45719</v>
      </c>
      <c r="D1769" t="str">
        <f>"54"</f>
        <v>54</v>
      </c>
      <c r="E1769" t="str">
        <f t="shared" si="107"/>
        <v>63180000</v>
      </c>
      <c r="F1769" t="s">
        <v>3036</v>
      </c>
      <c r="G1769" t="s">
        <v>336</v>
      </c>
      <c r="H1769" t="s">
        <v>347</v>
      </c>
      <c r="I1769">
        <v>0</v>
      </c>
      <c r="J1769" t="s">
        <v>343</v>
      </c>
      <c r="K1769">
        <v>8268</v>
      </c>
      <c r="M1769">
        <v>8268</v>
      </c>
    </row>
    <row r="1770" spans="1:13" x14ac:dyDescent="0.35">
      <c r="A1770" t="str">
        <f t="shared" si="102"/>
        <v>PMN05457195663180000</v>
      </c>
      <c r="B1770" t="s">
        <v>3031</v>
      </c>
      <c r="C1770" s="1">
        <v>45719</v>
      </c>
      <c r="D1770" t="str">
        <f>"56"</f>
        <v>56</v>
      </c>
      <c r="E1770" t="str">
        <f t="shared" si="107"/>
        <v>63180000</v>
      </c>
      <c r="F1770" t="s">
        <v>3038</v>
      </c>
      <c r="G1770" t="s">
        <v>336</v>
      </c>
      <c r="H1770" t="s">
        <v>347</v>
      </c>
      <c r="I1770">
        <v>0</v>
      </c>
      <c r="J1770" t="s">
        <v>343</v>
      </c>
      <c r="K1770">
        <v>3058</v>
      </c>
      <c r="M1770">
        <v>3058</v>
      </c>
    </row>
    <row r="1771" spans="1:13" x14ac:dyDescent="0.35">
      <c r="A1771" t="str">
        <f t="shared" si="102"/>
        <v>PMN05457195863180000</v>
      </c>
      <c r="B1771" t="s">
        <v>3031</v>
      </c>
      <c r="C1771" s="1">
        <v>45719</v>
      </c>
      <c r="D1771" t="str">
        <f>"58"</f>
        <v>58</v>
      </c>
      <c r="E1771" t="str">
        <f t="shared" si="107"/>
        <v>63180000</v>
      </c>
      <c r="F1771" t="s">
        <v>3040</v>
      </c>
      <c r="G1771" t="s">
        <v>336</v>
      </c>
      <c r="H1771" t="s">
        <v>347</v>
      </c>
      <c r="I1771">
        <v>0</v>
      </c>
      <c r="J1771" t="s">
        <v>343</v>
      </c>
      <c r="K1771">
        <v>849</v>
      </c>
      <c r="M1771">
        <v>849</v>
      </c>
    </row>
    <row r="1772" spans="1:13" x14ac:dyDescent="0.35">
      <c r="A1772" t="str">
        <f t="shared" si="102"/>
        <v>PMN05457196063180000</v>
      </c>
      <c r="B1772" t="s">
        <v>3031</v>
      </c>
      <c r="C1772" s="1">
        <v>45719</v>
      </c>
      <c r="D1772" t="str">
        <f>"60"</f>
        <v>60</v>
      </c>
      <c r="E1772" t="str">
        <f t="shared" si="107"/>
        <v>63180000</v>
      </c>
      <c r="F1772" t="s">
        <v>3042</v>
      </c>
      <c r="G1772" t="s">
        <v>336</v>
      </c>
      <c r="H1772" t="s">
        <v>347</v>
      </c>
      <c r="I1772">
        <v>0</v>
      </c>
      <c r="J1772" t="s">
        <v>343</v>
      </c>
      <c r="K1772">
        <v>792</v>
      </c>
      <c r="M1772">
        <v>792</v>
      </c>
    </row>
    <row r="1773" spans="1:13" x14ac:dyDescent="0.35">
      <c r="A1773" t="str">
        <f t="shared" si="102"/>
        <v>PMN05457196263180000</v>
      </c>
      <c r="B1773" t="s">
        <v>3031</v>
      </c>
      <c r="C1773" s="1">
        <v>45719</v>
      </c>
      <c r="D1773" t="str">
        <f>"62"</f>
        <v>62</v>
      </c>
      <c r="E1773" t="str">
        <f t="shared" si="107"/>
        <v>63180000</v>
      </c>
      <c r="F1773" t="s">
        <v>3044</v>
      </c>
      <c r="G1773" t="s">
        <v>336</v>
      </c>
      <c r="H1773" t="s">
        <v>347</v>
      </c>
      <c r="I1773">
        <v>0</v>
      </c>
      <c r="J1773" t="s">
        <v>343</v>
      </c>
      <c r="K1773">
        <v>565</v>
      </c>
      <c r="M1773">
        <v>565</v>
      </c>
    </row>
    <row r="1774" spans="1:13" x14ac:dyDescent="0.35">
      <c r="A1774" t="str">
        <f t="shared" si="102"/>
        <v>PMN05457196463180000</v>
      </c>
      <c r="B1774" t="s">
        <v>3031</v>
      </c>
      <c r="C1774" s="1">
        <v>45719</v>
      </c>
      <c r="D1774" t="str">
        <f>"64"</f>
        <v>64</v>
      </c>
      <c r="E1774" t="str">
        <f t="shared" si="107"/>
        <v>63180000</v>
      </c>
      <c r="F1774" t="s">
        <v>3046</v>
      </c>
      <c r="G1774" t="s">
        <v>336</v>
      </c>
      <c r="H1774" t="s">
        <v>347</v>
      </c>
      <c r="I1774">
        <v>0</v>
      </c>
      <c r="J1774" t="s">
        <v>343</v>
      </c>
      <c r="K1774">
        <v>367</v>
      </c>
      <c r="M1774">
        <v>367</v>
      </c>
    </row>
    <row r="1775" spans="1:13" x14ac:dyDescent="0.35">
      <c r="A1775" t="str">
        <f t="shared" si="102"/>
        <v>PMN05457196663180000</v>
      </c>
      <c r="B1775" t="s">
        <v>3031</v>
      </c>
      <c r="C1775" s="1">
        <v>45719</v>
      </c>
      <c r="D1775" t="str">
        <f>"66"</f>
        <v>66</v>
      </c>
      <c r="E1775" t="str">
        <f t="shared" si="107"/>
        <v>63180000</v>
      </c>
      <c r="F1775" t="s">
        <v>3048</v>
      </c>
      <c r="G1775" t="s">
        <v>336</v>
      </c>
      <c r="H1775" t="s">
        <v>347</v>
      </c>
      <c r="I1775">
        <v>0</v>
      </c>
      <c r="J1775" t="s">
        <v>343</v>
      </c>
      <c r="K1775">
        <v>328</v>
      </c>
      <c r="M1775">
        <v>328</v>
      </c>
    </row>
    <row r="1776" spans="1:13" x14ac:dyDescent="0.35">
      <c r="A1776" t="str">
        <f t="shared" si="102"/>
        <v>PMN05457196863180000</v>
      </c>
      <c r="B1776" t="s">
        <v>3031</v>
      </c>
      <c r="C1776" s="1">
        <v>45719</v>
      </c>
      <c r="D1776" t="str">
        <f>"68"</f>
        <v>68</v>
      </c>
      <c r="E1776" t="str">
        <f t="shared" si="107"/>
        <v>63180000</v>
      </c>
      <c r="F1776" t="s">
        <v>3050</v>
      </c>
      <c r="G1776" t="s">
        <v>336</v>
      </c>
      <c r="H1776" t="s">
        <v>347</v>
      </c>
      <c r="I1776">
        <v>0</v>
      </c>
      <c r="J1776" t="s">
        <v>343</v>
      </c>
      <c r="K1776">
        <v>282</v>
      </c>
      <c r="M1776">
        <v>282</v>
      </c>
    </row>
    <row r="1777" spans="1:13" x14ac:dyDescent="0.35">
      <c r="A1777" t="str">
        <f t="shared" si="102"/>
        <v>PMN05457276963830000</v>
      </c>
      <c r="B1777" t="s">
        <v>3031</v>
      </c>
      <c r="C1777" s="1">
        <v>45727</v>
      </c>
      <c r="D1777" t="str">
        <f>"69"</f>
        <v>69</v>
      </c>
      <c r="E1777" t="str">
        <f>"63830000"</f>
        <v>63830000</v>
      </c>
      <c r="F1777" t="s">
        <v>3051</v>
      </c>
      <c r="G1777" t="s">
        <v>336</v>
      </c>
      <c r="H1777" t="s">
        <v>5931</v>
      </c>
      <c r="I1777">
        <v>0</v>
      </c>
      <c r="J1777" t="s">
        <v>343</v>
      </c>
      <c r="K1777">
        <v>189265</v>
      </c>
      <c r="M1777">
        <v>189265</v>
      </c>
    </row>
    <row r="1778" spans="1:13" x14ac:dyDescent="0.35">
      <c r="A1778" t="str">
        <f t="shared" si="102"/>
        <v>PMN05457277063180000</v>
      </c>
      <c r="B1778" t="s">
        <v>3031</v>
      </c>
      <c r="C1778" s="1">
        <v>45727</v>
      </c>
      <c r="D1778" t="str">
        <f>"70"</f>
        <v>70</v>
      </c>
      <c r="E1778" t="str">
        <f>"63180000"</f>
        <v>63180000</v>
      </c>
      <c r="F1778" t="s">
        <v>3052</v>
      </c>
      <c r="G1778" t="s">
        <v>336</v>
      </c>
      <c r="H1778" t="s">
        <v>347</v>
      </c>
      <c r="I1778">
        <v>0</v>
      </c>
      <c r="J1778" t="s">
        <v>343</v>
      </c>
      <c r="K1778">
        <v>4163</v>
      </c>
      <c r="M1778">
        <v>4163</v>
      </c>
    </row>
    <row r="1779" spans="1:13" x14ac:dyDescent="0.35">
      <c r="A1779" t="str">
        <f t="shared" si="102"/>
        <v>PMN05457287161810000</v>
      </c>
      <c r="B1779" t="s">
        <v>3031</v>
      </c>
      <c r="C1779" s="1">
        <v>45728</v>
      </c>
      <c r="D1779" t="str">
        <f>"71"</f>
        <v>71</v>
      </c>
      <c r="E1779" t="str">
        <f>"61810000"</f>
        <v>61810000</v>
      </c>
      <c r="F1779" t="s">
        <v>3053</v>
      </c>
      <c r="G1779" t="s">
        <v>336</v>
      </c>
      <c r="H1779" t="s">
        <v>5878</v>
      </c>
      <c r="I1779">
        <v>0</v>
      </c>
      <c r="J1779" t="s">
        <v>343</v>
      </c>
      <c r="K1779">
        <v>891003</v>
      </c>
      <c r="M1779">
        <v>891003</v>
      </c>
    </row>
    <row r="1780" spans="1:13" x14ac:dyDescent="0.35">
      <c r="A1780" t="str">
        <f t="shared" si="102"/>
        <v>PMN05457287263180000</v>
      </c>
      <c r="B1780" t="s">
        <v>3031</v>
      </c>
      <c r="C1780" s="1">
        <v>45728</v>
      </c>
      <c r="D1780" t="str">
        <f>"72"</f>
        <v>72</v>
      </c>
      <c r="E1780" t="str">
        <f>"63180000"</f>
        <v>63180000</v>
      </c>
      <c r="F1780" t="s">
        <v>3054</v>
      </c>
      <c r="G1780" t="s">
        <v>336</v>
      </c>
      <c r="H1780" t="s">
        <v>347</v>
      </c>
      <c r="I1780">
        <v>0</v>
      </c>
      <c r="J1780" t="s">
        <v>343</v>
      </c>
      <c r="K1780">
        <v>19602</v>
      </c>
      <c r="M1780">
        <v>19602</v>
      </c>
    </row>
    <row r="1781" spans="1:13" x14ac:dyDescent="0.35">
      <c r="A1781" t="str">
        <f t="shared" si="102"/>
        <v>PMN05457407361810000</v>
      </c>
      <c r="B1781" t="s">
        <v>3031</v>
      </c>
      <c r="C1781" s="1">
        <v>45740</v>
      </c>
      <c r="D1781" t="str">
        <f>"73"</f>
        <v>73</v>
      </c>
      <c r="E1781" t="str">
        <f>"61810000"</f>
        <v>61810000</v>
      </c>
      <c r="F1781" t="s">
        <v>3055</v>
      </c>
      <c r="G1781" t="s">
        <v>336</v>
      </c>
      <c r="H1781" t="s">
        <v>5878</v>
      </c>
      <c r="I1781">
        <v>0</v>
      </c>
      <c r="J1781" t="s">
        <v>343</v>
      </c>
      <c r="K1781">
        <v>85000</v>
      </c>
      <c r="M1781">
        <v>85000</v>
      </c>
    </row>
    <row r="1782" spans="1:13" x14ac:dyDescent="0.35">
      <c r="A1782" t="str">
        <f t="shared" si="102"/>
        <v>PMN064571717363170000</v>
      </c>
      <c r="B1782" t="s">
        <v>3056</v>
      </c>
      <c r="C1782" s="1">
        <v>45717</v>
      </c>
      <c r="D1782" t="str">
        <f>"173"</f>
        <v>173</v>
      </c>
      <c r="E1782" t="str">
        <f>"63170000"</f>
        <v>63170000</v>
      </c>
      <c r="F1782" t="s">
        <v>3057</v>
      </c>
      <c r="G1782" t="s">
        <v>336</v>
      </c>
      <c r="H1782" t="s">
        <v>347</v>
      </c>
      <c r="I1782">
        <v>0</v>
      </c>
      <c r="J1782" t="s">
        <v>343</v>
      </c>
      <c r="K1782">
        <v>667</v>
      </c>
      <c r="M1782">
        <v>667</v>
      </c>
    </row>
    <row r="1783" spans="1:13" x14ac:dyDescent="0.35">
      <c r="A1783" t="str">
        <f t="shared" si="102"/>
        <v>PMN064571717363830000</v>
      </c>
      <c r="B1783" t="s">
        <v>3056</v>
      </c>
      <c r="C1783" s="1">
        <v>45717</v>
      </c>
      <c r="D1783" t="str">
        <f>"173"</f>
        <v>173</v>
      </c>
      <c r="E1783" t="str">
        <f>"63830000"</f>
        <v>63830000</v>
      </c>
      <c r="F1783" t="s">
        <v>3057</v>
      </c>
      <c r="G1783" t="s">
        <v>336</v>
      </c>
      <c r="H1783" t="s">
        <v>348</v>
      </c>
      <c r="I1783">
        <v>0</v>
      </c>
      <c r="J1783" t="s">
        <v>343</v>
      </c>
      <c r="K1783">
        <v>78500</v>
      </c>
      <c r="M1783">
        <v>78500</v>
      </c>
    </row>
    <row r="1784" spans="1:13" x14ac:dyDescent="0.35">
      <c r="A1784" t="str">
        <f t="shared" si="102"/>
        <v>PMN064571914563170000</v>
      </c>
      <c r="B1784" t="s">
        <v>3056</v>
      </c>
      <c r="C1784" s="1">
        <v>45719</v>
      </c>
      <c r="D1784" t="str">
        <f>"145"</f>
        <v>145</v>
      </c>
      <c r="E1784" t="str">
        <f>"63170000"</f>
        <v>63170000</v>
      </c>
      <c r="F1784" t="s">
        <v>3058</v>
      </c>
      <c r="G1784" t="s">
        <v>336</v>
      </c>
      <c r="H1784" t="s">
        <v>347</v>
      </c>
      <c r="I1784">
        <v>0</v>
      </c>
      <c r="J1784" t="s">
        <v>343</v>
      </c>
      <c r="K1784">
        <v>15872</v>
      </c>
      <c r="M1784">
        <v>15872</v>
      </c>
    </row>
    <row r="1785" spans="1:13" x14ac:dyDescent="0.35">
      <c r="A1785" t="str">
        <f t="shared" si="102"/>
        <v>PMN064571914663170000</v>
      </c>
      <c r="B1785" t="s">
        <v>3056</v>
      </c>
      <c r="C1785" s="1">
        <v>45719</v>
      </c>
      <c r="D1785" t="str">
        <f>"146"</f>
        <v>146</v>
      </c>
      <c r="E1785" t="str">
        <f>"63170000"</f>
        <v>63170000</v>
      </c>
      <c r="F1785" t="s">
        <v>3059</v>
      </c>
      <c r="G1785" t="s">
        <v>336</v>
      </c>
      <c r="H1785" t="s">
        <v>347</v>
      </c>
      <c r="I1785">
        <v>0</v>
      </c>
      <c r="J1785" t="s">
        <v>343</v>
      </c>
      <c r="K1785">
        <v>55235</v>
      </c>
      <c r="M1785">
        <v>55235</v>
      </c>
    </row>
    <row r="1786" spans="1:13" x14ac:dyDescent="0.35">
      <c r="A1786" t="str">
        <f t="shared" si="102"/>
        <v>PMN064571914666181000</v>
      </c>
      <c r="B1786" t="s">
        <v>3056</v>
      </c>
      <c r="C1786" s="1">
        <v>45719</v>
      </c>
      <c r="D1786" t="str">
        <f>"146"</f>
        <v>146</v>
      </c>
      <c r="E1786" t="str">
        <f>"66181000"</f>
        <v>66181000</v>
      </c>
      <c r="F1786" t="s">
        <v>3059</v>
      </c>
      <c r="G1786" t="s">
        <v>336</v>
      </c>
      <c r="H1786" t="s">
        <v>5912</v>
      </c>
      <c r="I1786">
        <v>0</v>
      </c>
      <c r="J1786" t="s">
        <v>343</v>
      </c>
      <c r="K1786">
        <v>6498335</v>
      </c>
      <c r="M1786">
        <v>6498335</v>
      </c>
    </row>
    <row r="1787" spans="1:13" x14ac:dyDescent="0.35">
      <c r="A1787" t="str">
        <f t="shared" si="102"/>
        <v>PMN064572014763170000</v>
      </c>
      <c r="B1787" t="s">
        <v>3056</v>
      </c>
      <c r="C1787" s="1">
        <v>45720</v>
      </c>
      <c r="D1787" t="str">
        <f>"147"</f>
        <v>147</v>
      </c>
      <c r="E1787" t="str">
        <f>"63170000"</f>
        <v>63170000</v>
      </c>
      <c r="F1787" t="s">
        <v>3060</v>
      </c>
      <c r="G1787" t="s">
        <v>336</v>
      </c>
      <c r="H1787" t="s">
        <v>347</v>
      </c>
      <c r="I1787">
        <v>0</v>
      </c>
      <c r="J1787" t="s">
        <v>343</v>
      </c>
      <c r="K1787">
        <v>1795</v>
      </c>
      <c r="M1787">
        <v>1795</v>
      </c>
    </row>
    <row r="1788" spans="1:13" x14ac:dyDescent="0.35">
      <c r="A1788" t="str">
        <f t="shared" si="102"/>
        <v>PMN064572014963170000</v>
      </c>
      <c r="B1788" t="s">
        <v>3056</v>
      </c>
      <c r="C1788" s="1">
        <v>45720</v>
      </c>
      <c r="D1788" t="str">
        <f>"149"</f>
        <v>149</v>
      </c>
      <c r="E1788" t="str">
        <f>"63170000"</f>
        <v>63170000</v>
      </c>
      <c r="F1788" t="s">
        <v>3061</v>
      </c>
      <c r="G1788" t="s">
        <v>336</v>
      </c>
      <c r="H1788" t="s">
        <v>347</v>
      </c>
      <c r="I1788">
        <v>0</v>
      </c>
      <c r="J1788" t="s">
        <v>343</v>
      </c>
      <c r="K1788">
        <v>8415</v>
      </c>
      <c r="M1788">
        <v>8415</v>
      </c>
    </row>
    <row r="1789" spans="1:13" x14ac:dyDescent="0.35">
      <c r="A1789" t="str">
        <f t="shared" si="102"/>
        <v>PMN064572015061830000</v>
      </c>
      <c r="B1789" t="s">
        <v>3056</v>
      </c>
      <c r="C1789" s="1">
        <v>45720</v>
      </c>
      <c r="D1789" t="str">
        <f>"150"</f>
        <v>150</v>
      </c>
      <c r="E1789" t="str">
        <f>"61830000"</f>
        <v>61830000</v>
      </c>
      <c r="F1789" t="s">
        <v>3063</v>
      </c>
      <c r="G1789" t="s">
        <v>336</v>
      </c>
      <c r="H1789" t="s">
        <v>5938</v>
      </c>
      <c r="I1789">
        <v>0</v>
      </c>
      <c r="J1789" t="s">
        <v>343</v>
      </c>
      <c r="K1789">
        <v>120000</v>
      </c>
      <c r="M1789">
        <v>120000</v>
      </c>
    </row>
    <row r="1790" spans="1:13" x14ac:dyDescent="0.35">
      <c r="A1790" t="str">
        <f t="shared" si="102"/>
        <v>PMN064572015062810000</v>
      </c>
      <c r="B1790" t="s">
        <v>3056</v>
      </c>
      <c r="C1790" s="1">
        <v>45720</v>
      </c>
      <c r="D1790" t="str">
        <f>"150"</f>
        <v>150</v>
      </c>
      <c r="E1790" t="str">
        <f>"62810000"</f>
        <v>62810000</v>
      </c>
      <c r="F1790" t="s">
        <v>3064</v>
      </c>
      <c r="G1790" t="s">
        <v>336</v>
      </c>
      <c r="H1790" t="s">
        <v>5909</v>
      </c>
      <c r="I1790">
        <v>0</v>
      </c>
      <c r="J1790" t="s">
        <v>343</v>
      </c>
      <c r="K1790">
        <v>20000</v>
      </c>
      <c r="M1790">
        <v>20000</v>
      </c>
    </row>
    <row r="1791" spans="1:13" x14ac:dyDescent="0.35">
      <c r="A1791" t="str">
        <f t="shared" si="102"/>
        <v>PMN064572015063170000</v>
      </c>
      <c r="B1791" t="s">
        <v>3056</v>
      </c>
      <c r="C1791" s="1">
        <v>45720</v>
      </c>
      <c r="D1791" t="str">
        <f>"150"</f>
        <v>150</v>
      </c>
      <c r="E1791" t="str">
        <f>"63170000"</f>
        <v>63170000</v>
      </c>
      <c r="F1791" t="s">
        <v>3062</v>
      </c>
      <c r="G1791" t="s">
        <v>336</v>
      </c>
      <c r="H1791" t="s">
        <v>347</v>
      </c>
      <c r="I1791">
        <v>0</v>
      </c>
      <c r="J1791" t="s">
        <v>343</v>
      </c>
      <c r="K1791">
        <v>1190</v>
      </c>
      <c r="M1791">
        <v>1190</v>
      </c>
    </row>
    <row r="1792" spans="1:13" x14ac:dyDescent="0.35">
      <c r="A1792" t="str">
        <f t="shared" si="102"/>
        <v>PMN064572015161810100</v>
      </c>
      <c r="B1792" t="s">
        <v>3056</v>
      </c>
      <c r="C1792" s="1">
        <v>45720</v>
      </c>
      <c r="D1792" t="str">
        <f>"151"</f>
        <v>151</v>
      </c>
      <c r="E1792" t="str">
        <f>"61810100"</f>
        <v>61810100</v>
      </c>
      <c r="F1792" t="s">
        <v>3065</v>
      </c>
      <c r="G1792" t="s">
        <v>336</v>
      </c>
      <c r="H1792" t="s">
        <v>5953</v>
      </c>
      <c r="I1792">
        <v>0</v>
      </c>
      <c r="J1792" t="s">
        <v>343</v>
      </c>
      <c r="K1792">
        <v>200000</v>
      </c>
      <c r="M1792">
        <v>200000</v>
      </c>
    </row>
    <row r="1793" spans="1:13" x14ac:dyDescent="0.35">
      <c r="A1793" t="str">
        <f t="shared" si="102"/>
        <v>PMN064572015163170000</v>
      </c>
      <c r="B1793" t="s">
        <v>3056</v>
      </c>
      <c r="C1793" s="1">
        <v>45720</v>
      </c>
      <c r="D1793" t="str">
        <f>"151"</f>
        <v>151</v>
      </c>
      <c r="E1793" t="str">
        <f>"63170000"</f>
        <v>63170000</v>
      </c>
      <c r="F1793" t="s">
        <v>3065</v>
      </c>
      <c r="G1793" t="s">
        <v>336</v>
      </c>
      <c r="H1793" t="s">
        <v>347</v>
      </c>
      <c r="I1793">
        <v>0</v>
      </c>
      <c r="J1793" t="s">
        <v>343</v>
      </c>
      <c r="K1793">
        <v>1700</v>
      </c>
      <c r="M1793">
        <v>1700</v>
      </c>
    </row>
    <row r="1794" spans="1:13" x14ac:dyDescent="0.35">
      <c r="A1794" t="str">
        <f t="shared" si="102"/>
        <v>PMN064572115263170000</v>
      </c>
      <c r="B1794" t="s">
        <v>3056</v>
      </c>
      <c r="C1794" s="1">
        <v>45721</v>
      </c>
      <c r="D1794" t="str">
        <f>"152"</f>
        <v>152</v>
      </c>
      <c r="E1794" t="str">
        <f>"63170000"</f>
        <v>63170000</v>
      </c>
      <c r="F1794" t="s">
        <v>3066</v>
      </c>
      <c r="G1794" t="s">
        <v>336</v>
      </c>
      <c r="H1794" t="s">
        <v>347</v>
      </c>
      <c r="I1794">
        <v>0</v>
      </c>
      <c r="J1794" t="s">
        <v>343</v>
      </c>
      <c r="K1794">
        <v>2040</v>
      </c>
      <c r="M1794">
        <v>2040</v>
      </c>
    </row>
    <row r="1795" spans="1:13" x14ac:dyDescent="0.35">
      <c r="A1795" t="str">
        <f t="shared" ref="A1795:A1858" si="108">CONCATENATE(B1795,C1795,D1795,E1795)</f>
        <v>PMN064572215361810100</v>
      </c>
      <c r="B1795" t="s">
        <v>3056</v>
      </c>
      <c r="C1795" s="1">
        <v>45722</v>
      </c>
      <c r="D1795" t="str">
        <f>"153"</f>
        <v>153</v>
      </c>
      <c r="E1795" t="str">
        <f>"61810100"</f>
        <v>61810100</v>
      </c>
      <c r="F1795" t="s">
        <v>3067</v>
      </c>
      <c r="G1795" t="s">
        <v>336</v>
      </c>
      <c r="H1795" t="s">
        <v>5953</v>
      </c>
      <c r="I1795">
        <v>0</v>
      </c>
      <c r="J1795" t="s">
        <v>343</v>
      </c>
      <c r="K1795">
        <v>280000</v>
      </c>
      <c r="M1795">
        <v>280000</v>
      </c>
    </row>
    <row r="1796" spans="1:13" x14ac:dyDescent="0.35">
      <c r="A1796" t="str">
        <f t="shared" si="108"/>
        <v>PMN064572215363170000</v>
      </c>
      <c r="B1796" t="s">
        <v>3056</v>
      </c>
      <c r="C1796" s="1">
        <v>45722</v>
      </c>
      <c r="D1796" t="str">
        <f>"153"</f>
        <v>153</v>
      </c>
      <c r="E1796" t="str">
        <f>"63170000"</f>
        <v>63170000</v>
      </c>
      <c r="F1796" t="s">
        <v>3067</v>
      </c>
      <c r="G1796" t="s">
        <v>336</v>
      </c>
      <c r="H1796" t="s">
        <v>347</v>
      </c>
      <c r="I1796">
        <v>0</v>
      </c>
      <c r="J1796" t="s">
        <v>343</v>
      </c>
      <c r="K1796">
        <v>2380</v>
      </c>
      <c r="M1796">
        <v>2380</v>
      </c>
    </row>
    <row r="1797" spans="1:13" x14ac:dyDescent="0.35">
      <c r="A1797" t="str">
        <f t="shared" si="108"/>
        <v>PMN064572215561810000</v>
      </c>
      <c r="B1797" t="s">
        <v>3056</v>
      </c>
      <c r="C1797" s="1">
        <v>45722</v>
      </c>
      <c r="D1797" t="str">
        <f>"155"</f>
        <v>155</v>
      </c>
      <c r="E1797" t="str">
        <f>"61810000"</f>
        <v>61810000</v>
      </c>
      <c r="F1797" t="s">
        <v>3068</v>
      </c>
      <c r="G1797" t="s">
        <v>336</v>
      </c>
      <c r="H1797" t="s">
        <v>5878</v>
      </c>
      <c r="I1797">
        <v>0</v>
      </c>
      <c r="J1797" t="s">
        <v>343</v>
      </c>
      <c r="K1797">
        <v>155000</v>
      </c>
      <c r="M1797">
        <v>155000</v>
      </c>
    </row>
    <row r="1798" spans="1:13" x14ac:dyDescent="0.35">
      <c r="A1798" t="str">
        <f t="shared" si="108"/>
        <v>PMN064572215563170000</v>
      </c>
      <c r="B1798" t="s">
        <v>3056</v>
      </c>
      <c r="C1798" s="1">
        <v>45722</v>
      </c>
      <c r="D1798" t="str">
        <f>"155"</f>
        <v>155</v>
      </c>
      <c r="E1798" t="str">
        <f>"63170000"</f>
        <v>63170000</v>
      </c>
      <c r="F1798" t="s">
        <v>3068</v>
      </c>
      <c r="G1798" t="s">
        <v>336</v>
      </c>
      <c r="H1798" t="s">
        <v>347</v>
      </c>
      <c r="I1798">
        <v>0</v>
      </c>
      <c r="J1798" t="s">
        <v>343</v>
      </c>
      <c r="K1798">
        <v>1318</v>
      </c>
      <c r="M1798">
        <v>1318</v>
      </c>
    </row>
    <row r="1799" spans="1:13" x14ac:dyDescent="0.35">
      <c r="A1799" t="str">
        <f t="shared" si="108"/>
        <v>PMN064572615763170000</v>
      </c>
      <c r="B1799" t="s">
        <v>3056</v>
      </c>
      <c r="C1799" s="1">
        <v>45726</v>
      </c>
      <c r="D1799" t="str">
        <f>"157"</f>
        <v>157</v>
      </c>
      <c r="E1799" t="str">
        <f>"63170000"</f>
        <v>63170000</v>
      </c>
      <c r="F1799" t="s">
        <v>3071</v>
      </c>
      <c r="G1799" t="s">
        <v>336</v>
      </c>
      <c r="H1799" t="s">
        <v>347</v>
      </c>
      <c r="I1799">
        <v>0</v>
      </c>
      <c r="J1799" t="s">
        <v>343</v>
      </c>
      <c r="K1799">
        <v>25500</v>
      </c>
      <c r="M1799">
        <v>25500</v>
      </c>
    </row>
    <row r="1800" spans="1:13" x14ac:dyDescent="0.35">
      <c r="A1800" t="str">
        <f t="shared" si="108"/>
        <v>PMN064572615863170000</v>
      </c>
      <c r="B1800" t="s">
        <v>3056</v>
      </c>
      <c r="C1800" s="1">
        <v>45726</v>
      </c>
      <c r="D1800" t="str">
        <f>"158"</f>
        <v>158</v>
      </c>
      <c r="E1800" t="str">
        <f>"63170000"</f>
        <v>63170000</v>
      </c>
      <c r="F1800" t="s">
        <v>3072</v>
      </c>
      <c r="G1800" t="s">
        <v>336</v>
      </c>
      <c r="H1800" t="s">
        <v>347</v>
      </c>
      <c r="I1800">
        <v>0</v>
      </c>
      <c r="J1800" t="s">
        <v>343</v>
      </c>
      <c r="K1800">
        <v>12750</v>
      </c>
      <c r="M1800">
        <v>12750</v>
      </c>
    </row>
    <row r="1801" spans="1:13" x14ac:dyDescent="0.35">
      <c r="A1801" t="str">
        <f t="shared" si="108"/>
        <v>PMN064572615963170000</v>
      </c>
      <c r="B1801" t="s">
        <v>3056</v>
      </c>
      <c r="C1801" s="1">
        <v>45726</v>
      </c>
      <c r="D1801" t="str">
        <f>"159"</f>
        <v>159</v>
      </c>
      <c r="E1801" t="str">
        <f>"63170000"</f>
        <v>63170000</v>
      </c>
      <c r="F1801" t="s">
        <v>3073</v>
      </c>
      <c r="G1801" t="s">
        <v>336</v>
      </c>
      <c r="H1801" t="s">
        <v>347</v>
      </c>
      <c r="I1801">
        <v>0</v>
      </c>
      <c r="J1801" t="s">
        <v>343</v>
      </c>
      <c r="K1801">
        <v>926</v>
      </c>
      <c r="M1801">
        <v>926</v>
      </c>
    </row>
    <row r="1802" spans="1:13" x14ac:dyDescent="0.35">
      <c r="A1802" t="str">
        <f t="shared" si="108"/>
        <v>PMN064572616063170000</v>
      </c>
      <c r="B1802" t="s">
        <v>3056</v>
      </c>
      <c r="C1802" s="1">
        <v>45726</v>
      </c>
      <c r="D1802" t="str">
        <f>"160"</f>
        <v>160</v>
      </c>
      <c r="E1802" t="str">
        <f>"63170000"</f>
        <v>63170000</v>
      </c>
      <c r="F1802" t="s">
        <v>3074</v>
      </c>
      <c r="G1802" t="s">
        <v>336</v>
      </c>
      <c r="H1802" t="s">
        <v>347</v>
      </c>
      <c r="I1802">
        <v>0</v>
      </c>
      <c r="J1802" t="s">
        <v>343</v>
      </c>
      <c r="K1802">
        <v>29711</v>
      </c>
      <c r="M1802">
        <v>29711</v>
      </c>
    </row>
    <row r="1803" spans="1:13" x14ac:dyDescent="0.35">
      <c r="A1803" t="str">
        <f t="shared" si="108"/>
        <v>PMN064572716161810000</v>
      </c>
      <c r="B1803" t="s">
        <v>3056</v>
      </c>
      <c r="C1803" s="1">
        <v>45727</v>
      </c>
      <c r="D1803" t="str">
        <f>"161"</f>
        <v>161</v>
      </c>
      <c r="E1803" t="str">
        <f>"61810000"</f>
        <v>61810000</v>
      </c>
      <c r="F1803" t="s">
        <v>3075</v>
      </c>
      <c r="G1803" t="s">
        <v>336</v>
      </c>
      <c r="H1803" t="s">
        <v>5879</v>
      </c>
      <c r="I1803">
        <v>0</v>
      </c>
      <c r="J1803" t="s">
        <v>343</v>
      </c>
      <c r="K1803">
        <v>224000</v>
      </c>
      <c r="M1803">
        <v>224000</v>
      </c>
    </row>
    <row r="1804" spans="1:13" x14ac:dyDescent="0.35">
      <c r="A1804" t="str">
        <f t="shared" si="108"/>
        <v>PMN064572716163170000</v>
      </c>
      <c r="B1804" t="s">
        <v>3056</v>
      </c>
      <c r="C1804" s="1">
        <v>45727</v>
      </c>
      <c r="D1804" t="str">
        <f>"161"</f>
        <v>161</v>
      </c>
      <c r="E1804" t="str">
        <f>"63170000"</f>
        <v>63170000</v>
      </c>
      <c r="F1804" t="s">
        <v>3075</v>
      </c>
      <c r="G1804" t="s">
        <v>336</v>
      </c>
      <c r="H1804" t="s">
        <v>347</v>
      </c>
      <c r="I1804">
        <v>0</v>
      </c>
      <c r="J1804" t="s">
        <v>343</v>
      </c>
      <c r="K1804">
        <v>1904</v>
      </c>
      <c r="M1804">
        <v>1904</v>
      </c>
    </row>
    <row r="1805" spans="1:13" x14ac:dyDescent="0.35">
      <c r="A1805" t="str">
        <f t="shared" si="108"/>
        <v>PMN064572716263170000</v>
      </c>
      <c r="B1805" t="s">
        <v>3056</v>
      </c>
      <c r="C1805" s="1">
        <v>45727</v>
      </c>
      <c r="D1805" t="str">
        <f>"162"</f>
        <v>162</v>
      </c>
      <c r="E1805" t="str">
        <f>"63170000"</f>
        <v>63170000</v>
      </c>
      <c r="F1805" t="s">
        <v>3076</v>
      </c>
      <c r="G1805" t="s">
        <v>336</v>
      </c>
      <c r="H1805" t="s">
        <v>347</v>
      </c>
      <c r="I1805">
        <v>0</v>
      </c>
      <c r="J1805" t="s">
        <v>343</v>
      </c>
      <c r="K1805">
        <v>2717</v>
      </c>
      <c r="M1805">
        <v>2717</v>
      </c>
    </row>
    <row r="1806" spans="1:13" x14ac:dyDescent="0.35">
      <c r="A1806" t="str">
        <f t="shared" si="108"/>
        <v>PMN064572716266181000</v>
      </c>
      <c r="B1806" t="s">
        <v>3056</v>
      </c>
      <c r="C1806" s="1">
        <v>45727</v>
      </c>
      <c r="D1806" t="str">
        <f>"162"</f>
        <v>162</v>
      </c>
      <c r="E1806" t="str">
        <f>"66181000"</f>
        <v>66181000</v>
      </c>
      <c r="F1806" t="s">
        <v>3076</v>
      </c>
      <c r="G1806" t="s">
        <v>336</v>
      </c>
      <c r="H1806" t="s">
        <v>5912</v>
      </c>
      <c r="I1806">
        <v>0</v>
      </c>
      <c r="J1806" t="s">
        <v>343</v>
      </c>
      <c r="K1806">
        <v>319667</v>
      </c>
      <c r="M1806">
        <v>319667</v>
      </c>
    </row>
    <row r="1807" spans="1:13" x14ac:dyDescent="0.35">
      <c r="A1807" t="str">
        <f t="shared" si="108"/>
        <v>PMN064572816361810100</v>
      </c>
      <c r="B1807" t="s">
        <v>3056</v>
      </c>
      <c r="C1807" s="1">
        <v>45728</v>
      </c>
      <c r="D1807" t="str">
        <f>"163"</f>
        <v>163</v>
      </c>
      <c r="E1807" t="str">
        <f>"61810100"</f>
        <v>61810100</v>
      </c>
      <c r="F1807" t="s">
        <v>3077</v>
      </c>
      <c r="G1807" t="s">
        <v>336</v>
      </c>
      <c r="H1807" t="s">
        <v>5953</v>
      </c>
      <c r="I1807">
        <v>0</v>
      </c>
      <c r="J1807" t="s">
        <v>343</v>
      </c>
      <c r="K1807">
        <v>225000</v>
      </c>
      <c r="M1807">
        <v>225000</v>
      </c>
    </row>
    <row r="1808" spans="1:13" x14ac:dyDescent="0.35">
      <c r="A1808" t="str">
        <f t="shared" si="108"/>
        <v>PMN064572816363170000</v>
      </c>
      <c r="B1808" t="s">
        <v>3056</v>
      </c>
      <c r="C1808" s="1">
        <v>45728</v>
      </c>
      <c r="D1808" t="str">
        <f>"163"</f>
        <v>163</v>
      </c>
      <c r="E1808" t="str">
        <f>"63170000"</f>
        <v>63170000</v>
      </c>
      <c r="F1808" t="s">
        <v>3077</v>
      </c>
      <c r="G1808" t="s">
        <v>336</v>
      </c>
      <c r="H1808" t="s">
        <v>347</v>
      </c>
      <c r="I1808">
        <v>0</v>
      </c>
      <c r="J1808" t="s">
        <v>343</v>
      </c>
      <c r="K1808">
        <v>1912</v>
      </c>
      <c r="M1808">
        <v>1912</v>
      </c>
    </row>
    <row r="1809" spans="1:13" x14ac:dyDescent="0.35">
      <c r="A1809" t="str">
        <f t="shared" si="108"/>
        <v>PMN064572916461830000</v>
      </c>
      <c r="B1809" t="s">
        <v>3056</v>
      </c>
      <c r="C1809" s="1">
        <v>45729</v>
      </c>
      <c r="D1809" t="str">
        <f>"164"</f>
        <v>164</v>
      </c>
      <c r="E1809" t="str">
        <f>"61830000"</f>
        <v>61830000</v>
      </c>
      <c r="F1809" t="s">
        <v>3078</v>
      </c>
      <c r="G1809" t="s">
        <v>336</v>
      </c>
      <c r="H1809" t="s">
        <v>5941</v>
      </c>
      <c r="I1809">
        <v>0</v>
      </c>
      <c r="J1809" t="s">
        <v>343</v>
      </c>
      <c r="K1809">
        <v>72000</v>
      </c>
      <c r="M1809">
        <v>72000</v>
      </c>
    </row>
    <row r="1810" spans="1:13" x14ac:dyDescent="0.35">
      <c r="A1810" t="str">
        <f t="shared" si="108"/>
        <v>PMN064572916463170000</v>
      </c>
      <c r="B1810" t="s">
        <v>3056</v>
      </c>
      <c r="C1810" s="1">
        <v>45729</v>
      </c>
      <c r="D1810" t="str">
        <f>"164"</f>
        <v>164</v>
      </c>
      <c r="E1810" t="str">
        <f>"63170000"</f>
        <v>63170000</v>
      </c>
      <c r="F1810" t="s">
        <v>3078</v>
      </c>
      <c r="G1810" t="s">
        <v>336</v>
      </c>
      <c r="H1810" t="s">
        <v>347</v>
      </c>
      <c r="I1810">
        <v>0</v>
      </c>
      <c r="J1810" t="s">
        <v>343</v>
      </c>
      <c r="K1810">
        <v>612</v>
      </c>
      <c r="M1810">
        <v>612</v>
      </c>
    </row>
    <row r="1811" spans="1:13" x14ac:dyDescent="0.35">
      <c r="A1811" t="str">
        <f t="shared" si="108"/>
        <v>PMN064572916561810000</v>
      </c>
      <c r="B1811" t="s">
        <v>3056</v>
      </c>
      <c r="C1811" s="1">
        <v>45729</v>
      </c>
      <c r="D1811" t="str">
        <f>"165"</f>
        <v>165</v>
      </c>
      <c r="E1811" t="str">
        <f>"61810000"</f>
        <v>61810000</v>
      </c>
      <c r="F1811" t="s">
        <v>3079</v>
      </c>
      <c r="G1811" t="s">
        <v>336</v>
      </c>
      <c r="H1811" t="s">
        <v>5878</v>
      </c>
      <c r="I1811">
        <v>0</v>
      </c>
      <c r="J1811" t="s">
        <v>343</v>
      </c>
      <c r="K1811">
        <v>35000</v>
      </c>
      <c r="M1811">
        <v>35000</v>
      </c>
    </row>
    <row r="1812" spans="1:13" x14ac:dyDescent="0.35">
      <c r="A1812" t="str">
        <f t="shared" si="108"/>
        <v>PMN064572916563170000</v>
      </c>
      <c r="B1812" t="s">
        <v>3056</v>
      </c>
      <c r="C1812" s="1">
        <v>45729</v>
      </c>
      <c r="D1812" t="str">
        <f>"165"</f>
        <v>165</v>
      </c>
      <c r="E1812" t="str">
        <f>"63170000"</f>
        <v>63170000</v>
      </c>
      <c r="F1812" t="s">
        <v>3079</v>
      </c>
      <c r="G1812" t="s">
        <v>336</v>
      </c>
      <c r="H1812" t="s">
        <v>347</v>
      </c>
      <c r="I1812">
        <v>0</v>
      </c>
      <c r="J1812" t="s">
        <v>343</v>
      </c>
      <c r="K1812">
        <v>298</v>
      </c>
      <c r="M1812">
        <v>298</v>
      </c>
    </row>
    <row r="1813" spans="1:13" x14ac:dyDescent="0.35">
      <c r="A1813" t="str">
        <f t="shared" si="108"/>
        <v>PMN064573016661810000</v>
      </c>
      <c r="B1813" t="s">
        <v>3056</v>
      </c>
      <c r="C1813" s="1">
        <v>45730</v>
      </c>
      <c r="D1813" t="str">
        <f>"166"</f>
        <v>166</v>
      </c>
      <c r="E1813" t="str">
        <f>"61810000"</f>
        <v>61810000</v>
      </c>
      <c r="F1813" t="s">
        <v>3081</v>
      </c>
      <c r="G1813" t="s">
        <v>336</v>
      </c>
      <c r="H1813" t="s">
        <v>5883</v>
      </c>
      <c r="I1813">
        <v>0</v>
      </c>
      <c r="J1813" t="s">
        <v>343</v>
      </c>
      <c r="K1813">
        <v>320000</v>
      </c>
      <c r="M1813">
        <v>320000</v>
      </c>
    </row>
    <row r="1814" spans="1:13" x14ac:dyDescent="0.35">
      <c r="A1814" t="str">
        <f t="shared" si="108"/>
        <v>PMN064573016663170000</v>
      </c>
      <c r="B1814" t="s">
        <v>3056</v>
      </c>
      <c r="C1814" s="1">
        <v>45730</v>
      </c>
      <c r="D1814" t="str">
        <f>"166"</f>
        <v>166</v>
      </c>
      <c r="E1814" t="str">
        <f>"63170000"</f>
        <v>63170000</v>
      </c>
      <c r="F1814" t="s">
        <v>3081</v>
      </c>
      <c r="G1814" t="s">
        <v>336</v>
      </c>
      <c r="H1814" t="s">
        <v>347</v>
      </c>
      <c r="I1814">
        <v>0</v>
      </c>
      <c r="J1814" t="s">
        <v>343</v>
      </c>
      <c r="K1814">
        <v>2720</v>
      </c>
      <c r="M1814">
        <v>2720</v>
      </c>
    </row>
    <row r="1815" spans="1:13" x14ac:dyDescent="0.35">
      <c r="A1815" t="str">
        <f t="shared" si="108"/>
        <v>PMN064573016761810000</v>
      </c>
      <c r="B1815" t="s">
        <v>3056</v>
      </c>
      <c r="C1815" s="1">
        <v>45730</v>
      </c>
      <c r="D1815" t="str">
        <f>"167"</f>
        <v>167</v>
      </c>
      <c r="E1815" t="str">
        <f>"61810000"</f>
        <v>61810000</v>
      </c>
      <c r="F1815" t="s">
        <v>3082</v>
      </c>
      <c r="G1815" t="s">
        <v>336</v>
      </c>
      <c r="H1815" t="s">
        <v>5873</v>
      </c>
      <c r="I1815">
        <v>0</v>
      </c>
      <c r="J1815" t="s">
        <v>343</v>
      </c>
      <c r="K1815">
        <v>105000</v>
      </c>
      <c r="M1815">
        <v>105000</v>
      </c>
    </row>
    <row r="1816" spans="1:13" x14ac:dyDescent="0.35">
      <c r="A1816" t="str">
        <f t="shared" si="108"/>
        <v>PMN064573016763170000</v>
      </c>
      <c r="B1816" t="s">
        <v>3056</v>
      </c>
      <c r="C1816" s="1">
        <v>45730</v>
      </c>
      <c r="D1816" t="str">
        <f>"167"</f>
        <v>167</v>
      </c>
      <c r="E1816" t="str">
        <f>"63170000"</f>
        <v>63170000</v>
      </c>
      <c r="F1816" t="s">
        <v>3082</v>
      </c>
      <c r="G1816" t="s">
        <v>336</v>
      </c>
      <c r="H1816" t="s">
        <v>347</v>
      </c>
      <c r="I1816">
        <v>0</v>
      </c>
      <c r="J1816" t="s">
        <v>343</v>
      </c>
      <c r="K1816">
        <v>892</v>
      </c>
      <c r="M1816">
        <v>892</v>
      </c>
    </row>
    <row r="1817" spans="1:13" x14ac:dyDescent="0.35">
      <c r="A1817" t="str">
        <f t="shared" si="108"/>
        <v>PMN064573016861810000</v>
      </c>
      <c r="B1817" t="s">
        <v>3056</v>
      </c>
      <c r="C1817" s="1">
        <v>45730</v>
      </c>
      <c r="D1817" t="str">
        <f>"168"</f>
        <v>168</v>
      </c>
      <c r="E1817" t="str">
        <f>"61810000"</f>
        <v>61810000</v>
      </c>
      <c r="F1817" t="s">
        <v>3083</v>
      </c>
      <c r="G1817" t="s">
        <v>336</v>
      </c>
      <c r="H1817" t="s">
        <v>5939</v>
      </c>
      <c r="I1817">
        <v>0</v>
      </c>
      <c r="J1817" t="s">
        <v>343</v>
      </c>
      <c r="K1817">
        <v>309000</v>
      </c>
      <c r="M1817">
        <v>309000</v>
      </c>
    </row>
    <row r="1818" spans="1:13" x14ac:dyDescent="0.35">
      <c r="A1818" t="str">
        <f t="shared" si="108"/>
        <v>PMN064573016863170000</v>
      </c>
      <c r="B1818" t="s">
        <v>3056</v>
      </c>
      <c r="C1818" s="1">
        <v>45730</v>
      </c>
      <c r="D1818" t="str">
        <f>"168"</f>
        <v>168</v>
      </c>
      <c r="E1818" t="str">
        <f>"63170000"</f>
        <v>63170000</v>
      </c>
      <c r="F1818" t="s">
        <v>3083</v>
      </c>
      <c r="G1818" t="s">
        <v>336</v>
      </c>
      <c r="H1818" t="s">
        <v>347</v>
      </c>
      <c r="I1818">
        <v>0</v>
      </c>
      <c r="J1818" t="s">
        <v>343</v>
      </c>
      <c r="K1818">
        <v>2626</v>
      </c>
      <c r="M1818">
        <v>2626</v>
      </c>
    </row>
    <row r="1819" spans="1:13" x14ac:dyDescent="0.35">
      <c r="A1819" t="str">
        <f t="shared" si="108"/>
        <v>PMN064573016961810000</v>
      </c>
      <c r="B1819" t="s">
        <v>3056</v>
      </c>
      <c r="C1819" s="1">
        <v>45730</v>
      </c>
      <c r="D1819" t="str">
        <f>"169"</f>
        <v>169</v>
      </c>
      <c r="E1819" t="str">
        <f>"61810000"</f>
        <v>61810000</v>
      </c>
      <c r="F1819" t="s">
        <v>3084</v>
      </c>
      <c r="G1819" t="s">
        <v>336</v>
      </c>
      <c r="H1819" t="s">
        <v>5882</v>
      </c>
      <c r="I1819">
        <v>0</v>
      </c>
      <c r="J1819" t="s">
        <v>343</v>
      </c>
      <c r="K1819">
        <v>120000</v>
      </c>
      <c r="M1819">
        <v>120000</v>
      </c>
    </row>
    <row r="1820" spans="1:13" x14ac:dyDescent="0.35">
      <c r="A1820" t="str">
        <f t="shared" si="108"/>
        <v>PMN064573016963170000</v>
      </c>
      <c r="B1820" t="s">
        <v>3056</v>
      </c>
      <c r="C1820" s="1">
        <v>45730</v>
      </c>
      <c r="D1820" t="str">
        <f>"169"</f>
        <v>169</v>
      </c>
      <c r="E1820" t="str">
        <f>"63170000"</f>
        <v>63170000</v>
      </c>
      <c r="F1820" t="s">
        <v>3084</v>
      </c>
      <c r="G1820" t="s">
        <v>336</v>
      </c>
      <c r="H1820" t="s">
        <v>347</v>
      </c>
      <c r="I1820">
        <v>0</v>
      </c>
      <c r="J1820" t="s">
        <v>343</v>
      </c>
      <c r="K1820">
        <v>1020</v>
      </c>
      <c r="M1820">
        <v>1020</v>
      </c>
    </row>
    <row r="1821" spans="1:13" x14ac:dyDescent="0.35">
      <c r="A1821" t="str">
        <f t="shared" si="108"/>
        <v>PMN064573017063170000</v>
      </c>
      <c r="B1821" t="s">
        <v>3056</v>
      </c>
      <c r="C1821" s="1">
        <v>45730</v>
      </c>
      <c r="D1821" t="str">
        <f>"170"</f>
        <v>170</v>
      </c>
      <c r="E1821" t="str">
        <f>"63170000"</f>
        <v>63170000</v>
      </c>
      <c r="F1821" t="s">
        <v>3085</v>
      </c>
      <c r="G1821" t="s">
        <v>336</v>
      </c>
      <c r="H1821" t="s">
        <v>347</v>
      </c>
      <c r="I1821">
        <v>0</v>
      </c>
      <c r="J1821" t="s">
        <v>343</v>
      </c>
      <c r="K1821">
        <v>850</v>
      </c>
      <c r="M1821">
        <v>850</v>
      </c>
    </row>
    <row r="1822" spans="1:13" x14ac:dyDescent="0.35">
      <c r="A1822" t="str">
        <f t="shared" si="108"/>
        <v>PMN064573517163170000</v>
      </c>
      <c r="B1822" t="s">
        <v>3056</v>
      </c>
      <c r="C1822" s="1">
        <v>45735</v>
      </c>
      <c r="D1822" t="str">
        <f>"171"</f>
        <v>171</v>
      </c>
      <c r="E1822" t="str">
        <f>"63170000"</f>
        <v>63170000</v>
      </c>
      <c r="F1822" t="s">
        <v>3086</v>
      </c>
      <c r="G1822" t="s">
        <v>336</v>
      </c>
      <c r="H1822" t="s">
        <v>347</v>
      </c>
      <c r="I1822">
        <v>0</v>
      </c>
      <c r="J1822" t="s">
        <v>343</v>
      </c>
      <c r="K1822">
        <v>4250</v>
      </c>
      <c r="M1822">
        <v>4250</v>
      </c>
    </row>
    <row r="1823" spans="1:13" x14ac:dyDescent="0.35">
      <c r="A1823" t="str">
        <f t="shared" si="108"/>
        <v>PMN064573517263170000</v>
      </c>
      <c r="B1823" t="s">
        <v>3056</v>
      </c>
      <c r="C1823" s="1">
        <v>45735</v>
      </c>
      <c r="D1823" t="str">
        <f>"172"</f>
        <v>172</v>
      </c>
      <c r="E1823" t="str">
        <f>"63170000"</f>
        <v>63170000</v>
      </c>
      <c r="F1823" t="s">
        <v>3087</v>
      </c>
      <c r="G1823" t="s">
        <v>336</v>
      </c>
      <c r="H1823" t="s">
        <v>347</v>
      </c>
      <c r="I1823">
        <v>0</v>
      </c>
      <c r="J1823" t="s">
        <v>343</v>
      </c>
      <c r="K1823">
        <v>8500</v>
      </c>
      <c r="M1823">
        <v>8500</v>
      </c>
    </row>
    <row r="1824" spans="1:13" x14ac:dyDescent="0.35">
      <c r="A1824" t="str">
        <f t="shared" si="108"/>
        <v>PMN064573618361810000</v>
      </c>
      <c r="B1824" t="s">
        <v>3056</v>
      </c>
      <c r="C1824" s="1">
        <v>45736</v>
      </c>
      <c r="D1824" t="str">
        <f>"183"</f>
        <v>183</v>
      </c>
      <c r="E1824" t="str">
        <f>"61810000"</f>
        <v>61810000</v>
      </c>
      <c r="F1824" t="s">
        <v>3088</v>
      </c>
      <c r="G1824" t="s">
        <v>336</v>
      </c>
      <c r="H1824" t="s">
        <v>5879</v>
      </c>
      <c r="I1824">
        <v>0</v>
      </c>
      <c r="J1824" t="s">
        <v>343</v>
      </c>
      <c r="K1824">
        <v>45000</v>
      </c>
      <c r="M1824">
        <v>45000</v>
      </c>
    </row>
    <row r="1825" spans="1:13" x14ac:dyDescent="0.35">
      <c r="A1825" t="str">
        <f t="shared" si="108"/>
        <v>PMN064573618363170000</v>
      </c>
      <c r="B1825" t="s">
        <v>3056</v>
      </c>
      <c r="C1825" s="1">
        <v>45736</v>
      </c>
      <c r="D1825" t="str">
        <f>"183"</f>
        <v>183</v>
      </c>
      <c r="E1825" t="str">
        <f>"63170000"</f>
        <v>63170000</v>
      </c>
      <c r="F1825" t="s">
        <v>3088</v>
      </c>
      <c r="G1825" t="s">
        <v>336</v>
      </c>
      <c r="H1825" t="s">
        <v>347</v>
      </c>
      <c r="I1825">
        <v>0</v>
      </c>
      <c r="J1825" t="s">
        <v>343</v>
      </c>
      <c r="K1825">
        <v>382</v>
      </c>
      <c r="M1825">
        <v>382</v>
      </c>
    </row>
    <row r="1826" spans="1:13" x14ac:dyDescent="0.35">
      <c r="A1826" t="str">
        <f t="shared" si="108"/>
        <v>PMN064573618461810100</v>
      </c>
      <c r="B1826" t="s">
        <v>3056</v>
      </c>
      <c r="C1826" s="1">
        <v>45736</v>
      </c>
      <c r="D1826" t="str">
        <f>"184"</f>
        <v>184</v>
      </c>
      <c r="E1826" t="str">
        <f>"61810100"</f>
        <v>61810100</v>
      </c>
      <c r="F1826" t="s">
        <v>3089</v>
      </c>
      <c r="G1826" t="s">
        <v>336</v>
      </c>
      <c r="H1826" t="s">
        <v>5944</v>
      </c>
      <c r="I1826">
        <v>0</v>
      </c>
      <c r="J1826" t="s">
        <v>343</v>
      </c>
      <c r="K1826">
        <v>45000</v>
      </c>
      <c r="M1826">
        <v>45000</v>
      </c>
    </row>
    <row r="1827" spans="1:13" x14ac:dyDescent="0.35">
      <c r="A1827" t="str">
        <f t="shared" si="108"/>
        <v>PMN064573618463170000</v>
      </c>
      <c r="B1827" t="s">
        <v>3056</v>
      </c>
      <c r="C1827" s="1">
        <v>45736</v>
      </c>
      <c r="D1827" t="str">
        <f>"184"</f>
        <v>184</v>
      </c>
      <c r="E1827" t="str">
        <f>"63170000"</f>
        <v>63170000</v>
      </c>
      <c r="F1827" t="s">
        <v>3089</v>
      </c>
      <c r="G1827" t="s">
        <v>336</v>
      </c>
      <c r="H1827" t="s">
        <v>347</v>
      </c>
      <c r="I1827">
        <v>0</v>
      </c>
      <c r="J1827" t="s">
        <v>343</v>
      </c>
      <c r="K1827">
        <v>382</v>
      </c>
      <c r="M1827">
        <v>382</v>
      </c>
    </row>
    <row r="1828" spans="1:13" x14ac:dyDescent="0.35">
      <c r="A1828" t="str">
        <f t="shared" si="108"/>
        <v>PMN064573618561810000</v>
      </c>
      <c r="B1828" t="s">
        <v>3056</v>
      </c>
      <c r="C1828" s="1">
        <v>45736</v>
      </c>
      <c r="D1828" t="str">
        <f>"185"</f>
        <v>185</v>
      </c>
      <c r="E1828" t="str">
        <f>"61810000"</f>
        <v>61810000</v>
      </c>
      <c r="F1828" t="s">
        <v>3090</v>
      </c>
      <c r="G1828" t="s">
        <v>336</v>
      </c>
      <c r="H1828" t="s">
        <v>5932</v>
      </c>
      <c r="I1828">
        <v>0</v>
      </c>
      <c r="J1828" t="s">
        <v>343</v>
      </c>
      <c r="K1828">
        <v>120000</v>
      </c>
      <c r="M1828">
        <v>120000</v>
      </c>
    </row>
    <row r="1829" spans="1:13" x14ac:dyDescent="0.35">
      <c r="A1829" t="str">
        <f t="shared" si="108"/>
        <v>PMN064573618563170000</v>
      </c>
      <c r="B1829" t="s">
        <v>3056</v>
      </c>
      <c r="C1829" s="1">
        <v>45736</v>
      </c>
      <c r="D1829" t="str">
        <f>"185"</f>
        <v>185</v>
      </c>
      <c r="E1829" t="str">
        <f>"63170000"</f>
        <v>63170000</v>
      </c>
      <c r="F1829" t="s">
        <v>3090</v>
      </c>
      <c r="G1829" t="s">
        <v>336</v>
      </c>
      <c r="H1829" t="s">
        <v>347</v>
      </c>
      <c r="I1829">
        <v>0</v>
      </c>
      <c r="J1829" t="s">
        <v>343</v>
      </c>
      <c r="K1829">
        <v>1020</v>
      </c>
      <c r="M1829">
        <v>1020</v>
      </c>
    </row>
    <row r="1830" spans="1:13" x14ac:dyDescent="0.35">
      <c r="A1830" t="str">
        <f t="shared" si="108"/>
        <v>PMN064573618661810000</v>
      </c>
      <c r="B1830" t="s">
        <v>3056</v>
      </c>
      <c r="C1830" s="1">
        <v>45736</v>
      </c>
      <c r="D1830" t="str">
        <f>"186"</f>
        <v>186</v>
      </c>
      <c r="E1830" t="str">
        <f>"61810000"</f>
        <v>61810000</v>
      </c>
      <c r="F1830" t="s">
        <v>3091</v>
      </c>
      <c r="G1830" t="s">
        <v>336</v>
      </c>
      <c r="H1830" t="s">
        <v>5873</v>
      </c>
      <c r="I1830">
        <v>0</v>
      </c>
      <c r="J1830" t="s">
        <v>343</v>
      </c>
      <c r="K1830">
        <v>215000</v>
      </c>
      <c r="M1830">
        <v>215000</v>
      </c>
    </row>
    <row r="1831" spans="1:13" x14ac:dyDescent="0.35">
      <c r="A1831" t="str">
        <f t="shared" si="108"/>
        <v>PMN064573618663170000</v>
      </c>
      <c r="B1831" t="s">
        <v>3056</v>
      </c>
      <c r="C1831" s="1">
        <v>45736</v>
      </c>
      <c r="D1831" t="str">
        <f>"186"</f>
        <v>186</v>
      </c>
      <c r="E1831" t="str">
        <f>"63170000"</f>
        <v>63170000</v>
      </c>
      <c r="F1831" t="s">
        <v>3091</v>
      </c>
      <c r="G1831" t="s">
        <v>336</v>
      </c>
      <c r="H1831" t="s">
        <v>347</v>
      </c>
      <c r="I1831">
        <v>0</v>
      </c>
      <c r="J1831" t="s">
        <v>343</v>
      </c>
      <c r="K1831">
        <v>1828</v>
      </c>
      <c r="M1831">
        <v>1828</v>
      </c>
    </row>
    <row r="1832" spans="1:13" x14ac:dyDescent="0.35">
      <c r="A1832" t="str">
        <f t="shared" si="108"/>
        <v>PMN064573618761810000</v>
      </c>
      <c r="B1832" t="s">
        <v>3056</v>
      </c>
      <c r="C1832" s="1">
        <v>45736</v>
      </c>
      <c r="D1832" t="str">
        <f>"187"</f>
        <v>187</v>
      </c>
      <c r="E1832" t="str">
        <f>"61810000"</f>
        <v>61810000</v>
      </c>
      <c r="F1832" t="s">
        <v>3092</v>
      </c>
      <c r="G1832" t="s">
        <v>336</v>
      </c>
      <c r="H1832" t="s">
        <v>5882</v>
      </c>
      <c r="I1832">
        <v>0</v>
      </c>
      <c r="J1832" t="s">
        <v>343</v>
      </c>
      <c r="K1832">
        <v>50000</v>
      </c>
      <c r="M1832">
        <v>50000</v>
      </c>
    </row>
    <row r="1833" spans="1:13" x14ac:dyDescent="0.35">
      <c r="A1833" t="str">
        <f t="shared" si="108"/>
        <v>PMN064573618763170000</v>
      </c>
      <c r="B1833" t="s">
        <v>3056</v>
      </c>
      <c r="C1833" s="1">
        <v>45736</v>
      </c>
      <c r="D1833" t="str">
        <f>"187"</f>
        <v>187</v>
      </c>
      <c r="E1833" t="str">
        <f>"63170000"</f>
        <v>63170000</v>
      </c>
      <c r="F1833" t="s">
        <v>3092</v>
      </c>
      <c r="G1833" t="s">
        <v>336</v>
      </c>
      <c r="H1833" t="s">
        <v>347</v>
      </c>
      <c r="I1833">
        <v>0</v>
      </c>
      <c r="J1833" t="s">
        <v>343</v>
      </c>
      <c r="K1833">
        <v>425</v>
      </c>
      <c r="M1833">
        <v>425</v>
      </c>
    </row>
    <row r="1834" spans="1:13" x14ac:dyDescent="0.35">
      <c r="A1834" t="str">
        <f t="shared" si="108"/>
        <v>PMN064573718861810100</v>
      </c>
      <c r="B1834" t="s">
        <v>3056</v>
      </c>
      <c r="C1834" s="1">
        <v>45737</v>
      </c>
      <c r="D1834" t="str">
        <f>"188"</f>
        <v>188</v>
      </c>
      <c r="E1834" t="str">
        <f>"61810100"</f>
        <v>61810100</v>
      </c>
      <c r="F1834" t="s">
        <v>3094</v>
      </c>
      <c r="G1834" t="s">
        <v>336</v>
      </c>
      <c r="H1834" t="s">
        <v>5953</v>
      </c>
      <c r="I1834">
        <v>0</v>
      </c>
      <c r="J1834" t="s">
        <v>343</v>
      </c>
      <c r="K1834">
        <v>300000</v>
      </c>
      <c r="M1834">
        <v>300000</v>
      </c>
    </row>
    <row r="1835" spans="1:13" x14ac:dyDescent="0.35">
      <c r="A1835" t="str">
        <f t="shared" si="108"/>
        <v>PMN064573718863170000</v>
      </c>
      <c r="B1835" t="s">
        <v>3056</v>
      </c>
      <c r="C1835" s="1">
        <v>45737</v>
      </c>
      <c r="D1835" t="str">
        <f>"188"</f>
        <v>188</v>
      </c>
      <c r="E1835" t="str">
        <f>"63170000"</f>
        <v>63170000</v>
      </c>
      <c r="F1835" t="s">
        <v>3094</v>
      </c>
      <c r="G1835" t="s">
        <v>336</v>
      </c>
      <c r="H1835" t="s">
        <v>347</v>
      </c>
      <c r="I1835">
        <v>0</v>
      </c>
      <c r="J1835" t="s">
        <v>343</v>
      </c>
      <c r="K1835">
        <v>2550</v>
      </c>
      <c r="M1835">
        <v>2550</v>
      </c>
    </row>
    <row r="1836" spans="1:13" x14ac:dyDescent="0.35">
      <c r="A1836" t="str">
        <f t="shared" si="108"/>
        <v>PMN064573718963170000</v>
      </c>
      <c r="B1836" t="s">
        <v>3056</v>
      </c>
      <c r="C1836" s="1">
        <v>45737</v>
      </c>
      <c r="D1836" t="str">
        <f>"189"</f>
        <v>189</v>
      </c>
      <c r="E1836" t="str">
        <f>"63170000"</f>
        <v>63170000</v>
      </c>
      <c r="F1836" t="s">
        <v>3087</v>
      </c>
      <c r="G1836" t="s">
        <v>336</v>
      </c>
      <c r="H1836" t="s">
        <v>347</v>
      </c>
      <c r="I1836">
        <v>0</v>
      </c>
      <c r="J1836" t="s">
        <v>343</v>
      </c>
      <c r="K1836">
        <v>8500</v>
      </c>
      <c r="M1836">
        <v>8500</v>
      </c>
    </row>
    <row r="1837" spans="1:13" x14ac:dyDescent="0.35">
      <c r="A1837" t="str">
        <f t="shared" si="108"/>
        <v>PMN064573719063170000</v>
      </c>
      <c r="B1837" t="s">
        <v>3056</v>
      </c>
      <c r="C1837" s="1">
        <v>45737</v>
      </c>
      <c r="D1837" t="str">
        <f>"190"</f>
        <v>190</v>
      </c>
      <c r="E1837" t="str">
        <f>"63170000"</f>
        <v>63170000</v>
      </c>
      <c r="F1837" t="s">
        <v>3095</v>
      </c>
      <c r="G1837" t="s">
        <v>336</v>
      </c>
      <c r="H1837" t="s">
        <v>347</v>
      </c>
      <c r="I1837">
        <v>0</v>
      </c>
      <c r="J1837" t="s">
        <v>343</v>
      </c>
      <c r="K1837">
        <v>114082</v>
      </c>
      <c r="M1837">
        <v>114082</v>
      </c>
    </row>
    <row r="1838" spans="1:13" x14ac:dyDescent="0.35">
      <c r="A1838" t="str">
        <f t="shared" si="108"/>
        <v>PMN064574019163170000</v>
      </c>
      <c r="B1838" t="s">
        <v>3056</v>
      </c>
      <c r="C1838" s="1">
        <v>45740</v>
      </c>
      <c r="D1838" t="str">
        <f>"191"</f>
        <v>191</v>
      </c>
      <c r="E1838" t="str">
        <f>"63170000"</f>
        <v>63170000</v>
      </c>
      <c r="F1838" t="s">
        <v>3096</v>
      </c>
      <c r="G1838" t="s">
        <v>336</v>
      </c>
      <c r="H1838" t="s">
        <v>347</v>
      </c>
      <c r="I1838">
        <v>0</v>
      </c>
      <c r="J1838" t="s">
        <v>343</v>
      </c>
      <c r="K1838">
        <v>2550</v>
      </c>
      <c r="M1838">
        <v>2550</v>
      </c>
    </row>
    <row r="1839" spans="1:13" x14ac:dyDescent="0.35">
      <c r="A1839" t="str">
        <f t="shared" si="108"/>
        <v>PMN064574019361810000</v>
      </c>
      <c r="B1839" t="s">
        <v>3056</v>
      </c>
      <c r="C1839" s="1">
        <v>45740</v>
      </c>
      <c r="D1839" t="str">
        <f>"193"</f>
        <v>193</v>
      </c>
      <c r="E1839" t="str">
        <f>"61810000"</f>
        <v>61810000</v>
      </c>
      <c r="F1839" t="s">
        <v>3099</v>
      </c>
      <c r="G1839" t="s">
        <v>336</v>
      </c>
      <c r="H1839" t="s">
        <v>5878</v>
      </c>
      <c r="I1839">
        <v>0</v>
      </c>
      <c r="J1839" t="s">
        <v>343</v>
      </c>
      <c r="K1839">
        <v>70000</v>
      </c>
      <c r="M1839">
        <v>70000</v>
      </c>
    </row>
    <row r="1840" spans="1:13" x14ac:dyDescent="0.35">
      <c r="A1840" t="str">
        <f t="shared" si="108"/>
        <v>PMN064574019361830000</v>
      </c>
      <c r="B1840" t="s">
        <v>3056</v>
      </c>
      <c r="C1840" s="1">
        <v>45740</v>
      </c>
      <c r="D1840" t="str">
        <f>"193"</f>
        <v>193</v>
      </c>
      <c r="E1840" t="str">
        <f>"61830000"</f>
        <v>61830000</v>
      </c>
      <c r="F1840" t="s">
        <v>3100</v>
      </c>
      <c r="G1840" t="s">
        <v>336</v>
      </c>
      <c r="H1840" t="s">
        <v>5878</v>
      </c>
      <c r="I1840">
        <v>0</v>
      </c>
      <c r="J1840" t="s">
        <v>343</v>
      </c>
      <c r="K1840">
        <v>75000</v>
      </c>
      <c r="M1840">
        <v>75000</v>
      </c>
    </row>
    <row r="1841" spans="1:13" x14ac:dyDescent="0.35">
      <c r="A1841" t="str">
        <f t="shared" si="108"/>
        <v>PMN064574019363170000</v>
      </c>
      <c r="B1841" t="s">
        <v>3056</v>
      </c>
      <c r="C1841" s="1">
        <v>45740</v>
      </c>
      <c r="D1841" t="str">
        <f>"193"</f>
        <v>193</v>
      </c>
      <c r="E1841" t="str">
        <f>"63170000"</f>
        <v>63170000</v>
      </c>
      <c r="F1841" t="s">
        <v>3098</v>
      </c>
      <c r="G1841" t="s">
        <v>336</v>
      </c>
      <c r="H1841" t="s">
        <v>347</v>
      </c>
      <c r="I1841">
        <v>0</v>
      </c>
      <c r="J1841" t="s">
        <v>343</v>
      </c>
      <c r="K1841">
        <v>1232</v>
      </c>
      <c r="M1841">
        <v>1232</v>
      </c>
    </row>
    <row r="1842" spans="1:13" x14ac:dyDescent="0.35">
      <c r="A1842" t="str">
        <f t="shared" si="108"/>
        <v>PMN064574019461810100</v>
      </c>
      <c r="B1842" t="s">
        <v>3056</v>
      </c>
      <c r="C1842" s="1">
        <v>45740</v>
      </c>
      <c r="D1842" t="str">
        <f>"194"</f>
        <v>194</v>
      </c>
      <c r="E1842" t="str">
        <f>"61810100"</f>
        <v>61810100</v>
      </c>
      <c r="F1842" t="s">
        <v>3101</v>
      </c>
      <c r="G1842" t="s">
        <v>336</v>
      </c>
      <c r="H1842" t="s">
        <v>5957</v>
      </c>
      <c r="I1842">
        <v>0</v>
      </c>
      <c r="J1842" t="s">
        <v>343</v>
      </c>
      <c r="K1842">
        <v>45000</v>
      </c>
      <c r="M1842">
        <v>45000</v>
      </c>
    </row>
    <row r="1843" spans="1:13" x14ac:dyDescent="0.35">
      <c r="A1843" t="str">
        <f t="shared" si="108"/>
        <v>PMN064574019463170000</v>
      </c>
      <c r="B1843" t="s">
        <v>3056</v>
      </c>
      <c r="C1843" s="1">
        <v>45740</v>
      </c>
      <c r="D1843" t="str">
        <f>"194"</f>
        <v>194</v>
      </c>
      <c r="E1843" t="str">
        <f>"63170000"</f>
        <v>63170000</v>
      </c>
      <c r="F1843" t="s">
        <v>3101</v>
      </c>
      <c r="G1843" t="s">
        <v>336</v>
      </c>
      <c r="H1843" t="s">
        <v>347</v>
      </c>
      <c r="I1843">
        <v>0</v>
      </c>
      <c r="J1843" t="s">
        <v>343</v>
      </c>
      <c r="K1843">
        <v>382</v>
      </c>
      <c r="M1843">
        <v>382</v>
      </c>
    </row>
    <row r="1844" spans="1:13" x14ac:dyDescent="0.35">
      <c r="A1844" t="str">
        <f t="shared" si="108"/>
        <v>PMN064574019561810100</v>
      </c>
      <c r="B1844" t="s">
        <v>3056</v>
      </c>
      <c r="C1844" s="1">
        <v>45740</v>
      </c>
      <c r="D1844" t="str">
        <f>"195"</f>
        <v>195</v>
      </c>
      <c r="E1844" t="str">
        <f>"61810100"</f>
        <v>61810100</v>
      </c>
      <c r="F1844" t="s">
        <v>3102</v>
      </c>
      <c r="G1844" t="s">
        <v>336</v>
      </c>
      <c r="H1844" t="s">
        <v>5957</v>
      </c>
      <c r="I1844">
        <v>0</v>
      </c>
      <c r="J1844" t="s">
        <v>343</v>
      </c>
      <c r="K1844">
        <v>45000</v>
      </c>
      <c r="M1844">
        <v>45000</v>
      </c>
    </row>
    <row r="1845" spans="1:13" x14ac:dyDescent="0.35">
      <c r="A1845" t="str">
        <f t="shared" si="108"/>
        <v>PMN064574019563170000</v>
      </c>
      <c r="B1845" t="s">
        <v>3056</v>
      </c>
      <c r="C1845" s="1">
        <v>45740</v>
      </c>
      <c r="D1845" t="str">
        <f>"195"</f>
        <v>195</v>
      </c>
      <c r="E1845" t="str">
        <f>"63170000"</f>
        <v>63170000</v>
      </c>
      <c r="F1845" t="s">
        <v>3102</v>
      </c>
      <c r="G1845" t="s">
        <v>336</v>
      </c>
      <c r="H1845" t="s">
        <v>347</v>
      </c>
      <c r="I1845">
        <v>0</v>
      </c>
      <c r="J1845" t="s">
        <v>343</v>
      </c>
      <c r="K1845">
        <v>382</v>
      </c>
      <c r="M1845">
        <v>382</v>
      </c>
    </row>
    <row r="1846" spans="1:13" x14ac:dyDescent="0.35">
      <c r="A1846" t="str">
        <f t="shared" si="108"/>
        <v>PMN064574019663170000</v>
      </c>
      <c r="B1846" t="s">
        <v>3056</v>
      </c>
      <c r="C1846" s="1">
        <v>45740</v>
      </c>
      <c r="D1846" t="str">
        <f>"196"</f>
        <v>196</v>
      </c>
      <c r="E1846" t="str">
        <f>"63170000"</f>
        <v>63170000</v>
      </c>
      <c r="F1846" t="s">
        <v>3103</v>
      </c>
      <c r="G1846" t="s">
        <v>336</v>
      </c>
      <c r="H1846" t="s">
        <v>347</v>
      </c>
      <c r="I1846">
        <v>0</v>
      </c>
      <c r="J1846" t="s">
        <v>343</v>
      </c>
      <c r="K1846">
        <v>1275</v>
      </c>
      <c r="M1846">
        <v>1275</v>
      </c>
    </row>
    <row r="1847" spans="1:13" x14ac:dyDescent="0.35">
      <c r="A1847" t="str">
        <f t="shared" si="108"/>
        <v>PMN064574119761830000</v>
      </c>
      <c r="B1847" t="s">
        <v>3056</v>
      </c>
      <c r="C1847" s="1">
        <v>45741</v>
      </c>
      <c r="D1847" t="str">
        <f t="shared" ref="D1847:D1852" si="109">"197"</f>
        <v>197</v>
      </c>
      <c r="E1847" t="str">
        <f>"61830000"</f>
        <v>61830000</v>
      </c>
      <c r="F1847" t="s">
        <v>3105</v>
      </c>
      <c r="G1847" t="s">
        <v>336</v>
      </c>
      <c r="H1847" t="s">
        <v>5928</v>
      </c>
      <c r="I1847">
        <v>0</v>
      </c>
      <c r="J1847" t="s">
        <v>343</v>
      </c>
      <c r="K1847">
        <v>409000</v>
      </c>
      <c r="M1847">
        <v>409000</v>
      </c>
    </row>
    <row r="1848" spans="1:13" x14ac:dyDescent="0.35">
      <c r="A1848" t="str">
        <f t="shared" si="108"/>
        <v>PMN064574119762420000</v>
      </c>
      <c r="B1848" t="s">
        <v>3056</v>
      </c>
      <c r="C1848" s="1">
        <v>45741</v>
      </c>
      <c r="D1848" t="str">
        <f t="shared" si="109"/>
        <v>197</v>
      </c>
      <c r="E1848" t="str">
        <f>"62420000"</f>
        <v>62420000</v>
      </c>
      <c r="F1848" t="s">
        <v>3106</v>
      </c>
      <c r="G1848" t="s">
        <v>336</v>
      </c>
      <c r="H1848" t="s">
        <v>5928</v>
      </c>
      <c r="I1848">
        <v>0</v>
      </c>
      <c r="J1848" t="s">
        <v>343</v>
      </c>
      <c r="K1848">
        <v>4000</v>
      </c>
      <c r="M1848">
        <v>4000</v>
      </c>
    </row>
    <row r="1849" spans="1:13" x14ac:dyDescent="0.35">
      <c r="A1849" t="str">
        <f t="shared" si="108"/>
        <v>PMN064574119762425000</v>
      </c>
      <c r="B1849" t="s">
        <v>3056</v>
      </c>
      <c r="C1849" s="1">
        <v>45741</v>
      </c>
      <c r="D1849" t="str">
        <f t="shared" si="109"/>
        <v>197</v>
      </c>
      <c r="E1849" t="str">
        <f>"62425000"</f>
        <v>62425000</v>
      </c>
      <c r="F1849" t="s">
        <v>2460</v>
      </c>
      <c r="G1849" t="s">
        <v>336</v>
      </c>
      <c r="H1849" t="s">
        <v>5928</v>
      </c>
      <c r="I1849">
        <v>0</v>
      </c>
      <c r="J1849" t="s">
        <v>343</v>
      </c>
      <c r="K1849">
        <v>3000</v>
      </c>
      <c r="M1849">
        <v>3000</v>
      </c>
    </row>
    <row r="1850" spans="1:13" x14ac:dyDescent="0.35">
      <c r="A1850" t="str">
        <f t="shared" si="108"/>
        <v>PMN064574119763170000</v>
      </c>
      <c r="B1850" t="s">
        <v>3056</v>
      </c>
      <c r="C1850" s="1">
        <v>45741</v>
      </c>
      <c r="D1850" t="str">
        <f t="shared" si="109"/>
        <v>197</v>
      </c>
      <c r="E1850" t="str">
        <f>"63170000"</f>
        <v>63170000</v>
      </c>
      <c r="F1850" t="s">
        <v>3107</v>
      </c>
      <c r="G1850" t="s">
        <v>336</v>
      </c>
      <c r="H1850" t="s">
        <v>347</v>
      </c>
      <c r="I1850">
        <v>0</v>
      </c>
      <c r="J1850" t="s">
        <v>343</v>
      </c>
      <c r="K1850">
        <v>3655</v>
      </c>
      <c r="M1850">
        <v>3655</v>
      </c>
    </row>
    <row r="1851" spans="1:13" x14ac:dyDescent="0.35">
      <c r="A1851" t="str">
        <f t="shared" si="108"/>
        <v>PMN064574119763883000</v>
      </c>
      <c r="B1851" t="s">
        <v>3056</v>
      </c>
      <c r="C1851" s="1">
        <v>45741</v>
      </c>
      <c r="D1851" t="str">
        <f t="shared" si="109"/>
        <v>197</v>
      </c>
      <c r="E1851" t="str">
        <f>"63883000"</f>
        <v>63883000</v>
      </c>
      <c r="F1851" t="s">
        <v>2383</v>
      </c>
      <c r="G1851" t="s">
        <v>336</v>
      </c>
      <c r="H1851" t="s">
        <v>5945</v>
      </c>
      <c r="I1851">
        <v>0</v>
      </c>
      <c r="J1851" t="s">
        <v>343</v>
      </c>
      <c r="K1851">
        <v>3000</v>
      </c>
      <c r="M1851">
        <v>3000</v>
      </c>
    </row>
    <row r="1852" spans="1:13" x14ac:dyDescent="0.35">
      <c r="A1852" t="str">
        <f t="shared" si="108"/>
        <v>PMN064574119764685000</v>
      </c>
      <c r="B1852" t="s">
        <v>3056</v>
      </c>
      <c r="C1852" s="1">
        <v>45741</v>
      </c>
      <c r="D1852" t="str">
        <f t="shared" si="109"/>
        <v>197</v>
      </c>
      <c r="E1852" t="str">
        <f>"64685000"</f>
        <v>64685000</v>
      </c>
      <c r="F1852" t="s">
        <v>3108</v>
      </c>
      <c r="G1852" t="s">
        <v>336</v>
      </c>
      <c r="H1852" t="s">
        <v>5928</v>
      </c>
      <c r="I1852">
        <v>0</v>
      </c>
      <c r="J1852" t="s">
        <v>343</v>
      </c>
      <c r="K1852">
        <v>11000</v>
      </c>
      <c r="M1852">
        <v>11000</v>
      </c>
    </row>
    <row r="1853" spans="1:13" x14ac:dyDescent="0.35">
      <c r="A1853" t="str">
        <f t="shared" si="108"/>
        <v>PMN064574219863170000</v>
      </c>
      <c r="B1853" t="s">
        <v>3056</v>
      </c>
      <c r="C1853" s="1">
        <v>45742</v>
      </c>
      <c r="D1853" t="str">
        <f>"198"</f>
        <v>198</v>
      </c>
      <c r="E1853" t="str">
        <f>"63170000"</f>
        <v>63170000</v>
      </c>
      <c r="F1853" t="s">
        <v>3109</v>
      </c>
      <c r="G1853" t="s">
        <v>336</v>
      </c>
      <c r="H1853" t="s">
        <v>347</v>
      </c>
      <c r="I1853">
        <v>0</v>
      </c>
      <c r="J1853" t="s">
        <v>343</v>
      </c>
      <c r="K1853">
        <v>17000</v>
      </c>
      <c r="M1853">
        <v>17000</v>
      </c>
    </row>
    <row r="1854" spans="1:13" x14ac:dyDescent="0.35">
      <c r="A1854" t="str">
        <f t="shared" si="108"/>
        <v>PMN064574219961810100</v>
      </c>
      <c r="B1854" t="s">
        <v>3056</v>
      </c>
      <c r="C1854" s="1">
        <v>45742</v>
      </c>
      <c r="D1854" t="str">
        <f>"199"</f>
        <v>199</v>
      </c>
      <c r="E1854" t="str">
        <f>"61810100"</f>
        <v>61810100</v>
      </c>
      <c r="F1854" t="s">
        <v>3110</v>
      </c>
      <c r="G1854" t="s">
        <v>336</v>
      </c>
      <c r="H1854" t="s">
        <v>5953</v>
      </c>
      <c r="I1854">
        <v>0</v>
      </c>
      <c r="J1854" t="s">
        <v>343</v>
      </c>
      <c r="K1854">
        <v>300000</v>
      </c>
      <c r="M1854">
        <v>300000</v>
      </c>
    </row>
    <row r="1855" spans="1:13" x14ac:dyDescent="0.35">
      <c r="A1855" t="str">
        <f t="shared" si="108"/>
        <v>PMN064574219963170000</v>
      </c>
      <c r="B1855" t="s">
        <v>3056</v>
      </c>
      <c r="C1855" s="1">
        <v>45742</v>
      </c>
      <c r="D1855" t="str">
        <f>"199"</f>
        <v>199</v>
      </c>
      <c r="E1855" t="str">
        <f>"63170000"</f>
        <v>63170000</v>
      </c>
      <c r="F1855" t="s">
        <v>3110</v>
      </c>
      <c r="G1855" t="s">
        <v>336</v>
      </c>
      <c r="H1855" t="s">
        <v>347</v>
      </c>
      <c r="I1855">
        <v>0</v>
      </c>
      <c r="J1855" t="s">
        <v>343</v>
      </c>
      <c r="K1855">
        <v>2550</v>
      </c>
      <c r="M1855">
        <v>2550</v>
      </c>
    </row>
    <row r="1856" spans="1:13" x14ac:dyDescent="0.35">
      <c r="A1856" t="str">
        <f t="shared" si="108"/>
        <v>PMN064574420063170000</v>
      </c>
      <c r="B1856" t="s">
        <v>3056</v>
      </c>
      <c r="C1856" s="1">
        <v>45744</v>
      </c>
      <c r="D1856" t="str">
        <f>"200"</f>
        <v>200</v>
      </c>
      <c r="E1856" t="str">
        <f>"63170000"</f>
        <v>63170000</v>
      </c>
      <c r="F1856" t="s">
        <v>3111</v>
      </c>
      <c r="G1856" t="s">
        <v>336</v>
      </c>
      <c r="H1856" t="s">
        <v>347</v>
      </c>
      <c r="I1856">
        <v>0</v>
      </c>
      <c r="J1856" t="s">
        <v>343</v>
      </c>
      <c r="K1856">
        <v>2125</v>
      </c>
      <c r="M1856">
        <v>2125</v>
      </c>
    </row>
    <row r="1857" spans="1:13" x14ac:dyDescent="0.35">
      <c r="A1857" t="str">
        <f t="shared" si="108"/>
        <v>PMN064574420064630100</v>
      </c>
      <c r="B1857" t="s">
        <v>3056</v>
      </c>
      <c r="C1857" s="1">
        <v>45744</v>
      </c>
      <c r="D1857" t="str">
        <f>"200"</f>
        <v>200</v>
      </c>
      <c r="E1857" t="str">
        <f>"64630100"</f>
        <v>64630100</v>
      </c>
      <c r="F1857" t="s">
        <v>3111</v>
      </c>
      <c r="G1857" t="s">
        <v>336</v>
      </c>
      <c r="H1857" t="s">
        <v>5956</v>
      </c>
      <c r="I1857">
        <v>0</v>
      </c>
      <c r="J1857" t="s">
        <v>343</v>
      </c>
      <c r="K1857">
        <v>250000</v>
      </c>
      <c r="M1857">
        <v>250000</v>
      </c>
    </row>
    <row r="1858" spans="1:13" x14ac:dyDescent="0.35">
      <c r="A1858" t="str">
        <f t="shared" si="108"/>
        <v>PMN064574420163170000</v>
      </c>
      <c r="B1858" t="s">
        <v>3056</v>
      </c>
      <c r="C1858" s="1">
        <v>45744</v>
      </c>
      <c r="D1858" t="str">
        <f>"201"</f>
        <v>201</v>
      </c>
      <c r="E1858" t="str">
        <f>"63170000"</f>
        <v>63170000</v>
      </c>
      <c r="F1858" t="s">
        <v>3112</v>
      </c>
      <c r="G1858" t="s">
        <v>336</v>
      </c>
      <c r="H1858" t="s">
        <v>347</v>
      </c>
      <c r="I1858">
        <v>0</v>
      </c>
      <c r="J1858" t="s">
        <v>343</v>
      </c>
      <c r="K1858">
        <v>163863</v>
      </c>
      <c r="M1858">
        <v>163863</v>
      </c>
    </row>
    <row r="1859" spans="1:13" x14ac:dyDescent="0.35">
      <c r="A1859" t="str">
        <f t="shared" ref="A1859:A1922" si="110">CONCATENATE(B1859,C1859,D1859,E1859)</f>
        <v>PMN064574420263170000</v>
      </c>
      <c r="B1859" t="s">
        <v>3056</v>
      </c>
      <c r="C1859" s="1">
        <v>45744</v>
      </c>
      <c r="D1859" t="str">
        <f t="shared" ref="D1859:D1865" si="111">"202"</f>
        <v>202</v>
      </c>
      <c r="E1859" t="str">
        <f>"63170000"</f>
        <v>63170000</v>
      </c>
      <c r="F1859" t="s">
        <v>3113</v>
      </c>
      <c r="G1859" t="s">
        <v>336</v>
      </c>
      <c r="H1859" t="s">
        <v>347</v>
      </c>
      <c r="I1859">
        <v>0</v>
      </c>
      <c r="J1859" t="s">
        <v>343</v>
      </c>
      <c r="K1859">
        <v>19267</v>
      </c>
      <c r="M1859">
        <v>19267</v>
      </c>
    </row>
    <row r="1860" spans="1:13" x14ac:dyDescent="0.35">
      <c r="A1860" t="str">
        <f t="shared" si="110"/>
        <v>PMN064574420266181000</v>
      </c>
      <c r="B1860" t="s">
        <v>3056</v>
      </c>
      <c r="C1860" s="1">
        <v>45744</v>
      </c>
      <c r="D1860" t="str">
        <f t="shared" si="111"/>
        <v>202</v>
      </c>
      <c r="E1860" t="str">
        <f t="shared" ref="E1860:E1865" si="112">"66181000"</f>
        <v>66181000</v>
      </c>
      <c r="F1860" t="s">
        <v>3113</v>
      </c>
      <c r="G1860" t="s">
        <v>336</v>
      </c>
      <c r="H1860" t="s">
        <v>5909</v>
      </c>
      <c r="I1860">
        <v>0</v>
      </c>
      <c r="J1860" t="s">
        <v>343</v>
      </c>
      <c r="K1860">
        <v>400000</v>
      </c>
      <c r="M1860">
        <v>2266666</v>
      </c>
    </row>
    <row r="1861" spans="1:13" x14ac:dyDescent="0.35">
      <c r="A1861" t="str">
        <f t="shared" si="110"/>
        <v>PMN064574420266181000</v>
      </c>
      <c r="B1861" t="s">
        <v>3056</v>
      </c>
      <c r="C1861" s="1">
        <v>45744</v>
      </c>
      <c r="D1861" t="str">
        <f t="shared" si="111"/>
        <v>202</v>
      </c>
      <c r="E1861" t="str">
        <f t="shared" si="112"/>
        <v>66181000</v>
      </c>
      <c r="F1861" t="s">
        <v>3113</v>
      </c>
      <c r="G1861" t="s">
        <v>336</v>
      </c>
      <c r="H1861" t="s">
        <v>5914</v>
      </c>
      <c r="I1861">
        <v>0</v>
      </c>
      <c r="J1861" t="s">
        <v>343</v>
      </c>
      <c r="K1861">
        <v>350000</v>
      </c>
      <c r="M1861">
        <v>2266666</v>
      </c>
    </row>
    <row r="1862" spans="1:13" x14ac:dyDescent="0.35">
      <c r="A1862" t="str">
        <f t="shared" si="110"/>
        <v>PMN064574420266181000</v>
      </c>
      <c r="B1862" t="s">
        <v>3056</v>
      </c>
      <c r="C1862" s="1">
        <v>45744</v>
      </c>
      <c r="D1862" t="str">
        <f t="shared" si="111"/>
        <v>202</v>
      </c>
      <c r="E1862" t="str">
        <f t="shared" si="112"/>
        <v>66181000</v>
      </c>
      <c r="F1862" t="s">
        <v>3113</v>
      </c>
      <c r="G1862" t="s">
        <v>336</v>
      </c>
      <c r="H1862" t="s">
        <v>5902</v>
      </c>
      <c r="I1862">
        <v>0</v>
      </c>
      <c r="J1862" t="s">
        <v>343</v>
      </c>
      <c r="K1862">
        <v>423333</v>
      </c>
      <c r="M1862">
        <v>2266666</v>
      </c>
    </row>
    <row r="1863" spans="1:13" x14ac:dyDescent="0.35">
      <c r="A1863" t="str">
        <f t="shared" si="110"/>
        <v>PMN064574420266181000</v>
      </c>
      <c r="B1863" t="s">
        <v>3056</v>
      </c>
      <c r="C1863" s="1">
        <v>45744</v>
      </c>
      <c r="D1863" t="str">
        <f t="shared" si="111"/>
        <v>202</v>
      </c>
      <c r="E1863" t="str">
        <f t="shared" si="112"/>
        <v>66181000</v>
      </c>
      <c r="F1863" t="s">
        <v>3113</v>
      </c>
      <c r="G1863" t="s">
        <v>336</v>
      </c>
      <c r="H1863" t="s">
        <v>5912</v>
      </c>
      <c r="I1863">
        <v>0</v>
      </c>
      <c r="J1863" t="s">
        <v>343</v>
      </c>
      <c r="K1863">
        <v>400000</v>
      </c>
      <c r="M1863">
        <v>2266666</v>
      </c>
    </row>
    <row r="1864" spans="1:13" x14ac:dyDescent="0.35">
      <c r="A1864" t="str">
        <f t="shared" si="110"/>
        <v>PMN064574420266181000</v>
      </c>
      <c r="B1864" t="s">
        <v>3056</v>
      </c>
      <c r="C1864" s="1">
        <v>45744</v>
      </c>
      <c r="D1864" t="str">
        <f t="shared" si="111"/>
        <v>202</v>
      </c>
      <c r="E1864" t="str">
        <f t="shared" si="112"/>
        <v>66181000</v>
      </c>
      <c r="F1864" t="s">
        <v>3113</v>
      </c>
      <c r="G1864" t="s">
        <v>336</v>
      </c>
      <c r="H1864" t="s">
        <v>5935</v>
      </c>
      <c r="I1864">
        <v>0</v>
      </c>
      <c r="J1864" t="s">
        <v>343</v>
      </c>
      <c r="K1864">
        <v>493333</v>
      </c>
      <c r="M1864">
        <v>2266666</v>
      </c>
    </row>
    <row r="1865" spans="1:13" x14ac:dyDescent="0.35">
      <c r="A1865" t="str">
        <f t="shared" si="110"/>
        <v>PMN064574420266181000</v>
      </c>
      <c r="B1865" t="s">
        <v>3056</v>
      </c>
      <c r="C1865" s="1">
        <v>45744</v>
      </c>
      <c r="D1865" t="str">
        <f t="shared" si="111"/>
        <v>202</v>
      </c>
      <c r="E1865" t="str">
        <f t="shared" si="112"/>
        <v>66181000</v>
      </c>
      <c r="F1865" t="s">
        <v>3113</v>
      </c>
      <c r="G1865" t="s">
        <v>336</v>
      </c>
      <c r="H1865" t="s">
        <v>5913</v>
      </c>
      <c r="I1865">
        <v>0</v>
      </c>
      <c r="J1865" t="s">
        <v>343</v>
      </c>
      <c r="K1865">
        <v>200000</v>
      </c>
      <c r="M1865">
        <v>2266666</v>
      </c>
    </row>
    <row r="1866" spans="1:13" x14ac:dyDescent="0.35">
      <c r="A1866" t="str">
        <f t="shared" si="110"/>
        <v>STKCDG45717117060440000</v>
      </c>
      <c r="B1866" t="s">
        <v>3115</v>
      </c>
      <c r="C1866" s="1">
        <v>45717</v>
      </c>
      <c r="D1866" t="str">
        <f>"1170"</f>
        <v>1170</v>
      </c>
      <c r="E1866" t="str">
        <f t="shared" ref="E1866:E1874" si="113">"60440000"</f>
        <v>60440000</v>
      </c>
      <c r="F1866" t="s">
        <v>3117</v>
      </c>
      <c r="G1866" t="s">
        <v>336</v>
      </c>
      <c r="H1866" t="s">
        <v>5881</v>
      </c>
      <c r="I1866">
        <v>0</v>
      </c>
      <c r="J1866" t="s">
        <v>343</v>
      </c>
      <c r="K1866">
        <v>43950</v>
      </c>
      <c r="M1866">
        <v>43950</v>
      </c>
    </row>
    <row r="1867" spans="1:13" x14ac:dyDescent="0.35">
      <c r="A1867" t="str">
        <f t="shared" si="110"/>
        <v>STKCDG45717117160440000</v>
      </c>
      <c r="B1867" t="s">
        <v>3115</v>
      </c>
      <c r="C1867" s="1">
        <v>45717</v>
      </c>
      <c r="D1867" t="str">
        <f>"1171"</f>
        <v>1171</v>
      </c>
      <c r="E1867" t="str">
        <f t="shared" si="113"/>
        <v>60440000</v>
      </c>
      <c r="F1867" t="s">
        <v>3119</v>
      </c>
      <c r="G1867" t="s">
        <v>336</v>
      </c>
      <c r="H1867" t="s">
        <v>5875</v>
      </c>
      <c r="I1867">
        <v>0</v>
      </c>
      <c r="J1867" t="s">
        <v>343</v>
      </c>
      <c r="K1867">
        <v>33979</v>
      </c>
      <c r="M1867">
        <v>33979</v>
      </c>
    </row>
    <row r="1868" spans="1:13" x14ac:dyDescent="0.35">
      <c r="A1868" t="str">
        <f t="shared" si="110"/>
        <v>STKCDG45717117260440000</v>
      </c>
      <c r="B1868" t="s">
        <v>3115</v>
      </c>
      <c r="C1868" s="1">
        <v>45717</v>
      </c>
      <c r="D1868" t="str">
        <f>"1172"</f>
        <v>1172</v>
      </c>
      <c r="E1868" t="str">
        <f t="shared" si="113"/>
        <v>60440000</v>
      </c>
      <c r="F1868" t="s">
        <v>3121</v>
      </c>
      <c r="G1868" t="s">
        <v>336</v>
      </c>
      <c r="H1868" t="s">
        <v>5880</v>
      </c>
      <c r="I1868">
        <v>0</v>
      </c>
      <c r="J1868" t="s">
        <v>343</v>
      </c>
      <c r="K1868">
        <v>43950</v>
      </c>
      <c r="M1868">
        <v>43950</v>
      </c>
    </row>
    <row r="1869" spans="1:13" x14ac:dyDescent="0.35">
      <c r="A1869" t="str">
        <f t="shared" si="110"/>
        <v>STKCDG45717117360440000</v>
      </c>
      <c r="B1869" t="s">
        <v>3115</v>
      </c>
      <c r="C1869" s="1">
        <v>45717</v>
      </c>
      <c r="D1869" t="str">
        <f>"1173"</f>
        <v>1173</v>
      </c>
      <c r="E1869" t="str">
        <f t="shared" si="113"/>
        <v>60440000</v>
      </c>
      <c r="F1869" t="s">
        <v>3123</v>
      </c>
      <c r="G1869" t="s">
        <v>336</v>
      </c>
      <c r="H1869" t="s">
        <v>5875</v>
      </c>
      <c r="I1869">
        <v>0</v>
      </c>
      <c r="J1869" t="s">
        <v>343</v>
      </c>
      <c r="K1869">
        <v>43950</v>
      </c>
      <c r="M1869">
        <v>43950</v>
      </c>
    </row>
    <row r="1870" spans="1:13" x14ac:dyDescent="0.35">
      <c r="A1870" t="str">
        <f t="shared" si="110"/>
        <v>STKCDG45717117460440000</v>
      </c>
      <c r="B1870" t="s">
        <v>3115</v>
      </c>
      <c r="C1870" s="1">
        <v>45717</v>
      </c>
      <c r="D1870" t="str">
        <f>"1174"</f>
        <v>1174</v>
      </c>
      <c r="E1870" t="str">
        <f t="shared" si="113"/>
        <v>60440000</v>
      </c>
      <c r="F1870" t="s">
        <v>3125</v>
      </c>
      <c r="G1870" t="s">
        <v>336</v>
      </c>
      <c r="H1870" t="s">
        <v>5880</v>
      </c>
      <c r="I1870">
        <v>0</v>
      </c>
      <c r="J1870" t="s">
        <v>343</v>
      </c>
      <c r="K1870">
        <v>30961</v>
      </c>
      <c r="M1870">
        <v>30961</v>
      </c>
    </row>
    <row r="1871" spans="1:13" x14ac:dyDescent="0.35">
      <c r="A1871" t="str">
        <f t="shared" si="110"/>
        <v>STKCDG45717117560440000</v>
      </c>
      <c r="B1871" t="s">
        <v>3115</v>
      </c>
      <c r="C1871" s="1">
        <v>45717</v>
      </c>
      <c r="D1871" t="str">
        <f>"1175"</f>
        <v>1175</v>
      </c>
      <c r="E1871" t="str">
        <f t="shared" si="113"/>
        <v>60440000</v>
      </c>
      <c r="F1871" t="s">
        <v>3127</v>
      </c>
      <c r="G1871" t="s">
        <v>336</v>
      </c>
      <c r="H1871" t="s">
        <v>5880</v>
      </c>
      <c r="I1871">
        <v>0</v>
      </c>
      <c r="J1871" t="s">
        <v>343</v>
      </c>
      <c r="K1871">
        <v>22959</v>
      </c>
      <c r="M1871">
        <v>22959</v>
      </c>
    </row>
    <row r="1872" spans="1:13" x14ac:dyDescent="0.35">
      <c r="A1872" t="str">
        <f t="shared" si="110"/>
        <v>STKCDG45717117660440000</v>
      </c>
      <c r="B1872" t="s">
        <v>3115</v>
      </c>
      <c r="C1872" s="1">
        <v>45717</v>
      </c>
      <c r="D1872" t="str">
        <f>"1176"</f>
        <v>1176</v>
      </c>
      <c r="E1872" t="str">
        <f t="shared" si="113"/>
        <v>60440000</v>
      </c>
      <c r="F1872" t="s">
        <v>3129</v>
      </c>
      <c r="G1872" t="s">
        <v>336</v>
      </c>
      <c r="H1872" t="s">
        <v>5875</v>
      </c>
      <c r="I1872">
        <v>0</v>
      </c>
      <c r="J1872" t="s">
        <v>343</v>
      </c>
      <c r="K1872">
        <v>181701</v>
      </c>
      <c r="M1872">
        <v>181701</v>
      </c>
    </row>
    <row r="1873" spans="1:13" x14ac:dyDescent="0.35">
      <c r="A1873" t="str">
        <f t="shared" si="110"/>
        <v>STKCDG45717117760440000</v>
      </c>
      <c r="B1873" t="s">
        <v>3115</v>
      </c>
      <c r="C1873" s="1">
        <v>45717</v>
      </c>
      <c r="D1873" t="str">
        <f>"1177"</f>
        <v>1177</v>
      </c>
      <c r="E1873" t="str">
        <f t="shared" si="113"/>
        <v>60440000</v>
      </c>
      <c r="F1873" t="s">
        <v>3131</v>
      </c>
      <c r="G1873" t="s">
        <v>336</v>
      </c>
      <c r="H1873" t="s">
        <v>5874</v>
      </c>
      <c r="I1873">
        <v>0</v>
      </c>
      <c r="J1873" t="s">
        <v>343</v>
      </c>
      <c r="K1873">
        <v>40801</v>
      </c>
      <c r="M1873">
        <v>40801</v>
      </c>
    </row>
    <row r="1874" spans="1:13" x14ac:dyDescent="0.35">
      <c r="A1874" t="str">
        <f t="shared" si="110"/>
        <v>STKCDG45717117860440000</v>
      </c>
      <c r="B1874" t="s">
        <v>3115</v>
      </c>
      <c r="C1874" s="1">
        <v>45717</v>
      </c>
      <c r="D1874" t="str">
        <f>"1178"</f>
        <v>1178</v>
      </c>
      <c r="E1874" t="str">
        <f t="shared" si="113"/>
        <v>60440000</v>
      </c>
      <c r="F1874" t="s">
        <v>3133</v>
      </c>
      <c r="G1874" t="s">
        <v>336</v>
      </c>
      <c r="H1874" t="s">
        <v>5966</v>
      </c>
      <c r="I1874">
        <v>0</v>
      </c>
      <c r="J1874" t="s">
        <v>343</v>
      </c>
      <c r="K1874">
        <v>3017</v>
      </c>
      <c r="M1874">
        <v>3017</v>
      </c>
    </row>
    <row r="1875" spans="1:13" x14ac:dyDescent="0.35">
      <c r="A1875" t="str">
        <f t="shared" si="110"/>
        <v>STKCDG45717117960460000</v>
      </c>
      <c r="B1875" t="s">
        <v>3115</v>
      </c>
      <c r="C1875" s="1">
        <v>45717</v>
      </c>
      <c r="D1875" t="str">
        <f>"1179"</f>
        <v>1179</v>
      </c>
      <c r="E1875" t="str">
        <f>"60460000"</f>
        <v>60460000</v>
      </c>
      <c r="F1875" t="s">
        <v>3135</v>
      </c>
      <c r="G1875" t="s">
        <v>336</v>
      </c>
      <c r="H1875" t="s">
        <v>5966</v>
      </c>
      <c r="I1875">
        <v>0</v>
      </c>
      <c r="J1875" t="s">
        <v>343</v>
      </c>
      <c r="K1875">
        <v>3295</v>
      </c>
      <c r="M1875">
        <v>3295</v>
      </c>
    </row>
    <row r="1876" spans="1:13" x14ac:dyDescent="0.35">
      <c r="A1876" t="str">
        <f t="shared" si="110"/>
        <v>STKCDG45717118060410000</v>
      </c>
      <c r="B1876" t="s">
        <v>3115</v>
      </c>
      <c r="C1876" s="1">
        <v>45717</v>
      </c>
      <c r="D1876" t="str">
        <f>"1180"</f>
        <v>1180</v>
      </c>
      <c r="E1876" t="str">
        <f>"60410000"</f>
        <v>60410000</v>
      </c>
      <c r="F1876" t="s">
        <v>3137</v>
      </c>
      <c r="G1876" t="s">
        <v>336</v>
      </c>
      <c r="H1876" t="s">
        <v>5966</v>
      </c>
      <c r="I1876">
        <v>0</v>
      </c>
      <c r="J1876" t="s">
        <v>343</v>
      </c>
      <c r="K1876">
        <v>750</v>
      </c>
      <c r="M1876">
        <v>750</v>
      </c>
    </row>
    <row r="1877" spans="1:13" x14ac:dyDescent="0.35">
      <c r="A1877" t="str">
        <f t="shared" si="110"/>
        <v>STKCDG45717118160460000</v>
      </c>
      <c r="B1877" t="s">
        <v>3115</v>
      </c>
      <c r="C1877" s="1">
        <v>45717</v>
      </c>
      <c r="D1877" t="str">
        <f>"1181"</f>
        <v>1181</v>
      </c>
      <c r="E1877" t="str">
        <f>"60460000"</f>
        <v>60460000</v>
      </c>
      <c r="F1877" t="s">
        <v>3139</v>
      </c>
      <c r="G1877" t="s">
        <v>336</v>
      </c>
      <c r="H1877" t="s">
        <v>5966</v>
      </c>
      <c r="I1877">
        <v>0</v>
      </c>
      <c r="J1877" t="s">
        <v>343</v>
      </c>
      <c r="K1877">
        <v>850</v>
      </c>
      <c r="M1877">
        <v>850</v>
      </c>
    </row>
    <row r="1878" spans="1:13" x14ac:dyDescent="0.35">
      <c r="A1878" t="str">
        <f t="shared" si="110"/>
        <v>STKCDG45717118260460000</v>
      </c>
      <c r="B1878" t="s">
        <v>3115</v>
      </c>
      <c r="C1878" s="1">
        <v>45717</v>
      </c>
      <c r="D1878" t="str">
        <f>"1182"</f>
        <v>1182</v>
      </c>
      <c r="E1878" t="str">
        <f>"60460000"</f>
        <v>60460000</v>
      </c>
      <c r="F1878" t="s">
        <v>3141</v>
      </c>
      <c r="G1878" t="s">
        <v>336</v>
      </c>
      <c r="H1878" t="s">
        <v>5966</v>
      </c>
      <c r="I1878">
        <v>0</v>
      </c>
      <c r="J1878" t="s">
        <v>343</v>
      </c>
      <c r="K1878">
        <v>101</v>
      </c>
      <c r="M1878">
        <v>101</v>
      </c>
    </row>
    <row r="1879" spans="1:13" x14ac:dyDescent="0.35">
      <c r="A1879" t="str">
        <f t="shared" si="110"/>
        <v>STKCDG45717118360410000</v>
      </c>
      <c r="B1879" t="s">
        <v>3115</v>
      </c>
      <c r="C1879" s="1">
        <v>45717</v>
      </c>
      <c r="D1879" t="str">
        <f>"1183"</f>
        <v>1183</v>
      </c>
      <c r="E1879" t="str">
        <f>"60410000"</f>
        <v>60410000</v>
      </c>
      <c r="F1879" t="s">
        <v>3143</v>
      </c>
      <c r="G1879" t="s">
        <v>336</v>
      </c>
      <c r="H1879" t="s">
        <v>5966</v>
      </c>
      <c r="I1879">
        <v>0</v>
      </c>
      <c r="J1879" t="s">
        <v>343</v>
      </c>
      <c r="K1879">
        <v>7864</v>
      </c>
      <c r="M1879">
        <v>7864</v>
      </c>
    </row>
    <row r="1880" spans="1:13" x14ac:dyDescent="0.35">
      <c r="A1880" t="str">
        <f t="shared" si="110"/>
        <v>STKCDG45717118460430000</v>
      </c>
      <c r="B1880" t="s">
        <v>3115</v>
      </c>
      <c r="C1880" s="1">
        <v>45717</v>
      </c>
      <c r="D1880" t="str">
        <f>"1184"</f>
        <v>1184</v>
      </c>
      <c r="E1880" t="str">
        <f>"60430000"</f>
        <v>60430000</v>
      </c>
      <c r="F1880" t="s">
        <v>3145</v>
      </c>
      <c r="G1880" t="s">
        <v>336</v>
      </c>
      <c r="H1880" t="s">
        <v>5880</v>
      </c>
      <c r="I1880">
        <v>0</v>
      </c>
      <c r="J1880" t="s">
        <v>343</v>
      </c>
      <c r="K1880">
        <v>120400</v>
      </c>
      <c r="M1880">
        <v>120400</v>
      </c>
    </row>
    <row r="1881" spans="1:13" x14ac:dyDescent="0.35">
      <c r="A1881" t="str">
        <f t="shared" si="110"/>
        <v>STKCDG45717118560430000</v>
      </c>
      <c r="B1881" t="s">
        <v>3115</v>
      </c>
      <c r="C1881" s="1">
        <v>45717</v>
      </c>
      <c r="D1881" t="str">
        <f>"1185"</f>
        <v>1185</v>
      </c>
      <c r="E1881" t="str">
        <f>"60430000"</f>
        <v>60430000</v>
      </c>
      <c r="F1881" t="s">
        <v>3147</v>
      </c>
      <c r="G1881" t="s">
        <v>336</v>
      </c>
      <c r="H1881" t="s">
        <v>5875</v>
      </c>
      <c r="I1881">
        <v>0</v>
      </c>
      <c r="J1881" t="s">
        <v>343</v>
      </c>
      <c r="K1881">
        <v>114380</v>
      </c>
      <c r="M1881">
        <v>114380</v>
      </c>
    </row>
    <row r="1882" spans="1:13" x14ac:dyDescent="0.35">
      <c r="A1882" t="str">
        <f t="shared" si="110"/>
        <v>STKCDG45717118660440000</v>
      </c>
      <c r="B1882" t="s">
        <v>3115</v>
      </c>
      <c r="C1882" s="1">
        <v>45717</v>
      </c>
      <c r="D1882" t="str">
        <f>"1186"</f>
        <v>1186</v>
      </c>
      <c r="E1882" t="str">
        <f>"60440000"</f>
        <v>60440000</v>
      </c>
      <c r="F1882" t="s">
        <v>3149</v>
      </c>
      <c r="G1882" t="s">
        <v>336</v>
      </c>
      <c r="H1882" t="s">
        <v>5875</v>
      </c>
      <c r="I1882">
        <v>0</v>
      </c>
      <c r="J1882" t="s">
        <v>343</v>
      </c>
      <c r="K1882">
        <v>70516</v>
      </c>
      <c r="M1882">
        <v>70516</v>
      </c>
    </row>
    <row r="1883" spans="1:13" x14ac:dyDescent="0.35">
      <c r="A1883" t="str">
        <f t="shared" si="110"/>
        <v>STKCDG45717118760440000</v>
      </c>
      <c r="B1883" t="s">
        <v>3115</v>
      </c>
      <c r="C1883" s="1">
        <v>45717</v>
      </c>
      <c r="D1883" t="str">
        <f>"1187"</f>
        <v>1187</v>
      </c>
      <c r="E1883" t="str">
        <f>"60440000"</f>
        <v>60440000</v>
      </c>
      <c r="F1883" t="s">
        <v>3151</v>
      </c>
      <c r="G1883" t="s">
        <v>336</v>
      </c>
      <c r="H1883" t="s">
        <v>5966</v>
      </c>
      <c r="I1883">
        <v>0</v>
      </c>
      <c r="J1883" t="s">
        <v>343</v>
      </c>
      <c r="K1883">
        <v>328</v>
      </c>
      <c r="M1883">
        <v>328</v>
      </c>
    </row>
    <row r="1884" spans="1:13" x14ac:dyDescent="0.35">
      <c r="A1884" t="str">
        <f t="shared" si="110"/>
        <v>STKCDG45717118860440000</v>
      </c>
      <c r="B1884" t="s">
        <v>3115</v>
      </c>
      <c r="C1884" s="1">
        <v>45717</v>
      </c>
      <c r="D1884" t="str">
        <f>"1188"</f>
        <v>1188</v>
      </c>
      <c r="E1884" t="str">
        <f>"60440000"</f>
        <v>60440000</v>
      </c>
      <c r="F1884" t="s">
        <v>3153</v>
      </c>
      <c r="G1884" t="s">
        <v>336</v>
      </c>
      <c r="H1884" t="s">
        <v>5966</v>
      </c>
      <c r="I1884">
        <v>0</v>
      </c>
      <c r="J1884" t="s">
        <v>343</v>
      </c>
      <c r="K1884">
        <v>525</v>
      </c>
      <c r="M1884">
        <v>525</v>
      </c>
    </row>
    <row r="1885" spans="1:13" x14ac:dyDescent="0.35">
      <c r="A1885" t="str">
        <f t="shared" si="110"/>
        <v>STKCDG45717118960430000</v>
      </c>
      <c r="B1885" t="s">
        <v>3115</v>
      </c>
      <c r="C1885" s="1">
        <v>45717</v>
      </c>
      <c r="D1885" t="str">
        <f>"1189"</f>
        <v>1189</v>
      </c>
      <c r="E1885" t="str">
        <f>"60430000"</f>
        <v>60430000</v>
      </c>
      <c r="F1885" t="s">
        <v>3155</v>
      </c>
      <c r="G1885" t="s">
        <v>336</v>
      </c>
      <c r="H1885" t="s">
        <v>5875</v>
      </c>
      <c r="I1885">
        <v>0</v>
      </c>
      <c r="J1885" t="s">
        <v>343</v>
      </c>
      <c r="K1885">
        <v>154910</v>
      </c>
      <c r="M1885">
        <v>154910</v>
      </c>
    </row>
    <row r="1886" spans="1:13" x14ac:dyDescent="0.35">
      <c r="A1886" t="str">
        <f t="shared" si="110"/>
        <v>STKCDG45718115360410000</v>
      </c>
      <c r="B1886" t="s">
        <v>3115</v>
      </c>
      <c r="C1886" s="1">
        <v>45718</v>
      </c>
      <c r="D1886" t="str">
        <f>"1153"</f>
        <v>1153</v>
      </c>
      <c r="E1886" t="str">
        <f>"60410000"</f>
        <v>60410000</v>
      </c>
      <c r="F1886" t="s">
        <v>3157</v>
      </c>
      <c r="G1886" t="s">
        <v>336</v>
      </c>
      <c r="H1886" t="s">
        <v>5966</v>
      </c>
      <c r="I1886">
        <v>0</v>
      </c>
      <c r="J1886" t="s">
        <v>343</v>
      </c>
      <c r="K1886">
        <v>6597</v>
      </c>
      <c r="M1886">
        <v>6597</v>
      </c>
    </row>
    <row r="1887" spans="1:13" x14ac:dyDescent="0.35">
      <c r="A1887" t="str">
        <f t="shared" si="110"/>
        <v>STKCDG45718115460440000</v>
      </c>
      <c r="B1887" t="s">
        <v>3115</v>
      </c>
      <c r="C1887" s="1">
        <v>45718</v>
      </c>
      <c r="D1887" t="str">
        <f>"1154"</f>
        <v>1154</v>
      </c>
      <c r="E1887" t="str">
        <f>"60440000"</f>
        <v>60440000</v>
      </c>
      <c r="F1887" t="s">
        <v>3159</v>
      </c>
      <c r="G1887" t="s">
        <v>336</v>
      </c>
      <c r="H1887" t="s">
        <v>5890</v>
      </c>
      <c r="I1887">
        <v>0</v>
      </c>
      <c r="J1887" t="s">
        <v>343</v>
      </c>
      <c r="K1887">
        <v>16858</v>
      </c>
      <c r="M1887">
        <v>16858</v>
      </c>
    </row>
    <row r="1888" spans="1:13" x14ac:dyDescent="0.35">
      <c r="A1888" t="str">
        <f t="shared" si="110"/>
        <v>STKCDG45718115560430000</v>
      </c>
      <c r="B1888" t="s">
        <v>3115</v>
      </c>
      <c r="C1888" s="1">
        <v>45718</v>
      </c>
      <c r="D1888" t="str">
        <f>"1155"</f>
        <v>1155</v>
      </c>
      <c r="E1888" t="str">
        <f>"60430000"</f>
        <v>60430000</v>
      </c>
      <c r="F1888" t="s">
        <v>3161</v>
      </c>
      <c r="G1888" t="s">
        <v>336</v>
      </c>
      <c r="H1888" t="s">
        <v>5890</v>
      </c>
      <c r="I1888">
        <v>0</v>
      </c>
      <c r="J1888" t="s">
        <v>343</v>
      </c>
      <c r="K1888">
        <v>12150</v>
      </c>
      <c r="M1888">
        <v>12150</v>
      </c>
    </row>
    <row r="1889" spans="1:13" x14ac:dyDescent="0.35">
      <c r="A1889" t="str">
        <f t="shared" si="110"/>
        <v>STKCDG45718115660440000</v>
      </c>
      <c r="B1889" t="s">
        <v>3115</v>
      </c>
      <c r="C1889" s="1">
        <v>45718</v>
      </c>
      <c r="D1889" t="str">
        <f>"1156"</f>
        <v>1156</v>
      </c>
      <c r="E1889" t="str">
        <f>"60440000"</f>
        <v>60440000</v>
      </c>
      <c r="F1889" t="s">
        <v>3163</v>
      </c>
      <c r="G1889" t="s">
        <v>336</v>
      </c>
      <c r="H1889" t="s">
        <v>5966</v>
      </c>
      <c r="I1889">
        <v>0</v>
      </c>
      <c r="J1889" t="s">
        <v>343</v>
      </c>
      <c r="K1889">
        <v>224535</v>
      </c>
      <c r="M1889">
        <v>224535</v>
      </c>
    </row>
    <row r="1890" spans="1:13" x14ac:dyDescent="0.35">
      <c r="A1890" t="str">
        <f t="shared" si="110"/>
        <v>STKCDG45718115760460000</v>
      </c>
      <c r="B1890" t="s">
        <v>3115</v>
      </c>
      <c r="C1890" s="1">
        <v>45718</v>
      </c>
      <c r="D1890" t="str">
        <f>"1157"</f>
        <v>1157</v>
      </c>
      <c r="E1890" t="str">
        <f>"60460000"</f>
        <v>60460000</v>
      </c>
      <c r="F1890" t="s">
        <v>3165</v>
      </c>
      <c r="G1890" t="s">
        <v>336</v>
      </c>
      <c r="H1890" t="s">
        <v>5966</v>
      </c>
      <c r="I1890">
        <v>0</v>
      </c>
      <c r="J1890" t="s">
        <v>343</v>
      </c>
      <c r="K1890">
        <v>196</v>
      </c>
      <c r="M1890">
        <v>196</v>
      </c>
    </row>
    <row r="1891" spans="1:13" x14ac:dyDescent="0.35">
      <c r="A1891" t="str">
        <f t="shared" si="110"/>
        <v>STKCDG45718115860460000</v>
      </c>
      <c r="B1891" t="s">
        <v>3115</v>
      </c>
      <c r="C1891" s="1">
        <v>45718</v>
      </c>
      <c r="D1891" t="str">
        <f>"1158"</f>
        <v>1158</v>
      </c>
      <c r="E1891" t="str">
        <f>"60460000"</f>
        <v>60460000</v>
      </c>
      <c r="F1891" t="s">
        <v>3167</v>
      </c>
      <c r="G1891" t="s">
        <v>336</v>
      </c>
      <c r="H1891" t="s">
        <v>5966</v>
      </c>
      <c r="I1891">
        <v>0</v>
      </c>
      <c r="J1891" t="s">
        <v>343</v>
      </c>
      <c r="K1891">
        <v>14457</v>
      </c>
      <c r="M1891">
        <v>14457</v>
      </c>
    </row>
    <row r="1892" spans="1:13" x14ac:dyDescent="0.35">
      <c r="A1892" t="str">
        <f t="shared" si="110"/>
        <v>STKCDG45718115960440000</v>
      </c>
      <c r="B1892" t="s">
        <v>3115</v>
      </c>
      <c r="C1892" s="1">
        <v>45718</v>
      </c>
      <c r="D1892" t="str">
        <f>"1159"</f>
        <v>1159</v>
      </c>
      <c r="E1892" t="str">
        <f>"60440000"</f>
        <v>60440000</v>
      </c>
      <c r="F1892" t="s">
        <v>3169</v>
      </c>
      <c r="G1892" t="s">
        <v>336</v>
      </c>
      <c r="H1892" t="s">
        <v>5966</v>
      </c>
      <c r="I1892">
        <v>0</v>
      </c>
      <c r="J1892" t="s">
        <v>343</v>
      </c>
      <c r="K1892">
        <v>130536</v>
      </c>
      <c r="M1892">
        <v>130536</v>
      </c>
    </row>
    <row r="1893" spans="1:13" x14ac:dyDescent="0.35">
      <c r="A1893" t="str">
        <f t="shared" si="110"/>
        <v>STKCDG45718116060440000</v>
      </c>
      <c r="B1893" t="s">
        <v>3115</v>
      </c>
      <c r="C1893" s="1">
        <v>45718</v>
      </c>
      <c r="D1893" t="str">
        <f>"1160"</f>
        <v>1160</v>
      </c>
      <c r="E1893" t="str">
        <f>"60440000"</f>
        <v>60440000</v>
      </c>
      <c r="F1893" t="s">
        <v>3171</v>
      </c>
      <c r="G1893" t="s">
        <v>336</v>
      </c>
      <c r="H1893" t="s">
        <v>5966</v>
      </c>
      <c r="I1893">
        <v>0</v>
      </c>
      <c r="J1893" t="s">
        <v>343</v>
      </c>
      <c r="K1893">
        <v>50509</v>
      </c>
      <c r="M1893">
        <v>50509</v>
      </c>
    </row>
    <row r="1894" spans="1:13" x14ac:dyDescent="0.35">
      <c r="A1894" t="str">
        <f t="shared" si="110"/>
        <v>STKCDG45718116160460000</v>
      </c>
      <c r="B1894" t="s">
        <v>3115</v>
      </c>
      <c r="C1894" s="1">
        <v>45718</v>
      </c>
      <c r="D1894" t="str">
        <f>"1161"</f>
        <v>1161</v>
      </c>
      <c r="E1894" t="str">
        <f>"60460000"</f>
        <v>60460000</v>
      </c>
      <c r="F1894" t="s">
        <v>3173</v>
      </c>
      <c r="G1894" t="s">
        <v>336</v>
      </c>
      <c r="H1894" t="s">
        <v>5966</v>
      </c>
      <c r="I1894">
        <v>0</v>
      </c>
      <c r="J1894" t="s">
        <v>343</v>
      </c>
      <c r="K1894">
        <v>2500</v>
      </c>
      <c r="M1894">
        <v>2500</v>
      </c>
    </row>
    <row r="1895" spans="1:13" x14ac:dyDescent="0.35">
      <c r="A1895" t="str">
        <f t="shared" si="110"/>
        <v>STKCDG45718116260460000</v>
      </c>
      <c r="B1895" t="s">
        <v>3115</v>
      </c>
      <c r="C1895" s="1">
        <v>45718</v>
      </c>
      <c r="D1895" t="str">
        <f>"1162"</f>
        <v>1162</v>
      </c>
      <c r="E1895" t="str">
        <f>"60460000"</f>
        <v>60460000</v>
      </c>
      <c r="F1895" t="s">
        <v>3175</v>
      </c>
      <c r="G1895" t="s">
        <v>336</v>
      </c>
      <c r="H1895" t="s">
        <v>5966</v>
      </c>
      <c r="I1895">
        <v>0</v>
      </c>
      <c r="J1895" t="s">
        <v>343</v>
      </c>
      <c r="K1895">
        <v>37000</v>
      </c>
      <c r="M1895">
        <v>37000</v>
      </c>
    </row>
    <row r="1896" spans="1:13" x14ac:dyDescent="0.35">
      <c r="A1896" t="str">
        <f t="shared" si="110"/>
        <v>STKCDG45718116360460000</v>
      </c>
      <c r="B1896" t="s">
        <v>3115</v>
      </c>
      <c r="C1896" s="1">
        <v>45718</v>
      </c>
      <c r="D1896" t="str">
        <f>"1163"</f>
        <v>1163</v>
      </c>
      <c r="E1896" t="str">
        <f>"60460000"</f>
        <v>60460000</v>
      </c>
      <c r="F1896" t="s">
        <v>3177</v>
      </c>
      <c r="G1896" t="s">
        <v>336</v>
      </c>
      <c r="H1896" t="s">
        <v>5966</v>
      </c>
      <c r="I1896">
        <v>0</v>
      </c>
      <c r="J1896" t="s">
        <v>343</v>
      </c>
      <c r="K1896">
        <v>1199</v>
      </c>
      <c r="M1896">
        <v>1199</v>
      </c>
    </row>
    <row r="1897" spans="1:13" x14ac:dyDescent="0.35">
      <c r="A1897" t="str">
        <f t="shared" si="110"/>
        <v>STKCDG45718116460440000</v>
      </c>
      <c r="B1897" t="s">
        <v>3115</v>
      </c>
      <c r="C1897" s="1">
        <v>45718</v>
      </c>
      <c r="D1897" t="str">
        <f>"1164"</f>
        <v>1164</v>
      </c>
      <c r="E1897" t="str">
        <f>"60440000"</f>
        <v>60440000</v>
      </c>
      <c r="F1897" t="s">
        <v>3179</v>
      </c>
      <c r="G1897" t="s">
        <v>336</v>
      </c>
      <c r="H1897" t="s">
        <v>5966</v>
      </c>
      <c r="I1897">
        <v>0</v>
      </c>
      <c r="J1897" t="s">
        <v>343</v>
      </c>
      <c r="K1897">
        <v>3936</v>
      </c>
      <c r="M1897">
        <v>3936</v>
      </c>
    </row>
    <row r="1898" spans="1:13" x14ac:dyDescent="0.35">
      <c r="A1898" t="str">
        <f t="shared" si="110"/>
        <v>STKCDG45718116560460000</v>
      </c>
      <c r="B1898" t="s">
        <v>3115</v>
      </c>
      <c r="C1898" s="1">
        <v>45718</v>
      </c>
      <c r="D1898" t="str">
        <f>"1165"</f>
        <v>1165</v>
      </c>
      <c r="E1898" t="str">
        <f>"60460000"</f>
        <v>60460000</v>
      </c>
      <c r="F1898" t="s">
        <v>3181</v>
      </c>
      <c r="G1898" t="s">
        <v>336</v>
      </c>
      <c r="H1898" t="s">
        <v>5966</v>
      </c>
      <c r="I1898">
        <v>0</v>
      </c>
      <c r="J1898" t="s">
        <v>343</v>
      </c>
      <c r="K1898">
        <v>10511</v>
      </c>
      <c r="M1898">
        <v>10511</v>
      </c>
    </row>
    <row r="1899" spans="1:13" x14ac:dyDescent="0.35">
      <c r="A1899" t="str">
        <f t="shared" si="110"/>
        <v>STKCDG45718116660440000</v>
      </c>
      <c r="B1899" t="s">
        <v>3115</v>
      </c>
      <c r="C1899" s="1">
        <v>45718</v>
      </c>
      <c r="D1899" t="str">
        <f>"1166"</f>
        <v>1166</v>
      </c>
      <c r="E1899" t="str">
        <f>"60440000"</f>
        <v>60440000</v>
      </c>
      <c r="F1899" t="s">
        <v>3183</v>
      </c>
      <c r="G1899" t="s">
        <v>336</v>
      </c>
      <c r="H1899" t="s">
        <v>5966</v>
      </c>
      <c r="I1899">
        <v>0</v>
      </c>
      <c r="J1899" t="s">
        <v>343</v>
      </c>
      <c r="K1899">
        <v>8003</v>
      </c>
      <c r="M1899">
        <v>8003</v>
      </c>
    </row>
    <row r="1900" spans="1:13" x14ac:dyDescent="0.35">
      <c r="A1900" t="str">
        <f t="shared" si="110"/>
        <v>STKCDG45718116760440000</v>
      </c>
      <c r="B1900" t="s">
        <v>3115</v>
      </c>
      <c r="C1900" s="1">
        <v>45718</v>
      </c>
      <c r="D1900" t="str">
        <f>"1167"</f>
        <v>1167</v>
      </c>
      <c r="E1900" t="str">
        <f>"60440000"</f>
        <v>60440000</v>
      </c>
      <c r="F1900" t="s">
        <v>3185</v>
      </c>
      <c r="G1900" t="s">
        <v>336</v>
      </c>
      <c r="H1900" t="s">
        <v>5966</v>
      </c>
      <c r="I1900">
        <v>0</v>
      </c>
      <c r="J1900" t="s">
        <v>343</v>
      </c>
      <c r="K1900">
        <v>6137</v>
      </c>
      <c r="M1900">
        <v>6137</v>
      </c>
    </row>
    <row r="1901" spans="1:13" x14ac:dyDescent="0.35">
      <c r="A1901" t="str">
        <f t="shared" si="110"/>
        <v>STKCDG45718116860460000</v>
      </c>
      <c r="B1901" t="s">
        <v>3115</v>
      </c>
      <c r="C1901" s="1">
        <v>45718</v>
      </c>
      <c r="D1901" t="str">
        <f>"1168"</f>
        <v>1168</v>
      </c>
      <c r="E1901" t="str">
        <f>"60460000"</f>
        <v>60460000</v>
      </c>
      <c r="F1901" t="s">
        <v>3187</v>
      </c>
      <c r="G1901" t="s">
        <v>336</v>
      </c>
      <c r="H1901" t="s">
        <v>5966</v>
      </c>
      <c r="I1901">
        <v>0</v>
      </c>
      <c r="J1901" t="s">
        <v>343</v>
      </c>
      <c r="K1901">
        <v>3943</v>
      </c>
      <c r="M1901">
        <v>3943</v>
      </c>
    </row>
    <row r="1902" spans="1:13" x14ac:dyDescent="0.35">
      <c r="A1902" t="str">
        <f t="shared" si="110"/>
        <v>STKCDG45718116960460000</v>
      </c>
      <c r="B1902" t="s">
        <v>3115</v>
      </c>
      <c r="C1902" s="1">
        <v>45718</v>
      </c>
      <c r="D1902" t="str">
        <f>"1169"</f>
        <v>1169</v>
      </c>
      <c r="E1902" t="str">
        <f>"60460000"</f>
        <v>60460000</v>
      </c>
      <c r="F1902" t="s">
        <v>3189</v>
      </c>
      <c r="G1902" t="s">
        <v>336</v>
      </c>
      <c r="H1902" t="s">
        <v>5966</v>
      </c>
      <c r="I1902">
        <v>0</v>
      </c>
      <c r="J1902" t="s">
        <v>343</v>
      </c>
      <c r="K1902">
        <v>1009</v>
      </c>
      <c r="M1902">
        <v>1009</v>
      </c>
    </row>
    <row r="1903" spans="1:13" x14ac:dyDescent="0.35">
      <c r="A1903" t="str">
        <f t="shared" si="110"/>
        <v>STKCDG4571976960440000</v>
      </c>
      <c r="B1903" t="s">
        <v>3115</v>
      </c>
      <c r="C1903" s="1">
        <v>45719</v>
      </c>
      <c r="D1903" t="str">
        <f>"769"</f>
        <v>769</v>
      </c>
      <c r="E1903" t="str">
        <f>"60440000"</f>
        <v>60440000</v>
      </c>
      <c r="F1903" t="s">
        <v>3191</v>
      </c>
      <c r="G1903" t="s">
        <v>336</v>
      </c>
      <c r="H1903" t="s">
        <v>5958</v>
      </c>
      <c r="I1903">
        <v>0</v>
      </c>
      <c r="J1903" t="s">
        <v>343</v>
      </c>
      <c r="K1903">
        <v>15481</v>
      </c>
      <c r="M1903">
        <v>95508</v>
      </c>
    </row>
    <row r="1904" spans="1:13" x14ac:dyDescent="0.35">
      <c r="A1904" t="str">
        <f t="shared" si="110"/>
        <v>STKCDG4571976960440000</v>
      </c>
      <c r="B1904" t="s">
        <v>3115</v>
      </c>
      <c r="C1904" s="1">
        <v>45719</v>
      </c>
      <c r="D1904" t="str">
        <f>"769"</f>
        <v>769</v>
      </c>
      <c r="E1904" t="str">
        <f>"60440000"</f>
        <v>60440000</v>
      </c>
      <c r="F1904" t="s">
        <v>3191</v>
      </c>
      <c r="G1904" t="s">
        <v>336</v>
      </c>
      <c r="H1904" t="s">
        <v>5958</v>
      </c>
      <c r="I1904">
        <v>0</v>
      </c>
      <c r="J1904" t="s">
        <v>343</v>
      </c>
      <c r="K1904">
        <v>80027</v>
      </c>
      <c r="M1904">
        <v>95508</v>
      </c>
    </row>
    <row r="1905" spans="1:13" x14ac:dyDescent="0.35">
      <c r="A1905" t="str">
        <f t="shared" si="110"/>
        <v>STKCDG4571977060440000</v>
      </c>
      <c r="B1905" t="s">
        <v>3115</v>
      </c>
      <c r="C1905" s="1">
        <v>45719</v>
      </c>
      <c r="D1905" t="str">
        <f>"770"</f>
        <v>770</v>
      </c>
      <c r="E1905" t="str">
        <f>"60440000"</f>
        <v>60440000</v>
      </c>
      <c r="F1905" t="s">
        <v>3193</v>
      </c>
      <c r="G1905" t="s">
        <v>336</v>
      </c>
      <c r="H1905" t="s">
        <v>6010</v>
      </c>
      <c r="I1905">
        <v>0</v>
      </c>
      <c r="J1905" t="s">
        <v>343</v>
      </c>
      <c r="K1905">
        <v>12266</v>
      </c>
      <c r="M1905">
        <v>17973</v>
      </c>
    </row>
    <row r="1906" spans="1:13" x14ac:dyDescent="0.35">
      <c r="A1906" t="str">
        <f t="shared" si="110"/>
        <v>STKCDG4571977060440000</v>
      </c>
      <c r="B1906" t="s">
        <v>3115</v>
      </c>
      <c r="C1906" s="1">
        <v>45719</v>
      </c>
      <c r="D1906" t="str">
        <f>"770"</f>
        <v>770</v>
      </c>
      <c r="E1906" t="str">
        <f>"60440000"</f>
        <v>60440000</v>
      </c>
      <c r="F1906" t="s">
        <v>3193</v>
      </c>
      <c r="G1906" t="s">
        <v>336</v>
      </c>
      <c r="H1906" t="s">
        <v>6010</v>
      </c>
      <c r="I1906">
        <v>0</v>
      </c>
      <c r="J1906" t="s">
        <v>343</v>
      </c>
      <c r="K1906">
        <v>5707</v>
      </c>
      <c r="M1906">
        <v>17973</v>
      </c>
    </row>
    <row r="1907" spans="1:13" x14ac:dyDescent="0.35">
      <c r="A1907" t="str">
        <f t="shared" si="110"/>
        <v>STKCDG4571977160430000</v>
      </c>
      <c r="B1907" t="s">
        <v>3115</v>
      </c>
      <c r="C1907" s="1">
        <v>45719</v>
      </c>
      <c r="D1907" t="str">
        <f>"771"</f>
        <v>771</v>
      </c>
      <c r="E1907" t="str">
        <f>"60430000"</f>
        <v>60430000</v>
      </c>
      <c r="F1907" t="s">
        <v>3195</v>
      </c>
      <c r="G1907" t="s">
        <v>336</v>
      </c>
      <c r="H1907" t="s">
        <v>6010</v>
      </c>
      <c r="I1907">
        <v>0</v>
      </c>
      <c r="J1907" t="s">
        <v>343</v>
      </c>
      <c r="K1907">
        <v>78260</v>
      </c>
      <c r="M1907">
        <v>78260</v>
      </c>
    </row>
    <row r="1908" spans="1:13" x14ac:dyDescent="0.35">
      <c r="A1908" t="str">
        <f t="shared" si="110"/>
        <v>STKCDG4571977260440000</v>
      </c>
      <c r="B1908" t="s">
        <v>3115</v>
      </c>
      <c r="C1908" s="1">
        <v>45719</v>
      </c>
      <c r="D1908" t="str">
        <f>"772"</f>
        <v>772</v>
      </c>
      <c r="E1908" t="str">
        <f>"60440000"</f>
        <v>60440000</v>
      </c>
      <c r="F1908" t="s">
        <v>3197</v>
      </c>
      <c r="G1908" t="s">
        <v>336</v>
      </c>
      <c r="H1908" t="s">
        <v>6010</v>
      </c>
      <c r="I1908">
        <v>0</v>
      </c>
      <c r="J1908" t="s">
        <v>343</v>
      </c>
      <c r="K1908">
        <v>12266</v>
      </c>
      <c r="M1908">
        <v>17973</v>
      </c>
    </row>
    <row r="1909" spans="1:13" x14ac:dyDescent="0.35">
      <c r="A1909" t="str">
        <f t="shared" si="110"/>
        <v>STKCDG4571977260440000</v>
      </c>
      <c r="B1909" t="s">
        <v>3115</v>
      </c>
      <c r="C1909" s="1">
        <v>45719</v>
      </c>
      <c r="D1909" t="str">
        <f>"772"</f>
        <v>772</v>
      </c>
      <c r="E1909" t="str">
        <f>"60440000"</f>
        <v>60440000</v>
      </c>
      <c r="F1909" t="s">
        <v>3197</v>
      </c>
      <c r="G1909" t="s">
        <v>336</v>
      </c>
      <c r="H1909" t="s">
        <v>6010</v>
      </c>
      <c r="I1909">
        <v>0</v>
      </c>
      <c r="J1909" t="s">
        <v>343</v>
      </c>
      <c r="K1909">
        <v>5707</v>
      </c>
      <c r="M1909">
        <v>17973</v>
      </c>
    </row>
    <row r="1910" spans="1:13" x14ac:dyDescent="0.35">
      <c r="A1910" t="str">
        <f t="shared" si="110"/>
        <v>STKCDG4571977360460000</v>
      </c>
      <c r="B1910" t="s">
        <v>3115</v>
      </c>
      <c r="C1910" s="1">
        <v>45719</v>
      </c>
      <c r="D1910" t="str">
        <f>"773"</f>
        <v>773</v>
      </c>
      <c r="E1910" t="str">
        <f>"60460000"</f>
        <v>60460000</v>
      </c>
      <c r="F1910" t="s">
        <v>3199</v>
      </c>
      <c r="G1910" t="s">
        <v>336</v>
      </c>
      <c r="H1910" t="s">
        <v>6011</v>
      </c>
      <c r="I1910">
        <v>0</v>
      </c>
      <c r="J1910" t="s">
        <v>343</v>
      </c>
      <c r="K1910">
        <v>10594</v>
      </c>
      <c r="M1910">
        <v>13387</v>
      </c>
    </row>
    <row r="1911" spans="1:13" x14ac:dyDescent="0.35">
      <c r="A1911" t="str">
        <f t="shared" si="110"/>
        <v>STKCDG4571977360460000</v>
      </c>
      <c r="B1911" t="s">
        <v>3115</v>
      </c>
      <c r="C1911" s="1">
        <v>45719</v>
      </c>
      <c r="D1911" t="str">
        <f>"773"</f>
        <v>773</v>
      </c>
      <c r="E1911" t="str">
        <f>"60460000"</f>
        <v>60460000</v>
      </c>
      <c r="F1911" t="s">
        <v>3199</v>
      </c>
      <c r="G1911" t="s">
        <v>336</v>
      </c>
      <c r="H1911" t="s">
        <v>6011</v>
      </c>
      <c r="I1911">
        <v>0</v>
      </c>
      <c r="J1911" t="s">
        <v>343</v>
      </c>
      <c r="K1911">
        <v>2793</v>
      </c>
      <c r="M1911">
        <v>13387</v>
      </c>
    </row>
    <row r="1912" spans="1:13" x14ac:dyDescent="0.35">
      <c r="A1912" t="str">
        <f t="shared" si="110"/>
        <v>STKCDG4571977460430000</v>
      </c>
      <c r="B1912" t="s">
        <v>3115</v>
      </c>
      <c r="C1912" s="1">
        <v>45719</v>
      </c>
      <c r="D1912" t="str">
        <f>"774"</f>
        <v>774</v>
      </c>
      <c r="E1912" t="str">
        <f>"60430000"</f>
        <v>60430000</v>
      </c>
      <c r="F1912" t="s">
        <v>3201</v>
      </c>
      <c r="G1912" t="s">
        <v>336</v>
      </c>
      <c r="H1912" t="s">
        <v>5880</v>
      </c>
      <c r="I1912">
        <v>0</v>
      </c>
      <c r="J1912" t="s">
        <v>343</v>
      </c>
      <c r="K1912">
        <v>120400</v>
      </c>
      <c r="M1912">
        <v>120400</v>
      </c>
    </row>
    <row r="1913" spans="1:13" x14ac:dyDescent="0.35">
      <c r="A1913" t="str">
        <f t="shared" si="110"/>
        <v>STKCDG4571977560440000</v>
      </c>
      <c r="B1913" t="s">
        <v>3115</v>
      </c>
      <c r="C1913" s="1">
        <v>45719</v>
      </c>
      <c r="D1913" t="str">
        <f>"775"</f>
        <v>775</v>
      </c>
      <c r="E1913" t="str">
        <f>"60440000"</f>
        <v>60440000</v>
      </c>
      <c r="F1913" t="s">
        <v>3203</v>
      </c>
      <c r="G1913" t="s">
        <v>336</v>
      </c>
      <c r="H1913" t="s">
        <v>6010</v>
      </c>
      <c r="I1913">
        <v>0</v>
      </c>
      <c r="J1913" t="s">
        <v>343</v>
      </c>
      <c r="K1913">
        <v>181701</v>
      </c>
      <c r="M1913">
        <v>181701</v>
      </c>
    </row>
    <row r="1914" spans="1:13" x14ac:dyDescent="0.35">
      <c r="A1914" t="str">
        <f t="shared" si="110"/>
        <v>STKCDG4571977660430000</v>
      </c>
      <c r="B1914" t="s">
        <v>3115</v>
      </c>
      <c r="C1914" s="1">
        <v>45719</v>
      </c>
      <c r="D1914" t="str">
        <f>"776"</f>
        <v>776</v>
      </c>
      <c r="E1914" t="str">
        <f>"60430000"</f>
        <v>60430000</v>
      </c>
      <c r="F1914" t="s">
        <v>3205</v>
      </c>
      <c r="G1914" t="s">
        <v>336</v>
      </c>
      <c r="H1914" t="s">
        <v>6010</v>
      </c>
      <c r="I1914">
        <v>0</v>
      </c>
      <c r="J1914" t="s">
        <v>343</v>
      </c>
      <c r="K1914">
        <v>48160</v>
      </c>
      <c r="M1914">
        <v>48160</v>
      </c>
    </row>
    <row r="1915" spans="1:13" x14ac:dyDescent="0.35">
      <c r="A1915" t="str">
        <f t="shared" si="110"/>
        <v>STKCDG4571977760440000</v>
      </c>
      <c r="B1915" t="s">
        <v>3115</v>
      </c>
      <c r="C1915" s="1">
        <v>45719</v>
      </c>
      <c r="D1915" t="str">
        <f>"777"</f>
        <v>777</v>
      </c>
      <c r="E1915" t="str">
        <f t="shared" ref="E1915:E1920" si="114">"60440000"</f>
        <v>60440000</v>
      </c>
      <c r="F1915" t="s">
        <v>3207</v>
      </c>
      <c r="G1915" t="s">
        <v>336</v>
      </c>
      <c r="H1915" t="s">
        <v>5875</v>
      </c>
      <c r="I1915">
        <v>0</v>
      </c>
      <c r="J1915" t="s">
        <v>343</v>
      </c>
      <c r="K1915">
        <v>181701</v>
      </c>
      <c r="M1915">
        <v>181701</v>
      </c>
    </row>
    <row r="1916" spans="1:13" x14ac:dyDescent="0.35">
      <c r="A1916" t="str">
        <f t="shared" si="110"/>
        <v>STKCDG4571977860440000</v>
      </c>
      <c r="B1916" t="s">
        <v>3115</v>
      </c>
      <c r="C1916" s="1">
        <v>45719</v>
      </c>
      <c r="D1916" t="str">
        <f>"778"</f>
        <v>778</v>
      </c>
      <c r="E1916" t="str">
        <f t="shared" si="114"/>
        <v>60440000</v>
      </c>
      <c r="F1916" t="s">
        <v>3209</v>
      </c>
      <c r="G1916" t="s">
        <v>336</v>
      </c>
      <c r="H1916" t="s">
        <v>5880</v>
      </c>
      <c r="I1916">
        <v>0</v>
      </c>
      <c r="J1916" t="s">
        <v>343</v>
      </c>
      <c r="K1916">
        <v>17973</v>
      </c>
      <c r="M1916">
        <v>17973</v>
      </c>
    </row>
    <row r="1917" spans="1:13" x14ac:dyDescent="0.35">
      <c r="A1917" t="str">
        <f t="shared" si="110"/>
        <v>STKCDG4571977960440000</v>
      </c>
      <c r="B1917" t="s">
        <v>3115</v>
      </c>
      <c r="C1917" s="1">
        <v>45719</v>
      </c>
      <c r="D1917" t="str">
        <f>"779"</f>
        <v>779</v>
      </c>
      <c r="E1917" t="str">
        <f t="shared" si="114"/>
        <v>60440000</v>
      </c>
      <c r="F1917" t="s">
        <v>3211</v>
      </c>
      <c r="G1917" t="s">
        <v>336</v>
      </c>
      <c r="H1917" t="s">
        <v>5875</v>
      </c>
      <c r="I1917">
        <v>0</v>
      </c>
      <c r="J1917" t="s">
        <v>343</v>
      </c>
      <c r="K1917">
        <v>12988</v>
      </c>
      <c r="M1917">
        <v>12988</v>
      </c>
    </row>
    <row r="1918" spans="1:13" x14ac:dyDescent="0.35">
      <c r="A1918" t="str">
        <f t="shared" si="110"/>
        <v>STKCDG4571978060440000</v>
      </c>
      <c r="B1918" t="s">
        <v>3115</v>
      </c>
      <c r="C1918" s="1">
        <v>45719</v>
      </c>
      <c r="D1918" t="str">
        <f>"780"</f>
        <v>780</v>
      </c>
      <c r="E1918" t="str">
        <f t="shared" si="114"/>
        <v>60440000</v>
      </c>
      <c r="F1918" t="s">
        <v>3213</v>
      </c>
      <c r="G1918" t="s">
        <v>336</v>
      </c>
      <c r="H1918" t="s">
        <v>5880</v>
      </c>
      <c r="I1918">
        <v>0</v>
      </c>
      <c r="J1918" t="s">
        <v>343</v>
      </c>
      <c r="K1918">
        <v>30961</v>
      </c>
      <c r="M1918">
        <v>30961</v>
      </c>
    </row>
    <row r="1919" spans="1:13" x14ac:dyDescent="0.35">
      <c r="A1919" t="str">
        <f t="shared" si="110"/>
        <v>STKCDG4571978160440000</v>
      </c>
      <c r="B1919" t="s">
        <v>3115</v>
      </c>
      <c r="C1919" s="1">
        <v>45719</v>
      </c>
      <c r="D1919" t="str">
        <f>"781"</f>
        <v>781</v>
      </c>
      <c r="E1919" t="str">
        <f t="shared" si="114"/>
        <v>60440000</v>
      </c>
      <c r="F1919" t="s">
        <v>3215</v>
      </c>
      <c r="G1919" t="s">
        <v>336</v>
      </c>
      <c r="H1919" t="s">
        <v>5875</v>
      </c>
      <c r="I1919">
        <v>0</v>
      </c>
      <c r="J1919" t="s">
        <v>343</v>
      </c>
      <c r="K1919">
        <v>17974</v>
      </c>
      <c r="M1919">
        <v>17974</v>
      </c>
    </row>
    <row r="1920" spans="1:13" x14ac:dyDescent="0.35">
      <c r="A1920" t="str">
        <f t="shared" si="110"/>
        <v>STKCDG4571978260440000</v>
      </c>
      <c r="B1920" t="s">
        <v>3115</v>
      </c>
      <c r="C1920" s="1">
        <v>45719</v>
      </c>
      <c r="D1920" t="str">
        <f>"782"</f>
        <v>782</v>
      </c>
      <c r="E1920" t="str">
        <f t="shared" si="114"/>
        <v>60440000</v>
      </c>
      <c r="F1920" t="s">
        <v>3217</v>
      </c>
      <c r="G1920" t="s">
        <v>336</v>
      </c>
      <c r="H1920" t="s">
        <v>5875</v>
      </c>
      <c r="I1920">
        <v>0</v>
      </c>
      <c r="J1920" t="s">
        <v>343</v>
      </c>
      <c r="K1920">
        <v>3477</v>
      </c>
      <c r="M1920">
        <v>3477</v>
      </c>
    </row>
    <row r="1921" spans="1:13" x14ac:dyDescent="0.35">
      <c r="A1921" t="str">
        <f t="shared" si="110"/>
        <v>STKCDG4571978360460000</v>
      </c>
      <c r="B1921" t="s">
        <v>3115</v>
      </c>
      <c r="C1921" s="1">
        <v>45719</v>
      </c>
      <c r="D1921" t="str">
        <f>"783"</f>
        <v>783</v>
      </c>
      <c r="E1921" t="str">
        <f>"60460000"</f>
        <v>60460000</v>
      </c>
      <c r="F1921" t="s">
        <v>3219</v>
      </c>
      <c r="G1921" t="s">
        <v>336</v>
      </c>
      <c r="H1921" t="s">
        <v>5955</v>
      </c>
      <c r="I1921">
        <v>0</v>
      </c>
      <c r="J1921" t="s">
        <v>343</v>
      </c>
      <c r="K1921">
        <v>294</v>
      </c>
      <c r="M1921">
        <v>294</v>
      </c>
    </row>
    <row r="1922" spans="1:13" x14ac:dyDescent="0.35">
      <c r="A1922" t="str">
        <f t="shared" si="110"/>
        <v>STKCDG4571978460440000</v>
      </c>
      <c r="B1922" t="s">
        <v>3115</v>
      </c>
      <c r="C1922" s="1">
        <v>45719</v>
      </c>
      <c r="D1922" t="str">
        <f>"784"</f>
        <v>784</v>
      </c>
      <c r="E1922" t="str">
        <f>"60440000"</f>
        <v>60440000</v>
      </c>
      <c r="F1922" t="s">
        <v>3221</v>
      </c>
      <c r="G1922" t="s">
        <v>336</v>
      </c>
      <c r="H1922" t="s">
        <v>6010</v>
      </c>
      <c r="I1922">
        <v>0</v>
      </c>
      <c r="J1922" t="s">
        <v>343</v>
      </c>
      <c r="K1922">
        <v>86390</v>
      </c>
      <c r="M1922">
        <v>86390</v>
      </c>
    </row>
    <row r="1923" spans="1:13" x14ac:dyDescent="0.35">
      <c r="A1923" t="str">
        <f t="shared" ref="A1923:A1986" si="115">CONCATENATE(B1923,C1923,D1923,E1923)</f>
        <v>STKCDG4571978560440000</v>
      </c>
      <c r="B1923" t="s">
        <v>3115</v>
      </c>
      <c r="C1923" s="1">
        <v>45719</v>
      </c>
      <c r="D1923" t="str">
        <f>"785"</f>
        <v>785</v>
      </c>
      <c r="E1923" t="str">
        <f>"60440000"</f>
        <v>60440000</v>
      </c>
      <c r="F1923" t="s">
        <v>3223</v>
      </c>
      <c r="G1923" t="s">
        <v>336</v>
      </c>
      <c r="H1923" t="s">
        <v>5875</v>
      </c>
      <c r="I1923">
        <v>0</v>
      </c>
      <c r="J1923" t="s">
        <v>343</v>
      </c>
      <c r="K1923">
        <v>12464</v>
      </c>
      <c r="M1923">
        <v>12464</v>
      </c>
    </row>
    <row r="1924" spans="1:13" x14ac:dyDescent="0.35">
      <c r="A1924" t="str">
        <f t="shared" si="115"/>
        <v>STKCDG4571978660440000</v>
      </c>
      <c r="B1924" t="s">
        <v>3115</v>
      </c>
      <c r="C1924" s="1">
        <v>45719</v>
      </c>
      <c r="D1924" t="str">
        <f>"786"</f>
        <v>786</v>
      </c>
      <c r="E1924" t="str">
        <f>"60440000"</f>
        <v>60440000</v>
      </c>
      <c r="F1924" t="s">
        <v>3225</v>
      </c>
      <c r="G1924" t="s">
        <v>336</v>
      </c>
      <c r="H1924" t="s">
        <v>5880</v>
      </c>
      <c r="I1924">
        <v>0</v>
      </c>
      <c r="J1924" t="s">
        <v>343</v>
      </c>
      <c r="K1924">
        <v>10000</v>
      </c>
      <c r="M1924">
        <v>10000</v>
      </c>
    </row>
    <row r="1925" spans="1:13" x14ac:dyDescent="0.35">
      <c r="A1925" t="str">
        <f t="shared" si="115"/>
        <v>STKCDG4571978760430000</v>
      </c>
      <c r="B1925" t="s">
        <v>3115</v>
      </c>
      <c r="C1925" s="1">
        <v>45719</v>
      </c>
      <c r="D1925" t="str">
        <f>"787"</f>
        <v>787</v>
      </c>
      <c r="E1925" t="str">
        <f>"60430000"</f>
        <v>60430000</v>
      </c>
      <c r="F1925" t="s">
        <v>3227</v>
      </c>
      <c r="G1925" t="s">
        <v>336</v>
      </c>
      <c r="H1925" t="s">
        <v>6010</v>
      </c>
      <c r="I1925">
        <v>0</v>
      </c>
      <c r="J1925" t="s">
        <v>343</v>
      </c>
      <c r="K1925">
        <v>120400</v>
      </c>
      <c r="M1925">
        <v>120400</v>
      </c>
    </row>
    <row r="1926" spans="1:13" x14ac:dyDescent="0.35">
      <c r="A1926" t="str">
        <f t="shared" si="115"/>
        <v>STKCDG4571978860440000</v>
      </c>
      <c r="B1926" t="s">
        <v>3115</v>
      </c>
      <c r="C1926" s="1">
        <v>45719</v>
      </c>
      <c r="D1926" t="str">
        <f>"788"</f>
        <v>788</v>
      </c>
      <c r="E1926" t="str">
        <f>"60440000"</f>
        <v>60440000</v>
      </c>
      <c r="F1926" t="s">
        <v>3229</v>
      </c>
      <c r="G1926" t="s">
        <v>336</v>
      </c>
      <c r="H1926" t="s">
        <v>5875</v>
      </c>
      <c r="I1926">
        <v>0</v>
      </c>
      <c r="J1926" t="s">
        <v>343</v>
      </c>
      <c r="K1926">
        <v>38439</v>
      </c>
      <c r="M1926">
        <v>38439</v>
      </c>
    </row>
    <row r="1927" spans="1:13" x14ac:dyDescent="0.35">
      <c r="A1927" t="str">
        <f t="shared" si="115"/>
        <v>STKCDG4571978960410000</v>
      </c>
      <c r="B1927" t="s">
        <v>3115</v>
      </c>
      <c r="C1927" s="1">
        <v>45719</v>
      </c>
      <c r="D1927" t="str">
        <f>"789"</f>
        <v>789</v>
      </c>
      <c r="E1927" t="str">
        <f>"60410000"</f>
        <v>60410000</v>
      </c>
      <c r="F1927" t="s">
        <v>3231</v>
      </c>
      <c r="G1927" t="s">
        <v>336</v>
      </c>
      <c r="H1927" t="s">
        <v>5875</v>
      </c>
      <c r="I1927">
        <v>0</v>
      </c>
      <c r="J1927" t="s">
        <v>343</v>
      </c>
      <c r="K1927">
        <v>1649</v>
      </c>
      <c r="M1927">
        <v>1649</v>
      </c>
    </row>
    <row r="1928" spans="1:13" x14ac:dyDescent="0.35">
      <c r="A1928" t="str">
        <f t="shared" si="115"/>
        <v>STKCDG4571979060430000</v>
      </c>
      <c r="B1928" t="s">
        <v>3115</v>
      </c>
      <c r="C1928" s="1">
        <v>45719</v>
      </c>
      <c r="D1928" t="str">
        <f>"790"</f>
        <v>790</v>
      </c>
      <c r="E1928" t="str">
        <f>"60430000"</f>
        <v>60430000</v>
      </c>
      <c r="F1928" t="s">
        <v>3233</v>
      </c>
      <c r="G1928" t="s">
        <v>336</v>
      </c>
      <c r="H1928" t="s">
        <v>5875</v>
      </c>
      <c r="I1928">
        <v>0</v>
      </c>
      <c r="J1928" t="s">
        <v>343</v>
      </c>
      <c r="K1928">
        <v>120400</v>
      </c>
      <c r="M1928">
        <v>120400</v>
      </c>
    </row>
    <row r="1929" spans="1:13" x14ac:dyDescent="0.35">
      <c r="A1929" t="str">
        <f t="shared" si="115"/>
        <v>STKCDG4571979160430000</v>
      </c>
      <c r="B1929" t="s">
        <v>3115</v>
      </c>
      <c r="C1929" s="1">
        <v>45719</v>
      </c>
      <c r="D1929" t="str">
        <f>"791"</f>
        <v>791</v>
      </c>
      <c r="E1929" t="str">
        <f>"60430000"</f>
        <v>60430000</v>
      </c>
      <c r="F1929" t="s">
        <v>3235</v>
      </c>
      <c r="G1929" t="s">
        <v>336</v>
      </c>
      <c r="H1929" t="s">
        <v>5966</v>
      </c>
      <c r="I1929">
        <v>0</v>
      </c>
      <c r="J1929" t="s">
        <v>343</v>
      </c>
      <c r="K1929">
        <v>2741</v>
      </c>
      <c r="M1929">
        <v>2741</v>
      </c>
    </row>
    <row r="1930" spans="1:13" x14ac:dyDescent="0.35">
      <c r="A1930" t="str">
        <f t="shared" si="115"/>
        <v>STKCDG4571979260430000</v>
      </c>
      <c r="B1930" t="s">
        <v>3115</v>
      </c>
      <c r="C1930" s="1">
        <v>45719</v>
      </c>
      <c r="D1930" t="str">
        <f>"792"</f>
        <v>792</v>
      </c>
      <c r="E1930" t="str">
        <f>"60430000"</f>
        <v>60430000</v>
      </c>
      <c r="F1930" t="s">
        <v>3237</v>
      </c>
      <c r="G1930" t="s">
        <v>336</v>
      </c>
      <c r="H1930" t="s">
        <v>6010</v>
      </c>
      <c r="I1930">
        <v>0</v>
      </c>
      <c r="J1930" t="s">
        <v>343</v>
      </c>
      <c r="K1930">
        <v>78260</v>
      </c>
      <c r="M1930">
        <v>78260</v>
      </c>
    </row>
    <row r="1931" spans="1:13" x14ac:dyDescent="0.35">
      <c r="A1931" t="str">
        <f t="shared" si="115"/>
        <v>STKCDG4571979360440000</v>
      </c>
      <c r="B1931" t="s">
        <v>3115</v>
      </c>
      <c r="C1931" s="1">
        <v>45719</v>
      </c>
      <c r="D1931" t="str">
        <f>"793"</f>
        <v>793</v>
      </c>
      <c r="E1931" t="str">
        <f>"60440000"</f>
        <v>60440000</v>
      </c>
      <c r="F1931" t="s">
        <v>3239</v>
      </c>
      <c r="G1931" t="s">
        <v>336</v>
      </c>
      <c r="H1931" t="s">
        <v>5966</v>
      </c>
      <c r="I1931">
        <v>0</v>
      </c>
      <c r="J1931" t="s">
        <v>343</v>
      </c>
      <c r="K1931">
        <v>99968</v>
      </c>
      <c r="M1931">
        <v>99968</v>
      </c>
    </row>
    <row r="1932" spans="1:13" x14ac:dyDescent="0.35">
      <c r="A1932" t="str">
        <f t="shared" si="115"/>
        <v>STKCDG4571979460440000</v>
      </c>
      <c r="B1932" t="s">
        <v>3115</v>
      </c>
      <c r="C1932" s="1">
        <v>45719</v>
      </c>
      <c r="D1932" t="str">
        <f>"794"</f>
        <v>794</v>
      </c>
      <c r="E1932" t="str">
        <f>"60440000"</f>
        <v>60440000</v>
      </c>
      <c r="F1932" t="s">
        <v>3241</v>
      </c>
      <c r="G1932" t="s">
        <v>336</v>
      </c>
      <c r="H1932" t="s">
        <v>5966</v>
      </c>
      <c r="I1932">
        <v>0</v>
      </c>
      <c r="J1932" t="s">
        <v>343</v>
      </c>
      <c r="K1932">
        <v>3149</v>
      </c>
      <c r="M1932">
        <v>3149</v>
      </c>
    </row>
    <row r="1933" spans="1:13" x14ac:dyDescent="0.35">
      <c r="A1933" t="str">
        <f t="shared" si="115"/>
        <v>STKCDG4571979560460000</v>
      </c>
      <c r="B1933" t="s">
        <v>3115</v>
      </c>
      <c r="C1933" s="1">
        <v>45719</v>
      </c>
      <c r="D1933" t="str">
        <f>"795"</f>
        <v>795</v>
      </c>
      <c r="E1933" t="str">
        <f>"60460000"</f>
        <v>60460000</v>
      </c>
      <c r="F1933" t="s">
        <v>3243</v>
      </c>
      <c r="G1933" t="s">
        <v>336</v>
      </c>
      <c r="H1933" t="s">
        <v>5966</v>
      </c>
      <c r="I1933">
        <v>0</v>
      </c>
      <c r="J1933" t="s">
        <v>343</v>
      </c>
      <c r="K1933">
        <v>750</v>
      </c>
      <c r="M1933">
        <v>750</v>
      </c>
    </row>
    <row r="1934" spans="1:13" x14ac:dyDescent="0.35">
      <c r="A1934" t="str">
        <f t="shared" si="115"/>
        <v>STKCDG4571979660440000</v>
      </c>
      <c r="B1934" t="s">
        <v>3115</v>
      </c>
      <c r="C1934" s="1">
        <v>45719</v>
      </c>
      <c r="D1934" t="str">
        <f>"796"</f>
        <v>796</v>
      </c>
      <c r="E1934" t="str">
        <f>"60440000"</f>
        <v>60440000</v>
      </c>
      <c r="F1934" t="s">
        <v>3245</v>
      </c>
      <c r="G1934" t="s">
        <v>336</v>
      </c>
      <c r="H1934" t="s">
        <v>5966</v>
      </c>
      <c r="I1934">
        <v>0</v>
      </c>
      <c r="J1934" t="s">
        <v>343</v>
      </c>
      <c r="K1934">
        <v>3477</v>
      </c>
      <c r="M1934">
        <v>3477</v>
      </c>
    </row>
    <row r="1935" spans="1:13" x14ac:dyDescent="0.35">
      <c r="A1935" t="str">
        <f t="shared" si="115"/>
        <v>STKCDG4571979760460000</v>
      </c>
      <c r="B1935" t="s">
        <v>3115</v>
      </c>
      <c r="C1935" s="1">
        <v>45719</v>
      </c>
      <c r="D1935" t="str">
        <f>"797"</f>
        <v>797</v>
      </c>
      <c r="E1935" t="str">
        <f>"60460000"</f>
        <v>60460000</v>
      </c>
      <c r="F1935" t="s">
        <v>3247</v>
      </c>
      <c r="G1935" t="s">
        <v>336</v>
      </c>
      <c r="H1935" t="s">
        <v>5966</v>
      </c>
      <c r="I1935">
        <v>0</v>
      </c>
      <c r="J1935" t="s">
        <v>343</v>
      </c>
      <c r="K1935">
        <v>750</v>
      </c>
      <c r="M1935">
        <v>851</v>
      </c>
    </row>
    <row r="1936" spans="1:13" x14ac:dyDescent="0.35">
      <c r="A1936" t="str">
        <f t="shared" si="115"/>
        <v>STKCDG4571979760460000</v>
      </c>
      <c r="B1936" t="s">
        <v>3115</v>
      </c>
      <c r="C1936" s="1">
        <v>45719</v>
      </c>
      <c r="D1936" t="str">
        <f>"797"</f>
        <v>797</v>
      </c>
      <c r="E1936" t="str">
        <f>"60460000"</f>
        <v>60460000</v>
      </c>
      <c r="F1936" t="s">
        <v>3247</v>
      </c>
      <c r="G1936" t="s">
        <v>336</v>
      </c>
      <c r="H1936" t="s">
        <v>5966</v>
      </c>
      <c r="I1936">
        <v>0</v>
      </c>
      <c r="J1936" t="s">
        <v>343</v>
      </c>
      <c r="K1936">
        <v>101</v>
      </c>
      <c r="M1936">
        <v>851</v>
      </c>
    </row>
    <row r="1937" spans="1:13" x14ac:dyDescent="0.35">
      <c r="A1937" t="str">
        <f t="shared" si="115"/>
        <v>STKCDG4571979860410000</v>
      </c>
      <c r="B1937" t="s">
        <v>3115</v>
      </c>
      <c r="C1937" s="1">
        <v>45719</v>
      </c>
      <c r="D1937" t="str">
        <f>"798"</f>
        <v>798</v>
      </c>
      <c r="E1937" t="str">
        <f>"60410000"</f>
        <v>60410000</v>
      </c>
      <c r="F1937" t="s">
        <v>3249</v>
      </c>
      <c r="G1937" t="s">
        <v>336</v>
      </c>
      <c r="H1937" t="s">
        <v>5875</v>
      </c>
      <c r="I1937">
        <v>0</v>
      </c>
      <c r="J1937" t="s">
        <v>343</v>
      </c>
      <c r="K1937">
        <v>6356</v>
      </c>
      <c r="M1937">
        <v>6356</v>
      </c>
    </row>
    <row r="1938" spans="1:13" x14ac:dyDescent="0.35">
      <c r="A1938" t="str">
        <f t="shared" si="115"/>
        <v>STKCDG4571979960460000</v>
      </c>
      <c r="B1938" t="s">
        <v>3115</v>
      </c>
      <c r="C1938" s="1">
        <v>45719</v>
      </c>
      <c r="D1938" t="str">
        <f>"799"</f>
        <v>799</v>
      </c>
      <c r="E1938" t="str">
        <f>"60460000"</f>
        <v>60460000</v>
      </c>
      <c r="F1938" t="s">
        <v>3251</v>
      </c>
      <c r="G1938" t="s">
        <v>336</v>
      </c>
      <c r="H1938" t="s">
        <v>5875</v>
      </c>
      <c r="I1938">
        <v>0</v>
      </c>
      <c r="J1938" t="s">
        <v>343</v>
      </c>
      <c r="K1938">
        <v>3409</v>
      </c>
      <c r="M1938">
        <v>3409</v>
      </c>
    </row>
    <row r="1939" spans="1:13" x14ac:dyDescent="0.35">
      <c r="A1939" t="str">
        <f t="shared" si="115"/>
        <v>STKCDG4571980060430000</v>
      </c>
      <c r="B1939" t="s">
        <v>3115</v>
      </c>
      <c r="C1939" s="1">
        <v>45719</v>
      </c>
      <c r="D1939" t="str">
        <f>"800"</f>
        <v>800</v>
      </c>
      <c r="E1939" t="str">
        <f>"60430000"</f>
        <v>60430000</v>
      </c>
      <c r="F1939" t="s">
        <v>3253</v>
      </c>
      <c r="G1939" t="s">
        <v>336</v>
      </c>
      <c r="H1939" t="s">
        <v>5874</v>
      </c>
      <c r="I1939">
        <v>0</v>
      </c>
      <c r="J1939" t="s">
        <v>343</v>
      </c>
      <c r="K1939">
        <v>96320</v>
      </c>
      <c r="M1939">
        <v>96320</v>
      </c>
    </row>
    <row r="1940" spans="1:13" x14ac:dyDescent="0.35">
      <c r="A1940" t="str">
        <f t="shared" si="115"/>
        <v>STKCDG4571980160460000</v>
      </c>
      <c r="B1940" t="s">
        <v>3115</v>
      </c>
      <c r="C1940" s="1">
        <v>45719</v>
      </c>
      <c r="D1940" t="str">
        <f>"801"</f>
        <v>801</v>
      </c>
      <c r="E1940" t="str">
        <f>"60460000"</f>
        <v>60460000</v>
      </c>
      <c r="F1940" t="s">
        <v>3255</v>
      </c>
      <c r="G1940" t="s">
        <v>336</v>
      </c>
      <c r="H1940" t="s">
        <v>5949</v>
      </c>
      <c r="I1940">
        <v>0</v>
      </c>
      <c r="J1940" t="s">
        <v>343</v>
      </c>
      <c r="K1940">
        <v>4420</v>
      </c>
      <c r="M1940">
        <v>4420</v>
      </c>
    </row>
    <row r="1941" spans="1:13" x14ac:dyDescent="0.35">
      <c r="A1941" t="str">
        <f t="shared" si="115"/>
        <v>STKCDG4571980260460000</v>
      </c>
      <c r="B1941" t="s">
        <v>3115</v>
      </c>
      <c r="C1941" s="1">
        <v>45719</v>
      </c>
      <c r="D1941" t="str">
        <f>"802"</f>
        <v>802</v>
      </c>
      <c r="E1941" t="str">
        <f>"60460000"</f>
        <v>60460000</v>
      </c>
      <c r="F1941" t="s">
        <v>3257</v>
      </c>
      <c r="G1941" t="s">
        <v>336</v>
      </c>
      <c r="H1941" t="s">
        <v>5875</v>
      </c>
      <c r="I1941">
        <v>0</v>
      </c>
      <c r="J1941" t="s">
        <v>343</v>
      </c>
      <c r="K1941">
        <v>2273</v>
      </c>
      <c r="M1941">
        <v>2273</v>
      </c>
    </row>
    <row r="1942" spans="1:13" x14ac:dyDescent="0.35">
      <c r="A1942" t="str">
        <f t="shared" si="115"/>
        <v>STKCDG4571980360460000</v>
      </c>
      <c r="B1942" t="s">
        <v>3115</v>
      </c>
      <c r="C1942" s="1">
        <v>45719</v>
      </c>
      <c r="D1942" t="str">
        <f>"803"</f>
        <v>803</v>
      </c>
      <c r="E1942" t="str">
        <f>"60460000"</f>
        <v>60460000</v>
      </c>
      <c r="F1942" t="s">
        <v>3259</v>
      </c>
      <c r="G1942" t="s">
        <v>336</v>
      </c>
      <c r="H1942" t="s">
        <v>5949</v>
      </c>
      <c r="I1942">
        <v>0</v>
      </c>
      <c r="J1942" t="s">
        <v>343</v>
      </c>
      <c r="K1942">
        <v>14966</v>
      </c>
      <c r="M1942">
        <v>14966</v>
      </c>
    </row>
    <row r="1943" spans="1:13" x14ac:dyDescent="0.35">
      <c r="A1943" t="str">
        <f t="shared" si="115"/>
        <v>STKCDG4571980460440000</v>
      </c>
      <c r="B1943" t="s">
        <v>3115</v>
      </c>
      <c r="C1943" s="1">
        <v>45719</v>
      </c>
      <c r="D1943" t="str">
        <f>"804"</f>
        <v>804</v>
      </c>
      <c r="E1943" t="str">
        <f>"60440000"</f>
        <v>60440000</v>
      </c>
      <c r="F1943" t="s">
        <v>3261</v>
      </c>
      <c r="G1943" t="s">
        <v>336</v>
      </c>
      <c r="H1943" t="s">
        <v>5966</v>
      </c>
      <c r="I1943">
        <v>0</v>
      </c>
      <c r="J1943" t="s">
        <v>343</v>
      </c>
      <c r="K1943">
        <v>29387</v>
      </c>
      <c r="M1943">
        <v>29387</v>
      </c>
    </row>
    <row r="1944" spans="1:13" x14ac:dyDescent="0.35">
      <c r="A1944" t="str">
        <f t="shared" si="115"/>
        <v>STKCDG4571980560440000</v>
      </c>
      <c r="B1944" t="s">
        <v>3115</v>
      </c>
      <c r="C1944" s="1">
        <v>45719</v>
      </c>
      <c r="D1944" t="str">
        <f>"805"</f>
        <v>805</v>
      </c>
      <c r="E1944" t="str">
        <f>"60440000"</f>
        <v>60440000</v>
      </c>
      <c r="F1944" t="s">
        <v>3263</v>
      </c>
      <c r="G1944" t="s">
        <v>336</v>
      </c>
      <c r="H1944" t="s">
        <v>5875</v>
      </c>
      <c r="I1944">
        <v>0</v>
      </c>
      <c r="J1944" t="s">
        <v>343</v>
      </c>
      <c r="K1944">
        <v>165696</v>
      </c>
      <c r="M1944">
        <v>165696</v>
      </c>
    </row>
    <row r="1945" spans="1:13" x14ac:dyDescent="0.35">
      <c r="A1945" t="str">
        <f t="shared" si="115"/>
        <v>STKCDG4571980660460000</v>
      </c>
      <c r="B1945" t="s">
        <v>3115</v>
      </c>
      <c r="C1945" s="1">
        <v>45719</v>
      </c>
      <c r="D1945" t="str">
        <f>"806"</f>
        <v>806</v>
      </c>
      <c r="E1945" t="str">
        <f>"60460000"</f>
        <v>60460000</v>
      </c>
      <c r="F1945" t="s">
        <v>3265</v>
      </c>
      <c r="G1945" t="s">
        <v>336</v>
      </c>
      <c r="H1945" t="s">
        <v>5966</v>
      </c>
      <c r="I1945">
        <v>0</v>
      </c>
      <c r="J1945" t="s">
        <v>343</v>
      </c>
      <c r="K1945">
        <v>10000</v>
      </c>
      <c r="M1945">
        <v>10000</v>
      </c>
    </row>
    <row r="1946" spans="1:13" x14ac:dyDescent="0.35">
      <c r="A1946" t="str">
        <f t="shared" si="115"/>
        <v>STKCDG4571980760460000</v>
      </c>
      <c r="B1946" t="s">
        <v>3115</v>
      </c>
      <c r="C1946" s="1">
        <v>45719</v>
      </c>
      <c r="D1946" t="str">
        <f>"807"</f>
        <v>807</v>
      </c>
      <c r="E1946" t="str">
        <f>"60460000"</f>
        <v>60460000</v>
      </c>
      <c r="F1946" t="s">
        <v>3267</v>
      </c>
      <c r="G1946" t="s">
        <v>336</v>
      </c>
      <c r="H1946" t="s">
        <v>5874</v>
      </c>
      <c r="I1946">
        <v>0</v>
      </c>
      <c r="J1946" t="s">
        <v>343</v>
      </c>
      <c r="K1946">
        <v>980</v>
      </c>
      <c r="M1946">
        <v>24063</v>
      </c>
    </row>
    <row r="1947" spans="1:13" x14ac:dyDescent="0.35">
      <c r="A1947" t="str">
        <f t="shared" si="115"/>
        <v>STKCDG4571980760460000</v>
      </c>
      <c r="B1947" t="s">
        <v>3115</v>
      </c>
      <c r="C1947" s="1">
        <v>45719</v>
      </c>
      <c r="D1947" t="str">
        <f>"807"</f>
        <v>807</v>
      </c>
      <c r="E1947" t="str">
        <f>"60460000"</f>
        <v>60460000</v>
      </c>
      <c r="F1947" t="s">
        <v>3267</v>
      </c>
      <c r="G1947" t="s">
        <v>336</v>
      </c>
      <c r="H1947" t="s">
        <v>5874</v>
      </c>
      <c r="I1947">
        <v>0</v>
      </c>
      <c r="J1947" t="s">
        <v>343</v>
      </c>
      <c r="K1947">
        <v>23083</v>
      </c>
      <c r="M1947">
        <v>24063</v>
      </c>
    </row>
    <row r="1948" spans="1:13" x14ac:dyDescent="0.35">
      <c r="A1948" t="str">
        <f t="shared" si="115"/>
        <v>STKCDG4571980860460000</v>
      </c>
      <c r="B1948" t="s">
        <v>3115</v>
      </c>
      <c r="C1948" s="1">
        <v>45719</v>
      </c>
      <c r="D1948" t="str">
        <f>"808"</f>
        <v>808</v>
      </c>
      <c r="E1948" t="str">
        <f>"60460000"</f>
        <v>60460000</v>
      </c>
      <c r="F1948" t="s">
        <v>3269</v>
      </c>
      <c r="G1948" t="s">
        <v>336</v>
      </c>
      <c r="H1948" t="s">
        <v>5966</v>
      </c>
      <c r="I1948">
        <v>0</v>
      </c>
      <c r="J1948" t="s">
        <v>343</v>
      </c>
      <c r="K1948">
        <v>750</v>
      </c>
      <c r="M1948">
        <v>750</v>
      </c>
    </row>
    <row r="1949" spans="1:13" x14ac:dyDescent="0.35">
      <c r="A1949" t="str">
        <f t="shared" si="115"/>
        <v>STKCDG4571980960430000</v>
      </c>
      <c r="B1949" t="s">
        <v>3115</v>
      </c>
      <c r="C1949" s="1">
        <v>45719</v>
      </c>
      <c r="D1949" t="str">
        <f>"809"</f>
        <v>809</v>
      </c>
      <c r="E1949" t="str">
        <f>"60430000"</f>
        <v>60430000</v>
      </c>
      <c r="F1949" t="s">
        <v>3271</v>
      </c>
      <c r="G1949" t="s">
        <v>336</v>
      </c>
      <c r="H1949" t="s">
        <v>5875</v>
      </c>
      <c r="I1949">
        <v>0</v>
      </c>
      <c r="J1949" t="s">
        <v>343</v>
      </c>
      <c r="K1949">
        <v>114380</v>
      </c>
      <c r="M1949">
        <v>114380</v>
      </c>
    </row>
    <row r="1950" spans="1:13" x14ac:dyDescent="0.35">
      <c r="A1950" t="str">
        <f t="shared" si="115"/>
        <v>STKCDG4571981060460000</v>
      </c>
      <c r="B1950" t="s">
        <v>3115</v>
      </c>
      <c r="C1950" s="1">
        <v>45719</v>
      </c>
      <c r="D1950" t="str">
        <f>"810"</f>
        <v>810</v>
      </c>
      <c r="E1950" t="str">
        <f>"60460000"</f>
        <v>60460000</v>
      </c>
      <c r="F1950" t="s">
        <v>3273</v>
      </c>
      <c r="G1950" t="s">
        <v>336</v>
      </c>
      <c r="H1950" t="s">
        <v>5966</v>
      </c>
      <c r="I1950">
        <v>0</v>
      </c>
      <c r="J1950" t="s">
        <v>343</v>
      </c>
      <c r="K1950">
        <v>614</v>
      </c>
      <c r="M1950">
        <v>614</v>
      </c>
    </row>
    <row r="1951" spans="1:13" x14ac:dyDescent="0.35">
      <c r="A1951" t="str">
        <f t="shared" si="115"/>
        <v>STKCDG4571981160440000</v>
      </c>
      <c r="B1951" t="s">
        <v>3115</v>
      </c>
      <c r="C1951" s="1">
        <v>45719</v>
      </c>
      <c r="D1951" t="str">
        <f>"811"</f>
        <v>811</v>
      </c>
      <c r="E1951" t="str">
        <f>"60440000"</f>
        <v>60440000</v>
      </c>
      <c r="F1951" t="s">
        <v>3275</v>
      </c>
      <c r="G1951" t="s">
        <v>336</v>
      </c>
      <c r="H1951" t="s">
        <v>5966</v>
      </c>
      <c r="I1951">
        <v>0</v>
      </c>
      <c r="J1951" t="s">
        <v>343</v>
      </c>
      <c r="K1951">
        <v>159791</v>
      </c>
      <c r="M1951">
        <v>159791</v>
      </c>
    </row>
    <row r="1952" spans="1:13" x14ac:dyDescent="0.35">
      <c r="A1952" t="str">
        <f t="shared" si="115"/>
        <v>STKCDG4571981260460000</v>
      </c>
      <c r="B1952" t="s">
        <v>3115</v>
      </c>
      <c r="C1952" s="1">
        <v>45719</v>
      </c>
      <c r="D1952" t="str">
        <f>"812"</f>
        <v>812</v>
      </c>
      <c r="E1952" t="str">
        <f>"60460000"</f>
        <v>60460000</v>
      </c>
      <c r="F1952" t="s">
        <v>3277</v>
      </c>
      <c r="G1952" t="s">
        <v>336</v>
      </c>
      <c r="H1952" t="s">
        <v>5949</v>
      </c>
      <c r="I1952">
        <v>0</v>
      </c>
      <c r="J1952" t="s">
        <v>343</v>
      </c>
      <c r="K1952">
        <v>4847</v>
      </c>
      <c r="M1952">
        <v>4847</v>
      </c>
    </row>
    <row r="1953" spans="1:13" x14ac:dyDescent="0.35">
      <c r="A1953" t="str">
        <f t="shared" si="115"/>
        <v>STKCDG4571981360440000</v>
      </c>
      <c r="B1953" t="s">
        <v>3115</v>
      </c>
      <c r="C1953" s="1">
        <v>45719</v>
      </c>
      <c r="D1953" t="str">
        <f>"813"</f>
        <v>813</v>
      </c>
      <c r="E1953" t="str">
        <f>"60440000"</f>
        <v>60440000</v>
      </c>
      <c r="F1953" t="s">
        <v>3279</v>
      </c>
      <c r="G1953" t="s">
        <v>336</v>
      </c>
      <c r="H1953" t="s">
        <v>5876</v>
      </c>
      <c r="I1953">
        <v>0</v>
      </c>
      <c r="J1953" t="s">
        <v>343</v>
      </c>
      <c r="K1953">
        <v>165696</v>
      </c>
      <c r="M1953">
        <v>165696</v>
      </c>
    </row>
    <row r="1954" spans="1:13" x14ac:dyDescent="0.35">
      <c r="A1954" t="str">
        <f t="shared" si="115"/>
        <v>STKCDG4571981460460000</v>
      </c>
      <c r="B1954" t="s">
        <v>3115</v>
      </c>
      <c r="C1954" s="1">
        <v>45719</v>
      </c>
      <c r="D1954" t="str">
        <f>"814"</f>
        <v>814</v>
      </c>
      <c r="E1954" t="str">
        <f>"60460000"</f>
        <v>60460000</v>
      </c>
      <c r="F1954" t="s">
        <v>3281</v>
      </c>
      <c r="G1954" t="s">
        <v>336</v>
      </c>
      <c r="H1954" t="s">
        <v>5880</v>
      </c>
      <c r="I1954">
        <v>0</v>
      </c>
      <c r="J1954" t="s">
        <v>343</v>
      </c>
      <c r="K1954">
        <v>2403</v>
      </c>
      <c r="M1954">
        <v>2403</v>
      </c>
    </row>
    <row r="1955" spans="1:13" x14ac:dyDescent="0.35">
      <c r="A1955" t="str">
        <f t="shared" si="115"/>
        <v>STKCDG4571981560430000</v>
      </c>
      <c r="B1955" t="s">
        <v>3115</v>
      </c>
      <c r="C1955" s="1">
        <v>45719</v>
      </c>
      <c r="D1955" t="str">
        <f>"815"</f>
        <v>815</v>
      </c>
      <c r="E1955" t="str">
        <f>"60430000"</f>
        <v>60430000</v>
      </c>
      <c r="F1955" t="s">
        <v>3283</v>
      </c>
      <c r="G1955" t="s">
        <v>336</v>
      </c>
      <c r="H1955" t="s">
        <v>5876</v>
      </c>
      <c r="I1955">
        <v>0</v>
      </c>
      <c r="J1955" t="s">
        <v>343</v>
      </c>
      <c r="K1955">
        <v>114380</v>
      </c>
      <c r="M1955">
        <v>114380</v>
      </c>
    </row>
    <row r="1956" spans="1:13" x14ac:dyDescent="0.35">
      <c r="A1956" t="str">
        <f t="shared" si="115"/>
        <v>STKCDG4571981660430000</v>
      </c>
      <c r="B1956" t="s">
        <v>3115</v>
      </c>
      <c r="C1956" s="1">
        <v>45719</v>
      </c>
      <c r="D1956" t="str">
        <f>"816"</f>
        <v>816</v>
      </c>
      <c r="E1956" t="str">
        <f>"60430000"</f>
        <v>60430000</v>
      </c>
      <c r="F1956" t="s">
        <v>3285</v>
      </c>
      <c r="G1956" t="s">
        <v>336</v>
      </c>
      <c r="H1956" t="s">
        <v>5966</v>
      </c>
      <c r="I1956">
        <v>0</v>
      </c>
      <c r="J1956" t="s">
        <v>343</v>
      </c>
      <c r="K1956">
        <v>66825</v>
      </c>
      <c r="M1956">
        <v>66825</v>
      </c>
    </row>
    <row r="1957" spans="1:13" x14ac:dyDescent="0.35">
      <c r="A1957" t="str">
        <f t="shared" si="115"/>
        <v>STKCDG4571981760410000</v>
      </c>
      <c r="B1957" t="s">
        <v>3115</v>
      </c>
      <c r="C1957" s="1">
        <v>45719</v>
      </c>
      <c r="D1957" t="str">
        <f>"817"</f>
        <v>817</v>
      </c>
      <c r="E1957" t="str">
        <f>"60410000"</f>
        <v>60410000</v>
      </c>
      <c r="F1957" t="s">
        <v>3287</v>
      </c>
      <c r="G1957" t="s">
        <v>336</v>
      </c>
      <c r="H1957" t="s">
        <v>5875</v>
      </c>
      <c r="I1957">
        <v>0</v>
      </c>
      <c r="J1957" t="s">
        <v>343</v>
      </c>
      <c r="K1957">
        <v>4290</v>
      </c>
      <c r="M1957">
        <v>4290</v>
      </c>
    </row>
    <row r="1958" spans="1:13" x14ac:dyDescent="0.35">
      <c r="A1958" t="str">
        <f t="shared" si="115"/>
        <v>STKCDG4571981860440000</v>
      </c>
      <c r="B1958" t="s">
        <v>3115</v>
      </c>
      <c r="C1958" s="1">
        <v>45719</v>
      </c>
      <c r="D1958" t="str">
        <f>"818"</f>
        <v>818</v>
      </c>
      <c r="E1958" t="str">
        <f>"60440000"</f>
        <v>60440000</v>
      </c>
      <c r="F1958" t="s">
        <v>3289</v>
      </c>
      <c r="G1958" t="s">
        <v>336</v>
      </c>
      <c r="H1958" t="s">
        <v>5874</v>
      </c>
      <c r="I1958">
        <v>0</v>
      </c>
      <c r="J1958" t="s">
        <v>343</v>
      </c>
      <c r="K1958">
        <v>93802</v>
      </c>
      <c r="M1958">
        <v>93802</v>
      </c>
    </row>
    <row r="1959" spans="1:13" x14ac:dyDescent="0.35">
      <c r="A1959" t="str">
        <f t="shared" si="115"/>
        <v>STKCDG4571981960460000</v>
      </c>
      <c r="B1959" t="s">
        <v>3115</v>
      </c>
      <c r="C1959" s="1">
        <v>45719</v>
      </c>
      <c r="D1959" t="str">
        <f>"819"</f>
        <v>819</v>
      </c>
      <c r="E1959" t="str">
        <f>"60460000"</f>
        <v>60460000</v>
      </c>
      <c r="F1959" t="s">
        <v>3291</v>
      </c>
      <c r="G1959" t="s">
        <v>336</v>
      </c>
      <c r="H1959" t="s">
        <v>5890</v>
      </c>
      <c r="I1959">
        <v>0</v>
      </c>
      <c r="J1959" t="s">
        <v>343</v>
      </c>
      <c r="K1959">
        <v>1150</v>
      </c>
      <c r="M1959">
        <v>1150</v>
      </c>
    </row>
    <row r="1960" spans="1:13" x14ac:dyDescent="0.35">
      <c r="A1960" t="str">
        <f t="shared" si="115"/>
        <v>STKCDG4571982060440000</v>
      </c>
      <c r="B1960" t="s">
        <v>3115</v>
      </c>
      <c r="C1960" s="1">
        <v>45719</v>
      </c>
      <c r="D1960" t="str">
        <f>"820"</f>
        <v>820</v>
      </c>
      <c r="E1960" t="str">
        <f>"60440000"</f>
        <v>60440000</v>
      </c>
      <c r="F1960" t="s">
        <v>3293</v>
      </c>
      <c r="G1960" t="s">
        <v>336</v>
      </c>
      <c r="H1960" t="s">
        <v>5880</v>
      </c>
      <c r="I1960">
        <v>0</v>
      </c>
      <c r="J1960" t="s">
        <v>343</v>
      </c>
      <c r="K1960">
        <v>43950</v>
      </c>
      <c r="M1960">
        <v>43950</v>
      </c>
    </row>
    <row r="1961" spans="1:13" x14ac:dyDescent="0.35">
      <c r="A1961" t="str">
        <f t="shared" si="115"/>
        <v>STKCDG4571982160440000</v>
      </c>
      <c r="B1961" t="s">
        <v>3115</v>
      </c>
      <c r="C1961" s="1">
        <v>45719</v>
      </c>
      <c r="D1961" t="str">
        <f>"821"</f>
        <v>821</v>
      </c>
      <c r="E1961" t="str">
        <f>"60440000"</f>
        <v>60440000</v>
      </c>
      <c r="F1961" t="s">
        <v>3295</v>
      </c>
      <c r="G1961" t="s">
        <v>336</v>
      </c>
      <c r="H1961" t="s">
        <v>5875</v>
      </c>
      <c r="I1961">
        <v>0</v>
      </c>
      <c r="J1961" t="s">
        <v>343</v>
      </c>
      <c r="K1961">
        <v>21580</v>
      </c>
      <c r="M1961">
        <v>21580</v>
      </c>
    </row>
    <row r="1962" spans="1:13" x14ac:dyDescent="0.35">
      <c r="A1962" t="str">
        <f t="shared" si="115"/>
        <v>STKCDG4571982260440000</v>
      </c>
      <c r="B1962" t="s">
        <v>3115</v>
      </c>
      <c r="C1962" s="1">
        <v>45719</v>
      </c>
      <c r="D1962" t="str">
        <f>"822"</f>
        <v>822</v>
      </c>
      <c r="E1962" t="str">
        <f>"60440000"</f>
        <v>60440000</v>
      </c>
      <c r="F1962" t="s">
        <v>3297</v>
      </c>
      <c r="G1962" t="s">
        <v>336</v>
      </c>
      <c r="H1962" t="s">
        <v>5875</v>
      </c>
      <c r="I1962">
        <v>0</v>
      </c>
      <c r="J1962" t="s">
        <v>343</v>
      </c>
      <c r="K1962">
        <v>1050</v>
      </c>
      <c r="M1962">
        <v>1050</v>
      </c>
    </row>
    <row r="1963" spans="1:13" x14ac:dyDescent="0.35">
      <c r="A1963" t="str">
        <f t="shared" si="115"/>
        <v>STKCDG4571982360440000</v>
      </c>
      <c r="B1963" t="s">
        <v>3115</v>
      </c>
      <c r="C1963" s="1">
        <v>45719</v>
      </c>
      <c r="D1963" t="str">
        <f>"823"</f>
        <v>823</v>
      </c>
      <c r="E1963" t="str">
        <f>"60440000"</f>
        <v>60440000</v>
      </c>
      <c r="F1963" t="s">
        <v>3299</v>
      </c>
      <c r="G1963" t="s">
        <v>336</v>
      </c>
      <c r="H1963" t="s">
        <v>5966</v>
      </c>
      <c r="I1963">
        <v>0</v>
      </c>
      <c r="J1963" t="s">
        <v>343</v>
      </c>
      <c r="K1963">
        <v>3153</v>
      </c>
      <c r="M1963">
        <v>3153</v>
      </c>
    </row>
    <row r="1964" spans="1:13" x14ac:dyDescent="0.35">
      <c r="A1964" t="str">
        <f t="shared" si="115"/>
        <v>STKCDG4571982460460000</v>
      </c>
      <c r="B1964" t="s">
        <v>3115</v>
      </c>
      <c r="C1964" s="1">
        <v>45719</v>
      </c>
      <c r="D1964" t="str">
        <f>"824"</f>
        <v>824</v>
      </c>
      <c r="E1964" t="str">
        <f>"60460000"</f>
        <v>60460000</v>
      </c>
      <c r="F1964" t="s">
        <v>3301</v>
      </c>
      <c r="G1964" t="s">
        <v>336</v>
      </c>
      <c r="H1964" t="s">
        <v>5966</v>
      </c>
      <c r="I1964">
        <v>0</v>
      </c>
      <c r="J1964" t="s">
        <v>343</v>
      </c>
      <c r="K1964">
        <v>3150</v>
      </c>
      <c r="M1964">
        <v>3851</v>
      </c>
    </row>
    <row r="1965" spans="1:13" x14ac:dyDescent="0.35">
      <c r="A1965" t="str">
        <f t="shared" si="115"/>
        <v>STKCDG4571982460460000</v>
      </c>
      <c r="B1965" t="s">
        <v>3115</v>
      </c>
      <c r="C1965" s="1">
        <v>45719</v>
      </c>
      <c r="D1965" t="str">
        <f>"824"</f>
        <v>824</v>
      </c>
      <c r="E1965" t="str">
        <f>"60460000"</f>
        <v>60460000</v>
      </c>
      <c r="F1965" t="s">
        <v>3301</v>
      </c>
      <c r="G1965" t="s">
        <v>336</v>
      </c>
      <c r="H1965" t="s">
        <v>5966</v>
      </c>
      <c r="I1965">
        <v>0</v>
      </c>
      <c r="J1965" t="s">
        <v>343</v>
      </c>
      <c r="K1965">
        <v>701</v>
      </c>
      <c r="M1965">
        <v>3851</v>
      </c>
    </row>
    <row r="1966" spans="1:13" x14ac:dyDescent="0.35">
      <c r="A1966" t="str">
        <f t="shared" si="115"/>
        <v>STKCDG4571982560440000</v>
      </c>
      <c r="B1966" t="s">
        <v>3115</v>
      </c>
      <c r="C1966" s="1">
        <v>45719</v>
      </c>
      <c r="D1966" t="str">
        <f>"825"</f>
        <v>825</v>
      </c>
      <c r="E1966" t="str">
        <f>"60440000"</f>
        <v>60440000</v>
      </c>
      <c r="F1966" t="s">
        <v>3303</v>
      </c>
      <c r="G1966" t="s">
        <v>336</v>
      </c>
      <c r="H1966" t="s">
        <v>5966</v>
      </c>
      <c r="I1966">
        <v>0</v>
      </c>
      <c r="J1966" t="s">
        <v>343</v>
      </c>
      <c r="K1966">
        <v>3411</v>
      </c>
      <c r="M1966">
        <v>3411</v>
      </c>
    </row>
    <row r="1967" spans="1:13" x14ac:dyDescent="0.35">
      <c r="A1967" t="str">
        <f t="shared" si="115"/>
        <v>STKCDG4571982660460000</v>
      </c>
      <c r="B1967" t="s">
        <v>3115</v>
      </c>
      <c r="C1967" s="1">
        <v>45719</v>
      </c>
      <c r="D1967" t="str">
        <f>"826"</f>
        <v>826</v>
      </c>
      <c r="E1967" t="str">
        <f>"60460000"</f>
        <v>60460000</v>
      </c>
      <c r="F1967" t="s">
        <v>3305</v>
      </c>
      <c r="G1967" t="s">
        <v>336</v>
      </c>
      <c r="H1967" t="s">
        <v>5966</v>
      </c>
      <c r="I1967">
        <v>0</v>
      </c>
      <c r="J1967" t="s">
        <v>343</v>
      </c>
      <c r="K1967">
        <v>600</v>
      </c>
      <c r="M1967">
        <v>600</v>
      </c>
    </row>
    <row r="1968" spans="1:13" x14ac:dyDescent="0.35">
      <c r="A1968" t="str">
        <f t="shared" si="115"/>
        <v>STKCDG4571982760440000</v>
      </c>
      <c r="B1968" t="s">
        <v>3115</v>
      </c>
      <c r="C1968" s="1">
        <v>45719</v>
      </c>
      <c r="D1968" t="str">
        <f>"827"</f>
        <v>827</v>
      </c>
      <c r="E1968" t="str">
        <f>"60440000"</f>
        <v>60440000</v>
      </c>
      <c r="F1968" t="s">
        <v>3307</v>
      </c>
      <c r="G1968" t="s">
        <v>336</v>
      </c>
      <c r="H1968" t="s">
        <v>5966</v>
      </c>
      <c r="I1968">
        <v>0</v>
      </c>
      <c r="J1968" t="s">
        <v>343</v>
      </c>
      <c r="K1968">
        <v>656</v>
      </c>
      <c r="M1968">
        <v>656</v>
      </c>
    </row>
    <row r="1969" spans="1:13" x14ac:dyDescent="0.35">
      <c r="A1969" t="str">
        <f t="shared" si="115"/>
        <v>STKCDG4571982860440000</v>
      </c>
      <c r="B1969" t="s">
        <v>3115</v>
      </c>
      <c r="C1969" s="1">
        <v>45719</v>
      </c>
      <c r="D1969" t="str">
        <f>"828"</f>
        <v>828</v>
      </c>
      <c r="E1969" t="str">
        <f>"60440000"</f>
        <v>60440000</v>
      </c>
      <c r="F1969" t="s">
        <v>3309</v>
      </c>
      <c r="G1969" t="s">
        <v>336</v>
      </c>
      <c r="H1969" t="s">
        <v>5966</v>
      </c>
      <c r="I1969">
        <v>0</v>
      </c>
      <c r="J1969" t="s">
        <v>343</v>
      </c>
      <c r="K1969">
        <v>1443</v>
      </c>
      <c r="M1969">
        <v>1443</v>
      </c>
    </row>
    <row r="1970" spans="1:13" x14ac:dyDescent="0.35">
      <c r="A1970" t="str">
        <f t="shared" si="115"/>
        <v>STKCDG4571982960460000</v>
      </c>
      <c r="B1970" t="s">
        <v>3115</v>
      </c>
      <c r="C1970" s="1">
        <v>45719</v>
      </c>
      <c r="D1970" t="str">
        <f>"829"</f>
        <v>829</v>
      </c>
      <c r="E1970" t="str">
        <f>"60460000"</f>
        <v>60460000</v>
      </c>
      <c r="F1970" t="s">
        <v>3311</v>
      </c>
      <c r="G1970" t="s">
        <v>336</v>
      </c>
      <c r="H1970" t="s">
        <v>5966</v>
      </c>
      <c r="I1970">
        <v>0</v>
      </c>
      <c r="J1970" t="s">
        <v>343</v>
      </c>
      <c r="K1970">
        <v>750</v>
      </c>
      <c r="M1970">
        <v>750</v>
      </c>
    </row>
    <row r="1971" spans="1:13" x14ac:dyDescent="0.35">
      <c r="A1971" t="str">
        <f t="shared" si="115"/>
        <v>STKCDG4571983060440000</v>
      </c>
      <c r="B1971" t="s">
        <v>3115</v>
      </c>
      <c r="C1971" s="1">
        <v>45719</v>
      </c>
      <c r="D1971" t="str">
        <f>"830"</f>
        <v>830</v>
      </c>
      <c r="E1971" t="str">
        <f>"60440000"</f>
        <v>60440000</v>
      </c>
      <c r="F1971" t="s">
        <v>3313</v>
      </c>
      <c r="G1971" t="s">
        <v>336</v>
      </c>
      <c r="H1971" t="s">
        <v>5966</v>
      </c>
      <c r="I1971">
        <v>0</v>
      </c>
      <c r="J1971" t="s">
        <v>343</v>
      </c>
      <c r="K1971">
        <v>1968</v>
      </c>
      <c r="M1971">
        <v>1968</v>
      </c>
    </row>
    <row r="1972" spans="1:13" x14ac:dyDescent="0.35">
      <c r="A1972" t="str">
        <f t="shared" si="115"/>
        <v>STKCDG4571983160460000</v>
      </c>
      <c r="B1972" t="s">
        <v>3115</v>
      </c>
      <c r="C1972" s="1">
        <v>45719</v>
      </c>
      <c r="D1972" t="str">
        <f>"831"</f>
        <v>831</v>
      </c>
      <c r="E1972" t="str">
        <f>"60460000"</f>
        <v>60460000</v>
      </c>
      <c r="F1972" t="s">
        <v>3315</v>
      </c>
      <c r="G1972" t="s">
        <v>336</v>
      </c>
      <c r="H1972" t="s">
        <v>5966</v>
      </c>
      <c r="I1972">
        <v>0</v>
      </c>
      <c r="J1972" t="s">
        <v>343</v>
      </c>
      <c r="K1972">
        <v>797</v>
      </c>
      <c r="M1972">
        <v>797</v>
      </c>
    </row>
    <row r="1973" spans="1:13" x14ac:dyDescent="0.35">
      <c r="A1973" t="str">
        <f t="shared" si="115"/>
        <v>STKCDG4571983260440000</v>
      </c>
      <c r="B1973" t="s">
        <v>3115</v>
      </c>
      <c r="C1973" s="1">
        <v>45719</v>
      </c>
      <c r="D1973" t="str">
        <f>"832"</f>
        <v>832</v>
      </c>
      <c r="E1973" t="str">
        <f>"60440000"</f>
        <v>60440000</v>
      </c>
      <c r="F1973" t="s">
        <v>3317</v>
      </c>
      <c r="G1973" t="s">
        <v>336</v>
      </c>
      <c r="H1973" t="s">
        <v>5966</v>
      </c>
      <c r="I1973">
        <v>0</v>
      </c>
      <c r="J1973" t="s">
        <v>343</v>
      </c>
      <c r="K1973">
        <v>3936</v>
      </c>
      <c r="M1973">
        <v>3936</v>
      </c>
    </row>
    <row r="1974" spans="1:13" x14ac:dyDescent="0.35">
      <c r="A1974" t="str">
        <f t="shared" si="115"/>
        <v>STKCDG4571983360430000</v>
      </c>
      <c r="B1974" t="s">
        <v>3115</v>
      </c>
      <c r="C1974" s="1">
        <v>45719</v>
      </c>
      <c r="D1974" t="str">
        <f>"833"</f>
        <v>833</v>
      </c>
      <c r="E1974" t="str">
        <f>"60430000"</f>
        <v>60430000</v>
      </c>
      <c r="F1974" t="s">
        <v>3319</v>
      </c>
      <c r="G1974" t="s">
        <v>336</v>
      </c>
      <c r="H1974" t="s">
        <v>5880</v>
      </c>
      <c r="I1974">
        <v>0</v>
      </c>
      <c r="J1974" t="s">
        <v>343</v>
      </c>
      <c r="K1974">
        <v>114380</v>
      </c>
      <c r="M1974">
        <v>114380</v>
      </c>
    </row>
    <row r="1975" spans="1:13" x14ac:dyDescent="0.35">
      <c r="A1975" t="str">
        <f t="shared" si="115"/>
        <v>STKCDG4571983460460000</v>
      </c>
      <c r="B1975" t="s">
        <v>3115</v>
      </c>
      <c r="C1975" s="1">
        <v>45719</v>
      </c>
      <c r="D1975" t="str">
        <f>"834"</f>
        <v>834</v>
      </c>
      <c r="E1975" t="str">
        <f>"60460000"</f>
        <v>60460000</v>
      </c>
      <c r="F1975" t="s">
        <v>3321</v>
      </c>
      <c r="G1975" t="s">
        <v>336</v>
      </c>
      <c r="H1975" t="s">
        <v>5966</v>
      </c>
      <c r="I1975">
        <v>0</v>
      </c>
      <c r="J1975" t="s">
        <v>343</v>
      </c>
      <c r="K1975">
        <v>3619</v>
      </c>
      <c r="M1975">
        <v>3619</v>
      </c>
    </row>
    <row r="1976" spans="1:13" x14ac:dyDescent="0.35">
      <c r="A1976" t="str">
        <f t="shared" si="115"/>
        <v>STKCDG4571983560430000</v>
      </c>
      <c r="B1976" t="s">
        <v>3115</v>
      </c>
      <c r="C1976" s="1">
        <v>45719</v>
      </c>
      <c r="D1976" t="str">
        <f>"835"</f>
        <v>835</v>
      </c>
      <c r="E1976" t="str">
        <f>"60430000"</f>
        <v>60430000</v>
      </c>
      <c r="F1976" t="s">
        <v>3323</v>
      </c>
      <c r="G1976" t="s">
        <v>336</v>
      </c>
      <c r="H1976" t="s">
        <v>5876</v>
      </c>
      <c r="I1976">
        <v>0</v>
      </c>
      <c r="J1976" t="s">
        <v>343</v>
      </c>
      <c r="K1976">
        <v>114380</v>
      </c>
      <c r="M1976">
        <v>114380</v>
      </c>
    </row>
    <row r="1977" spans="1:13" x14ac:dyDescent="0.35">
      <c r="A1977" t="str">
        <f t="shared" si="115"/>
        <v>STKCDG4571983660460000</v>
      </c>
      <c r="B1977" t="s">
        <v>3115</v>
      </c>
      <c r="C1977" s="1">
        <v>45719</v>
      </c>
      <c r="D1977" t="str">
        <f>"836"</f>
        <v>836</v>
      </c>
      <c r="E1977" t="str">
        <f>"60460000"</f>
        <v>60460000</v>
      </c>
      <c r="F1977" t="s">
        <v>3325</v>
      </c>
      <c r="G1977" t="s">
        <v>336</v>
      </c>
      <c r="H1977" t="s">
        <v>5966</v>
      </c>
      <c r="I1977">
        <v>0</v>
      </c>
      <c r="J1977" t="s">
        <v>343</v>
      </c>
      <c r="K1977">
        <v>2273</v>
      </c>
      <c r="M1977">
        <v>2273</v>
      </c>
    </row>
    <row r="1978" spans="1:13" x14ac:dyDescent="0.35">
      <c r="A1978" t="str">
        <f t="shared" si="115"/>
        <v>STKCDG4571983760460000</v>
      </c>
      <c r="B1978" t="s">
        <v>3115</v>
      </c>
      <c r="C1978" s="1">
        <v>45719</v>
      </c>
      <c r="D1978" t="str">
        <f>"837"</f>
        <v>837</v>
      </c>
      <c r="E1978" t="str">
        <f>"60460000"</f>
        <v>60460000</v>
      </c>
      <c r="F1978" t="s">
        <v>3327</v>
      </c>
      <c r="G1978" t="s">
        <v>336</v>
      </c>
      <c r="H1978" t="s">
        <v>5966</v>
      </c>
      <c r="I1978">
        <v>0</v>
      </c>
      <c r="J1978" t="s">
        <v>343</v>
      </c>
      <c r="K1978">
        <v>1136</v>
      </c>
      <c r="M1978">
        <v>1136</v>
      </c>
    </row>
    <row r="1979" spans="1:13" x14ac:dyDescent="0.35">
      <c r="A1979" t="str">
        <f t="shared" si="115"/>
        <v>STKCDG4571983860460000</v>
      </c>
      <c r="B1979" t="s">
        <v>3115</v>
      </c>
      <c r="C1979" s="1">
        <v>45719</v>
      </c>
      <c r="D1979" t="str">
        <f>"838"</f>
        <v>838</v>
      </c>
      <c r="E1979" t="str">
        <f>"60460000"</f>
        <v>60460000</v>
      </c>
      <c r="F1979" t="s">
        <v>3329</v>
      </c>
      <c r="G1979" t="s">
        <v>336</v>
      </c>
      <c r="H1979" t="s">
        <v>5966</v>
      </c>
      <c r="I1979">
        <v>0</v>
      </c>
      <c r="J1979" t="s">
        <v>343</v>
      </c>
      <c r="K1979">
        <v>1809</v>
      </c>
      <c r="M1979">
        <v>1809</v>
      </c>
    </row>
    <row r="1980" spans="1:13" x14ac:dyDescent="0.35">
      <c r="A1980" t="str">
        <f t="shared" si="115"/>
        <v>STKCDG4571983960460000</v>
      </c>
      <c r="B1980" t="s">
        <v>3115</v>
      </c>
      <c r="C1980" s="1">
        <v>45719</v>
      </c>
      <c r="D1980" t="str">
        <f>"839"</f>
        <v>839</v>
      </c>
      <c r="E1980" t="str">
        <f>"60460000"</f>
        <v>60460000</v>
      </c>
      <c r="F1980" t="s">
        <v>3331</v>
      </c>
      <c r="G1980" t="s">
        <v>336</v>
      </c>
      <c r="H1980" t="s">
        <v>6012</v>
      </c>
      <c r="I1980">
        <v>0</v>
      </c>
      <c r="J1980" t="s">
        <v>343</v>
      </c>
      <c r="K1980">
        <v>68932</v>
      </c>
      <c r="M1980">
        <v>68932</v>
      </c>
    </row>
    <row r="1981" spans="1:13" x14ac:dyDescent="0.35">
      <c r="A1981" t="str">
        <f t="shared" si="115"/>
        <v>STKCDG4572084060440000</v>
      </c>
      <c r="B1981" t="s">
        <v>3115</v>
      </c>
      <c r="C1981" s="1">
        <v>45720</v>
      </c>
      <c r="D1981" t="str">
        <f>"840"</f>
        <v>840</v>
      </c>
      <c r="E1981" t="str">
        <f>"60440000"</f>
        <v>60440000</v>
      </c>
      <c r="F1981" t="s">
        <v>3333</v>
      </c>
      <c r="G1981" t="s">
        <v>336</v>
      </c>
      <c r="H1981" t="s">
        <v>5958</v>
      </c>
      <c r="I1981">
        <v>0</v>
      </c>
      <c r="J1981" t="s">
        <v>343</v>
      </c>
      <c r="K1981">
        <v>80027</v>
      </c>
      <c r="M1981">
        <v>80027</v>
      </c>
    </row>
    <row r="1982" spans="1:13" x14ac:dyDescent="0.35">
      <c r="A1982" t="str">
        <f t="shared" si="115"/>
        <v>STKCDG4572084160410000</v>
      </c>
      <c r="B1982" t="s">
        <v>3115</v>
      </c>
      <c r="C1982" s="1">
        <v>45720</v>
      </c>
      <c r="D1982" t="str">
        <f>"841"</f>
        <v>841</v>
      </c>
      <c r="E1982" t="str">
        <f>"60410000"</f>
        <v>60410000</v>
      </c>
      <c r="F1982" t="s">
        <v>3335</v>
      </c>
      <c r="G1982" t="s">
        <v>336</v>
      </c>
      <c r="H1982" t="s">
        <v>5958</v>
      </c>
      <c r="I1982">
        <v>0</v>
      </c>
      <c r="J1982" t="s">
        <v>343</v>
      </c>
      <c r="K1982">
        <v>3178</v>
      </c>
      <c r="M1982">
        <v>3178</v>
      </c>
    </row>
    <row r="1983" spans="1:13" x14ac:dyDescent="0.35">
      <c r="A1983" t="str">
        <f t="shared" si="115"/>
        <v>STKCDG4572084260410000</v>
      </c>
      <c r="B1983" t="s">
        <v>3115</v>
      </c>
      <c r="C1983" s="1">
        <v>45720</v>
      </c>
      <c r="D1983" t="str">
        <f>"842"</f>
        <v>842</v>
      </c>
      <c r="E1983" t="str">
        <f>"60410000"</f>
        <v>60410000</v>
      </c>
      <c r="F1983" t="s">
        <v>3337</v>
      </c>
      <c r="G1983" t="s">
        <v>336</v>
      </c>
      <c r="H1983" t="s">
        <v>5949</v>
      </c>
      <c r="I1983">
        <v>0</v>
      </c>
      <c r="J1983" t="s">
        <v>343</v>
      </c>
      <c r="K1983">
        <v>10594</v>
      </c>
      <c r="M1983">
        <v>10594</v>
      </c>
    </row>
    <row r="1984" spans="1:13" x14ac:dyDescent="0.35">
      <c r="A1984" t="str">
        <f t="shared" si="115"/>
        <v>STKCDG4572084360460000</v>
      </c>
      <c r="B1984" t="s">
        <v>3115</v>
      </c>
      <c r="C1984" s="1">
        <v>45720</v>
      </c>
      <c r="D1984" t="str">
        <f>"843"</f>
        <v>843</v>
      </c>
      <c r="E1984" t="str">
        <f>"60460000"</f>
        <v>60460000</v>
      </c>
      <c r="F1984" t="s">
        <v>3339</v>
      </c>
      <c r="G1984" t="s">
        <v>336</v>
      </c>
      <c r="H1984" t="s">
        <v>5949</v>
      </c>
      <c r="I1984">
        <v>0</v>
      </c>
      <c r="J1984" t="s">
        <v>343</v>
      </c>
      <c r="K1984">
        <v>1225</v>
      </c>
      <c r="M1984">
        <v>1225</v>
      </c>
    </row>
    <row r="1985" spans="1:13" x14ac:dyDescent="0.35">
      <c r="A1985" t="str">
        <f t="shared" si="115"/>
        <v>STKCDG4572084460440000</v>
      </c>
      <c r="B1985" t="s">
        <v>3115</v>
      </c>
      <c r="C1985" s="1">
        <v>45720</v>
      </c>
      <c r="D1985" t="str">
        <f>"844"</f>
        <v>844</v>
      </c>
      <c r="E1985" t="str">
        <f>"60440000"</f>
        <v>60440000</v>
      </c>
      <c r="F1985" t="s">
        <v>3341</v>
      </c>
      <c r="G1985" t="s">
        <v>336</v>
      </c>
      <c r="H1985" t="s">
        <v>6010</v>
      </c>
      <c r="I1985">
        <v>0</v>
      </c>
      <c r="J1985" t="s">
        <v>343</v>
      </c>
      <c r="K1985">
        <v>262</v>
      </c>
      <c r="M1985">
        <v>262</v>
      </c>
    </row>
    <row r="1986" spans="1:13" x14ac:dyDescent="0.35">
      <c r="A1986" t="str">
        <f t="shared" si="115"/>
        <v>STKCDG4572084560440000</v>
      </c>
      <c r="B1986" t="s">
        <v>3115</v>
      </c>
      <c r="C1986" s="1">
        <v>45720</v>
      </c>
      <c r="D1986" t="str">
        <f>"845"</f>
        <v>845</v>
      </c>
      <c r="E1986" t="str">
        <f>"60440000"</f>
        <v>60440000</v>
      </c>
      <c r="F1986" t="s">
        <v>3343</v>
      </c>
      <c r="G1986" t="s">
        <v>336</v>
      </c>
      <c r="H1986" t="s">
        <v>5880</v>
      </c>
      <c r="I1986">
        <v>0</v>
      </c>
      <c r="J1986" t="s">
        <v>343</v>
      </c>
      <c r="K1986">
        <v>17973</v>
      </c>
      <c r="M1986">
        <v>17973</v>
      </c>
    </row>
    <row r="1987" spans="1:13" x14ac:dyDescent="0.35">
      <c r="A1987" t="str">
        <f t="shared" ref="A1987:A2050" si="116">CONCATENATE(B1987,C1987,D1987,E1987)</f>
        <v>STKCDG4572084660410000</v>
      </c>
      <c r="B1987" t="s">
        <v>3115</v>
      </c>
      <c r="C1987" s="1">
        <v>45720</v>
      </c>
      <c r="D1987" t="str">
        <f>"846"</f>
        <v>846</v>
      </c>
      <c r="E1987" t="str">
        <f>"60410000"</f>
        <v>60410000</v>
      </c>
      <c r="F1987" t="s">
        <v>3345</v>
      </c>
      <c r="G1987" t="s">
        <v>336</v>
      </c>
      <c r="H1987" t="s">
        <v>5880</v>
      </c>
      <c r="I1987">
        <v>0</v>
      </c>
      <c r="J1987" t="s">
        <v>343</v>
      </c>
      <c r="K1987">
        <v>2800000</v>
      </c>
      <c r="M1987">
        <v>2800000</v>
      </c>
    </row>
    <row r="1988" spans="1:13" x14ac:dyDescent="0.35">
      <c r="A1988" t="str">
        <f t="shared" si="116"/>
        <v>STKCDG4572084760410000</v>
      </c>
      <c r="B1988" t="s">
        <v>3115</v>
      </c>
      <c r="C1988" s="1">
        <v>45720</v>
      </c>
      <c r="D1988" t="str">
        <f>"847"</f>
        <v>847</v>
      </c>
      <c r="E1988" t="str">
        <f>"60410000"</f>
        <v>60410000</v>
      </c>
      <c r="F1988" t="s">
        <v>3347</v>
      </c>
      <c r="G1988" t="s">
        <v>336</v>
      </c>
      <c r="H1988" t="s">
        <v>5958</v>
      </c>
      <c r="I1988">
        <v>0</v>
      </c>
      <c r="J1988" t="s">
        <v>343</v>
      </c>
      <c r="K1988">
        <v>2800000</v>
      </c>
      <c r="M1988">
        <v>2800000</v>
      </c>
    </row>
    <row r="1989" spans="1:13" x14ac:dyDescent="0.35">
      <c r="A1989" t="str">
        <f t="shared" si="116"/>
        <v>STKCDG4572084860460000</v>
      </c>
      <c r="B1989" t="s">
        <v>3115</v>
      </c>
      <c r="C1989" s="1">
        <v>45720</v>
      </c>
      <c r="D1989" t="str">
        <f>"848"</f>
        <v>848</v>
      </c>
      <c r="E1989" t="str">
        <f>"60460000"</f>
        <v>60460000</v>
      </c>
      <c r="F1989" t="s">
        <v>3349</v>
      </c>
      <c r="G1989" t="s">
        <v>336</v>
      </c>
      <c r="H1989" t="s">
        <v>5958</v>
      </c>
      <c r="I1989">
        <v>0</v>
      </c>
      <c r="J1989" t="s">
        <v>343</v>
      </c>
      <c r="K1989">
        <v>9168</v>
      </c>
      <c r="M1989">
        <v>228619</v>
      </c>
    </row>
    <row r="1990" spans="1:13" x14ac:dyDescent="0.35">
      <c r="A1990" t="str">
        <f t="shared" si="116"/>
        <v>STKCDG4572084860460000</v>
      </c>
      <c r="B1990" t="s">
        <v>3115</v>
      </c>
      <c r="C1990" s="1">
        <v>45720</v>
      </c>
      <c r="D1990" t="str">
        <f>"848"</f>
        <v>848</v>
      </c>
      <c r="E1990" t="str">
        <f>"60460000"</f>
        <v>60460000</v>
      </c>
      <c r="F1990" t="s">
        <v>3349</v>
      </c>
      <c r="G1990" t="s">
        <v>336</v>
      </c>
      <c r="H1990" t="s">
        <v>5958</v>
      </c>
      <c r="I1990">
        <v>0</v>
      </c>
      <c r="J1990" t="s">
        <v>343</v>
      </c>
      <c r="K1990">
        <v>219451</v>
      </c>
      <c r="M1990">
        <v>228619</v>
      </c>
    </row>
    <row r="1991" spans="1:13" x14ac:dyDescent="0.35">
      <c r="A1991" t="str">
        <f t="shared" si="116"/>
        <v>STKCDG4572084960410000</v>
      </c>
      <c r="B1991" t="s">
        <v>3115</v>
      </c>
      <c r="C1991" s="1">
        <v>45720</v>
      </c>
      <c r="D1991" t="str">
        <f>"849"</f>
        <v>849</v>
      </c>
      <c r="E1991" t="str">
        <f>"60410000"</f>
        <v>60410000</v>
      </c>
      <c r="F1991" t="s">
        <v>3351</v>
      </c>
      <c r="G1991" t="s">
        <v>336</v>
      </c>
      <c r="H1991" t="s">
        <v>5876</v>
      </c>
      <c r="I1991">
        <v>0</v>
      </c>
      <c r="J1991" t="s">
        <v>343</v>
      </c>
      <c r="K1991">
        <v>1980000</v>
      </c>
      <c r="M1991">
        <v>1980000</v>
      </c>
    </row>
    <row r="1992" spans="1:13" x14ac:dyDescent="0.35">
      <c r="A1992" t="str">
        <f t="shared" si="116"/>
        <v>STKCDG4572085060410000</v>
      </c>
      <c r="B1992" t="s">
        <v>3115</v>
      </c>
      <c r="C1992" s="1">
        <v>45720</v>
      </c>
      <c r="D1992" t="str">
        <f>"850"</f>
        <v>850</v>
      </c>
      <c r="E1992" t="str">
        <f>"60410000"</f>
        <v>60410000</v>
      </c>
      <c r="F1992" t="s">
        <v>3353</v>
      </c>
      <c r="G1992" t="s">
        <v>336</v>
      </c>
      <c r="H1992" t="s">
        <v>5874</v>
      </c>
      <c r="I1992">
        <v>0</v>
      </c>
      <c r="J1992" t="s">
        <v>343</v>
      </c>
      <c r="K1992">
        <v>990000</v>
      </c>
      <c r="M1992">
        <v>990000</v>
      </c>
    </row>
    <row r="1993" spans="1:13" x14ac:dyDescent="0.35">
      <c r="A1993" t="str">
        <f t="shared" si="116"/>
        <v>STKCDG4572085160460000</v>
      </c>
      <c r="B1993" t="s">
        <v>3115</v>
      </c>
      <c r="C1993" s="1">
        <v>45720</v>
      </c>
      <c r="D1993" t="str">
        <f>"851"</f>
        <v>851</v>
      </c>
      <c r="E1993" t="str">
        <f>"60460000"</f>
        <v>60460000</v>
      </c>
      <c r="F1993" t="s">
        <v>3355</v>
      </c>
      <c r="G1993" t="s">
        <v>336</v>
      </c>
      <c r="H1993" t="s">
        <v>5958</v>
      </c>
      <c r="I1993">
        <v>0</v>
      </c>
      <c r="J1993" t="s">
        <v>343</v>
      </c>
      <c r="K1993">
        <v>9168</v>
      </c>
      <c r="M1993">
        <v>228623</v>
      </c>
    </row>
    <row r="1994" spans="1:13" x14ac:dyDescent="0.35">
      <c r="A1994" t="str">
        <f t="shared" si="116"/>
        <v>STKCDG4572085160460000</v>
      </c>
      <c r="B1994" t="s">
        <v>3115</v>
      </c>
      <c r="C1994" s="1">
        <v>45720</v>
      </c>
      <c r="D1994" t="str">
        <f>"851"</f>
        <v>851</v>
      </c>
      <c r="E1994" t="str">
        <f>"60460000"</f>
        <v>60460000</v>
      </c>
      <c r="F1994" t="s">
        <v>3355</v>
      </c>
      <c r="G1994" t="s">
        <v>336</v>
      </c>
      <c r="H1994" t="s">
        <v>5958</v>
      </c>
      <c r="I1994">
        <v>0</v>
      </c>
      <c r="J1994" t="s">
        <v>343</v>
      </c>
      <c r="K1994">
        <v>219455</v>
      </c>
      <c r="M1994">
        <v>228623</v>
      </c>
    </row>
    <row r="1995" spans="1:13" x14ac:dyDescent="0.35">
      <c r="A1995" t="str">
        <f t="shared" si="116"/>
        <v>STKCDG4572085260410000</v>
      </c>
      <c r="B1995" t="s">
        <v>3115</v>
      </c>
      <c r="C1995" s="1">
        <v>45720</v>
      </c>
      <c r="D1995" t="str">
        <f>"852"</f>
        <v>852</v>
      </c>
      <c r="E1995" t="str">
        <f>"60410000"</f>
        <v>60410000</v>
      </c>
      <c r="F1995" t="s">
        <v>3357</v>
      </c>
      <c r="G1995" t="s">
        <v>336</v>
      </c>
      <c r="H1995" t="s">
        <v>5875</v>
      </c>
      <c r="I1995">
        <v>0</v>
      </c>
      <c r="J1995" t="s">
        <v>343</v>
      </c>
      <c r="K1995">
        <v>3220000</v>
      </c>
      <c r="M1995">
        <v>3220000</v>
      </c>
    </row>
    <row r="1996" spans="1:13" x14ac:dyDescent="0.35">
      <c r="A1996" t="str">
        <f t="shared" si="116"/>
        <v>STKCDG4572085360440000</v>
      </c>
      <c r="B1996" t="s">
        <v>3115</v>
      </c>
      <c r="C1996" s="1">
        <v>45720</v>
      </c>
      <c r="D1996" t="str">
        <f>"853"</f>
        <v>853</v>
      </c>
      <c r="E1996" t="str">
        <f>"60440000"</f>
        <v>60440000</v>
      </c>
      <c r="F1996" t="s">
        <v>3359</v>
      </c>
      <c r="G1996" t="s">
        <v>336</v>
      </c>
      <c r="H1996" t="s">
        <v>5880</v>
      </c>
      <c r="I1996">
        <v>0</v>
      </c>
      <c r="J1996" t="s">
        <v>343</v>
      </c>
      <c r="K1996">
        <v>1985000</v>
      </c>
      <c r="M1996">
        <v>1985000</v>
      </c>
    </row>
    <row r="1997" spans="1:13" x14ac:dyDescent="0.35">
      <c r="A1997" t="str">
        <f t="shared" si="116"/>
        <v>STKCDG4572085460460000</v>
      </c>
      <c r="B1997" t="s">
        <v>3115</v>
      </c>
      <c r="C1997" s="1">
        <v>45720</v>
      </c>
      <c r="D1997" t="str">
        <f>"854"</f>
        <v>854</v>
      </c>
      <c r="E1997" t="str">
        <f>"60460000"</f>
        <v>60460000</v>
      </c>
      <c r="F1997" t="s">
        <v>3361</v>
      </c>
      <c r="G1997" t="s">
        <v>336</v>
      </c>
      <c r="H1997" t="s">
        <v>5958</v>
      </c>
      <c r="I1997">
        <v>0</v>
      </c>
      <c r="J1997" t="s">
        <v>343</v>
      </c>
      <c r="K1997">
        <v>9168</v>
      </c>
      <c r="M1997">
        <v>556062</v>
      </c>
    </row>
    <row r="1998" spans="1:13" x14ac:dyDescent="0.35">
      <c r="A1998" t="str">
        <f t="shared" si="116"/>
        <v>STKCDG4572085460460000</v>
      </c>
      <c r="B1998" t="s">
        <v>3115</v>
      </c>
      <c r="C1998" s="1">
        <v>45720</v>
      </c>
      <c r="D1998" t="str">
        <f>"854"</f>
        <v>854</v>
      </c>
      <c r="E1998" t="str">
        <f>"60460000"</f>
        <v>60460000</v>
      </c>
      <c r="F1998" t="s">
        <v>3361</v>
      </c>
      <c r="G1998" t="s">
        <v>336</v>
      </c>
      <c r="H1998" t="s">
        <v>5958</v>
      </c>
      <c r="I1998">
        <v>0</v>
      </c>
      <c r="J1998" t="s">
        <v>343</v>
      </c>
      <c r="K1998">
        <v>546894</v>
      </c>
      <c r="M1998">
        <v>556062</v>
      </c>
    </row>
    <row r="1999" spans="1:13" x14ac:dyDescent="0.35">
      <c r="A1999" t="str">
        <f t="shared" si="116"/>
        <v>STKCDG4572085560410000</v>
      </c>
      <c r="B1999" t="s">
        <v>3115</v>
      </c>
      <c r="C1999" s="1">
        <v>45720</v>
      </c>
      <c r="D1999" t="str">
        <f>"855"</f>
        <v>855</v>
      </c>
      <c r="E1999" t="str">
        <f>"60410000"</f>
        <v>60410000</v>
      </c>
      <c r="F1999" t="s">
        <v>3363</v>
      </c>
      <c r="G1999" t="s">
        <v>336</v>
      </c>
      <c r="H1999" t="s">
        <v>5875</v>
      </c>
      <c r="I1999">
        <v>0</v>
      </c>
      <c r="J1999" t="s">
        <v>343</v>
      </c>
      <c r="K1999">
        <v>3220000</v>
      </c>
      <c r="M1999">
        <v>3220000</v>
      </c>
    </row>
    <row r="2000" spans="1:13" x14ac:dyDescent="0.35">
      <c r="A2000" t="str">
        <f t="shared" si="116"/>
        <v>STKCDG4572085660460000</v>
      </c>
      <c r="B2000" t="s">
        <v>3115</v>
      </c>
      <c r="C2000" s="1">
        <v>45720</v>
      </c>
      <c r="D2000" t="str">
        <f>"856"</f>
        <v>856</v>
      </c>
      <c r="E2000" t="str">
        <f>"60460000"</f>
        <v>60460000</v>
      </c>
      <c r="F2000" t="s">
        <v>3365</v>
      </c>
      <c r="G2000" t="s">
        <v>336</v>
      </c>
      <c r="H2000" t="s">
        <v>5949</v>
      </c>
      <c r="I2000">
        <v>0</v>
      </c>
      <c r="J2000" t="s">
        <v>343</v>
      </c>
      <c r="K2000">
        <v>20740</v>
      </c>
      <c r="M2000">
        <v>20740</v>
      </c>
    </row>
    <row r="2001" spans="1:13" x14ac:dyDescent="0.35">
      <c r="A2001" t="str">
        <f t="shared" si="116"/>
        <v>STKCDG4572085760410000</v>
      </c>
      <c r="B2001" t="s">
        <v>3115</v>
      </c>
      <c r="C2001" s="1">
        <v>45720</v>
      </c>
      <c r="D2001" t="str">
        <f>"857"</f>
        <v>857</v>
      </c>
      <c r="E2001" t="str">
        <f>"60410000"</f>
        <v>60410000</v>
      </c>
      <c r="F2001" t="s">
        <v>3367</v>
      </c>
      <c r="G2001" t="s">
        <v>336</v>
      </c>
      <c r="H2001" t="s">
        <v>5958</v>
      </c>
      <c r="I2001">
        <v>0</v>
      </c>
      <c r="J2001" t="s">
        <v>343</v>
      </c>
      <c r="K2001">
        <v>2240000</v>
      </c>
      <c r="M2001">
        <v>2240000</v>
      </c>
    </row>
    <row r="2002" spans="1:13" x14ac:dyDescent="0.35">
      <c r="A2002" t="str">
        <f t="shared" si="116"/>
        <v>STKCDG4572085860460000</v>
      </c>
      <c r="B2002" t="s">
        <v>3115</v>
      </c>
      <c r="C2002" s="1">
        <v>45720</v>
      </c>
      <c r="D2002" t="str">
        <f>"858"</f>
        <v>858</v>
      </c>
      <c r="E2002" t="str">
        <f>"60460000"</f>
        <v>60460000</v>
      </c>
      <c r="F2002" t="s">
        <v>3369</v>
      </c>
      <c r="G2002" t="s">
        <v>336</v>
      </c>
      <c r="H2002" t="s">
        <v>5874</v>
      </c>
      <c r="I2002">
        <v>0</v>
      </c>
      <c r="J2002" t="s">
        <v>343</v>
      </c>
      <c r="K2002">
        <v>113378</v>
      </c>
      <c r="M2002">
        <v>113378</v>
      </c>
    </row>
    <row r="2003" spans="1:13" x14ac:dyDescent="0.35">
      <c r="A2003" t="str">
        <f t="shared" si="116"/>
        <v>STKCDG4572085960440000</v>
      </c>
      <c r="B2003" t="s">
        <v>3115</v>
      </c>
      <c r="C2003" s="1">
        <v>45720</v>
      </c>
      <c r="D2003" t="str">
        <f>"859"</f>
        <v>859</v>
      </c>
      <c r="E2003" t="str">
        <f>"60440000"</f>
        <v>60440000</v>
      </c>
      <c r="F2003" t="s">
        <v>3371</v>
      </c>
      <c r="G2003" t="s">
        <v>336</v>
      </c>
      <c r="H2003" t="s">
        <v>5905</v>
      </c>
      <c r="I2003">
        <v>0</v>
      </c>
      <c r="J2003" t="s">
        <v>343</v>
      </c>
      <c r="K2003">
        <v>182000</v>
      </c>
      <c r="M2003">
        <v>182000</v>
      </c>
    </row>
    <row r="2004" spans="1:13" x14ac:dyDescent="0.35">
      <c r="A2004" t="str">
        <f t="shared" si="116"/>
        <v>STKCDG4572086060460000</v>
      </c>
      <c r="B2004" t="s">
        <v>3115</v>
      </c>
      <c r="C2004" s="1">
        <v>45720</v>
      </c>
      <c r="D2004" t="str">
        <f>"860"</f>
        <v>860</v>
      </c>
      <c r="E2004" t="str">
        <f>"60460000"</f>
        <v>60460000</v>
      </c>
      <c r="F2004" t="s">
        <v>3373</v>
      </c>
      <c r="G2004" t="s">
        <v>336</v>
      </c>
      <c r="H2004" t="s">
        <v>5880</v>
      </c>
      <c r="I2004">
        <v>0</v>
      </c>
      <c r="J2004" t="s">
        <v>343</v>
      </c>
      <c r="K2004">
        <v>536722</v>
      </c>
      <c r="M2004">
        <v>536722</v>
      </c>
    </row>
    <row r="2005" spans="1:13" x14ac:dyDescent="0.35">
      <c r="A2005" t="str">
        <f t="shared" si="116"/>
        <v>STKCDG4572086160440000</v>
      </c>
      <c r="B2005" t="s">
        <v>3115</v>
      </c>
      <c r="C2005" s="1">
        <v>45720</v>
      </c>
      <c r="D2005" t="str">
        <f>"861"</f>
        <v>861</v>
      </c>
      <c r="E2005" t="str">
        <f>"60440000"</f>
        <v>60440000</v>
      </c>
      <c r="F2005" t="s">
        <v>3375</v>
      </c>
      <c r="G2005" t="s">
        <v>336</v>
      </c>
      <c r="H2005" t="s">
        <v>5873</v>
      </c>
      <c r="I2005">
        <v>0</v>
      </c>
      <c r="J2005" t="s">
        <v>343</v>
      </c>
      <c r="K2005">
        <v>111096</v>
      </c>
      <c r="M2005">
        <v>111096</v>
      </c>
    </row>
    <row r="2006" spans="1:13" x14ac:dyDescent="0.35">
      <c r="A2006" t="str">
        <f t="shared" si="116"/>
        <v>STKCDG4572086260460000</v>
      </c>
      <c r="B2006" t="s">
        <v>3115</v>
      </c>
      <c r="C2006" s="1">
        <v>45720</v>
      </c>
      <c r="D2006" t="str">
        <f>"862"</f>
        <v>862</v>
      </c>
      <c r="E2006" t="str">
        <f>"60460000"</f>
        <v>60460000</v>
      </c>
      <c r="F2006" t="s">
        <v>3377</v>
      </c>
      <c r="G2006" t="s">
        <v>336</v>
      </c>
      <c r="H2006" t="s">
        <v>5881</v>
      </c>
      <c r="I2006">
        <v>0</v>
      </c>
      <c r="J2006" t="s">
        <v>343</v>
      </c>
      <c r="K2006">
        <v>125850</v>
      </c>
      <c r="M2006">
        <v>125850</v>
      </c>
    </row>
    <row r="2007" spans="1:13" x14ac:dyDescent="0.35">
      <c r="A2007" t="str">
        <f t="shared" si="116"/>
        <v>STKCDG4572086360460000</v>
      </c>
      <c r="B2007" t="s">
        <v>3115</v>
      </c>
      <c r="C2007" s="1">
        <v>45720</v>
      </c>
      <c r="D2007" t="str">
        <f>"863"</f>
        <v>863</v>
      </c>
      <c r="E2007" t="str">
        <f>"60460000"</f>
        <v>60460000</v>
      </c>
      <c r="F2007" t="s">
        <v>3379</v>
      </c>
      <c r="G2007" t="s">
        <v>336</v>
      </c>
      <c r="H2007" t="s">
        <v>5958</v>
      </c>
      <c r="I2007">
        <v>0</v>
      </c>
      <c r="J2007" t="s">
        <v>343</v>
      </c>
      <c r="K2007">
        <v>9168</v>
      </c>
      <c r="M2007">
        <v>554227</v>
      </c>
    </row>
    <row r="2008" spans="1:13" x14ac:dyDescent="0.35">
      <c r="A2008" t="str">
        <f t="shared" si="116"/>
        <v>STKCDG4572086360460000</v>
      </c>
      <c r="B2008" t="s">
        <v>3115</v>
      </c>
      <c r="C2008" s="1">
        <v>45720</v>
      </c>
      <c r="D2008" t="str">
        <f>"863"</f>
        <v>863</v>
      </c>
      <c r="E2008" t="str">
        <f>"60460000"</f>
        <v>60460000</v>
      </c>
      <c r="F2008" t="s">
        <v>3379</v>
      </c>
      <c r="G2008" t="s">
        <v>336</v>
      </c>
      <c r="H2008" t="s">
        <v>5958</v>
      </c>
      <c r="I2008">
        <v>0</v>
      </c>
      <c r="J2008" t="s">
        <v>343</v>
      </c>
      <c r="K2008">
        <v>545059</v>
      </c>
      <c r="M2008">
        <v>554227</v>
      </c>
    </row>
    <row r="2009" spans="1:13" x14ac:dyDescent="0.35">
      <c r="A2009" t="str">
        <f t="shared" si="116"/>
        <v>STKCDG4572086460460000</v>
      </c>
      <c r="B2009" t="s">
        <v>3115</v>
      </c>
      <c r="C2009" s="1">
        <v>45720</v>
      </c>
      <c r="D2009" t="str">
        <f>"864"</f>
        <v>864</v>
      </c>
      <c r="E2009" t="str">
        <f>"60460000"</f>
        <v>60460000</v>
      </c>
      <c r="F2009" t="s">
        <v>3381</v>
      </c>
      <c r="G2009" t="s">
        <v>336</v>
      </c>
      <c r="H2009" t="s">
        <v>5874</v>
      </c>
      <c r="I2009">
        <v>0</v>
      </c>
      <c r="J2009" t="s">
        <v>343</v>
      </c>
      <c r="K2009">
        <v>37537</v>
      </c>
      <c r="M2009">
        <v>37537</v>
      </c>
    </row>
    <row r="2010" spans="1:13" x14ac:dyDescent="0.35">
      <c r="A2010" t="str">
        <f t="shared" si="116"/>
        <v>STKCDG4572086560440000</v>
      </c>
      <c r="B2010" t="s">
        <v>3115</v>
      </c>
      <c r="C2010" s="1">
        <v>45720</v>
      </c>
      <c r="D2010" t="str">
        <f>"865"</f>
        <v>865</v>
      </c>
      <c r="E2010" t="str">
        <f>"60440000"</f>
        <v>60440000</v>
      </c>
      <c r="F2010" t="s">
        <v>3383</v>
      </c>
      <c r="G2010" t="s">
        <v>336</v>
      </c>
      <c r="H2010" t="s">
        <v>5876</v>
      </c>
      <c r="I2010">
        <v>0</v>
      </c>
      <c r="J2010" t="s">
        <v>343</v>
      </c>
      <c r="K2010">
        <v>143000</v>
      </c>
      <c r="M2010">
        <v>143000</v>
      </c>
    </row>
    <row r="2011" spans="1:13" x14ac:dyDescent="0.35">
      <c r="A2011" t="str">
        <f t="shared" si="116"/>
        <v>STKCDG4572086660440000</v>
      </c>
      <c r="B2011" t="s">
        <v>3115</v>
      </c>
      <c r="C2011" s="1">
        <v>45720</v>
      </c>
      <c r="D2011" t="str">
        <f>"866"</f>
        <v>866</v>
      </c>
      <c r="E2011" t="str">
        <f>"60440000"</f>
        <v>60440000</v>
      </c>
      <c r="F2011" t="s">
        <v>3385</v>
      </c>
      <c r="G2011" t="s">
        <v>336</v>
      </c>
      <c r="H2011" t="s">
        <v>5880</v>
      </c>
      <c r="I2011">
        <v>0</v>
      </c>
      <c r="J2011" t="s">
        <v>343</v>
      </c>
      <c r="K2011">
        <v>240500</v>
      </c>
      <c r="M2011">
        <v>240500</v>
      </c>
    </row>
    <row r="2012" spans="1:13" x14ac:dyDescent="0.35">
      <c r="A2012" t="str">
        <f t="shared" si="116"/>
        <v>STKCDG4572086760440000</v>
      </c>
      <c r="B2012" t="s">
        <v>3115</v>
      </c>
      <c r="C2012" s="1">
        <v>45720</v>
      </c>
      <c r="D2012" t="str">
        <f>"867"</f>
        <v>867</v>
      </c>
      <c r="E2012" t="str">
        <f>"60440000"</f>
        <v>60440000</v>
      </c>
      <c r="F2012" t="s">
        <v>3387</v>
      </c>
      <c r="G2012" t="s">
        <v>336</v>
      </c>
      <c r="H2012" t="s">
        <v>5881</v>
      </c>
      <c r="I2012">
        <v>0</v>
      </c>
      <c r="J2012" t="s">
        <v>343</v>
      </c>
      <c r="K2012">
        <v>106003</v>
      </c>
      <c r="M2012">
        <v>106003</v>
      </c>
    </row>
    <row r="2013" spans="1:13" x14ac:dyDescent="0.35">
      <c r="A2013" t="str">
        <f t="shared" si="116"/>
        <v>STKCDG4572086860460000</v>
      </c>
      <c r="B2013" t="s">
        <v>3115</v>
      </c>
      <c r="C2013" s="1">
        <v>45720</v>
      </c>
      <c r="D2013" t="str">
        <f>"868"</f>
        <v>868</v>
      </c>
      <c r="E2013" t="str">
        <f t="shared" ref="E2013:E2019" si="117">"60460000"</f>
        <v>60460000</v>
      </c>
      <c r="F2013" t="s">
        <v>3389</v>
      </c>
      <c r="G2013" t="s">
        <v>336</v>
      </c>
      <c r="H2013" t="s">
        <v>5881</v>
      </c>
      <c r="I2013">
        <v>0</v>
      </c>
      <c r="J2013" t="s">
        <v>343</v>
      </c>
      <c r="K2013">
        <v>14421</v>
      </c>
      <c r="M2013">
        <v>14421</v>
      </c>
    </row>
    <row r="2014" spans="1:13" x14ac:dyDescent="0.35">
      <c r="A2014" t="str">
        <f t="shared" si="116"/>
        <v>STKCDG4572086960460000</v>
      </c>
      <c r="B2014" t="s">
        <v>3115</v>
      </c>
      <c r="C2014" s="1">
        <v>45720</v>
      </c>
      <c r="D2014" t="str">
        <f>"869"</f>
        <v>869</v>
      </c>
      <c r="E2014" t="str">
        <f t="shared" si="117"/>
        <v>60460000</v>
      </c>
      <c r="F2014" t="s">
        <v>3391</v>
      </c>
      <c r="G2014" t="s">
        <v>336</v>
      </c>
      <c r="H2014" t="s">
        <v>5874</v>
      </c>
      <c r="I2014">
        <v>0</v>
      </c>
      <c r="J2014" t="s">
        <v>343</v>
      </c>
      <c r="K2014">
        <v>1546</v>
      </c>
      <c r="M2014">
        <v>1546</v>
      </c>
    </row>
    <row r="2015" spans="1:13" x14ac:dyDescent="0.35">
      <c r="A2015" t="str">
        <f t="shared" si="116"/>
        <v>STKCDG4572087060460000</v>
      </c>
      <c r="B2015" t="s">
        <v>3115</v>
      </c>
      <c r="C2015" s="1">
        <v>45720</v>
      </c>
      <c r="D2015" t="str">
        <f>"870"</f>
        <v>870</v>
      </c>
      <c r="E2015" t="str">
        <f t="shared" si="117"/>
        <v>60460000</v>
      </c>
      <c r="F2015" t="s">
        <v>3393</v>
      </c>
      <c r="G2015" t="s">
        <v>336</v>
      </c>
      <c r="H2015" t="s">
        <v>5874</v>
      </c>
      <c r="I2015">
        <v>0</v>
      </c>
      <c r="J2015" t="s">
        <v>343</v>
      </c>
      <c r="K2015">
        <v>735</v>
      </c>
      <c r="M2015">
        <v>64008</v>
      </c>
    </row>
    <row r="2016" spans="1:13" x14ac:dyDescent="0.35">
      <c r="A2016" t="str">
        <f t="shared" si="116"/>
        <v>STKCDG4572087060460000</v>
      </c>
      <c r="B2016" t="s">
        <v>3115</v>
      </c>
      <c r="C2016" s="1">
        <v>45720</v>
      </c>
      <c r="D2016" t="str">
        <f>"870"</f>
        <v>870</v>
      </c>
      <c r="E2016" t="str">
        <f t="shared" si="117"/>
        <v>60460000</v>
      </c>
      <c r="F2016" t="s">
        <v>3393</v>
      </c>
      <c r="G2016" t="s">
        <v>336</v>
      </c>
      <c r="H2016" t="s">
        <v>5874</v>
      </c>
      <c r="I2016">
        <v>0</v>
      </c>
      <c r="J2016" t="s">
        <v>343</v>
      </c>
      <c r="K2016">
        <v>63273</v>
      </c>
      <c r="M2016">
        <v>64008</v>
      </c>
    </row>
    <row r="2017" spans="1:13" x14ac:dyDescent="0.35">
      <c r="A2017" t="str">
        <f t="shared" si="116"/>
        <v>STKCDG4572087160460000</v>
      </c>
      <c r="B2017" t="s">
        <v>3115</v>
      </c>
      <c r="C2017" s="1">
        <v>45720</v>
      </c>
      <c r="D2017" t="str">
        <f>"871"</f>
        <v>871</v>
      </c>
      <c r="E2017" t="str">
        <f t="shared" si="117"/>
        <v>60460000</v>
      </c>
      <c r="F2017" t="s">
        <v>3395</v>
      </c>
      <c r="G2017" t="s">
        <v>336</v>
      </c>
      <c r="H2017" t="s">
        <v>5874</v>
      </c>
      <c r="I2017">
        <v>0</v>
      </c>
      <c r="J2017" t="s">
        <v>343</v>
      </c>
      <c r="K2017">
        <v>3218</v>
      </c>
      <c r="M2017">
        <v>3218</v>
      </c>
    </row>
    <row r="2018" spans="1:13" x14ac:dyDescent="0.35">
      <c r="A2018" t="str">
        <f t="shared" si="116"/>
        <v>STKCDG4572087260460000</v>
      </c>
      <c r="B2018" t="s">
        <v>3115</v>
      </c>
      <c r="C2018" s="1">
        <v>45720</v>
      </c>
      <c r="D2018" t="str">
        <f>"872"</f>
        <v>872</v>
      </c>
      <c r="E2018" t="str">
        <f t="shared" si="117"/>
        <v>60460000</v>
      </c>
      <c r="F2018" t="s">
        <v>3397</v>
      </c>
      <c r="G2018" t="s">
        <v>336</v>
      </c>
      <c r="H2018" t="s">
        <v>5875</v>
      </c>
      <c r="I2018">
        <v>0</v>
      </c>
      <c r="J2018" t="s">
        <v>343</v>
      </c>
      <c r="K2018">
        <v>4082</v>
      </c>
      <c r="M2018">
        <v>4082</v>
      </c>
    </row>
    <row r="2019" spans="1:13" x14ac:dyDescent="0.35">
      <c r="A2019" t="str">
        <f t="shared" si="116"/>
        <v>STKCDG4572087360460000</v>
      </c>
      <c r="B2019" t="s">
        <v>3115</v>
      </c>
      <c r="C2019" s="1">
        <v>45720</v>
      </c>
      <c r="D2019" t="str">
        <f>"873"</f>
        <v>873</v>
      </c>
      <c r="E2019" t="str">
        <f t="shared" si="117"/>
        <v>60460000</v>
      </c>
      <c r="F2019" t="s">
        <v>3399</v>
      </c>
      <c r="G2019" t="s">
        <v>336</v>
      </c>
      <c r="H2019" t="s">
        <v>5875</v>
      </c>
      <c r="I2019">
        <v>0</v>
      </c>
      <c r="J2019" t="s">
        <v>343</v>
      </c>
      <c r="K2019">
        <v>3409</v>
      </c>
      <c r="M2019">
        <v>3409</v>
      </c>
    </row>
    <row r="2020" spans="1:13" x14ac:dyDescent="0.35">
      <c r="A2020" t="str">
        <f t="shared" si="116"/>
        <v>STKCDG4572087460440000</v>
      </c>
      <c r="B2020" t="s">
        <v>3115</v>
      </c>
      <c r="C2020" s="1">
        <v>45720</v>
      </c>
      <c r="D2020" t="str">
        <f>"874"</f>
        <v>874</v>
      </c>
      <c r="E2020" t="str">
        <f>"60440000"</f>
        <v>60440000</v>
      </c>
      <c r="F2020" t="s">
        <v>3401</v>
      </c>
      <c r="G2020" t="s">
        <v>336</v>
      </c>
      <c r="H2020" t="s">
        <v>5876</v>
      </c>
      <c r="I2020">
        <v>0</v>
      </c>
      <c r="J2020" t="s">
        <v>343</v>
      </c>
      <c r="K2020">
        <v>3936</v>
      </c>
      <c r="M2020">
        <v>3936</v>
      </c>
    </row>
    <row r="2021" spans="1:13" x14ac:dyDescent="0.35">
      <c r="A2021" t="str">
        <f t="shared" si="116"/>
        <v>STKCDG4572087560440000</v>
      </c>
      <c r="B2021" t="s">
        <v>3115</v>
      </c>
      <c r="C2021" s="1">
        <v>45720</v>
      </c>
      <c r="D2021" t="str">
        <f>"875"</f>
        <v>875</v>
      </c>
      <c r="E2021" t="str">
        <f>"60440000"</f>
        <v>60440000</v>
      </c>
      <c r="F2021" t="s">
        <v>3403</v>
      </c>
      <c r="G2021" t="s">
        <v>336</v>
      </c>
      <c r="H2021" t="s">
        <v>5874</v>
      </c>
      <c r="I2021">
        <v>0</v>
      </c>
      <c r="J2021" t="s">
        <v>343</v>
      </c>
      <c r="K2021">
        <v>1574</v>
      </c>
      <c r="M2021">
        <v>1574</v>
      </c>
    </row>
    <row r="2022" spans="1:13" x14ac:dyDescent="0.35">
      <c r="A2022" t="str">
        <f t="shared" si="116"/>
        <v>STKCDG4572087660440000</v>
      </c>
      <c r="B2022" t="s">
        <v>3115</v>
      </c>
      <c r="C2022" s="1">
        <v>45720</v>
      </c>
      <c r="D2022" t="str">
        <f>"876"</f>
        <v>876</v>
      </c>
      <c r="E2022" t="str">
        <f>"60440000"</f>
        <v>60440000</v>
      </c>
      <c r="F2022" t="s">
        <v>3405</v>
      </c>
      <c r="G2022" t="s">
        <v>336</v>
      </c>
      <c r="H2022" t="s">
        <v>5874</v>
      </c>
      <c r="I2022">
        <v>0</v>
      </c>
      <c r="J2022" t="s">
        <v>343</v>
      </c>
      <c r="K2022">
        <v>2165</v>
      </c>
      <c r="M2022">
        <v>2165</v>
      </c>
    </row>
    <row r="2023" spans="1:13" x14ac:dyDescent="0.35">
      <c r="A2023" t="str">
        <f t="shared" si="116"/>
        <v>STKCDG4572087760440000</v>
      </c>
      <c r="B2023" t="s">
        <v>3115</v>
      </c>
      <c r="C2023" s="1">
        <v>45720</v>
      </c>
      <c r="D2023" t="str">
        <f>"877"</f>
        <v>877</v>
      </c>
      <c r="E2023" t="str">
        <f>"60440000"</f>
        <v>60440000</v>
      </c>
      <c r="F2023" t="s">
        <v>3407</v>
      </c>
      <c r="G2023" t="s">
        <v>336</v>
      </c>
      <c r="H2023" t="s">
        <v>5880</v>
      </c>
      <c r="I2023">
        <v>0</v>
      </c>
      <c r="J2023" t="s">
        <v>343</v>
      </c>
      <c r="K2023">
        <v>1968</v>
      </c>
      <c r="M2023">
        <v>8200</v>
      </c>
    </row>
    <row r="2024" spans="1:13" x14ac:dyDescent="0.35">
      <c r="A2024" t="str">
        <f t="shared" si="116"/>
        <v>STKCDG4572087760440000</v>
      </c>
      <c r="B2024" t="s">
        <v>3115</v>
      </c>
      <c r="C2024" s="1">
        <v>45720</v>
      </c>
      <c r="D2024" t="str">
        <f>"877"</f>
        <v>877</v>
      </c>
      <c r="E2024" t="str">
        <f>"60440000"</f>
        <v>60440000</v>
      </c>
      <c r="F2024" t="s">
        <v>3407</v>
      </c>
      <c r="G2024" t="s">
        <v>336</v>
      </c>
      <c r="H2024" t="s">
        <v>5880</v>
      </c>
      <c r="I2024">
        <v>0</v>
      </c>
      <c r="J2024" t="s">
        <v>343</v>
      </c>
      <c r="K2024">
        <v>6232</v>
      </c>
      <c r="M2024">
        <v>8200</v>
      </c>
    </row>
    <row r="2025" spans="1:13" x14ac:dyDescent="0.35">
      <c r="A2025" t="str">
        <f t="shared" si="116"/>
        <v>STKCDG4572087860460000</v>
      </c>
      <c r="B2025" t="s">
        <v>3115</v>
      </c>
      <c r="C2025" s="1">
        <v>45720</v>
      </c>
      <c r="D2025" t="str">
        <f>"878"</f>
        <v>878</v>
      </c>
      <c r="E2025" t="str">
        <f>"60460000"</f>
        <v>60460000</v>
      </c>
      <c r="F2025" t="s">
        <v>3409</v>
      </c>
      <c r="G2025" t="s">
        <v>336</v>
      </c>
      <c r="H2025" t="s">
        <v>5966</v>
      </c>
      <c r="I2025">
        <v>0</v>
      </c>
      <c r="J2025" t="s">
        <v>343</v>
      </c>
      <c r="K2025">
        <v>700</v>
      </c>
      <c r="M2025">
        <v>4100</v>
      </c>
    </row>
    <row r="2026" spans="1:13" x14ac:dyDescent="0.35">
      <c r="A2026" t="str">
        <f t="shared" si="116"/>
        <v>STKCDG4572087860460000</v>
      </c>
      <c r="B2026" t="s">
        <v>3115</v>
      </c>
      <c r="C2026" s="1">
        <v>45720</v>
      </c>
      <c r="D2026" t="str">
        <f>"878"</f>
        <v>878</v>
      </c>
      <c r="E2026" t="str">
        <f>"60460000"</f>
        <v>60460000</v>
      </c>
      <c r="F2026" t="s">
        <v>3409</v>
      </c>
      <c r="G2026" t="s">
        <v>336</v>
      </c>
      <c r="H2026" t="s">
        <v>5966</v>
      </c>
      <c r="I2026">
        <v>0</v>
      </c>
      <c r="J2026" t="s">
        <v>343</v>
      </c>
      <c r="K2026">
        <v>3400</v>
      </c>
      <c r="M2026">
        <v>4100</v>
      </c>
    </row>
    <row r="2027" spans="1:13" x14ac:dyDescent="0.35">
      <c r="A2027" t="str">
        <f t="shared" si="116"/>
        <v>STKCDG4572087960440000</v>
      </c>
      <c r="B2027" t="s">
        <v>3115</v>
      </c>
      <c r="C2027" s="1">
        <v>45720</v>
      </c>
      <c r="D2027" t="str">
        <f>"879"</f>
        <v>879</v>
      </c>
      <c r="E2027" t="str">
        <f>"60440000"</f>
        <v>60440000</v>
      </c>
      <c r="F2027" t="s">
        <v>3411</v>
      </c>
      <c r="G2027" t="s">
        <v>336</v>
      </c>
      <c r="H2027" t="s">
        <v>5966</v>
      </c>
      <c r="I2027">
        <v>0</v>
      </c>
      <c r="J2027" t="s">
        <v>343</v>
      </c>
      <c r="K2027">
        <v>3149</v>
      </c>
      <c r="M2027">
        <v>3149</v>
      </c>
    </row>
    <row r="2028" spans="1:13" x14ac:dyDescent="0.35">
      <c r="A2028" t="str">
        <f t="shared" si="116"/>
        <v>STKCDG4572088060460000</v>
      </c>
      <c r="B2028" t="s">
        <v>3115</v>
      </c>
      <c r="C2028" s="1">
        <v>45720</v>
      </c>
      <c r="D2028" t="str">
        <f>"880"</f>
        <v>880</v>
      </c>
      <c r="E2028" t="str">
        <f>"60460000"</f>
        <v>60460000</v>
      </c>
      <c r="F2028" t="s">
        <v>3413</v>
      </c>
      <c r="G2028" t="s">
        <v>336</v>
      </c>
      <c r="H2028" t="s">
        <v>5966</v>
      </c>
      <c r="I2028">
        <v>0</v>
      </c>
      <c r="J2028" t="s">
        <v>343</v>
      </c>
      <c r="K2028">
        <v>499</v>
      </c>
      <c r="M2028">
        <v>499</v>
      </c>
    </row>
    <row r="2029" spans="1:13" x14ac:dyDescent="0.35">
      <c r="A2029" t="str">
        <f t="shared" si="116"/>
        <v>STKCDG4572088160440000</v>
      </c>
      <c r="B2029" t="s">
        <v>3115</v>
      </c>
      <c r="C2029" s="1">
        <v>45720</v>
      </c>
      <c r="D2029" t="str">
        <f>"881"</f>
        <v>881</v>
      </c>
      <c r="E2029" t="str">
        <f>"60440000"</f>
        <v>60440000</v>
      </c>
      <c r="F2029" t="s">
        <v>3415</v>
      </c>
      <c r="G2029" t="s">
        <v>336</v>
      </c>
      <c r="H2029" t="s">
        <v>5876</v>
      </c>
      <c r="I2029">
        <v>0</v>
      </c>
      <c r="J2029" t="s">
        <v>343</v>
      </c>
      <c r="K2029">
        <v>3542</v>
      </c>
      <c r="M2029">
        <v>3542</v>
      </c>
    </row>
    <row r="2030" spans="1:13" x14ac:dyDescent="0.35">
      <c r="A2030" t="str">
        <f t="shared" si="116"/>
        <v>STKCDG4572088260440000</v>
      </c>
      <c r="B2030" t="s">
        <v>3115</v>
      </c>
      <c r="C2030" s="1">
        <v>45720</v>
      </c>
      <c r="D2030" t="str">
        <f>"882"</f>
        <v>882</v>
      </c>
      <c r="E2030" t="str">
        <f>"60440000"</f>
        <v>60440000</v>
      </c>
      <c r="F2030" t="s">
        <v>3417</v>
      </c>
      <c r="G2030" t="s">
        <v>336</v>
      </c>
      <c r="H2030" t="s">
        <v>5874</v>
      </c>
      <c r="I2030">
        <v>0</v>
      </c>
      <c r="J2030" t="s">
        <v>343</v>
      </c>
      <c r="K2030">
        <v>6954</v>
      </c>
      <c r="M2030">
        <v>6954</v>
      </c>
    </row>
    <row r="2031" spans="1:13" x14ac:dyDescent="0.35">
      <c r="A2031" t="str">
        <f t="shared" si="116"/>
        <v>STKCDG4572088360460000</v>
      </c>
      <c r="B2031" t="s">
        <v>3115</v>
      </c>
      <c r="C2031" s="1">
        <v>45720</v>
      </c>
      <c r="D2031" t="str">
        <f>"883"</f>
        <v>883</v>
      </c>
      <c r="E2031" t="str">
        <f>"60460000"</f>
        <v>60460000</v>
      </c>
      <c r="F2031" t="s">
        <v>3419</v>
      </c>
      <c r="G2031" t="s">
        <v>336</v>
      </c>
      <c r="H2031" t="s">
        <v>5966</v>
      </c>
      <c r="I2031">
        <v>0</v>
      </c>
      <c r="J2031" t="s">
        <v>343</v>
      </c>
      <c r="K2031">
        <v>3059</v>
      </c>
      <c r="M2031">
        <v>3059</v>
      </c>
    </row>
    <row r="2032" spans="1:13" x14ac:dyDescent="0.35">
      <c r="A2032" t="str">
        <f t="shared" si="116"/>
        <v>STKCDG4572088460440000</v>
      </c>
      <c r="B2032" t="s">
        <v>3115</v>
      </c>
      <c r="C2032" s="1">
        <v>45720</v>
      </c>
      <c r="D2032" t="str">
        <f>"884"</f>
        <v>884</v>
      </c>
      <c r="E2032" t="str">
        <f>"60440000"</f>
        <v>60440000</v>
      </c>
      <c r="F2032" t="s">
        <v>3421</v>
      </c>
      <c r="G2032" t="s">
        <v>336</v>
      </c>
      <c r="H2032" t="s">
        <v>5875</v>
      </c>
      <c r="I2032">
        <v>0</v>
      </c>
      <c r="J2032" t="s">
        <v>343</v>
      </c>
      <c r="K2032">
        <v>6035</v>
      </c>
      <c r="M2032">
        <v>6035</v>
      </c>
    </row>
    <row r="2033" spans="1:13" x14ac:dyDescent="0.35">
      <c r="A2033" t="str">
        <f t="shared" si="116"/>
        <v>STKCDG4572088560440000</v>
      </c>
      <c r="B2033" t="s">
        <v>3115</v>
      </c>
      <c r="C2033" s="1">
        <v>45720</v>
      </c>
      <c r="D2033" t="str">
        <f>"885"</f>
        <v>885</v>
      </c>
      <c r="E2033" t="str">
        <f>"60440000"</f>
        <v>60440000</v>
      </c>
      <c r="F2033" t="s">
        <v>3423</v>
      </c>
      <c r="G2033" t="s">
        <v>336</v>
      </c>
      <c r="H2033" t="s">
        <v>5874</v>
      </c>
      <c r="I2033">
        <v>0</v>
      </c>
      <c r="J2033" t="s">
        <v>343</v>
      </c>
      <c r="K2033">
        <v>2230</v>
      </c>
      <c r="M2033">
        <v>2230</v>
      </c>
    </row>
    <row r="2034" spans="1:13" x14ac:dyDescent="0.35">
      <c r="A2034" t="str">
        <f t="shared" si="116"/>
        <v>STKCDG4572088660460000</v>
      </c>
      <c r="B2034" t="s">
        <v>3115</v>
      </c>
      <c r="C2034" s="1">
        <v>45720</v>
      </c>
      <c r="D2034" t="str">
        <f>"886"</f>
        <v>886</v>
      </c>
      <c r="E2034" t="str">
        <f>"60460000"</f>
        <v>60460000</v>
      </c>
      <c r="F2034" t="s">
        <v>3425</v>
      </c>
      <c r="G2034" t="s">
        <v>336</v>
      </c>
      <c r="H2034" t="s">
        <v>5949</v>
      </c>
      <c r="I2034">
        <v>0</v>
      </c>
      <c r="J2034" t="s">
        <v>343</v>
      </c>
      <c r="K2034">
        <v>144908</v>
      </c>
      <c r="M2034">
        <v>144908</v>
      </c>
    </row>
    <row r="2035" spans="1:13" x14ac:dyDescent="0.35">
      <c r="A2035" t="str">
        <f t="shared" si="116"/>
        <v>STKCDG4572088760440000</v>
      </c>
      <c r="B2035" t="s">
        <v>3115</v>
      </c>
      <c r="C2035" s="1">
        <v>45720</v>
      </c>
      <c r="D2035" t="str">
        <f>"887"</f>
        <v>887</v>
      </c>
      <c r="E2035" t="str">
        <f>"60440000"</f>
        <v>60440000</v>
      </c>
      <c r="F2035" t="s">
        <v>3427</v>
      </c>
      <c r="G2035" t="s">
        <v>336</v>
      </c>
      <c r="H2035" t="s">
        <v>5876</v>
      </c>
      <c r="I2035">
        <v>0</v>
      </c>
      <c r="J2035" t="s">
        <v>343</v>
      </c>
      <c r="K2035">
        <v>6035</v>
      </c>
      <c r="M2035">
        <v>6035</v>
      </c>
    </row>
    <row r="2036" spans="1:13" x14ac:dyDescent="0.35">
      <c r="A2036" t="str">
        <f t="shared" si="116"/>
        <v>STKCDG4572088860440000</v>
      </c>
      <c r="B2036" t="s">
        <v>3115</v>
      </c>
      <c r="C2036" s="1">
        <v>45720</v>
      </c>
      <c r="D2036" t="str">
        <f>"888"</f>
        <v>888</v>
      </c>
      <c r="E2036" t="str">
        <f>"60440000"</f>
        <v>60440000</v>
      </c>
      <c r="F2036" t="s">
        <v>3429</v>
      </c>
      <c r="G2036" t="s">
        <v>336</v>
      </c>
      <c r="H2036" t="s">
        <v>5876</v>
      </c>
      <c r="I2036">
        <v>0</v>
      </c>
      <c r="J2036" t="s">
        <v>343</v>
      </c>
      <c r="K2036">
        <v>6035</v>
      </c>
      <c r="M2036">
        <v>6035</v>
      </c>
    </row>
    <row r="2037" spans="1:13" x14ac:dyDescent="0.35">
      <c r="A2037" t="str">
        <f t="shared" si="116"/>
        <v>STKCDG4572088960440000</v>
      </c>
      <c r="B2037" t="s">
        <v>3115</v>
      </c>
      <c r="C2037" s="1">
        <v>45720</v>
      </c>
      <c r="D2037" t="str">
        <f>"889"</f>
        <v>889</v>
      </c>
      <c r="E2037" t="str">
        <f>"60440000"</f>
        <v>60440000</v>
      </c>
      <c r="F2037" t="s">
        <v>3431</v>
      </c>
      <c r="G2037" t="s">
        <v>336</v>
      </c>
      <c r="H2037" t="s">
        <v>5966</v>
      </c>
      <c r="I2037">
        <v>0</v>
      </c>
      <c r="J2037" t="s">
        <v>343</v>
      </c>
      <c r="K2037">
        <v>2465</v>
      </c>
      <c r="M2037">
        <v>2465</v>
      </c>
    </row>
    <row r="2038" spans="1:13" x14ac:dyDescent="0.35">
      <c r="A2038" t="str">
        <f t="shared" si="116"/>
        <v>STKCDG4572089060460000</v>
      </c>
      <c r="B2038" t="s">
        <v>3115</v>
      </c>
      <c r="C2038" s="1">
        <v>45720</v>
      </c>
      <c r="D2038" t="str">
        <f>"890"</f>
        <v>890</v>
      </c>
      <c r="E2038" t="str">
        <f>"60460000"</f>
        <v>60460000</v>
      </c>
      <c r="F2038" t="s">
        <v>3433</v>
      </c>
      <c r="G2038" t="s">
        <v>336</v>
      </c>
      <c r="H2038" t="s">
        <v>5874</v>
      </c>
      <c r="I2038">
        <v>0</v>
      </c>
      <c r="J2038" t="s">
        <v>343</v>
      </c>
      <c r="K2038">
        <v>3000</v>
      </c>
      <c r="M2038">
        <v>24000</v>
      </c>
    </row>
    <row r="2039" spans="1:13" x14ac:dyDescent="0.35">
      <c r="A2039" t="str">
        <f t="shared" si="116"/>
        <v>STKCDG4572089060460000</v>
      </c>
      <c r="B2039" t="s">
        <v>3115</v>
      </c>
      <c r="C2039" s="1">
        <v>45720</v>
      </c>
      <c r="D2039" t="str">
        <f>"890"</f>
        <v>890</v>
      </c>
      <c r="E2039" t="str">
        <f>"60460000"</f>
        <v>60460000</v>
      </c>
      <c r="F2039" t="s">
        <v>3433</v>
      </c>
      <c r="G2039" t="s">
        <v>336</v>
      </c>
      <c r="H2039" t="s">
        <v>5874</v>
      </c>
      <c r="I2039">
        <v>0</v>
      </c>
      <c r="J2039" t="s">
        <v>343</v>
      </c>
      <c r="K2039">
        <v>21000</v>
      </c>
      <c r="M2039">
        <v>24000</v>
      </c>
    </row>
    <row r="2040" spans="1:13" x14ac:dyDescent="0.35">
      <c r="A2040" t="str">
        <f t="shared" si="116"/>
        <v>STKCDG4572089160440000</v>
      </c>
      <c r="B2040" t="s">
        <v>3115</v>
      </c>
      <c r="C2040" s="1">
        <v>45720</v>
      </c>
      <c r="D2040" t="str">
        <f>"891"</f>
        <v>891</v>
      </c>
      <c r="E2040" t="str">
        <f>"60440000"</f>
        <v>60440000</v>
      </c>
      <c r="F2040" t="s">
        <v>3435</v>
      </c>
      <c r="G2040" t="s">
        <v>336</v>
      </c>
      <c r="H2040" t="s">
        <v>5876</v>
      </c>
      <c r="I2040">
        <v>0</v>
      </c>
      <c r="J2040" t="s">
        <v>343</v>
      </c>
      <c r="K2040">
        <v>6035</v>
      </c>
      <c r="M2040">
        <v>6035</v>
      </c>
    </row>
    <row r="2041" spans="1:13" x14ac:dyDescent="0.35">
      <c r="A2041" t="str">
        <f t="shared" si="116"/>
        <v>STKCDG4572089260460000</v>
      </c>
      <c r="B2041" t="s">
        <v>3115</v>
      </c>
      <c r="C2041" s="1">
        <v>45720</v>
      </c>
      <c r="D2041" t="str">
        <f>"892"</f>
        <v>892</v>
      </c>
      <c r="E2041" t="str">
        <f>"60460000"</f>
        <v>60460000</v>
      </c>
      <c r="F2041" t="s">
        <v>3437</v>
      </c>
      <c r="G2041" t="s">
        <v>336</v>
      </c>
      <c r="H2041" t="s">
        <v>5966</v>
      </c>
      <c r="I2041">
        <v>0</v>
      </c>
      <c r="J2041" t="s">
        <v>343</v>
      </c>
      <c r="K2041">
        <v>300</v>
      </c>
      <c r="M2041">
        <v>300</v>
      </c>
    </row>
    <row r="2042" spans="1:13" x14ac:dyDescent="0.35">
      <c r="A2042" t="str">
        <f t="shared" si="116"/>
        <v>STKCDG4572089360440000</v>
      </c>
      <c r="B2042" t="s">
        <v>3115</v>
      </c>
      <c r="C2042" s="1">
        <v>45720</v>
      </c>
      <c r="D2042" t="str">
        <f>"893"</f>
        <v>893</v>
      </c>
      <c r="E2042" t="str">
        <f t="shared" ref="E2042:E2047" si="118">"60440000"</f>
        <v>60440000</v>
      </c>
      <c r="F2042" t="s">
        <v>3439</v>
      </c>
      <c r="G2042" t="s">
        <v>336</v>
      </c>
      <c r="H2042" t="s">
        <v>5966</v>
      </c>
      <c r="I2042">
        <v>0</v>
      </c>
      <c r="J2042" t="s">
        <v>343</v>
      </c>
      <c r="K2042">
        <v>328</v>
      </c>
      <c r="M2042">
        <v>328</v>
      </c>
    </row>
    <row r="2043" spans="1:13" x14ac:dyDescent="0.35">
      <c r="A2043" t="str">
        <f t="shared" si="116"/>
        <v>STKCDG4572089460440000</v>
      </c>
      <c r="B2043" t="s">
        <v>3115</v>
      </c>
      <c r="C2043" s="1">
        <v>45720</v>
      </c>
      <c r="D2043" t="str">
        <f>"894"</f>
        <v>894</v>
      </c>
      <c r="E2043" t="str">
        <f t="shared" si="118"/>
        <v>60440000</v>
      </c>
      <c r="F2043" t="s">
        <v>3441</v>
      </c>
      <c r="G2043" t="s">
        <v>336</v>
      </c>
      <c r="H2043" t="s">
        <v>5880</v>
      </c>
      <c r="I2043">
        <v>0</v>
      </c>
      <c r="J2043" t="s">
        <v>343</v>
      </c>
      <c r="K2043">
        <v>1443</v>
      </c>
      <c r="M2043">
        <v>1443</v>
      </c>
    </row>
    <row r="2044" spans="1:13" x14ac:dyDescent="0.35">
      <c r="A2044" t="str">
        <f t="shared" si="116"/>
        <v>STKCDG4572089560440000</v>
      </c>
      <c r="B2044" t="s">
        <v>3115</v>
      </c>
      <c r="C2044" s="1">
        <v>45720</v>
      </c>
      <c r="D2044" t="str">
        <f>"895"</f>
        <v>895</v>
      </c>
      <c r="E2044" t="str">
        <f t="shared" si="118"/>
        <v>60440000</v>
      </c>
      <c r="F2044" t="s">
        <v>3443</v>
      </c>
      <c r="G2044" t="s">
        <v>336</v>
      </c>
      <c r="H2044" t="s">
        <v>5966</v>
      </c>
      <c r="I2044">
        <v>0</v>
      </c>
      <c r="J2044" t="s">
        <v>343</v>
      </c>
      <c r="K2044">
        <v>787</v>
      </c>
      <c r="M2044">
        <v>787</v>
      </c>
    </row>
    <row r="2045" spans="1:13" x14ac:dyDescent="0.35">
      <c r="A2045" t="str">
        <f t="shared" si="116"/>
        <v>STKCDG4572089660440000</v>
      </c>
      <c r="B2045" t="s">
        <v>3115</v>
      </c>
      <c r="C2045" s="1">
        <v>45720</v>
      </c>
      <c r="D2045" t="str">
        <f>"896"</f>
        <v>896</v>
      </c>
      <c r="E2045" t="str">
        <f t="shared" si="118"/>
        <v>60440000</v>
      </c>
      <c r="F2045" t="s">
        <v>3445</v>
      </c>
      <c r="G2045" t="s">
        <v>336</v>
      </c>
      <c r="H2045" t="s">
        <v>5875</v>
      </c>
      <c r="I2045">
        <v>0</v>
      </c>
      <c r="J2045" t="s">
        <v>343</v>
      </c>
      <c r="K2045">
        <v>7084</v>
      </c>
      <c r="M2045">
        <v>7084</v>
      </c>
    </row>
    <row r="2046" spans="1:13" x14ac:dyDescent="0.35">
      <c r="A2046" t="str">
        <f t="shared" si="116"/>
        <v>STKCDG4572089760440000</v>
      </c>
      <c r="B2046" t="s">
        <v>3115</v>
      </c>
      <c r="C2046" s="1">
        <v>45720</v>
      </c>
      <c r="D2046" t="str">
        <f>"897"</f>
        <v>897</v>
      </c>
      <c r="E2046" t="str">
        <f t="shared" si="118"/>
        <v>60440000</v>
      </c>
      <c r="F2046" t="s">
        <v>3447</v>
      </c>
      <c r="G2046" t="s">
        <v>336</v>
      </c>
      <c r="H2046" t="s">
        <v>5966</v>
      </c>
      <c r="I2046">
        <v>0</v>
      </c>
      <c r="J2046" t="s">
        <v>343</v>
      </c>
      <c r="K2046">
        <v>984</v>
      </c>
      <c r="M2046">
        <v>984</v>
      </c>
    </row>
    <row r="2047" spans="1:13" x14ac:dyDescent="0.35">
      <c r="A2047" t="str">
        <f t="shared" si="116"/>
        <v>STKCDG4572089860440000</v>
      </c>
      <c r="B2047" t="s">
        <v>3115</v>
      </c>
      <c r="C2047" s="1">
        <v>45720</v>
      </c>
      <c r="D2047" t="str">
        <f>"898"</f>
        <v>898</v>
      </c>
      <c r="E2047" t="str">
        <f t="shared" si="118"/>
        <v>60440000</v>
      </c>
      <c r="F2047" t="s">
        <v>3449</v>
      </c>
      <c r="G2047" t="s">
        <v>336</v>
      </c>
      <c r="H2047" t="s">
        <v>5966</v>
      </c>
      <c r="I2047">
        <v>0</v>
      </c>
      <c r="J2047" t="s">
        <v>343</v>
      </c>
      <c r="K2047">
        <v>1968</v>
      </c>
      <c r="M2047">
        <v>1968</v>
      </c>
    </row>
    <row r="2048" spans="1:13" x14ac:dyDescent="0.35">
      <c r="A2048" t="str">
        <f t="shared" si="116"/>
        <v>STKCDG4572089960460000</v>
      </c>
      <c r="B2048" t="s">
        <v>3115</v>
      </c>
      <c r="C2048" s="1">
        <v>45720</v>
      </c>
      <c r="D2048" t="str">
        <f>"899"</f>
        <v>899</v>
      </c>
      <c r="E2048" t="str">
        <f>"60460000"</f>
        <v>60460000</v>
      </c>
      <c r="F2048" t="s">
        <v>3451</v>
      </c>
      <c r="G2048" t="s">
        <v>336</v>
      </c>
      <c r="H2048" t="s">
        <v>5880</v>
      </c>
      <c r="I2048">
        <v>0</v>
      </c>
      <c r="J2048" t="s">
        <v>343</v>
      </c>
      <c r="K2048">
        <v>21500</v>
      </c>
      <c r="M2048">
        <v>21500</v>
      </c>
    </row>
    <row r="2049" spans="1:13" x14ac:dyDescent="0.35">
      <c r="A2049" t="str">
        <f t="shared" si="116"/>
        <v>STKCDG4572090060440000</v>
      </c>
      <c r="B2049" t="s">
        <v>3115</v>
      </c>
      <c r="C2049" s="1">
        <v>45720</v>
      </c>
      <c r="D2049" t="str">
        <f>"900"</f>
        <v>900</v>
      </c>
      <c r="E2049" t="str">
        <f>"60440000"</f>
        <v>60440000</v>
      </c>
      <c r="F2049" t="s">
        <v>3453</v>
      </c>
      <c r="G2049" t="s">
        <v>336</v>
      </c>
      <c r="H2049" t="s">
        <v>5966</v>
      </c>
      <c r="I2049">
        <v>0</v>
      </c>
      <c r="J2049" t="s">
        <v>343</v>
      </c>
      <c r="K2049">
        <v>6035</v>
      </c>
      <c r="M2049">
        <v>6035</v>
      </c>
    </row>
    <row r="2050" spans="1:13" x14ac:dyDescent="0.35">
      <c r="A2050" t="str">
        <f t="shared" si="116"/>
        <v>STKCDG4572090160440000</v>
      </c>
      <c r="B2050" t="s">
        <v>3115</v>
      </c>
      <c r="C2050" s="1">
        <v>45720</v>
      </c>
      <c r="D2050" t="str">
        <f>"901"</f>
        <v>901</v>
      </c>
      <c r="E2050" t="str">
        <f>"60440000"</f>
        <v>60440000</v>
      </c>
      <c r="F2050" t="s">
        <v>3455</v>
      </c>
      <c r="G2050" t="s">
        <v>336</v>
      </c>
      <c r="H2050" t="s">
        <v>5966</v>
      </c>
      <c r="I2050">
        <v>0</v>
      </c>
      <c r="J2050" t="s">
        <v>343</v>
      </c>
      <c r="K2050">
        <v>724</v>
      </c>
      <c r="M2050">
        <v>724</v>
      </c>
    </row>
    <row r="2051" spans="1:13" x14ac:dyDescent="0.35">
      <c r="A2051" t="str">
        <f t="shared" ref="A2051:A2114" si="119">CONCATENATE(B2051,C2051,D2051,E2051)</f>
        <v>STKCDG4572090260440000</v>
      </c>
      <c r="B2051" t="s">
        <v>3115</v>
      </c>
      <c r="C2051" s="1">
        <v>45720</v>
      </c>
      <c r="D2051" t="str">
        <f>"902"</f>
        <v>902</v>
      </c>
      <c r="E2051" t="str">
        <f>"60440000"</f>
        <v>60440000</v>
      </c>
      <c r="F2051" t="s">
        <v>3457</v>
      </c>
      <c r="G2051" t="s">
        <v>336</v>
      </c>
      <c r="H2051" t="s">
        <v>5875</v>
      </c>
      <c r="I2051">
        <v>0</v>
      </c>
      <c r="J2051" t="s">
        <v>343</v>
      </c>
      <c r="K2051">
        <v>1837</v>
      </c>
      <c r="M2051">
        <v>1837</v>
      </c>
    </row>
    <row r="2052" spans="1:13" x14ac:dyDescent="0.35">
      <c r="A2052" t="str">
        <f t="shared" si="119"/>
        <v>STKCDG4572090360440000</v>
      </c>
      <c r="B2052" t="s">
        <v>3115</v>
      </c>
      <c r="C2052" s="1">
        <v>45720</v>
      </c>
      <c r="D2052" t="str">
        <f>"903"</f>
        <v>903</v>
      </c>
      <c r="E2052" t="str">
        <f>"60440000"</f>
        <v>60440000</v>
      </c>
      <c r="F2052" t="s">
        <v>3459</v>
      </c>
      <c r="G2052" t="s">
        <v>336</v>
      </c>
      <c r="H2052" t="s">
        <v>5876</v>
      </c>
      <c r="I2052">
        <v>0</v>
      </c>
      <c r="J2052" t="s">
        <v>343</v>
      </c>
      <c r="K2052">
        <v>6822</v>
      </c>
      <c r="M2052">
        <v>6822</v>
      </c>
    </row>
    <row r="2053" spans="1:13" x14ac:dyDescent="0.35">
      <c r="A2053" t="str">
        <f t="shared" si="119"/>
        <v>STKCDG4572090460460000</v>
      </c>
      <c r="B2053" t="s">
        <v>3115</v>
      </c>
      <c r="C2053" s="1">
        <v>45720</v>
      </c>
      <c r="D2053" t="str">
        <f>"904"</f>
        <v>904</v>
      </c>
      <c r="E2053" t="str">
        <f>"60460000"</f>
        <v>60460000</v>
      </c>
      <c r="F2053" t="s">
        <v>3461</v>
      </c>
      <c r="G2053" t="s">
        <v>336</v>
      </c>
      <c r="H2053" t="s">
        <v>5966</v>
      </c>
      <c r="I2053">
        <v>0</v>
      </c>
      <c r="J2053" t="s">
        <v>343</v>
      </c>
      <c r="K2053">
        <v>2788</v>
      </c>
      <c r="M2053">
        <v>2788</v>
      </c>
    </row>
    <row r="2054" spans="1:13" x14ac:dyDescent="0.35">
      <c r="A2054" t="str">
        <f t="shared" si="119"/>
        <v>STKCDG4572090560460000</v>
      </c>
      <c r="B2054" t="s">
        <v>3115</v>
      </c>
      <c r="C2054" s="1">
        <v>45720</v>
      </c>
      <c r="D2054" t="str">
        <f>"905"</f>
        <v>905</v>
      </c>
      <c r="E2054" t="str">
        <f>"60460000"</f>
        <v>60460000</v>
      </c>
      <c r="F2054" t="s">
        <v>3463</v>
      </c>
      <c r="G2054" t="s">
        <v>336</v>
      </c>
      <c r="H2054" t="s">
        <v>5966</v>
      </c>
      <c r="I2054">
        <v>0</v>
      </c>
      <c r="J2054" t="s">
        <v>343</v>
      </c>
      <c r="K2054">
        <v>79</v>
      </c>
      <c r="M2054">
        <v>79</v>
      </c>
    </row>
    <row r="2055" spans="1:13" x14ac:dyDescent="0.35">
      <c r="A2055" t="str">
        <f t="shared" si="119"/>
        <v>STKCDG4572090660440000</v>
      </c>
      <c r="B2055" t="s">
        <v>3115</v>
      </c>
      <c r="C2055" s="1">
        <v>45720</v>
      </c>
      <c r="D2055" t="str">
        <f>"906"</f>
        <v>906</v>
      </c>
      <c r="E2055" t="str">
        <f>"60440000"</f>
        <v>60440000</v>
      </c>
      <c r="F2055" t="s">
        <v>3465</v>
      </c>
      <c r="G2055" t="s">
        <v>336</v>
      </c>
      <c r="H2055" t="s">
        <v>5890</v>
      </c>
      <c r="I2055">
        <v>0</v>
      </c>
      <c r="J2055" t="s">
        <v>343</v>
      </c>
      <c r="K2055">
        <v>10495</v>
      </c>
      <c r="M2055">
        <v>10495</v>
      </c>
    </row>
    <row r="2056" spans="1:13" x14ac:dyDescent="0.35">
      <c r="A2056" t="str">
        <f t="shared" si="119"/>
        <v>STKCDG4572090760410000</v>
      </c>
      <c r="B2056" t="s">
        <v>3115</v>
      </c>
      <c r="C2056" s="1">
        <v>45720</v>
      </c>
      <c r="D2056" t="str">
        <f>"907"</f>
        <v>907</v>
      </c>
      <c r="E2056" t="str">
        <f>"60410000"</f>
        <v>60410000</v>
      </c>
      <c r="F2056" t="s">
        <v>3467</v>
      </c>
      <c r="G2056" t="s">
        <v>336</v>
      </c>
      <c r="H2056" t="s">
        <v>5875</v>
      </c>
      <c r="I2056">
        <v>0</v>
      </c>
      <c r="J2056" t="s">
        <v>343</v>
      </c>
      <c r="K2056">
        <v>33600</v>
      </c>
      <c r="M2056">
        <v>33600</v>
      </c>
    </row>
    <row r="2057" spans="1:13" x14ac:dyDescent="0.35">
      <c r="A2057" t="str">
        <f t="shared" si="119"/>
        <v>STKCDG4572090860430000</v>
      </c>
      <c r="B2057" t="s">
        <v>3115</v>
      </c>
      <c r="C2057" s="1">
        <v>45720</v>
      </c>
      <c r="D2057" t="str">
        <f>"908"</f>
        <v>908</v>
      </c>
      <c r="E2057" t="str">
        <f>"60430000"</f>
        <v>60430000</v>
      </c>
      <c r="F2057" t="s">
        <v>3469</v>
      </c>
      <c r="G2057" t="s">
        <v>336</v>
      </c>
      <c r="H2057" t="s">
        <v>5890</v>
      </c>
      <c r="I2057">
        <v>0</v>
      </c>
      <c r="J2057" t="s">
        <v>343</v>
      </c>
      <c r="K2057">
        <v>14175</v>
      </c>
      <c r="M2057">
        <v>14175</v>
      </c>
    </row>
    <row r="2058" spans="1:13" x14ac:dyDescent="0.35">
      <c r="A2058" t="str">
        <f t="shared" si="119"/>
        <v>STKCDG4572090960410000</v>
      </c>
      <c r="B2058" t="s">
        <v>3115</v>
      </c>
      <c r="C2058" s="1">
        <v>45720</v>
      </c>
      <c r="D2058" t="str">
        <f>"909"</f>
        <v>909</v>
      </c>
      <c r="E2058" t="str">
        <f>"60410000"</f>
        <v>60410000</v>
      </c>
      <c r="F2058" t="s">
        <v>3471</v>
      </c>
      <c r="G2058" t="s">
        <v>336</v>
      </c>
      <c r="H2058" t="s">
        <v>5880</v>
      </c>
      <c r="I2058">
        <v>0</v>
      </c>
      <c r="J2058" t="s">
        <v>343</v>
      </c>
      <c r="K2058">
        <v>9213</v>
      </c>
      <c r="M2058">
        <v>9213</v>
      </c>
    </row>
    <row r="2059" spans="1:13" x14ac:dyDescent="0.35">
      <c r="A2059" t="str">
        <f t="shared" si="119"/>
        <v>STKCDG4572091060460000</v>
      </c>
      <c r="B2059" t="s">
        <v>3115</v>
      </c>
      <c r="C2059" s="1">
        <v>45720</v>
      </c>
      <c r="D2059" t="str">
        <f>"910"</f>
        <v>910</v>
      </c>
      <c r="E2059" t="str">
        <f>"60460000"</f>
        <v>60460000</v>
      </c>
      <c r="F2059" t="s">
        <v>3473</v>
      </c>
      <c r="G2059" t="s">
        <v>336</v>
      </c>
      <c r="H2059" t="s">
        <v>5966</v>
      </c>
      <c r="I2059">
        <v>0</v>
      </c>
      <c r="J2059" t="s">
        <v>343</v>
      </c>
      <c r="K2059">
        <v>287</v>
      </c>
      <c r="M2059">
        <v>287</v>
      </c>
    </row>
    <row r="2060" spans="1:13" x14ac:dyDescent="0.35">
      <c r="A2060" t="str">
        <f t="shared" si="119"/>
        <v>STKCDG4572091160460000</v>
      </c>
      <c r="B2060" t="s">
        <v>3115</v>
      </c>
      <c r="C2060" s="1">
        <v>45720</v>
      </c>
      <c r="D2060" t="str">
        <f>"911"</f>
        <v>911</v>
      </c>
      <c r="E2060" t="str">
        <f>"60460000"</f>
        <v>60460000</v>
      </c>
      <c r="F2060" t="s">
        <v>3475</v>
      </c>
      <c r="G2060" t="s">
        <v>336</v>
      </c>
      <c r="H2060" t="s">
        <v>5875</v>
      </c>
      <c r="I2060">
        <v>0</v>
      </c>
      <c r="J2060" t="s">
        <v>343</v>
      </c>
      <c r="K2060">
        <v>10080</v>
      </c>
      <c r="M2060">
        <v>10080</v>
      </c>
    </row>
    <row r="2061" spans="1:13" x14ac:dyDescent="0.35">
      <c r="A2061" t="str">
        <f t="shared" si="119"/>
        <v>STKCDG4572091260460000</v>
      </c>
      <c r="B2061" t="s">
        <v>3115</v>
      </c>
      <c r="C2061" s="1">
        <v>45720</v>
      </c>
      <c r="D2061" t="str">
        <f>"912"</f>
        <v>912</v>
      </c>
      <c r="E2061" t="str">
        <f>"60460000"</f>
        <v>60460000</v>
      </c>
      <c r="F2061" t="s">
        <v>3477</v>
      </c>
      <c r="G2061" t="s">
        <v>336</v>
      </c>
      <c r="H2061" t="s">
        <v>5874</v>
      </c>
      <c r="I2061">
        <v>0</v>
      </c>
      <c r="J2061" t="s">
        <v>343</v>
      </c>
      <c r="K2061">
        <v>392</v>
      </c>
      <c r="M2061">
        <v>10956</v>
      </c>
    </row>
    <row r="2062" spans="1:13" x14ac:dyDescent="0.35">
      <c r="A2062" t="str">
        <f t="shared" si="119"/>
        <v>STKCDG4572091260460000</v>
      </c>
      <c r="B2062" t="s">
        <v>3115</v>
      </c>
      <c r="C2062" s="1">
        <v>45720</v>
      </c>
      <c r="D2062" t="str">
        <f>"912"</f>
        <v>912</v>
      </c>
      <c r="E2062" t="str">
        <f>"60460000"</f>
        <v>60460000</v>
      </c>
      <c r="F2062" t="s">
        <v>3477</v>
      </c>
      <c r="G2062" t="s">
        <v>336</v>
      </c>
      <c r="H2062" t="s">
        <v>5874</v>
      </c>
      <c r="I2062">
        <v>0</v>
      </c>
      <c r="J2062" t="s">
        <v>343</v>
      </c>
      <c r="K2062">
        <v>10564</v>
      </c>
      <c r="M2062">
        <v>10956</v>
      </c>
    </row>
    <row r="2063" spans="1:13" x14ac:dyDescent="0.35">
      <c r="A2063" t="str">
        <f t="shared" si="119"/>
        <v>STKCDG4572091360460000</v>
      </c>
      <c r="B2063" t="s">
        <v>3115</v>
      </c>
      <c r="C2063" s="1">
        <v>45720</v>
      </c>
      <c r="D2063" t="str">
        <f>"913"</f>
        <v>913</v>
      </c>
      <c r="E2063" t="str">
        <f>"60460000"</f>
        <v>60460000</v>
      </c>
      <c r="F2063" t="s">
        <v>3479</v>
      </c>
      <c r="G2063" t="s">
        <v>336</v>
      </c>
      <c r="H2063" t="s">
        <v>5880</v>
      </c>
      <c r="I2063">
        <v>0</v>
      </c>
      <c r="J2063" t="s">
        <v>343</v>
      </c>
      <c r="K2063">
        <v>1500</v>
      </c>
      <c r="M2063">
        <v>1500</v>
      </c>
    </row>
    <row r="2064" spans="1:13" x14ac:dyDescent="0.35">
      <c r="A2064" t="str">
        <f t="shared" si="119"/>
        <v>STKCDG4572091460440000</v>
      </c>
      <c r="B2064" t="s">
        <v>3115</v>
      </c>
      <c r="C2064" s="1">
        <v>45720</v>
      </c>
      <c r="D2064" t="str">
        <f>"914"</f>
        <v>914</v>
      </c>
      <c r="E2064" t="str">
        <f>"60440000"</f>
        <v>60440000</v>
      </c>
      <c r="F2064" t="s">
        <v>3481</v>
      </c>
      <c r="G2064" t="s">
        <v>336</v>
      </c>
      <c r="H2064" t="s">
        <v>5890</v>
      </c>
      <c r="I2064">
        <v>0</v>
      </c>
      <c r="J2064" t="s">
        <v>343</v>
      </c>
      <c r="K2064">
        <v>2033</v>
      </c>
      <c r="M2064">
        <v>9380</v>
      </c>
    </row>
    <row r="2065" spans="1:13" x14ac:dyDescent="0.35">
      <c r="A2065" t="str">
        <f t="shared" si="119"/>
        <v>STKCDG4572091460440000</v>
      </c>
      <c r="B2065" t="s">
        <v>3115</v>
      </c>
      <c r="C2065" s="1">
        <v>45720</v>
      </c>
      <c r="D2065" t="str">
        <f>"914"</f>
        <v>914</v>
      </c>
      <c r="E2065" t="str">
        <f>"60440000"</f>
        <v>60440000</v>
      </c>
      <c r="F2065" t="s">
        <v>3481</v>
      </c>
      <c r="G2065" t="s">
        <v>336</v>
      </c>
      <c r="H2065" t="s">
        <v>5890</v>
      </c>
      <c r="I2065">
        <v>0</v>
      </c>
      <c r="J2065" t="s">
        <v>343</v>
      </c>
      <c r="K2065">
        <v>7347</v>
      </c>
      <c r="M2065">
        <v>9380</v>
      </c>
    </row>
    <row r="2066" spans="1:13" x14ac:dyDescent="0.35">
      <c r="A2066" t="str">
        <f t="shared" si="119"/>
        <v>STKCDG4572091560440000</v>
      </c>
      <c r="B2066" t="s">
        <v>3115</v>
      </c>
      <c r="C2066" s="1">
        <v>45720</v>
      </c>
      <c r="D2066" t="str">
        <f>"915"</f>
        <v>915</v>
      </c>
      <c r="E2066" t="str">
        <f>"60440000"</f>
        <v>60440000</v>
      </c>
      <c r="F2066" t="s">
        <v>3483</v>
      </c>
      <c r="G2066" t="s">
        <v>336</v>
      </c>
      <c r="H2066" t="s">
        <v>5875</v>
      </c>
      <c r="I2066">
        <v>0</v>
      </c>
      <c r="J2066" t="s">
        <v>343</v>
      </c>
      <c r="K2066">
        <v>99968</v>
      </c>
      <c r="M2066">
        <v>99968</v>
      </c>
    </row>
    <row r="2067" spans="1:13" x14ac:dyDescent="0.35">
      <c r="A2067" t="str">
        <f t="shared" si="119"/>
        <v>STKCDG4572091660430000</v>
      </c>
      <c r="B2067" t="s">
        <v>3115</v>
      </c>
      <c r="C2067" s="1">
        <v>45720</v>
      </c>
      <c r="D2067" t="str">
        <f>"916"</f>
        <v>916</v>
      </c>
      <c r="E2067" t="str">
        <f>"60430000"</f>
        <v>60430000</v>
      </c>
      <c r="F2067" t="s">
        <v>3485</v>
      </c>
      <c r="G2067" t="s">
        <v>336</v>
      </c>
      <c r="H2067" t="s">
        <v>5890</v>
      </c>
      <c r="I2067">
        <v>0</v>
      </c>
      <c r="J2067" t="s">
        <v>343</v>
      </c>
      <c r="K2067">
        <v>10125</v>
      </c>
      <c r="M2067">
        <v>10125</v>
      </c>
    </row>
    <row r="2068" spans="1:13" x14ac:dyDescent="0.35">
      <c r="A2068" t="str">
        <f t="shared" si="119"/>
        <v>STKCDG4572091760430000</v>
      </c>
      <c r="B2068" t="s">
        <v>3115</v>
      </c>
      <c r="C2068" s="1">
        <v>45720</v>
      </c>
      <c r="D2068" t="str">
        <f>"917"</f>
        <v>917</v>
      </c>
      <c r="E2068" t="str">
        <f>"60430000"</f>
        <v>60430000</v>
      </c>
      <c r="F2068" t="s">
        <v>3487</v>
      </c>
      <c r="G2068" t="s">
        <v>336</v>
      </c>
      <c r="H2068" t="s">
        <v>5966</v>
      </c>
      <c r="I2068">
        <v>0</v>
      </c>
      <c r="J2068" t="s">
        <v>343</v>
      </c>
      <c r="K2068">
        <v>10125</v>
      </c>
      <c r="M2068">
        <v>10125</v>
      </c>
    </row>
    <row r="2069" spans="1:13" x14ac:dyDescent="0.35">
      <c r="A2069" t="str">
        <f t="shared" si="119"/>
        <v>STKCDG4572091860440000</v>
      </c>
      <c r="B2069" t="s">
        <v>3115</v>
      </c>
      <c r="C2069" s="1">
        <v>45720</v>
      </c>
      <c r="D2069" t="str">
        <f>"918"</f>
        <v>918</v>
      </c>
      <c r="E2069" t="str">
        <f>"60440000"</f>
        <v>60440000</v>
      </c>
      <c r="F2069" t="s">
        <v>3489</v>
      </c>
      <c r="G2069" t="s">
        <v>336</v>
      </c>
      <c r="H2069" t="s">
        <v>5875</v>
      </c>
      <c r="I2069">
        <v>0</v>
      </c>
      <c r="J2069" t="s">
        <v>343</v>
      </c>
      <c r="K2069">
        <v>49984</v>
      </c>
      <c r="M2069">
        <v>49984</v>
      </c>
    </row>
    <row r="2070" spans="1:13" x14ac:dyDescent="0.35">
      <c r="A2070" t="str">
        <f t="shared" si="119"/>
        <v>STKCDG4572091960440000</v>
      </c>
      <c r="B2070" t="s">
        <v>3115</v>
      </c>
      <c r="C2070" s="1">
        <v>45720</v>
      </c>
      <c r="D2070" t="str">
        <f>"919"</f>
        <v>919</v>
      </c>
      <c r="E2070" t="str">
        <f>"60440000"</f>
        <v>60440000</v>
      </c>
      <c r="F2070" t="s">
        <v>3491</v>
      </c>
      <c r="G2070" t="s">
        <v>336</v>
      </c>
      <c r="H2070" t="s">
        <v>5966</v>
      </c>
      <c r="I2070">
        <v>0</v>
      </c>
      <c r="J2070" t="s">
        <v>343</v>
      </c>
      <c r="K2070">
        <v>122270</v>
      </c>
      <c r="M2070">
        <v>122270</v>
      </c>
    </row>
    <row r="2071" spans="1:13" x14ac:dyDescent="0.35">
      <c r="A2071" t="str">
        <f t="shared" si="119"/>
        <v>STKCDG4572092060430000</v>
      </c>
      <c r="B2071" t="s">
        <v>3115</v>
      </c>
      <c r="C2071" s="1">
        <v>45720</v>
      </c>
      <c r="D2071" t="str">
        <f>"920"</f>
        <v>920</v>
      </c>
      <c r="E2071" t="str">
        <f>"60430000"</f>
        <v>60430000</v>
      </c>
      <c r="F2071" t="s">
        <v>3493</v>
      </c>
      <c r="G2071" t="s">
        <v>336</v>
      </c>
      <c r="H2071" t="s">
        <v>5966</v>
      </c>
      <c r="I2071">
        <v>0</v>
      </c>
      <c r="J2071" t="s">
        <v>343</v>
      </c>
      <c r="K2071">
        <v>66825</v>
      </c>
      <c r="M2071">
        <v>66825</v>
      </c>
    </row>
    <row r="2072" spans="1:13" x14ac:dyDescent="0.35">
      <c r="A2072" t="str">
        <f t="shared" si="119"/>
        <v>STKCDG4572092160460000</v>
      </c>
      <c r="B2072" t="s">
        <v>3115</v>
      </c>
      <c r="C2072" s="1">
        <v>45720</v>
      </c>
      <c r="D2072" t="str">
        <f>"921"</f>
        <v>921</v>
      </c>
      <c r="E2072" t="str">
        <f>"60460000"</f>
        <v>60460000</v>
      </c>
      <c r="F2072" t="s">
        <v>3495</v>
      </c>
      <c r="G2072" t="s">
        <v>336</v>
      </c>
      <c r="H2072" t="s">
        <v>5966</v>
      </c>
      <c r="I2072">
        <v>0</v>
      </c>
      <c r="J2072" t="s">
        <v>343</v>
      </c>
      <c r="K2072">
        <v>808</v>
      </c>
      <c r="M2072">
        <v>808</v>
      </c>
    </row>
    <row r="2073" spans="1:13" x14ac:dyDescent="0.35">
      <c r="A2073" t="str">
        <f t="shared" si="119"/>
        <v>STKCDG4572092260460000</v>
      </c>
      <c r="B2073" t="s">
        <v>3115</v>
      </c>
      <c r="C2073" s="1">
        <v>45720</v>
      </c>
      <c r="D2073" t="str">
        <f>"922"</f>
        <v>922</v>
      </c>
      <c r="E2073" t="str">
        <f>"60460000"</f>
        <v>60460000</v>
      </c>
      <c r="F2073" t="s">
        <v>3497</v>
      </c>
      <c r="G2073" t="s">
        <v>336</v>
      </c>
      <c r="H2073" t="s">
        <v>6012</v>
      </c>
      <c r="I2073">
        <v>0</v>
      </c>
      <c r="J2073" t="s">
        <v>343</v>
      </c>
      <c r="K2073">
        <v>2953</v>
      </c>
      <c r="M2073">
        <v>4557</v>
      </c>
    </row>
    <row r="2074" spans="1:13" x14ac:dyDescent="0.35">
      <c r="A2074" t="str">
        <f t="shared" si="119"/>
        <v>STKCDG4572092260460000</v>
      </c>
      <c r="B2074" t="s">
        <v>3115</v>
      </c>
      <c r="C2074" s="1">
        <v>45720</v>
      </c>
      <c r="D2074" t="str">
        <f>"922"</f>
        <v>922</v>
      </c>
      <c r="E2074" t="str">
        <f>"60460000"</f>
        <v>60460000</v>
      </c>
      <c r="F2074" t="s">
        <v>3497</v>
      </c>
      <c r="G2074" t="s">
        <v>336</v>
      </c>
      <c r="H2074" t="s">
        <v>6012</v>
      </c>
      <c r="I2074">
        <v>0</v>
      </c>
      <c r="J2074" t="s">
        <v>343</v>
      </c>
      <c r="K2074">
        <v>1604</v>
      </c>
      <c r="M2074">
        <v>4557</v>
      </c>
    </row>
    <row r="2075" spans="1:13" x14ac:dyDescent="0.35">
      <c r="A2075" t="str">
        <f t="shared" si="119"/>
        <v>STKCDG4572092360440000</v>
      </c>
      <c r="B2075" t="s">
        <v>3115</v>
      </c>
      <c r="C2075" s="1">
        <v>45720</v>
      </c>
      <c r="D2075" t="str">
        <f>"923"</f>
        <v>923</v>
      </c>
      <c r="E2075" t="str">
        <f>"60440000"</f>
        <v>60440000</v>
      </c>
      <c r="F2075" t="s">
        <v>3499</v>
      </c>
      <c r="G2075" t="s">
        <v>336</v>
      </c>
      <c r="H2075" t="s">
        <v>5966</v>
      </c>
      <c r="I2075">
        <v>0</v>
      </c>
      <c r="J2075" t="s">
        <v>343</v>
      </c>
      <c r="K2075">
        <v>3936</v>
      </c>
      <c r="M2075">
        <v>3936</v>
      </c>
    </row>
    <row r="2076" spans="1:13" x14ac:dyDescent="0.35">
      <c r="A2076" t="str">
        <f t="shared" si="119"/>
        <v>STKCDG4572092460460000</v>
      </c>
      <c r="B2076" t="s">
        <v>3115</v>
      </c>
      <c r="C2076" s="1">
        <v>45720</v>
      </c>
      <c r="D2076" t="str">
        <f>"924"</f>
        <v>924</v>
      </c>
      <c r="E2076" t="str">
        <f>"60460000"</f>
        <v>60460000</v>
      </c>
      <c r="F2076" t="s">
        <v>3501</v>
      </c>
      <c r="G2076" t="s">
        <v>336</v>
      </c>
      <c r="H2076" t="s">
        <v>5949</v>
      </c>
      <c r="I2076">
        <v>0</v>
      </c>
      <c r="J2076" t="s">
        <v>343</v>
      </c>
      <c r="K2076">
        <v>14966</v>
      </c>
      <c r="M2076">
        <v>14966</v>
      </c>
    </row>
    <row r="2077" spans="1:13" x14ac:dyDescent="0.35">
      <c r="A2077" t="str">
        <f t="shared" si="119"/>
        <v>STKCDG4572092560410000</v>
      </c>
      <c r="B2077" t="s">
        <v>3115</v>
      </c>
      <c r="C2077" s="1">
        <v>45720</v>
      </c>
      <c r="D2077" t="str">
        <f>"925"</f>
        <v>925</v>
      </c>
      <c r="E2077" t="str">
        <f>"60410000"</f>
        <v>60410000</v>
      </c>
      <c r="F2077" t="s">
        <v>3503</v>
      </c>
      <c r="G2077" t="s">
        <v>336</v>
      </c>
      <c r="H2077" t="s">
        <v>5966</v>
      </c>
      <c r="I2077">
        <v>0</v>
      </c>
      <c r="J2077" t="s">
        <v>343</v>
      </c>
      <c r="K2077">
        <v>2917</v>
      </c>
      <c r="M2077">
        <v>2917</v>
      </c>
    </row>
    <row r="2078" spans="1:13" x14ac:dyDescent="0.35">
      <c r="A2078" t="str">
        <f t="shared" si="119"/>
        <v>STKCDG4572092660410000</v>
      </c>
      <c r="B2078" t="s">
        <v>3115</v>
      </c>
      <c r="C2078" s="1">
        <v>45720</v>
      </c>
      <c r="D2078" t="str">
        <f>"926"</f>
        <v>926</v>
      </c>
      <c r="E2078" t="str">
        <f>"60410000"</f>
        <v>60410000</v>
      </c>
      <c r="F2078" t="s">
        <v>3505</v>
      </c>
      <c r="G2078" t="s">
        <v>336</v>
      </c>
      <c r="H2078" t="s">
        <v>5966</v>
      </c>
      <c r="I2078">
        <v>0</v>
      </c>
      <c r="J2078" t="s">
        <v>343</v>
      </c>
      <c r="K2078">
        <v>4947</v>
      </c>
      <c r="M2078">
        <v>4947</v>
      </c>
    </row>
    <row r="2079" spans="1:13" x14ac:dyDescent="0.35">
      <c r="A2079" t="str">
        <f t="shared" si="119"/>
        <v>STKCDG4572192760440000</v>
      </c>
      <c r="B2079" t="s">
        <v>3115</v>
      </c>
      <c r="C2079" s="1">
        <v>45721</v>
      </c>
      <c r="D2079" t="str">
        <f>"927"</f>
        <v>927</v>
      </c>
      <c r="E2079" t="str">
        <f t="shared" ref="E2079:E2084" si="120">"60440000"</f>
        <v>60440000</v>
      </c>
      <c r="F2079" t="s">
        <v>3507</v>
      </c>
      <c r="G2079" t="s">
        <v>336</v>
      </c>
      <c r="H2079" t="s">
        <v>5958</v>
      </c>
      <c r="I2079">
        <v>0</v>
      </c>
      <c r="J2079" t="s">
        <v>343</v>
      </c>
      <c r="K2079">
        <v>787</v>
      </c>
      <c r="M2079">
        <v>787</v>
      </c>
    </row>
    <row r="2080" spans="1:13" x14ac:dyDescent="0.35">
      <c r="A2080" t="str">
        <f t="shared" si="119"/>
        <v>STKCDG4572192860440000</v>
      </c>
      <c r="B2080" t="s">
        <v>3115</v>
      </c>
      <c r="C2080" s="1">
        <v>45721</v>
      </c>
      <c r="D2080" t="str">
        <f>"928"</f>
        <v>928</v>
      </c>
      <c r="E2080" t="str">
        <f t="shared" si="120"/>
        <v>60440000</v>
      </c>
      <c r="F2080" t="s">
        <v>3509</v>
      </c>
      <c r="G2080" t="s">
        <v>336</v>
      </c>
      <c r="H2080" t="s">
        <v>5958</v>
      </c>
      <c r="I2080">
        <v>0</v>
      </c>
      <c r="J2080" t="s">
        <v>343</v>
      </c>
      <c r="K2080">
        <v>919</v>
      </c>
      <c r="M2080">
        <v>919</v>
      </c>
    </row>
    <row r="2081" spans="1:13" x14ac:dyDescent="0.35">
      <c r="A2081" t="str">
        <f t="shared" si="119"/>
        <v>STKCDG4572192960440000</v>
      </c>
      <c r="B2081" t="s">
        <v>3115</v>
      </c>
      <c r="C2081" s="1">
        <v>45721</v>
      </c>
      <c r="D2081" t="str">
        <f>"929"</f>
        <v>929</v>
      </c>
      <c r="E2081" t="str">
        <f t="shared" si="120"/>
        <v>60440000</v>
      </c>
      <c r="F2081" t="s">
        <v>3511</v>
      </c>
      <c r="G2081" t="s">
        <v>336</v>
      </c>
      <c r="H2081" t="s">
        <v>5958</v>
      </c>
      <c r="I2081">
        <v>0</v>
      </c>
      <c r="J2081" t="s">
        <v>343</v>
      </c>
      <c r="K2081">
        <v>65006</v>
      </c>
      <c r="M2081">
        <v>65006</v>
      </c>
    </row>
    <row r="2082" spans="1:13" x14ac:dyDescent="0.35">
      <c r="A2082" t="str">
        <f t="shared" si="119"/>
        <v>STKCDG4572193060440000</v>
      </c>
      <c r="B2082" t="s">
        <v>3115</v>
      </c>
      <c r="C2082" s="1">
        <v>45721</v>
      </c>
      <c r="D2082" t="str">
        <f>"930"</f>
        <v>930</v>
      </c>
      <c r="E2082" t="str">
        <f t="shared" si="120"/>
        <v>60440000</v>
      </c>
      <c r="F2082" t="s">
        <v>3513</v>
      </c>
      <c r="G2082" t="s">
        <v>336</v>
      </c>
      <c r="H2082" t="s">
        <v>5875</v>
      </c>
      <c r="I2082">
        <v>0</v>
      </c>
      <c r="J2082" t="s">
        <v>343</v>
      </c>
      <c r="K2082">
        <v>2230</v>
      </c>
      <c r="M2082">
        <v>2230</v>
      </c>
    </row>
    <row r="2083" spans="1:13" x14ac:dyDescent="0.35">
      <c r="A2083" t="str">
        <f t="shared" si="119"/>
        <v>STKCDG4572193160440000</v>
      </c>
      <c r="B2083" t="s">
        <v>3115</v>
      </c>
      <c r="C2083" s="1">
        <v>45721</v>
      </c>
      <c r="D2083" t="str">
        <f>"931"</f>
        <v>931</v>
      </c>
      <c r="E2083" t="str">
        <f t="shared" si="120"/>
        <v>60440000</v>
      </c>
      <c r="F2083" t="s">
        <v>3515</v>
      </c>
      <c r="G2083" t="s">
        <v>336</v>
      </c>
      <c r="H2083" t="s">
        <v>5875</v>
      </c>
      <c r="I2083">
        <v>0</v>
      </c>
      <c r="J2083" t="s">
        <v>343</v>
      </c>
      <c r="K2083">
        <v>2230</v>
      </c>
      <c r="M2083">
        <v>2230</v>
      </c>
    </row>
    <row r="2084" spans="1:13" x14ac:dyDescent="0.35">
      <c r="A2084" t="str">
        <f t="shared" si="119"/>
        <v>STKCDG4572193260440000</v>
      </c>
      <c r="B2084" t="s">
        <v>3115</v>
      </c>
      <c r="C2084" s="1">
        <v>45721</v>
      </c>
      <c r="D2084" t="str">
        <f>"932"</f>
        <v>932</v>
      </c>
      <c r="E2084" t="str">
        <f t="shared" si="120"/>
        <v>60440000</v>
      </c>
      <c r="F2084" t="s">
        <v>3517</v>
      </c>
      <c r="G2084" t="s">
        <v>336</v>
      </c>
      <c r="H2084" t="s">
        <v>5876</v>
      </c>
      <c r="I2084">
        <v>0</v>
      </c>
      <c r="J2084" t="s">
        <v>343</v>
      </c>
      <c r="K2084">
        <v>1312</v>
      </c>
      <c r="M2084">
        <v>1312</v>
      </c>
    </row>
    <row r="2085" spans="1:13" x14ac:dyDescent="0.35">
      <c r="A2085" t="str">
        <f t="shared" si="119"/>
        <v>STKCDG4572193360460000</v>
      </c>
      <c r="B2085" t="s">
        <v>3115</v>
      </c>
      <c r="C2085" s="1">
        <v>45721</v>
      </c>
      <c r="D2085" t="str">
        <f>"933"</f>
        <v>933</v>
      </c>
      <c r="E2085" t="str">
        <f>"60460000"</f>
        <v>60460000</v>
      </c>
      <c r="F2085" t="s">
        <v>3519</v>
      </c>
      <c r="G2085" t="s">
        <v>336</v>
      </c>
      <c r="H2085" t="s">
        <v>5876</v>
      </c>
      <c r="I2085">
        <v>0</v>
      </c>
      <c r="J2085" t="s">
        <v>343</v>
      </c>
      <c r="K2085">
        <v>1620</v>
      </c>
      <c r="M2085">
        <v>1620</v>
      </c>
    </row>
    <row r="2086" spans="1:13" x14ac:dyDescent="0.35">
      <c r="A2086" t="str">
        <f t="shared" si="119"/>
        <v>STKCDG4572193460440000</v>
      </c>
      <c r="B2086" t="s">
        <v>3115</v>
      </c>
      <c r="C2086" s="1">
        <v>45721</v>
      </c>
      <c r="D2086" t="str">
        <f>"934"</f>
        <v>934</v>
      </c>
      <c r="E2086" t="str">
        <f>"60440000"</f>
        <v>60440000</v>
      </c>
      <c r="F2086" t="s">
        <v>3521</v>
      </c>
      <c r="G2086" t="s">
        <v>336</v>
      </c>
      <c r="H2086" t="s">
        <v>5874</v>
      </c>
      <c r="I2086">
        <v>0</v>
      </c>
      <c r="J2086" t="s">
        <v>343</v>
      </c>
      <c r="K2086">
        <v>11021</v>
      </c>
      <c r="M2086">
        <v>11021</v>
      </c>
    </row>
    <row r="2087" spans="1:13" x14ac:dyDescent="0.35">
      <c r="A2087" t="str">
        <f t="shared" si="119"/>
        <v>STKCDG4572193560460000</v>
      </c>
      <c r="B2087" t="s">
        <v>3115</v>
      </c>
      <c r="C2087" s="1">
        <v>45721</v>
      </c>
      <c r="D2087" t="str">
        <f>"935"</f>
        <v>935</v>
      </c>
      <c r="E2087" t="str">
        <f>"60460000"</f>
        <v>60460000</v>
      </c>
      <c r="F2087" t="s">
        <v>3523</v>
      </c>
      <c r="G2087" t="s">
        <v>336</v>
      </c>
      <c r="H2087" t="s">
        <v>5874</v>
      </c>
      <c r="I2087">
        <v>0</v>
      </c>
      <c r="J2087" t="s">
        <v>343</v>
      </c>
      <c r="K2087">
        <v>1620</v>
      </c>
      <c r="M2087">
        <v>1620</v>
      </c>
    </row>
    <row r="2088" spans="1:13" x14ac:dyDescent="0.35">
      <c r="A2088" t="str">
        <f t="shared" si="119"/>
        <v>STKCDG4572193660440000</v>
      </c>
      <c r="B2088" t="s">
        <v>3115</v>
      </c>
      <c r="C2088" s="1">
        <v>45721</v>
      </c>
      <c r="D2088" t="str">
        <f>"936"</f>
        <v>936</v>
      </c>
      <c r="E2088" t="str">
        <f>"60440000"</f>
        <v>60440000</v>
      </c>
      <c r="F2088" t="s">
        <v>3525</v>
      </c>
      <c r="G2088" t="s">
        <v>336</v>
      </c>
      <c r="H2088" t="s">
        <v>5875</v>
      </c>
      <c r="I2088">
        <v>0</v>
      </c>
      <c r="J2088" t="s">
        <v>343</v>
      </c>
      <c r="K2088">
        <v>62054</v>
      </c>
      <c r="M2088">
        <v>62054</v>
      </c>
    </row>
    <row r="2089" spans="1:13" x14ac:dyDescent="0.35">
      <c r="A2089" t="str">
        <f t="shared" si="119"/>
        <v>STKCDG4572193760440000</v>
      </c>
      <c r="B2089" t="s">
        <v>3115</v>
      </c>
      <c r="C2089" s="1">
        <v>45721</v>
      </c>
      <c r="D2089" t="str">
        <f>"937"</f>
        <v>937</v>
      </c>
      <c r="E2089" t="str">
        <f>"60440000"</f>
        <v>60440000</v>
      </c>
      <c r="F2089" t="s">
        <v>3527</v>
      </c>
      <c r="G2089" t="s">
        <v>336</v>
      </c>
      <c r="H2089" t="s">
        <v>5874</v>
      </c>
      <c r="I2089">
        <v>0</v>
      </c>
      <c r="J2089" t="s">
        <v>343</v>
      </c>
      <c r="K2089">
        <v>40801</v>
      </c>
      <c r="M2089">
        <v>40801</v>
      </c>
    </row>
    <row r="2090" spans="1:13" x14ac:dyDescent="0.35">
      <c r="A2090" t="str">
        <f t="shared" si="119"/>
        <v>STKCDG4572193860430000</v>
      </c>
      <c r="B2090" t="s">
        <v>3115</v>
      </c>
      <c r="C2090" s="1">
        <v>45721</v>
      </c>
      <c r="D2090" t="str">
        <f>"938"</f>
        <v>938</v>
      </c>
      <c r="E2090" t="str">
        <f>"60430000"</f>
        <v>60430000</v>
      </c>
      <c r="F2090" t="s">
        <v>3529</v>
      </c>
      <c r="G2090" t="s">
        <v>336</v>
      </c>
      <c r="H2090" t="s">
        <v>5875</v>
      </c>
      <c r="I2090">
        <v>0</v>
      </c>
      <c r="J2090" t="s">
        <v>343</v>
      </c>
      <c r="K2090">
        <v>64800</v>
      </c>
      <c r="M2090">
        <v>64800</v>
      </c>
    </row>
    <row r="2091" spans="1:13" x14ac:dyDescent="0.35">
      <c r="A2091" t="str">
        <f t="shared" si="119"/>
        <v>STKCDG4572193960460000</v>
      </c>
      <c r="B2091" t="s">
        <v>3115</v>
      </c>
      <c r="C2091" s="1">
        <v>45721</v>
      </c>
      <c r="D2091" t="str">
        <f>"939"</f>
        <v>939</v>
      </c>
      <c r="E2091" t="str">
        <f>"60460000"</f>
        <v>60460000</v>
      </c>
      <c r="F2091" t="s">
        <v>3531</v>
      </c>
      <c r="G2091" t="s">
        <v>336</v>
      </c>
      <c r="H2091" t="s">
        <v>5966</v>
      </c>
      <c r="I2091">
        <v>0</v>
      </c>
      <c r="J2091" t="s">
        <v>343</v>
      </c>
      <c r="K2091">
        <v>350</v>
      </c>
      <c r="M2091">
        <v>3118</v>
      </c>
    </row>
    <row r="2092" spans="1:13" x14ac:dyDescent="0.35">
      <c r="A2092" t="str">
        <f t="shared" si="119"/>
        <v>STKCDG4572193960460000</v>
      </c>
      <c r="B2092" t="s">
        <v>3115</v>
      </c>
      <c r="C2092" s="1">
        <v>45721</v>
      </c>
      <c r="D2092" t="str">
        <f>"939"</f>
        <v>939</v>
      </c>
      <c r="E2092" t="str">
        <f>"60460000"</f>
        <v>60460000</v>
      </c>
      <c r="F2092" t="s">
        <v>3531</v>
      </c>
      <c r="G2092" t="s">
        <v>336</v>
      </c>
      <c r="H2092" t="s">
        <v>5966</v>
      </c>
      <c r="I2092">
        <v>0</v>
      </c>
      <c r="J2092" t="s">
        <v>343</v>
      </c>
      <c r="K2092">
        <v>2768</v>
      </c>
      <c r="M2092">
        <v>3118</v>
      </c>
    </row>
    <row r="2093" spans="1:13" x14ac:dyDescent="0.35">
      <c r="A2093" t="str">
        <f t="shared" si="119"/>
        <v>STKCDG4572194060460000</v>
      </c>
      <c r="B2093" t="s">
        <v>3115</v>
      </c>
      <c r="C2093" s="1">
        <v>45721</v>
      </c>
      <c r="D2093" t="str">
        <f>"940"</f>
        <v>940</v>
      </c>
      <c r="E2093" t="str">
        <f>"60460000"</f>
        <v>60460000</v>
      </c>
      <c r="F2093" t="s">
        <v>3533</v>
      </c>
      <c r="G2093" t="s">
        <v>336</v>
      </c>
      <c r="H2093" t="s">
        <v>5966</v>
      </c>
      <c r="I2093">
        <v>0</v>
      </c>
      <c r="J2093" t="s">
        <v>343</v>
      </c>
      <c r="K2093">
        <v>580</v>
      </c>
      <c r="M2093">
        <v>580</v>
      </c>
    </row>
    <row r="2094" spans="1:13" x14ac:dyDescent="0.35">
      <c r="A2094" t="str">
        <f t="shared" si="119"/>
        <v>STKCDG4572194160430000</v>
      </c>
      <c r="B2094" t="s">
        <v>3115</v>
      </c>
      <c r="C2094" s="1">
        <v>45721</v>
      </c>
      <c r="D2094" t="str">
        <f>"941"</f>
        <v>941</v>
      </c>
      <c r="E2094" t="str">
        <f>"60430000"</f>
        <v>60430000</v>
      </c>
      <c r="F2094" t="s">
        <v>3535</v>
      </c>
      <c r="G2094" t="s">
        <v>336</v>
      </c>
      <c r="H2094" t="s">
        <v>5958</v>
      </c>
      <c r="I2094">
        <v>0</v>
      </c>
      <c r="J2094" t="s">
        <v>343</v>
      </c>
      <c r="K2094">
        <v>10963</v>
      </c>
      <c r="M2094">
        <v>10963</v>
      </c>
    </row>
    <row r="2095" spans="1:13" x14ac:dyDescent="0.35">
      <c r="A2095" t="str">
        <f t="shared" si="119"/>
        <v>STKCDG4572194260460000</v>
      </c>
      <c r="B2095" t="s">
        <v>3115</v>
      </c>
      <c r="C2095" s="1">
        <v>45721</v>
      </c>
      <c r="D2095" t="str">
        <f>"942"</f>
        <v>942</v>
      </c>
      <c r="E2095" t="str">
        <f>"60460000"</f>
        <v>60460000</v>
      </c>
      <c r="F2095" t="s">
        <v>3537</v>
      </c>
      <c r="G2095" t="s">
        <v>336</v>
      </c>
      <c r="H2095" t="s">
        <v>5966</v>
      </c>
      <c r="I2095">
        <v>0</v>
      </c>
      <c r="J2095" t="s">
        <v>343</v>
      </c>
      <c r="K2095">
        <v>125</v>
      </c>
      <c r="M2095">
        <v>125</v>
      </c>
    </row>
    <row r="2096" spans="1:13" x14ac:dyDescent="0.35">
      <c r="A2096" t="str">
        <f t="shared" si="119"/>
        <v>STKCDG4572194360460000</v>
      </c>
      <c r="B2096" t="s">
        <v>3115</v>
      </c>
      <c r="C2096" s="1">
        <v>45721</v>
      </c>
      <c r="D2096" t="str">
        <f>"943"</f>
        <v>943</v>
      </c>
      <c r="E2096" t="str">
        <f>"60460000"</f>
        <v>60460000</v>
      </c>
      <c r="F2096" t="s">
        <v>3539</v>
      </c>
      <c r="G2096" t="s">
        <v>336</v>
      </c>
      <c r="H2096" t="s">
        <v>5966</v>
      </c>
      <c r="I2096">
        <v>0</v>
      </c>
      <c r="J2096" t="s">
        <v>343</v>
      </c>
      <c r="K2096">
        <v>7500</v>
      </c>
      <c r="M2096">
        <v>7500</v>
      </c>
    </row>
    <row r="2097" spans="1:13" x14ac:dyDescent="0.35">
      <c r="A2097" t="str">
        <f t="shared" si="119"/>
        <v>STKCDG4572194460460000</v>
      </c>
      <c r="B2097" t="s">
        <v>3115</v>
      </c>
      <c r="C2097" s="1">
        <v>45721</v>
      </c>
      <c r="D2097" t="str">
        <f>"944"</f>
        <v>944</v>
      </c>
      <c r="E2097" t="str">
        <f>"60460000"</f>
        <v>60460000</v>
      </c>
      <c r="F2097" t="s">
        <v>3541</v>
      </c>
      <c r="G2097" t="s">
        <v>336</v>
      </c>
      <c r="H2097" t="s">
        <v>5949</v>
      </c>
      <c r="I2097">
        <v>0</v>
      </c>
      <c r="J2097" t="s">
        <v>343</v>
      </c>
      <c r="K2097">
        <v>5000</v>
      </c>
      <c r="M2097">
        <v>5000</v>
      </c>
    </row>
    <row r="2098" spans="1:13" x14ac:dyDescent="0.35">
      <c r="A2098" t="str">
        <f t="shared" si="119"/>
        <v>STKCDG4572194560440000</v>
      </c>
      <c r="B2098" t="s">
        <v>3115</v>
      </c>
      <c r="C2098" s="1">
        <v>45721</v>
      </c>
      <c r="D2098" t="str">
        <f>"945"</f>
        <v>945</v>
      </c>
      <c r="E2098" t="str">
        <f>"60440000"</f>
        <v>60440000</v>
      </c>
      <c r="F2098" t="s">
        <v>3543</v>
      </c>
      <c r="G2098" t="s">
        <v>336</v>
      </c>
      <c r="H2098" t="s">
        <v>5966</v>
      </c>
      <c r="I2098">
        <v>0</v>
      </c>
      <c r="J2098" t="s">
        <v>343</v>
      </c>
      <c r="K2098">
        <v>24336</v>
      </c>
      <c r="M2098">
        <v>24336</v>
      </c>
    </row>
    <row r="2099" spans="1:13" x14ac:dyDescent="0.35">
      <c r="A2099" t="str">
        <f t="shared" si="119"/>
        <v>STKCDG4572194660460000</v>
      </c>
      <c r="B2099" t="s">
        <v>3115</v>
      </c>
      <c r="C2099" s="1">
        <v>45721</v>
      </c>
      <c r="D2099" t="str">
        <f>"946"</f>
        <v>946</v>
      </c>
      <c r="E2099" t="str">
        <f>"60460000"</f>
        <v>60460000</v>
      </c>
      <c r="F2099" t="s">
        <v>3545</v>
      </c>
      <c r="G2099" t="s">
        <v>336</v>
      </c>
      <c r="H2099" t="s">
        <v>5880</v>
      </c>
      <c r="I2099">
        <v>0</v>
      </c>
      <c r="J2099" t="s">
        <v>343</v>
      </c>
      <c r="K2099">
        <v>7500</v>
      </c>
      <c r="M2099">
        <v>7500</v>
      </c>
    </row>
    <row r="2100" spans="1:13" x14ac:dyDescent="0.35">
      <c r="A2100" t="str">
        <f t="shared" si="119"/>
        <v>STKCDG4572194760440000</v>
      </c>
      <c r="B2100" t="s">
        <v>3115</v>
      </c>
      <c r="C2100" s="1">
        <v>45721</v>
      </c>
      <c r="D2100" t="str">
        <f>"947"</f>
        <v>947</v>
      </c>
      <c r="E2100" t="str">
        <f>"60440000"</f>
        <v>60440000</v>
      </c>
      <c r="F2100" t="s">
        <v>3547</v>
      </c>
      <c r="G2100" t="s">
        <v>336</v>
      </c>
      <c r="H2100" t="s">
        <v>5966</v>
      </c>
      <c r="I2100">
        <v>0</v>
      </c>
      <c r="J2100" t="s">
        <v>343</v>
      </c>
      <c r="K2100">
        <v>1968</v>
      </c>
      <c r="M2100">
        <v>1968</v>
      </c>
    </row>
    <row r="2101" spans="1:13" x14ac:dyDescent="0.35">
      <c r="A2101" t="str">
        <f t="shared" si="119"/>
        <v>STKCDG4572194860440000</v>
      </c>
      <c r="B2101" t="s">
        <v>3115</v>
      </c>
      <c r="C2101" s="1">
        <v>45721</v>
      </c>
      <c r="D2101" t="str">
        <f>"948"</f>
        <v>948</v>
      </c>
      <c r="E2101" t="str">
        <f>"60440000"</f>
        <v>60440000</v>
      </c>
      <c r="F2101" t="s">
        <v>3549</v>
      </c>
      <c r="G2101" t="s">
        <v>336</v>
      </c>
      <c r="H2101" t="s">
        <v>5966</v>
      </c>
      <c r="I2101">
        <v>0</v>
      </c>
      <c r="J2101" t="s">
        <v>343</v>
      </c>
      <c r="K2101">
        <v>394</v>
      </c>
      <c r="M2101">
        <v>394</v>
      </c>
    </row>
    <row r="2102" spans="1:13" x14ac:dyDescent="0.35">
      <c r="A2102" t="str">
        <f t="shared" si="119"/>
        <v>STKCDG4572194960440000</v>
      </c>
      <c r="B2102" t="s">
        <v>3115</v>
      </c>
      <c r="C2102" s="1">
        <v>45721</v>
      </c>
      <c r="D2102" t="str">
        <f>"949"</f>
        <v>949</v>
      </c>
      <c r="E2102" t="str">
        <f>"60440000"</f>
        <v>60440000</v>
      </c>
      <c r="F2102" t="s">
        <v>3551</v>
      </c>
      <c r="G2102" t="s">
        <v>336</v>
      </c>
      <c r="H2102" t="s">
        <v>5966</v>
      </c>
      <c r="I2102">
        <v>0</v>
      </c>
      <c r="J2102" t="s">
        <v>343</v>
      </c>
      <c r="K2102">
        <v>787</v>
      </c>
      <c r="M2102">
        <v>787</v>
      </c>
    </row>
    <row r="2103" spans="1:13" x14ac:dyDescent="0.35">
      <c r="A2103" t="str">
        <f t="shared" si="119"/>
        <v>STKCDG4572195060460000</v>
      </c>
      <c r="B2103" t="s">
        <v>3115</v>
      </c>
      <c r="C2103" s="1">
        <v>45721</v>
      </c>
      <c r="D2103" t="str">
        <f>"950"</f>
        <v>950</v>
      </c>
      <c r="E2103" t="str">
        <f>"60460000"</f>
        <v>60460000</v>
      </c>
      <c r="F2103" t="s">
        <v>3553</v>
      </c>
      <c r="G2103" t="s">
        <v>336</v>
      </c>
      <c r="H2103" t="s">
        <v>5880</v>
      </c>
      <c r="I2103">
        <v>0</v>
      </c>
      <c r="J2103" t="s">
        <v>343</v>
      </c>
      <c r="K2103">
        <v>19700</v>
      </c>
      <c r="M2103">
        <v>19700</v>
      </c>
    </row>
    <row r="2104" spans="1:13" x14ac:dyDescent="0.35">
      <c r="A2104" t="str">
        <f t="shared" si="119"/>
        <v>STKCDG4572195160440000</v>
      </c>
      <c r="B2104" t="s">
        <v>3115</v>
      </c>
      <c r="C2104" s="1">
        <v>45721</v>
      </c>
      <c r="D2104" t="str">
        <f>"951"</f>
        <v>951</v>
      </c>
      <c r="E2104" t="str">
        <f>"60440000"</f>
        <v>60440000</v>
      </c>
      <c r="F2104" t="s">
        <v>3555</v>
      </c>
      <c r="G2104" t="s">
        <v>336</v>
      </c>
      <c r="H2104" t="s">
        <v>5966</v>
      </c>
      <c r="I2104">
        <v>0</v>
      </c>
      <c r="J2104" t="s">
        <v>343</v>
      </c>
      <c r="K2104">
        <v>2755</v>
      </c>
      <c r="M2104">
        <v>2755</v>
      </c>
    </row>
    <row r="2105" spans="1:13" x14ac:dyDescent="0.35">
      <c r="A2105" t="str">
        <f t="shared" si="119"/>
        <v>STKCDG4572195260440000</v>
      </c>
      <c r="B2105" t="s">
        <v>3115</v>
      </c>
      <c r="C2105" s="1">
        <v>45721</v>
      </c>
      <c r="D2105" t="str">
        <f>"952"</f>
        <v>952</v>
      </c>
      <c r="E2105" t="str">
        <f>"60440000"</f>
        <v>60440000</v>
      </c>
      <c r="F2105" t="s">
        <v>3557</v>
      </c>
      <c r="G2105" t="s">
        <v>336</v>
      </c>
      <c r="H2105" t="s">
        <v>5966</v>
      </c>
      <c r="I2105">
        <v>0</v>
      </c>
      <c r="J2105" t="s">
        <v>343</v>
      </c>
      <c r="K2105">
        <v>1181</v>
      </c>
      <c r="M2105">
        <v>1181</v>
      </c>
    </row>
    <row r="2106" spans="1:13" x14ac:dyDescent="0.35">
      <c r="A2106" t="str">
        <f t="shared" si="119"/>
        <v>STKCDG4572195360440000</v>
      </c>
      <c r="B2106" t="s">
        <v>3115</v>
      </c>
      <c r="C2106" s="1">
        <v>45721</v>
      </c>
      <c r="D2106" t="str">
        <f>"953"</f>
        <v>953</v>
      </c>
      <c r="E2106" t="str">
        <f>"60440000"</f>
        <v>60440000</v>
      </c>
      <c r="F2106" t="s">
        <v>3559</v>
      </c>
      <c r="G2106" t="s">
        <v>336</v>
      </c>
      <c r="H2106" t="s">
        <v>5966</v>
      </c>
      <c r="I2106">
        <v>0</v>
      </c>
      <c r="J2106" t="s">
        <v>343</v>
      </c>
      <c r="K2106">
        <v>13972</v>
      </c>
      <c r="M2106">
        <v>13972</v>
      </c>
    </row>
    <row r="2107" spans="1:13" x14ac:dyDescent="0.35">
      <c r="A2107" t="str">
        <f t="shared" si="119"/>
        <v>STKCDG4572195460460000</v>
      </c>
      <c r="B2107" t="s">
        <v>3115</v>
      </c>
      <c r="C2107" s="1">
        <v>45721</v>
      </c>
      <c r="D2107" t="str">
        <f>"954"</f>
        <v>954</v>
      </c>
      <c r="E2107" t="str">
        <f>"60460000"</f>
        <v>60460000</v>
      </c>
      <c r="F2107" t="s">
        <v>3561</v>
      </c>
      <c r="G2107" t="s">
        <v>336</v>
      </c>
      <c r="H2107" t="s">
        <v>5966</v>
      </c>
      <c r="I2107">
        <v>0</v>
      </c>
      <c r="J2107" t="s">
        <v>343</v>
      </c>
      <c r="K2107">
        <v>1520</v>
      </c>
      <c r="M2107">
        <v>1520</v>
      </c>
    </row>
    <row r="2108" spans="1:13" x14ac:dyDescent="0.35">
      <c r="A2108" t="str">
        <f t="shared" si="119"/>
        <v>STKCDG4572195560440000</v>
      </c>
      <c r="B2108" t="s">
        <v>3115</v>
      </c>
      <c r="C2108" s="1">
        <v>45721</v>
      </c>
      <c r="D2108" t="str">
        <f>"955"</f>
        <v>955</v>
      </c>
      <c r="E2108" t="str">
        <f>"60440000"</f>
        <v>60440000</v>
      </c>
      <c r="F2108" t="s">
        <v>3563</v>
      </c>
      <c r="G2108" t="s">
        <v>336</v>
      </c>
      <c r="H2108" t="s">
        <v>5966</v>
      </c>
      <c r="I2108">
        <v>0</v>
      </c>
      <c r="J2108" t="s">
        <v>343</v>
      </c>
      <c r="K2108">
        <v>99968</v>
      </c>
      <c r="M2108">
        <v>99968</v>
      </c>
    </row>
    <row r="2109" spans="1:13" x14ac:dyDescent="0.35">
      <c r="A2109" t="str">
        <f t="shared" si="119"/>
        <v>STKCDG4572195660410000</v>
      </c>
      <c r="B2109" t="s">
        <v>3115</v>
      </c>
      <c r="C2109" s="1">
        <v>45721</v>
      </c>
      <c r="D2109" t="str">
        <f>"956"</f>
        <v>956</v>
      </c>
      <c r="E2109" t="str">
        <f>"60410000"</f>
        <v>60410000</v>
      </c>
      <c r="F2109" t="s">
        <v>3565</v>
      </c>
      <c r="G2109" t="s">
        <v>336</v>
      </c>
      <c r="H2109" t="s">
        <v>5966</v>
      </c>
      <c r="I2109">
        <v>0</v>
      </c>
      <c r="J2109" t="s">
        <v>343</v>
      </c>
      <c r="K2109">
        <v>11840</v>
      </c>
      <c r="M2109">
        <v>11840</v>
      </c>
    </row>
    <row r="2110" spans="1:13" x14ac:dyDescent="0.35">
      <c r="A2110" t="str">
        <f t="shared" si="119"/>
        <v>STKCDG4572195760410000</v>
      </c>
      <c r="B2110" t="s">
        <v>3115</v>
      </c>
      <c r="C2110" s="1">
        <v>45721</v>
      </c>
      <c r="D2110" t="str">
        <f>"957"</f>
        <v>957</v>
      </c>
      <c r="E2110" t="str">
        <f>"60410000"</f>
        <v>60410000</v>
      </c>
      <c r="F2110" t="s">
        <v>3567</v>
      </c>
      <c r="G2110" t="s">
        <v>336</v>
      </c>
      <c r="H2110" t="s">
        <v>5966</v>
      </c>
      <c r="I2110">
        <v>0</v>
      </c>
      <c r="J2110" t="s">
        <v>343</v>
      </c>
      <c r="K2110">
        <v>4947</v>
      </c>
      <c r="M2110">
        <v>4947</v>
      </c>
    </row>
    <row r="2111" spans="1:13" x14ac:dyDescent="0.35">
      <c r="A2111" t="str">
        <f t="shared" si="119"/>
        <v>STKCDG4572195860460000</v>
      </c>
      <c r="B2111" t="s">
        <v>3115</v>
      </c>
      <c r="C2111" s="1">
        <v>45721</v>
      </c>
      <c r="D2111" t="str">
        <f>"958"</f>
        <v>958</v>
      </c>
      <c r="E2111" t="str">
        <f>"60460000"</f>
        <v>60460000</v>
      </c>
      <c r="F2111" t="s">
        <v>3569</v>
      </c>
      <c r="G2111" t="s">
        <v>336</v>
      </c>
      <c r="H2111" t="s">
        <v>5880</v>
      </c>
      <c r="I2111">
        <v>0</v>
      </c>
      <c r="J2111" t="s">
        <v>343</v>
      </c>
      <c r="K2111">
        <v>11951</v>
      </c>
      <c r="M2111">
        <v>11951</v>
      </c>
    </row>
    <row r="2112" spans="1:13" x14ac:dyDescent="0.35">
      <c r="A2112" t="str">
        <f t="shared" si="119"/>
        <v>STKCDG4572195960440000</v>
      </c>
      <c r="B2112" t="s">
        <v>3115</v>
      </c>
      <c r="C2112" s="1">
        <v>45721</v>
      </c>
      <c r="D2112" t="str">
        <f>"959"</f>
        <v>959</v>
      </c>
      <c r="E2112" t="str">
        <f>"60440000"</f>
        <v>60440000</v>
      </c>
      <c r="F2112" t="s">
        <v>3571</v>
      </c>
      <c r="G2112" t="s">
        <v>336</v>
      </c>
      <c r="H2112" t="s">
        <v>5966</v>
      </c>
      <c r="I2112">
        <v>0</v>
      </c>
      <c r="J2112" t="s">
        <v>343</v>
      </c>
      <c r="K2112">
        <v>19941</v>
      </c>
      <c r="M2112">
        <v>19941</v>
      </c>
    </row>
    <row r="2113" spans="1:13" x14ac:dyDescent="0.35">
      <c r="A2113" t="str">
        <f t="shared" si="119"/>
        <v>STKCDG4572196060460000</v>
      </c>
      <c r="B2113" t="s">
        <v>3115</v>
      </c>
      <c r="C2113" s="1">
        <v>45721</v>
      </c>
      <c r="D2113" t="str">
        <f>"960"</f>
        <v>960</v>
      </c>
      <c r="E2113" t="str">
        <f>"60460000"</f>
        <v>60460000</v>
      </c>
      <c r="F2113" t="s">
        <v>3573</v>
      </c>
      <c r="G2113" t="s">
        <v>336</v>
      </c>
      <c r="H2113" t="s">
        <v>5966</v>
      </c>
      <c r="I2113">
        <v>0</v>
      </c>
      <c r="J2113" t="s">
        <v>343</v>
      </c>
      <c r="K2113">
        <v>9801</v>
      </c>
      <c r="M2113">
        <v>9801</v>
      </c>
    </row>
    <row r="2114" spans="1:13" x14ac:dyDescent="0.35">
      <c r="A2114" t="str">
        <f t="shared" si="119"/>
        <v>STKCDG4572196160440000</v>
      </c>
      <c r="B2114" t="s">
        <v>3115</v>
      </c>
      <c r="C2114" s="1">
        <v>45721</v>
      </c>
      <c r="D2114" t="str">
        <f>"961"</f>
        <v>961</v>
      </c>
      <c r="E2114" t="str">
        <f>"60440000"</f>
        <v>60440000</v>
      </c>
      <c r="F2114" t="s">
        <v>3575</v>
      </c>
      <c r="G2114" t="s">
        <v>336</v>
      </c>
      <c r="H2114" t="s">
        <v>5966</v>
      </c>
      <c r="I2114">
        <v>0</v>
      </c>
      <c r="J2114" t="s">
        <v>343</v>
      </c>
      <c r="K2114">
        <v>200002</v>
      </c>
      <c r="M2114">
        <v>200002</v>
      </c>
    </row>
    <row r="2115" spans="1:13" x14ac:dyDescent="0.35">
      <c r="A2115" t="str">
        <f t="shared" ref="A2115:A2178" si="121">CONCATENATE(B2115,C2115,D2115,E2115)</f>
        <v>STKCDG4572196260460000</v>
      </c>
      <c r="B2115" t="s">
        <v>3115</v>
      </c>
      <c r="C2115" s="1">
        <v>45721</v>
      </c>
      <c r="D2115" t="str">
        <f>"962"</f>
        <v>962</v>
      </c>
      <c r="E2115" t="str">
        <f>"60460000"</f>
        <v>60460000</v>
      </c>
      <c r="F2115" t="s">
        <v>3577</v>
      </c>
      <c r="G2115" t="s">
        <v>336</v>
      </c>
      <c r="H2115" t="s">
        <v>5874</v>
      </c>
      <c r="I2115">
        <v>0</v>
      </c>
      <c r="J2115" t="s">
        <v>343</v>
      </c>
      <c r="K2115">
        <v>980</v>
      </c>
      <c r="M2115">
        <v>23263</v>
      </c>
    </row>
    <row r="2116" spans="1:13" x14ac:dyDescent="0.35">
      <c r="A2116" t="str">
        <f t="shared" si="121"/>
        <v>STKCDG4572196260460000</v>
      </c>
      <c r="B2116" t="s">
        <v>3115</v>
      </c>
      <c r="C2116" s="1">
        <v>45721</v>
      </c>
      <c r="D2116" t="str">
        <f>"962"</f>
        <v>962</v>
      </c>
      <c r="E2116" t="str">
        <f>"60460000"</f>
        <v>60460000</v>
      </c>
      <c r="F2116" t="s">
        <v>3577</v>
      </c>
      <c r="G2116" t="s">
        <v>336</v>
      </c>
      <c r="H2116" t="s">
        <v>5874</v>
      </c>
      <c r="I2116">
        <v>0</v>
      </c>
      <c r="J2116" t="s">
        <v>343</v>
      </c>
      <c r="K2116">
        <v>22283</v>
      </c>
      <c r="M2116">
        <v>23263</v>
      </c>
    </row>
    <row r="2117" spans="1:13" x14ac:dyDescent="0.35">
      <c r="A2117" t="str">
        <f t="shared" si="121"/>
        <v>STKCDG4572196360460000</v>
      </c>
      <c r="B2117" t="s">
        <v>3115</v>
      </c>
      <c r="C2117" s="1">
        <v>45721</v>
      </c>
      <c r="D2117" t="str">
        <f>"963"</f>
        <v>963</v>
      </c>
      <c r="E2117" t="str">
        <f>"60460000"</f>
        <v>60460000</v>
      </c>
      <c r="F2117" t="s">
        <v>3579</v>
      </c>
      <c r="G2117" t="s">
        <v>336</v>
      </c>
      <c r="H2117" t="s">
        <v>5876</v>
      </c>
      <c r="I2117">
        <v>0</v>
      </c>
      <c r="J2117" t="s">
        <v>343</v>
      </c>
      <c r="K2117">
        <v>490</v>
      </c>
      <c r="M2117">
        <v>9899</v>
      </c>
    </row>
    <row r="2118" spans="1:13" x14ac:dyDescent="0.35">
      <c r="A2118" t="str">
        <f t="shared" si="121"/>
        <v>STKCDG4572196360460000</v>
      </c>
      <c r="B2118" t="s">
        <v>3115</v>
      </c>
      <c r="C2118" s="1">
        <v>45721</v>
      </c>
      <c r="D2118" t="str">
        <f>"963"</f>
        <v>963</v>
      </c>
      <c r="E2118" t="str">
        <f>"60460000"</f>
        <v>60460000</v>
      </c>
      <c r="F2118" t="s">
        <v>3579</v>
      </c>
      <c r="G2118" t="s">
        <v>336</v>
      </c>
      <c r="H2118" t="s">
        <v>5876</v>
      </c>
      <c r="I2118">
        <v>0</v>
      </c>
      <c r="J2118" t="s">
        <v>343</v>
      </c>
      <c r="K2118">
        <v>9409</v>
      </c>
      <c r="M2118">
        <v>9899</v>
      </c>
    </row>
    <row r="2119" spans="1:13" x14ac:dyDescent="0.35">
      <c r="A2119" t="str">
        <f t="shared" si="121"/>
        <v>STKCDG4572196460440000</v>
      </c>
      <c r="B2119" t="s">
        <v>3115</v>
      </c>
      <c r="C2119" s="1">
        <v>45721</v>
      </c>
      <c r="D2119" t="str">
        <f>"964"</f>
        <v>964</v>
      </c>
      <c r="E2119" t="str">
        <f>"60440000"</f>
        <v>60440000</v>
      </c>
      <c r="F2119" t="s">
        <v>3581</v>
      </c>
      <c r="G2119" t="s">
        <v>336</v>
      </c>
      <c r="H2119" t="s">
        <v>5875</v>
      </c>
      <c r="I2119">
        <v>0</v>
      </c>
      <c r="J2119" t="s">
        <v>343</v>
      </c>
      <c r="K2119">
        <v>6000</v>
      </c>
      <c r="M2119">
        <v>6000</v>
      </c>
    </row>
    <row r="2120" spans="1:13" x14ac:dyDescent="0.35">
      <c r="A2120" t="str">
        <f t="shared" si="121"/>
        <v>STKCDG4572196560430000</v>
      </c>
      <c r="B2120" t="s">
        <v>3115</v>
      </c>
      <c r="C2120" s="1">
        <v>45721</v>
      </c>
      <c r="D2120" t="str">
        <f>"965"</f>
        <v>965</v>
      </c>
      <c r="E2120" t="str">
        <f>"60430000"</f>
        <v>60430000</v>
      </c>
      <c r="F2120" t="s">
        <v>3583</v>
      </c>
      <c r="G2120" t="s">
        <v>336</v>
      </c>
      <c r="H2120" t="s">
        <v>5876</v>
      </c>
      <c r="I2120">
        <v>0</v>
      </c>
      <c r="J2120" t="s">
        <v>343</v>
      </c>
      <c r="K2120">
        <v>32500</v>
      </c>
      <c r="M2120">
        <v>32500</v>
      </c>
    </row>
    <row r="2121" spans="1:13" x14ac:dyDescent="0.35">
      <c r="A2121" t="str">
        <f t="shared" si="121"/>
        <v>STKCDG4572196660460000</v>
      </c>
      <c r="B2121" t="s">
        <v>3115</v>
      </c>
      <c r="C2121" s="1">
        <v>45721</v>
      </c>
      <c r="D2121" t="str">
        <f>"966"</f>
        <v>966</v>
      </c>
      <c r="E2121" t="str">
        <f>"60460000"</f>
        <v>60460000</v>
      </c>
      <c r="F2121" t="s">
        <v>3585</v>
      </c>
      <c r="G2121" t="s">
        <v>336</v>
      </c>
      <c r="H2121" t="s">
        <v>5875</v>
      </c>
      <c r="I2121">
        <v>0</v>
      </c>
      <c r="J2121" t="s">
        <v>343</v>
      </c>
      <c r="K2121">
        <v>4082</v>
      </c>
      <c r="M2121">
        <v>4082</v>
      </c>
    </row>
    <row r="2122" spans="1:13" x14ac:dyDescent="0.35">
      <c r="A2122" t="str">
        <f t="shared" si="121"/>
        <v>STKCDG4572196760460000</v>
      </c>
      <c r="B2122" t="s">
        <v>3115</v>
      </c>
      <c r="C2122" s="1">
        <v>45721</v>
      </c>
      <c r="D2122" t="str">
        <f>"967"</f>
        <v>967</v>
      </c>
      <c r="E2122" t="str">
        <f>"60460000"</f>
        <v>60460000</v>
      </c>
      <c r="F2122" t="s">
        <v>3587</v>
      </c>
      <c r="G2122" t="s">
        <v>336</v>
      </c>
      <c r="H2122" t="s">
        <v>5949</v>
      </c>
      <c r="I2122">
        <v>0</v>
      </c>
      <c r="J2122" t="s">
        <v>343</v>
      </c>
      <c r="K2122">
        <v>4700</v>
      </c>
      <c r="M2122">
        <v>4700</v>
      </c>
    </row>
    <row r="2123" spans="1:13" x14ac:dyDescent="0.35">
      <c r="A2123" t="str">
        <f t="shared" si="121"/>
        <v>STKCDG4572196860430000</v>
      </c>
      <c r="B2123" t="s">
        <v>3115</v>
      </c>
      <c r="C2123" s="1">
        <v>45721</v>
      </c>
      <c r="D2123" t="str">
        <f>"968"</f>
        <v>968</v>
      </c>
      <c r="E2123" t="str">
        <f>"60430000"</f>
        <v>60430000</v>
      </c>
      <c r="F2123" t="s">
        <v>3589</v>
      </c>
      <c r="G2123" t="s">
        <v>336</v>
      </c>
      <c r="H2123" t="s">
        <v>5881</v>
      </c>
      <c r="I2123">
        <v>0</v>
      </c>
      <c r="J2123" t="s">
        <v>343</v>
      </c>
      <c r="K2123">
        <v>48750</v>
      </c>
      <c r="M2123">
        <v>48750</v>
      </c>
    </row>
    <row r="2124" spans="1:13" x14ac:dyDescent="0.35">
      <c r="A2124" t="str">
        <f t="shared" si="121"/>
        <v>STKCDG4572196960460000</v>
      </c>
      <c r="B2124" t="s">
        <v>3115</v>
      </c>
      <c r="C2124" s="1">
        <v>45721</v>
      </c>
      <c r="D2124" t="str">
        <f>"969"</f>
        <v>969</v>
      </c>
      <c r="E2124" t="str">
        <f>"60460000"</f>
        <v>60460000</v>
      </c>
      <c r="F2124" t="s">
        <v>3591</v>
      </c>
      <c r="G2124" t="s">
        <v>336</v>
      </c>
      <c r="H2124" t="s">
        <v>5966</v>
      </c>
      <c r="I2124">
        <v>0</v>
      </c>
      <c r="J2124" t="s">
        <v>343</v>
      </c>
      <c r="K2124">
        <v>9741</v>
      </c>
      <c r="M2124">
        <v>9741</v>
      </c>
    </row>
    <row r="2125" spans="1:13" x14ac:dyDescent="0.35">
      <c r="A2125" t="str">
        <f t="shared" si="121"/>
        <v>STKCDG4572197060440000</v>
      </c>
      <c r="B2125" t="s">
        <v>3115</v>
      </c>
      <c r="C2125" s="1">
        <v>45721</v>
      </c>
      <c r="D2125" t="str">
        <f>"970"</f>
        <v>970</v>
      </c>
      <c r="E2125" t="str">
        <f>"60440000"</f>
        <v>60440000</v>
      </c>
      <c r="F2125" t="s">
        <v>3593</v>
      </c>
      <c r="G2125" t="s">
        <v>336</v>
      </c>
      <c r="H2125" t="s">
        <v>5874</v>
      </c>
      <c r="I2125">
        <v>0</v>
      </c>
      <c r="J2125" t="s">
        <v>343</v>
      </c>
      <c r="K2125">
        <v>21122</v>
      </c>
      <c r="M2125">
        <v>21122</v>
      </c>
    </row>
    <row r="2126" spans="1:13" x14ac:dyDescent="0.35">
      <c r="A2126" t="str">
        <f t="shared" si="121"/>
        <v>STKCDG4572197160460000</v>
      </c>
      <c r="B2126" t="s">
        <v>3115</v>
      </c>
      <c r="C2126" s="1">
        <v>45721</v>
      </c>
      <c r="D2126" t="str">
        <f>"971"</f>
        <v>971</v>
      </c>
      <c r="E2126" t="str">
        <f>"60460000"</f>
        <v>60460000</v>
      </c>
      <c r="F2126" t="s">
        <v>3595</v>
      </c>
      <c r="G2126" t="s">
        <v>336</v>
      </c>
      <c r="H2126" t="s">
        <v>5966</v>
      </c>
      <c r="I2126">
        <v>0</v>
      </c>
      <c r="J2126" t="s">
        <v>343</v>
      </c>
      <c r="K2126">
        <v>4545</v>
      </c>
      <c r="M2126">
        <v>4545</v>
      </c>
    </row>
    <row r="2127" spans="1:13" x14ac:dyDescent="0.35">
      <c r="A2127" t="str">
        <f t="shared" si="121"/>
        <v>STKCDG4572197260460000</v>
      </c>
      <c r="B2127" t="s">
        <v>3115</v>
      </c>
      <c r="C2127" s="1">
        <v>45721</v>
      </c>
      <c r="D2127" t="str">
        <f>"972"</f>
        <v>972</v>
      </c>
      <c r="E2127" t="str">
        <f>"60460000"</f>
        <v>60460000</v>
      </c>
      <c r="F2127" t="s">
        <v>3597</v>
      </c>
      <c r="G2127" t="s">
        <v>336</v>
      </c>
      <c r="H2127" t="s">
        <v>5875</v>
      </c>
      <c r="I2127">
        <v>0</v>
      </c>
      <c r="J2127" t="s">
        <v>343</v>
      </c>
      <c r="K2127">
        <v>4400</v>
      </c>
      <c r="M2127">
        <v>4400</v>
      </c>
    </row>
    <row r="2128" spans="1:13" x14ac:dyDescent="0.35">
      <c r="A2128" t="str">
        <f t="shared" si="121"/>
        <v>STKCDG4572197360440000</v>
      </c>
      <c r="B2128" t="s">
        <v>3115</v>
      </c>
      <c r="C2128" s="1">
        <v>45721</v>
      </c>
      <c r="D2128" t="str">
        <f>"973"</f>
        <v>973</v>
      </c>
      <c r="E2128" t="str">
        <f>"60440000"</f>
        <v>60440000</v>
      </c>
      <c r="F2128" t="s">
        <v>3599</v>
      </c>
      <c r="G2128" t="s">
        <v>336</v>
      </c>
      <c r="H2128" t="s">
        <v>5876</v>
      </c>
      <c r="I2128">
        <v>0</v>
      </c>
      <c r="J2128" t="s">
        <v>343</v>
      </c>
      <c r="K2128">
        <v>15285</v>
      </c>
      <c r="M2128">
        <v>15285</v>
      </c>
    </row>
    <row r="2129" spans="1:13" x14ac:dyDescent="0.35">
      <c r="A2129" t="str">
        <f t="shared" si="121"/>
        <v>STKCDG4572297460410000</v>
      </c>
      <c r="B2129" t="s">
        <v>3115</v>
      </c>
      <c r="C2129" s="1">
        <v>45722</v>
      </c>
      <c r="D2129" t="str">
        <f>"974"</f>
        <v>974</v>
      </c>
      <c r="E2129" t="str">
        <f>"60410000"</f>
        <v>60410000</v>
      </c>
      <c r="F2129" t="s">
        <v>3601</v>
      </c>
      <c r="G2129" t="s">
        <v>336</v>
      </c>
      <c r="H2129" t="s">
        <v>5958</v>
      </c>
      <c r="I2129">
        <v>0</v>
      </c>
      <c r="J2129" t="s">
        <v>343</v>
      </c>
      <c r="K2129">
        <v>3178</v>
      </c>
      <c r="M2129">
        <v>3178</v>
      </c>
    </row>
    <row r="2130" spans="1:13" x14ac:dyDescent="0.35">
      <c r="A2130" t="str">
        <f t="shared" si="121"/>
        <v>STKCDG4572297560440000</v>
      </c>
      <c r="B2130" t="s">
        <v>3115</v>
      </c>
      <c r="C2130" s="1">
        <v>45722</v>
      </c>
      <c r="D2130" t="str">
        <f>"975"</f>
        <v>975</v>
      </c>
      <c r="E2130" t="str">
        <f>"60440000"</f>
        <v>60440000</v>
      </c>
      <c r="F2130" t="s">
        <v>3603</v>
      </c>
      <c r="G2130" t="s">
        <v>336</v>
      </c>
      <c r="H2130" t="s">
        <v>5958</v>
      </c>
      <c r="I2130">
        <v>0</v>
      </c>
      <c r="J2130" t="s">
        <v>343</v>
      </c>
      <c r="K2130">
        <v>74976</v>
      </c>
      <c r="M2130">
        <v>74976</v>
      </c>
    </row>
    <row r="2131" spans="1:13" x14ac:dyDescent="0.35">
      <c r="A2131" t="str">
        <f t="shared" si="121"/>
        <v>STKCDG4572297660410000</v>
      </c>
      <c r="B2131" t="s">
        <v>3115</v>
      </c>
      <c r="C2131" s="1">
        <v>45722</v>
      </c>
      <c r="D2131" t="str">
        <f>"976"</f>
        <v>976</v>
      </c>
      <c r="E2131" t="str">
        <f>"60410000"</f>
        <v>60410000</v>
      </c>
      <c r="F2131" t="s">
        <v>3605</v>
      </c>
      <c r="G2131" t="s">
        <v>336</v>
      </c>
      <c r="H2131" t="s">
        <v>5874</v>
      </c>
      <c r="I2131">
        <v>0</v>
      </c>
      <c r="J2131" t="s">
        <v>343</v>
      </c>
      <c r="K2131">
        <v>1650000</v>
      </c>
      <c r="M2131">
        <v>1650000</v>
      </c>
    </row>
    <row r="2132" spans="1:13" x14ac:dyDescent="0.35">
      <c r="A2132" t="str">
        <f t="shared" si="121"/>
        <v>STKCDG4572297760440000</v>
      </c>
      <c r="B2132" t="s">
        <v>3115</v>
      </c>
      <c r="C2132" s="1">
        <v>45722</v>
      </c>
      <c r="D2132" t="str">
        <f>"977"</f>
        <v>977</v>
      </c>
      <c r="E2132" t="str">
        <f>"60440000"</f>
        <v>60440000</v>
      </c>
      <c r="F2132" t="s">
        <v>3607</v>
      </c>
      <c r="G2132" t="s">
        <v>336</v>
      </c>
      <c r="H2132" t="s">
        <v>5880</v>
      </c>
      <c r="I2132">
        <v>0</v>
      </c>
      <c r="J2132" t="s">
        <v>343</v>
      </c>
      <c r="K2132">
        <v>14700</v>
      </c>
      <c r="M2132">
        <v>106462</v>
      </c>
    </row>
    <row r="2133" spans="1:13" x14ac:dyDescent="0.35">
      <c r="A2133" t="str">
        <f t="shared" si="121"/>
        <v>STKCDG4572297760440000</v>
      </c>
      <c r="B2133" t="s">
        <v>3115</v>
      </c>
      <c r="C2133" s="1">
        <v>45722</v>
      </c>
      <c r="D2133" t="str">
        <f>"977"</f>
        <v>977</v>
      </c>
      <c r="E2133" t="str">
        <f>"60440000"</f>
        <v>60440000</v>
      </c>
      <c r="F2133" t="s">
        <v>3607</v>
      </c>
      <c r="G2133" t="s">
        <v>336</v>
      </c>
      <c r="H2133" t="s">
        <v>5880</v>
      </c>
      <c r="I2133">
        <v>0</v>
      </c>
      <c r="J2133" t="s">
        <v>343</v>
      </c>
      <c r="K2133">
        <v>91762</v>
      </c>
      <c r="M2133">
        <v>106462</v>
      </c>
    </row>
    <row r="2134" spans="1:13" x14ac:dyDescent="0.35">
      <c r="A2134" t="str">
        <f t="shared" si="121"/>
        <v>STKCDG4572297860440000</v>
      </c>
      <c r="B2134" t="s">
        <v>3115</v>
      </c>
      <c r="C2134" s="1">
        <v>45722</v>
      </c>
      <c r="D2134" t="str">
        <f>"978"</f>
        <v>978</v>
      </c>
      <c r="E2134" t="str">
        <f>"60440000"</f>
        <v>60440000</v>
      </c>
      <c r="F2134" t="s">
        <v>3609</v>
      </c>
      <c r="G2134" t="s">
        <v>336</v>
      </c>
      <c r="H2134" t="s">
        <v>5874</v>
      </c>
      <c r="I2134">
        <v>0</v>
      </c>
      <c r="J2134" t="s">
        <v>343</v>
      </c>
      <c r="K2134">
        <v>4900</v>
      </c>
      <c r="M2134">
        <v>36204</v>
      </c>
    </row>
    <row r="2135" spans="1:13" x14ac:dyDescent="0.35">
      <c r="A2135" t="str">
        <f t="shared" si="121"/>
        <v>STKCDG4572297860440000</v>
      </c>
      <c r="B2135" t="s">
        <v>3115</v>
      </c>
      <c r="C2135" s="1">
        <v>45722</v>
      </c>
      <c r="D2135" t="str">
        <f>"978"</f>
        <v>978</v>
      </c>
      <c r="E2135" t="str">
        <f>"60440000"</f>
        <v>60440000</v>
      </c>
      <c r="F2135" t="s">
        <v>3609</v>
      </c>
      <c r="G2135" t="s">
        <v>336</v>
      </c>
      <c r="H2135" t="s">
        <v>5874</v>
      </c>
      <c r="I2135">
        <v>0</v>
      </c>
      <c r="J2135" t="s">
        <v>343</v>
      </c>
      <c r="K2135">
        <v>31304</v>
      </c>
      <c r="M2135">
        <v>36204</v>
      </c>
    </row>
    <row r="2136" spans="1:13" x14ac:dyDescent="0.35">
      <c r="A2136" t="str">
        <f t="shared" si="121"/>
        <v>STKCDG4572297960460000</v>
      </c>
      <c r="B2136" t="s">
        <v>3115</v>
      </c>
      <c r="C2136" s="1">
        <v>45722</v>
      </c>
      <c r="D2136" t="str">
        <f>"979"</f>
        <v>979</v>
      </c>
      <c r="E2136" t="str">
        <f>"60460000"</f>
        <v>60460000</v>
      </c>
      <c r="F2136" t="s">
        <v>3611</v>
      </c>
      <c r="G2136" t="s">
        <v>336</v>
      </c>
      <c r="H2136" t="s">
        <v>5874</v>
      </c>
      <c r="I2136">
        <v>0</v>
      </c>
      <c r="J2136" t="s">
        <v>343</v>
      </c>
      <c r="K2136">
        <v>294</v>
      </c>
      <c r="M2136">
        <v>2800</v>
      </c>
    </row>
    <row r="2137" spans="1:13" x14ac:dyDescent="0.35">
      <c r="A2137" t="str">
        <f t="shared" si="121"/>
        <v>STKCDG4572297960460000</v>
      </c>
      <c r="B2137" t="s">
        <v>3115</v>
      </c>
      <c r="C2137" s="1">
        <v>45722</v>
      </c>
      <c r="D2137" t="str">
        <f>"979"</f>
        <v>979</v>
      </c>
      <c r="E2137" t="str">
        <f>"60460000"</f>
        <v>60460000</v>
      </c>
      <c r="F2137" t="s">
        <v>3611</v>
      </c>
      <c r="G2137" t="s">
        <v>336</v>
      </c>
      <c r="H2137" t="s">
        <v>5874</v>
      </c>
      <c r="I2137">
        <v>0</v>
      </c>
      <c r="J2137" t="s">
        <v>343</v>
      </c>
      <c r="K2137">
        <v>2506</v>
      </c>
      <c r="M2137">
        <v>2800</v>
      </c>
    </row>
    <row r="2138" spans="1:13" x14ac:dyDescent="0.35">
      <c r="A2138" t="str">
        <f t="shared" si="121"/>
        <v>STKCDG4572298060460000</v>
      </c>
      <c r="B2138" t="s">
        <v>3115</v>
      </c>
      <c r="C2138" s="1">
        <v>45722</v>
      </c>
      <c r="D2138" t="str">
        <f>"980"</f>
        <v>980</v>
      </c>
      <c r="E2138" t="str">
        <f>"60460000"</f>
        <v>60460000</v>
      </c>
      <c r="F2138" t="s">
        <v>3613</v>
      </c>
      <c r="G2138" t="s">
        <v>336</v>
      </c>
      <c r="H2138" t="s">
        <v>5875</v>
      </c>
      <c r="I2138">
        <v>0</v>
      </c>
      <c r="J2138" t="s">
        <v>343</v>
      </c>
      <c r="K2138">
        <v>3155</v>
      </c>
      <c r="M2138">
        <v>3155</v>
      </c>
    </row>
    <row r="2139" spans="1:13" x14ac:dyDescent="0.35">
      <c r="A2139" t="str">
        <f t="shared" si="121"/>
        <v>STKCDG4572298160460000</v>
      </c>
      <c r="B2139" t="s">
        <v>3115</v>
      </c>
      <c r="C2139" s="1">
        <v>45722</v>
      </c>
      <c r="D2139" t="str">
        <f>"981"</f>
        <v>981</v>
      </c>
      <c r="E2139" t="str">
        <f>"60460000"</f>
        <v>60460000</v>
      </c>
      <c r="F2139" t="s">
        <v>3615</v>
      </c>
      <c r="G2139" t="s">
        <v>336</v>
      </c>
      <c r="H2139" t="s">
        <v>5881</v>
      </c>
      <c r="I2139">
        <v>0</v>
      </c>
      <c r="J2139" t="s">
        <v>343</v>
      </c>
      <c r="K2139">
        <v>392</v>
      </c>
      <c r="M2139">
        <v>392</v>
      </c>
    </row>
    <row r="2140" spans="1:13" x14ac:dyDescent="0.35">
      <c r="A2140" t="str">
        <f t="shared" si="121"/>
        <v>STKCDG4572298260460000</v>
      </c>
      <c r="B2140" t="s">
        <v>3115</v>
      </c>
      <c r="C2140" s="1">
        <v>45722</v>
      </c>
      <c r="D2140" t="str">
        <f>"982"</f>
        <v>982</v>
      </c>
      <c r="E2140" t="str">
        <f>"60460000"</f>
        <v>60460000</v>
      </c>
      <c r="F2140" t="s">
        <v>3617</v>
      </c>
      <c r="G2140" t="s">
        <v>336</v>
      </c>
      <c r="H2140" t="s">
        <v>5875</v>
      </c>
      <c r="I2140">
        <v>0</v>
      </c>
      <c r="J2140" t="s">
        <v>343</v>
      </c>
      <c r="K2140">
        <v>4400</v>
      </c>
      <c r="M2140">
        <v>4400</v>
      </c>
    </row>
    <row r="2141" spans="1:13" x14ac:dyDescent="0.35">
      <c r="A2141" t="str">
        <f t="shared" si="121"/>
        <v>STKCDG4572298360410000</v>
      </c>
      <c r="B2141" t="s">
        <v>3115</v>
      </c>
      <c r="C2141" s="1">
        <v>45722</v>
      </c>
      <c r="D2141" t="str">
        <f>"983"</f>
        <v>983</v>
      </c>
      <c r="E2141" t="str">
        <f>"60410000"</f>
        <v>60410000</v>
      </c>
      <c r="F2141" t="s">
        <v>3619</v>
      </c>
      <c r="G2141" t="s">
        <v>336</v>
      </c>
      <c r="H2141" t="s">
        <v>5949</v>
      </c>
      <c r="I2141">
        <v>0</v>
      </c>
      <c r="J2141" t="s">
        <v>343</v>
      </c>
      <c r="K2141">
        <v>39465</v>
      </c>
      <c r="M2141">
        <v>39465</v>
      </c>
    </row>
    <row r="2142" spans="1:13" x14ac:dyDescent="0.35">
      <c r="A2142" t="str">
        <f t="shared" si="121"/>
        <v>STKCDG4572298460410000</v>
      </c>
      <c r="B2142" t="s">
        <v>3115</v>
      </c>
      <c r="C2142" s="1">
        <v>45722</v>
      </c>
      <c r="D2142" t="str">
        <f>"984"</f>
        <v>984</v>
      </c>
      <c r="E2142" t="str">
        <f>"60410000"</f>
        <v>60410000</v>
      </c>
      <c r="F2142" t="s">
        <v>3621</v>
      </c>
      <c r="G2142" t="s">
        <v>336</v>
      </c>
      <c r="H2142" t="s">
        <v>5875</v>
      </c>
      <c r="I2142">
        <v>0</v>
      </c>
      <c r="J2142" t="s">
        <v>343</v>
      </c>
      <c r="K2142">
        <v>6356</v>
      </c>
      <c r="M2142">
        <v>6356</v>
      </c>
    </row>
    <row r="2143" spans="1:13" x14ac:dyDescent="0.35">
      <c r="A2143" t="str">
        <f t="shared" si="121"/>
        <v>STKCDG4572298560410000</v>
      </c>
      <c r="B2143" t="s">
        <v>3115</v>
      </c>
      <c r="C2143" s="1">
        <v>45722</v>
      </c>
      <c r="D2143" t="str">
        <f>"985"</f>
        <v>985</v>
      </c>
      <c r="E2143" t="str">
        <f>"60410000"</f>
        <v>60410000</v>
      </c>
      <c r="F2143" t="s">
        <v>3623</v>
      </c>
      <c r="G2143" t="s">
        <v>336</v>
      </c>
      <c r="H2143" t="s">
        <v>5875</v>
      </c>
      <c r="I2143">
        <v>0</v>
      </c>
      <c r="J2143" t="s">
        <v>343</v>
      </c>
      <c r="K2143">
        <v>3298</v>
      </c>
      <c r="M2143">
        <v>3298</v>
      </c>
    </row>
    <row r="2144" spans="1:13" x14ac:dyDescent="0.35">
      <c r="A2144" t="str">
        <f t="shared" si="121"/>
        <v>STKCDG4572298660440000</v>
      </c>
      <c r="B2144" t="s">
        <v>3115</v>
      </c>
      <c r="C2144" s="1">
        <v>45722</v>
      </c>
      <c r="D2144" t="str">
        <f>"986"</f>
        <v>986</v>
      </c>
      <c r="E2144" t="str">
        <f>"60440000"</f>
        <v>60440000</v>
      </c>
      <c r="F2144" t="s">
        <v>3625</v>
      </c>
      <c r="G2144" t="s">
        <v>336</v>
      </c>
      <c r="H2144" t="s">
        <v>5875</v>
      </c>
      <c r="I2144">
        <v>0</v>
      </c>
      <c r="J2144" t="s">
        <v>343</v>
      </c>
      <c r="K2144">
        <v>2952</v>
      </c>
      <c r="M2144">
        <v>2952</v>
      </c>
    </row>
    <row r="2145" spans="1:13" x14ac:dyDescent="0.35">
      <c r="A2145" t="str">
        <f t="shared" si="121"/>
        <v>STKCDG4572298760440000</v>
      </c>
      <c r="B2145" t="s">
        <v>3115</v>
      </c>
      <c r="C2145" s="1">
        <v>45722</v>
      </c>
      <c r="D2145" t="str">
        <f>"987"</f>
        <v>987</v>
      </c>
      <c r="E2145" t="str">
        <f>"60440000"</f>
        <v>60440000</v>
      </c>
      <c r="F2145" t="s">
        <v>3627</v>
      </c>
      <c r="G2145" t="s">
        <v>336</v>
      </c>
      <c r="H2145" t="s">
        <v>5876</v>
      </c>
      <c r="I2145">
        <v>0</v>
      </c>
      <c r="J2145" t="s">
        <v>343</v>
      </c>
      <c r="K2145">
        <v>26567</v>
      </c>
      <c r="M2145">
        <v>26567</v>
      </c>
    </row>
    <row r="2146" spans="1:13" x14ac:dyDescent="0.35">
      <c r="A2146" t="str">
        <f t="shared" si="121"/>
        <v>STKCDG4572298860460000</v>
      </c>
      <c r="B2146" t="s">
        <v>3115</v>
      </c>
      <c r="C2146" s="1">
        <v>45722</v>
      </c>
      <c r="D2146" t="str">
        <f>"988"</f>
        <v>988</v>
      </c>
      <c r="E2146" t="str">
        <f>"60460000"</f>
        <v>60460000</v>
      </c>
      <c r="F2146" t="s">
        <v>3629</v>
      </c>
      <c r="G2146" t="s">
        <v>336</v>
      </c>
      <c r="H2146" t="s">
        <v>5876</v>
      </c>
      <c r="I2146">
        <v>0</v>
      </c>
      <c r="J2146" t="s">
        <v>343</v>
      </c>
      <c r="K2146">
        <v>230</v>
      </c>
      <c r="M2146">
        <v>230</v>
      </c>
    </row>
    <row r="2147" spans="1:13" x14ac:dyDescent="0.35">
      <c r="A2147" t="str">
        <f t="shared" si="121"/>
        <v>STKCDG4572298960440000</v>
      </c>
      <c r="B2147" t="s">
        <v>3115</v>
      </c>
      <c r="C2147" s="1">
        <v>45722</v>
      </c>
      <c r="D2147" t="str">
        <f>"989"</f>
        <v>989</v>
      </c>
      <c r="E2147" t="str">
        <f>"60440000"</f>
        <v>60440000</v>
      </c>
      <c r="F2147" t="s">
        <v>3631</v>
      </c>
      <c r="G2147" t="s">
        <v>336</v>
      </c>
      <c r="H2147" t="s">
        <v>5966</v>
      </c>
      <c r="I2147">
        <v>0</v>
      </c>
      <c r="J2147" t="s">
        <v>343</v>
      </c>
      <c r="K2147">
        <v>122270</v>
      </c>
      <c r="M2147">
        <v>122270</v>
      </c>
    </row>
    <row r="2148" spans="1:13" x14ac:dyDescent="0.35">
      <c r="A2148" t="str">
        <f t="shared" si="121"/>
        <v>STKCDG4572299060430000</v>
      </c>
      <c r="B2148" t="s">
        <v>3115</v>
      </c>
      <c r="C2148" s="1">
        <v>45722</v>
      </c>
      <c r="D2148" t="str">
        <f>"990"</f>
        <v>990</v>
      </c>
      <c r="E2148" t="str">
        <f>"60430000"</f>
        <v>60430000</v>
      </c>
      <c r="F2148" t="s">
        <v>3633</v>
      </c>
      <c r="G2148" t="s">
        <v>336</v>
      </c>
      <c r="H2148" t="s">
        <v>5966</v>
      </c>
      <c r="I2148">
        <v>0</v>
      </c>
      <c r="J2148" t="s">
        <v>343</v>
      </c>
      <c r="K2148">
        <v>66825</v>
      </c>
      <c r="M2148">
        <v>66825</v>
      </c>
    </row>
    <row r="2149" spans="1:13" x14ac:dyDescent="0.35">
      <c r="A2149" t="str">
        <f t="shared" si="121"/>
        <v>STKCDG4572299160430000</v>
      </c>
      <c r="B2149" t="s">
        <v>3115</v>
      </c>
      <c r="C2149" s="1">
        <v>45722</v>
      </c>
      <c r="D2149" t="str">
        <f>"991"</f>
        <v>991</v>
      </c>
      <c r="E2149" t="str">
        <f>"60430000"</f>
        <v>60430000</v>
      </c>
      <c r="F2149" t="s">
        <v>3635</v>
      </c>
      <c r="G2149" t="s">
        <v>336</v>
      </c>
      <c r="H2149" t="s">
        <v>5966</v>
      </c>
      <c r="I2149">
        <v>0</v>
      </c>
      <c r="J2149" t="s">
        <v>343</v>
      </c>
      <c r="K2149">
        <v>2550</v>
      </c>
      <c r="M2149">
        <v>2550</v>
      </c>
    </row>
    <row r="2150" spans="1:13" x14ac:dyDescent="0.35">
      <c r="A2150" t="str">
        <f t="shared" si="121"/>
        <v>STKCDG4572299260460000</v>
      </c>
      <c r="B2150" t="s">
        <v>3115</v>
      </c>
      <c r="C2150" s="1">
        <v>45722</v>
      </c>
      <c r="D2150" t="str">
        <f>"992"</f>
        <v>992</v>
      </c>
      <c r="E2150" t="str">
        <f>"60460000"</f>
        <v>60460000</v>
      </c>
      <c r="F2150" t="s">
        <v>3637</v>
      </c>
      <c r="G2150" t="s">
        <v>336</v>
      </c>
      <c r="H2150" t="s">
        <v>5966</v>
      </c>
      <c r="I2150">
        <v>0</v>
      </c>
      <c r="J2150" t="s">
        <v>343</v>
      </c>
      <c r="K2150">
        <v>2500</v>
      </c>
      <c r="M2150">
        <v>2500</v>
      </c>
    </row>
    <row r="2151" spans="1:13" x14ac:dyDescent="0.35">
      <c r="A2151" t="str">
        <f t="shared" si="121"/>
        <v>STKCDG4572299360460000</v>
      </c>
      <c r="B2151" t="s">
        <v>3115</v>
      </c>
      <c r="C2151" s="1">
        <v>45722</v>
      </c>
      <c r="D2151" t="str">
        <f>"993"</f>
        <v>993</v>
      </c>
      <c r="E2151" t="str">
        <f>"60460000"</f>
        <v>60460000</v>
      </c>
      <c r="F2151" t="s">
        <v>3639</v>
      </c>
      <c r="G2151" t="s">
        <v>336</v>
      </c>
      <c r="H2151" t="s">
        <v>5966</v>
      </c>
      <c r="I2151">
        <v>0</v>
      </c>
      <c r="J2151" t="s">
        <v>343</v>
      </c>
      <c r="K2151">
        <v>2500</v>
      </c>
      <c r="M2151">
        <v>2500</v>
      </c>
    </row>
    <row r="2152" spans="1:13" x14ac:dyDescent="0.35">
      <c r="A2152" t="str">
        <f t="shared" si="121"/>
        <v>STKCDG4572299460460000</v>
      </c>
      <c r="B2152" t="s">
        <v>3115</v>
      </c>
      <c r="C2152" s="1">
        <v>45722</v>
      </c>
      <c r="D2152" t="str">
        <f>"994"</f>
        <v>994</v>
      </c>
      <c r="E2152" t="str">
        <f>"60460000"</f>
        <v>60460000</v>
      </c>
      <c r="F2152" t="s">
        <v>3641</v>
      </c>
      <c r="G2152" t="s">
        <v>336</v>
      </c>
      <c r="H2152" t="s">
        <v>5966</v>
      </c>
      <c r="I2152">
        <v>0</v>
      </c>
      <c r="J2152" t="s">
        <v>343</v>
      </c>
      <c r="K2152">
        <v>2106</v>
      </c>
      <c r="M2152">
        <v>2106</v>
      </c>
    </row>
    <row r="2153" spans="1:13" x14ac:dyDescent="0.35">
      <c r="A2153" t="str">
        <f t="shared" si="121"/>
        <v>STKCDG4572299560410000</v>
      </c>
      <c r="B2153" t="s">
        <v>3115</v>
      </c>
      <c r="C2153" s="1">
        <v>45722</v>
      </c>
      <c r="D2153" t="str">
        <f>"995"</f>
        <v>995</v>
      </c>
      <c r="E2153" t="str">
        <f>"60410000"</f>
        <v>60410000</v>
      </c>
      <c r="F2153" t="s">
        <v>3643</v>
      </c>
      <c r="G2153" t="s">
        <v>336</v>
      </c>
      <c r="H2153" t="s">
        <v>5966</v>
      </c>
      <c r="I2153">
        <v>0</v>
      </c>
      <c r="J2153" t="s">
        <v>343</v>
      </c>
      <c r="K2153">
        <v>1649</v>
      </c>
      <c r="M2153">
        <v>43005</v>
      </c>
    </row>
    <row r="2154" spans="1:13" x14ac:dyDescent="0.35">
      <c r="A2154" t="str">
        <f t="shared" si="121"/>
        <v>STKCDG4572299560410000</v>
      </c>
      <c r="B2154" t="s">
        <v>3115</v>
      </c>
      <c r="C2154" s="1">
        <v>45722</v>
      </c>
      <c r="D2154" t="str">
        <f>"995"</f>
        <v>995</v>
      </c>
      <c r="E2154" t="str">
        <f>"60410000"</f>
        <v>60410000</v>
      </c>
      <c r="F2154" t="s">
        <v>3643</v>
      </c>
      <c r="G2154" t="s">
        <v>336</v>
      </c>
      <c r="H2154" t="s">
        <v>5966</v>
      </c>
      <c r="I2154">
        <v>0</v>
      </c>
      <c r="J2154" t="s">
        <v>343</v>
      </c>
      <c r="K2154">
        <v>35000</v>
      </c>
      <c r="M2154">
        <v>43005</v>
      </c>
    </row>
    <row r="2155" spans="1:13" x14ac:dyDescent="0.35">
      <c r="A2155" t="str">
        <f t="shared" si="121"/>
        <v>STKCDG4572299560410000</v>
      </c>
      <c r="B2155" t="s">
        <v>3115</v>
      </c>
      <c r="C2155" s="1">
        <v>45722</v>
      </c>
      <c r="D2155" t="str">
        <f>"995"</f>
        <v>995</v>
      </c>
      <c r="E2155" t="str">
        <f>"60410000"</f>
        <v>60410000</v>
      </c>
      <c r="F2155" t="s">
        <v>3643</v>
      </c>
      <c r="G2155" t="s">
        <v>336</v>
      </c>
      <c r="H2155" t="s">
        <v>5966</v>
      </c>
      <c r="I2155">
        <v>0</v>
      </c>
      <c r="J2155" t="s">
        <v>343</v>
      </c>
      <c r="K2155">
        <v>6356</v>
      </c>
      <c r="M2155">
        <v>43005</v>
      </c>
    </row>
    <row r="2156" spans="1:13" x14ac:dyDescent="0.35">
      <c r="A2156" t="str">
        <f t="shared" si="121"/>
        <v>STKCDG4572299660440000</v>
      </c>
      <c r="B2156" t="s">
        <v>3115</v>
      </c>
      <c r="C2156" s="1">
        <v>45722</v>
      </c>
      <c r="D2156" t="str">
        <f>"996"</f>
        <v>996</v>
      </c>
      <c r="E2156" t="str">
        <f>"60440000"</f>
        <v>60440000</v>
      </c>
      <c r="F2156" t="s">
        <v>3645</v>
      </c>
      <c r="G2156" t="s">
        <v>336</v>
      </c>
      <c r="H2156" t="s">
        <v>5966</v>
      </c>
      <c r="I2156">
        <v>0</v>
      </c>
      <c r="J2156" t="s">
        <v>343</v>
      </c>
      <c r="K2156">
        <v>189310</v>
      </c>
      <c r="M2156">
        <v>189310</v>
      </c>
    </row>
    <row r="2157" spans="1:13" x14ac:dyDescent="0.35">
      <c r="A2157" t="str">
        <f t="shared" si="121"/>
        <v>STKCDG4572299760430000</v>
      </c>
      <c r="B2157" t="s">
        <v>3115</v>
      </c>
      <c r="C2157" s="1">
        <v>45722</v>
      </c>
      <c r="D2157" t="str">
        <f>"997"</f>
        <v>997</v>
      </c>
      <c r="E2157" t="str">
        <f>"60430000"</f>
        <v>60430000</v>
      </c>
      <c r="F2157" t="s">
        <v>3647</v>
      </c>
      <c r="G2157" t="s">
        <v>336</v>
      </c>
      <c r="H2157" t="s">
        <v>5966</v>
      </c>
      <c r="I2157">
        <v>0</v>
      </c>
      <c r="J2157" t="s">
        <v>343</v>
      </c>
      <c r="K2157">
        <v>66825</v>
      </c>
      <c r="M2157">
        <v>66825</v>
      </c>
    </row>
    <row r="2158" spans="1:13" x14ac:dyDescent="0.35">
      <c r="A2158" t="str">
        <f t="shared" si="121"/>
        <v>STKCDG4572299860440000</v>
      </c>
      <c r="B2158" t="s">
        <v>3115</v>
      </c>
      <c r="C2158" s="1">
        <v>45722</v>
      </c>
      <c r="D2158" t="str">
        <f>"998"</f>
        <v>998</v>
      </c>
      <c r="E2158" t="str">
        <f>"60440000"</f>
        <v>60440000</v>
      </c>
      <c r="F2158" t="s">
        <v>3649</v>
      </c>
      <c r="G2158" t="s">
        <v>336</v>
      </c>
      <c r="H2158" t="s">
        <v>5966</v>
      </c>
      <c r="I2158">
        <v>0</v>
      </c>
      <c r="J2158" t="s">
        <v>343</v>
      </c>
      <c r="K2158">
        <v>15941</v>
      </c>
      <c r="M2158">
        <v>15941</v>
      </c>
    </row>
    <row r="2159" spans="1:13" x14ac:dyDescent="0.35">
      <c r="A2159" t="str">
        <f t="shared" si="121"/>
        <v>STKCDG4572299960440000</v>
      </c>
      <c r="B2159" t="s">
        <v>3115</v>
      </c>
      <c r="C2159" s="1">
        <v>45722</v>
      </c>
      <c r="D2159" t="str">
        <f>"999"</f>
        <v>999</v>
      </c>
      <c r="E2159" t="str">
        <f>"60440000"</f>
        <v>60440000</v>
      </c>
      <c r="F2159" t="s">
        <v>3651</v>
      </c>
      <c r="G2159" t="s">
        <v>336</v>
      </c>
      <c r="H2159" t="s">
        <v>5966</v>
      </c>
      <c r="I2159">
        <v>0</v>
      </c>
      <c r="J2159" t="s">
        <v>343</v>
      </c>
      <c r="K2159">
        <v>2886</v>
      </c>
      <c r="M2159">
        <v>2886</v>
      </c>
    </row>
    <row r="2160" spans="1:13" x14ac:dyDescent="0.35">
      <c r="A2160" t="str">
        <f t="shared" si="121"/>
        <v>STKCDG45722100060460000</v>
      </c>
      <c r="B2160" t="s">
        <v>3115</v>
      </c>
      <c r="C2160" s="1">
        <v>45722</v>
      </c>
      <c r="D2160" t="str">
        <f>"1000"</f>
        <v>1000</v>
      </c>
      <c r="E2160" t="str">
        <f>"60460000"</f>
        <v>60460000</v>
      </c>
      <c r="F2160" t="s">
        <v>3653</v>
      </c>
      <c r="G2160" t="s">
        <v>336</v>
      </c>
      <c r="H2160" t="s">
        <v>5966</v>
      </c>
      <c r="I2160">
        <v>0</v>
      </c>
      <c r="J2160" t="s">
        <v>343</v>
      </c>
      <c r="K2160">
        <v>1136</v>
      </c>
      <c r="M2160">
        <v>1136</v>
      </c>
    </row>
    <row r="2161" spans="1:13" x14ac:dyDescent="0.35">
      <c r="A2161" t="str">
        <f t="shared" si="121"/>
        <v>STKCDG45722100160460000</v>
      </c>
      <c r="B2161" t="s">
        <v>3115</v>
      </c>
      <c r="C2161" s="1">
        <v>45722</v>
      </c>
      <c r="D2161" t="str">
        <f>"1001"</f>
        <v>1001</v>
      </c>
      <c r="E2161" t="str">
        <f>"60460000"</f>
        <v>60460000</v>
      </c>
      <c r="F2161" t="s">
        <v>3655</v>
      </c>
      <c r="G2161" t="s">
        <v>336</v>
      </c>
      <c r="H2161" t="s">
        <v>5966</v>
      </c>
      <c r="I2161">
        <v>0</v>
      </c>
      <c r="J2161" t="s">
        <v>343</v>
      </c>
      <c r="K2161">
        <v>3177</v>
      </c>
      <c r="M2161">
        <v>3177</v>
      </c>
    </row>
    <row r="2162" spans="1:13" x14ac:dyDescent="0.35">
      <c r="A2162" t="str">
        <f t="shared" si="121"/>
        <v>STKCDG45722100260440000</v>
      </c>
      <c r="B2162" t="s">
        <v>3115</v>
      </c>
      <c r="C2162" s="1">
        <v>45722</v>
      </c>
      <c r="D2162" t="str">
        <f>"1002"</f>
        <v>1002</v>
      </c>
      <c r="E2162" t="str">
        <f>"60440000"</f>
        <v>60440000</v>
      </c>
      <c r="F2162" t="s">
        <v>3657</v>
      </c>
      <c r="G2162" t="s">
        <v>336</v>
      </c>
      <c r="H2162" t="s">
        <v>5966</v>
      </c>
      <c r="I2162">
        <v>0</v>
      </c>
      <c r="J2162" t="s">
        <v>343</v>
      </c>
      <c r="K2162">
        <v>250000</v>
      </c>
      <c r="M2162">
        <v>250000</v>
      </c>
    </row>
    <row r="2163" spans="1:13" x14ac:dyDescent="0.35">
      <c r="A2163" t="str">
        <f t="shared" si="121"/>
        <v>STKCDG45722100360440000</v>
      </c>
      <c r="B2163" t="s">
        <v>3115</v>
      </c>
      <c r="C2163" s="1">
        <v>45722</v>
      </c>
      <c r="D2163" t="str">
        <f>"1003"</f>
        <v>1003</v>
      </c>
      <c r="E2163" t="str">
        <f>"60440000"</f>
        <v>60440000</v>
      </c>
      <c r="F2163" t="s">
        <v>3659</v>
      </c>
      <c r="G2163" t="s">
        <v>336</v>
      </c>
      <c r="H2163" t="s">
        <v>5966</v>
      </c>
      <c r="I2163">
        <v>0</v>
      </c>
      <c r="J2163" t="s">
        <v>343</v>
      </c>
      <c r="K2163">
        <v>250000</v>
      </c>
      <c r="M2163">
        <v>250000</v>
      </c>
    </row>
    <row r="2164" spans="1:13" x14ac:dyDescent="0.35">
      <c r="A2164" t="str">
        <f t="shared" si="121"/>
        <v>STKCDG45722100460460000</v>
      </c>
      <c r="B2164" t="s">
        <v>3115</v>
      </c>
      <c r="C2164" s="1">
        <v>45722</v>
      </c>
      <c r="D2164" t="str">
        <f>"1004"</f>
        <v>1004</v>
      </c>
      <c r="E2164" t="str">
        <f>"60460000"</f>
        <v>60460000</v>
      </c>
      <c r="F2164" t="s">
        <v>3661</v>
      </c>
      <c r="G2164" t="s">
        <v>336</v>
      </c>
      <c r="H2164" t="s">
        <v>5875</v>
      </c>
      <c r="I2164">
        <v>0</v>
      </c>
      <c r="J2164" t="s">
        <v>343</v>
      </c>
      <c r="K2164">
        <v>2273</v>
      </c>
      <c r="M2164">
        <v>2273</v>
      </c>
    </row>
    <row r="2165" spans="1:13" x14ac:dyDescent="0.35">
      <c r="A2165" t="str">
        <f t="shared" si="121"/>
        <v>STKCDG45722100560440000</v>
      </c>
      <c r="B2165" t="s">
        <v>3115</v>
      </c>
      <c r="C2165" s="1">
        <v>45722</v>
      </c>
      <c r="D2165" t="str">
        <f>"1005"</f>
        <v>1005</v>
      </c>
      <c r="E2165" t="str">
        <f>"60440000"</f>
        <v>60440000</v>
      </c>
      <c r="F2165" t="s">
        <v>3663</v>
      </c>
      <c r="G2165" t="s">
        <v>336</v>
      </c>
      <c r="H2165" t="s">
        <v>5966</v>
      </c>
      <c r="I2165">
        <v>0</v>
      </c>
      <c r="J2165" t="s">
        <v>343</v>
      </c>
      <c r="K2165">
        <v>200002</v>
      </c>
      <c r="M2165">
        <v>200002</v>
      </c>
    </row>
    <row r="2166" spans="1:13" x14ac:dyDescent="0.35">
      <c r="A2166" t="str">
        <f t="shared" si="121"/>
        <v>STKCDG45722100660460000</v>
      </c>
      <c r="B2166" t="s">
        <v>3115</v>
      </c>
      <c r="C2166" s="1">
        <v>45722</v>
      </c>
      <c r="D2166" t="str">
        <f>"1006"</f>
        <v>1006</v>
      </c>
      <c r="E2166" t="str">
        <f>"60460000"</f>
        <v>60460000</v>
      </c>
      <c r="F2166" t="s">
        <v>3665</v>
      </c>
      <c r="G2166" t="s">
        <v>336</v>
      </c>
      <c r="H2166" t="s">
        <v>5880</v>
      </c>
      <c r="I2166">
        <v>0</v>
      </c>
      <c r="J2166" t="s">
        <v>343</v>
      </c>
      <c r="K2166">
        <v>294</v>
      </c>
      <c r="M2166">
        <v>294</v>
      </c>
    </row>
    <row r="2167" spans="1:13" x14ac:dyDescent="0.35">
      <c r="A2167" t="str">
        <f t="shared" si="121"/>
        <v>STKCDG45722100760440000</v>
      </c>
      <c r="B2167" t="s">
        <v>3115</v>
      </c>
      <c r="C2167" s="1">
        <v>45722</v>
      </c>
      <c r="D2167" t="str">
        <f>"1007"</f>
        <v>1007</v>
      </c>
      <c r="E2167" t="str">
        <f>"60440000"</f>
        <v>60440000</v>
      </c>
      <c r="F2167" t="s">
        <v>3667</v>
      </c>
      <c r="G2167" t="s">
        <v>336</v>
      </c>
      <c r="H2167" t="s">
        <v>5873</v>
      </c>
      <c r="I2167">
        <v>0</v>
      </c>
      <c r="J2167" t="s">
        <v>343</v>
      </c>
      <c r="K2167">
        <v>11677</v>
      </c>
      <c r="M2167">
        <v>11677</v>
      </c>
    </row>
    <row r="2168" spans="1:13" x14ac:dyDescent="0.35">
      <c r="A2168" t="str">
        <f t="shared" si="121"/>
        <v>STKCDG45722100860440000</v>
      </c>
      <c r="B2168" t="s">
        <v>3115</v>
      </c>
      <c r="C2168" s="1">
        <v>45722</v>
      </c>
      <c r="D2168" t="str">
        <f>"1008"</f>
        <v>1008</v>
      </c>
      <c r="E2168" t="str">
        <f>"60440000"</f>
        <v>60440000</v>
      </c>
      <c r="F2168" t="s">
        <v>3669</v>
      </c>
      <c r="G2168" t="s">
        <v>336</v>
      </c>
      <c r="H2168" t="s">
        <v>5875</v>
      </c>
      <c r="I2168">
        <v>0</v>
      </c>
      <c r="J2168" t="s">
        <v>343</v>
      </c>
      <c r="K2168">
        <v>1837</v>
      </c>
      <c r="M2168">
        <v>1837</v>
      </c>
    </row>
    <row r="2169" spans="1:13" x14ac:dyDescent="0.35">
      <c r="A2169" t="str">
        <f t="shared" si="121"/>
        <v>STKCDG45722100960440000</v>
      </c>
      <c r="B2169" t="s">
        <v>3115</v>
      </c>
      <c r="C2169" s="1">
        <v>45722</v>
      </c>
      <c r="D2169" t="str">
        <f>"1009"</f>
        <v>1009</v>
      </c>
      <c r="E2169" t="str">
        <f>"60440000"</f>
        <v>60440000</v>
      </c>
      <c r="F2169" t="s">
        <v>3671</v>
      </c>
      <c r="G2169" t="s">
        <v>336</v>
      </c>
      <c r="H2169" t="s">
        <v>5875</v>
      </c>
      <c r="I2169">
        <v>0</v>
      </c>
      <c r="J2169" t="s">
        <v>343</v>
      </c>
      <c r="K2169">
        <v>4002</v>
      </c>
      <c r="M2169">
        <v>4002</v>
      </c>
    </row>
    <row r="2170" spans="1:13" x14ac:dyDescent="0.35">
      <c r="A2170" t="str">
        <f t="shared" si="121"/>
        <v>STKCDG45722101060440000</v>
      </c>
      <c r="B2170" t="s">
        <v>3115</v>
      </c>
      <c r="C2170" s="1">
        <v>45722</v>
      </c>
      <c r="D2170" t="str">
        <f>"1010"</f>
        <v>1010</v>
      </c>
      <c r="E2170" t="str">
        <f>"60440000"</f>
        <v>60440000</v>
      </c>
      <c r="F2170" t="s">
        <v>3673</v>
      </c>
      <c r="G2170" t="s">
        <v>336</v>
      </c>
      <c r="H2170" t="s">
        <v>5875</v>
      </c>
      <c r="I2170">
        <v>0</v>
      </c>
      <c r="J2170" t="s">
        <v>343</v>
      </c>
      <c r="K2170">
        <v>6166</v>
      </c>
      <c r="M2170">
        <v>6166</v>
      </c>
    </row>
    <row r="2171" spans="1:13" x14ac:dyDescent="0.35">
      <c r="A2171" t="str">
        <f t="shared" si="121"/>
        <v>STKCDG45723101160460000</v>
      </c>
      <c r="B2171" t="s">
        <v>3115</v>
      </c>
      <c r="C2171" s="1">
        <v>45723</v>
      </c>
      <c r="D2171" t="str">
        <f>"1011"</f>
        <v>1011</v>
      </c>
      <c r="E2171" t="str">
        <f>"60460000"</f>
        <v>60460000</v>
      </c>
      <c r="F2171" t="s">
        <v>3675</v>
      </c>
      <c r="G2171" t="s">
        <v>336</v>
      </c>
      <c r="H2171" t="s">
        <v>5873</v>
      </c>
      <c r="I2171">
        <v>0</v>
      </c>
      <c r="J2171" t="s">
        <v>343</v>
      </c>
      <c r="K2171">
        <v>20000</v>
      </c>
      <c r="M2171">
        <v>20000</v>
      </c>
    </row>
    <row r="2172" spans="1:13" x14ac:dyDescent="0.35">
      <c r="A2172" t="str">
        <f t="shared" si="121"/>
        <v>STKCDG45723101260440000</v>
      </c>
      <c r="B2172" t="s">
        <v>3115</v>
      </c>
      <c r="C2172" s="1">
        <v>45723</v>
      </c>
      <c r="D2172" t="str">
        <f>"1012"</f>
        <v>1012</v>
      </c>
      <c r="E2172" t="str">
        <f>"60440000"</f>
        <v>60440000</v>
      </c>
      <c r="F2172" t="s">
        <v>3677</v>
      </c>
      <c r="G2172" t="s">
        <v>336</v>
      </c>
      <c r="H2172" t="s">
        <v>5905</v>
      </c>
      <c r="I2172">
        <v>0</v>
      </c>
      <c r="J2172" t="s">
        <v>343</v>
      </c>
      <c r="K2172">
        <v>11539</v>
      </c>
      <c r="M2172">
        <v>11539</v>
      </c>
    </row>
    <row r="2173" spans="1:13" x14ac:dyDescent="0.35">
      <c r="A2173" t="str">
        <f t="shared" si="121"/>
        <v>STKCDG45723101360460000</v>
      </c>
      <c r="B2173" t="s">
        <v>3115</v>
      </c>
      <c r="C2173" s="1">
        <v>45723</v>
      </c>
      <c r="D2173" t="str">
        <f>"1013"</f>
        <v>1013</v>
      </c>
      <c r="E2173" t="str">
        <f>"60460000"</f>
        <v>60460000</v>
      </c>
      <c r="F2173" t="s">
        <v>3679</v>
      </c>
      <c r="G2173" t="s">
        <v>336</v>
      </c>
      <c r="H2173" t="s">
        <v>5949</v>
      </c>
      <c r="I2173">
        <v>0</v>
      </c>
      <c r="J2173" t="s">
        <v>343</v>
      </c>
      <c r="K2173">
        <v>34000</v>
      </c>
      <c r="M2173">
        <v>34000</v>
      </c>
    </row>
    <row r="2174" spans="1:13" x14ac:dyDescent="0.35">
      <c r="A2174" t="str">
        <f t="shared" si="121"/>
        <v>STKCDG45723101460440000</v>
      </c>
      <c r="B2174" t="s">
        <v>3115</v>
      </c>
      <c r="C2174" s="1">
        <v>45723</v>
      </c>
      <c r="D2174" t="str">
        <f>"1014"</f>
        <v>1014</v>
      </c>
      <c r="E2174" t="str">
        <f t="shared" ref="E2174:E2180" si="122">"60440000"</f>
        <v>60440000</v>
      </c>
      <c r="F2174" t="s">
        <v>3681</v>
      </c>
      <c r="G2174" t="s">
        <v>336</v>
      </c>
      <c r="H2174" t="s">
        <v>5880</v>
      </c>
      <c r="I2174">
        <v>0</v>
      </c>
      <c r="J2174" t="s">
        <v>343</v>
      </c>
      <c r="K2174">
        <v>8000</v>
      </c>
      <c r="M2174">
        <v>8000</v>
      </c>
    </row>
    <row r="2175" spans="1:13" x14ac:dyDescent="0.35">
      <c r="A2175" t="str">
        <f t="shared" si="121"/>
        <v>STKCDG45723101560440000</v>
      </c>
      <c r="B2175" t="s">
        <v>3115</v>
      </c>
      <c r="C2175" s="1">
        <v>45723</v>
      </c>
      <c r="D2175" t="str">
        <f>"1015"</f>
        <v>1015</v>
      </c>
      <c r="E2175" t="str">
        <f t="shared" si="122"/>
        <v>60440000</v>
      </c>
      <c r="F2175" t="s">
        <v>3683</v>
      </c>
      <c r="G2175" t="s">
        <v>336</v>
      </c>
      <c r="H2175" t="s">
        <v>5874</v>
      </c>
      <c r="I2175">
        <v>0</v>
      </c>
      <c r="J2175" t="s">
        <v>343</v>
      </c>
      <c r="K2175">
        <v>45000</v>
      </c>
      <c r="M2175">
        <v>45000</v>
      </c>
    </row>
    <row r="2176" spans="1:13" x14ac:dyDescent="0.35">
      <c r="A2176" t="str">
        <f t="shared" si="121"/>
        <v>STKCDG45723101660440000</v>
      </c>
      <c r="B2176" t="s">
        <v>3115</v>
      </c>
      <c r="C2176" s="1">
        <v>45723</v>
      </c>
      <c r="D2176" t="str">
        <f>"1016"</f>
        <v>1016</v>
      </c>
      <c r="E2176" t="str">
        <f t="shared" si="122"/>
        <v>60440000</v>
      </c>
      <c r="F2176" t="s">
        <v>3685</v>
      </c>
      <c r="G2176" t="s">
        <v>336</v>
      </c>
      <c r="H2176" t="s">
        <v>5874</v>
      </c>
      <c r="I2176">
        <v>0</v>
      </c>
      <c r="J2176" t="s">
        <v>343</v>
      </c>
      <c r="K2176">
        <v>300000</v>
      </c>
      <c r="M2176">
        <v>300000</v>
      </c>
    </row>
    <row r="2177" spans="1:13" x14ac:dyDescent="0.35">
      <c r="A2177" t="str">
        <f t="shared" si="121"/>
        <v>STKCDG45723101760440000</v>
      </c>
      <c r="B2177" t="s">
        <v>3115</v>
      </c>
      <c r="C2177" s="1">
        <v>45723</v>
      </c>
      <c r="D2177" t="str">
        <f>"1017"</f>
        <v>1017</v>
      </c>
      <c r="E2177" t="str">
        <f t="shared" si="122"/>
        <v>60440000</v>
      </c>
      <c r="F2177" t="s">
        <v>3687</v>
      </c>
      <c r="G2177" t="s">
        <v>336</v>
      </c>
      <c r="H2177" t="s">
        <v>5874</v>
      </c>
      <c r="I2177">
        <v>0</v>
      </c>
      <c r="J2177" t="s">
        <v>343</v>
      </c>
      <c r="K2177">
        <v>25000</v>
      </c>
      <c r="M2177">
        <v>25000</v>
      </c>
    </row>
    <row r="2178" spans="1:13" x14ac:dyDescent="0.35">
      <c r="A2178" t="str">
        <f t="shared" si="121"/>
        <v>STKCDG45723101860440000</v>
      </c>
      <c r="B2178" t="s">
        <v>3115</v>
      </c>
      <c r="C2178" s="1">
        <v>45723</v>
      </c>
      <c r="D2178" t="str">
        <f>"1018"</f>
        <v>1018</v>
      </c>
      <c r="E2178" t="str">
        <f t="shared" si="122"/>
        <v>60440000</v>
      </c>
      <c r="F2178" t="s">
        <v>3689</v>
      </c>
      <c r="G2178" t="s">
        <v>336</v>
      </c>
      <c r="H2178" t="s">
        <v>5874</v>
      </c>
      <c r="I2178">
        <v>0</v>
      </c>
      <c r="J2178" t="s">
        <v>343</v>
      </c>
      <c r="K2178">
        <v>150000</v>
      </c>
      <c r="M2178">
        <v>150000</v>
      </c>
    </row>
    <row r="2179" spans="1:13" x14ac:dyDescent="0.35">
      <c r="A2179" t="str">
        <f t="shared" ref="A2179:A2242" si="123">CONCATENATE(B2179,C2179,D2179,E2179)</f>
        <v>STKCDG45723101960440000</v>
      </c>
      <c r="B2179" t="s">
        <v>3115</v>
      </c>
      <c r="C2179" s="1">
        <v>45723</v>
      </c>
      <c r="D2179" t="str">
        <f>"1019"</f>
        <v>1019</v>
      </c>
      <c r="E2179" t="str">
        <f t="shared" si="122"/>
        <v>60440000</v>
      </c>
      <c r="F2179" t="s">
        <v>3691</v>
      </c>
      <c r="G2179" t="s">
        <v>336</v>
      </c>
      <c r="H2179" t="s">
        <v>5875</v>
      </c>
      <c r="I2179">
        <v>0</v>
      </c>
      <c r="J2179" t="s">
        <v>343</v>
      </c>
      <c r="K2179">
        <v>75000</v>
      </c>
      <c r="M2179">
        <v>75000</v>
      </c>
    </row>
    <row r="2180" spans="1:13" x14ac:dyDescent="0.35">
      <c r="A2180" t="str">
        <f t="shared" si="123"/>
        <v>STKCDG45723102060440000</v>
      </c>
      <c r="B2180" t="s">
        <v>3115</v>
      </c>
      <c r="C2180" s="1">
        <v>45723</v>
      </c>
      <c r="D2180" t="str">
        <f>"1020"</f>
        <v>1020</v>
      </c>
      <c r="E2180" t="str">
        <f t="shared" si="122"/>
        <v>60440000</v>
      </c>
      <c r="F2180" t="s">
        <v>3693</v>
      </c>
      <c r="G2180" t="s">
        <v>336</v>
      </c>
      <c r="H2180" t="s">
        <v>5875</v>
      </c>
      <c r="I2180">
        <v>0</v>
      </c>
      <c r="J2180" t="s">
        <v>343</v>
      </c>
      <c r="K2180">
        <v>175000</v>
      </c>
      <c r="M2180">
        <v>175000</v>
      </c>
    </row>
    <row r="2181" spans="1:13" x14ac:dyDescent="0.35">
      <c r="A2181" t="str">
        <f t="shared" si="123"/>
        <v>STKCDG45723102160460000</v>
      </c>
      <c r="B2181" t="s">
        <v>3115</v>
      </c>
      <c r="C2181" s="1">
        <v>45723</v>
      </c>
      <c r="D2181" t="str">
        <f>"1021"</f>
        <v>1021</v>
      </c>
      <c r="E2181" t="str">
        <f>"60460000"</f>
        <v>60460000</v>
      </c>
      <c r="F2181" t="s">
        <v>3695</v>
      </c>
      <c r="G2181" t="s">
        <v>336</v>
      </c>
      <c r="H2181" t="s">
        <v>5874</v>
      </c>
      <c r="I2181">
        <v>0</v>
      </c>
      <c r="J2181" t="s">
        <v>343</v>
      </c>
      <c r="K2181">
        <v>300</v>
      </c>
      <c r="M2181">
        <v>300</v>
      </c>
    </row>
    <row r="2182" spans="1:13" x14ac:dyDescent="0.35">
      <c r="A2182" t="str">
        <f t="shared" si="123"/>
        <v>STKCDG45723102260440000</v>
      </c>
      <c r="B2182" t="s">
        <v>3115</v>
      </c>
      <c r="C2182" s="1">
        <v>45723</v>
      </c>
      <c r="D2182" t="str">
        <f>"1022"</f>
        <v>1022</v>
      </c>
      <c r="E2182" t="str">
        <f t="shared" ref="E2182:E2207" si="124">"60440000"</f>
        <v>60440000</v>
      </c>
      <c r="F2182" t="s">
        <v>3697</v>
      </c>
      <c r="G2182" t="s">
        <v>336</v>
      </c>
      <c r="H2182" t="s">
        <v>5958</v>
      </c>
      <c r="I2182">
        <v>0</v>
      </c>
      <c r="J2182" t="s">
        <v>343</v>
      </c>
      <c r="K2182">
        <v>60554</v>
      </c>
      <c r="M2182">
        <v>60554</v>
      </c>
    </row>
    <row r="2183" spans="1:13" x14ac:dyDescent="0.35">
      <c r="A2183" t="str">
        <f t="shared" si="123"/>
        <v>STKCDG45723102360440000</v>
      </c>
      <c r="B2183" t="s">
        <v>3115</v>
      </c>
      <c r="C2183" s="1">
        <v>45723</v>
      </c>
      <c r="D2183" t="str">
        <f>"1023"</f>
        <v>1023</v>
      </c>
      <c r="E2183" t="str">
        <f t="shared" si="124"/>
        <v>60440000</v>
      </c>
      <c r="F2183" t="s">
        <v>3699</v>
      </c>
      <c r="G2183" t="s">
        <v>336</v>
      </c>
      <c r="H2183" t="s">
        <v>5958</v>
      </c>
      <c r="I2183">
        <v>0</v>
      </c>
      <c r="J2183" t="s">
        <v>343</v>
      </c>
      <c r="K2183">
        <v>150000</v>
      </c>
      <c r="M2183">
        <v>150000</v>
      </c>
    </row>
    <row r="2184" spans="1:13" x14ac:dyDescent="0.35">
      <c r="A2184" t="str">
        <f t="shared" si="123"/>
        <v>STKCDG45723102460440000</v>
      </c>
      <c r="B2184" t="s">
        <v>3115</v>
      </c>
      <c r="C2184" s="1">
        <v>45723</v>
      </c>
      <c r="D2184" t="str">
        <f>"1024"</f>
        <v>1024</v>
      </c>
      <c r="E2184" t="str">
        <f t="shared" si="124"/>
        <v>60440000</v>
      </c>
      <c r="F2184" t="s">
        <v>3701</v>
      </c>
      <c r="G2184" t="s">
        <v>336</v>
      </c>
      <c r="H2184" t="s">
        <v>5874</v>
      </c>
      <c r="I2184">
        <v>0</v>
      </c>
      <c r="J2184" t="s">
        <v>343</v>
      </c>
      <c r="K2184">
        <v>160000</v>
      </c>
      <c r="M2184">
        <v>160000</v>
      </c>
    </row>
    <row r="2185" spans="1:13" x14ac:dyDescent="0.35">
      <c r="A2185" t="str">
        <f t="shared" si="123"/>
        <v>STKCDG45723102560440000</v>
      </c>
      <c r="B2185" t="s">
        <v>3115</v>
      </c>
      <c r="C2185" s="1">
        <v>45723</v>
      </c>
      <c r="D2185" t="str">
        <f>"1025"</f>
        <v>1025</v>
      </c>
      <c r="E2185" t="str">
        <f t="shared" si="124"/>
        <v>60440000</v>
      </c>
      <c r="F2185" t="s">
        <v>3703</v>
      </c>
      <c r="G2185" t="s">
        <v>336</v>
      </c>
      <c r="H2185" t="s">
        <v>5875</v>
      </c>
      <c r="I2185">
        <v>0</v>
      </c>
      <c r="J2185" t="s">
        <v>343</v>
      </c>
      <c r="K2185">
        <v>65000</v>
      </c>
      <c r="M2185">
        <v>65000</v>
      </c>
    </row>
    <row r="2186" spans="1:13" x14ac:dyDescent="0.35">
      <c r="A2186" t="str">
        <f t="shared" si="123"/>
        <v>STKCDG45723102660440000</v>
      </c>
      <c r="B2186" t="s">
        <v>3115</v>
      </c>
      <c r="C2186" s="1">
        <v>45723</v>
      </c>
      <c r="D2186" t="str">
        <f>"1026"</f>
        <v>1026</v>
      </c>
      <c r="E2186" t="str">
        <f t="shared" si="124"/>
        <v>60440000</v>
      </c>
      <c r="F2186" t="s">
        <v>3705</v>
      </c>
      <c r="G2186" t="s">
        <v>336</v>
      </c>
      <c r="H2186" t="s">
        <v>5881</v>
      </c>
      <c r="I2186">
        <v>0</v>
      </c>
      <c r="J2186" t="s">
        <v>343</v>
      </c>
      <c r="K2186">
        <v>40000</v>
      </c>
      <c r="M2186">
        <v>40000</v>
      </c>
    </row>
    <row r="2187" spans="1:13" x14ac:dyDescent="0.35">
      <c r="A2187" t="str">
        <f t="shared" si="123"/>
        <v>STKCDG45723102760440000</v>
      </c>
      <c r="B2187" t="s">
        <v>3115</v>
      </c>
      <c r="C2187" s="1">
        <v>45723</v>
      </c>
      <c r="D2187" t="str">
        <f>"1027"</f>
        <v>1027</v>
      </c>
      <c r="E2187" t="str">
        <f t="shared" si="124"/>
        <v>60440000</v>
      </c>
      <c r="F2187" t="s">
        <v>3707</v>
      </c>
      <c r="G2187" t="s">
        <v>336</v>
      </c>
      <c r="H2187" t="s">
        <v>5874</v>
      </c>
      <c r="I2187">
        <v>0</v>
      </c>
      <c r="J2187" t="s">
        <v>343</v>
      </c>
      <c r="K2187">
        <v>340000</v>
      </c>
      <c r="M2187">
        <v>340000</v>
      </c>
    </row>
    <row r="2188" spans="1:13" x14ac:dyDescent="0.35">
      <c r="A2188" t="str">
        <f t="shared" si="123"/>
        <v>STKCDG45723102860440000</v>
      </c>
      <c r="B2188" t="s">
        <v>3115</v>
      </c>
      <c r="C2188" s="1">
        <v>45723</v>
      </c>
      <c r="D2188" t="str">
        <f>"1028"</f>
        <v>1028</v>
      </c>
      <c r="E2188" t="str">
        <f t="shared" si="124"/>
        <v>60440000</v>
      </c>
      <c r="F2188" t="s">
        <v>3709</v>
      </c>
      <c r="G2188" t="s">
        <v>336</v>
      </c>
      <c r="H2188" t="s">
        <v>5873</v>
      </c>
      <c r="I2188">
        <v>0</v>
      </c>
      <c r="J2188" t="s">
        <v>343</v>
      </c>
      <c r="K2188">
        <v>320000</v>
      </c>
      <c r="M2188">
        <v>320000</v>
      </c>
    </row>
    <row r="2189" spans="1:13" x14ac:dyDescent="0.35">
      <c r="A2189" t="str">
        <f t="shared" si="123"/>
        <v>STKCDG45723102960440000</v>
      </c>
      <c r="B2189" t="s">
        <v>3115</v>
      </c>
      <c r="C2189" s="1">
        <v>45723</v>
      </c>
      <c r="D2189" t="str">
        <f>"1029"</f>
        <v>1029</v>
      </c>
      <c r="E2189" t="str">
        <f t="shared" si="124"/>
        <v>60440000</v>
      </c>
      <c r="F2189" t="s">
        <v>3711</v>
      </c>
      <c r="G2189" t="s">
        <v>336</v>
      </c>
      <c r="H2189" t="s">
        <v>5875</v>
      </c>
      <c r="I2189">
        <v>0</v>
      </c>
      <c r="J2189" t="s">
        <v>343</v>
      </c>
      <c r="K2189">
        <v>65000</v>
      </c>
      <c r="M2189">
        <v>65000</v>
      </c>
    </row>
    <row r="2190" spans="1:13" x14ac:dyDescent="0.35">
      <c r="A2190" t="str">
        <f t="shared" si="123"/>
        <v>STKCDG45723103060440000</v>
      </c>
      <c r="B2190" t="s">
        <v>3115</v>
      </c>
      <c r="C2190" s="1">
        <v>45723</v>
      </c>
      <c r="D2190" t="str">
        <f>"1030"</f>
        <v>1030</v>
      </c>
      <c r="E2190" t="str">
        <f t="shared" si="124"/>
        <v>60440000</v>
      </c>
      <c r="F2190" t="s">
        <v>3713</v>
      </c>
      <c r="G2190" t="s">
        <v>336</v>
      </c>
      <c r="H2190" t="s">
        <v>5881</v>
      </c>
      <c r="I2190">
        <v>0</v>
      </c>
      <c r="J2190" t="s">
        <v>343</v>
      </c>
      <c r="K2190">
        <v>850000</v>
      </c>
      <c r="M2190">
        <v>850000</v>
      </c>
    </row>
    <row r="2191" spans="1:13" x14ac:dyDescent="0.35">
      <c r="A2191" t="str">
        <f t="shared" si="123"/>
        <v>STKCDG45723103160440000</v>
      </c>
      <c r="B2191" t="s">
        <v>3115</v>
      </c>
      <c r="C2191" s="1">
        <v>45723</v>
      </c>
      <c r="D2191" t="str">
        <f>"1031"</f>
        <v>1031</v>
      </c>
      <c r="E2191" t="str">
        <f t="shared" si="124"/>
        <v>60440000</v>
      </c>
      <c r="F2191" t="s">
        <v>3715</v>
      </c>
      <c r="G2191" t="s">
        <v>336</v>
      </c>
      <c r="H2191" t="s">
        <v>5873</v>
      </c>
      <c r="I2191">
        <v>0</v>
      </c>
      <c r="J2191" t="s">
        <v>343</v>
      </c>
      <c r="K2191">
        <v>190000</v>
      </c>
      <c r="M2191">
        <v>190000</v>
      </c>
    </row>
    <row r="2192" spans="1:13" x14ac:dyDescent="0.35">
      <c r="A2192" t="str">
        <f t="shared" si="123"/>
        <v>STKCDG45723103260440000</v>
      </c>
      <c r="B2192" t="s">
        <v>3115</v>
      </c>
      <c r="C2192" s="1">
        <v>45723</v>
      </c>
      <c r="D2192" t="str">
        <f>"1032"</f>
        <v>1032</v>
      </c>
      <c r="E2192" t="str">
        <f t="shared" si="124"/>
        <v>60440000</v>
      </c>
      <c r="F2192" t="s">
        <v>3717</v>
      </c>
      <c r="G2192" t="s">
        <v>336</v>
      </c>
      <c r="H2192" t="s">
        <v>5873</v>
      </c>
      <c r="I2192">
        <v>0</v>
      </c>
      <c r="J2192" t="s">
        <v>343</v>
      </c>
      <c r="K2192">
        <v>24000</v>
      </c>
      <c r="M2192">
        <v>24000</v>
      </c>
    </row>
    <row r="2193" spans="1:13" x14ac:dyDescent="0.35">
      <c r="A2193" t="str">
        <f t="shared" si="123"/>
        <v>STKCDG45723103360440000</v>
      </c>
      <c r="B2193" t="s">
        <v>3115</v>
      </c>
      <c r="C2193" s="1">
        <v>45723</v>
      </c>
      <c r="D2193" t="str">
        <f>"1033"</f>
        <v>1033</v>
      </c>
      <c r="E2193" t="str">
        <f t="shared" si="124"/>
        <v>60440000</v>
      </c>
      <c r="F2193" t="s">
        <v>3719</v>
      </c>
      <c r="G2193" t="s">
        <v>336</v>
      </c>
      <c r="H2193" t="s">
        <v>5875</v>
      </c>
      <c r="I2193">
        <v>0</v>
      </c>
      <c r="J2193" t="s">
        <v>343</v>
      </c>
      <c r="K2193">
        <v>65000</v>
      </c>
      <c r="M2193">
        <v>65000</v>
      </c>
    </row>
    <row r="2194" spans="1:13" x14ac:dyDescent="0.35">
      <c r="A2194" t="str">
        <f t="shared" si="123"/>
        <v>STKCDG45723103460440000</v>
      </c>
      <c r="B2194" t="s">
        <v>3115</v>
      </c>
      <c r="C2194" s="1">
        <v>45723</v>
      </c>
      <c r="D2194" t="str">
        <f>"1034"</f>
        <v>1034</v>
      </c>
      <c r="E2194" t="str">
        <f t="shared" si="124"/>
        <v>60440000</v>
      </c>
      <c r="F2194" t="s">
        <v>3721</v>
      </c>
      <c r="G2194" t="s">
        <v>336</v>
      </c>
      <c r="H2194" t="s">
        <v>5876</v>
      </c>
      <c r="I2194">
        <v>0</v>
      </c>
      <c r="J2194" t="s">
        <v>343</v>
      </c>
      <c r="K2194">
        <v>65000</v>
      </c>
      <c r="M2194">
        <v>65000</v>
      </c>
    </row>
    <row r="2195" spans="1:13" x14ac:dyDescent="0.35">
      <c r="A2195" t="str">
        <f t="shared" si="123"/>
        <v>STKCDG45723103560440000</v>
      </c>
      <c r="B2195" t="s">
        <v>3115</v>
      </c>
      <c r="C2195" s="1">
        <v>45723</v>
      </c>
      <c r="D2195" t="str">
        <f>"1035"</f>
        <v>1035</v>
      </c>
      <c r="E2195" t="str">
        <f t="shared" si="124"/>
        <v>60440000</v>
      </c>
      <c r="F2195" t="s">
        <v>3723</v>
      </c>
      <c r="G2195" t="s">
        <v>336</v>
      </c>
      <c r="H2195" t="s">
        <v>5875</v>
      </c>
      <c r="I2195">
        <v>0</v>
      </c>
      <c r="J2195" t="s">
        <v>343</v>
      </c>
      <c r="K2195">
        <v>65000</v>
      </c>
      <c r="M2195">
        <v>65000</v>
      </c>
    </row>
    <row r="2196" spans="1:13" x14ac:dyDescent="0.35">
      <c r="A2196" t="str">
        <f t="shared" si="123"/>
        <v>STKCDG45723103660440000</v>
      </c>
      <c r="B2196" t="s">
        <v>3115</v>
      </c>
      <c r="C2196" s="1">
        <v>45723</v>
      </c>
      <c r="D2196" t="str">
        <f>"1036"</f>
        <v>1036</v>
      </c>
      <c r="E2196" t="str">
        <f t="shared" si="124"/>
        <v>60440000</v>
      </c>
      <c r="F2196" t="s">
        <v>3725</v>
      </c>
      <c r="G2196" t="s">
        <v>336</v>
      </c>
      <c r="H2196" t="s">
        <v>5875</v>
      </c>
      <c r="I2196">
        <v>0</v>
      </c>
      <c r="J2196" t="s">
        <v>343</v>
      </c>
      <c r="K2196">
        <v>80000</v>
      </c>
      <c r="M2196">
        <v>80000</v>
      </c>
    </row>
    <row r="2197" spans="1:13" x14ac:dyDescent="0.35">
      <c r="A2197" t="str">
        <f t="shared" si="123"/>
        <v>STKCDG45723103760440000</v>
      </c>
      <c r="B2197" t="s">
        <v>3115</v>
      </c>
      <c r="C2197" s="1">
        <v>45723</v>
      </c>
      <c r="D2197" t="str">
        <f>"1037"</f>
        <v>1037</v>
      </c>
      <c r="E2197" t="str">
        <f t="shared" si="124"/>
        <v>60440000</v>
      </c>
      <c r="F2197" t="s">
        <v>3727</v>
      </c>
      <c r="G2197" t="s">
        <v>336</v>
      </c>
      <c r="H2197" t="s">
        <v>5881</v>
      </c>
      <c r="I2197">
        <v>0</v>
      </c>
      <c r="J2197" t="s">
        <v>343</v>
      </c>
      <c r="K2197">
        <v>60000</v>
      </c>
      <c r="M2197">
        <v>60000</v>
      </c>
    </row>
    <row r="2198" spans="1:13" x14ac:dyDescent="0.35">
      <c r="A2198" t="str">
        <f t="shared" si="123"/>
        <v>STKCDG45723103860440000</v>
      </c>
      <c r="B2198" t="s">
        <v>3115</v>
      </c>
      <c r="C2198" s="1">
        <v>45723</v>
      </c>
      <c r="D2198" t="str">
        <f>"1038"</f>
        <v>1038</v>
      </c>
      <c r="E2198" t="str">
        <f t="shared" si="124"/>
        <v>60440000</v>
      </c>
      <c r="F2198" t="s">
        <v>3729</v>
      </c>
      <c r="G2198" t="s">
        <v>336</v>
      </c>
      <c r="H2198" t="s">
        <v>5874</v>
      </c>
      <c r="I2198">
        <v>0</v>
      </c>
      <c r="J2198" t="s">
        <v>343</v>
      </c>
      <c r="K2198">
        <v>65000</v>
      </c>
      <c r="M2198">
        <v>65000</v>
      </c>
    </row>
    <row r="2199" spans="1:13" x14ac:dyDescent="0.35">
      <c r="A2199" t="str">
        <f t="shared" si="123"/>
        <v>STKCDG45723103960440000</v>
      </c>
      <c r="B2199" t="s">
        <v>3115</v>
      </c>
      <c r="C2199" s="1">
        <v>45723</v>
      </c>
      <c r="D2199" t="str">
        <f>"1039"</f>
        <v>1039</v>
      </c>
      <c r="E2199" t="str">
        <f t="shared" si="124"/>
        <v>60440000</v>
      </c>
      <c r="F2199" t="s">
        <v>3731</v>
      </c>
      <c r="G2199" t="s">
        <v>336</v>
      </c>
      <c r="H2199" t="s">
        <v>5874</v>
      </c>
      <c r="I2199">
        <v>0</v>
      </c>
      <c r="J2199" t="s">
        <v>343</v>
      </c>
      <c r="K2199">
        <v>160000</v>
      </c>
      <c r="M2199">
        <v>160000</v>
      </c>
    </row>
    <row r="2200" spans="1:13" x14ac:dyDescent="0.35">
      <c r="A2200" t="str">
        <f t="shared" si="123"/>
        <v>STKCDG45723104060440000</v>
      </c>
      <c r="B2200" t="s">
        <v>3115</v>
      </c>
      <c r="C2200" s="1">
        <v>45723</v>
      </c>
      <c r="D2200" t="str">
        <f>"1040"</f>
        <v>1040</v>
      </c>
      <c r="E2200" t="str">
        <f t="shared" si="124"/>
        <v>60440000</v>
      </c>
      <c r="F2200" t="s">
        <v>3733</v>
      </c>
      <c r="G2200" t="s">
        <v>336</v>
      </c>
      <c r="H2200" t="s">
        <v>5874</v>
      </c>
      <c r="I2200">
        <v>0</v>
      </c>
      <c r="J2200" t="s">
        <v>343</v>
      </c>
      <c r="K2200">
        <v>80000</v>
      </c>
      <c r="M2200">
        <v>80000</v>
      </c>
    </row>
    <row r="2201" spans="1:13" x14ac:dyDescent="0.35">
      <c r="A2201" t="str">
        <f t="shared" si="123"/>
        <v>STKCDG45723104160440000</v>
      </c>
      <c r="B2201" t="s">
        <v>3115</v>
      </c>
      <c r="C2201" s="1">
        <v>45723</v>
      </c>
      <c r="D2201" t="str">
        <f>"1041"</f>
        <v>1041</v>
      </c>
      <c r="E2201" t="str">
        <f t="shared" si="124"/>
        <v>60440000</v>
      </c>
      <c r="F2201" t="s">
        <v>3735</v>
      </c>
      <c r="G2201" t="s">
        <v>336</v>
      </c>
      <c r="H2201" t="s">
        <v>5874</v>
      </c>
      <c r="I2201">
        <v>0</v>
      </c>
      <c r="J2201" t="s">
        <v>343</v>
      </c>
      <c r="K2201">
        <v>80000</v>
      </c>
      <c r="M2201">
        <v>80000</v>
      </c>
    </row>
    <row r="2202" spans="1:13" x14ac:dyDescent="0.35">
      <c r="A2202" t="str">
        <f t="shared" si="123"/>
        <v>STKCDG45723104260440000</v>
      </c>
      <c r="B2202" t="s">
        <v>3115</v>
      </c>
      <c r="C2202" s="1">
        <v>45723</v>
      </c>
      <c r="D2202" t="str">
        <f>"1042"</f>
        <v>1042</v>
      </c>
      <c r="E2202" t="str">
        <f t="shared" si="124"/>
        <v>60440000</v>
      </c>
      <c r="F2202" t="s">
        <v>3737</v>
      </c>
      <c r="G2202" t="s">
        <v>336</v>
      </c>
      <c r="H2202" t="s">
        <v>5875</v>
      </c>
      <c r="I2202">
        <v>0</v>
      </c>
      <c r="J2202" t="s">
        <v>343</v>
      </c>
      <c r="K2202">
        <v>330000</v>
      </c>
      <c r="M2202">
        <v>330000</v>
      </c>
    </row>
    <row r="2203" spans="1:13" x14ac:dyDescent="0.35">
      <c r="A2203" t="str">
        <f t="shared" si="123"/>
        <v>STKCDG45723104360440000</v>
      </c>
      <c r="B2203" t="s">
        <v>3115</v>
      </c>
      <c r="C2203" s="1">
        <v>45723</v>
      </c>
      <c r="D2203" t="str">
        <f>"1043"</f>
        <v>1043</v>
      </c>
      <c r="E2203" t="str">
        <f t="shared" si="124"/>
        <v>60440000</v>
      </c>
      <c r="F2203" t="s">
        <v>3739</v>
      </c>
      <c r="G2203" t="s">
        <v>336</v>
      </c>
      <c r="H2203" t="s">
        <v>5878</v>
      </c>
      <c r="I2203">
        <v>0</v>
      </c>
      <c r="J2203" t="s">
        <v>343</v>
      </c>
      <c r="K2203">
        <v>135000</v>
      </c>
      <c r="M2203">
        <v>135000</v>
      </c>
    </row>
    <row r="2204" spans="1:13" x14ac:dyDescent="0.35">
      <c r="A2204" t="str">
        <f t="shared" si="123"/>
        <v>STKCDG45723104460440000</v>
      </c>
      <c r="B2204" t="s">
        <v>3115</v>
      </c>
      <c r="C2204" s="1">
        <v>45723</v>
      </c>
      <c r="D2204" t="str">
        <f>"1044"</f>
        <v>1044</v>
      </c>
      <c r="E2204" t="str">
        <f t="shared" si="124"/>
        <v>60440000</v>
      </c>
      <c r="F2204" t="s">
        <v>3741</v>
      </c>
      <c r="G2204" t="s">
        <v>336</v>
      </c>
      <c r="H2204" t="s">
        <v>5875</v>
      </c>
      <c r="I2204">
        <v>0</v>
      </c>
      <c r="J2204" t="s">
        <v>343</v>
      </c>
      <c r="K2204">
        <v>65000</v>
      </c>
      <c r="M2204">
        <v>65000</v>
      </c>
    </row>
    <row r="2205" spans="1:13" x14ac:dyDescent="0.35">
      <c r="A2205" t="str">
        <f t="shared" si="123"/>
        <v>STKCDG45723104560440000</v>
      </c>
      <c r="B2205" t="s">
        <v>3115</v>
      </c>
      <c r="C2205" s="1">
        <v>45723</v>
      </c>
      <c r="D2205" t="str">
        <f>"1045"</f>
        <v>1045</v>
      </c>
      <c r="E2205" t="str">
        <f t="shared" si="124"/>
        <v>60440000</v>
      </c>
      <c r="F2205" t="s">
        <v>3743</v>
      </c>
      <c r="G2205" t="s">
        <v>336</v>
      </c>
      <c r="H2205" t="s">
        <v>5880</v>
      </c>
      <c r="I2205">
        <v>0</v>
      </c>
      <c r="J2205" t="s">
        <v>343</v>
      </c>
      <c r="K2205">
        <v>6035</v>
      </c>
      <c r="M2205">
        <v>6035</v>
      </c>
    </row>
    <row r="2206" spans="1:13" x14ac:dyDescent="0.35">
      <c r="A2206" t="str">
        <f t="shared" si="123"/>
        <v>STKCDG45723104660440000</v>
      </c>
      <c r="B2206" t="s">
        <v>3115</v>
      </c>
      <c r="C2206" s="1">
        <v>45723</v>
      </c>
      <c r="D2206" t="str">
        <f>"1046"</f>
        <v>1046</v>
      </c>
      <c r="E2206" t="str">
        <f t="shared" si="124"/>
        <v>60440000</v>
      </c>
      <c r="F2206" t="s">
        <v>3745</v>
      </c>
      <c r="G2206" t="s">
        <v>336</v>
      </c>
      <c r="H2206" t="s">
        <v>5873</v>
      </c>
      <c r="I2206">
        <v>0</v>
      </c>
      <c r="J2206" t="s">
        <v>343</v>
      </c>
      <c r="K2206">
        <v>4723</v>
      </c>
      <c r="M2206">
        <v>4723</v>
      </c>
    </row>
    <row r="2207" spans="1:13" x14ac:dyDescent="0.35">
      <c r="A2207" t="str">
        <f t="shared" si="123"/>
        <v>STKCDG45723104760440000</v>
      </c>
      <c r="B2207" t="s">
        <v>3115</v>
      </c>
      <c r="C2207" s="1">
        <v>45723</v>
      </c>
      <c r="D2207" t="str">
        <f>"1047"</f>
        <v>1047</v>
      </c>
      <c r="E2207" t="str">
        <f t="shared" si="124"/>
        <v>60440000</v>
      </c>
      <c r="F2207" t="s">
        <v>3747</v>
      </c>
      <c r="G2207" t="s">
        <v>336</v>
      </c>
      <c r="H2207" t="s">
        <v>5875</v>
      </c>
      <c r="I2207">
        <v>0</v>
      </c>
      <c r="J2207" t="s">
        <v>343</v>
      </c>
      <c r="K2207">
        <v>3739</v>
      </c>
      <c r="M2207">
        <v>3739</v>
      </c>
    </row>
    <row r="2208" spans="1:13" x14ac:dyDescent="0.35">
      <c r="A2208" t="str">
        <f t="shared" si="123"/>
        <v>STKCDG45723104860460000</v>
      </c>
      <c r="B2208" t="s">
        <v>3115</v>
      </c>
      <c r="C2208" s="1">
        <v>45723</v>
      </c>
      <c r="D2208" t="str">
        <f>"1048"</f>
        <v>1048</v>
      </c>
      <c r="E2208" t="str">
        <f>"60460000"</f>
        <v>60460000</v>
      </c>
      <c r="F2208" t="s">
        <v>3749</v>
      </c>
      <c r="G2208" t="s">
        <v>336</v>
      </c>
      <c r="H2208" t="s">
        <v>5880</v>
      </c>
      <c r="I2208">
        <v>0</v>
      </c>
      <c r="J2208" t="s">
        <v>343</v>
      </c>
      <c r="K2208">
        <v>300</v>
      </c>
      <c r="M2208">
        <v>300</v>
      </c>
    </row>
    <row r="2209" spans="1:13" x14ac:dyDescent="0.35">
      <c r="A2209" t="str">
        <f t="shared" si="123"/>
        <v>STKCDG45723104960440000</v>
      </c>
      <c r="B2209" t="s">
        <v>3115</v>
      </c>
      <c r="C2209" s="1">
        <v>45723</v>
      </c>
      <c r="D2209" t="str">
        <f>"1049"</f>
        <v>1049</v>
      </c>
      <c r="E2209" t="str">
        <f t="shared" ref="E2209:E2224" si="125">"60440000"</f>
        <v>60440000</v>
      </c>
      <c r="F2209" t="s">
        <v>3751</v>
      </c>
      <c r="G2209" t="s">
        <v>336</v>
      </c>
      <c r="H2209" t="s">
        <v>5958</v>
      </c>
      <c r="I2209">
        <v>0</v>
      </c>
      <c r="J2209" t="s">
        <v>343</v>
      </c>
      <c r="K2209">
        <v>870000</v>
      </c>
      <c r="M2209">
        <v>870000</v>
      </c>
    </row>
    <row r="2210" spans="1:13" x14ac:dyDescent="0.35">
      <c r="A2210" t="str">
        <f t="shared" si="123"/>
        <v>STKCDG45723105060440000</v>
      </c>
      <c r="B2210" t="s">
        <v>3115</v>
      </c>
      <c r="C2210" s="1">
        <v>45723</v>
      </c>
      <c r="D2210" t="str">
        <f>"1050"</f>
        <v>1050</v>
      </c>
      <c r="E2210" t="str">
        <f t="shared" si="125"/>
        <v>60440000</v>
      </c>
      <c r="F2210" t="s">
        <v>3753</v>
      </c>
      <c r="G2210" t="s">
        <v>336</v>
      </c>
      <c r="H2210" t="s">
        <v>5875</v>
      </c>
      <c r="I2210">
        <v>0</v>
      </c>
      <c r="J2210" t="s">
        <v>343</v>
      </c>
      <c r="K2210">
        <v>175000</v>
      </c>
      <c r="M2210">
        <v>175000</v>
      </c>
    </row>
    <row r="2211" spans="1:13" x14ac:dyDescent="0.35">
      <c r="A2211" t="str">
        <f t="shared" si="123"/>
        <v>STKCDG45723105160440000</v>
      </c>
      <c r="B2211" t="s">
        <v>3115</v>
      </c>
      <c r="C2211" s="1">
        <v>45723</v>
      </c>
      <c r="D2211" t="str">
        <f>"1051"</f>
        <v>1051</v>
      </c>
      <c r="E2211" t="str">
        <f t="shared" si="125"/>
        <v>60440000</v>
      </c>
      <c r="F2211" t="s">
        <v>3755</v>
      </c>
      <c r="G2211" t="s">
        <v>336</v>
      </c>
      <c r="H2211" t="s">
        <v>5875</v>
      </c>
      <c r="I2211">
        <v>0</v>
      </c>
      <c r="J2211" t="s">
        <v>343</v>
      </c>
      <c r="K2211">
        <v>50000</v>
      </c>
      <c r="M2211">
        <v>50000</v>
      </c>
    </row>
    <row r="2212" spans="1:13" x14ac:dyDescent="0.35">
      <c r="A2212" t="str">
        <f t="shared" si="123"/>
        <v>STKCDG45723105260440000</v>
      </c>
      <c r="B2212" t="s">
        <v>3115</v>
      </c>
      <c r="C2212" s="1">
        <v>45723</v>
      </c>
      <c r="D2212" t="str">
        <f>"1052"</f>
        <v>1052</v>
      </c>
      <c r="E2212" t="str">
        <f t="shared" si="125"/>
        <v>60440000</v>
      </c>
      <c r="F2212" t="s">
        <v>3757</v>
      </c>
      <c r="G2212" t="s">
        <v>336</v>
      </c>
      <c r="H2212" t="s">
        <v>5873</v>
      </c>
      <c r="I2212">
        <v>0</v>
      </c>
      <c r="J2212" t="s">
        <v>343</v>
      </c>
      <c r="K2212">
        <v>70000</v>
      </c>
      <c r="M2212">
        <v>70000</v>
      </c>
    </row>
    <row r="2213" spans="1:13" x14ac:dyDescent="0.35">
      <c r="A2213" t="str">
        <f t="shared" si="123"/>
        <v>STKCDG45723105360440000</v>
      </c>
      <c r="B2213" t="s">
        <v>3115</v>
      </c>
      <c r="C2213" s="1">
        <v>45723</v>
      </c>
      <c r="D2213" t="str">
        <f>"1053"</f>
        <v>1053</v>
      </c>
      <c r="E2213" t="str">
        <f t="shared" si="125"/>
        <v>60440000</v>
      </c>
      <c r="F2213" t="s">
        <v>3759</v>
      </c>
      <c r="G2213" t="s">
        <v>336</v>
      </c>
      <c r="H2213" t="s">
        <v>5875</v>
      </c>
      <c r="I2213">
        <v>0</v>
      </c>
      <c r="J2213" t="s">
        <v>343</v>
      </c>
      <c r="K2213">
        <v>30000</v>
      </c>
      <c r="M2213">
        <v>30000</v>
      </c>
    </row>
    <row r="2214" spans="1:13" x14ac:dyDescent="0.35">
      <c r="A2214" t="str">
        <f t="shared" si="123"/>
        <v>STKCDG45723105460440000</v>
      </c>
      <c r="B2214" t="s">
        <v>3115</v>
      </c>
      <c r="C2214" s="1">
        <v>45723</v>
      </c>
      <c r="D2214" t="str">
        <f>"1054"</f>
        <v>1054</v>
      </c>
      <c r="E2214" t="str">
        <f t="shared" si="125"/>
        <v>60440000</v>
      </c>
      <c r="F2214" t="s">
        <v>3761</v>
      </c>
      <c r="G2214" t="s">
        <v>336</v>
      </c>
      <c r="H2214" t="s">
        <v>5880</v>
      </c>
      <c r="I2214">
        <v>0</v>
      </c>
      <c r="J2214" t="s">
        <v>343</v>
      </c>
      <c r="K2214">
        <v>90000</v>
      </c>
      <c r="M2214">
        <v>90000</v>
      </c>
    </row>
    <row r="2215" spans="1:13" x14ac:dyDescent="0.35">
      <c r="A2215" t="str">
        <f t="shared" si="123"/>
        <v>STKCDG45723105560440000</v>
      </c>
      <c r="B2215" t="s">
        <v>3115</v>
      </c>
      <c r="C2215" s="1">
        <v>45723</v>
      </c>
      <c r="D2215" t="str">
        <f>"1055"</f>
        <v>1055</v>
      </c>
      <c r="E2215" t="str">
        <f t="shared" si="125"/>
        <v>60440000</v>
      </c>
      <c r="F2215" t="s">
        <v>3763</v>
      </c>
      <c r="G2215" t="s">
        <v>336</v>
      </c>
      <c r="H2215" t="s">
        <v>5958</v>
      </c>
      <c r="I2215">
        <v>0</v>
      </c>
      <c r="J2215" t="s">
        <v>343</v>
      </c>
      <c r="K2215">
        <v>70000</v>
      </c>
      <c r="M2215">
        <v>70000</v>
      </c>
    </row>
    <row r="2216" spans="1:13" x14ac:dyDescent="0.35">
      <c r="A2216" t="str">
        <f t="shared" si="123"/>
        <v>STKCDG45723105660440000</v>
      </c>
      <c r="B2216" t="s">
        <v>3115</v>
      </c>
      <c r="C2216" s="1">
        <v>45723</v>
      </c>
      <c r="D2216" t="str">
        <f>"1056"</f>
        <v>1056</v>
      </c>
      <c r="E2216" t="str">
        <f t="shared" si="125"/>
        <v>60440000</v>
      </c>
      <c r="F2216" t="s">
        <v>3765</v>
      </c>
      <c r="G2216" t="s">
        <v>336</v>
      </c>
      <c r="H2216" t="s">
        <v>5874</v>
      </c>
      <c r="I2216">
        <v>0</v>
      </c>
      <c r="J2216" t="s">
        <v>343</v>
      </c>
      <c r="K2216">
        <v>45000</v>
      </c>
      <c r="M2216">
        <v>45000</v>
      </c>
    </row>
    <row r="2217" spans="1:13" x14ac:dyDescent="0.35">
      <c r="A2217" t="str">
        <f t="shared" si="123"/>
        <v>STKCDG45723105760440000</v>
      </c>
      <c r="B2217" t="s">
        <v>3115</v>
      </c>
      <c r="C2217" s="1">
        <v>45723</v>
      </c>
      <c r="D2217" t="str">
        <f>"1057"</f>
        <v>1057</v>
      </c>
      <c r="E2217" t="str">
        <f t="shared" si="125"/>
        <v>60440000</v>
      </c>
      <c r="F2217" t="s">
        <v>3767</v>
      </c>
      <c r="G2217" t="s">
        <v>336</v>
      </c>
      <c r="H2217" t="s">
        <v>5875</v>
      </c>
      <c r="I2217">
        <v>0</v>
      </c>
      <c r="J2217" t="s">
        <v>343</v>
      </c>
      <c r="K2217">
        <v>80000</v>
      </c>
      <c r="M2217">
        <v>80000</v>
      </c>
    </row>
    <row r="2218" spans="1:13" x14ac:dyDescent="0.35">
      <c r="A2218" t="str">
        <f t="shared" si="123"/>
        <v>STKCDG45723105860440000</v>
      </c>
      <c r="B2218" t="s">
        <v>3115</v>
      </c>
      <c r="C2218" s="1">
        <v>45723</v>
      </c>
      <c r="D2218" t="str">
        <f>"1058"</f>
        <v>1058</v>
      </c>
      <c r="E2218" t="str">
        <f t="shared" si="125"/>
        <v>60440000</v>
      </c>
      <c r="F2218" t="s">
        <v>3769</v>
      </c>
      <c r="G2218" t="s">
        <v>336</v>
      </c>
      <c r="H2218" t="s">
        <v>5876</v>
      </c>
      <c r="I2218">
        <v>0</v>
      </c>
      <c r="J2218" t="s">
        <v>343</v>
      </c>
      <c r="K2218">
        <v>65000</v>
      </c>
      <c r="M2218">
        <v>65000</v>
      </c>
    </row>
    <row r="2219" spans="1:13" x14ac:dyDescent="0.35">
      <c r="A2219" t="str">
        <f t="shared" si="123"/>
        <v>STKCDG45723105960440000</v>
      </c>
      <c r="B2219" t="s">
        <v>3115</v>
      </c>
      <c r="C2219" s="1">
        <v>45723</v>
      </c>
      <c r="D2219" t="str">
        <f>"1059"</f>
        <v>1059</v>
      </c>
      <c r="E2219" t="str">
        <f t="shared" si="125"/>
        <v>60440000</v>
      </c>
      <c r="F2219" t="s">
        <v>3771</v>
      </c>
      <c r="G2219" t="s">
        <v>336</v>
      </c>
      <c r="H2219" t="s">
        <v>5876</v>
      </c>
      <c r="I2219">
        <v>0</v>
      </c>
      <c r="J2219" t="s">
        <v>343</v>
      </c>
      <c r="K2219">
        <v>185112</v>
      </c>
      <c r="M2219">
        <v>185112</v>
      </c>
    </row>
    <row r="2220" spans="1:13" x14ac:dyDescent="0.35">
      <c r="A2220" t="str">
        <f t="shared" si="123"/>
        <v>STKCDG45723106060440000</v>
      </c>
      <c r="B2220" t="s">
        <v>3115</v>
      </c>
      <c r="C2220" s="1">
        <v>45723</v>
      </c>
      <c r="D2220" t="str">
        <f>"1060"</f>
        <v>1060</v>
      </c>
      <c r="E2220" t="str">
        <f t="shared" si="125"/>
        <v>60440000</v>
      </c>
      <c r="F2220" t="s">
        <v>3773</v>
      </c>
      <c r="G2220" t="s">
        <v>336</v>
      </c>
      <c r="H2220" t="s">
        <v>5876</v>
      </c>
      <c r="I2220">
        <v>0</v>
      </c>
      <c r="J2220" t="s">
        <v>343</v>
      </c>
      <c r="K2220">
        <v>30000</v>
      </c>
      <c r="M2220">
        <v>30000</v>
      </c>
    </row>
    <row r="2221" spans="1:13" x14ac:dyDescent="0.35">
      <c r="A2221" t="str">
        <f t="shared" si="123"/>
        <v>STKCDG45723106160440000</v>
      </c>
      <c r="B2221" t="s">
        <v>3115</v>
      </c>
      <c r="C2221" s="1">
        <v>45723</v>
      </c>
      <c r="D2221" t="str">
        <f>"1061"</f>
        <v>1061</v>
      </c>
      <c r="E2221" t="str">
        <f t="shared" si="125"/>
        <v>60440000</v>
      </c>
      <c r="F2221" t="s">
        <v>3775</v>
      </c>
      <c r="G2221" t="s">
        <v>336</v>
      </c>
      <c r="H2221" t="s">
        <v>5875</v>
      </c>
      <c r="I2221">
        <v>0</v>
      </c>
      <c r="J2221" t="s">
        <v>343</v>
      </c>
      <c r="K2221">
        <v>80000</v>
      </c>
      <c r="M2221">
        <v>80000</v>
      </c>
    </row>
    <row r="2222" spans="1:13" x14ac:dyDescent="0.35">
      <c r="A2222" t="str">
        <f t="shared" si="123"/>
        <v>STKCDG45723106260440000</v>
      </c>
      <c r="B2222" t="s">
        <v>3115</v>
      </c>
      <c r="C2222" s="1">
        <v>45723</v>
      </c>
      <c r="D2222" t="str">
        <f>"1062"</f>
        <v>1062</v>
      </c>
      <c r="E2222" t="str">
        <f t="shared" si="125"/>
        <v>60440000</v>
      </c>
      <c r="F2222" t="s">
        <v>3777</v>
      </c>
      <c r="G2222" t="s">
        <v>336</v>
      </c>
      <c r="H2222" t="s">
        <v>5880</v>
      </c>
      <c r="I2222">
        <v>0</v>
      </c>
      <c r="J2222" t="s">
        <v>343</v>
      </c>
      <c r="K2222">
        <v>65000</v>
      </c>
      <c r="M2222">
        <v>65000</v>
      </c>
    </row>
    <row r="2223" spans="1:13" x14ac:dyDescent="0.35">
      <c r="A2223" t="str">
        <f t="shared" si="123"/>
        <v>STKCDG45723106360440000</v>
      </c>
      <c r="B2223" t="s">
        <v>3115</v>
      </c>
      <c r="C2223" s="1">
        <v>45723</v>
      </c>
      <c r="D2223" t="str">
        <f>"1063"</f>
        <v>1063</v>
      </c>
      <c r="E2223" t="str">
        <f t="shared" si="125"/>
        <v>60440000</v>
      </c>
      <c r="F2223" t="s">
        <v>3779</v>
      </c>
      <c r="G2223" t="s">
        <v>336</v>
      </c>
      <c r="H2223" t="s">
        <v>5874</v>
      </c>
      <c r="I2223">
        <v>0</v>
      </c>
      <c r="J2223" t="s">
        <v>343</v>
      </c>
      <c r="K2223">
        <v>65000</v>
      </c>
      <c r="M2223">
        <v>65000</v>
      </c>
    </row>
    <row r="2224" spans="1:13" x14ac:dyDescent="0.35">
      <c r="A2224" t="str">
        <f t="shared" si="123"/>
        <v>STKCDG45723106460440000</v>
      </c>
      <c r="B2224" t="s">
        <v>3115</v>
      </c>
      <c r="C2224" s="1">
        <v>45723</v>
      </c>
      <c r="D2224" t="str">
        <f>"1064"</f>
        <v>1064</v>
      </c>
      <c r="E2224" t="str">
        <f t="shared" si="125"/>
        <v>60440000</v>
      </c>
      <c r="F2224" t="s">
        <v>3781</v>
      </c>
      <c r="G2224" t="s">
        <v>336</v>
      </c>
      <c r="H2224" t="s">
        <v>5876</v>
      </c>
      <c r="I2224">
        <v>0</v>
      </c>
      <c r="J2224" t="s">
        <v>343</v>
      </c>
      <c r="K2224">
        <v>15000</v>
      </c>
      <c r="M2224">
        <v>15000</v>
      </c>
    </row>
    <row r="2225" spans="1:13" x14ac:dyDescent="0.35">
      <c r="A2225" t="str">
        <f t="shared" si="123"/>
        <v>STKCDG45723106560460000</v>
      </c>
      <c r="B2225" t="s">
        <v>3115</v>
      </c>
      <c r="C2225" s="1">
        <v>45723</v>
      </c>
      <c r="D2225" t="str">
        <f>"1065"</f>
        <v>1065</v>
      </c>
      <c r="E2225" t="str">
        <f>"60460000"</f>
        <v>60460000</v>
      </c>
      <c r="F2225" t="s">
        <v>3783</v>
      </c>
      <c r="G2225" t="s">
        <v>336</v>
      </c>
      <c r="H2225" t="s">
        <v>5876</v>
      </c>
      <c r="I2225">
        <v>0</v>
      </c>
      <c r="J2225" t="s">
        <v>343</v>
      </c>
      <c r="K2225">
        <v>300</v>
      </c>
      <c r="M2225">
        <v>300</v>
      </c>
    </row>
    <row r="2226" spans="1:13" x14ac:dyDescent="0.35">
      <c r="A2226" t="str">
        <f t="shared" si="123"/>
        <v>STKCDG45723106660440000</v>
      </c>
      <c r="B2226" t="s">
        <v>3115</v>
      </c>
      <c r="C2226" s="1">
        <v>45723</v>
      </c>
      <c r="D2226" t="str">
        <f>"1066"</f>
        <v>1066</v>
      </c>
      <c r="E2226" t="str">
        <f>"60440000"</f>
        <v>60440000</v>
      </c>
      <c r="F2226" t="s">
        <v>3785</v>
      </c>
      <c r="G2226" t="s">
        <v>336</v>
      </c>
      <c r="H2226" t="s">
        <v>5876</v>
      </c>
      <c r="I2226">
        <v>0</v>
      </c>
      <c r="J2226" t="s">
        <v>343</v>
      </c>
      <c r="K2226">
        <v>15000</v>
      </c>
      <c r="M2226">
        <v>15000</v>
      </c>
    </row>
    <row r="2227" spans="1:13" x14ac:dyDescent="0.35">
      <c r="A2227" t="str">
        <f t="shared" si="123"/>
        <v>STKCDG45723106760440000</v>
      </c>
      <c r="B2227" t="s">
        <v>3115</v>
      </c>
      <c r="C2227" s="1">
        <v>45723</v>
      </c>
      <c r="D2227" t="str">
        <f>"1067"</f>
        <v>1067</v>
      </c>
      <c r="E2227" t="str">
        <f>"60440000"</f>
        <v>60440000</v>
      </c>
      <c r="F2227" t="s">
        <v>3787</v>
      </c>
      <c r="G2227" t="s">
        <v>336</v>
      </c>
      <c r="H2227" t="s">
        <v>5966</v>
      </c>
      <c r="I2227">
        <v>0</v>
      </c>
      <c r="J2227" t="s">
        <v>343</v>
      </c>
      <c r="K2227">
        <v>49984</v>
      </c>
      <c r="M2227">
        <v>49984</v>
      </c>
    </row>
    <row r="2228" spans="1:13" x14ac:dyDescent="0.35">
      <c r="A2228" t="str">
        <f t="shared" si="123"/>
        <v>STKCDG45723106860460000</v>
      </c>
      <c r="B2228" t="s">
        <v>3115</v>
      </c>
      <c r="C2228" s="1">
        <v>45723</v>
      </c>
      <c r="D2228" t="str">
        <f>"1068"</f>
        <v>1068</v>
      </c>
      <c r="E2228" t="str">
        <f>"60460000"</f>
        <v>60460000</v>
      </c>
      <c r="F2228" t="s">
        <v>3789</v>
      </c>
      <c r="G2228" t="s">
        <v>336</v>
      </c>
      <c r="H2228" t="s">
        <v>5966</v>
      </c>
      <c r="I2228">
        <v>0</v>
      </c>
      <c r="J2228" t="s">
        <v>343</v>
      </c>
      <c r="K2228">
        <v>350</v>
      </c>
      <c r="M2228">
        <v>900</v>
      </c>
    </row>
    <row r="2229" spans="1:13" x14ac:dyDescent="0.35">
      <c r="A2229" t="str">
        <f t="shared" si="123"/>
        <v>STKCDG45723106860460000</v>
      </c>
      <c r="B2229" t="s">
        <v>3115</v>
      </c>
      <c r="C2229" s="1">
        <v>45723</v>
      </c>
      <c r="D2229" t="str">
        <f>"1068"</f>
        <v>1068</v>
      </c>
      <c r="E2229" t="str">
        <f>"60460000"</f>
        <v>60460000</v>
      </c>
      <c r="F2229" t="s">
        <v>3789</v>
      </c>
      <c r="G2229" t="s">
        <v>336</v>
      </c>
      <c r="H2229" t="s">
        <v>5966</v>
      </c>
      <c r="I2229">
        <v>0</v>
      </c>
      <c r="J2229" t="s">
        <v>343</v>
      </c>
      <c r="K2229">
        <v>550</v>
      </c>
      <c r="M2229">
        <v>900</v>
      </c>
    </row>
    <row r="2230" spans="1:13" x14ac:dyDescent="0.35">
      <c r="A2230" t="str">
        <f t="shared" si="123"/>
        <v>STKCDG45723106960460000</v>
      </c>
      <c r="B2230" t="s">
        <v>3115</v>
      </c>
      <c r="C2230" s="1">
        <v>45723</v>
      </c>
      <c r="D2230" t="str">
        <f>"1069"</f>
        <v>1069</v>
      </c>
      <c r="E2230" t="str">
        <f>"60460000"</f>
        <v>60460000</v>
      </c>
      <c r="F2230" t="s">
        <v>3791</v>
      </c>
      <c r="G2230" t="s">
        <v>336</v>
      </c>
      <c r="H2230" t="s">
        <v>5966</v>
      </c>
      <c r="I2230">
        <v>0</v>
      </c>
      <c r="J2230" t="s">
        <v>343</v>
      </c>
      <c r="K2230">
        <v>7100</v>
      </c>
      <c r="M2230">
        <v>7100</v>
      </c>
    </row>
    <row r="2231" spans="1:13" x14ac:dyDescent="0.35">
      <c r="A2231" t="str">
        <f t="shared" si="123"/>
        <v>STKCDG45723107060440000</v>
      </c>
      <c r="B2231" t="s">
        <v>3115</v>
      </c>
      <c r="C2231" s="1">
        <v>45723</v>
      </c>
      <c r="D2231" t="str">
        <f>"1070"</f>
        <v>1070</v>
      </c>
      <c r="E2231" t="str">
        <f>"60440000"</f>
        <v>60440000</v>
      </c>
      <c r="F2231" t="s">
        <v>3793</v>
      </c>
      <c r="G2231" t="s">
        <v>336</v>
      </c>
      <c r="H2231" t="s">
        <v>5966</v>
      </c>
      <c r="I2231">
        <v>0</v>
      </c>
      <c r="J2231" t="s">
        <v>343</v>
      </c>
      <c r="K2231">
        <v>2230</v>
      </c>
      <c r="M2231">
        <v>2230</v>
      </c>
    </row>
    <row r="2232" spans="1:13" x14ac:dyDescent="0.35">
      <c r="A2232" t="str">
        <f t="shared" si="123"/>
        <v>STKCDG45723107160440000</v>
      </c>
      <c r="B2232" t="s">
        <v>3115</v>
      </c>
      <c r="C2232" s="1">
        <v>45723</v>
      </c>
      <c r="D2232" t="str">
        <f>"1071"</f>
        <v>1071</v>
      </c>
      <c r="E2232" t="str">
        <f>"60440000"</f>
        <v>60440000</v>
      </c>
      <c r="F2232" t="s">
        <v>3795</v>
      </c>
      <c r="G2232" t="s">
        <v>336</v>
      </c>
      <c r="H2232" t="s">
        <v>5966</v>
      </c>
      <c r="I2232">
        <v>0</v>
      </c>
      <c r="J2232" t="s">
        <v>343</v>
      </c>
      <c r="K2232">
        <v>590</v>
      </c>
      <c r="M2232">
        <v>590</v>
      </c>
    </row>
    <row r="2233" spans="1:13" x14ac:dyDescent="0.35">
      <c r="A2233" t="str">
        <f t="shared" si="123"/>
        <v>STKCDG45723107260440000</v>
      </c>
      <c r="B2233" t="s">
        <v>3115</v>
      </c>
      <c r="C2233" s="1">
        <v>45723</v>
      </c>
      <c r="D2233" t="str">
        <f>"1072"</f>
        <v>1072</v>
      </c>
      <c r="E2233" t="str">
        <f>"60440000"</f>
        <v>60440000</v>
      </c>
      <c r="F2233" t="s">
        <v>3797</v>
      </c>
      <c r="G2233" t="s">
        <v>336</v>
      </c>
      <c r="H2233" t="s">
        <v>5966</v>
      </c>
      <c r="I2233">
        <v>0</v>
      </c>
      <c r="J2233" t="s">
        <v>343</v>
      </c>
      <c r="K2233">
        <v>60021</v>
      </c>
      <c r="M2233">
        <v>60021</v>
      </c>
    </row>
    <row r="2234" spans="1:13" x14ac:dyDescent="0.35">
      <c r="A2234" t="str">
        <f t="shared" si="123"/>
        <v>STKCDG45723107360440000</v>
      </c>
      <c r="B2234" t="s">
        <v>3115</v>
      </c>
      <c r="C2234" s="1">
        <v>45723</v>
      </c>
      <c r="D2234" t="str">
        <f>"1073"</f>
        <v>1073</v>
      </c>
      <c r="E2234" t="str">
        <f>"60440000"</f>
        <v>60440000</v>
      </c>
      <c r="F2234" t="s">
        <v>3799</v>
      </c>
      <c r="G2234" t="s">
        <v>336</v>
      </c>
      <c r="H2234" t="s">
        <v>5880</v>
      </c>
      <c r="I2234">
        <v>0</v>
      </c>
      <c r="J2234" t="s">
        <v>343</v>
      </c>
      <c r="K2234">
        <v>300000</v>
      </c>
      <c r="M2234">
        <v>300000</v>
      </c>
    </row>
    <row r="2235" spans="1:13" x14ac:dyDescent="0.35">
      <c r="A2235" t="str">
        <f t="shared" si="123"/>
        <v>STKCDG45723107460460000</v>
      </c>
      <c r="B2235" t="s">
        <v>3115</v>
      </c>
      <c r="C2235" s="1">
        <v>45723</v>
      </c>
      <c r="D2235" t="str">
        <f>"1074"</f>
        <v>1074</v>
      </c>
      <c r="E2235" t="str">
        <f>"60460000"</f>
        <v>60460000</v>
      </c>
      <c r="F2235" t="s">
        <v>3801</v>
      </c>
      <c r="G2235" t="s">
        <v>336</v>
      </c>
      <c r="H2235" t="s">
        <v>5966</v>
      </c>
      <c r="I2235">
        <v>0</v>
      </c>
      <c r="J2235" t="s">
        <v>343</v>
      </c>
      <c r="K2235">
        <v>12442</v>
      </c>
      <c r="M2235">
        <v>12442</v>
      </c>
    </row>
    <row r="2236" spans="1:13" x14ac:dyDescent="0.35">
      <c r="A2236" t="str">
        <f t="shared" si="123"/>
        <v>STKCDG45723107560460000</v>
      </c>
      <c r="B2236" t="s">
        <v>3115</v>
      </c>
      <c r="C2236" s="1">
        <v>45723</v>
      </c>
      <c r="D2236" t="str">
        <f>"1075"</f>
        <v>1075</v>
      </c>
      <c r="E2236" t="str">
        <f>"60460000"</f>
        <v>60460000</v>
      </c>
      <c r="F2236" t="s">
        <v>3803</v>
      </c>
      <c r="G2236" t="s">
        <v>336</v>
      </c>
      <c r="H2236" t="s">
        <v>5966</v>
      </c>
      <c r="I2236">
        <v>0</v>
      </c>
      <c r="J2236" t="s">
        <v>343</v>
      </c>
      <c r="K2236">
        <v>2673</v>
      </c>
      <c r="M2236">
        <v>2673</v>
      </c>
    </row>
    <row r="2237" spans="1:13" x14ac:dyDescent="0.35">
      <c r="A2237" t="str">
        <f t="shared" si="123"/>
        <v>STKCDG45723107660460000</v>
      </c>
      <c r="B2237" t="s">
        <v>3115</v>
      </c>
      <c r="C2237" s="1">
        <v>45723</v>
      </c>
      <c r="D2237" t="str">
        <f>"1076"</f>
        <v>1076</v>
      </c>
      <c r="E2237" t="str">
        <f>"60460000"</f>
        <v>60460000</v>
      </c>
      <c r="F2237" t="s">
        <v>3805</v>
      </c>
      <c r="G2237" t="s">
        <v>336</v>
      </c>
      <c r="H2237" t="s">
        <v>5966</v>
      </c>
      <c r="I2237">
        <v>0</v>
      </c>
      <c r="J2237" t="s">
        <v>343</v>
      </c>
      <c r="K2237">
        <v>1782</v>
      </c>
      <c r="M2237">
        <v>1782</v>
      </c>
    </row>
    <row r="2238" spans="1:13" x14ac:dyDescent="0.35">
      <c r="A2238" t="str">
        <f t="shared" si="123"/>
        <v>STKCDG45723107760440000</v>
      </c>
      <c r="B2238" t="s">
        <v>3115</v>
      </c>
      <c r="C2238" s="1">
        <v>45723</v>
      </c>
      <c r="D2238" t="str">
        <f>"1077"</f>
        <v>1077</v>
      </c>
      <c r="E2238" t="str">
        <f>"60440000"</f>
        <v>60440000</v>
      </c>
      <c r="F2238" t="s">
        <v>3807</v>
      </c>
      <c r="G2238" t="s">
        <v>336</v>
      </c>
      <c r="H2238" t="s">
        <v>5946</v>
      </c>
      <c r="I2238">
        <v>0</v>
      </c>
      <c r="J2238" t="s">
        <v>343</v>
      </c>
      <c r="K2238">
        <v>200000</v>
      </c>
      <c r="M2238">
        <v>200000</v>
      </c>
    </row>
    <row r="2239" spans="1:13" x14ac:dyDescent="0.35">
      <c r="A2239" t="str">
        <f t="shared" si="123"/>
        <v>STKCDG45723107860460000</v>
      </c>
      <c r="B2239" t="s">
        <v>3115</v>
      </c>
      <c r="C2239" s="1">
        <v>45723</v>
      </c>
      <c r="D2239" t="str">
        <f>"1078"</f>
        <v>1078</v>
      </c>
      <c r="E2239" t="str">
        <f>"60460000"</f>
        <v>60460000</v>
      </c>
      <c r="F2239" t="s">
        <v>3809</v>
      </c>
      <c r="G2239" t="s">
        <v>336</v>
      </c>
      <c r="H2239" t="s">
        <v>5966</v>
      </c>
      <c r="I2239">
        <v>0</v>
      </c>
      <c r="J2239" t="s">
        <v>343</v>
      </c>
      <c r="K2239">
        <v>2273</v>
      </c>
      <c r="M2239">
        <v>2273</v>
      </c>
    </row>
    <row r="2240" spans="1:13" x14ac:dyDescent="0.35">
      <c r="A2240" t="str">
        <f t="shared" si="123"/>
        <v>STKCDG45723107960440000</v>
      </c>
      <c r="B2240" t="s">
        <v>3115</v>
      </c>
      <c r="C2240" s="1">
        <v>45723</v>
      </c>
      <c r="D2240" t="str">
        <f>"1079"</f>
        <v>1079</v>
      </c>
      <c r="E2240" t="str">
        <f>"60440000"</f>
        <v>60440000</v>
      </c>
      <c r="F2240" t="s">
        <v>3811</v>
      </c>
      <c r="G2240" t="s">
        <v>336</v>
      </c>
      <c r="H2240" t="s">
        <v>5875</v>
      </c>
      <c r="I2240">
        <v>0</v>
      </c>
      <c r="J2240" t="s">
        <v>343</v>
      </c>
      <c r="K2240">
        <v>3500</v>
      </c>
      <c r="M2240">
        <v>3500</v>
      </c>
    </row>
    <row r="2241" spans="1:13" x14ac:dyDescent="0.35">
      <c r="A2241" t="str">
        <f t="shared" si="123"/>
        <v>STKCDG45723108060410000</v>
      </c>
      <c r="B2241" t="s">
        <v>3115</v>
      </c>
      <c r="C2241" s="1">
        <v>45723</v>
      </c>
      <c r="D2241" t="str">
        <f>"1080"</f>
        <v>1080</v>
      </c>
      <c r="E2241" t="str">
        <f>"60410000"</f>
        <v>60410000</v>
      </c>
      <c r="F2241" t="s">
        <v>3813</v>
      </c>
      <c r="G2241" t="s">
        <v>336</v>
      </c>
      <c r="H2241" t="s">
        <v>5966</v>
      </c>
      <c r="I2241">
        <v>0</v>
      </c>
      <c r="J2241" t="s">
        <v>343</v>
      </c>
      <c r="K2241">
        <v>3889</v>
      </c>
      <c r="M2241">
        <v>3889</v>
      </c>
    </row>
    <row r="2242" spans="1:13" x14ac:dyDescent="0.35">
      <c r="A2242" t="str">
        <f t="shared" si="123"/>
        <v>STKCDG45723108160440000</v>
      </c>
      <c r="B2242" t="s">
        <v>3115</v>
      </c>
      <c r="C2242" s="1">
        <v>45723</v>
      </c>
      <c r="D2242" t="str">
        <f>"1081"</f>
        <v>1081</v>
      </c>
      <c r="E2242" t="str">
        <f>"60440000"</f>
        <v>60440000</v>
      </c>
      <c r="F2242" t="s">
        <v>3815</v>
      </c>
      <c r="G2242" t="s">
        <v>336</v>
      </c>
      <c r="H2242" t="s">
        <v>5875</v>
      </c>
      <c r="I2242">
        <v>0</v>
      </c>
      <c r="J2242" t="s">
        <v>343</v>
      </c>
      <c r="K2242">
        <v>270000</v>
      </c>
      <c r="M2242">
        <v>270000</v>
      </c>
    </row>
    <row r="2243" spans="1:13" x14ac:dyDescent="0.35">
      <c r="A2243" t="str">
        <f t="shared" ref="A2243:A2306" si="126">CONCATENATE(B2243,C2243,D2243,E2243)</f>
        <v>STKCDG45723108260440000</v>
      </c>
      <c r="B2243" t="s">
        <v>3115</v>
      </c>
      <c r="C2243" s="1">
        <v>45723</v>
      </c>
      <c r="D2243" t="str">
        <f>"1082"</f>
        <v>1082</v>
      </c>
      <c r="E2243" t="str">
        <f>"60440000"</f>
        <v>60440000</v>
      </c>
      <c r="F2243" t="s">
        <v>3817</v>
      </c>
      <c r="G2243" t="s">
        <v>336</v>
      </c>
      <c r="H2243" t="s">
        <v>5966</v>
      </c>
      <c r="I2243">
        <v>0</v>
      </c>
      <c r="J2243" t="s">
        <v>343</v>
      </c>
      <c r="K2243">
        <v>122270</v>
      </c>
      <c r="M2243">
        <v>122270</v>
      </c>
    </row>
    <row r="2244" spans="1:13" x14ac:dyDescent="0.35">
      <c r="A2244" t="str">
        <f t="shared" si="126"/>
        <v>STKCDG45723108360440000</v>
      </c>
      <c r="B2244" t="s">
        <v>3115</v>
      </c>
      <c r="C2244" s="1">
        <v>45723</v>
      </c>
      <c r="D2244" t="str">
        <f>"1083"</f>
        <v>1083</v>
      </c>
      <c r="E2244" t="str">
        <f>"60440000"</f>
        <v>60440000</v>
      </c>
      <c r="F2244" t="s">
        <v>3819</v>
      </c>
      <c r="G2244" t="s">
        <v>336</v>
      </c>
      <c r="H2244" t="s">
        <v>5966</v>
      </c>
      <c r="I2244">
        <v>0</v>
      </c>
      <c r="J2244" t="s">
        <v>343</v>
      </c>
      <c r="K2244">
        <v>261072</v>
      </c>
      <c r="M2244">
        <v>261072</v>
      </c>
    </row>
    <row r="2245" spans="1:13" x14ac:dyDescent="0.35">
      <c r="A2245" t="str">
        <f t="shared" si="126"/>
        <v>STKCDG45723108460440000</v>
      </c>
      <c r="B2245" t="s">
        <v>3115</v>
      </c>
      <c r="C2245" s="1">
        <v>45723</v>
      </c>
      <c r="D2245" t="str">
        <f>"1084"</f>
        <v>1084</v>
      </c>
      <c r="E2245" t="str">
        <f>"60440000"</f>
        <v>60440000</v>
      </c>
      <c r="F2245" t="s">
        <v>3821</v>
      </c>
      <c r="G2245" t="s">
        <v>336</v>
      </c>
      <c r="H2245" t="s">
        <v>5875</v>
      </c>
      <c r="I2245">
        <v>0</v>
      </c>
      <c r="J2245" t="s">
        <v>343</v>
      </c>
      <c r="K2245">
        <v>1600000</v>
      </c>
      <c r="M2245">
        <v>1600000</v>
      </c>
    </row>
    <row r="2246" spans="1:13" x14ac:dyDescent="0.35">
      <c r="A2246" t="str">
        <f t="shared" si="126"/>
        <v>STKCDG45723108560430000</v>
      </c>
      <c r="B2246" t="s">
        <v>3115</v>
      </c>
      <c r="C2246" s="1">
        <v>45723</v>
      </c>
      <c r="D2246" t="str">
        <f>"1085"</f>
        <v>1085</v>
      </c>
      <c r="E2246" t="str">
        <f>"60430000"</f>
        <v>60430000</v>
      </c>
      <c r="F2246" t="s">
        <v>3823</v>
      </c>
      <c r="G2246" t="s">
        <v>336</v>
      </c>
      <c r="H2246" t="s">
        <v>5966</v>
      </c>
      <c r="I2246">
        <v>0</v>
      </c>
      <c r="J2246" t="s">
        <v>343</v>
      </c>
      <c r="K2246">
        <v>66825</v>
      </c>
      <c r="M2246">
        <v>66825</v>
      </c>
    </row>
    <row r="2247" spans="1:13" x14ac:dyDescent="0.35">
      <c r="A2247" t="str">
        <f t="shared" si="126"/>
        <v>STKCDG45723108660440000</v>
      </c>
      <c r="B2247" t="s">
        <v>3115</v>
      </c>
      <c r="C2247" s="1">
        <v>45723</v>
      </c>
      <c r="D2247" t="str">
        <f>"1086"</f>
        <v>1086</v>
      </c>
      <c r="E2247" t="str">
        <f>"60440000"</f>
        <v>60440000</v>
      </c>
      <c r="F2247" t="s">
        <v>3825</v>
      </c>
      <c r="G2247" t="s">
        <v>336</v>
      </c>
      <c r="H2247" t="s">
        <v>5876</v>
      </c>
      <c r="I2247">
        <v>0</v>
      </c>
      <c r="J2247" t="s">
        <v>343</v>
      </c>
      <c r="K2247">
        <v>15000</v>
      </c>
      <c r="M2247">
        <v>15000</v>
      </c>
    </row>
    <row r="2248" spans="1:13" x14ac:dyDescent="0.35">
      <c r="A2248" t="str">
        <f t="shared" si="126"/>
        <v>STKCDG45723108760460000</v>
      </c>
      <c r="B2248" t="s">
        <v>3115</v>
      </c>
      <c r="C2248" s="1">
        <v>45723</v>
      </c>
      <c r="D2248" t="str">
        <f>"1087"</f>
        <v>1087</v>
      </c>
      <c r="E2248" t="str">
        <f>"60460000"</f>
        <v>60460000</v>
      </c>
      <c r="F2248" t="s">
        <v>3827</v>
      </c>
      <c r="G2248" t="s">
        <v>336</v>
      </c>
      <c r="H2248" t="s">
        <v>5966</v>
      </c>
      <c r="I2248">
        <v>0</v>
      </c>
      <c r="J2248" t="s">
        <v>343</v>
      </c>
      <c r="K2248">
        <v>3409</v>
      </c>
      <c r="M2248">
        <v>3409</v>
      </c>
    </row>
    <row r="2249" spans="1:13" x14ac:dyDescent="0.35">
      <c r="A2249" t="str">
        <f t="shared" si="126"/>
        <v>STKCDG45723108860460000</v>
      </c>
      <c r="B2249" t="s">
        <v>3115</v>
      </c>
      <c r="C2249" s="1">
        <v>45723</v>
      </c>
      <c r="D2249" t="str">
        <f>"1088"</f>
        <v>1088</v>
      </c>
      <c r="E2249" t="str">
        <f>"60460000"</f>
        <v>60460000</v>
      </c>
      <c r="F2249" t="s">
        <v>3829</v>
      </c>
      <c r="G2249" t="s">
        <v>336</v>
      </c>
      <c r="H2249" t="s">
        <v>5876</v>
      </c>
      <c r="I2249">
        <v>0</v>
      </c>
      <c r="J2249" t="s">
        <v>343</v>
      </c>
      <c r="K2249">
        <v>300</v>
      </c>
      <c r="M2249">
        <v>300</v>
      </c>
    </row>
    <row r="2250" spans="1:13" x14ac:dyDescent="0.35">
      <c r="A2250" t="str">
        <f t="shared" si="126"/>
        <v>STKCDG45723108960410000</v>
      </c>
      <c r="B2250" t="s">
        <v>3115</v>
      </c>
      <c r="C2250" s="1">
        <v>45723</v>
      </c>
      <c r="D2250" t="str">
        <f>"1089"</f>
        <v>1089</v>
      </c>
      <c r="E2250" t="str">
        <f>"60410000"</f>
        <v>60410000</v>
      </c>
      <c r="F2250" t="s">
        <v>3831</v>
      </c>
      <c r="G2250" t="s">
        <v>336</v>
      </c>
      <c r="H2250" t="s">
        <v>5966</v>
      </c>
      <c r="I2250">
        <v>0</v>
      </c>
      <c r="J2250" t="s">
        <v>343</v>
      </c>
      <c r="K2250">
        <v>6720</v>
      </c>
      <c r="M2250">
        <v>6720</v>
      </c>
    </row>
    <row r="2251" spans="1:13" x14ac:dyDescent="0.35">
      <c r="A2251" t="str">
        <f t="shared" si="126"/>
        <v>STKCDG45723109060440000</v>
      </c>
      <c r="B2251" t="s">
        <v>3115</v>
      </c>
      <c r="C2251" s="1">
        <v>45723</v>
      </c>
      <c r="D2251" t="str">
        <f>"1090"</f>
        <v>1090</v>
      </c>
      <c r="E2251" t="str">
        <f t="shared" ref="E2251:E2261" si="127">"60440000"</f>
        <v>60440000</v>
      </c>
      <c r="F2251" t="s">
        <v>3833</v>
      </c>
      <c r="G2251" t="s">
        <v>336</v>
      </c>
      <c r="H2251" t="s">
        <v>5876</v>
      </c>
      <c r="I2251">
        <v>0</v>
      </c>
      <c r="J2251" t="s">
        <v>343</v>
      </c>
      <c r="K2251">
        <v>45000</v>
      </c>
      <c r="M2251">
        <v>45000</v>
      </c>
    </row>
    <row r="2252" spans="1:13" x14ac:dyDescent="0.35">
      <c r="A2252" t="str">
        <f t="shared" si="126"/>
        <v>STKCDG45723109160440000</v>
      </c>
      <c r="B2252" t="s">
        <v>3115</v>
      </c>
      <c r="C2252" s="1">
        <v>45723</v>
      </c>
      <c r="D2252" t="str">
        <f>"1091"</f>
        <v>1091</v>
      </c>
      <c r="E2252" t="str">
        <f t="shared" si="127"/>
        <v>60440000</v>
      </c>
      <c r="F2252" t="s">
        <v>3835</v>
      </c>
      <c r="G2252" t="s">
        <v>336</v>
      </c>
      <c r="H2252" t="s">
        <v>5874</v>
      </c>
      <c r="I2252">
        <v>0</v>
      </c>
      <c r="J2252" t="s">
        <v>343</v>
      </c>
      <c r="K2252">
        <v>30000</v>
      </c>
      <c r="M2252">
        <v>30000</v>
      </c>
    </row>
    <row r="2253" spans="1:13" x14ac:dyDescent="0.35">
      <c r="A2253" t="str">
        <f t="shared" si="126"/>
        <v>STKCDG45723109260440000</v>
      </c>
      <c r="B2253" t="s">
        <v>3115</v>
      </c>
      <c r="C2253" s="1">
        <v>45723</v>
      </c>
      <c r="D2253" t="str">
        <f>"1092"</f>
        <v>1092</v>
      </c>
      <c r="E2253" t="str">
        <f t="shared" si="127"/>
        <v>60440000</v>
      </c>
      <c r="F2253" t="s">
        <v>3837</v>
      </c>
      <c r="G2253" t="s">
        <v>336</v>
      </c>
      <c r="H2253" t="s">
        <v>5880</v>
      </c>
      <c r="I2253">
        <v>0</v>
      </c>
      <c r="J2253" t="s">
        <v>343</v>
      </c>
      <c r="K2253">
        <v>90000</v>
      </c>
      <c r="M2253">
        <v>90000</v>
      </c>
    </row>
    <row r="2254" spans="1:13" x14ac:dyDescent="0.35">
      <c r="A2254" t="str">
        <f t="shared" si="126"/>
        <v>STKCDG45723109360440000</v>
      </c>
      <c r="B2254" t="s">
        <v>3115</v>
      </c>
      <c r="C2254" s="1">
        <v>45723</v>
      </c>
      <c r="D2254" t="str">
        <f>"1093"</f>
        <v>1093</v>
      </c>
      <c r="E2254" t="str">
        <f t="shared" si="127"/>
        <v>60440000</v>
      </c>
      <c r="F2254" t="s">
        <v>3839</v>
      </c>
      <c r="G2254" t="s">
        <v>336</v>
      </c>
      <c r="H2254" t="s">
        <v>5875</v>
      </c>
      <c r="I2254">
        <v>0</v>
      </c>
      <c r="J2254" t="s">
        <v>343</v>
      </c>
      <c r="K2254">
        <v>6000</v>
      </c>
      <c r="M2254">
        <v>6000</v>
      </c>
    </row>
    <row r="2255" spans="1:13" x14ac:dyDescent="0.35">
      <c r="A2255" t="str">
        <f t="shared" si="126"/>
        <v>STKCDG45723109460440000</v>
      </c>
      <c r="B2255" t="s">
        <v>3115</v>
      </c>
      <c r="C2255" s="1">
        <v>45723</v>
      </c>
      <c r="D2255" t="str">
        <f>"1094"</f>
        <v>1094</v>
      </c>
      <c r="E2255" t="str">
        <f t="shared" si="127"/>
        <v>60440000</v>
      </c>
      <c r="F2255" t="s">
        <v>3841</v>
      </c>
      <c r="G2255" t="s">
        <v>336</v>
      </c>
      <c r="H2255" t="s">
        <v>5876</v>
      </c>
      <c r="I2255">
        <v>0</v>
      </c>
      <c r="J2255" t="s">
        <v>343</v>
      </c>
      <c r="K2255">
        <v>8000</v>
      </c>
      <c r="M2255">
        <v>8000</v>
      </c>
    </row>
    <row r="2256" spans="1:13" x14ac:dyDescent="0.35">
      <c r="A2256" t="str">
        <f t="shared" si="126"/>
        <v>STKCDG45723109560440000</v>
      </c>
      <c r="B2256" t="s">
        <v>3115</v>
      </c>
      <c r="C2256" s="1">
        <v>45723</v>
      </c>
      <c r="D2256" t="str">
        <f>"1095"</f>
        <v>1095</v>
      </c>
      <c r="E2256" t="str">
        <f t="shared" si="127"/>
        <v>60440000</v>
      </c>
      <c r="F2256" t="s">
        <v>3843</v>
      </c>
      <c r="G2256" t="s">
        <v>336</v>
      </c>
      <c r="H2256" t="s">
        <v>5876</v>
      </c>
      <c r="I2256">
        <v>0</v>
      </c>
      <c r="J2256" t="s">
        <v>343</v>
      </c>
      <c r="K2256">
        <v>6000</v>
      </c>
      <c r="M2256">
        <v>6000</v>
      </c>
    </row>
    <row r="2257" spans="1:13" x14ac:dyDescent="0.35">
      <c r="A2257" t="str">
        <f t="shared" si="126"/>
        <v>STKCDG45723109660440000</v>
      </c>
      <c r="B2257" t="s">
        <v>3115</v>
      </c>
      <c r="C2257" s="1">
        <v>45723</v>
      </c>
      <c r="D2257" t="str">
        <f>"1096"</f>
        <v>1096</v>
      </c>
      <c r="E2257" t="str">
        <f t="shared" si="127"/>
        <v>60440000</v>
      </c>
      <c r="F2257" t="s">
        <v>3845</v>
      </c>
      <c r="G2257" t="s">
        <v>336</v>
      </c>
      <c r="H2257" t="s">
        <v>5874</v>
      </c>
      <c r="I2257">
        <v>0</v>
      </c>
      <c r="J2257" t="s">
        <v>343</v>
      </c>
      <c r="K2257">
        <v>6000</v>
      </c>
      <c r="M2257">
        <v>6000</v>
      </c>
    </row>
    <row r="2258" spans="1:13" x14ac:dyDescent="0.35">
      <c r="A2258" t="str">
        <f t="shared" si="126"/>
        <v>STKCDG45723109760440000</v>
      </c>
      <c r="B2258" t="s">
        <v>3115</v>
      </c>
      <c r="C2258" s="1">
        <v>45723</v>
      </c>
      <c r="D2258" t="str">
        <f>"1097"</f>
        <v>1097</v>
      </c>
      <c r="E2258" t="str">
        <f t="shared" si="127"/>
        <v>60440000</v>
      </c>
      <c r="F2258" t="s">
        <v>3847</v>
      </c>
      <c r="G2258" t="s">
        <v>336</v>
      </c>
      <c r="H2258" t="s">
        <v>5875</v>
      </c>
      <c r="I2258">
        <v>0</v>
      </c>
      <c r="J2258" t="s">
        <v>343</v>
      </c>
      <c r="K2258">
        <v>38000</v>
      </c>
      <c r="M2258">
        <v>38000</v>
      </c>
    </row>
    <row r="2259" spans="1:13" x14ac:dyDescent="0.35">
      <c r="A2259" t="str">
        <f t="shared" si="126"/>
        <v>STKCDG45723109860440000</v>
      </c>
      <c r="B2259" t="s">
        <v>3115</v>
      </c>
      <c r="C2259" s="1">
        <v>45723</v>
      </c>
      <c r="D2259" t="str">
        <f>"1098"</f>
        <v>1098</v>
      </c>
      <c r="E2259" t="str">
        <f t="shared" si="127"/>
        <v>60440000</v>
      </c>
      <c r="F2259" t="s">
        <v>3849</v>
      </c>
      <c r="G2259" t="s">
        <v>336</v>
      </c>
      <c r="H2259" t="s">
        <v>5880</v>
      </c>
      <c r="I2259">
        <v>0</v>
      </c>
      <c r="J2259" t="s">
        <v>343</v>
      </c>
      <c r="K2259">
        <v>24000</v>
      </c>
      <c r="M2259">
        <v>24000</v>
      </c>
    </row>
    <row r="2260" spans="1:13" x14ac:dyDescent="0.35">
      <c r="A2260" t="str">
        <f t="shared" si="126"/>
        <v>STKCDG45723109960440000</v>
      </c>
      <c r="B2260" t="s">
        <v>3115</v>
      </c>
      <c r="C2260" s="1">
        <v>45723</v>
      </c>
      <c r="D2260" t="str">
        <f>"1099"</f>
        <v>1099</v>
      </c>
      <c r="E2260" t="str">
        <f t="shared" si="127"/>
        <v>60440000</v>
      </c>
      <c r="F2260" t="s">
        <v>3851</v>
      </c>
      <c r="G2260" t="s">
        <v>336</v>
      </c>
      <c r="H2260" t="s">
        <v>5875</v>
      </c>
      <c r="I2260">
        <v>0</v>
      </c>
      <c r="J2260" t="s">
        <v>343</v>
      </c>
      <c r="K2260">
        <v>26501</v>
      </c>
      <c r="M2260">
        <v>26501</v>
      </c>
    </row>
    <row r="2261" spans="1:13" x14ac:dyDescent="0.35">
      <c r="A2261" t="str">
        <f t="shared" si="126"/>
        <v>STKCDG45723110060440000</v>
      </c>
      <c r="B2261" t="s">
        <v>3115</v>
      </c>
      <c r="C2261" s="1">
        <v>45723</v>
      </c>
      <c r="D2261" t="str">
        <f>"1100"</f>
        <v>1100</v>
      </c>
      <c r="E2261" t="str">
        <f t="shared" si="127"/>
        <v>60440000</v>
      </c>
      <c r="F2261" t="s">
        <v>3853</v>
      </c>
      <c r="G2261" t="s">
        <v>336</v>
      </c>
      <c r="H2261" t="s">
        <v>5876</v>
      </c>
      <c r="I2261">
        <v>0</v>
      </c>
      <c r="J2261" t="s">
        <v>343</v>
      </c>
      <c r="K2261">
        <v>8000</v>
      </c>
      <c r="M2261">
        <v>8000</v>
      </c>
    </row>
    <row r="2262" spans="1:13" x14ac:dyDescent="0.35">
      <c r="A2262" t="str">
        <f t="shared" si="126"/>
        <v>STKCDG45723110160460000</v>
      </c>
      <c r="B2262" t="s">
        <v>3115</v>
      </c>
      <c r="C2262" s="1">
        <v>45723</v>
      </c>
      <c r="D2262" t="str">
        <f>"1101"</f>
        <v>1101</v>
      </c>
      <c r="E2262" t="str">
        <f t="shared" ref="E2262:E2267" si="128">"60460000"</f>
        <v>60460000</v>
      </c>
      <c r="F2262" t="s">
        <v>3855</v>
      </c>
      <c r="G2262" t="s">
        <v>336</v>
      </c>
      <c r="H2262" t="s">
        <v>5875</v>
      </c>
      <c r="I2262">
        <v>0</v>
      </c>
      <c r="J2262" t="s">
        <v>343</v>
      </c>
      <c r="K2262">
        <v>2273</v>
      </c>
      <c r="M2262">
        <v>2273</v>
      </c>
    </row>
    <row r="2263" spans="1:13" x14ac:dyDescent="0.35">
      <c r="A2263" t="str">
        <f t="shared" si="126"/>
        <v>STKCDG45723110260460000</v>
      </c>
      <c r="B2263" t="s">
        <v>3115</v>
      </c>
      <c r="C2263" s="1">
        <v>45723</v>
      </c>
      <c r="D2263" t="str">
        <f>"1102"</f>
        <v>1102</v>
      </c>
      <c r="E2263" t="str">
        <f t="shared" si="128"/>
        <v>60460000</v>
      </c>
      <c r="F2263" t="s">
        <v>3857</v>
      </c>
      <c r="G2263" t="s">
        <v>336</v>
      </c>
      <c r="H2263" t="s">
        <v>5875</v>
      </c>
      <c r="I2263">
        <v>0</v>
      </c>
      <c r="J2263" t="s">
        <v>343</v>
      </c>
      <c r="K2263">
        <v>11172</v>
      </c>
      <c r="M2263">
        <v>11172</v>
      </c>
    </row>
    <row r="2264" spans="1:13" x14ac:dyDescent="0.35">
      <c r="A2264" t="str">
        <f t="shared" si="126"/>
        <v>STKCDG45723110360460000</v>
      </c>
      <c r="B2264" t="s">
        <v>3115</v>
      </c>
      <c r="C2264" s="1">
        <v>45723</v>
      </c>
      <c r="D2264" t="str">
        <f>"1103"</f>
        <v>1103</v>
      </c>
      <c r="E2264" t="str">
        <f t="shared" si="128"/>
        <v>60460000</v>
      </c>
      <c r="F2264" t="s">
        <v>3859</v>
      </c>
      <c r="G2264" t="s">
        <v>336</v>
      </c>
      <c r="H2264" t="s">
        <v>5949</v>
      </c>
      <c r="I2264">
        <v>0</v>
      </c>
      <c r="J2264" t="s">
        <v>343</v>
      </c>
      <c r="K2264">
        <v>2400</v>
      </c>
      <c r="M2264">
        <v>2400</v>
      </c>
    </row>
    <row r="2265" spans="1:13" x14ac:dyDescent="0.35">
      <c r="A2265" t="str">
        <f t="shared" si="126"/>
        <v>STKCDG45723110460460000</v>
      </c>
      <c r="B2265" t="s">
        <v>3115</v>
      </c>
      <c r="C2265" s="1">
        <v>45723</v>
      </c>
      <c r="D2265" t="str">
        <f>"1104"</f>
        <v>1104</v>
      </c>
      <c r="E2265" t="str">
        <f t="shared" si="128"/>
        <v>60460000</v>
      </c>
      <c r="F2265" t="s">
        <v>3861</v>
      </c>
      <c r="G2265" t="s">
        <v>336</v>
      </c>
      <c r="H2265" t="s">
        <v>5949</v>
      </c>
      <c r="I2265">
        <v>0</v>
      </c>
      <c r="J2265" t="s">
        <v>343</v>
      </c>
      <c r="K2265">
        <v>42900</v>
      </c>
      <c r="M2265">
        <v>42900</v>
      </c>
    </row>
    <row r="2266" spans="1:13" x14ac:dyDescent="0.35">
      <c r="A2266" t="str">
        <f t="shared" si="126"/>
        <v>STKCDG45723110560460000</v>
      </c>
      <c r="B2266" t="s">
        <v>3115</v>
      </c>
      <c r="C2266" s="1">
        <v>45723</v>
      </c>
      <c r="D2266" t="str">
        <f>"1105"</f>
        <v>1105</v>
      </c>
      <c r="E2266" t="str">
        <f t="shared" si="128"/>
        <v>60460000</v>
      </c>
      <c r="F2266" t="s">
        <v>3863</v>
      </c>
      <c r="G2266" t="s">
        <v>336</v>
      </c>
      <c r="H2266" t="s">
        <v>5880</v>
      </c>
      <c r="I2266">
        <v>0</v>
      </c>
      <c r="J2266" t="s">
        <v>343</v>
      </c>
      <c r="K2266">
        <v>1250</v>
      </c>
      <c r="M2266">
        <v>1250</v>
      </c>
    </row>
    <row r="2267" spans="1:13" x14ac:dyDescent="0.35">
      <c r="A2267" t="str">
        <f t="shared" si="126"/>
        <v>STKCDG45723110660460000</v>
      </c>
      <c r="B2267" t="s">
        <v>3115</v>
      </c>
      <c r="C2267" s="1">
        <v>45723</v>
      </c>
      <c r="D2267" t="str">
        <f>"1106"</f>
        <v>1106</v>
      </c>
      <c r="E2267" t="str">
        <f t="shared" si="128"/>
        <v>60460000</v>
      </c>
      <c r="F2267" t="s">
        <v>3865</v>
      </c>
      <c r="G2267" t="s">
        <v>336</v>
      </c>
      <c r="H2267" t="s">
        <v>5873</v>
      </c>
      <c r="I2267">
        <v>0</v>
      </c>
      <c r="J2267" t="s">
        <v>343</v>
      </c>
      <c r="K2267">
        <v>992</v>
      </c>
      <c r="M2267">
        <v>992</v>
      </c>
    </row>
    <row r="2268" spans="1:13" x14ac:dyDescent="0.35">
      <c r="A2268" t="str">
        <f t="shared" si="126"/>
        <v>STKCDG45723110760430000</v>
      </c>
      <c r="B2268" t="s">
        <v>3115</v>
      </c>
      <c r="C2268" s="1">
        <v>45723</v>
      </c>
      <c r="D2268" t="str">
        <f>"1107"</f>
        <v>1107</v>
      </c>
      <c r="E2268" t="str">
        <f>"60430000"</f>
        <v>60430000</v>
      </c>
      <c r="F2268" t="s">
        <v>3867</v>
      </c>
      <c r="G2268" t="s">
        <v>336</v>
      </c>
      <c r="H2268" t="s">
        <v>5905</v>
      </c>
      <c r="I2268">
        <v>0</v>
      </c>
      <c r="J2268" t="s">
        <v>343</v>
      </c>
      <c r="K2268">
        <v>20250</v>
      </c>
      <c r="M2268">
        <v>20250</v>
      </c>
    </row>
    <row r="2269" spans="1:13" x14ac:dyDescent="0.35">
      <c r="A2269" t="str">
        <f t="shared" si="126"/>
        <v>STKCDG45723110860460000</v>
      </c>
      <c r="B2269" t="s">
        <v>3115</v>
      </c>
      <c r="C2269" s="1">
        <v>45723</v>
      </c>
      <c r="D2269" t="str">
        <f>"1108"</f>
        <v>1108</v>
      </c>
      <c r="E2269" t="str">
        <f>"60460000"</f>
        <v>60460000</v>
      </c>
      <c r="F2269" t="s">
        <v>3869</v>
      </c>
      <c r="G2269" t="s">
        <v>336</v>
      </c>
      <c r="H2269" t="s">
        <v>5876</v>
      </c>
      <c r="I2269">
        <v>0</v>
      </c>
      <c r="J2269" t="s">
        <v>343</v>
      </c>
      <c r="K2269">
        <v>3298</v>
      </c>
      <c r="M2269">
        <v>3298</v>
      </c>
    </row>
    <row r="2270" spans="1:13" x14ac:dyDescent="0.35">
      <c r="A2270" t="str">
        <f t="shared" si="126"/>
        <v>STKCDG45723110960460000</v>
      </c>
      <c r="B2270" t="s">
        <v>3115</v>
      </c>
      <c r="C2270" s="1">
        <v>45723</v>
      </c>
      <c r="D2270" t="str">
        <f>"1109"</f>
        <v>1109</v>
      </c>
      <c r="E2270" t="str">
        <f>"60460000"</f>
        <v>60460000</v>
      </c>
      <c r="F2270" t="s">
        <v>3871</v>
      </c>
      <c r="G2270" t="s">
        <v>336</v>
      </c>
      <c r="H2270" t="s">
        <v>5949</v>
      </c>
      <c r="I2270">
        <v>0</v>
      </c>
      <c r="J2270" t="s">
        <v>343</v>
      </c>
      <c r="K2270">
        <v>2120</v>
      </c>
      <c r="M2270">
        <v>2120</v>
      </c>
    </row>
    <row r="2271" spans="1:13" x14ac:dyDescent="0.35">
      <c r="A2271" t="str">
        <f t="shared" si="126"/>
        <v>STKCDG45723111060460000</v>
      </c>
      <c r="B2271" t="s">
        <v>3115</v>
      </c>
      <c r="C2271" s="1">
        <v>45723</v>
      </c>
      <c r="D2271" t="str">
        <f>"1110"</f>
        <v>1110</v>
      </c>
      <c r="E2271" t="str">
        <f>"60460000"</f>
        <v>60460000</v>
      </c>
      <c r="F2271" t="s">
        <v>3873</v>
      </c>
      <c r="G2271" t="s">
        <v>336</v>
      </c>
      <c r="H2271" t="s">
        <v>5875</v>
      </c>
      <c r="I2271">
        <v>0</v>
      </c>
      <c r="J2271" t="s">
        <v>343</v>
      </c>
      <c r="K2271">
        <v>2629</v>
      </c>
      <c r="M2271">
        <v>2629</v>
      </c>
    </row>
    <row r="2272" spans="1:13" x14ac:dyDescent="0.35">
      <c r="A2272" t="str">
        <f t="shared" si="126"/>
        <v>STKCDG45724111160440000</v>
      </c>
      <c r="B2272" t="s">
        <v>3115</v>
      </c>
      <c r="C2272" s="1">
        <v>45724</v>
      </c>
      <c r="D2272" t="str">
        <f>"1111"</f>
        <v>1111</v>
      </c>
      <c r="E2272" t="str">
        <f t="shared" ref="E2272:E2281" si="129">"60440000"</f>
        <v>60440000</v>
      </c>
      <c r="F2272" t="s">
        <v>3875</v>
      </c>
      <c r="G2272" t="s">
        <v>336</v>
      </c>
      <c r="H2272" t="s">
        <v>5958</v>
      </c>
      <c r="I2272">
        <v>0</v>
      </c>
      <c r="J2272" t="s">
        <v>343</v>
      </c>
      <c r="K2272">
        <v>722</v>
      </c>
      <c r="M2272">
        <v>722</v>
      </c>
    </row>
    <row r="2273" spans="1:13" x14ac:dyDescent="0.35">
      <c r="A2273" t="str">
        <f t="shared" si="126"/>
        <v>STKCDG45724111260440000</v>
      </c>
      <c r="B2273" t="s">
        <v>3115</v>
      </c>
      <c r="C2273" s="1">
        <v>45724</v>
      </c>
      <c r="D2273" t="str">
        <f>"1112"</f>
        <v>1112</v>
      </c>
      <c r="E2273" t="str">
        <f t="shared" si="129"/>
        <v>60440000</v>
      </c>
      <c r="F2273" t="s">
        <v>3877</v>
      </c>
      <c r="G2273" t="s">
        <v>336</v>
      </c>
      <c r="H2273" t="s">
        <v>5966</v>
      </c>
      <c r="I2273">
        <v>0</v>
      </c>
      <c r="J2273" t="s">
        <v>343</v>
      </c>
      <c r="K2273">
        <v>3936</v>
      </c>
      <c r="M2273">
        <v>3936</v>
      </c>
    </row>
    <row r="2274" spans="1:13" x14ac:dyDescent="0.35">
      <c r="A2274" t="str">
        <f t="shared" si="126"/>
        <v>STKCDG45724111360440000</v>
      </c>
      <c r="B2274" t="s">
        <v>3115</v>
      </c>
      <c r="C2274" s="1">
        <v>45724</v>
      </c>
      <c r="D2274" t="str">
        <f>"1113"</f>
        <v>1113</v>
      </c>
      <c r="E2274" t="str">
        <f t="shared" si="129"/>
        <v>60440000</v>
      </c>
      <c r="F2274" t="s">
        <v>3879</v>
      </c>
      <c r="G2274" t="s">
        <v>336</v>
      </c>
      <c r="H2274" t="s">
        <v>5966</v>
      </c>
      <c r="I2274">
        <v>0</v>
      </c>
      <c r="J2274" t="s">
        <v>343</v>
      </c>
      <c r="K2274">
        <v>2493</v>
      </c>
      <c r="M2274">
        <v>2493</v>
      </c>
    </row>
    <row r="2275" spans="1:13" x14ac:dyDescent="0.35">
      <c r="A2275" t="str">
        <f t="shared" si="126"/>
        <v>STKCDG45724111460440000</v>
      </c>
      <c r="B2275" t="s">
        <v>3115</v>
      </c>
      <c r="C2275" s="1">
        <v>45724</v>
      </c>
      <c r="D2275" t="str">
        <f>"1114"</f>
        <v>1114</v>
      </c>
      <c r="E2275" t="str">
        <f t="shared" si="129"/>
        <v>60440000</v>
      </c>
      <c r="F2275" t="s">
        <v>3881</v>
      </c>
      <c r="G2275" t="s">
        <v>336</v>
      </c>
      <c r="H2275" t="s">
        <v>5966</v>
      </c>
      <c r="I2275">
        <v>0</v>
      </c>
      <c r="J2275" t="s">
        <v>343</v>
      </c>
      <c r="K2275">
        <v>1968</v>
      </c>
      <c r="M2275">
        <v>1968</v>
      </c>
    </row>
    <row r="2276" spans="1:13" x14ac:dyDescent="0.35">
      <c r="A2276" t="str">
        <f t="shared" si="126"/>
        <v>STKCDG45724111560440000</v>
      </c>
      <c r="B2276" t="s">
        <v>3115</v>
      </c>
      <c r="C2276" s="1">
        <v>45724</v>
      </c>
      <c r="D2276" t="str">
        <f>"1115"</f>
        <v>1115</v>
      </c>
      <c r="E2276" t="str">
        <f t="shared" si="129"/>
        <v>60440000</v>
      </c>
      <c r="F2276" t="s">
        <v>3883</v>
      </c>
      <c r="G2276" t="s">
        <v>336</v>
      </c>
      <c r="H2276" t="s">
        <v>5966</v>
      </c>
      <c r="I2276">
        <v>0</v>
      </c>
      <c r="J2276" t="s">
        <v>343</v>
      </c>
      <c r="K2276">
        <v>394</v>
      </c>
      <c r="M2276">
        <v>394</v>
      </c>
    </row>
    <row r="2277" spans="1:13" x14ac:dyDescent="0.35">
      <c r="A2277" t="str">
        <f t="shared" si="126"/>
        <v>STKCDG45724111660440000</v>
      </c>
      <c r="B2277" t="s">
        <v>3115</v>
      </c>
      <c r="C2277" s="1">
        <v>45724</v>
      </c>
      <c r="D2277" t="str">
        <f>"1116"</f>
        <v>1116</v>
      </c>
      <c r="E2277" t="str">
        <f t="shared" si="129"/>
        <v>60440000</v>
      </c>
      <c r="F2277" t="s">
        <v>3885</v>
      </c>
      <c r="G2277" t="s">
        <v>336</v>
      </c>
      <c r="H2277" t="s">
        <v>5966</v>
      </c>
      <c r="I2277">
        <v>0</v>
      </c>
      <c r="J2277" t="s">
        <v>343</v>
      </c>
      <c r="K2277">
        <v>262</v>
      </c>
      <c r="M2277">
        <v>262</v>
      </c>
    </row>
    <row r="2278" spans="1:13" x14ac:dyDescent="0.35">
      <c r="A2278" t="str">
        <f t="shared" si="126"/>
        <v>STKCDG45724111760440000</v>
      </c>
      <c r="B2278" t="s">
        <v>3115</v>
      </c>
      <c r="C2278" s="1">
        <v>45724</v>
      </c>
      <c r="D2278" t="str">
        <f>"1117"</f>
        <v>1117</v>
      </c>
      <c r="E2278" t="str">
        <f t="shared" si="129"/>
        <v>60440000</v>
      </c>
      <c r="F2278" t="s">
        <v>3887</v>
      </c>
      <c r="G2278" t="s">
        <v>336</v>
      </c>
      <c r="H2278" t="s">
        <v>5966</v>
      </c>
      <c r="I2278">
        <v>0</v>
      </c>
      <c r="J2278" t="s">
        <v>343</v>
      </c>
      <c r="K2278">
        <v>3017</v>
      </c>
      <c r="M2278">
        <v>3017</v>
      </c>
    </row>
    <row r="2279" spans="1:13" x14ac:dyDescent="0.35">
      <c r="A2279" t="str">
        <f t="shared" si="126"/>
        <v>STKCDG45724111860440000</v>
      </c>
      <c r="B2279" t="s">
        <v>3115</v>
      </c>
      <c r="C2279" s="1">
        <v>45724</v>
      </c>
      <c r="D2279" t="str">
        <f>"1118"</f>
        <v>1118</v>
      </c>
      <c r="E2279" t="str">
        <f t="shared" si="129"/>
        <v>60440000</v>
      </c>
      <c r="F2279" t="s">
        <v>3889</v>
      </c>
      <c r="G2279" t="s">
        <v>336</v>
      </c>
      <c r="H2279" t="s">
        <v>5966</v>
      </c>
      <c r="I2279">
        <v>0</v>
      </c>
      <c r="J2279" t="s">
        <v>343</v>
      </c>
      <c r="K2279">
        <v>787</v>
      </c>
      <c r="M2279">
        <v>787</v>
      </c>
    </row>
    <row r="2280" spans="1:13" x14ac:dyDescent="0.35">
      <c r="A2280" t="str">
        <f t="shared" si="126"/>
        <v>STKCDG45724111960440000</v>
      </c>
      <c r="B2280" t="s">
        <v>3115</v>
      </c>
      <c r="C2280" s="1">
        <v>45724</v>
      </c>
      <c r="D2280" t="str">
        <f>"1119"</f>
        <v>1119</v>
      </c>
      <c r="E2280" t="str">
        <f t="shared" si="129"/>
        <v>60440000</v>
      </c>
      <c r="F2280" t="s">
        <v>3891</v>
      </c>
      <c r="G2280" t="s">
        <v>336</v>
      </c>
      <c r="H2280" t="s">
        <v>5890</v>
      </c>
      <c r="I2280">
        <v>0</v>
      </c>
      <c r="J2280" t="s">
        <v>343</v>
      </c>
      <c r="K2280">
        <v>3936</v>
      </c>
      <c r="M2280">
        <v>3936</v>
      </c>
    </row>
    <row r="2281" spans="1:13" x14ac:dyDescent="0.35">
      <c r="A2281" t="str">
        <f t="shared" si="126"/>
        <v>STKCDG45724112060440000</v>
      </c>
      <c r="B2281" t="s">
        <v>3115</v>
      </c>
      <c r="C2281" s="1">
        <v>45724</v>
      </c>
      <c r="D2281" t="str">
        <f>"1120"</f>
        <v>1120</v>
      </c>
      <c r="E2281" t="str">
        <f t="shared" si="129"/>
        <v>60440000</v>
      </c>
      <c r="F2281" t="s">
        <v>3893</v>
      </c>
      <c r="G2281" t="s">
        <v>336</v>
      </c>
      <c r="H2281" t="s">
        <v>5966</v>
      </c>
      <c r="I2281">
        <v>0</v>
      </c>
      <c r="J2281" t="s">
        <v>343</v>
      </c>
      <c r="K2281">
        <v>3149</v>
      </c>
      <c r="M2281">
        <v>3149</v>
      </c>
    </row>
    <row r="2282" spans="1:13" x14ac:dyDescent="0.35">
      <c r="A2282" t="str">
        <f t="shared" si="126"/>
        <v>STKCDG45724112160460000</v>
      </c>
      <c r="B2282" t="s">
        <v>3115</v>
      </c>
      <c r="C2282" s="1">
        <v>45724</v>
      </c>
      <c r="D2282" t="str">
        <f>"1121"</f>
        <v>1121</v>
      </c>
      <c r="E2282" t="str">
        <f>"60460000"</f>
        <v>60460000</v>
      </c>
      <c r="F2282" t="s">
        <v>3895</v>
      </c>
      <c r="G2282" t="s">
        <v>336</v>
      </c>
      <c r="H2282" t="s">
        <v>5966</v>
      </c>
      <c r="I2282">
        <v>0</v>
      </c>
      <c r="J2282" t="s">
        <v>343</v>
      </c>
      <c r="K2282">
        <v>1136</v>
      </c>
      <c r="M2282">
        <v>1136</v>
      </c>
    </row>
    <row r="2283" spans="1:13" x14ac:dyDescent="0.35">
      <c r="A2283" t="str">
        <f t="shared" si="126"/>
        <v>STKCDG45724112260410000</v>
      </c>
      <c r="B2283" t="s">
        <v>3115</v>
      </c>
      <c r="C2283" s="1">
        <v>45724</v>
      </c>
      <c r="D2283" t="str">
        <f>"1122"</f>
        <v>1122</v>
      </c>
      <c r="E2283" t="str">
        <f>"60410000"</f>
        <v>60410000</v>
      </c>
      <c r="F2283" t="s">
        <v>3897</v>
      </c>
      <c r="G2283" t="s">
        <v>336</v>
      </c>
      <c r="H2283" t="s">
        <v>5966</v>
      </c>
      <c r="I2283">
        <v>0</v>
      </c>
      <c r="J2283" t="s">
        <v>343</v>
      </c>
      <c r="K2283">
        <v>3889</v>
      </c>
      <c r="M2283">
        <v>3889</v>
      </c>
    </row>
    <row r="2284" spans="1:13" x14ac:dyDescent="0.35">
      <c r="A2284" t="str">
        <f t="shared" si="126"/>
        <v>STKCDG45724112360410000</v>
      </c>
      <c r="B2284" t="s">
        <v>3115</v>
      </c>
      <c r="C2284" s="1">
        <v>45724</v>
      </c>
      <c r="D2284" t="str">
        <f>"1123"</f>
        <v>1123</v>
      </c>
      <c r="E2284" t="str">
        <f>"60410000"</f>
        <v>60410000</v>
      </c>
      <c r="F2284" t="s">
        <v>3899</v>
      </c>
      <c r="G2284" t="s">
        <v>336</v>
      </c>
      <c r="H2284" t="s">
        <v>5966</v>
      </c>
      <c r="I2284">
        <v>0</v>
      </c>
      <c r="J2284" t="s">
        <v>343</v>
      </c>
      <c r="K2284">
        <v>4947</v>
      </c>
      <c r="M2284">
        <v>4947</v>
      </c>
    </row>
    <row r="2285" spans="1:13" x14ac:dyDescent="0.35">
      <c r="A2285" t="str">
        <f t="shared" si="126"/>
        <v>STKCDG45724112460410000</v>
      </c>
      <c r="B2285" t="s">
        <v>3115</v>
      </c>
      <c r="C2285" s="1">
        <v>45724</v>
      </c>
      <c r="D2285" t="str">
        <f>"1124"</f>
        <v>1124</v>
      </c>
      <c r="E2285" t="str">
        <f>"60410000"</f>
        <v>60410000</v>
      </c>
      <c r="F2285" t="s">
        <v>3901</v>
      </c>
      <c r="G2285" t="s">
        <v>336</v>
      </c>
      <c r="H2285" t="s">
        <v>5966</v>
      </c>
      <c r="I2285">
        <v>0</v>
      </c>
      <c r="J2285" t="s">
        <v>343</v>
      </c>
      <c r="K2285">
        <v>8836</v>
      </c>
      <c r="M2285">
        <v>8836</v>
      </c>
    </row>
    <row r="2286" spans="1:13" x14ac:dyDescent="0.35">
      <c r="A2286" t="str">
        <f t="shared" si="126"/>
        <v>STKCDG45724112560460000</v>
      </c>
      <c r="B2286" t="s">
        <v>3115</v>
      </c>
      <c r="C2286" s="1">
        <v>45724</v>
      </c>
      <c r="D2286" t="str">
        <f>"1125"</f>
        <v>1125</v>
      </c>
      <c r="E2286" t="str">
        <f>"60460000"</f>
        <v>60460000</v>
      </c>
      <c r="F2286" t="s">
        <v>3903</v>
      </c>
      <c r="G2286" t="s">
        <v>336</v>
      </c>
      <c r="H2286" t="s">
        <v>5966</v>
      </c>
      <c r="I2286">
        <v>0</v>
      </c>
      <c r="J2286" t="s">
        <v>343</v>
      </c>
      <c r="K2286">
        <v>1136</v>
      </c>
      <c r="M2286">
        <v>1136</v>
      </c>
    </row>
    <row r="2287" spans="1:13" x14ac:dyDescent="0.35">
      <c r="A2287" t="str">
        <f t="shared" si="126"/>
        <v>STKCDG45725112660440000</v>
      </c>
      <c r="B2287" t="s">
        <v>3115</v>
      </c>
      <c r="C2287" s="1">
        <v>45725</v>
      </c>
      <c r="D2287" t="str">
        <f>"1126"</f>
        <v>1126</v>
      </c>
      <c r="E2287" t="str">
        <f>"60440000"</f>
        <v>60440000</v>
      </c>
      <c r="F2287" t="s">
        <v>3905</v>
      </c>
      <c r="G2287" t="s">
        <v>336</v>
      </c>
      <c r="H2287" t="s">
        <v>5966</v>
      </c>
      <c r="I2287">
        <v>0</v>
      </c>
      <c r="J2287" t="s">
        <v>343</v>
      </c>
      <c r="K2287">
        <v>261072</v>
      </c>
      <c r="M2287">
        <v>261072</v>
      </c>
    </row>
    <row r="2288" spans="1:13" x14ac:dyDescent="0.35">
      <c r="A2288" t="str">
        <f t="shared" si="126"/>
        <v>STKCDG45725112760440000</v>
      </c>
      <c r="B2288" t="s">
        <v>3115</v>
      </c>
      <c r="C2288" s="1">
        <v>45725</v>
      </c>
      <c r="D2288" t="str">
        <f>"1127"</f>
        <v>1127</v>
      </c>
      <c r="E2288" t="str">
        <f>"60440000"</f>
        <v>60440000</v>
      </c>
      <c r="F2288" t="s">
        <v>3907</v>
      </c>
      <c r="G2288" t="s">
        <v>336</v>
      </c>
      <c r="H2288" t="s">
        <v>5966</v>
      </c>
      <c r="I2288">
        <v>0</v>
      </c>
      <c r="J2288" t="s">
        <v>343</v>
      </c>
      <c r="K2288">
        <v>984</v>
      </c>
      <c r="M2288">
        <v>984</v>
      </c>
    </row>
    <row r="2289" spans="1:13" x14ac:dyDescent="0.35">
      <c r="A2289" t="str">
        <f t="shared" si="126"/>
        <v>STKCDG45725112860440000</v>
      </c>
      <c r="B2289" t="s">
        <v>3115</v>
      </c>
      <c r="C2289" s="1">
        <v>45725</v>
      </c>
      <c r="D2289" t="str">
        <f>"1128"</f>
        <v>1128</v>
      </c>
      <c r="E2289" t="str">
        <f>"60440000"</f>
        <v>60440000</v>
      </c>
      <c r="F2289" t="s">
        <v>3909</v>
      </c>
      <c r="G2289" t="s">
        <v>336</v>
      </c>
      <c r="H2289" t="s">
        <v>5966</v>
      </c>
      <c r="I2289">
        <v>0</v>
      </c>
      <c r="J2289" t="s">
        <v>343</v>
      </c>
      <c r="K2289">
        <v>328</v>
      </c>
      <c r="M2289">
        <v>328</v>
      </c>
    </row>
    <row r="2290" spans="1:13" x14ac:dyDescent="0.35">
      <c r="A2290" t="str">
        <f t="shared" si="126"/>
        <v>STKCDG45725112960440000</v>
      </c>
      <c r="B2290" t="s">
        <v>3115</v>
      </c>
      <c r="C2290" s="1">
        <v>45725</v>
      </c>
      <c r="D2290" t="str">
        <f>"1129"</f>
        <v>1129</v>
      </c>
      <c r="E2290" t="str">
        <f>"60440000"</f>
        <v>60440000</v>
      </c>
      <c r="F2290" t="s">
        <v>3911</v>
      </c>
      <c r="G2290" t="s">
        <v>336</v>
      </c>
      <c r="H2290" t="s">
        <v>5966</v>
      </c>
      <c r="I2290">
        <v>0</v>
      </c>
      <c r="J2290" t="s">
        <v>343</v>
      </c>
      <c r="K2290">
        <v>10757</v>
      </c>
      <c r="M2290">
        <v>10757</v>
      </c>
    </row>
    <row r="2291" spans="1:13" x14ac:dyDescent="0.35">
      <c r="A2291" t="str">
        <f t="shared" si="126"/>
        <v>STKCDG45725113060440000</v>
      </c>
      <c r="B2291" t="s">
        <v>3115</v>
      </c>
      <c r="C2291" s="1">
        <v>45725</v>
      </c>
      <c r="D2291" t="str">
        <f>"1130"</f>
        <v>1130</v>
      </c>
      <c r="E2291" t="str">
        <f>"60440000"</f>
        <v>60440000</v>
      </c>
      <c r="F2291" t="s">
        <v>3913</v>
      </c>
      <c r="G2291" t="s">
        <v>336</v>
      </c>
      <c r="H2291" t="s">
        <v>5966</v>
      </c>
      <c r="I2291">
        <v>0</v>
      </c>
      <c r="J2291" t="s">
        <v>343</v>
      </c>
      <c r="K2291">
        <v>22172</v>
      </c>
      <c r="M2291">
        <v>22172</v>
      </c>
    </row>
    <row r="2292" spans="1:13" x14ac:dyDescent="0.35">
      <c r="A2292" t="str">
        <f t="shared" si="126"/>
        <v>STKCDG45725113160460000</v>
      </c>
      <c r="B2292" t="s">
        <v>3115</v>
      </c>
      <c r="C2292" s="1">
        <v>45725</v>
      </c>
      <c r="D2292" t="str">
        <f>"1131"</f>
        <v>1131</v>
      </c>
      <c r="E2292" t="str">
        <f>"60460000"</f>
        <v>60460000</v>
      </c>
      <c r="F2292" t="s">
        <v>3915</v>
      </c>
      <c r="G2292" t="s">
        <v>336</v>
      </c>
      <c r="H2292" t="s">
        <v>5966</v>
      </c>
      <c r="I2292">
        <v>0</v>
      </c>
      <c r="J2292" t="s">
        <v>343</v>
      </c>
      <c r="K2292">
        <v>499</v>
      </c>
      <c r="M2292">
        <v>499</v>
      </c>
    </row>
    <row r="2293" spans="1:13" x14ac:dyDescent="0.35">
      <c r="A2293" t="str">
        <f t="shared" si="126"/>
        <v>STKCDG45725113260440000</v>
      </c>
      <c r="B2293" t="s">
        <v>3115</v>
      </c>
      <c r="C2293" s="1">
        <v>45725</v>
      </c>
      <c r="D2293" t="str">
        <f>"1132"</f>
        <v>1132</v>
      </c>
      <c r="E2293" t="str">
        <f>"60440000"</f>
        <v>60440000</v>
      </c>
      <c r="F2293" t="s">
        <v>3917</v>
      </c>
      <c r="G2293" t="s">
        <v>336</v>
      </c>
      <c r="H2293" t="s">
        <v>5966</v>
      </c>
      <c r="I2293">
        <v>0</v>
      </c>
      <c r="J2293" t="s">
        <v>343</v>
      </c>
      <c r="K2293">
        <v>919</v>
      </c>
      <c r="M2293">
        <v>919</v>
      </c>
    </row>
    <row r="2294" spans="1:13" x14ac:dyDescent="0.35">
      <c r="A2294" t="str">
        <f t="shared" si="126"/>
        <v>STKCDG45725113360460000</v>
      </c>
      <c r="B2294" t="s">
        <v>3115</v>
      </c>
      <c r="C2294" s="1">
        <v>45725</v>
      </c>
      <c r="D2294" t="str">
        <f>"1133"</f>
        <v>1133</v>
      </c>
      <c r="E2294" t="str">
        <f>"60460000"</f>
        <v>60460000</v>
      </c>
      <c r="F2294" t="s">
        <v>3919</v>
      </c>
      <c r="G2294" t="s">
        <v>336</v>
      </c>
      <c r="H2294" t="s">
        <v>5966</v>
      </c>
      <c r="I2294">
        <v>0</v>
      </c>
      <c r="J2294" t="s">
        <v>343</v>
      </c>
      <c r="K2294">
        <v>2500</v>
      </c>
      <c r="M2294">
        <v>2500</v>
      </c>
    </row>
    <row r="2295" spans="1:13" x14ac:dyDescent="0.35">
      <c r="A2295" t="str">
        <f t="shared" si="126"/>
        <v>STKCDG45725113460430000</v>
      </c>
      <c r="B2295" t="s">
        <v>3115</v>
      </c>
      <c r="C2295" s="1">
        <v>45725</v>
      </c>
      <c r="D2295" t="str">
        <f>"1134"</f>
        <v>1134</v>
      </c>
      <c r="E2295" t="str">
        <f>"60430000"</f>
        <v>60430000</v>
      </c>
      <c r="F2295" t="s">
        <v>3921</v>
      </c>
      <c r="G2295" t="s">
        <v>336</v>
      </c>
      <c r="H2295" t="s">
        <v>5966</v>
      </c>
      <c r="I2295">
        <v>0</v>
      </c>
      <c r="J2295" t="s">
        <v>343</v>
      </c>
      <c r="K2295">
        <v>66825</v>
      </c>
      <c r="M2295">
        <v>66825</v>
      </c>
    </row>
    <row r="2296" spans="1:13" x14ac:dyDescent="0.35">
      <c r="A2296" t="str">
        <f t="shared" si="126"/>
        <v>STKCDG45725113560440000</v>
      </c>
      <c r="B2296" t="s">
        <v>3115</v>
      </c>
      <c r="C2296" s="1">
        <v>45725</v>
      </c>
      <c r="D2296" t="str">
        <f>"1135"</f>
        <v>1135</v>
      </c>
      <c r="E2296" t="str">
        <f>"60440000"</f>
        <v>60440000</v>
      </c>
      <c r="F2296" t="s">
        <v>3923</v>
      </c>
      <c r="G2296" t="s">
        <v>336</v>
      </c>
      <c r="H2296" t="s">
        <v>5966</v>
      </c>
      <c r="I2296">
        <v>0</v>
      </c>
      <c r="J2296" t="s">
        <v>343</v>
      </c>
      <c r="K2296">
        <v>3477</v>
      </c>
      <c r="M2296">
        <v>3477</v>
      </c>
    </row>
    <row r="2297" spans="1:13" x14ac:dyDescent="0.35">
      <c r="A2297" t="str">
        <f t="shared" si="126"/>
        <v>STKCDG45725113660460000</v>
      </c>
      <c r="B2297" t="s">
        <v>3115</v>
      </c>
      <c r="C2297" s="1">
        <v>45725</v>
      </c>
      <c r="D2297" t="str">
        <f>"1136"</f>
        <v>1136</v>
      </c>
      <c r="E2297" t="str">
        <f>"60460000"</f>
        <v>60460000</v>
      </c>
      <c r="F2297" t="s">
        <v>3925</v>
      </c>
      <c r="G2297" t="s">
        <v>336</v>
      </c>
      <c r="H2297" t="s">
        <v>5966</v>
      </c>
      <c r="I2297">
        <v>0</v>
      </c>
      <c r="J2297" t="s">
        <v>343</v>
      </c>
      <c r="K2297">
        <v>499</v>
      </c>
      <c r="M2297">
        <v>499</v>
      </c>
    </row>
    <row r="2298" spans="1:13" x14ac:dyDescent="0.35">
      <c r="A2298" t="str">
        <f t="shared" si="126"/>
        <v>STKCDG45725113760410000</v>
      </c>
      <c r="B2298" t="s">
        <v>3115</v>
      </c>
      <c r="C2298" s="1">
        <v>45725</v>
      </c>
      <c r="D2298" t="str">
        <f>"1137"</f>
        <v>1137</v>
      </c>
      <c r="E2298" t="str">
        <f>"60410000"</f>
        <v>60410000</v>
      </c>
      <c r="F2298" t="s">
        <v>3927</v>
      </c>
      <c r="G2298" t="s">
        <v>336</v>
      </c>
      <c r="H2298" t="s">
        <v>5966</v>
      </c>
      <c r="I2298">
        <v>0</v>
      </c>
      <c r="J2298" t="s">
        <v>343</v>
      </c>
      <c r="K2298">
        <v>3889</v>
      </c>
      <c r="M2298">
        <v>3889</v>
      </c>
    </row>
    <row r="2299" spans="1:13" x14ac:dyDescent="0.35">
      <c r="A2299" t="str">
        <f t="shared" si="126"/>
        <v>STKCDG45725113860410000</v>
      </c>
      <c r="B2299" t="s">
        <v>3115</v>
      </c>
      <c r="C2299" s="1">
        <v>45725</v>
      </c>
      <c r="D2299" t="str">
        <f>"1138"</f>
        <v>1138</v>
      </c>
      <c r="E2299" t="str">
        <f>"60410000"</f>
        <v>60410000</v>
      </c>
      <c r="F2299" t="s">
        <v>3929</v>
      </c>
      <c r="G2299" t="s">
        <v>336</v>
      </c>
      <c r="H2299" t="s">
        <v>5966</v>
      </c>
      <c r="I2299">
        <v>0</v>
      </c>
      <c r="J2299" t="s">
        <v>343</v>
      </c>
      <c r="K2299">
        <v>3298</v>
      </c>
      <c r="M2299">
        <v>3298</v>
      </c>
    </row>
    <row r="2300" spans="1:13" x14ac:dyDescent="0.35">
      <c r="A2300" t="str">
        <f t="shared" si="126"/>
        <v>STKCDG45725113960410000</v>
      </c>
      <c r="B2300" t="s">
        <v>3115</v>
      </c>
      <c r="C2300" s="1">
        <v>45725</v>
      </c>
      <c r="D2300" t="str">
        <f>"1139"</f>
        <v>1139</v>
      </c>
      <c r="E2300" t="str">
        <f>"60410000"</f>
        <v>60410000</v>
      </c>
      <c r="F2300" t="s">
        <v>3931</v>
      </c>
      <c r="G2300" t="s">
        <v>336</v>
      </c>
      <c r="H2300" t="s">
        <v>5966</v>
      </c>
      <c r="I2300">
        <v>0</v>
      </c>
      <c r="J2300" t="s">
        <v>343</v>
      </c>
      <c r="K2300">
        <v>12712</v>
      </c>
      <c r="M2300">
        <v>12712</v>
      </c>
    </row>
    <row r="2301" spans="1:13" x14ac:dyDescent="0.35">
      <c r="A2301" t="str">
        <f t="shared" si="126"/>
        <v>STKCDG45725114060410000</v>
      </c>
      <c r="B2301" t="s">
        <v>3115</v>
      </c>
      <c r="C2301" s="1">
        <v>45725</v>
      </c>
      <c r="D2301" t="str">
        <f>"1140"</f>
        <v>1140</v>
      </c>
      <c r="E2301" t="str">
        <f>"60410000"</f>
        <v>60410000</v>
      </c>
      <c r="F2301" t="s">
        <v>3933</v>
      </c>
      <c r="G2301" t="s">
        <v>336</v>
      </c>
      <c r="H2301" t="s">
        <v>5966</v>
      </c>
      <c r="I2301">
        <v>0</v>
      </c>
      <c r="J2301" t="s">
        <v>343</v>
      </c>
      <c r="K2301">
        <v>2857</v>
      </c>
      <c r="M2301">
        <v>2857</v>
      </c>
    </row>
    <row r="2302" spans="1:13" x14ac:dyDescent="0.35">
      <c r="A2302" t="str">
        <f t="shared" si="126"/>
        <v>STKCDG4572650760410000</v>
      </c>
      <c r="B2302" t="s">
        <v>3115</v>
      </c>
      <c r="C2302" s="1">
        <v>45726</v>
      </c>
      <c r="D2302" t="str">
        <f>"507"</f>
        <v>507</v>
      </c>
      <c r="E2302" t="str">
        <f>"60410000"</f>
        <v>60410000</v>
      </c>
      <c r="F2302" t="s">
        <v>3935</v>
      </c>
      <c r="G2302" t="s">
        <v>336</v>
      </c>
      <c r="H2302" t="s">
        <v>5958</v>
      </c>
      <c r="I2302">
        <v>0</v>
      </c>
      <c r="J2302" t="s">
        <v>343</v>
      </c>
      <c r="K2302">
        <v>7650</v>
      </c>
      <c r="M2302">
        <v>7650</v>
      </c>
    </row>
    <row r="2303" spans="1:13" x14ac:dyDescent="0.35">
      <c r="A2303" t="str">
        <f t="shared" si="126"/>
        <v>STKCDG4572650860440000</v>
      </c>
      <c r="B2303" t="s">
        <v>3115</v>
      </c>
      <c r="C2303" s="1">
        <v>45726</v>
      </c>
      <c r="D2303" t="str">
        <f>"508"</f>
        <v>508</v>
      </c>
      <c r="E2303" t="str">
        <f>"60440000"</f>
        <v>60440000</v>
      </c>
      <c r="F2303" t="s">
        <v>3937</v>
      </c>
      <c r="G2303" t="s">
        <v>336</v>
      </c>
      <c r="H2303" t="s">
        <v>5958</v>
      </c>
      <c r="I2303">
        <v>0</v>
      </c>
      <c r="J2303" t="s">
        <v>343</v>
      </c>
      <c r="K2303">
        <v>328</v>
      </c>
      <c r="M2303">
        <v>328</v>
      </c>
    </row>
    <row r="2304" spans="1:13" x14ac:dyDescent="0.35">
      <c r="A2304" t="str">
        <f t="shared" si="126"/>
        <v>STKCDG4572650960440000</v>
      </c>
      <c r="B2304" t="s">
        <v>3115</v>
      </c>
      <c r="C2304" s="1">
        <v>45726</v>
      </c>
      <c r="D2304" t="str">
        <f>"509"</f>
        <v>509</v>
      </c>
      <c r="E2304" t="str">
        <f>"60440000"</f>
        <v>60440000</v>
      </c>
      <c r="F2304" t="s">
        <v>3939</v>
      </c>
      <c r="G2304" t="s">
        <v>336</v>
      </c>
      <c r="H2304" t="s">
        <v>5958</v>
      </c>
      <c r="I2304">
        <v>0</v>
      </c>
      <c r="J2304" t="s">
        <v>343</v>
      </c>
      <c r="K2304">
        <v>4723</v>
      </c>
      <c r="M2304">
        <v>4723</v>
      </c>
    </row>
    <row r="2305" spans="1:13" x14ac:dyDescent="0.35">
      <c r="A2305" t="str">
        <f t="shared" si="126"/>
        <v>STKCDG4572651060440000</v>
      </c>
      <c r="B2305" t="s">
        <v>3115</v>
      </c>
      <c r="C2305" s="1">
        <v>45726</v>
      </c>
      <c r="D2305" t="str">
        <f>"510"</f>
        <v>510</v>
      </c>
      <c r="E2305" t="str">
        <f>"60440000"</f>
        <v>60440000</v>
      </c>
      <c r="F2305" t="s">
        <v>3941</v>
      </c>
      <c r="G2305" t="s">
        <v>336</v>
      </c>
      <c r="H2305" t="s">
        <v>5958</v>
      </c>
      <c r="I2305">
        <v>0</v>
      </c>
      <c r="J2305" t="s">
        <v>343</v>
      </c>
      <c r="K2305">
        <v>2492</v>
      </c>
      <c r="M2305">
        <v>2492</v>
      </c>
    </row>
    <row r="2306" spans="1:13" x14ac:dyDescent="0.35">
      <c r="A2306" t="str">
        <f t="shared" si="126"/>
        <v>STKCDG4572651160460000</v>
      </c>
      <c r="B2306" t="s">
        <v>3115</v>
      </c>
      <c r="C2306" s="1">
        <v>45726</v>
      </c>
      <c r="D2306" t="str">
        <f>"511"</f>
        <v>511</v>
      </c>
      <c r="E2306" t="str">
        <f>"60460000"</f>
        <v>60460000</v>
      </c>
      <c r="F2306" t="s">
        <v>3943</v>
      </c>
      <c r="G2306" t="s">
        <v>336</v>
      </c>
      <c r="H2306" t="s">
        <v>5880</v>
      </c>
      <c r="I2306">
        <v>0</v>
      </c>
      <c r="J2306" t="s">
        <v>343</v>
      </c>
      <c r="K2306">
        <v>220000</v>
      </c>
      <c r="M2306">
        <v>220000</v>
      </c>
    </row>
    <row r="2307" spans="1:13" x14ac:dyDescent="0.35">
      <c r="A2307" t="str">
        <f t="shared" ref="A2307:A2370" si="130">CONCATENATE(B2307,C2307,D2307,E2307)</f>
        <v>STKCDG4572651260460000</v>
      </c>
      <c r="B2307" t="s">
        <v>3115</v>
      </c>
      <c r="C2307" s="1">
        <v>45726</v>
      </c>
      <c r="D2307" t="str">
        <f>"512"</f>
        <v>512</v>
      </c>
      <c r="E2307" t="str">
        <f>"60460000"</f>
        <v>60460000</v>
      </c>
      <c r="F2307" t="s">
        <v>3945</v>
      </c>
      <c r="G2307" t="s">
        <v>336</v>
      </c>
      <c r="H2307" t="s">
        <v>5958</v>
      </c>
      <c r="I2307">
        <v>0</v>
      </c>
      <c r="J2307" t="s">
        <v>343</v>
      </c>
      <c r="K2307">
        <v>3564</v>
      </c>
      <c r="M2307">
        <v>3564</v>
      </c>
    </row>
    <row r="2308" spans="1:13" x14ac:dyDescent="0.35">
      <c r="A2308" t="str">
        <f t="shared" si="130"/>
        <v>STKCDG4572651360440000</v>
      </c>
      <c r="B2308" t="s">
        <v>3115</v>
      </c>
      <c r="C2308" s="1">
        <v>45726</v>
      </c>
      <c r="D2308" t="str">
        <f>"513"</f>
        <v>513</v>
      </c>
      <c r="E2308" t="str">
        <f t="shared" ref="E2308:E2314" si="131">"60440000"</f>
        <v>60440000</v>
      </c>
      <c r="F2308" t="s">
        <v>3947</v>
      </c>
      <c r="G2308" t="s">
        <v>336</v>
      </c>
      <c r="H2308" t="s">
        <v>5928</v>
      </c>
      <c r="I2308">
        <v>0</v>
      </c>
      <c r="J2308" t="s">
        <v>343</v>
      </c>
      <c r="K2308">
        <v>394</v>
      </c>
      <c r="M2308">
        <v>394</v>
      </c>
    </row>
    <row r="2309" spans="1:13" x14ac:dyDescent="0.35">
      <c r="A2309" t="str">
        <f t="shared" si="130"/>
        <v>STKCDG4572651460440000</v>
      </c>
      <c r="B2309" t="s">
        <v>3115</v>
      </c>
      <c r="C2309" s="1">
        <v>45726</v>
      </c>
      <c r="D2309" t="str">
        <f>"514"</f>
        <v>514</v>
      </c>
      <c r="E2309" t="str">
        <f t="shared" si="131"/>
        <v>60440000</v>
      </c>
      <c r="F2309" t="s">
        <v>3949</v>
      </c>
      <c r="G2309" t="s">
        <v>336</v>
      </c>
      <c r="H2309" t="s">
        <v>5880</v>
      </c>
      <c r="I2309">
        <v>0</v>
      </c>
      <c r="J2309" t="s">
        <v>343</v>
      </c>
      <c r="K2309">
        <v>11376</v>
      </c>
      <c r="M2309">
        <v>11376</v>
      </c>
    </row>
    <row r="2310" spans="1:13" x14ac:dyDescent="0.35">
      <c r="A2310" t="str">
        <f t="shared" si="130"/>
        <v>STKCDG4572651560440000</v>
      </c>
      <c r="B2310" t="s">
        <v>3115</v>
      </c>
      <c r="C2310" s="1">
        <v>45726</v>
      </c>
      <c r="D2310" t="str">
        <f>"515"</f>
        <v>515</v>
      </c>
      <c r="E2310" t="str">
        <f t="shared" si="131"/>
        <v>60440000</v>
      </c>
      <c r="F2310" t="s">
        <v>3951</v>
      </c>
      <c r="G2310" t="s">
        <v>336</v>
      </c>
      <c r="H2310" t="s">
        <v>5875</v>
      </c>
      <c r="I2310">
        <v>0</v>
      </c>
      <c r="J2310" t="s">
        <v>343</v>
      </c>
      <c r="K2310">
        <v>50180</v>
      </c>
      <c r="M2310">
        <v>50180</v>
      </c>
    </row>
    <row r="2311" spans="1:13" x14ac:dyDescent="0.35">
      <c r="A2311" t="str">
        <f t="shared" si="130"/>
        <v>STKCDG4572651660440000</v>
      </c>
      <c r="B2311" t="s">
        <v>3115</v>
      </c>
      <c r="C2311" s="1">
        <v>45726</v>
      </c>
      <c r="D2311" t="str">
        <f>"516"</f>
        <v>516</v>
      </c>
      <c r="E2311" t="str">
        <f t="shared" si="131"/>
        <v>60440000</v>
      </c>
      <c r="F2311" t="s">
        <v>3953</v>
      </c>
      <c r="G2311" t="s">
        <v>336</v>
      </c>
      <c r="H2311" t="s">
        <v>5949</v>
      </c>
      <c r="I2311">
        <v>0</v>
      </c>
      <c r="J2311" t="s">
        <v>343</v>
      </c>
      <c r="K2311">
        <v>56700</v>
      </c>
      <c r="M2311">
        <v>56700</v>
      </c>
    </row>
    <row r="2312" spans="1:13" x14ac:dyDescent="0.35">
      <c r="A2312" t="str">
        <f t="shared" si="130"/>
        <v>STKCDG4572651760440000</v>
      </c>
      <c r="B2312" t="s">
        <v>3115</v>
      </c>
      <c r="C2312" s="1">
        <v>45726</v>
      </c>
      <c r="D2312" t="str">
        <f>"517"</f>
        <v>517</v>
      </c>
      <c r="E2312" t="str">
        <f t="shared" si="131"/>
        <v>60440000</v>
      </c>
      <c r="F2312" t="s">
        <v>3955</v>
      </c>
      <c r="G2312" t="s">
        <v>336</v>
      </c>
      <c r="H2312" t="s">
        <v>5880</v>
      </c>
      <c r="I2312">
        <v>0</v>
      </c>
      <c r="J2312" t="s">
        <v>343</v>
      </c>
      <c r="K2312">
        <v>405999</v>
      </c>
      <c r="M2312">
        <v>405999</v>
      </c>
    </row>
    <row r="2313" spans="1:13" x14ac:dyDescent="0.35">
      <c r="A2313" t="str">
        <f t="shared" si="130"/>
        <v>STKCDG4572651860440000</v>
      </c>
      <c r="B2313" t="s">
        <v>3115</v>
      </c>
      <c r="C2313" s="1">
        <v>45726</v>
      </c>
      <c r="D2313" t="str">
        <f>"518"</f>
        <v>518</v>
      </c>
      <c r="E2313" t="str">
        <f t="shared" si="131"/>
        <v>60440000</v>
      </c>
      <c r="F2313" t="s">
        <v>3957</v>
      </c>
      <c r="G2313" t="s">
        <v>336</v>
      </c>
      <c r="H2313" t="s">
        <v>5880</v>
      </c>
      <c r="I2313">
        <v>0</v>
      </c>
      <c r="J2313" t="s">
        <v>343</v>
      </c>
      <c r="K2313">
        <v>18900</v>
      </c>
      <c r="M2313">
        <v>18900</v>
      </c>
    </row>
    <row r="2314" spans="1:13" x14ac:dyDescent="0.35">
      <c r="A2314" t="str">
        <f t="shared" si="130"/>
        <v>STKCDG4572651960440000</v>
      </c>
      <c r="B2314" t="s">
        <v>3115</v>
      </c>
      <c r="C2314" s="1">
        <v>45726</v>
      </c>
      <c r="D2314" t="str">
        <f>"519"</f>
        <v>519</v>
      </c>
      <c r="E2314" t="str">
        <f t="shared" si="131"/>
        <v>60440000</v>
      </c>
      <c r="F2314" t="s">
        <v>3959</v>
      </c>
      <c r="G2314" t="s">
        <v>336</v>
      </c>
      <c r="H2314" t="s">
        <v>5875</v>
      </c>
      <c r="I2314">
        <v>0</v>
      </c>
      <c r="J2314" t="s">
        <v>343</v>
      </c>
      <c r="K2314">
        <v>2361</v>
      </c>
      <c r="M2314">
        <v>2361</v>
      </c>
    </row>
    <row r="2315" spans="1:13" x14ac:dyDescent="0.35">
      <c r="A2315" t="str">
        <f t="shared" si="130"/>
        <v>STKCDG4572652060460000</v>
      </c>
      <c r="B2315" t="s">
        <v>3115</v>
      </c>
      <c r="C2315" s="1">
        <v>45726</v>
      </c>
      <c r="D2315" t="str">
        <f>"520"</f>
        <v>520</v>
      </c>
      <c r="E2315" t="str">
        <f>"60460000"</f>
        <v>60460000</v>
      </c>
      <c r="F2315" t="s">
        <v>3961</v>
      </c>
      <c r="G2315" t="s">
        <v>336</v>
      </c>
      <c r="H2315" t="s">
        <v>5875</v>
      </c>
      <c r="I2315">
        <v>0</v>
      </c>
      <c r="J2315" t="s">
        <v>343</v>
      </c>
      <c r="K2315">
        <v>1050</v>
      </c>
      <c r="M2315">
        <v>1212</v>
      </c>
    </row>
    <row r="2316" spans="1:13" x14ac:dyDescent="0.35">
      <c r="A2316" t="str">
        <f t="shared" si="130"/>
        <v>STKCDG4572652060460000</v>
      </c>
      <c r="B2316" t="s">
        <v>3115</v>
      </c>
      <c r="C2316" s="1">
        <v>45726</v>
      </c>
      <c r="D2316" t="str">
        <f>"520"</f>
        <v>520</v>
      </c>
      <c r="E2316" t="str">
        <f>"60460000"</f>
        <v>60460000</v>
      </c>
      <c r="F2316" t="s">
        <v>3961</v>
      </c>
      <c r="G2316" t="s">
        <v>336</v>
      </c>
      <c r="H2316" t="s">
        <v>5875</v>
      </c>
      <c r="I2316">
        <v>0</v>
      </c>
      <c r="J2316" t="s">
        <v>343</v>
      </c>
      <c r="K2316">
        <v>162</v>
      </c>
      <c r="M2316">
        <v>1212</v>
      </c>
    </row>
    <row r="2317" spans="1:13" x14ac:dyDescent="0.35">
      <c r="A2317" t="str">
        <f t="shared" si="130"/>
        <v>STKCDG4572652160440000</v>
      </c>
      <c r="B2317" t="s">
        <v>3115</v>
      </c>
      <c r="C2317" s="1">
        <v>45726</v>
      </c>
      <c r="D2317" t="str">
        <f>"521"</f>
        <v>521</v>
      </c>
      <c r="E2317" t="str">
        <f t="shared" ref="E2317:E2323" si="132">"60440000"</f>
        <v>60440000</v>
      </c>
      <c r="F2317" t="s">
        <v>3963</v>
      </c>
      <c r="G2317" t="s">
        <v>336</v>
      </c>
      <c r="H2317" t="s">
        <v>6010</v>
      </c>
      <c r="I2317">
        <v>0</v>
      </c>
      <c r="J2317" t="s">
        <v>343</v>
      </c>
      <c r="K2317">
        <v>1049</v>
      </c>
      <c r="M2317">
        <v>1049</v>
      </c>
    </row>
    <row r="2318" spans="1:13" x14ac:dyDescent="0.35">
      <c r="A2318" t="str">
        <f t="shared" si="130"/>
        <v>STKCDG4572652260440000</v>
      </c>
      <c r="B2318" t="s">
        <v>3115</v>
      </c>
      <c r="C2318" s="1">
        <v>45726</v>
      </c>
      <c r="D2318" t="str">
        <f>"522"</f>
        <v>522</v>
      </c>
      <c r="E2318" t="str">
        <f t="shared" si="132"/>
        <v>60440000</v>
      </c>
      <c r="F2318" t="s">
        <v>3965</v>
      </c>
      <c r="G2318" t="s">
        <v>336</v>
      </c>
      <c r="H2318" t="s">
        <v>5875</v>
      </c>
      <c r="I2318">
        <v>0</v>
      </c>
      <c r="J2318" t="s">
        <v>343</v>
      </c>
      <c r="K2318">
        <v>328</v>
      </c>
      <c r="M2318">
        <v>590</v>
      </c>
    </row>
    <row r="2319" spans="1:13" x14ac:dyDescent="0.35">
      <c r="A2319" t="str">
        <f t="shared" si="130"/>
        <v>STKCDG4572652260440000</v>
      </c>
      <c r="B2319" t="s">
        <v>3115</v>
      </c>
      <c r="C2319" s="1">
        <v>45726</v>
      </c>
      <c r="D2319" t="str">
        <f>"522"</f>
        <v>522</v>
      </c>
      <c r="E2319" t="str">
        <f t="shared" si="132"/>
        <v>60440000</v>
      </c>
      <c r="F2319" t="s">
        <v>3965</v>
      </c>
      <c r="G2319" t="s">
        <v>336</v>
      </c>
      <c r="H2319" t="s">
        <v>5875</v>
      </c>
      <c r="I2319">
        <v>0</v>
      </c>
      <c r="J2319" t="s">
        <v>343</v>
      </c>
      <c r="K2319">
        <v>262</v>
      </c>
      <c r="M2319">
        <v>590</v>
      </c>
    </row>
    <row r="2320" spans="1:13" x14ac:dyDescent="0.35">
      <c r="A2320" t="str">
        <f t="shared" si="130"/>
        <v>STKCDG4572652360440000</v>
      </c>
      <c r="B2320" t="s">
        <v>3115</v>
      </c>
      <c r="C2320" s="1">
        <v>45726</v>
      </c>
      <c r="D2320" t="str">
        <f>"523"</f>
        <v>523</v>
      </c>
      <c r="E2320" t="str">
        <f t="shared" si="132"/>
        <v>60440000</v>
      </c>
      <c r="F2320" t="s">
        <v>3967</v>
      </c>
      <c r="G2320" t="s">
        <v>336</v>
      </c>
      <c r="H2320" t="s">
        <v>5875</v>
      </c>
      <c r="I2320">
        <v>0</v>
      </c>
      <c r="J2320" t="s">
        <v>343</v>
      </c>
      <c r="K2320">
        <v>2099</v>
      </c>
      <c r="M2320">
        <v>2099</v>
      </c>
    </row>
    <row r="2321" spans="1:13" x14ac:dyDescent="0.35">
      <c r="A2321" t="str">
        <f t="shared" si="130"/>
        <v>STKCDG4572652460440000</v>
      </c>
      <c r="B2321" t="s">
        <v>3115</v>
      </c>
      <c r="C2321" s="1">
        <v>45726</v>
      </c>
      <c r="D2321" t="str">
        <f>"524"</f>
        <v>524</v>
      </c>
      <c r="E2321" t="str">
        <f t="shared" si="132"/>
        <v>60440000</v>
      </c>
      <c r="F2321" t="s">
        <v>3969</v>
      </c>
      <c r="G2321" t="s">
        <v>336</v>
      </c>
      <c r="H2321" t="s">
        <v>5966</v>
      </c>
      <c r="I2321">
        <v>0</v>
      </c>
      <c r="J2321" t="s">
        <v>343</v>
      </c>
      <c r="K2321">
        <v>8265</v>
      </c>
      <c r="M2321">
        <v>8265</v>
      </c>
    </row>
    <row r="2322" spans="1:13" x14ac:dyDescent="0.35">
      <c r="A2322" t="str">
        <f t="shared" si="130"/>
        <v>STKCDG4572652560440000</v>
      </c>
      <c r="B2322" t="s">
        <v>3115</v>
      </c>
      <c r="C2322" s="1">
        <v>45726</v>
      </c>
      <c r="D2322" t="str">
        <f>"525"</f>
        <v>525</v>
      </c>
      <c r="E2322" t="str">
        <f t="shared" si="132"/>
        <v>60440000</v>
      </c>
      <c r="F2322" t="s">
        <v>3971</v>
      </c>
      <c r="G2322" t="s">
        <v>336</v>
      </c>
      <c r="H2322" t="s">
        <v>5966</v>
      </c>
      <c r="I2322">
        <v>0</v>
      </c>
      <c r="J2322" t="s">
        <v>343</v>
      </c>
      <c r="K2322">
        <v>3149</v>
      </c>
      <c r="M2322">
        <v>3149</v>
      </c>
    </row>
    <row r="2323" spans="1:13" x14ac:dyDescent="0.35">
      <c r="A2323" t="str">
        <f t="shared" si="130"/>
        <v>STKCDG4572652660440000</v>
      </c>
      <c r="B2323" t="s">
        <v>3115</v>
      </c>
      <c r="C2323" s="1">
        <v>45726</v>
      </c>
      <c r="D2323" t="str">
        <f>"526"</f>
        <v>526</v>
      </c>
      <c r="E2323" t="str">
        <f t="shared" si="132"/>
        <v>60440000</v>
      </c>
      <c r="F2323" t="s">
        <v>3973</v>
      </c>
      <c r="G2323" t="s">
        <v>336</v>
      </c>
      <c r="H2323" t="s">
        <v>5966</v>
      </c>
      <c r="I2323">
        <v>0</v>
      </c>
      <c r="J2323" t="s">
        <v>343</v>
      </c>
      <c r="K2323">
        <v>122270</v>
      </c>
      <c r="M2323">
        <v>122270</v>
      </c>
    </row>
    <row r="2324" spans="1:13" x14ac:dyDescent="0.35">
      <c r="A2324" t="str">
        <f t="shared" si="130"/>
        <v>STKCDG4572652760430000</v>
      </c>
      <c r="B2324" t="s">
        <v>3115</v>
      </c>
      <c r="C2324" s="1">
        <v>45726</v>
      </c>
      <c r="D2324" t="str">
        <f>"527"</f>
        <v>527</v>
      </c>
      <c r="E2324" t="str">
        <f>"60430000"</f>
        <v>60430000</v>
      </c>
      <c r="F2324" t="s">
        <v>3975</v>
      </c>
      <c r="G2324" t="s">
        <v>336</v>
      </c>
      <c r="H2324" t="s">
        <v>5874</v>
      </c>
      <c r="I2324">
        <v>0</v>
      </c>
      <c r="J2324" t="s">
        <v>343</v>
      </c>
      <c r="K2324">
        <v>96320</v>
      </c>
      <c r="M2324">
        <v>96320</v>
      </c>
    </row>
    <row r="2325" spans="1:13" x14ac:dyDescent="0.35">
      <c r="A2325" t="str">
        <f t="shared" si="130"/>
        <v>STKCDG4572652860440000</v>
      </c>
      <c r="B2325" t="s">
        <v>3115</v>
      </c>
      <c r="C2325" s="1">
        <v>45726</v>
      </c>
      <c r="D2325" t="str">
        <f>"528"</f>
        <v>528</v>
      </c>
      <c r="E2325" t="str">
        <f>"60440000"</f>
        <v>60440000</v>
      </c>
      <c r="F2325" t="s">
        <v>3977</v>
      </c>
      <c r="G2325" t="s">
        <v>336</v>
      </c>
      <c r="H2325" t="s">
        <v>5966</v>
      </c>
      <c r="I2325">
        <v>0</v>
      </c>
      <c r="J2325" t="s">
        <v>343</v>
      </c>
      <c r="K2325">
        <v>262</v>
      </c>
      <c r="M2325">
        <v>262</v>
      </c>
    </row>
    <row r="2326" spans="1:13" x14ac:dyDescent="0.35">
      <c r="A2326" t="str">
        <f t="shared" si="130"/>
        <v>STKCDG4572652960440000</v>
      </c>
      <c r="B2326" t="s">
        <v>3115</v>
      </c>
      <c r="C2326" s="1">
        <v>45726</v>
      </c>
      <c r="D2326" t="str">
        <f>"529"</f>
        <v>529</v>
      </c>
      <c r="E2326" t="str">
        <f>"60440000"</f>
        <v>60440000</v>
      </c>
      <c r="F2326" t="s">
        <v>3979</v>
      </c>
      <c r="G2326" t="s">
        <v>336</v>
      </c>
      <c r="H2326" t="s">
        <v>5890</v>
      </c>
      <c r="I2326">
        <v>0</v>
      </c>
      <c r="J2326" t="s">
        <v>343</v>
      </c>
      <c r="K2326">
        <v>7544</v>
      </c>
      <c r="M2326">
        <v>7544</v>
      </c>
    </row>
    <row r="2327" spans="1:13" x14ac:dyDescent="0.35">
      <c r="A2327" t="str">
        <f t="shared" si="130"/>
        <v>STKCDG4572653060440000</v>
      </c>
      <c r="B2327" t="s">
        <v>3115</v>
      </c>
      <c r="C2327" s="1">
        <v>45726</v>
      </c>
      <c r="D2327" t="str">
        <f>"530"</f>
        <v>530</v>
      </c>
      <c r="E2327" t="str">
        <f>"60440000"</f>
        <v>60440000</v>
      </c>
      <c r="F2327" t="s">
        <v>3981</v>
      </c>
      <c r="G2327" t="s">
        <v>336</v>
      </c>
      <c r="H2327" t="s">
        <v>5966</v>
      </c>
      <c r="I2327">
        <v>0</v>
      </c>
      <c r="J2327" t="s">
        <v>343</v>
      </c>
      <c r="K2327">
        <v>250000</v>
      </c>
      <c r="M2327">
        <v>250000</v>
      </c>
    </row>
    <row r="2328" spans="1:13" x14ac:dyDescent="0.35">
      <c r="A2328" t="str">
        <f t="shared" si="130"/>
        <v>STKCDG4572653160440000</v>
      </c>
      <c r="B2328" t="s">
        <v>3115</v>
      </c>
      <c r="C2328" s="1">
        <v>45726</v>
      </c>
      <c r="D2328" t="str">
        <f>"531"</f>
        <v>531</v>
      </c>
      <c r="E2328" t="str">
        <f>"60440000"</f>
        <v>60440000</v>
      </c>
      <c r="F2328" t="s">
        <v>3983</v>
      </c>
      <c r="G2328" t="s">
        <v>336</v>
      </c>
      <c r="H2328" t="s">
        <v>5966</v>
      </c>
      <c r="I2328">
        <v>0</v>
      </c>
      <c r="J2328" t="s">
        <v>343</v>
      </c>
      <c r="K2328">
        <v>787</v>
      </c>
      <c r="M2328">
        <v>787</v>
      </c>
    </row>
    <row r="2329" spans="1:13" x14ac:dyDescent="0.35">
      <c r="A2329" t="str">
        <f t="shared" si="130"/>
        <v>STKCDG4572653260460000</v>
      </c>
      <c r="B2329" t="s">
        <v>3115</v>
      </c>
      <c r="C2329" s="1">
        <v>45726</v>
      </c>
      <c r="D2329" t="str">
        <f>"532"</f>
        <v>532</v>
      </c>
      <c r="E2329" t="str">
        <f>"60460000"</f>
        <v>60460000</v>
      </c>
      <c r="F2329" t="s">
        <v>3985</v>
      </c>
      <c r="G2329" t="s">
        <v>336</v>
      </c>
      <c r="H2329" t="s">
        <v>5966</v>
      </c>
      <c r="I2329">
        <v>0</v>
      </c>
      <c r="J2329" t="s">
        <v>343</v>
      </c>
      <c r="K2329">
        <v>122373</v>
      </c>
      <c r="M2329">
        <v>122373</v>
      </c>
    </row>
    <row r="2330" spans="1:13" x14ac:dyDescent="0.35">
      <c r="A2330" t="str">
        <f t="shared" si="130"/>
        <v>STKCDG4572653360430000</v>
      </c>
      <c r="B2330" t="s">
        <v>3115</v>
      </c>
      <c r="C2330" s="1">
        <v>45726</v>
      </c>
      <c r="D2330" t="str">
        <f>"533"</f>
        <v>533</v>
      </c>
      <c r="E2330" t="str">
        <f>"60430000"</f>
        <v>60430000</v>
      </c>
      <c r="F2330" t="s">
        <v>3987</v>
      </c>
      <c r="G2330" t="s">
        <v>336</v>
      </c>
      <c r="H2330" t="s">
        <v>5966</v>
      </c>
      <c r="I2330">
        <v>0</v>
      </c>
      <c r="J2330" t="s">
        <v>343</v>
      </c>
      <c r="K2330">
        <v>66825</v>
      </c>
      <c r="M2330">
        <v>66825</v>
      </c>
    </row>
    <row r="2331" spans="1:13" x14ac:dyDescent="0.35">
      <c r="A2331" t="str">
        <f t="shared" si="130"/>
        <v>STKCDG4572653460460000</v>
      </c>
      <c r="B2331" t="s">
        <v>3115</v>
      </c>
      <c r="C2331" s="1">
        <v>45726</v>
      </c>
      <c r="D2331" t="str">
        <f>"534"</f>
        <v>534</v>
      </c>
      <c r="E2331" t="str">
        <f>"60460000"</f>
        <v>60460000</v>
      </c>
      <c r="F2331" t="s">
        <v>3989</v>
      </c>
      <c r="G2331" t="s">
        <v>336</v>
      </c>
      <c r="H2331" t="s">
        <v>5966</v>
      </c>
      <c r="I2331">
        <v>0</v>
      </c>
      <c r="J2331" t="s">
        <v>343</v>
      </c>
      <c r="K2331">
        <v>1900</v>
      </c>
      <c r="M2331">
        <v>1900</v>
      </c>
    </row>
    <row r="2332" spans="1:13" x14ac:dyDescent="0.35">
      <c r="A2332" t="str">
        <f t="shared" si="130"/>
        <v>STKCDG4572653560440000</v>
      </c>
      <c r="B2332" t="s">
        <v>3115</v>
      </c>
      <c r="C2332" s="1">
        <v>45726</v>
      </c>
      <c r="D2332" t="str">
        <f>"535"</f>
        <v>535</v>
      </c>
      <c r="E2332" t="str">
        <f>"60440000"</f>
        <v>60440000</v>
      </c>
      <c r="F2332" t="s">
        <v>3991</v>
      </c>
      <c r="G2332" t="s">
        <v>336</v>
      </c>
      <c r="H2332" t="s">
        <v>5946</v>
      </c>
      <c r="I2332">
        <v>0</v>
      </c>
      <c r="J2332" t="s">
        <v>343</v>
      </c>
      <c r="K2332">
        <v>114006</v>
      </c>
      <c r="M2332">
        <v>114006</v>
      </c>
    </row>
    <row r="2333" spans="1:13" x14ac:dyDescent="0.35">
      <c r="A2333" t="str">
        <f t="shared" si="130"/>
        <v>STKCDG4572653660460000</v>
      </c>
      <c r="B2333" t="s">
        <v>3115</v>
      </c>
      <c r="C2333" s="1">
        <v>45726</v>
      </c>
      <c r="D2333" t="str">
        <f>"536"</f>
        <v>536</v>
      </c>
      <c r="E2333" t="str">
        <f t="shared" ref="E2333:E2338" si="133">"60460000"</f>
        <v>60460000</v>
      </c>
      <c r="F2333" t="s">
        <v>3993</v>
      </c>
      <c r="G2333" t="s">
        <v>336</v>
      </c>
      <c r="H2333" t="s">
        <v>5966</v>
      </c>
      <c r="I2333">
        <v>0</v>
      </c>
      <c r="J2333" t="s">
        <v>343</v>
      </c>
      <c r="K2333">
        <v>404</v>
      </c>
      <c r="M2333">
        <v>404</v>
      </c>
    </row>
    <row r="2334" spans="1:13" x14ac:dyDescent="0.35">
      <c r="A2334" t="str">
        <f t="shared" si="130"/>
        <v>STKCDG4572653760460000</v>
      </c>
      <c r="B2334" t="s">
        <v>3115</v>
      </c>
      <c r="C2334" s="1">
        <v>45726</v>
      </c>
      <c r="D2334" t="str">
        <f>"537"</f>
        <v>537</v>
      </c>
      <c r="E2334" t="str">
        <f t="shared" si="133"/>
        <v>60460000</v>
      </c>
      <c r="F2334" t="s">
        <v>3995</v>
      </c>
      <c r="G2334" t="s">
        <v>336</v>
      </c>
      <c r="H2334" t="s">
        <v>5966</v>
      </c>
      <c r="I2334">
        <v>0</v>
      </c>
      <c r="J2334" t="s">
        <v>343</v>
      </c>
      <c r="K2334">
        <v>2273</v>
      </c>
      <c r="M2334">
        <v>2273</v>
      </c>
    </row>
    <row r="2335" spans="1:13" x14ac:dyDescent="0.35">
      <c r="A2335" t="str">
        <f t="shared" si="130"/>
        <v>STKCDG4572653860460000</v>
      </c>
      <c r="B2335" t="s">
        <v>3115</v>
      </c>
      <c r="C2335" s="1">
        <v>45726</v>
      </c>
      <c r="D2335" t="str">
        <f>"538"</f>
        <v>538</v>
      </c>
      <c r="E2335" t="str">
        <f t="shared" si="133"/>
        <v>60460000</v>
      </c>
      <c r="F2335" t="s">
        <v>3997</v>
      </c>
      <c r="G2335" t="s">
        <v>336</v>
      </c>
      <c r="H2335" t="s">
        <v>5966</v>
      </c>
      <c r="I2335">
        <v>0</v>
      </c>
      <c r="J2335" t="s">
        <v>343</v>
      </c>
      <c r="K2335">
        <v>336</v>
      </c>
      <c r="M2335">
        <v>336</v>
      </c>
    </row>
    <row r="2336" spans="1:13" x14ac:dyDescent="0.35">
      <c r="A2336" t="str">
        <f t="shared" si="130"/>
        <v>STKCDG4572653960460000</v>
      </c>
      <c r="B2336" t="s">
        <v>3115</v>
      </c>
      <c r="C2336" s="1">
        <v>45726</v>
      </c>
      <c r="D2336" t="str">
        <f>"539"</f>
        <v>539</v>
      </c>
      <c r="E2336" t="str">
        <f t="shared" si="133"/>
        <v>60460000</v>
      </c>
      <c r="F2336" t="s">
        <v>3999</v>
      </c>
      <c r="G2336" t="s">
        <v>336</v>
      </c>
      <c r="H2336" t="s">
        <v>5966</v>
      </c>
      <c r="I2336">
        <v>0</v>
      </c>
      <c r="J2336" t="s">
        <v>343</v>
      </c>
      <c r="K2336">
        <v>1136</v>
      </c>
      <c r="M2336">
        <v>1136</v>
      </c>
    </row>
    <row r="2337" spans="1:13" x14ac:dyDescent="0.35">
      <c r="A2337" t="str">
        <f t="shared" si="130"/>
        <v>STKCDG4572654060460000</v>
      </c>
      <c r="B2337" t="s">
        <v>3115</v>
      </c>
      <c r="C2337" s="1">
        <v>45726</v>
      </c>
      <c r="D2337" t="str">
        <f>"540"</f>
        <v>540</v>
      </c>
      <c r="E2337" t="str">
        <f t="shared" si="133"/>
        <v>60460000</v>
      </c>
      <c r="F2337" t="s">
        <v>4001</v>
      </c>
      <c r="G2337" t="s">
        <v>336</v>
      </c>
      <c r="H2337" t="s">
        <v>5966</v>
      </c>
      <c r="I2337">
        <v>0</v>
      </c>
      <c r="J2337" t="s">
        <v>343</v>
      </c>
      <c r="K2337">
        <v>1906</v>
      </c>
      <c r="M2337">
        <v>1906</v>
      </c>
    </row>
    <row r="2338" spans="1:13" x14ac:dyDescent="0.35">
      <c r="A2338" t="str">
        <f t="shared" si="130"/>
        <v>STKCDG4572654160460000</v>
      </c>
      <c r="B2338" t="s">
        <v>3115</v>
      </c>
      <c r="C2338" s="1">
        <v>45726</v>
      </c>
      <c r="D2338" t="str">
        <f>"541"</f>
        <v>541</v>
      </c>
      <c r="E2338" t="str">
        <f t="shared" si="133"/>
        <v>60460000</v>
      </c>
      <c r="F2338" t="s">
        <v>4003</v>
      </c>
      <c r="G2338" t="s">
        <v>336</v>
      </c>
      <c r="H2338" t="s">
        <v>5966</v>
      </c>
      <c r="I2338">
        <v>0</v>
      </c>
      <c r="J2338" t="s">
        <v>343</v>
      </c>
      <c r="K2338">
        <v>3659</v>
      </c>
      <c r="M2338">
        <v>3659</v>
      </c>
    </row>
    <row r="2339" spans="1:13" x14ac:dyDescent="0.35">
      <c r="A2339" t="str">
        <f t="shared" si="130"/>
        <v>STKCDG4572654260410000</v>
      </c>
      <c r="B2339" t="s">
        <v>3115</v>
      </c>
      <c r="C2339" s="1">
        <v>45726</v>
      </c>
      <c r="D2339" t="str">
        <f>"542"</f>
        <v>542</v>
      </c>
      <c r="E2339" t="str">
        <f>"60410000"</f>
        <v>60410000</v>
      </c>
      <c r="F2339" t="s">
        <v>4005</v>
      </c>
      <c r="G2339" t="s">
        <v>336</v>
      </c>
      <c r="H2339" t="s">
        <v>5966</v>
      </c>
      <c r="I2339">
        <v>0</v>
      </c>
      <c r="J2339" t="s">
        <v>343</v>
      </c>
      <c r="K2339">
        <v>6597</v>
      </c>
      <c r="M2339">
        <v>6597</v>
      </c>
    </row>
    <row r="2340" spans="1:13" x14ac:dyDescent="0.35">
      <c r="A2340" t="str">
        <f t="shared" si="130"/>
        <v>STKCDG4572654360430000</v>
      </c>
      <c r="B2340" t="s">
        <v>3115</v>
      </c>
      <c r="C2340" s="1">
        <v>45726</v>
      </c>
      <c r="D2340" t="str">
        <f>"543"</f>
        <v>543</v>
      </c>
      <c r="E2340" t="str">
        <f>"60430000"</f>
        <v>60430000</v>
      </c>
      <c r="F2340" t="s">
        <v>4007</v>
      </c>
      <c r="G2340" t="s">
        <v>336</v>
      </c>
      <c r="H2340" t="s">
        <v>5880</v>
      </c>
      <c r="I2340">
        <v>0</v>
      </c>
      <c r="J2340" t="s">
        <v>343</v>
      </c>
      <c r="K2340">
        <v>45034</v>
      </c>
      <c r="M2340">
        <v>45034</v>
      </c>
    </row>
    <row r="2341" spans="1:13" x14ac:dyDescent="0.35">
      <c r="A2341" t="str">
        <f t="shared" si="130"/>
        <v>STKCDG4572654460440000</v>
      </c>
      <c r="B2341" t="s">
        <v>3115</v>
      </c>
      <c r="C2341" s="1">
        <v>45726</v>
      </c>
      <c r="D2341" t="str">
        <f>"544"</f>
        <v>544</v>
      </c>
      <c r="E2341" t="str">
        <f>"60440000"</f>
        <v>60440000</v>
      </c>
      <c r="F2341" t="s">
        <v>4009</v>
      </c>
      <c r="G2341" t="s">
        <v>336</v>
      </c>
      <c r="H2341" t="s">
        <v>5949</v>
      </c>
      <c r="I2341">
        <v>0</v>
      </c>
      <c r="J2341" t="s">
        <v>343</v>
      </c>
      <c r="K2341">
        <v>93015</v>
      </c>
      <c r="M2341">
        <v>93015</v>
      </c>
    </row>
    <row r="2342" spans="1:13" x14ac:dyDescent="0.35">
      <c r="A2342" t="str">
        <f t="shared" si="130"/>
        <v>STKCDG4572654560460000</v>
      </c>
      <c r="B2342" t="s">
        <v>3115</v>
      </c>
      <c r="C2342" s="1">
        <v>45726</v>
      </c>
      <c r="D2342" t="str">
        <f>"545"</f>
        <v>545</v>
      </c>
      <c r="E2342" t="str">
        <f>"60460000"</f>
        <v>60460000</v>
      </c>
      <c r="F2342" t="s">
        <v>4011</v>
      </c>
      <c r="G2342" t="s">
        <v>336</v>
      </c>
      <c r="H2342" t="s">
        <v>5880</v>
      </c>
      <c r="I2342">
        <v>0</v>
      </c>
      <c r="J2342" t="s">
        <v>343</v>
      </c>
      <c r="K2342">
        <v>21050</v>
      </c>
      <c r="M2342">
        <v>21050</v>
      </c>
    </row>
    <row r="2343" spans="1:13" x14ac:dyDescent="0.35">
      <c r="A2343" t="str">
        <f t="shared" si="130"/>
        <v>STKCDG4572654660460000</v>
      </c>
      <c r="B2343" t="s">
        <v>3115</v>
      </c>
      <c r="C2343" s="1">
        <v>45726</v>
      </c>
      <c r="D2343" t="str">
        <f>"546"</f>
        <v>546</v>
      </c>
      <c r="E2343" t="str">
        <f>"60460000"</f>
        <v>60460000</v>
      </c>
      <c r="F2343" t="s">
        <v>4013</v>
      </c>
      <c r="G2343" t="s">
        <v>336</v>
      </c>
      <c r="H2343" t="s">
        <v>5874</v>
      </c>
      <c r="I2343">
        <v>0</v>
      </c>
      <c r="J2343" t="s">
        <v>343</v>
      </c>
      <c r="K2343">
        <v>294</v>
      </c>
      <c r="M2343">
        <v>3600</v>
      </c>
    </row>
    <row r="2344" spans="1:13" x14ac:dyDescent="0.35">
      <c r="A2344" t="str">
        <f t="shared" si="130"/>
        <v>STKCDG4572654660460000</v>
      </c>
      <c r="B2344" t="s">
        <v>3115</v>
      </c>
      <c r="C2344" s="1">
        <v>45726</v>
      </c>
      <c r="D2344" t="str">
        <f>"546"</f>
        <v>546</v>
      </c>
      <c r="E2344" t="str">
        <f>"60460000"</f>
        <v>60460000</v>
      </c>
      <c r="F2344" t="s">
        <v>4013</v>
      </c>
      <c r="G2344" t="s">
        <v>336</v>
      </c>
      <c r="H2344" t="s">
        <v>5874</v>
      </c>
      <c r="I2344">
        <v>0</v>
      </c>
      <c r="J2344" t="s">
        <v>343</v>
      </c>
      <c r="K2344">
        <v>3306</v>
      </c>
      <c r="M2344">
        <v>3600</v>
      </c>
    </row>
    <row r="2345" spans="1:13" x14ac:dyDescent="0.35">
      <c r="A2345" t="str">
        <f t="shared" si="130"/>
        <v>STKCDG4572654760430000</v>
      </c>
      <c r="B2345" t="s">
        <v>3115</v>
      </c>
      <c r="C2345" s="1">
        <v>45726</v>
      </c>
      <c r="D2345" t="str">
        <f>"547"</f>
        <v>547</v>
      </c>
      <c r="E2345" t="str">
        <f>"60430000"</f>
        <v>60430000</v>
      </c>
      <c r="F2345" t="s">
        <v>4015</v>
      </c>
      <c r="G2345" t="s">
        <v>336</v>
      </c>
      <c r="H2345" t="s">
        <v>5875</v>
      </c>
      <c r="I2345">
        <v>0</v>
      </c>
      <c r="J2345" t="s">
        <v>343</v>
      </c>
      <c r="K2345">
        <v>1450</v>
      </c>
      <c r="M2345">
        <v>1450</v>
      </c>
    </row>
    <row r="2346" spans="1:13" x14ac:dyDescent="0.35">
      <c r="A2346" t="str">
        <f t="shared" si="130"/>
        <v>STKCDG4572654860440000</v>
      </c>
      <c r="B2346" t="s">
        <v>3115</v>
      </c>
      <c r="C2346" s="1">
        <v>45726</v>
      </c>
      <c r="D2346" t="str">
        <f>"548"</f>
        <v>548</v>
      </c>
      <c r="E2346" t="str">
        <f>"60440000"</f>
        <v>60440000</v>
      </c>
      <c r="F2346" t="s">
        <v>4017</v>
      </c>
      <c r="G2346" t="s">
        <v>336</v>
      </c>
      <c r="H2346" t="s">
        <v>5876</v>
      </c>
      <c r="I2346">
        <v>0</v>
      </c>
      <c r="J2346" t="s">
        <v>343</v>
      </c>
      <c r="K2346">
        <v>4264</v>
      </c>
      <c r="M2346">
        <v>4264</v>
      </c>
    </row>
    <row r="2347" spans="1:13" x14ac:dyDescent="0.35">
      <c r="A2347" t="str">
        <f t="shared" si="130"/>
        <v>STKCDG4572654960440000</v>
      </c>
      <c r="B2347" t="s">
        <v>3115</v>
      </c>
      <c r="C2347" s="1">
        <v>45726</v>
      </c>
      <c r="D2347" t="str">
        <f>"549"</f>
        <v>549</v>
      </c>
      <c r="E2347" t="str">
        <f>"60440000"</f>
        <v>60440000</v>
      </c>
      <c r="F2347" t="s">
        <v>4019</v>
      </c>
      <c r="G2347" t="s">
        <v>336</v>
      </c>
      <c r="H2347" t="s">
        <v>5876</v>
      </c>
      <c r="I2347">
        <v>0</v>
      </c>
      <c r="J2347" t="s">
        <v>343</v>
      </c>
      <c r="K2347">
        <v>20139</v>
      </c>
      <c r="M2347">
        <v>20139</v>
      </c>
    </row>
    <row r="2348" spans="1:13" x14ac:dyDescent="0.35">
      <c r="A2348" t="str">
        <f t="shared" si="130"/>
        <v>STKCDG4572655060440000</v>
      </c>
      <c r="B2348" t="s">
        <v>3115</v>
      </c>
      <c r="C2348" s="1">
        <v>45726</v>
      </c>
      <c r="D2348" t="str">
        <f>"550"</f>
        <v>550</v>
      </c>
      <c r="E2348" t="str">
        <f>"60440000"</f>
        <v>60440000</v>
      </c>
      <c r="F2348" t="s">
        <v>4021</v>
      </c>
      <c r="G2348" t="s">
        <v>336</v>
      </c>
      <c r="H2348" t="s">
        <v>5876</v>
      </c>
      <c r="I2348">
        <v>0</v>
      </c>
      <c r="J2348" t="s">
        <v>343</v>
      </c>
      <c r="K2348">
        <v>3477</v>
      </c>
      <c r="M2348">
        <v>3477</v>
      </c>
    </row>
    <row r="2349" spans="1:13" x14ac:dyDescent="0.35">
      <c r="A2349" t="str">
        <f t="shared" si="130"/>
        <v>STKCDG4572655160440000</v>
      </c>
      <c r="B2349" t="s">
        <v>3115</v>
      </c>
      <c r="C2349" s="1">
        <v>45726</v>
      </c>
      <c r="D2349" t="str">
        <f>"551"</f>
        <v>551</v>
      </c>
      <c r="E2349" t="str">
        <f>"60440000"</f>
        <v>60440000</v>
      </c>
      <c r="F2349" t="s">
        <v>4023</v>
      </c>
      <c r="G2349" t="s">
        <v>336</v>
      </c>
      <c r="H2349" t="s">
        <v>5875</v>
      </c>
      <c r="I2349">
        <v>0</v>
      </c>
      <c r="J2349" t="s">
        <v>343</v>
      </c>
      <c r="K2349">
        <v>6035</v>
      </c>
      <c r="M2349">
        <v>6035</v>
      </c>
    </row>
    <row r="2350" spans="1:13" x14ac:dyDescent="0.35">
      <c r="A2350" t="str">
        <f t="shared" si="130"/>
        <v>STKCDG4572655260440000</v>
      </c>
      <c r="B2350" t="s">
        <v>3115</v>
      </c>
      <c r="C2350" s="1">
        <v>45726</v>
      </c>
      <c r="D2350" t="str">
        <f>"552"</f>
        <v>552</v>
      </c>
      <c r="E2350" t="str">
        <f>"60440000"</f>
        <v>60440000</v>
      </c>
      <c r="F2350" t="s">
        <v>4025</v>
      </c>
      <c r="G2350" t="s">
        <v>336</v>
      </c>
      <c r="H2350" t="s">
        <v>5874</v>
      </c>
      <c r="I2350">
        <v>0</v>
      </c>
      <c r="J2350" t="s">
        <v>343</v>
      </c>
      <c r="K2350">
        <v>93802</v>
      </c>
      <c r="M2350">
        <v>93802</v>
      </c>
    </row>
    <row r="2351" spans="1:13" x14ac:dyDescent="0.35">
      <c r="A2351" t="str">
        <f t="shared" si="130"/>
        <v>STKCDG4572655360460000</v>
      </c>
      <c r="B2351" t="s">
        <v>3115</v>
      </c>
      <c r="C2351" s="1">
        <v>45726</v>
      </c>
      <c r="D2351" t="str">
        <f>"553"</f>
        <v>553</v>
      </c>
      <c r="E2351" t="str">
        <f>"60460000"</f>
        <v>60460000</v>
      </c>
      <c r="F2351" t="s">
        <v>4027</v>
      </c>
      <c r="G2351" t="s">
        <v>336</v>
      </c>
      <c r="H2351" t="s">
        <v>5958</v>
      </c>
      <c r="I2351">
        <v>0</v>
      </c>
      <c r="J2351" t="s">
        <v>343</v>
      </c>
      <c r="K2351">
        <v>1365</v>
      </c>
      <c r="M2351">
        <v>1365</v>
      </c>
    </row>
    <row r="2352" spans="1:13" x14ac:dyDescent="0.35">
      <c r="A2352" t="str">
        <f t="shared" si="130"/>
        <v>STKCDG4572655460460000</v>
      </c>
      <c r="B2352" t="s">
        <v>3115</v>
      </c>
      <c r="C2352" s="1">
        <v>45726</v>
      </c>
      <c r="D2352" t="str">
        <f>"554"</f>
        <v>554</v>
      </c>
      <c r="E2352" t="str">
        <f>"60460000"</f>
        <v>60460000</v>
      </c>
      <c r="F2352" t="s">
        <v>4029</v>
      </c>
      <c r="G2352" t="s">
        <v>336</v>
      </c>
      <c r="H2352" t="s">
        <v>5958</v>
      </c>
      <c r="I2352">
        <v>0</v>
      </c>
      <c r="J2352" t="s">
        <v>343</v>
      </c>
      <c r="K2352">
        <v>673</v>
      </c>
      <c r="M2352">
        <v>1446</v>
      </c>
    </row>
    <row r="2353" spans="1:13" x14ac:dyDescent="0.35">
      <c r="A2353" t="str">
        <f t="shared" si="130"/>
        <v>STKCDG4572655460460000</v>
      </c>
      <c r="B2353" t="s">
        <v>3115</v>
      </c>
      <c r="C2353" s="1">
        <v>45726</v>
      </c>
      <c r="D2353" t="str">
        <f>"554"</f>
        <v>554</v>
      </c>
      <c r="E2353" t="str">
        <f>"60460000"</f>
        <v>60460000</v>
      </c>
      <c r="F2353" t="s">
        <v>4029</v>
      </c>
      <c r="G2353" t="s">
        <v>336</v>
      </c>
      <c r="H2353" t="s">
        <v>5958</v>
      </c>
      <c r="I2353">
        <v>0</v>
      </c>
      <c r="J2353" t="s">
        <v>343</v>
      </c>
      <c r="K2353">
        <v>773</v>
      </c>
      <c r="M2353">
        <v>1446</v>
      </c>
    </row>
    <row r="2354" spans="1:13" x14ac:dyDescent="0.35">
      <c r="A2354" t="str">
        <f t="shared" si="130"/>
        <v>STKCDG4572655560460000</v>
      </c>
      <c r="B2354" t="s">
        <v>3115</v>
      </c>
      <c r="C2354" s="1">
        <v>45726</v>
      </c>
      <c r="D2354" t="str">
        <f>"555"</f>
        <v>555</v>
      </c>
      <c r="E2354" t="str">
        <f>"60460000"</f>
        <v>60460000</v>
      </c>
      <c r="F2354" t="s">
        <v>4031</v>
      </c>
      <c r="G2354" t="s">
        <v>336</v>
      </c>
      <c r="H2354" t="s">
        <v>5949</v>
      </c>
      <c r="I2354">
        <v>0</v>
      </c>
      <c r="J2354" t="s">
        <v>343</v>
      </c>
      <c r="K2354">
        <v>61766</v>
      </c>
      <c r="M2354">
        <v>61766</v>
      </c>
    </row>
    <row r="2355" spans="1:13" x14ac:dyDescent="0.35">
      <c r="A2355" t="str">
        <f t="shared" si="130"/>
        <v>STKCDG4572655660440000</v>
      </c>
      <c r="B2355" t="s">
        <v>3115</v>
      </c>
      <c r="C2355" s="1">
        <v>45726</v>
      </c>
      <c r="D2355" t="str">
        <f>"556"</f>
        <v>556</v>
      </c>
      <c r="E2355" t="str">
        <f>"60440000"</f>
        <v>60440000</v>
      </c>
      <c r="F2355" t="s">
        <v>4033</v>
      </c>
      <c r="G2355" t="s">
        <v>336</v>
      </c>
      <c r="H2355" t="s">
        <v>5875</v>
      </c>
      <c r="I2355">
        <v>0</v>
      </c>
      <c r="J2355" t="s">
        <v>343</v>
      </c>
      <c r="K2355">
        <v>1312</v>
      </c>
      <c r="M2355">
        <v>1312</v>
      </c>
    </row>
    <row r="2356" spans="1:13" x14ac:dyDescent="0.35">
      <c r="A2356" t="str">
        <f t="shared" si="130"/>
        <v>STKCDG4572655760440000</v>
      </c>
      <c r="B2356" t="s">
        <v>3115</v>
      </c>
      <c r="C2356" s="1">
        <v>45726</v>
      </c>
      <c r="D2356" t="str">
        <f>"557"</f>
        <v>557</v>
      </c>
      <c r="E2356" t="str">
        <f>"60440000"</f>
        <v>60440000</v>
      </c>
      <c r="F2356" t="s">
        <v>4035</v>
      </c>
      <c r="G2356" t="s">
        <v>336</v>
      </c>
      <c r="H2356" t="s">
        <v>5876</v>
      </c>
      <c r="I2356">
        <v>0</v>
      </c>
      <c r="J2356" t="s">
        <v>343</v>
      </c>
      <c r="K2356">
        <v>1574</v>
      </c>
      <c r="M2356">
        <v>1574</v>
      </c>
    </row>
    <row r="2357" spans="1:13" x14ac:dyDescent="0.35">
      <c r="A2357" t="str">
        <f t="shared" si="130"/>
        <v>STKCDG4572655860410000</v>
      </c>
      <c r="B2357" t="s">
        <v>3115</v>
      </c>
      <c r="C2357" s="1">
        <v>45726</v>
      </c>
      <c r="D2357" t="str">
        <f>"558"</f>
        <v>558</v>
      </c>
      <c r="E2357" t="str">
        <f>"60410000"</f>
        <v>60410000</v>
      </c>
      <c r="F2357" t="s">
        <v>4037</v>
      </c>
      <c r="G2357" t="s">
        <v>336</v>
      </c>
      <c r="H2357" t="s">
        <v>5880</v>
      </c>
      <c r="I2357">
        <v>0</v>
      </c>
      <c r="J2357" t="s">
        <v>343</v>
      </c>
      <c r="K2357">
        <v>6596</v>
      </c>
      <c r="M2357">
        <v>6596</v>
      </c>
    </row>
    <row r="2358" spans="1:13" x14ac:dyDescent="0.35">
      <c r="A2358" t="str">
        <f t="shared" si="130"/>
        <v>STKCDG4572755960460000</v>
      </c>
      <c r="B2358" t="s">
        <v>3115</v>
      </c>
      <c r="C2358" s="1">
        <v>45727</v>
      </c>
      <c r="D2358" t="str">
        <f>"559"</f>
        <v>559</v>
      </c>
      <c r="E2358" t="str">
        <f>"60460000"</f>
        <v>60460000</v>
      </c>
      <c r="F2358" t="s">
        <v>4039</v>
      </c>
      <c r="G2358" t="s">
        <v>336</v>
      </c>
      <c r="H2358" t="s">
        <v>5958</v>
      </c>
      <c r="I2358">
        <v>0</v>
      </c>
      <c r="J2358" t="s">
        <v>343</v>
      </c>
      <c r="K2358">
        <v>294</v>
      </c>
      <c r="M2358">
        <v>294</v>
      </c>
    </row>
    <row r="2359" spans="1:13" x14ac:dyDescent="0.35">
      <c r="A2359" t="str">
        <f t="shared" si="130"/>
        <v>STKCDG4572756060440000</v>
      </c>
      <c r="B2359" t="s">
        <v>3115</v>
      </c>
      <c r="C2359" s="1">
        <v>45727</v>
      </c>
      <c r="D2359" t="str">
        <f>"560"</f>
        <v>560</v>
      </c>
      <c r="E2359" t="str">
        <f>"60440000"</f>
        <v>60440000</v>
      </c>
      <c r="F2359" t="s">
        <v>4041</v>
      </c>
      <c r="G2359" t="s">
        <v>336</v>
      </c>
      <c r="H2359" t="s">
        <v>5881</v>
      </c>
      <c r="I2359">
        <v>0</v>
      </c>
      <c r="J2359" t="s">
        <v>343</v>
      </c>
      <c r="K2359">
        <v>168000</v>
      </c>
      <c r="M2359">
        <v>168000</v>
      </c>
    </row>
    <row r="2360" spans="1:13" x14ac:dyDescent="0.35">
      <c r="A2360" t="str">
        <f t="shared" si="130"/>
        <v>STKCDG4572756160440000</v>
      </c>
      <c r="B2360" t="s">
        <v>3115</v>
      </c>
      <c r="C2360" s="1">
        <v>45727</v>
      </c>
      <c r="D2360" t="str">
        <f>"561"</f>
        <v>561</v>
      </c>
      <c r="E2360" t="str">
        <f>"60440000"</f>
        <v>60440000</v>
      </c>
      <c r="F2360" t="s">
        <v>4043</v>
      </c>
      <c r="G2360" t="s">
        <v>336</v>
      </c>
      <c r="H2360" t="s">
        <v>5881</v>
      </c>
      <c r="I2360">
        <v>0</v>
      </c>
      <c r="J2360" t="s">
        <v>343</v>
      </c>
      <c r="K2360">
        <v>58800</v>
      </c>
      <c r="M2360">
        <v>58800</v>
      </c>
    </row>
    <row r="2361" spans="1:13" x14ac:dyDescent="0.35">
      <c r="A2361" t="str">
        <f t="shared" si="130"/>
        <v>STKCDG4572756260440000</v>
      </c>
      <c r="B2361" t="s">
        <v>3115</v>
      </c>
      <c r="C2361" s="1">
        <v>45727</v>
      </c>
      <c r="D2361" t="str">
        <f>"562"</f>
        <v>562</v>
      </c>
      <c r="E2361" t="str">
        <f>"60440000"</f>
        <v>60440000</v>
      </c>
      <c r="F2361" t="s">
        <v>4045</v>
      </c>
      <c r="G2361" t="s">
        <v>336</v>
      </c>
      <c r="H2361" t="s">
        <v>5873</v>
      </c>
      <c r="I2361">
        <v>0</v>
      </c>
      <c r="J2361" t="s">
        <v>343</v>
      </c>
      <c r="K2361">
        <v>44498</v>
      </c>
      <c r="M2361">
        <v>44498</v>
      </c>
    </row>
    <row r="2362" spans="1:13" x14ac:dyDescent="0.35">
      <c r="A2362" t="str">
        <f t="shared" si="130"/>
        <v>STKCDG4572756360440000</v>
      </c>
      <c r="B2362" t="s">
        <v>3115</v>
      </c>
      <c r="C2362" s="1">
        <v>45727</v>
      </c>
      <c r="D2362" t="str">
        <f>"563"</f>
        <v>563</v>
      </c>
      <c r="E2362" t="str">
        <f>"60440000"</f>
        <v>60440000</v>
      </c>
      <c r="F2362" t="s">
        <v>4047</v>
      </c>
      <c r="G2362" t="s">
        <v>336</v>
      </c>
      <c r="H2362" t="s">
        <v>5958</v>
      </c>
      <c r="I2362">
        <v>0</v>
      </c>
      <c r="J2362" t="s">
        <v>343</v>
      </c>
      <c r="K2362">
        <v>3870</v>
      </c>
      <c r="M2362">
        <v>3870</v>
      </c>
    </row>
    <row r="2363" spans="1:13" x14ac:dyDescent="0.35">
      <c r="A2363" t="str">
        <f t="shared" si="130"/>
        <v>STKCDG4572756460410000</v>
      </c>
      <c r="B2363" t="s">
        <v>3115</v>
      </c>
      <c r="C2363" s="1">
        <v>45727</v>
      </c>
      <c r="D2363" t="str">
        <f>"564"</f>
        <v>564</v>
      </c>
      <c r="E2363" t="str">
        <f>"60410000"</f>
        <v>60410000</v>
      </c>
      <c r="F2363" t="s">
        <v>4049</v>
      </c>
      <c r="G2363" t="s">
        <v>336</v>
      </c>
      <c r="H2363" t="s">
        <v>5958</v>
      </c>
      <c r="I2363">
        <v>0</v>
      </c>
      <c r="J2363" t="s">
        <v>343</v>
      </c>
      <c r="K2363">
        <v>3360</v>
      </c>
      <c r="M2363">
        <v>3360</v>
      </c>
    </row>
    <row r="2364" spans="1:13" x14ac:dyDescent="0.35">
      <c r="A2364" t="str">
        <f t="shared" si="130"/>
        <v>STKCDG4572756560440000</v>
      </c>
      <c r="B2364" t="s">
        <v>3115</v>
      </c>
      <c r="C2364" s="1">
        <v>45727</v>
      </c>
      <c r="D2364" t="str">
        <f>"565"</f>
        <v>565</v>
      </c>
      <c r="E2364" t="str">
        <f>"60440000"</f>
        <v>60440000</v>
      </c>
      <c r="F2364" t="s">
        <v>4051</v>
      </c>
      <c r="G2364" t="s">
        <v>336</v>
      </c>
      <c r="H2364" t="s">
        <v>5955</v>
      </c>
      <c r="I2364">
        <v>0</v>
      </c>
      <c r="J2364" t="s">
        <v>343</v>
      </c>
      <c r="K2364">
        <v>3017</v>
      </c>
      <c r="M2364">
        <v>3017</v>
      </c>
    </row>
    <row r="2365" spans="1:13" x14ac:dyDescent="0.35">
      <c r="A2365" t="str">
        <f t="shared" si="130"/>
        <v>STKCDG4572756660460000</v>
      </c>
      <c r="B2365" t="s">
        <v>3115</v>
      </c>
      <c r="C2365" s="1">
        <v>45727</v>
      </c>
      <c r="D2365" t="str">
        <f>"566"</f>
        <v>566</v>
      </c>
      <c r="E2365" t="str">
        <f>"60460000"</f>
        <v>60460000</v>
      </c>
      <c r="F2365" t="s">
        <v>4053</v>
      </c>
      <c r="G2365" t="s">
        <v>336</v>
      </c>
      <c r="H2365" t="s">
        <v>5949</v>
      </c>
      <c r="I2365">
        <v>0</v>
      </c>
      <c r="J2365" t="s">
        <v>343</v>
      </c>
      <c r="K2365">
        <v>125000</v>
      </c>
      <c r="M2365">
        <v>125000</v>
      </c>
    </row>
    <row r="2366" spans="1:13" x14ac:dyDescent="0.35">
      <c r="A2366" t="str">
        <f t="shared" si="130"/>
        <v>STKCDG4572756760460000</v>
      </c>
      <c r="B2366" t="s">
        <v>3115</v>
      </c>
      <c r="C2366" s="1">
        <v>45727</v>
      </c>
      <c r="D2366" t="str">
        <f>"567"</f>
        <v>567</v>
      </c>
      <c r="E2366" t="str">
        <f>"60460000"</f>
        <v>60460000</v>
      </c>
      <c r="F2366" t="s">
        <v>4055</v>
      </c>
      <c r="G2366" t="s">
        <v>336</v>
      </c>
      <c r="H2366" t="s">
        <v>5949</v>
      </c>
      <c r="I2366">
        <v>0</v>
      </c>
      <c r="J2366" t="s">
        <v>343</v>
      </c>
      <c r="K2366">
        <v>65000</v>
      </c>
      <c r="M2366">
        <v>65000</v>
      </c>
    </row>
    <row r="2367" spans="1:13" x14ac:dyDescent="0.35">
      <c r="A2367" t="str">
        <f t="shared" si="130"/>
        <v>STKCDG4572756860440000</v>
      </c>
      <c r="B2367" t="s">
        <v>3115</v>
      </c>
      <c r="C2367" s="1">
        <v>45727</v>
      </c>
      <c r="D2367" t="str">
        <f>"568"</f>
        <v>568</v>
      </c>
      <c r="E2367" t="str">
        <f>"60440000"</f>
        <v>60440000</v>
      </c>
      <c r="F2367" t="s">
        <v>4057</v>
      </c>
      <c r="G2367" t="s">
        <v>336</v>
      </c>
      <c r="H2367" t="s">
        <v>5966</v>
      </c>
      <c r="I2367">
        <v>0</v>
      </c>
      <c r="J2367" t="s">
        <v>343</v>
      </c>
      <c r="K2367">
        <v>122270</v>
      </c>
      <c r="M2367">
        <v>122270</v>
      </c>
    </row>
    <row r="2368" spans="1:13" x14ac:dyDescent="0.35">
      <c r="A2368" t="str">
        <f t="shared" si="130"/>
        <v>STKCDG4572756960430000</v>
      </c>
      <c r="B2368" t="s">
        <v>3115</v>
      </c>
      <c r="C2368" s="1">
        <v>45727</v>
      </c>
      <c r="D2368" t="str">
        <f>"569"</f>
        <v>569</v>
      </c>
      <c r="E2368" t="str">
        <f>"60430000"</f>
        <v>60430000</v>
      </c>
      <c r="F2368" t="s">
        <v>4059</v>
      </c>
      <c r="G2368" t="s">
        <v>336</v>
      </c>
      <c r="H2368" t="s">
        <v>5966</v>
      </c>
      <c r="I2368">
        <v>0</v>
      </c>
      <c r="J2368" t="s">
        <v>343</v>
      </c>
      <c r="K2368">
        <v>66825</v>
      </c>
      <c r="M2368">
        <v>66825</v>
      </c>
    </row>
    <row r="2369" spans="1:13" x14ac:dyDescent="0.35">
      <c r="A2369" t="str">
        <f t="shared" si="130"/>
        <v>STKCDG4572757060440000</v>
      </c>
      <c r="B2369" t="s">
        <v>3115</v>
      </c>
      <c r="C2369" s="1">
        <v>45727</v>
      </c>
      <c r="D2369" t="str">
        <f>"570"</f>
        <v>570</v>
      </c>
      <c r="E2369" t="str">
        <f>"60440000"</f>
        <v>60440000</v>
      </c>
      <c r="F2369" t="s">
        <v>4061</v>
      </c>
      <c r="G2369" t="s">
        <v>336</v>
      </c>
      <c r="H2369" t="s">
        <v>5966</v>
      </c>
      <c r="I2369">
        <v>0</v>
      </c>
      <c r="J2369" t="s">
        <v>343</v>
      </c>
      <c r="K2369">
        <v>3083</v>
      </c>
      <c r="M2369">
        <v>3083</v>
      </c>
    </row>
    <row r="2370" spans="1:13" x14ac:dyDescent="0.35">
      <c r="A2370" t="str">
        <f t="shared" si="130"/>
        <v>STKCDG4572757160440000</v>
      </c>
      <c r="B2370" t="s">
        <v>3115</v>
      </c>
      <c r="C2370" s="1">
        <v>45727</v>
      </c>
      <c r="D2370" t="str">
        <f>"571"</f>
        <v>571</v>
      </c>
      <c r="E2370" t="str">
        <f>"60440000"</f>
        <v>60440000</v>
      </c>
      <c r="F2370" t="s">
        <v>4063</v>
      </c>
      <c r="G2370" t="s">
        <v>336</v>
      </c>
      <c r="H2370" t="s">
        <v>5876</v>
      </c>
      <c r="I2370">
        <v>0</v>
      </c>
      <c r="J2370" t="s">
        <v>343</v>
      </c>
      <c r="K2370">
        <v>15547</v>
      </c>
      <c r="M2370">
        <v>15547</v>
      </c>
    </row>
    <row r="2371" spans="1:13" x14ac:dyDescent="0.35">
      <c r="A2371" t="str">
        <f t="shared" ref="A2371:A2434" si="134">CONCATENATE(B2371,C2371,D2371,E2371)</f>
        <v>STKCDG4572757260460000</v>
      </c>
      <c r="B2371" t="s">
        <v>3115</v>
      </c>
      <c r="C2371" s="1">
        <v>45727</v>
      </c>
      <c r="D2371" t="str">
        <f>"572"</f>
        <v>572</v>
      </c>
      <c r="E2371" t="str">
        <f>"60460000"</f>
        <v>60460000</v>
      </c>
      <c r="F2371" t="s">
        <v>4065</v>
      </c>
      <c r="G2371" t="s">
        <v>336</v>
      </c>
      <c r="H2371" t="s">
        <v>5966</v>
      </c>
      <c r="I2371">
        <v>0</v>
      </c>
      <c r="J2371" t="s">
        <v>343</v>
      </c>
      <c r="K2371">
        <v>2500</v>
      </c>
      <c r="M2371">
        <v>2500</v>
      </c>
    </row>
    <row r="2372" spans="1:13" x14ac:dyDescent="0.35">
      <c r="A2372" t="str">
        <f t="shared" si="134"/>
        <v>STKCDG4572757360460000</v>
      </c>
      <c r="B2372" t="s">
        <v>3115</v>
      </c>
      <c r="C2372" s="1">
        <v>45727</v>
      </c>
      <c r="D2372" t="str">
        <f>"573"</f>
        <v>573</v>
      </c>
      <c r="E2372" t="str">
        <f>"60460000"</f>
        <v>60460000</v>
      </c>
      <c r="F2372" t="s">
        <v>4067</v>
      </c>
      <c r="G2372" t="s">
        <v>336</v>
      </c>
      <c r="H2372" t="s">
        <v>5875</v>
      </c>
      <c r="I2372">
        <v>0</v>
      </c>
      <c r="J2372" t="s">
        <v>343</v>
      </c>
      <c r="K2372">
        <v>7861</v>
      </c>
      <c r="M2372">
        <v>7861</v>
      </c>
    </row>
    <row r="2373" spans="1:13" x14ac:dyDescent="0.35">
      <c r="A2373" t="str">
        <f t="shared" si="134"/>
        <v>STKCDG4572757460410000</v>
      </c>
      <c r="B2373" t="s">
        <v>3115</v>
      </c>
      <c r="C2373" s="1">
        <v>45727</v>
      </c>
      <c r="D2373" t="str">
        <f>"574"</f>
        <v>574</v>
      </c>
      <c r="E2373" t="str">
        <f>"60410000"</f>
        <v>60410000</v>
      </c>
      <c r="F2373" t="s">
        <v>4069</v>
      </c>
      <c r="G2373" t="s">
        <v>336</v>
      </c>
      <c r="H2373" t="s">
        <v>5875</v>
      </c>
      <c r="I2373">
        <v>0</v>
      </c>
      <c r="J2373" t="s">
        <v>343</v>
      </c>
      <c r="K2373">
        <v>5242</v>
      </c>
      <c r="M2373">
        <v>5242</v>
      </c>
    </row>
    <row r="2374" spans="1:13" x14ac:dyDescent="0.35">
      <c r="A2374" t="str">
        <f t="shared" si="134"/>
        <v>STKCDG4572757560460000</v>
      </c>
      <c r="B2374" t="s">
        <v>3115</v>
      </c>
      <c r="C2374" s="1">
        <v>45727</v>
      </c>
      <c r="D2374" t="str">
        <f>"575"</f>
        <v>575</v>
      </c>
      <c r="E2374" t="str">
        <f>"60460000"</f>
        <v>60460000</v>
      </c>
      <c r="F2374" t="s">
        <v>4071</v>
      </c>
      <c r="G2374" t="s">
        <v>336</v>
      </c>
      <c r="H2374" t="s">
        <v>5876</v>
      </c>
      <c r="I2374">
        <v>0</v>
      </c>
      <c r="J2374" t="s">
        <v>343</v>
      </c>
      <c r="K2374">
        <v>10675</v>
      </c>
      <c r="M2374">
        <v>10675</v>
      </c>
    </row>
    <row r="2375" spans="1:13" x14ac:dyDescent="0.35">
      <c r="A2375" t="str">
        <f t="shared" si="134"/>
        <v>STKCDG4572757660460000</v>
      </c>
      <c r="B2375" t="s">
        <v>3115</v>
      </c>
      <c r="C2375" s="1">
        <v>45727</v>
      </c>
      <c r="D2375" t="str">
        <f>"576"</f>
        <v>576</v>
      </c>
      <c r="E2375" t="str">
        <f>"60460000"</f>
        <v>60460000</v>
      </c>
      <c r="F2375" t="s">
        <v>4073</v>
      </c>
      <c r="G2375" t="s">
        <v>336</v>
      </c>
      <c r="H2375" t="s">
        <v>5876</v>
      </c>
      <c r="I2375">
        <v>0</v>
      </c>
      <c r="J2375" t="s">
        <v>343</v>
      </c>
      <c r="K2375">
        <v>939</v>
      </c>
      <c r="M2375">
        <v>939</v>
      </c>
    </row>
    <row r="2376" spans="1:13" x14ac:dyDescent="0.35">
      <c r="A2376" t="str">
        <f t="shared" si="134"/>
        <v>STKCDG4572757760440000</v>
      </c>
      <c r="B2376" t="s">
        <v>3115</v>
      </c>
      <c r="C2376" s="1">
        <v>45727</v>
      </c>
      <c r="D2376" t="str">
        <f>"577"</f>
        <v>577</v>
      </c>
      <c r="E2376" t="str">
        <f>"60440000"</f>
        <v>60440000</v>
      </c>
      <c r="F2376" t="s">
        <v>4075</v>
      </c>
      <c r="G2376" t="s">
        <v>336</v>
      </c>
      <c r="H2376" t="s">
        <v>5874</v>
      </c>
      <c r="I2376">
        <v>0</v>
      </c>
      <c r="J2376" t="s">
        <v>343</v>
      </c>
      <c r="K2376">
        <v>3017</v>
      </c>
      <c r="M2376">
        <v>3017</v>
      </c>
    </row>
    <row r="2377" spans="1:13" x14ac:dyDescent="0.35">
      <c r="A2377" t="str">
        <f t="shared" si="134"/>
        <v>STKCDG4572757860460000</v>
      </c>
      <c r="B2377" t="s">
        <v>3115</v>
      </c>
      <c r="C2377" s="1">
        <v>45727</v>
      </c>
      <c r="D2377" t="str">
        <f>"578"</f>
        <v>578</v>
      </c>
      <c r="E2377" t="str">
        <f>"60460000"</f>
        <v>60460000</v>
      </c>
      <c r="F2377" t="s">
        <v>4077</v>
      </c>
      <c r="G2377" t="s">
        <v>336</v>
      </c>
      <c r="H2377" t="s">
        <v>5949</v>
      </c>
      <c r="I2377">
        <v>0</v>
      </c>
      <c r="J2377" t="s">
        <v>343</v>
      </c>
      <c r="K2377">
        <v>39000</v>
      </c>
      <c r="M2377">
        <v>39000</v>
      </c>
    </row>
    <row r="2378" spans="1:13" x14ac:dyDescent="0.35">
      <c r="A2378" t="str">
        <f t="shared" si="134"/>
        <v>STKCDG4572757960440000</v>
      </c>
      <c r="B2378" t="s">
        <v>3115</v>
      </c>
      <c r="C2378" s="1">
        <v>45727</v>
      </c>
      <c r="D2378" t="str">
        <f>"579"</f>
        <v>579</v>
      </c>
      <c r="E2378" t="str">
        <f>"60440000"</f>
        <v>60440000</v>
      </c>
      <c r="F2378" t="s">
        <v>4079</v>
      </c>
      <c r="G2378" t="s">
        <v>336</v>
      </c>
      <c r="H2378" t="s">
        <v>5966</v>
      </c>
      <c r="I2378">
        <v>0</v>
      </c>
      <c r="J2378" t="s">
        <v>343</v>
      </c>
      <c r="K2378">
        <v>6035</v>
      </c>
      <c r="M2378">
        <v>6035</v>
      </c>
    </row>
    <row r="2379" spans="1:13" x14ac:dyDescent="0.35">
      <c r="A2379" t="str">
        <f t="shared" si="134"/>
        <v>STKCDG4572758060440000</v>
      </c>
      <c r="B2379" t="s">
        <v>3115</v>
      </c>
      <c r="C2379" s="1">
        <v>45727</v>
      </c>
      <c r="D2379" t="str">
        <f>"580"</f>
        <v>580</v>
      </c>
      <c r="E2379" t="str">
        <f>"60440000"</f>
        <v>60440000</v>
      </c>
      <c r="F2379" t="s">
        <v>4081</v>
      </c>
      <c r="G2379" t="s">
        <v>336</v>
      </c>
      <c r="H2379" t="s">
        <v>5966</v>
      </c>
      <c r="I2379">
        <v>0</v>
      </c>
      <c r="J2379" t="s">
        <v>343</v>
      </c>
      <c r="K2379">
        <v>298</v>
      </c>
      <c r="M2379">
        <v>298</v>
      </c>
    </row>
    <row r="2380" spans="1:13" x14ac:dyDescent="0.35">
      <c r="A2380" t="str">
        <f t="shared" si="134"/>
        <v>STKCDG4572758160460000</v>
      </c>
      <c r="B2380" t="s">
        <v>3115</v>
      </c>
      <c r="C2380" s="1">
        <v>45727</v>
      </c>
      <c r="D2380" t="str">
        <f>"581"</f>
        <v>581</v>
      </c>
      <c r="E2380" t="str">
        <f>"60460000"</f>
        <v>60460000</v>
      </c>
      <c r="F2380" t="s">
        <v>4083</v>
      </c>
      <c r="G2380" t="s">
        <v>336</v>
      </c>
      <c r="H2380" t="s">
        <v>5966</v>
      </c>
      <c r="I2380">
        <v>0</v>
      </c>
      <c r="J2380" t="s">
        <v>343</v>
      </c>
      <c r="K2380">
        <v>6900</v>
      </c>
      <c r="M2380">
        <v>7704</v>
      </c>
    </row>
    <row r="2381" spans="1:13" x14ac:dyDescent="0.35">
      <c r="A2381" t="str">
        <f t="shared" si="134"/>
        <v>STKCDG4572758160460000</v>
      </c>
      <c r="B2381" t="s">
        <v>3115</v>
      </c>
      <c r="C2381" s="1">
        <v>45727</v>
      </c>
      <c r="D2381" t="str">
        <f>"581"</f>
        <v>581</v>
      </c>
      <c r="E2381" t="str">
        <f>"60460000"</f>
        <v>60460000</v>
      </c>
      <c r="F2381" t="s">
        <v>4083</v>
      </c>
      <c r="G2381" t="s">
        <v>336</v>
      </c>
      <c r="H2381" t="s">
        <v>5966</v>
      </c>
      <c r="I2381">
        <v>0</v>
      </c>
      <c r="J2381" t="s">
        <v>343</v>
      </c>
      <c r="K2381">
        <v>804</v>
      </c>
      <c r="M2381">
        <v>7704</v>
      </c>
    </row>
    <row r="2382" spans="1:13" x14ac:dyDescent="0.35">
      <c r="A2382" t="str">
        <f t="shared" si="134"/>
        <v>STKCDG4572758260460000</v>
      </c>
      <c r="B2382" t="s">
        <v>3115</v>
      </c>
      <c r="C2382" s="1">
        <v>45727</v>
      </c>
      <c r="D2382" t="str">
        <f>"582"</f>
        <v>582</v>
      </c>
      <c r="E2382" t="str">
        <f>"60460000"</f>
        <v>60460000</v>
      </c>
      <c r="F2382" t="s">
        <v>4085</v>
      </c>
      <c r="G2382" t="s">
        <v>336</v>
      </c>
      <c r="H2382" t="s">
        <v>6012</v>
      </c>
      <c r="I2382">
        <v>0</v>
      </c>
      <c r="J2382" t="s">
        <v>343</v>
      </c>
      <c r="K2382">
        <v>7683</v>
      </c>
      <c r="M2382">
        <v>7683</v>
      </c>
    </row>
    <row r="2383" spans="1:13" x14ac:dyDescent="0.35">
      <c r="A2383" t="str">
        <f t="shared" si="134"/>
        <v>STKCDG4572758360440000</v>
      </c>
      <c r="B2383" t="s">
        <v>3115</v>
      </c>
      <c r="C2383" s="1">
        <v>45727</v>
      </c>
      <c r="D2383" t="str">
        <f>"583"</f>
        <v>583</v>
      </c>
      <c r="E2383" t="str">
        <f>"60440000"</f>
        <v>60440000</v>
      </c>
      <c r="F2383" t="s">
        <v>4087</v>
      </c>
      <c r="G2383" t="s">
        <v>336</v>
      </c>
      <c r="H2383" t="s">
        <v>5875</v>
      </c>
      <c r="I2383">
        <v>0</v>
      </c>
      <c r="J2383" t="s">
        <v>343</v>
      </c>
      <c r="K2383">
        <v>1443</v>
      </c>
      <c r="M2383">
        <v>1443</v>
      </c>
    </row>
    <row r="2384" spans="1:13" x14ac:dyDescent="0.35">
      <c r="A2384" t="str">
        <f t="shared" si="134"/>
        <v>STKCDG4572758460440000</v>
      </c>
      <c r="B2384" t="s">
        <v>3115</v>
      </c>
      <c r="C2384" s="1">
        <v>45727</v>
      </c>
      <c r="D2384" t="str">
        <f>"584"</f>
        <v>584</v>
      </c>
      <c r="E2384" t="str">
        <f>"60440000"</f>
        <v>60440000</v>
      </c>
      <c r="F2384" t="s">
        <v>4089</v>
      </c>
      <c r="G2384" t="s">
        <v>336</v>
      </c>
      <c r="H2384" t="s">
        <v>5876</v>
      </c>
      <c r="I2384">
        <v>0</v>
      </c>
      <c r="J2384" t="s">
        <v>343</v>
      </c>
      <c r="K2384">
        <v>11021</v>
      </c>
      <c r="M2384">
        <v>11021</v>
      </c>
    </row>
    <row r="2385" spans="1:13" x14ac:dyDescent="0.35">
      <c r="A2385" t="str">
        <f t="shared" si="134"/>
        <v>STKCDG4572758560430000</v>
      </c>
      <c r="B2385" t="s">
        <v>3115</v>
      </c>
      <c r="C2385" s="1">
        <v>45727</v>
      </c>
      <c r="D2385" t="str">
        <f>"585"</f>
        <v>585</v>
      </c>
      <c r="E2385" t="str">
        <f>"60430000"</f>
        <v>60430000</v>
      </c>
      <c r="F2385" t="s">
        <v>4091</v>
      </c>
      <c r="G2385" t="s">
        <v>336</v>
      </c>
      <c r="H2385" t="s">
        <v>5905</v>
      </c>
      <c r="I2385">
        <v>0</v>
      </c>
      <c r="J2385" t="s">
        <v>343</v>
      </c>
      <c r="K2385">
        <v>20250</v>
      </c>
      <c r="M2385">
        <v>20250</v>
      </c>
    </row>
    <row r="2386" spans="1:13" x14ac:dyDescent="0.35">
      <c r="A2386" t="str">
        <f t="shared" si="134"/>
        <v>STKCDG4572758660430000</v>
      </c>
      <c r="B2386" t="s">
        <v>3115</v>
      </c>
      <c r="C2386" s="1">
        <v>45727</v>
      </c>
      <c r="D2386" t="str">
        <f>"586"</f>
        <v>586</v>
      </c>
      <c r="E2386" t="str">
        <f>"60430000"</f>
        <v>60430000</v>
      </c>
      <c r="F2386" t="s">
        <v>4093</v>
      </c>
      <c r="G2386" t="s">
        <v>336</v>
      </c>
      <c r="H2386" t="s">
        <v>5905</v>
      </c>
      <c r="I2386">
        <v>0</v>
      </c>
      <c r="J2386" t="s">
        <v>343</v>
      </c>
      <c r="K2386">
        <v>40500</v>
      </c>
      <c r="M2386">
        <v>40500</v>
      </c>
    </row>
    <row r="2387" spans="1:13" x14ac:dyDescent="0.35">
      <c r="A2387" t="str">
        <f t="shared" si="134"/>
        <v>STKCDG4572758760460000</v>
      </c>
      <c r="B2387" t="s">
        <v>3115</v>
      </c>
      <c r="C2387" s="1">
        <v>45727</v>
      </c>
      <c r="D2387" t="str">
        <f>"587"</f>
        <v>587</v>
      </c>
      <c r="E2387" t="str">
        <f>"60460000"</f>
        <v>60460000</v>
      </c>
      <c r="F2387" t="s">
        <v>4095</v>
      </c>
      <c r="G2387" t="s">
        <v>336</v>
      </c>
      <c r="H2387" t="s">
        <v>5876</v>
      </c>
      <c r="I2387">
        <v>0</v>
      </c>
      <c r="J2387" t="s">
        <v>343</v>
      </c>
      <c r="K2387">
        <v>1314</v>
      </c>
      <c r="M2387">
        <v>1314</v>
      </c>
    </row>
    <row r="2388" spans="1:13" x14ac:dyDescent="0.35">
      <c r="A2388" t="str">
        <f t="shared" si="134"/>
        <v>STKCDG4572758860440000</v>
      </c>
      <c r="B2388" t="s">
        <v>3115</v>
      </c>
      <c r="C2388" s="1">
        <v>45727</v>
      </c>
      <c r="D2388" t="str">
        <f>"588"</f>
        <v>588</v>
      </c>
      <c r="E2388" t="str">
        <f>"60440000"</f>
        <v>60440000</v>
      </c>
      <c r="F2388" t="s">
        <v>4097</v>
      </c>
      <c r="G2388" t="s">
        <v>336</v>
      </c>
      <c r="H2388" t="s">
        <v>5875</v>
      </c>
      <c r="I2388">
        <v>0</v>
      </c>
      <c r="J2388" t="s">
        <v>343</v>
      </c>
      <c r="K2388">
        <v>1837</v>
      </c>
      <c r="M2388">
        <v>1837</v>
      </c>
    </row>
    <row r="2389" spans="1:13" x14ac:dyDescent="0.35">
      <c r="A2389" t="str">
        <f t="shared" si="134"/>
        <v>STKCDG4572758960440000</v>
      </c>
      <c r="B2389" t="s">
        <v>3115</v>
      </c>
      <c r="C2389" s="1">
        <v>45727</v>
      </c>
      <c r="D2389" t="str">
        <f>"589"</f>
        <v>589</v>
      </c>
      <c r="E2389" t="str">
        <f>"60440000"</f>
        <v>60440000</v>
      </c>
      <c r="F2389" t="s">
        <v>4099</v>
      </c>
      <c r="G2389" t="s">
        <v>336</v>
      </c>
      <c r="H2389" t="s">
        <v>5876</v>
      </c>
      <c r="I2389">
        <v>0</v>
      </c>
      <c r="J2389" t="s">
        <v>343</v>
      </c>
      <c r="K2389">
        <v>7741</v>
      </c>
      <c r="M2389">
        <v>7741</v>
      </c>
    </row>
    <row r="2390" spans="1:13" x14ac:dyDescent="0.35">
      <c r="A2390" t="str">
        <f t="shared" si="134"/>
        <v>STKCDG4572759060460000</v>
      </c>
      <c r="B2390" t="s">
        <v>3115</v>
      </c>
      <c r="C2390" s="1">
        <v>45727</v>
      </c>
      <c r="D2390" t="str">
        <f>"590"</f>
        <v>590</v>
      </c>
      <c r="E2390" t="str">
        <f>"60460000"</f>
        <v>60460000</v>
      </c>
      <c r="F2390" t="s">
        <v>4101</v>
      </c>
      <c r="G2390" t="s">
        <v>336</v>
      </c>
      <c r="H2390" t="s">
        <v>5881</v>
      </c>
      <c r="I2390">
        <v>0</v>
      </c>
      <c r="J2390" t="s">
        <v>343</v>
      </c>
      <c r="K2390">
        <v>4500</v>
      </c>
      <c r="M2390">
        <v>4500</v>
      </c>
    </row>
    <row r="2391" spans="1:13" x14ac:dyDescent="0.35">
      <c r="A2391" t="str">
        <f t="shared" si="134"/>
        <v>STKCDG4572759160460000</v>
      </c>
      <c r="B2391" t="s">
        <v>3115</v>
      </c>
      <c r="C2391" s="1">
        <v>45727</v>
      </c>
      <c r="D2391" t="str">
        <f>"591"</f>
        <v>591</v>
      </c>
      <c r="E2391" t="str">
        <f>"60460000"</f>
        <v>60460000</v>
      </c>
      <c r="F2391" t="s">
        <v>4103</v>
      </c>
      <c r="G2391" t="s">
        <v>336</v>
      </c>
      <c r="H2391" t="s">
        <v>5876</v>
      </c>
      <c r="I2391">
        <v>0</v>
      </c>
      <c r="J2391" t="s">
        <v>343</v>
      </c>
      <c r="K2391">
        <v>1798</v>
      </c>
      <c r="M2391">
        <v>1798</v>
      </c>
    </row>
    <row r="2392" spans="1:13" x14ac:dyDescent="0.35">
      <c r="A2392" t="str">
        <f t="shared" si="134"/>
        <v>STKCDG4572759260410000</v>
      </c>
      <c r="B2392" t="s">
        <v>3115</v>
      </c>
      <c r="C2392" s="1">
        <v>45727</v>
      </c>
      <c r="D2392" t="str">
        <f>"592"</f>
        <v>592</v>
      </c>
      <c r="E2392" t="str">
        <f>"60410000"</f>
        <v>60410000</v>
      </c>
      <c r="F2392" t="s">
        <v>4105</v>
      </c>
      <c r="G2392" t="s">
        <v>336</v>
      </c>
      <c r="H2392" t="s">
        <v>5875</v>
      </c>
      <c r="I2392">
        <v>0</v>
      </c>
      <c r="J2392" t="s">
        <v>343</v>
      </c>
      <c r="K2392">
        <v>5715</v>
      </c>
      <c r="M2392">
        <v>5715</v>
      </c>
    </row>
    <row r="2393" spans="1:13" x14ac:dyDescent="0.35">
      <c r="A2393" t="str">
        <f t="shared" si="134"/>
        <v>STKCDG4572759360410000</v>
      </c>
      <c r="B2393" t="s">
        <v>3115</v>
      </c>
      <c r="C2393" s="1">
        <v>45727</v>
      </c>
      <c r="D2393" t="str">
        <f>"593"</f>
        <v>593</v>
      </c>
      <c r="E2393" t="str">
        <f>"60410000"</f>
        <v>60410000</v>
      </c>
      <c r="F2393" t="s">
        <v>4107</v>
      </c>
      <c r="G2393" t="s">
        <v>336</v>
      </c>
      <c r="H2393" t="s">
        <v>5881</v>
      </c>
      <c r="I2393">
        <v>0</v>
      </c>
      <c r="J2393" t="s">
        <v>343</v>
      </c>
      <c r="K2393">
        <v>6356</v>
      </c>
      <c r="M2393">
        <v>6356</v>
      </c>
    </row>
    <row r="2394" spans="1:13" x14ac:dyDescent="0.35">
      <c r="A2394" t="str">
        <f t="shared" si="134"/>
        <v>STKCDG4572759460410000</v>
      </c>
      <c r="B2394" t="s">
        <v>3115</v>
      </c>
      <c r="C2394" s="1">
        <v>45727</v>
      </c>
      <c r="D2394" t="str">
        <f>"594"</f>
        <v>594</v>
      </c>
      <c r="E2394" t="str">
        <f>"60410000"</f>
        <v>60410000</v>
      </c>
      <c r="F2394" t="s">
        <v>4109</v>
      </c>
      <c r="G2394" t="s">
        <v>336</v>
      </c>
      <c r="H2394" t="s">
        <v>5881</v>
      </c>
      <c r="I2394">
        <v>0</v>
      </c>
      <c r="J2394" t="s">
        <v>343</v>
      </c>
      <c r="K2394">
        <v>3298</v>
      </c>
      <c r="M2394">
        <v>3298</v>
      </c>
    </row>
    <row r="2395" spans="1:13" x14ac:dyDescent="0.35">
      <c r="A2395" t="str">
        <f t="shared" si="134"/>
        <v>STKCDG4572759560410000</v>
      </c>
      <c r="B2395" t="s">
        <v>3115</v>
      </c>
      <c r="C2395" s="1">
        <v>45727</v>
      </c>
      <c r="D2395" t="str">
        <f>"595"</f>
        <v>595</v>
      </c>
      <c r="E2395" t="str">
        <f>"60410000"</f>
        <v>60410000</v>
      </c>
      <c r="F2395" t="s">
        <v>4111</v>
      </c>
      <c r="G2395" t="s">
        <v>336</v>
      </c>
      <c r="H2395" t="s">
        <v>6013</v>
      </c>
      <c r="I2395">
        <v>0</v>
      </c>
      <c r="J2395" t="s">
        <v>343</v>
      </c>
      <c r="K2395">
        <v>2936</v>
      </c>
      <c r="M2395">
        <v>2936</v>
      </c>
    </row>
    <row r="2396" spans="1:13" x14ac:dyDescent="0.35">
      <c r="A2396" t="str">
        <f t="shared" si="134"/>
        <v>STKCDG4572759660460000</v>
      </c>
      <c r="B2396" t="s">
        <v>3115</v>
      </c>
      <c r="C2396" s="1">
        <v>45727</v>
      </c>
      <c r="D2396" t="str">
        <f>"596"</f>
        <v>596</v>
      </c>
      <c r="E2396" t="str">
        <f>"60460000"</f>
        <v>60460000</v>
      </c>
      <c r="F2396" t="s">
        <v>4113</v>
      </c>
      <c r="G2396" t="s">
        <v>336</v>
      </c>
      <c r="H2396" t="s">
        <v>5876</v>
      </c>
      <c r="I2396">
        <v>0</v>
      </c>
      <c r="J2396" t="s">
        <v>343</v>
      </c>
      <c r="K2396">
        <v>13583</v>
      </c>
      <c r="M2396">
        <v>13583</v>
      </c>
    </row>
    <row r="2397" spans="1:13" x14ac:dyDescent="0.35">
      <c r="A2397" t="str">
        <f t="shared" si="134"/>
        <v>STKCDG4572759760460000</v>
      </c>
      <c r="B2397" t="s">
        <v>3115</v>
      </c>
      <c r="C2397" s="1">
        <v>45727</v>
      </c>
      <c r="D2397" t="str">
        <f>"597"</f>
        <v>597</v>
      </c>
      <c r="E2397" t="str">
        <f>"60460000"</f>
        <v>60460000</v>
      </c>
      <c r="F2397" t="s">
        <v>4115</v>
      </c>
      <c r="G2397" t="s">
        <v>336</v>
      </c>
      <c r="H2397" t="s">
        <v>5876</v>
      </c>
      <c r="I2397">
        <v>0</v>
      </c>
      <c r="J2397" t="s">
        <v>343</v>
      </c>
      <c r="K2397">
        <v>3270</v>
      </c>
      <c r="M2397">
        <v>3916</v>
      </c>
    </row>
    <row r="2398" spans="1:13" x14ac:dyDescent="0.35">
      <c r="A2398" t="str">
        <f t="shared" si="134"/>
        <v>STKCDG4572759760460000</v>
      </c>
      <c r="B2398" t="s">
        <v>3115</v>
      </c>
      <c r="C2398" s="1">
        <v>45727</v>
      </c>
      <c r="D2398" t="str">
        <f>"597"</f>
        <v>597</v>
      </c>
      <c r="E2398" t="str">
        <f>"60460000"</f>
        <v>60460000</v>
      </c>
      <c r="F2398" t="s">
        <v>4115</v>
      </c>
      <c r="G2398" t="s">
        <v>336</v>
      </c>
      <c r="H2398" t="s">
        <v>5876</v>
      </c>
      <c r="I2398">
        <v>0</v>
      </c>
      <c r="J2398" t="s">
        <v>343</v>
      </c>
      <c r="K2398">
        <v>646</v>
      </c>
      <c r="M2398">
        <v>3916</v>
      </c>
    </row>
    <row r="2399" spans="1:13" x14ac:dyDescent="0.35">
      <c r="A2399" t="str">
        <f t="shared" si="134"/>
        <v>STKCDG4572859860410000</v>
      </c>
      <c r="B2399" t="s">
        <v>3115</v>
      </c>
      <c r="C2399" s="1">
        <v>45728</v>
      </c>
      <c r="D2399" t="str">
        <f>"598"</f>
        <v>598</v>
      </c>
      <c r="E2399" t="str">
        <f>"60410000"</f>
        <v>60410000</v>
      </c>
      <c r="F2399" t="s">
        <v>4117</v>
      </c>
      <c r="G2399" t="s">
        <v>336</v>
      </c>
      <c r="H2399" t="s">
        <v>5958</v>
      </c>
      <c r="I2399">
        <v>0</v>
      </c>
      <c r="J2399" t="s">
        <v>343</v>
      </c>
      <c r="K2399">
        <v>3360</v>
      </c>
      <c r="M2399">
        <v>3360</v>
      </c>
    </row>
    <row r="2400" spans="1:13" x14ac:dyDescent="0.35">
      <c r="A2400" t="str">
        <f t="shared" si="134"/>
        <v>STKCDG4572859960460000</v>
      </c>
      <c r="B2400" t="s">
        <v>3115</v>
      </c>
      <c r="C2400" s="1">
        <v>45728</v>
      </c>
      <c r="D2400" t="str">
        <f>"599"</f>
        <v>599</v>
      </c>
      <c r="E2400" t="str">
        <f>"60460000"</f>
        <v>60460000</v>
      </c>
      <c r="F2400" t="s">
        <v>4119</v>
      </c>
      <c r="G2400" t="s">
        <v>336</v>
      </c>
      <c r="H2400" t="s">
        <v>5958</v>
      </c>
      <c r="I2400">
        <v>0</v>
      </c>
      <c r="J2400" t="s">
        <v>343</v>
      </c>
      <c r="K2400">
        <v>1000</v>
      </c>
      <c r="M2400">
        <v>1000</v>
      </c>
    </row>
    <row r="2401" spans="1:13" x14ac:dyDescent="0.35">
      <c r="A2401" t="str">
        <f t="shared" si="134"/>
        <v>STKCDG4572860060460000</v>
      </c>
      <c r="B2401" t="s">
        <v>3115</v>
      </c>
      <c r="C2401" s="1">
        <v>45728</v>
      </c>
      <c r="D2401" t="str">
        <f>"600"</f>
        <v>600</v>
      </c>
      <c r="E2401" t="str">
        <f>"60460000"</f>
        <v>60460000</v>
      </c>
      <c r="F2401" t="s">
        <v>4121</v>
      </c>
      <c r="G2401" t="s">
        <v>336</v>
      </c>
      <c r="H2401" t="s">
        <v>5958</v>
      </c>
      <c r="I2401">
        <v>0</v>
      </c>
      <c r="J2401" t="s">
        <v>343</v>
      </c>
      <c r="K2401">
        <v>9250</v>
      </c>
      <c r="M2401">
        <v>9250</v>
      </c>
    </row>
    <row r="2402" spans="1:13" x14ac:dyDescent="0.35">
      <c r="A2402" t="str">
        <f t="shared" si="134"/>
        <v>STKCDG4572860160460000</v>
      </c>
      <c r="B2402" t="s">
        <v>3115</v>
      </c>
      <c r="C2402" s="1">
        <v>45728</v>
      </c>
      <c r="D2402" t="str">
        <f>"601"</f>
        <v>601</v>
      </c>
      <c r="E2402" t="str">
        <f>"60460000"</f>
        <v>60460000</v>
      </c>
      <c r="F2402" t="s">
        <v>4123</v>
      </c>
      <c r="G2402" t="s">
        <v>336</v>
      </c>
      <c r="H2402" t="s">
        <v>5949</v>
      </c>
      <c r="I2402">
        <v>0</v>
      </c>
      <c r="J2402" t="s">
        <v>343</v>
      </c>
      <c r="K2402">
        <v>53966</v>
      </c>
      <c r="M2402">
        <v>53966</v>
      </c>
    </row>
    <row r="2403" spans="1:13" x14ac:dyDescent="0.35">
      <c r="A2403" t="str">
        <f t="shared" si="134"/>
        <v>STKCDG4572860260460000</v>
      </c>
      <c r="B2403" t="s">
        <v>3115</v>
      </c>
      <c r="C2403" s="1">
        <v>45728</v>
      </c>
      <c r="D2403" t="str">
        <f>"602"</f>
        <v>602</v>
      </c>
      <c r="E2403" t="str">
        <f>"60460000"</f>
        <v>60460000</v>
      </c>
      <c r="F2403" t="s">
        <v>4125</v>
      </c>
      <c r="G2403" t="s">
        <v>336</v>
      </c>
      <c r="H2403" t="s">
        <v>5876</v>
      </c>
      <c r="I2403">
        <v>0</v>
      </c>
      <c r="J2403" t="s">
        <v>343</v>
      </c>
      <c r="K2403">
        <v>13583</v>
      </c>
      <c r="M2403">
        <v>13583</v>
      </c>
    </row>
    <row r="2404" spans="1:13" x14ac:dyDescent="0.35">
      <c r="A2404" t="str">
        <f t="shared" si="134"/>
        <v>STKCDG4572860360460000</v>
      </c>
      <c r="B2404" t="s">
        <v>3115</v>
      </c>
      <c r="C2404" s="1">
        <v>45728</v>
      </c>
      <c r="D2404" t="str">
        <f>"603"</f>
        <v>603</v>
      </c>
      <c r="E2404" t="str">
        <f>"60460000"</f>
        <v>60460000</v>
      </c>
      <c r="F2404" t="s">
        <v>4127</v>
      </c>
      <c r="G2404" t="s">
        <v>336</v>
      </c>
      <c r="H2404" t="s">
        <v>5880</v>
      </c>
      <c r="I2404">
        <v>0</v>
      </c>
      <c r="J2404" t="s">
        <v>343</v>
      </c>
      <c r="K2404">
        <v>8400</v>
      </c>
      <c r="M2404">
        <v>8400</v>
      </c>
    </row>
    <row r="2405" spans="1:13" x14ac:dyDescent="0.35">
      <c r="A2405" t="str">
        <f t="shared" si="134"/>
        <v>STKCDG4572860460440000</v>
      </c>
      <c r="B2405" t="s">
        <v>3115</v>
      </c>
      <c r="C2405" s="1">
        <v>45728</v>
      </c>
      <c r="D2405" t="str">
        <f>"604"</f>
        <v>604</v>
      </c>
      <c r="E2405" t="str">
        <f>"60440000"</f>
        <v>60440000</v>
      </c>
      <c r="F2405" t="s">
        <v>4129</v>
      </c>
      <c r="G2405" t="s">
        <v>336</v>
      </c>
      <c r="H2405" t="s">
        <v>5875</v>
      </c>
      <c r="I2405">
        <v>0</v>
      </c>
      <c r="J2405" t="s">
        <v>343</v>
      </c>
      <c r="K2405">
        <v>2493</v>
      </c>
      <c r="M2405">
        <v>2493</v>
      </c>
    </row>
    <row r="2406" spans="1:13" x14ac:dyDescent="0.35">
      <c r="A2406" t="str">
        <f t="shared" si="134"/>
        <v>STKCDG4572860560440000</v>
      </c>
      <c r="B2406" t="s">
        <v>3115</v>
      </c>
      <c r="C2406" s="1">
        <v>45728</v>
      </c>
      <c r="D2406" t="str">
        <f>"605"</f>
        <v>605</v>
      </c>
      <c r="E2406" t="str">
        <f>"60440000"</f>
        <v>60440000</v>
      </c>
      <c r="F2406" t="s">
        <v>4131</v>
      </c>
      <c r="G2406" t="s">
        <v>336</v>
      </c>
      <c r="H2406" t="s">
        <v>5881</v>
      </c>
      <c r="I2406">
        <v>0</v>
      </c>
      <c r="J2406" t="s">
        <v>343</v>
      </c>
      <c r="K2406">
        <v>1181</v>
      </c>
      <c r="M2406">
        <v>1181</v>
      </c>
    </row>
    <row r="2407" spans="1:13" x14ac:dyDescent="0.35">
      <c r="A2407" t="str">
        <f t="shared" si="134"/>
        <v>STKCDG4572860660440000</v>
      </c>
      <c r="B2407" t="s">
        <v>3115</v>
      </c>
      <c r="C2407" s="1">
        <v>45728</v>
      </c>
      <c r="D2407" t="str">
        <f>"606"</f>
        <v>606</v>
      </c>
      <c r="E2407" t="str">
        <f>"60440000"</f>
        <v>60440000</v>
      </c>
      <c r="F2407" t="s">
        <v>4133</v>
      </c>
      <c r="G2407" t="s">
        <v>336</v>
      </c>
      <c r="H2407" t="s">
        <v>5875</v>
      </c>
      <c r="I2407">
        <v>0</v>
      </c>
      <c r="J2407" t="s">
        <v>343</v>
      </c>
      <c r="K2407">
        <v>525</v>
      </c>
      <c r="M2407">
        <v>525</v>
      </c>
    </row>
    <row r="2408" spans="1:13" x14ac:dyDescent="0.35">
      <c r="A2408" t="str">
        <f t="shared" si="134"/>
        <v>STKCDG4572860760460000</v>
      </c>
      <c r="B2408" t="s">
        <v>3115</v>
      </c>
      <c r="C2408" s="1">
        <v>45728</v>
      </c>
      <c r="D2408" t="str">
        <f>"607"</f>
        <v>607</v>
      </c>
      <c r="E2408" t="str">
        <f>"60460000"</f>
        <v>60460000</v>
      </c>
      <c r="F2408" t="s">
        <v>4135</v>
      </c>
      <c r="G2408" t="s">
        <v>336</v>
      </c>
      <c r="H2408" t="s">
        <v>5949</v>
      </c>
      <c r="I2408">
        <v>0</v>
      </c>
      <c r="J2408" t="s">
        <v>343</v>
      </c>
      <c r="K2408">
        <v>4500</v>
      </c>
      <c r="M2408">
        <v>4500</v>
      </c>
    </row>
    <row r="2409" spans="1:13" x14ac:dyDescent="0.35">
      <c r="A2409" t="str">
        <f t="shared" si="134"/>
        <v>STKCDG4572860860460000</v>
      </c>
      <c r="B2409" t="s">
        <v>3115</v>
      </c>
      <c r="C2409" s="1">
        <v>45728</v>
      </c>
      <c r="D2409" t="str">
        <f>"608"</f>
        <v>608</v>
      </c>
      <c r="E2409" t="str">
        <f>"60460000"</f>
        <v>60460000</v>
      </c>
      <c r="F2409" t="s">
        <v>4137</v>
      </c>
      <c r="G2409" t="s">
        <v>336</v>
      </c>
      <c r="H2409" t="s">
        <v>5880</v>
      </c>
      <c r="I2409">
        <v>0</v>
      </c>
      <c r="J2409" t="s">
        <v>343</v>
      </c>
      <c r="K2409">
        <v>6500</v>
      </c>
      <c r="M2409">
        <v>6500</v>
      </c>
    </row>
    <row r="2410" spans="1:13" x14ac:dyDescent="0.35">
      <c r="A2410" t="str">
        <f t="shared" si="134"/>
        <v>STKCDG4572860960440000</v>
      </c>
      <c r="B2410" t="s">
        <v>3115</v>
      </c>
      <c r="C2410" s="1">
        <v>45728</v>
      </c>
      <c r="D2410" t="str">
        <f>"609"</f>
        <v>609</v>
      </c>
      <c r="E2410" t="str">
        <f>"60440000"</f>
        <v>60440000</v>
      </c>
      <c r="F2410" t="s">
        <v>4139</v>
      </c>
      <c r="G2410" t="s">
        <v>336</v>
      </c>
      <c r="H2410" t="s">
        <v>5874</v>
      </c>
      <c r="I2410">
        <v>0</v>
      </c>
      <c r="J2410" t="s">
        <v>343</v>
      </c>
      <c r="K2410">
        <v>6166</v>
      </c>
      <c r="M2410">
        <v>6166</v>
      </c>
    </row>
    <row r="2411" spans="1:13" x14ac:dyDescent="0.35">
      <c r="A2411" t="str">
        <f t="shared" si="134"/>
        <v>STKCDG4572861060460000</v>
      </c>
      <c r="B2411" t="s">
        <v>3115</v>
      </c>
      <c r="C2411" s="1">
        <v>45728</v>
      </c>
      <c r="D2411" t="str">
        <f>"610"</f>
        <v>610</v>
      </c>
      <c r="E2411" t="str">
        <f>"60460000"</f>
        <v>60460000</v>
      </c>
      <c r="F2411" t="s">
        <v>4141</v>
      </c>
      <c r="G2411" t="s">
        <v>336</v>
      </c>
      <c r="H2411" t="s">
        <v>5874</v>
      </c>
      <c r="I2411">
        <v>0</v>
      </c>
      <c r="J2411" t="s">
        <v>343</v>
      </c>
      <c r="K2411">
        <v>196</v>
      </c>
      <c r="M2411">
        <v>196</v>
      </c>
    </row>
    <row r="2412" spans="1:13" x14ac:dyDescent="0.35">
      <c r="A2412" t="str">
        <f t="shared" si="134"/>
        <v>STKCDG4572861160460000</v>
      </c>
      <c r="B2412" t="s">
        <v>3115</v>
      </c>
      <c r="C2412" s="1">
        <v>45728</v>
      </c>
      <c r="D2412" t="str">
        <f>"611"</f>
        <v>611</v>
      </c>
      <c r="E2412" t="str">
        <f>"60460000"</f>
        <v>60460000</v>
      </c>
      <c r="F2412" t="s">
        <v>4143</v>
      </c>
      <c r="G2412" t="s">
        <v>336</v>
      </c>
      <c r="H2412" t="s">
        <v>5876</v>
      </c>
      <c r="I2412">
        <v>0</v>
      </c>
      <c r="J2412" t="s">
        <v>343</v>
      </c>
      <c r="K2412">
        <v>1500</v>
      </c>
      <c r="M2412">
        <v>1500</v>
      </c>
    </row>
    <row r="2413" spans="1:13" x14ac:dyDescent="0.35">
      <c r="A2413" t="str">
        <f t="shared" si="134"/>
        <v>STKCDG4572861260460000</v>
      </c>
      <c r="B2413" t="s">
        <v>3115</v>
      </c>
      <c r="C2413" s="1">
        <v>45728</v>
      </c>
      <c r="D2413" t="str">
        <f>"612"</f>
        <v>612</v>
      </c>
      <c r="E2413" t="str">
        <f>"60460000"</f>
        <v>60460000</v>
      </c>
      <c r="F2413" t="s">
        <v>4145</v>
      </c>
      <c r="G2413" t="s">
        <v>336</v>
      </c>
      <c r="H2413" t="s">
        <v>5880</v>
      </c>
      <c r="I2413">
        <v>0</v>
      </c>
      <c r="J2413" t="s">
        <v>343</v>
      </c>
      <c r="K2413">
        <v>39200</v>
      </c>
      <c r="M2413">
        <v>39200</v>
      </c>
    </row>
    <row r="2414" spans="1:13" x14ac:dyDescent="0.35">
      <c r="A2414" t="str">
        <f t="shared" si="134"/>
        <v>STKCDG4572861360440000</v>
      </c>
      <c r="B2414" t="s">
        <v>3115</v>
      </c>
      <c r="C2414" s="1">
        <v>45728</v>
      </c>
      <c r="D2414" t="str">
        <f>"613"</f>
        <v>613</v>
      </c>
      <c r="E2414" t="str">
        <f>"60440000"</f>
        <v>60440000</v>
      </c>
      <c r="F2414" t="s">
        <v>4147</v>
      </c>
      <c r="G2414" t="s">
        <v>336</v>
      </c>
      <c r="H2414" t="s">
        <v>5875</v>
      </c>
      <c r="I2414">
        <v>0</v>
      </c>
      <c r="J2414" t="s">
        <v>343</v>
      </c>
      <c r="K2414">
        <v>1640</v>
      </c>
      <c r="M2414">
        <v>1640</v>
      </c>
    </row>
    <row r="2415" spans="1:13" x14ac:dyDescent="0.35">
      <c r="A2415" t="str">
        <f t="shared" si="134"/>
        <v>STKCDG4572861460460000</v>
      </c>
      <c r="B2415" t="s">
        <v>3115</v>
      </c>
      <c r="C2415" s="1">
        <v>45728</v>
      </c>
      <c r="D2415" t="str">
        <f>"614"</f>
        <v>614</v>
      </c>
      <c r="E2415" t="str">
        <f>"60460000"</f>
        <v>60460000</v>
      </c>
      <c r="F2415" t="s">
        <v>4149</v>
      </c>
      <c r="G2415" t="s">
        <v>336</v>
      </c>
      <c r="H2415" t="s">
        <v>5875</v>
      </c>
      <c r="I2415">
        <v>0</v>
      </c>
      <c r="J2415" t="s">
        <v>343</v>
      </c>
      <c r="K2415">
        <v>263</v>
      </c>
      <c r="M2415">
        <v>263</v>
      </c>
    </row>
    <row r="2416" spans="1:13" x14ac:dyDescent="0.35">
      <c r="A2416" t="str">
        <f t="shared" si="134"/>
        <v>STKCDG4572861560460000</v>
      </c>
      <c r="B2416" t="s">
        <v>3115</v>
      </c>
      <c r="C2416" s="1">
        <v>45728</v>
      </c>
      <c r="D2416" t="str">
        <f>"615"</f>
        <v>615</v>
      </c>
      <c r="E2416" t="str">
        <f>"60460000"</f>
        <v>60460000</v>
      </c>
      <c r="F2416" t="s">
        <v>4151</v>
      </c>
      <c r="G2416" t="s">
        <v>336</v>
      </c>
      <c r="H2416" t="s">
        <v>5880</v>
      </c>
      <c r="I2416">
        <v>0</v>
      </c>
      <c r="J2416" t="s">
        <v>343</v>
      </c>
      <c r="K2416">
        <v>22050</v>
      </c>
      <c r="M2416">
        <v>22050</v>
      </c>
    </row>
    <row r="2417" spans="1:13" x14ac:dyDescent="0.35">
      <c r="A2417" t="str">
        <f t="shared" si="134"/>
        <v>STKCDG4572861660440000</v>
      </c>
      <c r="B2417" t="s">
        <v>3115</v>
      </c>
      <c r="C2417" s="1">
        <v>45728</v>
      </c>
      <c r="D2417" t="str">
        <f>"616"</f>
        <v>616</v>
      </c>
      <c r="E2417" t="str">
        <f>"60440000"</f>
        <v>60440000</v>
      </c>
      <c r="F2417" t="s">
        <v>4153</v>
      </c>
      <c r="G2417" t="s">
        <v>336</v>
      </c>
      <c r="H2417" t="s">
        <v>5880</v>
      </c>
      <c r="I2417">
        <v>0</v>
      </c>
      <c r="J2417" t="s">
        <v>343</v>
      </c>
      <c r="K2417">
        <v>19941</v>
      </c>
      <c r="M2417">
        <v>19941</v>
      </c>
    </row>
    <row r="2418" spans="1:13" x14ac:dyDescent="0.35">
      <c r="A2418" t="str">
        <f t="shared" si="134"/>
        <v>STKCDG4572861760440000</v>
      </c>
      <c r="B2418" t="s">
        <v>3115</v>
      </c>
      <c r="C2418" s="1">
        <v>45728</v>
      </c>
      <c r="D2418" t="str">
        <f>"617"</f>
        <v>617</v>
      </c>
      <c r="E2418" t="str">
        <f>"60440000"</f>
        <v>60440000</v>
      </c>
      <c r="F2418" t="s">
        <v>4155</v>
      </c>
      <c r="G2418" t="s">
        <v>336</v>
      </c>
      <c r="H2418" t="s">
        <v>5874</v>
      </c>
      <c r="I2418">
        <v>0</v>
      </c>
      <c r="J2418" t="s">
        <v>343</v>
      </c>
      <c r="K2418">
        <v>1968</v>
      </c>
      <c r="M2418">
        <v>1968</v>
      </c>
    </row>
    <row r="2419" spans="1:13" x14ac:dyDescent="0.35">
      <c r="A2419" t="str">
        <f t="shared" si="134"/>
        <v>STKCDG4572861860460000</v>
      </c>
      <c r="B2419" t="s">
        <v>3115</v>
      </c>
      <c r="C2419" s="1">
        <v>45728</v>
      </c>
      <c r="D2419" t="str">
        <f>"618"</f>
        <v>618</v>
      </c>
      <c r="E2419" t="str">
        <f>"60460000"</f>
        <v>60460000</v>
      </c>
      <c r="F2419" t="s">
        <v>4157</v>
      </c>
      <c r="G2419" t="s">
        <v>336</v>
      </c>
      <c r="H2419" t="s">
        <v>5966</v>
      </c>
      <c r="I2419">
        <v>0</v>
      </c>
      <c r="J2419" t="s">
        <v>343</v>
      </c>
      <c r="K2419">
        <v>2500</v>
      </c>
      <c r="M2419">
        <v>2500</v>
      </c>
    </row>
    <row r="2420" spans="1:13" x14ac:dyDescent="0.35">
      <c r="A2420" t="str">
        <f t="shared" si="134"/>
        <v>STKCDG4572861960440000</v>
      </c>
      <c r="B2420" t="s">
        <v>3115</v>
      </c>
      <c r="C2420" s="1">
        <v>45728</v>
      </c>
      <c r="D2420" t="str">
        <f>"619"</f>
        <v>619</v>
      </c>
      <c r="E2420" t="str">
        <f>"60440000"</f>
        <v>60440000</v>
      </c>
      <c r="F2420" t="s">
        <v>4159</v>
      </c>
      <c r="G2420" t="s">
        <v>336</v>
      </c>
      <c r="H2420" t="s">
        <v>5873</v>
      </c>
      <c r="I2420">
        <v>0</v>
      </c>
      <c r="J2420" t="s">
        <v>343</v>
      </c>
      <c r="K2420">
        <v>93015</v>
      </c>
      <c r="M2420">
        <v>93015</v>
      </c>
    </row>
    <row r="2421" spans="1:13" x14ac:dyDescent="0.35">
      <c r="A2421" t="str">
        <f t="shared" si="134"/>
        <v>STKCDG4572862060460000</v>
      </c>
      <c r="B2421" t="s">
        <v>3115</v>
      </c>
      <c r="C2421" s="1">
        <v>45728</v>
      </c>
      <c r="D2421" t="str">
        <f>"620"</f>
        <v>620</v>
      </c>
      <c r="E2421" t="str">
        <f>"60460000"</f>
        <v>60460000</v>
      </c>
      <c r="F2421" t="s">
        <v>4161</v>
      </c>
      <c r="G2421" t="s">
        <v>336</v>
      </c>
      <c r="H2421" t="s">
        <v>5966</v>
      </c>
      <c r="I2421">
        <v>0</v>
      </c>
      <c r="J2421" t="s">
        <v>343</v>
      </c>
      <c r="K2421">
        <v>300</v>
      </c>
      <c r="M2421">
        <v>300</v>
      </c>
    </row>
    <row r="2422" spans="1:13" x14ac:dyDescent="0.35">
      <c r="A2422" t="str">
        <f t="shared" si="134"/>
        <v>STKCDG4572862160440000</v>
      </c>
      <c r="B2422" t="s">
        <v>3115</v>
      </c>
      <c r="C2422" s="1">
        <v>45728</v>
      </c>
      <c r="D2422" t="str">
        <f>"621"</f>
        <v>621</v>
      </c>
      <c r="E2422" t="str">
        <f>"60440000"</f>
        <v>60440000</v>
      </c>
      <c r="F2422" t="s">
        <v>4163</v>
      </c>
      <c r="G2422" t="s">
        <v>336</v>
      </c>
      <c r="H2422" t="s">
        <v>5875</v>
      </c>
      <c r="I2422">
        <v>0</v>
      </c>
      <c r="J2422" t="s">
        <v>343</v>
      </c>
      <c r="K2422">
        <v>114662</v>
      </c>
      <c r="M2422">
        <v>114662</v>
      </c>
    </row>
    <row r="2423" spans="1:13" x14ac:dyDescent="0.35">
      <c r="A2423" t="str">
        <f t="shared" si="134"/>
        <v>STKCDG4572862260440000</v>
      </c>
      <c r="B2423" t="s">
        <v>3115</v>
      </c>
      <c r="C2423" s="1">
        <v>45728</v>
      </c>
      <c r="D2423" t="str">
        <f>"622"</f>
        <v>622</v>
      </c>
      <c r="E2423" t="str">
        <f>"60440000"</f>
        <v>60440000</v>
      </c>
      <c r="F2423" t="s">
        <v>4165</v>
      </c>
      <c r="G2423" t="s">
        <v>336</v>
      </c>
      <c r="H2423" t="s">
        <v>5966</v>
      </c>
      <c r="I2423">
        <v>0</v>
      </c>
      <c r="J2423" t="s">
        <v>343</v>
      </c>
      <c r="K2423">
        <v>328</v>
      </c>
      <c r="M2423">
        <v>328</v>
      </c>
    </row>
    <row r="2424" spans="1:13" x14ac:dyDescent="0.35">
      <c r="A2424" t="str">
        <f t="shared" si="134"/>
        <v>STKCDG4572862360460000</v>
      </c>
      <c r="B2424" t="s">
        <v>3115</v>
      </c>
      <c r="C2424" s="1">
        <v>45728</v>
      </c>
      <c r="D2424" t="str">
        <f>"623"</f>
        <v>623</v>
      </c>
      <c r="E2424" t="str">
        <f>"60460000"</f>
        <v>60460000</v>
      </c>
      <c r="F2424" t="s">
        <v>4167</v>
      </c>
      <c r="G2424" t="s">
        <v>336</v>
      </c>
      <c r="H2424" t="s">
        <v>5966</v>
      </c>
      <c r="I2424">
        <v>0</v>
      </c>
      <c r="J2424" t="s">
        <v>343</v>
      </c>
      <c r="K2424">
        <v>1136</v>
      </c>
      <c r="M2424">
        <v>1136</v>
      </c>
    </row>
    <row r="2425" spans="1:13" x14ac:dyDescent="0.35">
      <c r="A2425" t="str">
        <f t="shared" si="134"/>
        <v>STKCDG4572862460460000</v>
      </c>
      <c r="B2425" t="s">
        <v>3115</v>
      </c>
      <c r="C2425" s="1">
        <v>45728</v>
      </c>
      <c r="D2425" t="str">
        <f>"624"</f>
        <v>624</v>
      </c>
      <c r="E2425" t="str">
        <f>"60460000"</f>
        <v>60460000</v>
      </c>
      <c r="F2425" t="s">
        <v>4169</v>
      </c>
      <c r="G2425" t="s">
        <v>336</v>
      </c>
      <c r="H2425" t="s">
        <v>5966</v>
      </c>
      <c r="I2425">
        <v>0</v>
      </c>
      <c r="J2425" t="s">
        <v>343</v>
      </c>
      <c r="K2425">
        <v>336</v>
      </c>
      <c r="M2425">
        <v>336</v>
      </c>
    </row>
    <row r="2426" spans="1:13" x14ac:dyDescent="0.35">
      <c r="A2426" t="str">
        <f t="shared" si="134"/>
        <v>STKCDG4572862560460000</v>
      </c>
      <c r="B2426" t="s">
        <v>3115</v>
      </c>
      <c r="C2426" s="1">
        <v>45728</v>
      </c>
      <c r="D2426" t="str">
        <f>"625"</f>
        <v>625</v>
      </c>
      <c r="E2426" t="str">
        <f>"60460000"</f>
        <v>60460000</v>
      </c>
      <c r="F2426" t="s">
        <v>4171</v>
      </c>
      <c r="G2426" t="s">
        <v>336</v>
      </c>
      <c r="H2426" t="s">
        <v>5966</v>
      </c>
      <c r="I2426">
        <v>0</v>
      </c>
      <c r="J2426" t="s">
        <v>343</v>
      </c>
      <c r="K2426">
        <v>1150</v>
      </c>
      <c r="M2426">
        <v>1150</v>
      </c>
    </row>
    <row r="2427" spans="1:13" x14ac:dyDescent="0.35">
      <c r="A2427" t="str">
        <f t="shared" si="134"/>
        <v>STKCDG4572862660460000</v>
      </c>
      <c r="B2427" t="s">
        <v>3115</v>
      </c>
      <c r="C2427" s="1">
        <v>45728</v>
      </c>
      <c r="D2427" t="str">
        <f>"626"</f>
        <v>626</v>
      </c>
      <c r="E2427" t="str">
        <f>"60460000"</f>
        <v>60460000</v>
      </c>
      <c r="F2427" t="s">
        <v>4173</v>
      </c>
      <c r="G2427" t="s">
        <v>336</v>
      </c>
      <c r="H2427" t="s">
        <v>6012</v>
      </c>
      <c r="I2427">
        <v>0</v>
      </c>
      <c r="J2427" t="s">
        <v>343</v>
      </c>
      <c r="K2427">
        <v>4754</v>
      </c>
      <c r="M2427">
        <v>4754</v>
      </c>
    </row>
    <row r="2428" spans="1:13" x14ac:dyDescent="0.35">
      <c r="A2428" t="str">
        <f t="shared" si="134"/>
        <v>STKCDG4572862760440000</v>
      </c>
      <c r="B2428" t="s">
        <v>3115</v>
      </c>
      <c r="C2428" s="1">
        <v>45728</v>
      </c>
      <c r="D2428" t="str">
        <f>"627"</f>
        <v>627</v>
      </c>
      <c r="E2428" t="str">
        <f>"60440000"</f>
        <v>60440000</v>
      </c>
      <c r="F2428" t="s">
        <v>4175</v>
      </c>
      <c r="G2428" t="s">
        <v>336</v>
      </c>
      <c r="H2428" t="s">
        <v>5875</v>
      </c>
      <c r="I2428">
        <v>0</v>
      </c>
      <c r="J2428" t="s">
        <v>343</v>
      </c>
      <c r="K2428">
        <v>181701</v>
      </c>
      <c r="M2428">
        <v>181701</v>
      </c>
    </row>
    <row r="2429" spans="1:13" x14ac:dyDescent="0.35">
      <c r="A2429" t="str">
        <f t="shared" si="134"/>
        <v>STKCDG4572862860430000</v>
      </c>
      <c r="B2429" t="s">
        <v>3115</v>
      </c>
      <c r="C2429" s="1">
        <v>45728</v>
      </c>
      <c r="D2429" t="str">
        <f>"628"</f>
        <v>628</v>
      </c>
      <c r="E2429" t="str">
        <f>"60430000"</f>
        <v>60430000</v>
      </c>
      <c r="F2429" t="s">
        <v>4177</v>
      </c>
      <c r="G2429" t="s">
        <v>336</v>
      </c>
      <c r="H2429" t="s">
        <v>5875</v>
      </c>
      <c r="I2429">
        <v>0</v>
      </c>
      <c r="J2429" t="s">
        <v>343</v>
      </c>
      <c r="K2429">
        <v>114380</v>
      </c>
      <c r="M2429">
        <v>114380</v>
      </c>
    </row>
    <row r="2430" spans="1:13" x14ac:dyDescent="0.35">
      <c r="A2430" t="str">
        <f t="shared" si="134"/>
        <v>STKCDG4572862960440000</v>
      </c>
      <c r="B2430" t="s">
        <v>3115</v>
      </c>
      <c r="C2430" s="1">
        <v>45728</v>
      </c>
      <c r="D2430" t="str">
        <f>"629"</f>
        <v>629</v>
      </c>
      <c r="E2430" t="str">
        <f>"60440000"</f>
        <v>60440000</v>
      </c>
      <c r="F2430" t="s">
        <v>4179</v>
      </c>
      <c r="G2430" t="s">
        <v>336</v>
      </c>
      <c r="H2430" t="s">
        <v>5874</v>
      </c>
      <c r="I2430">
        <v>0</v>
      </c>
      <c r="J2430" t="s">
        <v>343</v>
      </c>
      <c r="K2430">
        <v>5117</v>
      </c>
      <c r="M2430">
        <v>5117</v>
      </c>
    </row>
    <row r="2431" spans="1:13" x14ac:dyDescent="0.35">
      <c r="A2431" t="str">
        <f t="shared" si="134"/>
        <v>STKCDG4572863060460000</v>
      </c>
      <c r="B2431" t="s">
        <v>3115</v>
      </c>
      <c r="C2431" s="1">
        <v>45728</v>
      </c>
      <c r="D2431" t="str">
        <f>"630"</f>
        <v>630</v>
      </c>
      <c r="E2431" t="str">
        <f>"60460000"</f>
        <v>60460000</v>
      </c>
      <c r="F2431" t="s">
        <v>4181</v>
      </c>
      <c r="G2431" t="s">
        <v>336</v>
      </c>
      <c r="H2431" t="s">
        <v>5966</v>
      </c>
      <c r="I2431">
        <v>0</v>
      </c>
      <c r="J2431" t="s">
        <v>343</v>
      </c>
      <c r="K2431">
        <v>233</v>
      </c>
      <c r="M2431">
        <v>233</v>
      </c>
    </row>
    <row r="2432" spans="1:13" x14ac:dyDescent="0.35">
      <c r="A2432" t="str">
        <f t="shared" si="134"/>
        <v>STKCDG4572863160410000</v>
      </c>
      <c r="B2432" t="s">
        <v>3115</v>
      </c>
      <c r="C2432" s="1">
        <v>45728</v>
      </c>
      <c r="D2432" t="str">
        <f>"631"</f>
        <v>631</v>
      </c>
      <c r="E2432" t="str">
        <f>"60410000"</f>
        <v>60410000</v>
      </c>
      <c r="F2432" t="s">
        <v>4183</v>
      </c>
      <c r="G2432" t="s">
        <v>336</v>
      </c>
      <c r="H2432" t="s">
        <v>5874</v>
      </c>
      <c r="I2432">
        <v>0</v>
      </c>
      <c r="J2432" t="s">
        <v>343</v>
      </c>
      <c r="K2432">
        <v>3298</v>
      </c>
      <c r="M2432">
        <v>3298</v>
      </c>
    </row>
    <row r="2433" spans="1:13" x14ac:dyDescent="0.35">
      <c r="A2433" t="str">
        <f t="shared" si="134"/>
        <v>STKCDG4572863260410000</v>
      </c>
      <c r="B2433" t="s">
        <v>3115</v>
      </c>
      <c r="C2433" s="1">
        <v>45728</v>
      </c>
      <c r="D2433" t="str">
        <f>"632"</f>
        <v>632</v>
      </c>
      <c r="E2433" t="str">
        <f>"60410000"</f>
        <v>60410000</v>
      </c>
      <c r="F2433" t="s">
        <v>4185</v>
      </c>
      <c r="G2433" t="s">
        <v>336</v>
      </c>
      <c r="H2433" t="s">
        <v>5874</v>
      </c>
      <c r="I2433">
        <v>0</v>
      </c>
      <c r="J2433" t="s">
        <v>343</v>
      </c>
      <c r="K2433">
        <v>1649</v>
      </c>
      <c r="M2433">
        <v>1649</v>
      </c>
    </row>
    <row r="2434" spans="1:13" x14ac:dyDescent="0.35">
      <c r="A2434" t="str">
        <f t="shared" si="134"/>
        <v>STKCDG4572863360410000</v>
      </c>
      <c r="B2434" t="s">
        <v>3115</v>
      </c>
      <c r="C2434" s="1">
        <v>45728</v>
      </c>
      <c r="D2434" t="str">
        <f>"633"</f>
        <v>633</v>
      </c>
      <c r="E2434" t="str">
        <f>"60410000"</f>
        <v>60410000</v>
      </c>
      <c r="F2434" t="s">
        <v>4187</v>
      </c>
      <c r="G2434" t="s">
        <v>336</v>
      </c>
      <c r="H2434" t="s">
        <v>5875</v>
      </c>
      <c r="I2434">
        <v>0</v>
      </c>
      <c r="J2434" t="s">
        <v>343</v>
      </c>
      <c r="K2434">
        <v>6356</v>
      </c>
      <c r="M2434">
        <v>6356</v>
      </c>
    </row>
    <row r="2435" spans="1:13" x14ac:dyDescent="0.35">
      <c r="A2435" t="str">
        <f t="shared" ref="A2435:A2498" si="135">CONCATENATE(B2435,C2435,D2435,E2435)</f>
        <v>STKCDG4572863460410000</v>
      </c>
      <c r="B2435" t="s">
        <v>3115</v>
      </c>
      <c r="C2435" s="1">
        <v>45728</v>
      </c>
      <c r="D2435" t="str">
        <f>"634"</f>
        <v>634</v>
      </c>
      <c r="E2435" t="str">
        <f>"60410000"</f>
        <v>60410000</v>
      </c>
      <c r="F2435" t="s">
        <v>4189</v>
      </c>
      <c r="G2435" t="s">
        <v>336</v>
      </c>
      <c r="H2435" t="s">
        <v>5966</v>
      </c>
      <c r="I2435">
        <v>0</v>
      </c>
      <c r="J2435" t="s">
        <v>343</v>
      </c>
      <c r="K2435">
        <v>5242</v>
      </c>
      <c r="M2435">
        <v>5242</v>
      </c>
    </row>
    <row r="2436" spans="1:13" x14ac:dyDescent="0.35">
      <c r="A2436" t="str">
        <f t="shared" si="135"/>
        <v>STKCDG4572863560410000</v>
      </c>
      <c r="B2436" t="s">
        <v>3115</v>
      </c>
      <c r="C2436" s="1">
        <v>45728</v>
      </c>
      <c r="D2436" t="str">
        <f>"635"</f>
        <v>635</v>
      </c>
      <c r="E2436" t="str">
        <f>"60410000"</f>
        <v>60410000</v>
      </c>
      <c r="F2436" t="s">
        <v>4191</v>
      </c>
      <c r="G2436" t="s">
        <v>336</v>
      </c>
      <c r="H2436" t="s">
        <v>5966</v>
      </c>
      <c r="I2436">
        <v>0</v>
      </c>
      <c r="J2436" t="s">
        <v>343</v>
      </c>
      <c r="K2436">
        <v>2917</v>
      </c>
      <c r="M2436">
        <v>2917</v>
      </c>
    </row>
    <row r="2437" spans="1:13" x14ac:dyDescent="0.35">
      <c r="A2437" t="str">
        <f t="shared" si="135"/>
        <v>STKCDG4572863660440000</v>
      </c>
      <c r="B2437" t="s">
        <v>3115</v>
      </c>
      <c r="C2437" s="1">
        <v>45728</v>
      </c>
      <c r="D2437" t="str">
        <f>"636"</f>
        <v>636</v>
      </c>
      <c r="E2437" t="str">
        <f>"60440000"</f>
        <v>60440000</v>
      </c>
      <c r="F2437" t="s">
        <v>4193</v>
      </c>
      <c r="G2437" t="s">
        <v>336</v>
      </c>
      <c r="H2437" t="s">
        <v>5875</v>
      </c>
      <c r="I2437">
        <v>0</v>
      </c>
      <c r="J2437" t="s">
        <v>343</v>
      </c>
      <c r="K2437">
        <v>1050</v>
      </c>
      <c r="M2437">
        <v>1050</v>
      </c>
    </row>
    <row r="2438" spans="1:13" x14ac:dyDescent="0.35">
      <c r="A2438" t="str">
        <f t="shared" si="135"/>
        <v>STKCDG4572863760440000</v>
      </c>
      <c r="B2438" t="s">
        <v>3115</v>
      </c>
      <c r="C2438" s="1">
        <v>45728</v>
      </c>
      <c r="D2438" t="str">
        <f>"637"</f>
        <v>637</v>
      </c>
      <c r="E2438" t="str">
        <f>"60440000"</f>
        <v>60440000</v>
      </c>
      <c r="F2438" t="s">
        <v>4195</v>
      </c>
      <c r="G2438" t="s">
        <v>336</v>
      </c>
      <c r="H2438" t="s">
        <v>5875</v>
      </c>
      <c r="I2438">
        <v>0</v>
      </c>
      <c r="J2438" t="s">
        <v>343</v>
      </c>
      <c r="K2438">
        <v>1050</v>
      </c>
      <c r="M2438">
        <v>1050</v>
      </c>
    </row>
    <row r="2439" spans="1:13" x14ac:dyDescent="0.35">
      <c r="A2439" t="str">
        <f t="shared" si="135"/>
        <v>STKCDG4572963860440000</v>
      </c>
      <c r="B2439" t="s">
        <v>3115</v>
      </c>
      <c r="C2439" s="1">
        <v>45729</v>
      </c>
      <c r="D2439" t="str">
        <f>"638"</f>
        <v>638</v>
      </c>
      <c r="E2439" t="str">
        <f>"60440000"</f>
        <v>60440000</v>
      </c>
      <c r="F2439" t="s">
        <v>4197</v>
      </c>
      <c r="G2439" t="s">
        <v>336</v>
      </c>
      <c r="H2439" t="s">
        <v>5958</v>
      </c>
      <c r="I2439">
        <v>0</v>
      </c>
      <c r="J2439" t="s">
        <v>343</v>
      </c>
      <c r="K2439">
        <v>65137</v>
      </c>
      <c r="M2439">
        <v>65137</v>
      </c>
    </row>
    <row r="2440" spans="1:13" x14ac:dyDescent="0.35">
      <c r="A2440" t="str">
        <f t="shared" si="135"/>
        <v>STKCDG4572963960440000</v>
      </c>
      <c r="B2440" t="s">
        <v>3115</v>
      </c>
      <c r="C2440" s="1">
        <v>45729</v>
      </c>
      <c r="D2440" t="str">
        <f>"639"</f>
        <v>639</v>
      </c>
      <c r="E2440" t="str">
        <f>"60440000"</f>
        <v>60440000</v>
      </c>
      <c r="F2440" t="s">
        <v>4199</v>
      </c>
      <c r="G2440" t="s">
        <v>336</v>
      </c>
      <c r="H2440" t="s">
        <v>5958</v>
      </c>
      <c r="I2440">
        <v>0</v>
      </c>
      <c r="J2440" t="s">
        <v>343</v>
      </c>
      <c r="K2440">
        <v>65137</v>
      </c>
      <c r="M2440">
        <v>65137</v>
      </c>
    </row>
    <row r="2441" spans="1:13" x14ac:dyDescent="0.35">
      <c r="A2441" t="str">
        <f t="shared" si="135"/>
        <v>STKCDG4572964060440000</v>
      </c>
      <c r="B2441" t="s">
        <v>3115</v>
      </c>
      <c r="C2441" s="1">
        <v>45729</v>
      </c>
      <c r="D2441" t="str">
        <f>"640"</f>
        <v>640</v>
      </c>
      <c r="E2441" t="str">
        <f>"60440000"</f>
        <v>60440000</v>
      </c>
      <c r="F2441" t="s">
        <v>4201</v>
      </c>
      <c r="G2441" t="s">
        <v>336</v>
      </c>
      <c r="H2441" t="s">
        <v>5958</v>
      </c>
      <c r="I2441">
        <v>0</v>
      </c>
      <c r="J2441" t="s">
        <v>343</v>
      </c>
      <c r="K2441">
        <v>89604</v>
      </c>
      <c r="M2441">
        <v>89604</v>
      </c>
    </row>
    <row r="2442" spans="1:13" x14ac:dyDescent="0.35">
      <c r="A2442" t="str">
        <f t="shared" si="135"/>
        <v>STKCDG4572964160430000</v>
      </c>
      <c r="B2442" t="s">
        <v>3115</v>
      </c>
      <c r="C2442" s="1">
        <v>45729</v>
      </c>
      <c r="D2442" t="str">
        <f>"641"</f>
        <v>641</v>
      </c>
      <c r="E2442" t="str">
        <f>"60430000"</f>
        <v>60430000</v>
      </c>
      <c r="F2442" t="s">
        <v>4203</v>
      </c>
      <c r="G2442" t="s">
        <v>336</v>
      </c>
      <c r="H2442" t="s">
        <v>5875</v>
      </c>
      <c r="I2442">
        <v>0</v>
      </c>
      <c r="J2442" t="s">
        <v>343</v>
      </c>
      <c r="K2442">
        <v>114380</v>
      </c>
      <c r="M2442">
        <v>114380</v>
      </c>
    </row>
    <row r="2443" spans="1:13" x14ac:dyDescent="0.35">
      <c r="A2443" t="str">
        <f t="shared" si="135"/>
        <v>STKCDG4572964260440000</v>
      </c>
      <c r="B2443" t="s">
        <v>3115</v>
      </c>
      <c r="C2443" s="1">
        <v>45729</v>
      </c>
      <c r="D2443" t="str">
        <f>"642"</f>
        <v>642</v>
      </c>
      <c r="E2443" t="str">
        <f>"60440000"</f>
        <v>60440000</v>
      </c>
      <c r="F2443" t="s">
        <v>4205</v>
      </c>
      <c r="G2443" t="s">
        <v>336</v>
      </c>
      <c r="H2443" t="s">
        <v>5958</v>
      </c>
      <c r="I2443">
        <v>0</v>
      </c>
      <c r="J2443" t="s">
        <v>343</v>
      </c>
      <c r="K2443">
        <v>86390</v>
      </c>
      <c r="M2443">
        <v>86390</v>
      </c>
    </row>
    <row r="2444" spans="1:13" x14ac:dyDescent="0.35">
      <c r="A2444" t="str">
        <f t="shared" si="135"/>
        <v>STKCDG4572964360440000</v>
      </c>
      <c r="B2444" t="s">
        <v>3115</v>
      </c>
      <c r="C2444" s="1">
        <v>45729</v>
      </c>
      <c r="D2444" t="str">
        <f>"643"</f>
        <v>643</v>
      </c>
      <c r="E2444" t="str">
        <f>"60440000"</f>
        <v>60440000</v>
      </c>
      <c r="F2444" t="s">
        <v>4207</v>
      </c>
      <c r="G2444" t="s">
        <v>336</v>
      </c>
      <c r="H2444" t="s">
        <v>5958</v>
      </c>
      <c r="I2444">
        <v>0</v>
      </c>
      <c r="J2444" t="s">
        <v>343</v>
      </c>
      <c r="K2444">
        <v>86390</v>
      </c>
      <c r="M2444">
        <v>86390</v>
      </c>
    </row>
    <row r="2445" spans="1:13" x14ac:dyDescent="0.35">
      <c r="A2445" t="str">
        <f t="shared" si="135"/>
        <v>STKCDG4572964460440000</v>
      </c>
      <c r="B2445" t="s">
        <v>3115</v>
      </c>
      <c r="C2445" s="1">
        <v>45729</v>
      </c>
      <c r="D2445" t="str">
        <f>"644"</f>
        <v>644</v>
      </c>
      <c r="E2445" t="str">
        <f>"60440000"</f>
        <v>60440000</v>
      </c>
      <c r="F2445" t="s">
        <v>4209</v>
      </c>
      <c r="G2445" t="s">
        <v>336</v>
      </c>
      <c r="H2445" t="s">
        <v>5958</v>
      </c>
      <c r="I2445">
        <v>0</v>
      </c>
      <c r="J2445" t="s">
        <v>343</v>
      </c>
      <c r="K2445">
        <v>86390</v>
      </c>
      <c r="M2445">
        <v>86390</v>
      </c>
    </row>
    <row r="2446" spans="1:13" x14ac:dyDescent="0.35">
      <c r="A2446" t="str">
        <f t="shared" si="135"/>
        <v>STKCDG4572964560440000</v>
      </c>
      <c r="B2446" t="s">
        <v>3115</v>
      </c>
      <c r="C2446" s="1">
        <v>45729</v>
      </c>
      <c r="D2446" t="str">
        <f>"645"</f>
        <v>645</v>
      </c>
      <c r="E2446" t="str">
        <f>"60440000"</f>
        <v>60440000</v>
      </c>
      <c r="F2446" t="s">
        <v>4211</v>
      </c>
      <c r="G2446" t="s">
        <v>336</v>
      </c>
      <c r="H2446" t="s">
        <v>5958</v>
      </c>
      <c r="I2446">
        <v>0</v>
      </c>
      <c r="J2446" t="s">
        <v>343</v>
      </c>
      <c r="K2446">
        <v>86390</v>
      </c>
      <c r="M2446">
        <v>86390</v>
      </c>
    </row>
    <row r="2447" spans="1:13" x14ac:dyDescent="0.35">
      <c r="A2447" t="str">
        <f t="shared" si="135"/>
        <v>STKCDG4572964660460000</v>
      </c>
      <c r="B2447" t="s">
        <v>3115</v>
      </c>
      <c r="C2447" s="1">
        <v>45729</v>
      </c>
      <c r="D2447" t="str">
        <f>"646"</f>
        <v>646</v>
      </c>
      <c r="E2447" t="str">
        <f>"60460000"</f>
        <v>60460000</v>
      </c>
      <c r="F2447" t="s">
        <v>4213</v>
      </c>
      <c r="G2447" t="s">
        <v>336</v>
      </c>
      <c r="H2447" t="s">
        <v>5949</v>
      </c>
      <c r="I2447">
        <v>0</v>
      </c>
      <c r="J2447" t="s">
        <v>343</v>
      </c>
      <c r="K2447">
        <v>2793</v>
      </c>
      <c r="M2447">
        <v>2793</v>
      </c>
    </row>
    <row r="2448" spans="1:13" x14ac:dyDescent="0.35">
      <c r="A2448" t="str">
        <f t="shared" si="135"/>
        <v>STKCDG4572964760410000</v>
      </c>
      <c r="B2448" t="s">
        <v>3115</v>
      </c>
      <c r="C2448" s="1">
        <v>45729</v>
      </c>
      <c r="D2448" t="str">
        <f>"647"</f>
        <v>647</v>
      </c>
      <c r="E2448" t="str">
        <f>"60410000"</f>
        <v>60410000</v>
      </c>
      <c r="F2448" t="s">
        <v>4215</v>
      </c>
      <c r="G2448" t="s">
        <v>336</v>
      </c>
      <c r="H2448" t="s">
        <v>5958</v>
      </c>
      <c r="I2448">
        <v>0</v>
      </c>
      <c r="J2448" t="s">
        <v>343</v>
      </c>
      <c r="K2448">
        <v>3360</v>
      </c>
      <c r="M2448">
        <v>3360</v>
      </c>
    </row>
    <row r="2449" spans="1:13" x14ac:dyDescent="0.35">
      <c r="A2449" t="str">
        <f t="shared" si="135"/>
        <v>STKCDG4572964860440000</v>
      </c>
      <c r="B2449" t="s">
        <v>3115</v>
      </c>
      <c r="C2449" s="1">
        <v>45729</v>
      </c>
      <c r="D2449" t="str">
        <f>"648"</f>
        <v>648</v>
      </c>
      <c r="E2449" t="str">
        <f t="shared" ref="E2449:E2459" si="136">"60440000"</f>
        <v>60440000</v>
      </c>
      <c r="F2449" t="s">
        <v>4217</v>
      </c>
      <c r="G2449" t="s">
        <v>336</v>
      </c>
      <c r="H2449" t="s">
        <v>5958</v>
      </c>
      <c r="I2449">
        <v>0</v>
      </c>
      <c r="J2449" t="s">
        <v>343</v>
      </c>
      <c r="K2449">
        <v>328</v>
      </c>
      <c r="M2449">
        <v>9315</v>
      </c>
    </row>
    <row r="2450" spans="1:13" x14ac:dyDescent="0.35">
      <c r="A2450" t="str">
        <f t="shared" si="135"/>
        <v>STKCDG4572964860440000</v>
      </c>
      <c r="B2450" t="s">
        <v>3115</v>
      </c>
      <c r="C2450" s="1">
        <v>45729</v>
      </c>
      <c r="D2450" t="str">
        <f>"648"</f>
        <v>648</v>
      </c>
      <c r="E2450" t="str">
        <f t="shared" si="136"/>
        <v>60440000</v>
      </c>
      <c r="F2450" t="s">
        <v>4217</v>
      </c>
      <c r="G2450" t="s">
        <v>336</v>
      </c>
      <c r="H2450" t="s">
        <v>5958</v>
      </c>
      <c r="I2450">
        <v>0</v>
      </c>
      <c r="J2450" t="s">
        <v>343</v>
      </c>
      <c r="K2450">
        <v>8987</v>
      </c>
      <c r="M2450">
        <v>9315</v>
      </c>
    </row>
    <row r="2451" spans="1:13" x14ac:dyDescent="0.35">
      <c r="A2451" t="str">
        <f t="shared" si="135"/>
        <v>STKCDG4572964960440000</v>
      </c>
      <c r="B2451" t="s">
        <v>3115</v>
      </c>
      <c r="C2451" s="1">
        <v>45729</v>
      </c>
      <c r="D2451" t="str">
        <f>"649"</f>
        <v>649</v>
      </c>
      <c r="E2451" t="str">
        <f t="shared" si="136"/>
        <v>60440000</v>
      </c>
      <c r="F2451" t="s">
        <v>4219</v>
      </c>
      <c r="G2451" t="s">
        <v>336</v>
      </c>
      <c r="H2451" t="s">
        <v>5958</v>
      </c>
      <c r="I2451">
        <v>0</v>
      </c>
      <c r="J2451" t="s">
        <v>343</v>
      </c>
      <c r="K2451">
        <v>656</v>
      </c>
      <c r="M2451">
        <v>656</v>
      </c>
    </row>
    <row r="2452" spans="1:13" x14ac:dyDescent="0.35">
      <c r="A2452" t="str">
        <f t="shared" si="135"/>
        <v>STKCDG4572965060440000</v>
      </c>
      <c r="B2452" t="s">
        <v>3115</v>
      </c>
      <c r="C2452" s="1">
        <v>45729</v>
      </c>
      <c r="D2452" t="str">
        <f>"650"</f>
        <v>650</v>
      </c>
      <c r="E2452" t="str">
        <f t="shared" si="136"/>
        <v>60440000</v>
      </c>
      <c r="F2452" t="s">
        <v>4221</v>
      </c>
      <c r="G2452" t="s">
        <v>336</v>
      </c>
      <c r="H2452" t="s">
        <v>5958</v>
      </c>
      <c r="I2452">
        <v>0</v>
      </c>
      <c r="J2452" t="s">
        <v>343</v>
      </c>
      <c r="K2452">
        <v>29387</v>
      </c>
      <c r="M2452">
        <v>29387</v>
      </c>
    </row>
    <row r="2453" spans="1:13" x14ac:dyDescent="0.35">
      <c r="A2453" t="str">
        <f t="shared" si="135"/>
        <v>STKCDG4572965160440000</v>
      </c>
      <c r="B2453" t="s">
        <v>3115</v>
      </c>
      <c r="C2453" s="1">
        <v>45729</v>
      </c>
      <c r="D2453" t="str">
        <f>"651"</f>
        <v>651</v>
      </c>
      <c r="E2453" t="str">
        <f t="shared" si="136"/>
        <v>60440000</v>
      </c>
      <c r="F2453" t="s">
        <v>4223</v>
      </c>
      <c r="G2453" t="s">
        <v>336</v>
      </c>
      <c r="H2453" t="s">
        <v>5958</v>
      </c>
      <c r="I2453">
        <v>0</v>
      </c>
      <c r="J2453" t="s">
        <v>343</v>
      </c>
      <c r="K2453">
        <v>29387</v>
      </c>
      <c r="M2453">
        <v>29387</v>
      </c>
    </row>
    <row r="2454" spans="1:13" x14ac:dyDescent="0.35">
      <c r="A2454" t="str">
        <f t="shared" si="135"/>
        <v>STKCDG4572965260440000</v>
      </c>
      <c r="B2454" t="s">
        <v>3115</v>
      </c>
      <c r="C2454" s="1">
        <v>45729</v>
      </c>
      <c r="D2454" t="str">
        <f>"652"</f>
        <v>652</v>
      </c>
      <c r="E2454" t="str">
        <f t="shared" si="136"/>
        <v>60440000</v>
      </c>
      <c r="F2454" t="s">
        <v>4225</v>
      </c>
      <c r="G2454" t="s">
        <v>336</v>
      </c>
      <c r="H2454" t="s">
        <v>5958</v>
      </c>
      <c r="I2454">
        <v>0</v>
      </c>
      <c r="J2454" t="s">
        <v>343</v>
      </c>
      <c r="K2454">
        <v>29387</v>
      </c>
      <c r="M2454">
        <v>29387</v>
      </c>
    </row>
    <row r="2455" spans="1:13" x14ac:dyDescent="0.35">
      <c r="A2455" t="str">
        <f t="shared" si="135"/>
        <v>STKCDG4572965360440000</v>
      </c>
      <c r="B2455" t="s">
        <v>3115</v>
      </c>
      <c r="C2455" s="1">
        <v>45729</v>
      </c>
      <c r="D2455" t="str">
        <f>"653"</f>
        <v>653</v>
      </c>
      <c r="E2455" t="str">
        <f t="shared" si="136"/>
        <v>60440000</v>
      </c>
      <c r="F2455" t="s">
        <v>4227</v>
      </c>
      <c r="G2455" t="s">
        <v>336</v>
      </c>
      <c r="H2455" t="s">
        <v>5958</v>
      </c>
      <c r="I2455">
        <v>0</v>
      </c>
      <c r="J2455" t="s">
        <v>343</v>
      </c>
      <c r="K2455">
        <v>29387</v>
      </c>
      <c r="M2455">
        <v>29387</v>
      </c>
    </row>
    <row r="2456" spans="1:13" x14ac:dyDescent="0.35">
      <c r="A2456" t="str">
        <f t="shared" si="135"/>
        <v>STKCDG4572965460440000</v>
      </c>
      <c r="B2456" t="s">
        <v>3115</v>
      </c>
      <c r="C2456" s="1">
        <v>45729</v>
      </c>
      <c r="D2456" t="str">
        <f>"654"</f>
        <v>654</v>
      </c>
      <c r="E2456" t="str">
        <f t="shared" si="136"/>
        <v>60440000</v>
      </c>
      <c r="F2456" t="s">
        <v>4229</v>
      </c>
      <c r="G2456" t="s">
        <v>336</v>
      </c>
      <c r="H2456" t="s">
        <v>5958</v>
      </c>
      <c r="I2456">
        <v>0</v>
      </c>
      <c r="J2456" t="s">
        <v>343</v>
      </c>
      <c r="K2456">
        <v>13775</v>
      </c>
      <c r="M2456">
        <v>13775</v>
      </c>
    </row>
    <row r="2457" spans="1:13" x14ac:dyDescent="0.35">
      <c r="A2457" t="str">
        <f t="shared" si="135"/>
        <v>STKCDG4572965560440000</v>
      </c>
      <c r="B2457" t="s">
        <v>3115</v>
      </c>
      <c r="C2457" s="1">
        <v>45729</v>
      </c>
      <c r="D2457" t="str">
        <f>"655"</f>
        <v>655</v>
      </c>
      <c r="E2457" t="str">
        <f t="shared" si="136"/>
        <v>60440000</v>
      </c>
      <c r="F2457" t="s">
        <v>4231</v>
      </c>
      <c r="G2457" t="s">
        <v>336</v>
      </c>
      <c r="H2457" t="s">
        <v>5958</v>
      </c>
      <c r="I2457">
        <v>0</v>
      </c>
      <c r="J2457" t="s">
        <v>343</v>
      </c>
      <c r="K2457">
        <v>337951</v>
      </c>
      <c r="M2457">
        <v>337951</v>
      </c>
    </row>
    <row r="2458" spans="1:13" x14ac:dyDescent="0.35">
      <c r="A2458" t="str">
        <f t="shared" si="135"/>
        <v>STKCDG4572965660440000</v>
      </c>
      <c r="B2458" t="s">
        <v>3115</v>
      </c>
      <c r="C2458" s="1">
        <v>45729</v>
      </c>
      <c r="D2458" t="str">
        <f>"656"</f>
        <v>656</v>
      </c>
      <c r="E2458" t="str">
        <f t="shared" si="136"/>
        <v>60440000</v>
      </c>
      <c r="F2458" t="s">
        <v>4233</v>
      </c>
      <c r="G2458" t="s">
        <v>336</v>
      </c>
      <c r="H2458" t="s">
        <v>5958</v>
      </c>
      <c r="I2458">
        <v>0</v>
      </c>
      <c r="J2458" t="s">
        <v>343</v>
      </c>
      <c r="K2458">
        <v>85012</v>
      </c>
      <c r="M2458">
        <v>85012</v>
      </c>
    </row>
    <row r="2459" spans="1:13" x14ac:dyDescent="0.35">
      <c r="A2459" t="str">
        <f t="shared" si="135"/>
        <v>STKCDG4572965760440000</v>
      </c>
      <c r="B2459" t="s">
        <v>3115</v>
      </c>
      <c r="C2459" s="1">
        <v>45729</v>
      </c>
      <c r="D2459" t="str">
        <f>"657"</f>
        <v>657</v>
      </c>
      <c r="E2459" t="str">
        <f t="shared" si="136"/>
        <v>60440000</v>
      </c>
      <c r="F2459" t="s">
        <v>4235</v>
      </c>
      <c r="G2459" t="s">
        <v>336</v>
      </c>
      <c r="H2459" t="s">
        <v>5958</v>
      </c>
      <c r="I2459">
        <v>0</v>
      </c>
      <c r="J2459" t="s">
        <v>343</v>
      </c>
      <c r="K2459">
        <v>85012</v>
      </c>
      <c r="M2459">
        <v>85012</v>
      </c>
    </row>
    <row r="2460" spans="1:13" x14ac:dyDescent="0.35">
      <c r="A2460" t="str">
        <f t="shared" si="135"/>
        <v>STKCDG4572965860460000</v>
      </c>
      <c r="B2460" t="s">
        <v>3115</v>
      </c>
      <c r="C2460" s="1">
        <v>45729</v>
      </c>
      <c r="D2460" t="str">
        <f>"658"</f>
        <v>658</v>
      </c>
      <c r="E2460" t="str">
        <f>"60460000"</f>
        <v>60460000</v>
      </c>
      <c r="F2460" t="s">
        <v>4237</v>
      </c>
      <c r="G2460" t="s">
        <v>336</v>
      </c>
      <c r="H2460" t="s">
        <v>5949</v>
      </c>
      <c r="I2460">
        <v>0</v>
      </c>
      <c r="J2460" t="s">
        <v>343</v>
      </c>
      <c r="K2460">
        <v>673</v>
      </c>
      <c r="M2460">
        <v>673</v>
      </c>
    </row>
    <row r="2461" spans="1:13" x14ac:dyDescent="0.35">
      <c r="A2461" t="str">
        <f t="shared" si="135"/>
        <v>STKCDG4572965960440000</v>
      </c>
      <c r="B2461" t="s">
        <v>3115</v>
      </c>
      <c r="C2461" s="1">
        <v>45729</v>
      </c>
      <c r="D2461" t="str">
        <f>"659"</f>
        <v>659</v>
      </c>
      <c r="E2461" t="str">
        <f>"60440000"</f>
        <v>60440000</v>
      </c>
      <c r="F2461" t="s">
        <v>4239</v>
      </c>
      <c r="G2461" t="s">
        <v>336</v>
      </c>
      <c r="H2461" t="s">
        <v>5874</v>
      </c>
      <c r="I2461">
        <v>0</v>
      </c>
      <c r="J2461" t="s">
        <v>343</v>
      </c>
      <c r="K2461">
        <v>93802</v>
      </c>
      <c r="M2461">
        <v>93802</v>
      </c>
    </row>
    <row r="2462" spans="1:13" x14ac:dyDescent="0.35">
      <c r="A2462" t="str">
        <f t="shared" si="135"/>
        <v>STKCDG4572966060440000</v>
      </c>
      <c r="B2462" t="s">
        <v>3115</v>
      </c>
      <c r="C2462" s="1">
        <v>45729</v>
      </c>
      <c r="D2462" t="str">
        <f>"660"</f>
        <v>660</v>
      </c>
      <c r="E2462" t="str">
        <f>"60440000"</f>
        <v>60440000</v>
      </c>
      <c r="F2462" t="s">
        <v>4241</v>
      </c>
      <c r="G2462" t="s">
        <v>336</v>
      </c>
      <c r="H2462" t="s">
        <v>5880</v>
      </c>
      <c r="I2462">
        <v>0</v>
      </c>
      <c r="J2462" t="s">
        <v>343</v>
      </c>
      <c r="K2462">
        <v>8397</v>
      </c>
      <c r="M2462">
        <v>8397</v>
      </c>
    </row>
    <row r="2463" spans="1:13" x14ac:dyDescent="0.35">
      <c r="A2463" t="str">
        <f t="shared" si="135"/>
        <v>STKCDG4572966160460000</v>
      </c>
      <c r="B2463" t="s">
        <v>3115</v>
      </c>
      <c r="C2463" s="1">
        <v>45729</v>
      </c>
      <c r="D2463" t="str">
        <f>"661"</f>
        <v>661</v>
      </c>
      <c r="E2463" t="str">
        <f>"60460000"</f>
        <v>60460000</v>
      </c>
      <c r="F2463" t="s">
        <v>4243</v>
      </c>
      <c r="G2463" t="s">
        <v>336</v>
      </c>
      <c r="H2463" t="s">
        <v>5880</v>
      </c>
      <c r="I2463">
        <v>0</v>
      </c>
      <c r="J2463" t="s">
        <v>343</v>
      </c>
      <c r="K2463">
        <v>1051</v>
      </c>
      <c r="M2463">
        <v>1051</v>
      </c>
    </row>
    <row r="2464" spans="1:13" x14ac:dyDescent="0.35">
      <c r="A2464" t="str">
        <f t="shared" si="135"/>
        <v>STKCDG4572966260430000</v>
      </c>
      <c r="B2464" t="s">
        <v>3115</v>
      </c>
      <c r="C2464" s="1">
        <v>45729</v>
      </c>
      <c r="D2464" t="str">
        <f>"662"</f>
        <v>662</v>
      </c>
      <c r="E2464" t="str">
        <f>"60430000"</f>
        <v>60430000</v>
      </c>
      <c r="F2464" t="s">
        <v>4245</v>
      </c>
      <c r="G2464" t="s">
        <v>336</v>
      </c>
      <c r="H2464" t="s">
        <v>5876</v>
      </c>
      <c r="I2464">
        <v>0</v>
      </c>
      <c r="J2464" t="s">
        <v>343</v>
      </c>
      <c r="K2464">
        <v>37375</v>
      </c>
      <c r="M2464">
        <v>37375</v>
      </c>
    </row>
    <row r="2465" spans="1:13" x14ac:dyDescent="0.35">
      <c r="A2465" t="str">
        <f t="shared" si="135"/>
        <v>STKCDG4572966360460000</v>
      </c>
      <c r="B2465" t="s">
        <v>3115</v>
      </c>
      <c r="C2465" s="1">
        <v>45729</v>
      </c>
      <c r="D2465" t="str">
        <f>"663"</f>
        <v>663</v>
      </c>
      <c r="E2465" t="str">
        <f>"60460000"</f>
        <v>60460000</v>
      </c>
      <c r="F2465" t="s">
        <v>4247</v>
      </c>
      <c r="G2465" t="s">
        <v>336</v>
      </c>
      <c r="H2465" t="s">
        <v>5876</v>
      </c>
      <c r="I2465">
        <v>0</v>
      </c>
      <c r="J2465" t="s">
        <v>343</v>
      </c>
      <c r="K2465">
        <v>588</v>
      </c>
      <c r="M2465">
        <v>10352</v>
      </c>
    </row>
    <row r="2466" spans="1:13" x14ac:dyDescent="0.35">
      <c r="A2466" t="str">
        <f t="shared" si="135"/>
        <v>STKCDG4572966360460000</v>
      </c>
      <c r="B2466" t="s">
        <v>3115</v>
      </c>
      <c r="C2466" s="1">
        <v>45729</v>
      </c>
      <c r="D2466" t="str">
        <f>"663"</f>
        <v>663</v>
      </c>
      <c r="E2466" t="str">
        <f>"60460000"</f>
        <v>60460000</v>
      </c>
      <c r="F2466" t="s">
        <v>4247</v>
      </c>
      <c r="G2466" t="s">
        <v>336</v>
      </c>
      <c r="H2466" t="s">
        <v>5876</v>
      </c>
      <c r="I2466">
        <v>0</v>
      </c>
      <c r="J2466" t="s">
        <v>343</v>
      </c>
      <c r="K2466">
        <v>9764</v>
      </c>
      <c r="M2466">
        <v>10352</v>
      </c>
    </row>
    <row r="2467" spans="1:13" x14ac:dyDescent="0.35">
      <c r="A2467" t="str">
        <f t="shared" si="135"/>
        <v>STKCDG4572966460460000</v>
      </c>
      <c r="B2467" t="s">
        <v>3115</v>
      </c>
      <c r="C2467" s="1">
        <v>45729</v>
      </c>
      <c r="D2467" t="str">
        <f>"664"</f>
        <v>664</v>
      </c>
      <c r="E2467" t="str">
        <f>"60460000"</f>
        <v>60460000</v>
      </c>
      <c r="F2467" t="s">
        <v>4249</v>
      </c>
      <c r="G2467" t="s">
        <v>336</v>
      </c>
      <c r="H2467" t="s">
        <v>5874</v>
      </c>
      <c r="I2467">
        <v>0</v>
      </c>
      <c r="J2467" t="s">
        <v>343</v>
      </c>
      <c r="K2467">
        <v>17820</v>
      </c>
      <c r="M2467">
        <v>17820</v>
      </c>
    </row>
    <row r="2468" spans="1:13" x14ac:dyDescent="0.35">
      <c r="A2468" t="str">
        <f t="shared" si="135"/>
        <v>STKCDG4572966560440000</v>
      </c>
      <c r="B2468" t="s">
        <v>3115</v>
      </c>
      <c r="C2468" s="1">
        <v>45729</v>
      </c>
      <c r="D2468" t="str">
        <f>"665"</f>
        <v>665</v>
      </c>
      <c r="E2468" t="str">
        <f>"60440000"</f>
        <v>60440000</v>
      </c>
      <c r="F2468" t="s">
        <v>4251</v>
      </c>
      <c r="G2468" t="s">
        <v>336</v>
      </c>
      <c r="H2468" t="s">
        <v>5875</v>
      </c>
      <c r="I2468">
        <v>0</v>
      </c>
      <c r="J2468" t="s">
        <v>343</v>
      </c>
      <c r="K2468">
        <v>1050</v>
      </c>
      <c r="M2468">
        <v>1050</v>
      </c>
    </row>
    <row r="2469" spans="1:13" x14ac:dyDescent="0.35">
      <c r="A2469" t="str">
        <f t="shared" si="135"/>
        <v>STKCDG4572966660440000</v>
      </c>
      <c r="B2469" t="s">
        <v>3115</v>
      </c>
      <c r="C2469" s="1">
        <v>45729</v>
      </c>
      <c r="D2469" t="str">
        <f>"666"</f>
        <v>666</v>
      </c>
      <c r="E2469" t="str">
        <f>"60440000"</f>
        <v>60440000</v>
      </c>
      <c r="F2469" t="s">
        <v>4253</v>
      </c>
      <c r="G2469" t="s">
        <v>336</v>
      </c>
      <c r="H2469" t="s">
        <v>5874</v>
      </c>
      <c r="I2469">
        <v>0</v>
      </c>
      <c r="J2469" t="s">
        <v>343</v>
      </c>
      <c r="K2469">
        <v>6691</v>
      </c>
      <c r="M2469">
        <v>6691</v>
      </c>
    </row>
    <row r="2470" spans="1:13" x14ac:dyDescent="0.35">
      <c r="A2470" t="str">
        <f t="shared" si="135"/>
        <v>STKCDG4572966760460000</v>
      </c>
      <c r="B2470" t="s">
        <v>3115</v>
      </c>
      <c r="C2470" s="1">
        <v>45729</v>
      </c>
      <c r="D2470" t="str">
        <f>"667"</f>
        <v>667</v>
      </c>
      <c r="E2470" t="str">
        <f>"60460000"</f>
        <v>60460000</v>
      </c>
      <c r="F2470" t="s">
        <v>4255</v>
      </c>
      <c r="G2470" t="s">
        <v>336</v>
      </c>
      <c r="H2470" t="s">
        <v>5949</v>
      </c>
      <c r="I2470">
        <v>0</v>
      </c>
      <c r="J2470" t="s">
        <v>343</v>
      </c>
      <c r="K2470">
        <v>17500</v>
      </c>
      <c r="M2470">
        <v>17500</v>
      </c>
    </row>
    <row r="2471" spans="1:13" x14ac:dyDescent="0.35">
      <c r="A2471" t="str">
        <f t="shared" si="135"/>
        <v>STKCDG4572966860440000</v>
      </c>
      <c r="B2471" t="s">
        <v>3115</v>
      </c>
      <c r="C2471" s="1">
        <v>45729</v>
      </c>
      <c r="D2471" t="str">
        <f>"668"</f>
        <v>668</v>
      </c>
      <c r="E2471" t="str">
        <f>"60440000"</f>
        <v>60440000</v>
      </c>
      <c r="F2471" t="s">
        <v>4257</v>
      </c>
      <c r="G2471" t="s">
        <v>336</v>
      </c>
      <c r="H2471" t="s">
        <v>5875</v>
      </c>
      <c r="I2471">
        <v>0</v>
      </c>
      <c r="J2471" t="s">
        <v>343</v>
      </c>
      <c r="K2471">
        <v>11021</v>
      </c>
      <c r="M2471">
        <v>11021</v>
      </c>
    </row>
    <row r="2472" spans="1:13" x14ac:dyDescent="0.35">
      <c r="A2472" t="str">
        <f t="shared" si="135"/>
        <v>STKCDG4572966960460000</v>
      </c>
      <c r="B2472" t="s">
        <v>3115</v>
      </c>
      <c r="C2472" s="1">
        <v>45729</v>
      </c>
      <c r="D2472" t="str">
        <f>"669"</f>
        <v>669</v>
      </c>
      <c r="E2472" t="str">
        <f>"60460000"</f>
        <v>60460000</v>
      </c>
      <c r="F2472" t="s">
        <v>4259</v>
      </c>
      <c r="G2472" t="s">
        <v>336</v>
      </c>
      <c r="H2472" t="s">
        <v>5875</v>
      </c>
      <c r="I2472">
        <v>0</v>
      </c>
      <c r="J2472" t="s">
        <v>343</v>
      </c>
      <c r="K2472">
        <v>1314</v>
      </c>
      <c r="M2472">
        <v>1314</v>
      </c>
    </row>
    <row r="2473" spans="1:13" x14ac:dyDescent="0.35">
      <c r="A2473" t="str">
        <f t="shared" si="135"/>
        <v>STKCDG4572967060440000</v>
      </c>
      <c r="B2473" t="s">
        <v>3115</v>
      </c>
      <c r="C2473" s="1">
        <v>45729</v>
      </c>
      <c r="D2473" t="str">
        <f>"670"</f>
        <v>670</v>
      </c>
      <c r="E2473" t="str">
        <f>"60440000"</f>
        <v>60440000</v>
      </c>
      <c r="F2473" t="s">
        <v>4261</v>
      </c>
      <c r="G2473" t="s">
        <v>336</v>
      </c>
      <c r="H2473" t="s">
        <v>5880</v>
      </c>
      <c r="I2473">
        <v>0</v>
      </c>
      <c r="J2473" t="s">
        <v>343</v>
      </c>
      <c r="K2473">
        <v>181701</v>
      </c>
      <c r="M2473">
        <v>181701</v>
      </c>
    </row>
    <row r="2474" spans="1:13" x14ac:dyDescent="0.35">
      <c r="A2474" t="str">
        <f t="shared" si="135"/>
        <v>STKCDG4572967160430000</v>
      </c>
      <c r="B2474" t="s">
        <v>3115</v>
      </c>
      <c r="C2474" s="1">
        <v>45729</v>
      </c>
      <c r="D2474" t="str">
        <f>"671"</f>
        <v>671</v>
      </c>
      <c r="E2474" t="str">
        <f>"60430000"</f>
        <v>60430000</v>
      </c>
      <c r="F2474" t="s">
        <v>4263</v>
      </c>
      <c r="G2474" t="s">
        <v>336</v>
      </c>
      <c r="H2474" t="s">
        <v>5880</v>
      </c>
      <c r="I2474">
        <v>0</v>
      </c>
      <c r="J2474" t="s">
        <v>343</v>
      </c>
      <c r="K2474">
        <v>114380</v>
      </c>
      <c r="M2474">
        <v>114380</v>
      </c>
    </row>
    <row r="2475" spans="1:13" x14ac:dyDescent="0.35">
      <c r="A2475" t="str">
        <f t="shared" si="135"/>
        <v>STKCDG4572967260460000</v>
      </c>
      <c r="B2475" t="s">
        <v>3115</v>
      </c>
      <c r="C2475" s="1">
        <v>45729</v>
      </c>
      <c r="D2475" t="str">
        <f>"672"</f>
        <v>672</v>
      </c>
      <c r="E2475" t="str">
        <f>"60460000"</f>
        <v>60460000</v>
      </c>
      <c r="F2475" t="s">
        <v>4265</v>
      </c>
      <c r="G2475" t="s">
        <v>336</v>
      </c>
      <c r="H2475" t="s">
        <v>5949</v>
      </c>
      <c r="I2475">
        <v>0</v>
      </c>
      <c r="J2475" t="s">
        <v>343</v>
      </c>
      <c r="K2475">
        <v>1150</v>
      </c>
      <c r="M2475">
        <v>1150</v>
      </c>
    </row>
    <row r="2476" spans="1:13" x14ac:dyDescent="0.35">
      <c r="A2476" t="str">
        <f t="shared" si="135"/>
        <v>STKCDG4572967360440000</v>
      </c>
      <c r="B2476" t="s">
        <v>3115</v>
      </c>
      <c r="C2476" s="1">
        <v>45729</v>
      </c>
      <c r="D2476" t="str">
        <f>"673"</f>
        <v>673</v>
      </c>
      <c r="E2476" t="str">
        <f>"60440000"</f>
        <v>60440000</v>
      </c>
      <c r="F2476" t="s">
        <v>4267</v>
      </c>
      <c r="G2476" t="s">
        <v>336</v>
      </c>
      <c r="H2476" t="s">
        <v>5880</v>
      </c>
      <c r="I2476">
        <v>0</v>
      </c>
      <c r="J2476" t="s">
        <v>343</v>
      </c>
      <c r="K2476">
        <v>3739</v>
      </c>
      <c r="M2476">
        <v>3739</v>
      </c>
    </row>
    <row r="2477" spans="1:13" x14ac:dyDescent="0.35">
      <c r="A2477" t="str">
        <f t="shared" si="135"/>
        <v>STKCDG4572967460440000</v>
      </c>
      <c r="B2477" t="s">
        <v>3115</v>
      </c>
      <c r="C2477" s="1">
        <v>45729</v>
      </c>
      <c r="D2477" t="str">
        <f>"674"</f>
        <v>674</v>
      </c>
      <c r="E2477" t="str">
        <f>"60440000"</f>
        <v>60440000</v>
      </c>
      <c r="F2477" t="s">
        <v>4269</v>
      </c>
      <c r="G2477" t="s">
        <v>336</v>
      </c>
      <c r="H2477" t="s">
        <v>5875</v>
      </c>
      <c r="I2477">
        <v>0</v>
      </c>
      <c r="J2477" t="s">
        <v>343</v>
      </c>
      <c r="K2477">
        <v>181701</v>
      </c>
      <c r="M2477">
        <v>181701</v>
      </c>
    </row>
    <row r="2478" spans="1:13" x14ac:dyDescent="0.35">
      <c r="A2478" t="str">
        <f t="shared" si="135"/>
        <v>STKCDG4572967560440000</v>
      </c>
      <c r="B2478" t="s">
        <v>3115</v>
      </c>
      <c r="C2478" s="1">
        <v>45729</v>
      </c>
      <c r="D2478" t="str">
        <f>"675"</f>
        <v>675</v>
      </c>
      <c r="E2478" t="str">
        <f>"60440000"</f>
        <v>60440000</v>
      </c>
      <c r="F2478" t="s">
        <v>4271</v>
      </c>
      <c r="G2478" t="s">
        <v>336</v>
      </c>
      <c r="H2478" t="s">
        <v>5875</v>
      </c>
      <c r="I2478">
        <v>0</v>
      </c>
      <c r="J2478" t="s">
        <v>343</v>
      </c>
      <c r="K2478">
        <v>277996</v>
      </c>
      <c r="M2478">
        <v>277996</v>
      </c>
    </row>
    <row r="2479" spans="1:13" x14ac:dyDescent="0.35">
      <c r="A2479" t="str">
        <f t="shared" si="135"/>
        <v>STKCDG4572967660440000</v>
      </c>
      <c r="B2479" t="s">
        <v>3115</v>
      </c>
      <c r="C2479" s="1">
        <v>45729</v>
      </c>
      <c r="D2479" t="str">
        <f>"676"</f>
        <v>676</v>
      </c>
      <c r="E2479" t="str">
        <f>"60440000"</f>
        <v>60440000</v>
      </c>
      <c r="F2479" t="s">
        <v>4273</v>
      </c>
      <c r="G2479" t="s">
        <v>336</v>
      </c>
      <c r="H2479" t="s">
        <v>5876</v>
      </c>
      <c r="I2479">
        <v>0</v>
      </c>
      <c r="J2479" t="s">
        <v>343</v>
      </c>
      <c r="K2479">
        <v>3477</v>
      </c>
      <c r="M2479">
        <v>3477</v>
      </c>
    </row>
    <row r="2480" spans="1:13" x14ac:dyDescent="0.35">
      <c r="A2480" t="str">
        <f t="shared" si="135"/>
        <v>STKCDG4572967760460000</v>
      </c>
      <c r="B2480" t="s">
        <v>3115</v>
      </c>
      <c r="C2480" s="1">
        <v>45729</v>
      </c>
      <c r="D2480" t="str">
        <f>"677"</f>
        <v>677</v>
      </c>
      <c r="E2480" t="str">
        <f>"60460000"</f>
        <v>60460000</v>
      </c>
      <c r="F2480" t="s">
        <v>4275</v>
      </c>
      <c r="G2480" t="s">
        <v>336</v>
      </c>
      <c r="H2480" t="s">
        <v>5966</v>
      </c>
      <c r="I2480">
        <v>0</v>
      </c>
      <c r="J2480" t="s">
        <v>343</v>
      </c>
      <c r="K2480">
        <v>1360</v>
      </c>
      <c r="M2480">
        <v>1360</v>
      </c>
    </row>
    <row r="2481" spans="1:13" x14ac:dyDescent="0.35">
      <c r="A2481" t="str">
        <f t="shared" si="135"/>
        <v>STKCDG4572967860440000</v>
      </c>
      <c r="B2481" t="s">
        <v>3115</v>
      </c>
      <c r="C2481" s="1">
        <v>45729</v>
      </c>
      <c r="D2481" t="str">
        <f>"678"</f>
        <v>678</v>
      </c>
      <c r="E2481" t="str">
        <f>"60440000"</f>
        <v>60440000</v>
      </c>
      <c r="F2481" t="s">
        <v>4277</v>
      </c>
      <c r="G2481" t="s">
        <v>336</v>
      </c>
      <c r="H2481" t="s">
        <v>6010</v>
      </c>
      <c r="I2481">
        <v>0</v>
      </c>
      <c r="J2481" t="s">
        <v>343</v>
      </c>
      <c r="K2481">
        <v>787</v>
      </c>
      <c r="M2481">
        <v>787</v>
      </c>
    </row>
    <row r="2482" spans="1:13" x14ac:dyDescent="0.35">
      <c r="A2482" t="str">
        <f t="shared" si="135"/>
        <v>STKCDG4572967960440000</v>
      </c>
      <c r="B2482" t="s">
        <v>3115</v>
      </c>
      <c r="C2482" s="1">
        <v>45729</v>
      </c>
      <c r="D2482" t="str">
        <f>"679"</f>
        <v>679</v>
      </c>
      <c r="E2482" t="str">
        <f>"60440000"</f>
        <v>60440000</v>
      </c>
      <c r="F2482" t="s">
        <v>4279</v>
      </c>
      <c r="G2482" t="s">
        <v>336</v>
      </c>
      <c r="H2482" t="s">
        <v>5875</v>
      </c>
      <c r="I2482">
        <v>0</v>
      </c>
      <c r="J2482" t="s">
        <v>343</v>
      </c>
      <c r="K2482">
        <v>181701</v>
      </c>
      <c r="M2482">
        <v>181701</v>
      </c>
    </row>
    <row r="2483" spans="1:13" x14ac:dyDescent="0.35">
      <c r="A2483" t="str">
        <f t="shared" si="135"/>
        <v>STKCDG4572968060430000</v>
      </c>
      <c r="B2483" t="s">
        <v>3115</v>
      </c>
      <c r="C2483" s="1">
        <v>45729</v>
      </c>
      <c r="D2483" t="str">
        <f>"680"</f>
        <v>680</v>
      </c>
      <c r="E2483" t="str">
        <f>"60430000"</f>
        <v>60430000</v>
      </c>
      <c r="F2483" t="s">
        <v>4281</v>
      </c>
      <c r="G2483" t="s">
        <v>336</v>
      </c>
      <c r="H2483" t="s">
        <v>5875</v>
      </c>
      <c r="I2483">
        <v>0</v>
      </c>
      <c r="J2483" t="s">
        <v>343</v>
      </c>
      <c r="K2483">
        <v>114380</v>
      </c>
      <c r="M2483">
        <v>114380</v>
      </c>
    </row>
    <row r="2484" spans="1:13" x14ac:dyDescent="0.35">
      <c r="A2484" t="str">
        <f t="shared" si="135"/>
        <v>STKCDG4572968160440000</v>
      </c>
      <c r="B2484" t="s">
        <v>3115</v>
      </c>
      <c r="C2484" s="1">
        <v>45729</v>
      </c>
      <c r="D2484" t="str">
        <f>"681"</f>
        <v>681</v>
      </c>
      <c r="E2484" t="str">
        <f>"60440000"</f>
        <v>60440000</v>
      </c>
      <c r="F2484" t="s">
        <v>4283</v>
      </c>
      <c r="G2484" t="s">
        <v>336</v>
      </c>
      <c r="H2484" t="s">
        <v>5966</v>
      </c>
      <c r="I2484">
        <v>0</v>
      </c>
      <c r="J2484" t="s">
        <v>343</v>
      </c>
      <c r="K2484">
        <v>5248</v>
      </c>
      <c r="M2484">
        <v>5248</v>
      </c>
    </row>
    <row r="2485" spans="1:13" x14ac:dyDescent="0.35">
      <c r="A2485" t="str">
        <f t="shared" si="135"/>
        <v>STKCDG4572968260460000</v>
      </c>
      <c r="B2485" t="s">
        <v>3115</v>
      </c>
      <c r="C2485" s="1">
        <v>45729</v>
      </c>
      <c r="D2485" t="str">
        <f>"682"</f>
        <v>682</v>
      </c>
      <c r="E2485" t="str">
        <f>"60460000"</f>
        <v>60460000</v>
      </c>
      <c r="F2485" t="s">
        <v>4285</v>
      </c>
      <c r="G2485" t="s">
        <v>336</v>
      </c>
      <c r="H2485" t="s">
        <v>5966</v>
      </c>
      <c r="I2485">
        <v>0</v>
      </c>
      <c r="J2485" t="s">
        <v>343</v>
      </c>
      <c r="K2485">
        <v>300</v>
      </c>
      <c r="M2485">
        <v>300</v>
      </c>
    </row>
    <row r="2486" spans="1:13" x14ac:dyDescent="0.35">
      <c r="A2486" t="str">
        <f t="shared" si="135"/>
        <v>STKCDG4572968360440000</v>
      </c>
      <c r="B2486" t="s">
        <v>3115</v>
      </c>
      <c r="C2486" s="1">
        <v>45729</v>
      </c>
      <c r="D2486" t="str">
        <f>"683"</f>
        <v>683</v>
      </c>
      <c r="E2486" t="str">
        <f>"60440000"</f>
        <v>60440000</v>
      </c>
      <c r="F2486" t="s">
        <v>4287</v>
      </c>
      <c r="G2486" t="s">
        <v>336</v>
      </c>
      <c r="H2486" t="s">
        <v>5890</v>
      </c>
      <c r="I2486">
        <v>0</v>
      </c>
      <c r="J2486" t="s">
        <v>343</v>
      </c>
      <c r="K2486">
        <v>656</v>
      </c>
      <c r="M2486">
        <v>656</v>
      </c>
    </row>
    <row r="2487" spans="1:13" x14ac:dyDescent="0.35">
      <c r="A2487" t="str">
        <f t="shared" si="135"/>
        <v>STKCDG4572968460410000</v>
      </c>
      <c r="B2487" t="s">
        <v>3115</v>
      </c>
      <c r="C2487" s="1">
        <v>45729</v>
      </c>
      <c r="D2487" t="str">
        <f>"684"</f>
        <v>684</v>
      </c>
      <c r="E2487" t="str">
        <f>"60410000"</f>
        <v>60410000</v>
      </c>
      <c r="F2487" t="s">
        <v>4289</v>
      </c>
      <c r="G2487" t="s">
        <v>336</v>
      </c>
      <c r="H2487" t="s">
        <v>5966</v>
      </c>
      <c r="I2487">
        <v>0</v>
      </c>
      <c r="J2487" t="s">
        <v>343</v>
      </c>
      <c r="K2487">
        <v>5242</v>
      </c>
      <c r="M2487">
        <v>5242</v>
      </c>
    </row>
    <row r="2488" spans="1:13" x14ac:dyDescent="0.35">
      <c r="A2488" t="str">
        <f t="shared" si="135"/>
        <v>STKCDG4572968560430000</v>
      </c>
      <c r="B2488" t="s">
        <v>3115</v>
      </c>
      <c r="C2488" s="1">
        <v>45729</v>
      </c>
      <c r="D2488" t="str">
        <f>"685"</f>
        <v>685</v>
      </c>
      <c r="E2488" t="str">
        <f>"60430000"</f>
        <v>60430000</v>
      </c>
      <c r="F2488" t="s">
        <v>4291</v>
      </c>
      <c r="G2488" t="s">
        <v>336</v>
      </c>
      <c r="H2488" t="s">
        <v>5966</v>
      </c>
      <c r="I2488">
        <v>0</v>
      </c>
      <c r="J2488" t="s">
        <v>343</v>
      </c>
      <c r="K2488">
        <v>5304</v>
      </c>
      <c r="M2488">
        <v>5304</v>
      </c>
    </row>
    <row r="2489" spans="1:13" x14ac:dyDescent="0.35">
      <c r="A2489" t="str">
        <f t="shared" si="135"/>
        <v>STKCDG4572968660440000</v>
      </c>
      <c r="B2489" t="s">
        <v>3115</v>
      </c>
      <c r="C2489" s="1">
        <v>45729</v>
      </c>
      <c r="D2489" t="str">
        <f>"686"</f>
        <v>686</v>
      </c>
      <c r="E2489" t="str">
        <f>"60440000"</f>
        <v>60440000</v>
      </c>
      <c r="F2489" t="s">
        <v>4293</v>
      </c>
      <c r="G2489" t="s">
        <v>336</v>
      </c>
      <c r="H2489" t="s">
        <v>5966</v>
      </c>
      <c r="I2489">
        <v>0</v>
      </c>
      <c r="J2489" t="s">
        <v>343</v>
      </c>
      <c r="K2489">
        <v>984</v>
      </c>
      <c r="M2489">
        <v>984</v>
      </c>
    </row>
    <row r="2490" spans="1:13" x14ac:dyDescent="0.35">
      <c r="A2490" t="str">
        <f t="shared" si="135"/>
        <v>STKCDG4572968760460000</v>
      </c>
      <c r="B2490" t="s">
        <v>3115</v>
      </c>
      <c r="C2490" s="1">
        <v>45729</v>
      </c>
      <c r="D2490" t="str">
        <f>"687"</f>
        <v>687</v>
      </c>
      <c r="E2490" t="str">
        <f>"60460000"</f>
        <v>60460000</v>
      </c>
      <c r="F2490" t="s">
        <v>4295</v>
      </c>
      <c r="G2490" t="s">
        <v>336</v>
      </c>
      <c r="H2490" t="s">
        <v>5966</v>
      </c>
      <c r="I2490">
        <v>0</v>
      </c>
      <c r="J2490" t="s">
        <v>343</v>
      </c>
      <c r="K2490">
        <v>614</v>
      </c>
      <c r="M2490">
        <v>614</v>
      </c>
    </row>
    <row r="2491" spans="1:13" x14ac:dyDescent="0.35">
      <c r="A2491" t="str">
        <f t="shared" si="135"/>
        <v>STKCDG4572968860460000</v>
      </c>
      <c r="B2491" t="s">
        <v>3115</v>
      </c>
      <c r="C2491" s="1">
        <v>45729</v>
      </c>
      <c r="D2491" t="str">
        <f>"688"</f>
        <v>688</v>
      </c>
      <c r="E2491" t="str">
        <f>"60460000"</f>
        <v>60460000</v>
      </c>
      <c r="F2491" t="s">
        <v>4297</v>
      </c>
      <c r="G2491" t="s">
        <v>336</v>
      </c>
      <c r="H2491" t="s">
        <v>5966</v>
      </c>
      <c r="I2491">
        <v>0</v>
      </c>
      <c r="J2491" t="s">
        <v>343</v>
      </c>
      <c r="K2491">
        <v>673</v>
      </c>
      <c r="M2491">
        <v>673</v>
      </c>
    </row>
    <row r="2492" spans="1:13" x14ac:dyDescent="0.35">
      <c r="A2492" t="str">
        <f t="shared" si="135"/>
        <v>STKCDG4572968960460000</v>
      </c>
      <c r="B2492" t="s">
        <v>3115</v>
      </c>
      <c r="C2492" s="1">
        <v>45729</v>
      </c>
      <c r="D2492" t="str">
        <f>"689"</f>
        <v>689</v>
      </c>
      <c r="E2492" t="str">
        <f>"60460000"</f>
        <v>60460000</v>
      </c>
      <c r="F2492" t="s">
        <v>4299</v>
      </c>
      <c r="G2492" t="s">
        <v>336</v>
      </c>
      <c r="H2492" t="s">
        <v>5966</v>
      </c>
      <c r="I2492">
        <v>0</v>
      </c>
      <c r="J2492" t="s">
        <v>343</v>
      </c>
      <c r="K2492">
        <v>2500</v>
      </c>
      <c r="M2492">
        <v>2500</v>
      </c>
    </row>
    <row r="2493" spans="1:13" x14ac:dyDescent="0.35">
      <c r="A2493" t="str">
        <f t="shared" si="135"/>
        <v>STKCDG4572969060460000</v>
      </c>
      <c r="B2493" t="s">
        <v>3115</v>
      </c>
      <c r="C2493" s="1">
        <v>45729</v>
      </c>
      <c r="D2493" t="str">
        <f>"690"</f>
        <v>690</v>
      </c>
      <c r="E2493" t="str">
        <f>"60460000"</f>
        <v>60460000</v>
      </c>
      <c r="F2493" t="s">
        <v>4301</v>
      </c>
      <c r="G2493" t="s">
        <v>336</v>
      </c>
      <c r="H2493" t="s">
        <v>5966</v>
      </c>
      <c r="I2493">
        <v>0</v>
      </c>
      <c r="J2493" t="s">
        <v>343</v>
      </c>
      <c r="K2493">
        <v>1798</v>
      </c>
      <c r="M2493">
        <v>1798</v>
      </c>
    </row>
    <row r="2494" spans="1:13" x14ac:dyDescent="0.35">
      <c r="A2494" t="str">
        <f t="shared" si="135"/>
        <v>STKCDG4573016860440000</v>
      </c>
      <c r="B2494" t="s">
        <v>3115</v>
      </c>
      <c r="C2494" s="1">
        <v>45730</v>
      </c>
      <c r="D2494" t="str">
        <f>"168"</f>
        <v>168</v>
      </c>
      <c r="E2494" t="str">
        <f t="shared" ref="E2494:E2503" si="137">"60440000"</f>
        <v>60440000</v>
      </c>
      <c r="F2494" t="s">
        <v>4303</v>
      </c>
      <c r="G2494" t="s">
        <v>336</v>
      </c>
      <c r="H2494" t="s">
        <v>5946</v>
      </c>
      <c r="I2494">
        <v>0</v>
      </c>
      <c r="J2494" t="s">
        <v>343</v>
      </c>
      <c r="K2494">
        <v>49246</v>
      </c>
      <c r="M2494">
        <v>49246</v>
      </c>
    </row>
    <row r="2495" spans="1:13" x14ac:dyDescent="0.35">
      <c r="A2495" t="str">
        <f t="shared" si="135"/>
        <v>STKCDG4573016960440000</v>
      </c>
      <c r="B2495" t="s">
        <v>3115</v>
      </c>
      <c r="C2495" s="1">
        <v>45730</v>
      </c>
      <c r="D2495" t="str">
        <f>"169"</f>
        <v>169</v>
      </c>
      <c r="E2495" t="str">
        <f t="shared" si="137"/>
        <v>60440000</v>
      </c>
      <c r="F2495" t="s">
        <v>4305</v>
      </c>
      <c r="G2495" t="s">
        <v>336</v>
      </c>
      <c r="H2495" t="s">
        <v>5958</v>
      </c>
      <c r="I2495">
        <v>0</v>
      </c>
      <c r="J2495" t="s">
        <v>343</v>
      </c>
      <c r="K2495">
        <v>40600</v>
      </c>
      <c r="M2495">
        <v>40600</v>
      </c>
    </row>
    <row r="2496" spans="1:13" x14ac:dyDescent="0.35">
      <c r="A2496" t="str">
        <f t="shared" si="135"/>
        <v>STKCDG4573017060440000</v>
      </c>
      <c r="B2496" t="s">
        <v>3115</v>
      </c>
      <c r="C2496" s="1">
        <v>45730</v>
      </c>
      <c r="D2496" t="str">
        <f>"170"</f>
        <v>170</v>
      </c>
      <c r="E2496" t="str">
        <f t="shared" si="137"/>
        <v>60440000</v>
      </c>
      <c r="F2496" t="s">
        <v>4307</v>
      </c>
      <c r="G2496" t="s">
        <v>336</v>
      </c>
      <c r="H2496" t="s">
        <v>5880</v>
      </c>
      <c r="I2496">
        <v>0</v>
      </c>
      <c r="J2496" t="s">
        <v>343</v>
      </c>
      <c r="K2496">
        <v>30947</v>
      </c>
      <c r="M2496">
        <v>30947</v>
      </c>
    </row>
    <row r="2497" spans="1:13" x14ac:dyDescent="0.35">
      <c r="A2497" t="str">
        <f t="shared" si="135"/>
        <v>STKCDG4573017160440000</v>
      </c>
      <c r="B2497" t="s">
        <v>3115</v>
      </c>
      <c r="C2497" s="1">
        <v>45730</v>
      </c>
      <c r="D2497" t="str">
        <f>"171"</f>
        <v>171</v>
      </c>
      <c r="E2497" t="str">
        <f t="shared" si="137"/>
        <v>60440000</v>
      </c>
      <c r="F2497" t="s">
        <v>4309</v>
      </c>
      <c r="G2497" t="s">
        <v>336</v>
      </c>
      <c r="H2497" t="s">
        <v>5905</v>
      </c>
      <c r="I2497">
        <v>0</v>
      </c>
      <c r="J2497" t="s">
        <v>343</v>
      </c>
      <c r="K2497">
        <v>85000</v>
      </c>
      <c r="M2497">
        <v>85000</v>
      </c>
    </row>
    <row r="2498" spans="1:13" x14ac:dyDescent="0.35">
      <c r="A2498" t="str">
        <f t="shared" si="135"/>
        <v>STKCDG4573017260440000</v>
      </c>
      <c r="B2498" t="s">
        <v>3115</v>
      </c>
      <c r="C2498" s="1">
        <v>45730</v>
      </c>
      <c r="D2498" t="str">
        <f>"172"</f>
        <v>172</v>
      </c>
      <c r="E2498" t="str">
        <f t="shared" si="137"/>
        <v>60440000</v>
      </c>
      <c r="F2498" t="s">
        <v>4311</v>
      </c>
      <c r="G2498" t="s">
        <v>336</v>
      </c>
      <c r="H2498" t="s">
        <v>5905</v>
      </c>
      <c r="I2498">
        <v>0</v>
      </c>
      <c r="J2498" t="s">
        <v>343</v>
      </c>
      <c r="K2498">
        <v>85000</v>
      </c>
      <c r="M2498">
        <v>85000</v>
      </c>
    </row>
    <row r="2499" spans="1:13" x14ac:dyDescent="0.35">
      <c r="A2499" t="str">
        <f t="shared" ref="A2499:A2562" si="138">CONCATENATE(B2499,C2499,D2499,E2499)</f>
        <v>STKCDG4573017360440000</v>
      </c>
      <c r="B2499" t="s">
        <v>3115</v>
      </c>
      <c r="C2499" s="1">
        <v>45730</v>
      </c>
      <c r="D2499" t="str">
        <f>"173"</f>
        <v>173</v>
      </c>
      <c r="E2499" t="str">
        <f t="shared" si="137"/>
        <v>60440000</v>
      </c>
      <c r="F2499" t="s">
        <v>4313</v>
      </c>
      <c r="G2499" t="s">
        <v>336</v>
      </c>
      <c r="H2499" t="s">
        <v>5875</v>
      </c>
      <c r="I2499">
        <v>0</v>
      </c>
      <c r="J2499" t="s">
        <v>343</v>
      </c>
      <c r="K2499">
        <v>456801</v>
      </c>
      <c r="M2499">
        <v>456801</v>
      </c>
    </row>
    <row r="2500" spans="1:13" x14ac:dyDescent="0.35">
      <c r="A2500" t="str">
        <f t="shared" si="138"/>
        <v>STKCDG4573017460440000</v>
      </c>
      <c r="B2500" t="s">
        <v>3115</v>
      </c>
      <c r="C2500" s="1">
        <v>45730</v>
      </c>
      <c r="D2500" t="str">
        <f>"174"</f>
        <v>174</v>
      </c>
      <c r="E2500" t="str">
        <f t="shared" si="137"/>
        <v>60440000</v>
      </c>
      <c r="F2500" t="s">
        <v>4315</v>
      </c>
      <c r="G2500" t="s">
        <v>336</v>
      </c>
      <c r="H2500" t="s">
        <v>5875</v>
      </c>
      <c r="I2500">
        <v>0</v>
      </c>
      <c r="J2500" t="s">
        <v>343</v>
      </c>
      <c r="K2500">
        <v>1706</v>
      </c>
      <c r="M2500">
        <v>1706</v>
      </c>
    </row>
    <row r="2501" spans="1:13" x14ac:dyDescent="0.35">
      <c r="A2501" t="str">
        <f t="shared" si="138"/>
        <v>STKCDG4573017560440000</v>
      </c>
      <c r="B2501" t="s">
        <v>3115</v>
      </c>
      <c r="C2501" s="1">
        <v>45730</v>
      </c>
      <c r="D2501" t="str">
        <f>"175"</f>
        <v>175</v>
      </c>
      <c r="E2501" t="str">
        <f t="shared" si="137"/>
        <v>60440000</v>
      </c>
      <c r="F2501" t="s">
        <v>4317</v>
      </c>
      <c r="G2501" t="s">
        <v>336</v>
      </c>
      <c r="H2501" t="s">
        <v>5874</v>
      </c>
      <c r="I2501">
        <v>0</v>
      </c>
      <c r="J2501" t="s">
        <v>343</v>
      </c>
      <c r="K2501">
        <v>6429</v>
      </c>
      <c r="M2501">
        <v>6429</v>
      </c>
    </row>
    <row r="2502" spans="1:13" x14ac:dyDescent="0.35">
      <c r="A2502" t="str">
        <f t="shared" si="138"/>
        <v>STKCDG4573017660440000</v>
      </c>
      <c r="B2502" t="s">
        <v>3115</v>
      </c>
      <c r="C2502" s="1">
        <v>45730</v>
      </c>
      <c r="D2502" t="str">
        <f>"176"</f>
        <v>176</v>
      </c>
      <c r="E2502" t="str">
        <f t="shared" si="137"/>
        <v>60440000</v>
      </c>
      <c r="F2502" t="s">
        <v>4319</v>
      </c>
      <c r="G2502" t="s">
        <v>336</v>
      </c>
      <c r="H2502" t="s">
        <v>5875</v>
      </c>
      <c r="I2502">
        <v>0</v>
      </c>
      <c r="J2502" t="s">
        <v>343</v>
      </c>
      <c r="K2502">
        <v>1574</v>
      </c>
      <c r="M2502">
        <v>1574</v>
      </c>
    </row>
    <row r="2503" spans="1:13" x14ac:dyDescent="0.35">
      <c r="A2503" t="str">
        <f t="shared" si="138"/>
        <v>STKCDG4573017760440000</v>
      </c>
      <c r="B2503" t="s">
        <v>3115</v>
      </c>
      <c r="C2503" s="1">
        <v>45730</v>
      </c>
      <c r="D2503" t="str">
        <f>"177"</f>
        <v>177</v>
      </c>
      <c r="E2503" t="str">
        <f t="shared" si="137"/>
        <v>60440000</v>
      </c>
      <c r="F2503" t="s">
        <v>4321</v>
      </c>
      <c r="G2503" t="s">
        <v>336</v>
      </c>
      <c r="H2503" t="s">
        <v>5875</v>
      </c>
      <c r="I2503">
        <v>0</v>
      </c>
      <c r="J2503" t="s">
        <v>343</v>
      </c>
      <c r="K2503">
        <v>2230</v>
      </c>
      <c r="M2503">
        <v>2230</v>
      </c>
    </row>
    <row r="2504" spans="1:13" x14ac:dyDescent="0.35">
      <c r="A2504" t="str">
        <f t="shared" si="138"/>
        <v>STKCDG4573017860460000</v>
      </c>
      <c r="B2504" t="s">
        <v>3115</v>
      </c>
      <c r="C2504" s="1">
        <v>45730</v>
      </c>
      <c r="D2504" t="str">
        <f>"178"</f>
        <v>178</v>
      </c>
      <c r="E2504" t="str">
        <f>"60460000"</f>
        <v>60460000</v>
      </c>
      <c r="F2504" t="s">
        <v>4323</v>
      </c>
      <c r="G2504" t="s">
        <v>336</v>
      </c>
      <c r="H2504" t="s">
        <v>5966</v>
      </c>
      <c r="I2504">
        <v>0</v>
      </c>
      <c r="J2504" t="s">
        <v>343</v>
      </c>
      <c r="K2504">
        <v>125</v>
      </c>
      <c r="M2504">
        <v>125</v>
      </c>
    </row>
    <row r="2505" spans="1:13" x14ac:dyDescent="0.35">
      <c r="A2505" t="str">
        <f t="shared" si="138"/>
        <v>STKCDG4573017960460000</v>
      </c>
      <c r="B2505" t="s">
        <v>3115</v>
      </c>
      <c r="C2505" s="1">
        <v>45730</v>
      </c>
      <c r="D2505" t="str">
        <f>"179"</f>
        <v>179</v>
      </c>
      <c r="E2505" t="str">
        <f>"60460000"</f>
        <v>60460000</v>
      </c>
      <c r="F2505" t="s">
        <v>4325</v>
      </c>
      <c r="G2505" t="s">
        <v>336</v>
      </c>
      <c r="H2505" t="s">
        <v>5966</v>
      </c>
      <c r="I2505">
        <v>0</v>
      </c>
      <c r="J2505" t="s">
        <v>343</v>
      </c>
      <c r="K2505">
        <v>309</v>
      </c>
      <c r="M2505">
        <v>309</v>
      </c>
    </row>
    <row r="2506" spans="1:13" x14ac:dyDescent="0.35">
      <c r="A2506" t="str">
        <f t="shared" si="138"/>
        <v>STKCDG4573018060460000</v>
      </c>
      <c r="B2506" t="s">
        <v>3115</v>
      </c>
      <c r="C2506" s="1">
        <v>45730</v>
      </c>
      <c r="D2506" t="str">
        <f>"180"</f>
        <v>180</v>
      </c>
      <c r="E2506" t="str">
        <f>"60460000"</f>
        <v>60460000</v>
      </c>
      <c r="F2506" t="s">
        <v>4327</v>
      </c>
      <c r="G2506" t="s">
        <v>336</v>
      </c>
      <c r="H2506" t="s">
        <v>5966</v>
      </c>
      <c r="I2506">
        <v>0</v>
      </c>
      <c r="J2506" t="s">
        <v>343</v>
      </c>
      <c r="K2506">
        <v>1718</v>
      </c>
      <c r="M2506">
        <v>1718</v>
      </c>
    </row>
    <row r="2507" spans="1:13" x14ac:dyDescent="0.35">
      <c r="A2507" t="str">
        <f t="shared" si="138"/>
        <v>STKCDG4573018160410000</v>
      </c>
      <c r="B2507" t="s">
        <v>3115</v>
      </c>
      <c r="C2507" s="1">
        <v>45730</v>
      </c>
      <c r="D2507" t="str">
        <f>"181"</f>
        <v>181</v>
      </c>
      <c r="E2507" t="str">
        <f>"60410000"</f>
        <v>60410000</v>
      </c>
      <c r="F2507" t="s">
        <v>4329</v>
      </c>
      <c r="G2507" t="s">
        <v>336</v>
      </c>
      <c r="H2507" t="s">
        <v>5966</v>
      </c>
      <c r="I2507">
        <v>0</v>
      </c>
      <c r="J2507" t="s">
        <v>343</v>
      </c>
      <c r="K2507">
        <v>4947</v>
      </c>
      <c r="M2507">
        <v>4947</v>
      </c>
    </row>
    <row r="2508" spans="1:13" x14ac:dyDescent="0.35">
      <c r="A2508" t="str">
        <f t="shared" si="138"/>
        <v>STKCDG4573018260410000</v>
      </c>
      <c r="B2508" t="s">
        <v>3115</v>
      </c>
      <c r="C2508" s="1">
        <v>45730</v>
      </c>
      <c r="D2508" t="str">
        <f>"182"</f>
        <v>182</v>
      </c>
      <c r="E2508" t="str">
        <f>"60410000"</f>
        <v>60410000</v>
      </c>
      <c r="F2508" t="s">
        <v>4331</v>
      </c>
      <c r="G2508" t="s">
        <v>336</v>
      </c>
      <c r="H2508" t="s">
        <v>5949</v>
      </c>
      <c r="I2508">
        <v>0</v>
      </c>
      <c r="J2508" t="s">
        <v>343</v>
      </c>
      <c r="K2508">
        <v>35000</v>
      </c>
      <c r="M2508">
        <v>35000</v>
      </c>
    </row>
    <row r="2509" spans="1:13" x14ac:dyDescent="0.35">
      <c r="A2509" t="str">
        <f t="shared" si="138"/>
        <v>STKCDG4573018360410000</v>
      </c>
      <c r="B2509" t="s">
        <v>3115</v>
      </c>
      <c r="C2509" s="1">
        <v>45730</v>
      </c>
      <c r="D2509" t="str">
        <f>"183"</f>
        <v>183</v>
      </c>
      <c r="E2509" t="str">
        <f>"60410000"</f>
        <v>60410000</v>
      </c>
      <c r="F2509" t="s">
        <v>4333</v>
      </c>
      <c r="G2509" t="s">
        <v>336</v>
      </c>
      <c r="H2509" t="s">
        <v>5949</v>
      </c>
      <c r="I2509">
        <v>0</v>
      </c>
      <c r="J2509" t="s">
        <v>343</v>
      </c>
      <c r="K2509">
        <v>35000</v>
      </c>
      <c r="M2509">
        <v>35000</v>
      </c>
    </row>
    <row r="2510" spans="1:13" x14ac:dyDescent="0.35">
      <c r="A2510" t="str">
        <f t="shared" si="138"/>
        <v>STKCDG4573018460440000</v>
      </c>
      <c r="B2510" t="s">
        <v>3115</v>
      </c>
      <c r="C2510" s="1">
        <v>45730</v>
      </c>
      <c r="D2510" t="str">
        <f>"184"</f>
        <v>184</v>
      </c>
      <c r="E2510" t="str">
        <f>"60440000"</f>
        <v>60440000</v>
      </c>
      <c r="F2510" t="s">
        <v>4335</v>
      </c>
      <c r="G2510" t="s">
        <v>336</v>
      </c>
      <c r="H2510" t="s">
        <v>5880</v>
      </c>
      <c r="I2510">
        <v>0</v>
      </c>
      <c r="J2510" t="s">
        <v>343</v>
      </c>
      <c r="K2510">
        <v>656</v>
      </c>
      <c r="M2510">
        <v>656</v>
      </c>
    </row>
    <row r="2511" spans="1:13" x14ac:dyDescent="0.35">
      <c r="A2511" t="str">
        <f t="shared" si="138"/>
        <v>STKCDG4573018560460000</v>
      </c>
      <c r="B2511" t="s">
        <v>3115</v>
      </c>
      <c r="C2511" s="1">
        <v>45730</v>
      </c>
      <c r="D2511" t="str">
        <f>"185"</f>
        <v>185</v>
      </c>
      <c r="E2511" t="str">
        <f>"60460000"</f>
        <v>60460000</v>
      </c>
      <c r="F2511" t="s">
        <v>4337</v>
      </c>
      <c r="G2511" t="s">
        <v>336</v>
      </c>
      <c r="H2511" t="s">
        <v>5880</v>
      </c>
      <c r="I2511">
        <v>0</v>
      </c>
      <c r="J2511" t="s">
        <v>343</v>
      </c>
      <c r="K2511">
        <v>230</v>
      </c>
      <c r="M2511">
        <v>230</v>
      </c>
    </row>
    <row r="2512" spans="1:13" x14ac:dyDescent="0.35">
      <c r="A2512" t="str">
        <f t="shared" si="138"/>
        <v>STKCDG4573018660430000</v>
      </c>
      <c r="B2512" t="s">
        <v>3115</v>
      </c>
      <c r="C2512" s="1">
        <v>45730</v>
      </c>
      <c r="D2512" t="str">
        <f>"186"</f>
        <v>186</v>
      </c>
      <c r="E2512" t="str">
        <f>"60430000"</f>
        <v>60430000</v>
      </c>
      <c r="F2512" t="s">
        <v>4339</v>
      </c>
      <c r="G2512" t="s">
        <v>336</v>
      </c>
      <c r="H2512" t="s">
        <v>5875</v>
      </c>
      <c r="I2512">
        <v>0</v>
      </c>
      <c r="J2512" t="s">
        <v>343</v>
      </c>
      <c r="K2512">
        <v>115375</v>
      </c>
      <c r="M2512">
        <v>115375</v>
      </c>
    </row>
    <row r="2513" spans="1:13" x14ac:dyDescent="0.35">
      <c r="A2513" t="str">
        <f t="shared" si="138"/>
        <v>STKCDG4573018760460000</v>
      </c>
      <c r="B2513" t="s">
        <v>3115</v>
      </c>
      <c r="C2513" s="1">
        <v>45730</v>
      </c>
      <c r="D2513" t="str">
        <f>"187"</f>
        <v>187</v>
      </c>
      <c r="E2513" t="str">
        <f>"60460000"</f>
        <v>60460000</v>
      </c>
      <c r="F2513" t="s">
        <v>4341</v>
      </c>
      <c r="G2513" t="s">
        <v>336</v>
      </c>
      <c r="H2513" t="s">
        <v>5874</v>
      </c>
      <c r="I2513">
        <v>0</v>
      </c>
      <c r="J2513" t="s">
        <v>343</v>
      </c>
      <c r="K2513">
        <v>350</v>
      </c>
      <c r="M2513">
        <v>350</v>
      </c>
    </row>
    <row r="2514" spans="1:13" x14ac:dyDescent="0.35">
      <c r="A2514" t="str">
        <f t="shared" si="138"/>
        <v>STKCDG4573018860440000</v>
      </c>
      <c r="B2514" t="s">
        <v>3115</v>
      </c>
      <c r="C2514" s="1">
        <v>45730</v>
      </c>
      <c r="D2514" t="str">
        <f>"188"</f>
        <v>188</v>
      </c>
      <c r="E2514" t="str">
        <f>"60440000"</f>
        <v>60440000</v>
      </c>
      <c r="F2514" t="s">
        <v>4343</v>
      </c>
      <c r="G2514" t="s">
        <v>336</v>
      </c>
      <c r="H2514" t="s">
        <v>5875</v>
      </c>
      <c r="I2514">
        <v>0</v>
      </c>
      <c r="J2514" t="s">
        <v>343</v>
      </c>
      <c r="K2514">
        <v>1181</v>
      </c>
      <c r="M2514">
        <v>1181</v>
      </c>
    </row>
    <row r="2515" spans="1:13" x14ac:dyDescent="0.35">
      <c r="A2515" t="str">
        <f t="shared" si="138"/>
        <v>STKCDG4573018960460000</v>
      </c>
      <c r="B2515" t="s">
        <v>3115</v>
      </c>
      <c r="C2515" s="1">
        <v>45730</v>
      </c>
      <c r="D2515" t="str">
        <f>"189"</f>
        <v>189</v>
      </c>
      <c r="E2515" t="str">
        <f>"60460000"</f>
        <v>60460000</v>
      </c>
      <c r="F2515" t="s">
        <v>4345</v>
      </c>
      <c r="G2515" t="s">
        <v>336</v>
      </c>
      <c r="H2515" t="s">
        <v>5880</v>
      </c>
      <c r="I2515">
        <v>0</v>
      </c>
      <c r="J2515" t="s">
        <v>343</v>
      </c>
      <c r="K2515">
        <v>1500</v>
      </c>
      <c r="M2515">
        <v>1500</v>
      </c>
    </row>
    <row r="2516" spans="1:13" x14ac:dyDescent="0.35">
      <c r="A2516" t="str">
        <f t="shared" si="138"/>
        <v>STKCDG4573019060460000</v>
      </c>
      <c r="B2516" t="s">
        <v>3115</v>
      </c>
      <c r="C2516" s="1">
        <v>45730</v>
      </c>
      <c r="D2516" t="str">
        <f>"190"</f>
        <v>190</v>
      </c>
      <c r="E2516" t="str">
        <f>"60460000"</f>
        <v>60460000</v>
      </c>
      <c r="F2516" t="s">
        <v>4347</v>
      </c>
      <c r="G2516" t="s">
        <v>336</v>
      </c>
      <c r="H2516" t="s">
        <v>5874</v>
      </c>
      <c r="I2516">
        <v>0</v>
      </c>
      <c r="J2516" t="s">
        <v>343</v>
      </c>
      <c r="K2516">
        <v>72900</v>
      </c>
      <c r="M2516">
        <v>72900</v>
      </c>
    </row>
    <row r="2517" spans="1:13" x14ac:dyDescent="0.35">
      <c r="A2517" t="str">
        <f t="shared" si="138"/>
        <v>STKCDG4573019160440000</v>
      </c>
      <c r="B2517" t="s">
        <v>3115</v>
      </c>
      <c r="C2517" s="1">
        <v>45730</v>
      </c>
      <c r="D2517" t="str">
        <f>"191"</f>
        <v>191</v>
      </c>
      <c r="E2517" t="str">
        <f>"60440000"</f>
        <v>60440000</v>
      </c>
      <c r="F2517" t="s">
        <v>4349</v>
      </c>
      <c r="G2517" t="s">
        <v>336</v>
      </c>
      <c r="H2517" t="s">
        <v>5875</v>
      </c>
      <c r="I2517">
        <v>0</v>
      </c>
      <c r="J2517" t="s">
        <v>343</v>
      </c>
      <c r="K2517">
        <v>3017</v>
      </c>
      <c r="M2517">
        <v>3017</v>
      </c>
    </row>
    <row r="2518" spans="1:13" x14ac:dyDescent="0.35">
      <c r="A2518" t="str">
        <f t="shared" si="138"/>
        <v>STKCDG4573019260440000</v>
      </c>
      <c r="B2518" t="s">
        <v>3115</v>
      </c>
      <c r="C2518" s="1">
        <v>45730</v>
      </c>
      <c r="D2518" t="str">
        <f>"192"</f>
        <v>192</v>
      </c>
      <c r="E2518" t="str">
        <f>"60440000"</f>
        <v>60440000</v>
      </c>
      <c r="F2518" t="s">
        <v>4351</v>
      </c>
      <c r="G2518" t="s">
        <v>336</v>
      </c>
      <c r="H2518" t="s">
        <v>5875</v>
      </c>
      <c r="I2518">
        <v>0</v>
      </c>
      <c r="J2518" t="s">
        <v>343</v>
      </c>
      <c r="K2518">
        <v>1181</v>
      </c>
      <c r="M2518">
        <v>1181</v>
      </c>
    </row>
    <row r="2519" spans="1:13" x14ac:dyDescent="0.35">
      <c r="A2519" t="str">
        <f t="shared" si="138"/>
        <v>STKCDG4573019360460000</v>
      </c>
      <c r="B2519" t="s">
        <v>3115</v>
      </c>
      <c r="C2519" s="1">
        <v>45730</v>
      </c>
      <c r="D2519" t="str">
        <f>"193"</f>
        <v>193</v>
      </c>
      <c r="E2519" t="str">
        <f>"60460000"</f>
        <v>60460000</v>
      </c>
      <c r="F2519" t="s">
        <v>4353</v>
      </c>
      <c r="G2519" t="s">
        <v>336</v>
      </c>
      <c r="H2519" t="s">
        <v>5949</v>
      </c>
      <c r="I2519">
        <v>0</v>
      </c>
      <c r="J2519" t="s">
        <v>343</v>
      </c>
      <c r="K2519">
        <v>673</v>
      </c>
      <c r="M2519">
        <v>673</v>
      </c>
    </row>
    <row r="2520" spans="1:13" x14ac:dyDescent="0.35">
      <c r="A2520" t="str">
        <f t="shared" si="138"/>
        <v>STKCDG4573019460460000</v>
      </c>
      <c r="B2520" t="s">
        <v>3115</v>
      </c>
      <c r="C2520" s="1">
        <v>45730</v>
      </c>
      <c r="D2520" t="str">
        <f>"194"</f>
        <v>194</v>
      </c>
      <c r="E2520" t="str">
        <f>"60460000"</f>
        <v>60460000</v>
      </c>
      <c r="F2520" t="s">
        <v>4355</v>
      </c>
      <c r="G2520" t="s">
        <v>336</v>
      </c>
      <c r="H2520" t="s">
        <v>5880</v>
      </c>
      <c r="I2520">
        <v>0</v>
      </c>
      <c r="J2520" t="s">
        <v>343</v>
      </c>
      <c r="K2520">
        <v>9168</v>
      </c>
      <c r="M2520">
        <v>66028</v>
      </c>
    </row>
    <row r="2521" spans="1:13" x14ac:dyDescent="0.35">
      <c r="A2521" t="str">
        <f t="shared" si="138"/>
        <v>STKCDG4573019460460000</v>
      </c>
      <c r="B2521" t="s">
        <v>3115</v>
      </c>
      <c r="C2521" s="1">
        <v>45730</v>
      </c>
      <c r="D2521" t="str">
        <f>"194"</f>
        <v>194</v>
      </c>
      <c r="E2521" t="str">
        <f>"60460000"</f>
        <v>60460000</v>
      </c>
      <c r="F2521" t="s">
        <v>4355</v>
      </c>
      <c r="G2521" t="s">
        <v>336</v>
      </c>
      <c r="H2521" t="s">
        <v>5880</v>
      </c>
      <c r="I2521">
        <v>0</v>
      </c>
      <c r="J2521" t="s">
        <v>343</v>
      </c>
      <c r="K2521">
        <v>56860</v>
      </c>
      <c r="M2521">
        <v>66028</v>
      </c>
    </row>
    <row r="2522" spans="1:13" x14ac:dyDescent="0.35">
      <c r="A2522" t="str">
        <f t="shared" si="138"/>
        <v>STKCDG4573019560460000</v>
      </c>
      <c r="B2522" t="s">
        <v>3115</v>
      </c>
      <c r="C2522" s="1">
        <v>45730</v>
      </c>
      <c r="D2522" t="str">
        <f>"195"</f>
        <v>195</v>
      </c>
      <c r="E2522" t="str">
        <f>"60460000"</f>
        <v>60460000</v>
      </c>
      <c r="F2522" t="s">
        <v>4357</v>
      </c>
      <c r="G2522" t="s">
        <v>336</v>
      </c>
      <c r="H2522" t="s">
        <v>5875</v>
      </c>
      <c r="I2522">
        <v>0</v>
      </c>
      <c r="J2522" t="s">
        <v>343</v>
      </c>
      <c r="K2522">
        <v>18336</v>
      </c>
      <c r="M2522">
        <v>25936</v>
      </c>
    </row>
    <row r="2523" spans="1:13" x14ac:dyDescent="0.35">
      <c r="A2523" t="str">
        <f t="shared" si="138"/>
        <v>STKCDG4573019560460000</v>
      </c>
      <c r="B2523" t="s">
        <v>3115</v>
      </c>
      <c r="C2523" s="1">
        <v>45730</v>
      </c>
      <c r="D2523" t="str">
        <f>"195"</f>
        <v>195</v>
      </c>
      <c r="E2523" t="str">
        <f>"60460000"</f>
        <v>60460000</v>
      </c>
      <c r="F2523" t="s">
        <v>4357</v>
      </c>
      <c r="G2523" t="s">
        <v>336</v>
      </c>
      <c r="H2523" t="s">
        <v>5875</v>
      </c>
      <c r="I2523">
        <v>0</v>
      </c>
      <c r="J2523" t="s">
        <v>343</v>
      </c>
      <c r="K2523">
        <v>7600</v>
      </c>
      <c r="M2523">
        <v>25936</v>
      </c>
    </row>
    <row r="2524" spans="1:13" x14ac:dyDescent="0.35">
      <c r="A2524" t="str">
        <f t="shared" si="138"/>
        <v>STKCDG4573019660440000</v>
      </c>
      <c r="B2524" t="s">
        <v>3115</v>
      </c>
      <c r="C2524" s="1">
        <v>45730</v>
      </c>
      <c r="D2524" t="str">
        <f>"196"</f>
        <v>196</v>
      </c>
      <c r="E2524" t="str">
        <f>"60440000"</f>
        <v>60440000</v>
      </c>
      <c r="F2524" t="s">
        <v>4359</v>
      </c>
      <c r="G2524" t="s">
        <v>336</v>
      </c>
      <c r="H2524" t="s">
        <v>5875</v>
      </c>
      <c r="I2524">
        <v>0</v>
      </c>
      <c r="J2524" t="s">
        <v>343</v>
      </c>
      <c r="K2524">
        <v>328</v>
      </c>
      <c r="M2524">
        <v>12792</v>
      </c>
    </row>
    <row r="2525" spans="1:13" x14ac:dyDescent="0.35">
      <c r="A2525" t="str">
        <f t="shared" si="138"/>
        <v>STKCDG4573019660440000</v>
      </c>
      <c r="B2525" t="s">
        <v>3115</v>
      </c>
      <c r="C2525" s="1">
        <v>45730</v>
      </c>
      <c r="D2525" t="str">
        <f>"196"</f>
        <v>196</v>
      </c>
      <c r="E2525" t="str">
        <f>"60440000"</f>
        <v>60440000</v>
      </c>
      <c r="F2525" t="s">
        <v>4359</v>
      </c>
      <c r="G2525" t="s">
        <v>336</v>
      </c>
      <c r="H2525" t="s">
        <v>5875</v>
      </c>
      <c r="I2525">
        <v>0</v>
      </c>
      <c r="J2525" t="s">
        <v>343</v>
      </c>
      <c r="K2525">
        <v>12464</v>
      </c>
      <c r="M2525">
        <v>12792</v>
      </c>
    </row>
    <row r="2526" spans="1:13" x14ac:dyDescent="0.35">
      <c r="A2526" t="str">
        <f t="shared" si="138"/>
        <v>STKCDG4573019760440000</v>
      </c>
      <c r="B2526" t="s">
        <v>3115</v>
      </c>
      <c r="C2526" s="1">
        <v>45730</v>
      </c>
      <c r="D2526" t="str">
        <f>"197"</f>
        <v>197</v>
      </c>
      <c r="E2526" t="str">
        <f>"60440000"</f>
        <v>60440000</v>
      </c>
      <c r="F2526" t="s">
        <v>4361</v>
      </c>
      <c r="G2526" t="s">
        <v>336</v>
      </c>
      <c r="H2526" t="s">
        <v>5966</v>
      </c>
      <c r="I2526">
        <v>0</v>
      </c>
      <c r="J2526" t="s">
        <v>343</v>
      </c>
      <c r="K2526">
        <v>6297</v>
      </c>
      <c r="M2526">
        <v>6297</v>
      </c>
    </row>
    <row r="2527" spans="1:13" x14ac:dyDescent="0.35">
      <c r="A2527" t="str">
        <f t="shared" si="138"/>
        <v>STKCDG4573019860410000</v>
      </c>
      <c r="B2527" t="s">
        <v>3115</v>
      </c>
      <c r="C2527" s="1">
        <v>45730</v>
      </c>
      <c r="D2527" t="str">
        <f>"198"</f>
        <v>198</v>
      </c>
      <c r="E2527" t="str">
        <f>"60410000"</f>
        <v>60410000</v>
      </c>
      <c r="F2527" t="s">
        <v>4363</v>
      </c>
      <c r="G2527" t="s">
        <v>336</v>
      </c>
      <c r="H2527" t="s">
        <v>6010</v>
      </c>
      <c r="I2527">
        <v>0</v>
      </c>
      <c r="J2527" t="s">
        <v>343</v>
      </c>
      <c r="K2527">
        <v>3178</v>
      </c>
      <c r="M2527">
        <v>3178</v>
      </c>
    </row>
    <row r="2528" spans="1:13" x14ac:dyDescent="0.35">
      <c r="A2528" t="str">
        <f t="shared" si="138"/>
        <v>STKCDG4573019960460000</v>
      </c>
      <c r="B2528" t="s">
        <v>3115</v>
      </c>
      <c r="C2528" s="1">
        <v>45730</v>
      </c>
      <c r="D2528" t="str">
        <f>"199"</f>
        <v>199</v>
      </c>
      <c r="E2528" t="str">
        <f>"60460000"</f>
        <v>60460000</v>
      </c>
      <c r="F2528" t="s">
        <v>4365</v>
      </c>
      <c r="G2528" t="s">
        <v>336</v>
      </c>
      <c r="H2528" t="s">
        <v>5874</v>
      </c>
      <c r="I2528">
        <v>0</v>
      </c>
      <c r="J2528" t="s">
        <v>343</v>
      </c>
      <c r="K2528">
        <v>1346</v>
      </c>
      <c r="M2528">
        <v>1346</v>
      </c>
    </row>
    <row r="2529" spans="1:13" x14ac:dyDescent="0.35">
      <c r="A2529" t="str">
        <f t="shared" si="138"/>
        <v>STKCDG4573020060460000</v>
      </c>
      <c r="B2529" t="s">
        <v>3115</v>
      </c>
      <c r="C2529" s="1">
        <v>45730</v>
      </c>
      <c r="D2529" t="str">
        <f>"200"</f>
        <v>200</v>
      </c>
      <c r="E2529" t="str">
        <f>"60460000"</f>
        <v>60460000</v>
      </c>
      <c r="F2529" t="s">
        <v>4367</v>
      </c>
      <c r="G2529" t="s">
        <v>336</v>
      </c>
      <c r="H2529" t="s">
        <v>6010</v>
      </c>
      <c r="I2529">
        <v>0</v>
      </c>
      <c r="J2529" t="s">
        <v>343</v>
      </c>
      <c r="K2529">
        <v>900</v>
      </c>
      <c r="M2529">
        <v>900</v>
      </c>
    </row>
    <row r="2530" spans="1:13" x14ac:dyDescent="0.35">
      <c r="A2530" t="str">
        <f t="shared" si="138"/>
        <v>STKCDG4573020160460000</v>
      </c>
      <c r="B2530" t="s">
        <v>3115</v>
      </c>
      <c r="C2530" s="1">
        <v>45730</v>
      </c>
      <c r="D2530" t="str">
        <f>"201"</f>
        <v>201</v>
      </c>
      <c r="E2530" t="str">
        <f>"60460000"</f>
        <v>60460000</v>
      </c>
      <c r="F2530" t="s">
        <v>4369</v>
      </c>
      <c r="G2530" t="s">
        <v>336</v>
      </c>
      <c r="H2530" t="s">
        <v>5949</v>
      </c>
      <c r="I2530">
        <v>0</v>
      </c>
      <c r="J2530" t="s">
        <v>343</v>
      </c>
      <c r="K2530">
        <v>14966</v>
      </c>
      <c r="M2530">
        <v>14966</v>
      </c>
    </row>
    <row r="2531" spans="1:13" x14ac:dyDescent="0.35">
      <c r="A2531" t="str">
        <f t="shared" si="138"/>
        <v>STKCDG4573020260440000</v>
      </c>
      <c r="B2531" t="s">
        <v>3115</v>
      </c>
      <c r="C2531" s="1">
        <v>45730</v>
      </c>
      <c r="D2531" t="str">
        <f>"202"</f>
        <v>202</v>
      </c>
      <c r="E2531" t="str">
        <f>"60440000"</f>
        <v>60440000</v>
      </c>
      <c r="F2531" t="s">
        <v>4371</v>
      </c>
      <c r="G2531" t="s">
        <v>336</v>
      </c>
      <c r="H2531" t="s">
        <v>5966</v>
      </c>
      <c r="I2531">
        <v>0</v>
      </c>
      <c r="J2531" t="s">
        <v>343</v>
      </c>
      <c r="K2531">
        <v>15021</v>
      </c>
      <c r="M2531">
        <v>15021</v>
      </c>
    </row>
    <row r="2532" spans="1:13" x14ac:dyDescent="0.35">
      <c r="A2532" t="str">
        <f t="shared" si="138"/>
        <v>STKCDG4573020360440000</v>
      </c>
      <c r="B2532" t="s">
        <v>3115</v>
      </c>
      <c r="C2532" s="1">
        <v>45730</v>
      </c>
      <c r="D2532" t="str">
        <f>"203"</f>
        <v>203</v>
      </c>
      <c r="E2532" t="str">
        <f>"60440000"</f>
        <v>60440000</v>
      </c>
      <c r="F2532" t="s">
        <v>4373</v>
      </c>
      <c r="G2532" t="s">
        <v>336</v>
      </c>
      <c r="H2532" t="s">
        <v>5966</v>
      </c>
      <c r="I2532">
        <v>0</v>
      </c>
      <c r="J2532" t="s">
        <v>343</v>
      </c>
      <c r="K2532">
        <v>9971</v>
      </c>
      <c r="M2532">
        <v>9971</v>
      </c>
    </row>
    <row r="2533" spans="1:13" x14ac:dyDescent="0.35">
      <c r="A2533" t="str">
        <f t="shared" si="138"/>
        <v>STKCDG4573020460460000</v>
      </c>
      <c r="B2533" t="s">
        <v>3115</v>
      </c>
      <c r="C2533" s="1">
        <v>45730</v>
      </c>
      <c r="D2533" t="str">
        <f>"204"</f>
        <v>204</v>
      </c>
      <c r="E2533" t="str">
        <f>"60460000"</f>
        <v>60460000</v>
      </c>
      <c r="F2533" t="s">
        <v>4375</v>
      </c>
      <c r="G2533" t="s">
        <v>336</v>
      </c>
      <c r="H2533" t="s">
        <v>5949</v>
      </c>
      <c r="I2533">
        <v>0</v>
      </c>
      <c r="J2533" t="s">
        <v>343</v>
      </c>
      <c r="K2533">
        <v>43650</v>
      </c>
      <c r="M2533">
        <v>43650</v>
      </c>
    </row>
    <row r="2534" spans="1:13" x14ac:dyDescent="0.35">
      <c r="A2534" t="str">
        <f t="shared" si="138"/>
        <v>STKCDG4573020560460000</v>
      </c>
      <c r="B2534" t="s">
        <v>3115</v>
      </c>
      <c r="C2534" s="1">
        <v>45730</v>
      </c>
      <c r="D2534" t="str">
        <f>"205"</f>
        <v>205</v>
      </c>
      <c r="E2534" t="str">
        <f>"60460000"</f>
        <v>60460000</v>
      </c>
      <c r="F2534" t="s">
        <v>4377</v>
      </c>
      <c r="G2534" t="s">
        <v>336</v>
      </c>
      <c r="H2534" t="s">
        <v>5966</v>
      </c>
      <c r="I2534">
        <v>0</v>
      </c>
      <c r="J2534" t="s">
        <v>343</v>
      </c>
      <c r="K2534">
        <v>700</v>
      </c>
      <c r="M2534">
        <v>700</v>
      </c>
    </row>
    <row r="2535" spans="1:13" x14ac:dyDescent="0.35">
      <c r="A2535" t="str">
        <f t="shared" si="138"/>
        <v>STKCDG4573020660430000</v>
      </c>
      <c r="B2535" t="s">
        <v>3115</v>
      </c>
      <c r="C2535" s="1">
        <v>45730</v>
      </c>
      <c r="D2535" t="str">
        <f>"206"</f>
        <v>206</v>
      </c>
      <c r="E2535" t="str">
        <f>"60430000"</f>
        <v>60430000</v>
      </c>
      <c r="F2535" t="s">
        <v>4379</v>
      </c>
      <c r="G2535" t="s">
        <v>336</v>
      </c>
      <c r="H2535" t="s">
        <v>5966</v>
      </c>
      <c r="I2535">
        <v>0</v>
      </c>
      <c r="J2535" t="s">
        <v>343</v>
      </c>
      <c r="K2535">
        <v>6075</v>
      </c>
      <c r="M2535">
        <v>6075</v>
      </c>
    </row>
    <row r="2536" spans="1:13" x14ac:dyDescent="0.35">
      <c r="A2536" t="str">
        <f t="shared" si="138"/>
        <v>STKCDG4573020760430000</v>
      </c>
      <c r="B2536" t="s">
        <v>3115</v>
      </c>
      <c r="C2536" s="1">
        <v>45730</v>
      </c>
      <c r="D2536" t="str">
        <f>"207"</f>
        <v>207</v>
      </c>
      <c r="E2536" t="str">
        <f>"60430000"</f>
        <v>60430000</v>
      </c>
      <c r="F2536" t="s">
        <v>4381</v>
      </c>
      <c r="G2536" t="s">
        <v>336</v>
      </c>
      <c r="H2536" t="s">
        <v>5946</v>
      </c>
      <c r="I2536">
        <v>0</v>
      </c>
      <c r="J2536" t="s">
        <v>343</v>
      </c>
      <c r="K2536">
        <v>66406</v>
      </c>
      <c r="M2536">
        <v>66406</v>
      </c>
    </row>
    <row r="2537" spans="1:13" x14ac:dyDescent="0.35">
      <c r="A2537" t="str">
        <f t="shared" si="138"/>
        <v>STKCDG45730114160460000</v>
      </c>
      <c r="B2537" t="s">
        <v>3115</v>
      </c>
      <c r="C2537" s="1">
        <v>45730</v>
      </c>
      <c r="D2537" t="str">
        <f>"1141"</f>
        <v>1141</v>
      </c>
      <c r="E2537" t="str">
        <f>"60460000"</f>
        <v>60460000</v>
      </c>
      <c r="F2537" t="s">
        <v>4383</v>
      </c>
      <c r="G2537" t="s">
        <v>336</v>
      </c>
      <c r="H2537" t="s">
        <v>5875</v>
      </c>
      <c r="I2537">
        <v>0</v>
      </c>
      <c r="J2537" t="s">
        <v>343</v>
      </c>
      <c r="K2537">
        <v>3000</v>
      </c>
      <c r="M2537">
        <v>4062</v>
      </c>
    </row>
    <row r="2538" spans="1:13" x14ac:dyDescent="0.35">
      <c r="A2538" t="str">
        <f t="shared" si="138"/>
        <v>STKCDG45730114160460000</v>
      </c>
      <c r="B2538" t="s">
        <v>3115</v>
      </c>
      <c r="C2538" s="1">
        <v>45730</v>
      </c>
      <c r="D2538" t="str">
        <f>"1141"</f>
        <v>1141</v>
      </c>
      <c r="E2538" t="str">
        <f>"60460000"</f>
        <v>60460000</v>
      </c>
      <c r="F2538" t="s">
        <v>4383</v>
      </c>
      <c r="G2538" t="s">
        <v>336</v>
      </c>
      <c r="H2538" t="s">
        <v>5875</v>
      </c>
      <c r="I2538">
        <v>0</v>
      </c>
      <c r="J2538" t="s">
        <v>343</v>
      </c>
      <c r="K2538">
        <v>1062</v>
      </c>
      <c r="M2538">
        <v>4062</v>
      </c>
    </row>
    <row r="2539" spans="1:13" x14ac:dyDescent="0.35">
      <c r="A2539" t="str">
        <f t="shared" si="138"/>
        <v>STKCDG45730114260460000</v>
      </c>
      <c r="B2539" t="s">
        <v>3115</v>
      </c>
      <c r="C2539" s="1">
        <v>45730</v>
      </c>
      <c r="D2539" t="str">
        <f>"1142"</f>
        <v>1142</v>
      </c>
      <c r="E2539" t="str">
        <f>"60460000"</f>
        <v>60460000</v>
      </c>
      <c r="F2539" t="s">
        <v>4385</v>
      </c>
      <c r="G2539" t="s">
        <v>336</v>
      </c>
      <c r="H2539" t="s">
        <v>5949</v>
      </c>
      <c r="I2539">
        <v>0</v>
      </c>
      <c r="J2539" t="s">
        <v>343</v>
      </c>
      <c r="K2539">
        <v>34500</v>
      </c>
      <c r="M2539">
        <v>34500</v>
      </c>
    </row>
    <row r="2540" spans="1:13" x14ac:dyDescent="0.35">
      <c r="A2540" t="str">
        <f t="shared" si="138"/>
        <v>STKCDG45730114360460000</v>
      </c>
      <c r="B2540" t="s">
        <v>3115</v>
      </c>
      <c r="C2540" s="1">
        <v>45730</v>
      </c>
      <c r="D2540" t="str">
        <f>"1143"</f>
        <v>1143</v>
      </c>
      <c r="E2540" t="str">
        <f>"60460000"</f>
        <v>60460000</v>
      </c>
      <c r="F2540" t="s">
        <v>4387</v>
      </c>
      <c r="G2540" t="s">
        <v>336</v>
      </c>
      <c r="H2540" t="s">
        <v>5875</v>
      </c>
      <c r="I2540">
        <v>0</v>
      </c>
      <c r="J2540" t="s">
        <v>343</v>
      </c>
      <c r="K2540">
        <v>294</v>
      </c>
      <c r="M2540">
        <v>294</v>
      </c>
    </row>
    <row r="2541" spans="1:13" x14ac:dyDescent="0.35">
      <c r="A2541" t="str">
        <f t="shared" si="138"/>
        <v>STKCDG45730114460460000</v>
      </c>
      <c r="B2541" t="s">
        <v>3115</v>
      </c>
      <c r="C2541" s="1">
        <v>45730</v>
      </c>
      <c r="D2541" t="str">
        <f>"1144"</f>
        <v>1144</v>
      </c>
      <c r="E2541" t="str">
        <f>"60460000"</f>
        <v>60460000</v>
      </c>
      <c r="F2541" t="s">
        <v>4389</v>
      </c>
      <c r="G2541" t="s">
        <v>336</v>
      </c>
      <c r="H2541" t="s">
        <v>5875</v>
      </c>
      <c r="I2541">
        <v>0</v>
      </c>
      <c r="J2541" t="s">
        <v>343</v>
      </c>
      <c r="K2541">
        <v>8967</v>
      </c>
      <c r="M2541">
        <v>8967</v>
      </c>
    </row>
    <row r="2542" spans="1:13" x14ac:dyDescent="0.35">
      <c r="A2542" t="str">
        <f t="shared" si="138"/>
        <v>STKCDG45730114560410000</v>
      </c>
      <c r="B2542" t="s">
        <v>3115</v>
      </c>
      <c r="C2542" s="1">
        <v>45730</v>
      </c>
      <c r="D2542" t="str">
        <f>"1145"</f>
        <v>1145</v>
      </c>
      <c r="E2542" t="str">
        <f>"60410000"</f>
        <v>60410000</v>
      </c>
      <c r="F2542" t="s">
        <v>4391</v>
      </c>
      <c r="G2542" t="s">
        <v>336</v>
      </c>
      <c r="H2542" t="s">
        <v>5880</v>
      </c>
      <c r="I2542">
        <v>0</v>
      </c>
      <c r="J2542" t="s">
        <v>343</v>
      </c>
      <c r="K2542">
        <v>3298</v>
      </c>
      <c r="M2542">
        <v>3298</v>
      </c>
    </row>
    <row r="2543" spans="1:13" x14ac:dyDescent="0.35">
      <c r="A2543" t="str">
        <f t="shared" si="138"/>
        <v>STKCDG45730114660410000</v>
      </c>
      <c r="B2543" t="s">
        <v>3115</v>
      </c>
      <c r="C2543" s="1">
        <v>45730</v>
      </c>
      <c r="D2543" t="str">
        <f>"1146"</f>
        <v>1146</v>
      </c>
      <c r="E2543" t="str">
        <f>"60410000"</f>
        <v>60410000</v>
      </c>
      <c r="F2543" t="s">
        <v>4393</v>
      </c>
      <c r="G2543" t="s">
        <v>336</v>
      </c>
      <c r="H2543" t="s">
        <v>6013</v>
      </c>
      <c r="I2543">
        <v>0</v>
      </c>
      <c r="J2543" t="s">
        <v>343</v>
      </c>
      <c r="K2543">
        <v>6356</v>
      </c>
      <c r="M2543">
        <v>6356</v>
      </c>
    </row>
    <row r="2544" spans="1:13" x14ac:dyDescent="0.35">
      <c r="A2544" t="str">
        <f t="shared" si="138"/>
        <v>STKCDG45730114760410000</v>
      </c>
      <c r="B2544" t="s">
        <v>3115</v>
      </c>
      <c r="C2544" s="1">
        <v>45730</v>
      </c>
      <c r="D2544" t="str">
        <f>"1147"</f>
        <v>1147</v>
      </c>
      <c r="E2544" t="str">
        <f>"60410000"</f>
        <v>60410000</v>
      </c>
      <c r="F2544" t="s">
        <v>4395</v>
      </c>
      <c r="G2544" t="s">
        <v>336</v>
      </c>
      <c r="H2544" t="s">
        <v>5966</v>
      </c>
      <c r="I2544">
        <v>0</v>
      </c>
      <c r="J2544" t="s">
        <v>343</v>
      </c>
      <c r="K2544">
        <v>5242</v>
      </c>
      <c r="M2544">
        <v>5242</v>
      </c>
    </row>
    <row r="2545" spans="1:13" x14ac:dyDescent="0.35">
      <c r="A2545" t="str">
        <f t="shared" si="138"/>
        <v>STKCDG45730114860410000</v>
      </c>
      <c r="B2545" t="s">
        <v>3115</v>
      </c>
      <c r="C2545" s="1">
        <v>45730</v>
      </c>
      <c r="D2545" t="str">
        <f>"1148"</f>
        <v>1148</v>
      </c>
      <c r="E2545" t="str">
        <f>"60410000"</f>
        <v>60410000</v>
      </c>
      <c r="F2545" t="s">
        <v>4397</v>
      </c>
      <c r="G2545" t="s">
        <v>336</v>
      </c>
      <c r="H2545" t="s">
        <v>5966</v>
      </c>
      <c r="I2545">
        <v>0</v>
      </c>
      <c r="J2545" t="s">
        <v>343</v>
      </c>
      <c r="K2545">
        <v>10018</v>
      </c>
      <c r="M2545">
        <v>10018</v>
      </c>
    </row>
    <row r="2546" spans="1:13" x14ac:dyDescent="0.35">
      <c r="A2546" t="str">
        <f t="shared" si="138"/>
        <v>STKCDG45730114960440000</v>
      </c>
      <c r="B2546" t="s">
        <v>3115</v>
      </c>
      <c r="C2546" s="1">
        <v>45730</v>
      </c>
      <c r="D2546" t="str">
        <f>"1149"</f>
        <v>1149</v>
      </c>
      <c r="E2546" t="str">
        <f t="shared" ref="E2546:E2557" si="139">"60440000"</f>
        <v>60440000</v>
      </c>
      <c r="F2546" t="s">
        <v>4399</v>
      </c>
      <c r="G2546" t="s">
        <v>336</v>
      </c>
      <c r="H2546" t="s">
        <v>5880</v>
      </c>
      <c r="I2546">
        <v>0</v>
      </c>
      <c r="J2546" t="s">
        <v>343</v>
      </c>
      <c r="K2546">
        <v>39882</v>
      </c>
      <c r="M2546">
        <v>39882</v>
      </c>
    </row>
    <row r="2547" spans="1:13" x14ac:dyDescent="0.35">
      <c r="A2547" t="str">
        <f t="shared" si="138"/>
        <v>STKCDG45730115060440000</v>
      </c>
      <c r="B2547" t="s">
        <v>3115</v>
      </c>
      <c r="C2547" s="1">
        <v>45730</v>
      </c>
      <c r="D2547" t="str">
        <f>"1150"</f>
        <v>1150</v>
      </c>
      <c r="E2547" t="str">
        <f t="shared" si="139"/>
        <v>60440000</v>
      </c>
      <c r="F2547" t="s">
        <v>4401</v>
      </c>
      <c r="G2547" t="s">
        <v>336</v>
      </c>
      <c r="H2547" t="s">
        <v>5874</v>
      </c>
      <c r="I2547">
        <v>0</v>
      </c>
      <c r="J2547" t="s">
        <v>343</v>
      </c>
      <c r="K2547">
        <v>4198</v>
      </c>
      <c r="M2547">
        <v>4198</v>
      </c>
    </row>
    <row r="2548" spans="1:13" x14ac:dyDescent="0.35">
      <c r="A2548" t="str">
        <f t="shared" si="138"/>
        <v>STKCDG45730115160440000</v>
      </c>
      <c r="B2548" t="s">
        <v>3115</v>
      </c>
      <c r="C2548" s="1">
        <v>45730</v>
      </c>
      <c r="D2548" t="str">
        <f>"1151"</f>
        <v>1151</v>
      </c>
      <c r="E2548" t="str">
        <f t="shared" si="139"/>
        <v>60440000</v>
      </c>
      <c r="F2548" t="s">
        <v>4403</v>
      </c>
      <c r="G2548" t="s">
        <v>336</v>
      </c>
      <c r="H2548" t="s">
        <v>5874</v>
      </c>
      <c r="I2548">
        <v>0</v>
      </c>
      <c r="J2548" t="s">
        <v>343</v>
      </c>
      <c r="K2548">
        <v>1968</v>
      </c>
      <c r="M2548">
        <v>1968</v>
      </c>
    </row>
    <row r="2549" spans="1:13" x14ac:dyDescent="0.35">
      <c r="A2549" t="str">
        <f t="shared" si="138"/>
        <v>STKCDG45730115260440000</v>
      </c>
      <c r="B2549" t="s">
        <v>3115</v>
      </c>
      <c r="C2549" s="1">
        <v>45730</v>
      </c>
      <c r="D2549" t="str">
        <f>"1152"</f>
        <v>1152</v>
      </c>
      <c r="E2549" t="str">
        <f t="shared" si="139"/>
        <v>60440000</v>
      </c>
      <c r="F2549" t="s">
        <v>4405</v>
      </c>
      <c r="G2549" t="s">
        <v>336</v>
      </c>
      <c r="H2549" t="s">
        <v>5958</v>
      </c>
      <c r="I2549">
        <v>0</v>
      </c>
      <c r="J2549" t="s">
        <v>343</v>
      </c>
      <c r="K2549">
        <v>6888</v>
      </c>
      <c r="M2549">
        <v>201905</v>
      </c>
    </row>
    <row r="2550" spans="1:13" x14ac:dyDescent="0.35">
      <c r="A2550" t="str">
        <f t="shared" si="138"/>
        <v>STKCDG45730115260440000</v>
      </c>
      <c r="B2550" t="s">
        <v>3115</v>
      </c>
      <c r="C2550" s="1">
        <v>45730</v>
      </c>
      <c r="D2550" t="str">
        <f>"1152"</f>
        <v>1152</v>
      </c>
      <c r="E2550" t="str">
        <f t="shared" si="139"/>
        <v>60440000</v>
      </c>
      <c r="F2550" t="s">
        <v>4405</v>
      </c>
      <c r="G2550" t="s">
        <v>336</v>
      </c>
      <c r="H2550" t="s">
        <v>5958</v>
      </c>
      <c r="I2550">
        <v>0</v>
      </c>
      <c r="J2550" t="s">
        <v>343</v>
      </c>
      <c r="K2550">
        <v>195017</v>
      </c>
      <c r="M2550">
        <v>201905</v>
      </c>
    </row>
    <row r="2551" spans="1:13" x14ac:dyDescent="0.35">
      <c r="A2551" t="str">
        <f t="shared" si="138"/>
        <v>STKCDG4573175660440000</v>
      </c>
      <c r="B2551" t="s">
        <v>3115</v>
      </c>
      <c r="C2551" s="1">
        <v>45731</v>
      </c>
      <c r="D2551" t="str">
        <f>"756"</f>
        <v>756</v>
      </c>
      <c r="E2551" t="str">
        <f t="shared" si="139"/>
        <v>60440000</v>
      </c>
      <c r="F2551" t="s">
        <v>4407</v>
      </c>
      <c r="G2551" t="s">
        <v>336</v>
      </c>
      <c r="H2551" t="s">
        <v>5966</v>
      </c>
      <c r="I2551">
        <v>0</v>
      </c>
      <c r="J2551" t="s">
        <v>343</v>
      </c>
      <c r="K2551">
        <v>4067</v>
      </c>
      <c r="M2551">
        <v>4067</v>
      </c>
    </row>
    <row r="2552" spans="1:13" x14ac:dyDescent="0.35">
      <c r="A2552" t="str">
        <f t="shared" si="138"/>
        <v>STKCDG4573175760440000</v>
      </c>
      <c r="B2552" t="s">
        <v>3115</v>
      </c>
      <c r="C2552" s="1">
        <v>45731</v>
      </c>
      <c r="D2552" t="str">
        <f>"757"</f>
        <v>757</v>
      </c>
      <c r="E2552" t="str">
        <f t="shared" si="139"/>
        <v>60440000</v>
      </c>
      <c r="F2552" t="s">
        <v>4409</v>
      </c>
      <c r="G2552" t="s">
        <v>336</v>
      </c>
      <c r="H2552" t="s">
        <v>5966</v>
      </c>
      <c r="I2552">
        <v>0</v>
      </c>
      <c r="J2552" t="s">
        <v>343</v>
      </c>
      <c r="K2552">
        <v>984</v>
      </c>
      <c r="M2552">
        <v>984</v>
      </c>
    </row>
    <row r="2553" spans="1:13" x14ac:dyDescent="0.35">
      <c r="A2553" t="str">
        <f t="shared" si="138"/>
        <v>STKCDG4573175860440000</v>
      </c>
      <c r="B2553" t="s">
        <v>3115</v>
      </c>
      <c r="C2553" s="1">
        <v>45731</v>
      </c>
      <c r="D2553" t="str">
        <f>"758"</f>
        <v>758</v>
      </c>
      <c r="E2553" t="str">
        <f t="shared" si="139"/>
        <v>60440000</v>
      </c>
      <c r="F2553" t="s">
        <v>4411</v>
      </c>
      <c r="G2553" t="s">
        <v>336</v>
      </c>
      <c r="H2553" t="s">
        <v>5966</v>
      </c>
      <c r="I2553">
        <v>0</v>
      </c>
      <c r="J2553" t="s">
        <v>343</v>
      </c>
      <c r="K2553">
        <v>656</v>
      </c>
      <c r="M2553">
        <v>656</v>
      </c>
    </row>
    <row r="2554" spans="1:13" x14ac:dyDescent="0.35">
      <c r="A2554" t="str">
        <f t="shared" si="138"/>
        <v>STKCDG4573175960440000</v>
      </c>
      <c r="B2554" t="s">
        <v>3115</v>
      </c>
      <c r="C2554" s="1">
        <v>45731</v>
      </c>
      <c r="D2554" t="str">
        <f>"759"</f>
        <v>759</v>
      </c>
      <c r="E2554" t="str">
        <f t="shared" si="139"/>
        <v>60440000</v>
      </c>
      <c r="F2554" t="s">
        <v>4413</v>
      </c>
      <c r="G2554" t="s">
        <v>336</v>
      </c>
      <c r="H2554" t="s">
        <v>5966</v>
      </c>
      <c r="I2554">
        <v>0</v>
      </c>
      <c r="J2554" t="s">
        <v>343</v>
      </c>
      <c r="K2554">
        <v>22172</v>
      </c>
      <c r="M2554">
        <v>22172</v>
      </c>
    </row>
    <row r="2555" spans="1:13" x14ac:dyDescent="0.35">
      <c r="A2555" t="str">
        <f t="shared" si="138"/>
        <v>STKCDG4573176060440000</v>
      </c>
      <c r="B2555" t="s">
        <v>3115</v>
      </c>
      <c r="C2555" s="1">
        <v>45731</v>
      </c>
      <c r="D2555" t="str">
        <f>"760"</f>
        <v>760</v>
      </c>
      <c r="E2555" t="str">
        <f t="shared" si="139"/>
        <v>60440000</v>
      </c>
      <c r="F2555" t="s">
        <v>4415</v>
      </c>
      <c r="G2555" t="s">
        <v>336</v>
      </c>
      <c r="H2555" t="s">
        <v>5966</v>
      </c>
      <c r="I2555">
        <v>0</v>
      </c>
      <c r="J2555" t="s">
        <v>343</v>
      </c>
      <c r="K2555">
        <v>656</v>
      </c>
      <c r="M2555">
        <v>656</v>
      </c>
    </row>
    <row r="2556" spans="1:13" x14ac:dyDescent="0.35">
      <c r="A2556" t="str">
        <f t="shared" si="138"/>
        <v>STKCDG4573176160440000</v>
      </c>
      <c r="B2556" t="s">
        <v>3115</v>
      </c>
      <c r="C2556" s="1">
        <v>45731</v>
      </c>
      <c r="D2556" t="str">
        <f>"761"</f>
        <v>761</v>
      </c>
      <c r="E2556" t="str">
        <f t="shared" si="139"/>
        <v>60440000</v>
      </c>
      <c r="F2556" t="s">
        <v>4417</v>
      </c>
      <c r="G2556" t="s">
        <v>336</v>
      </c>
      <c r="H2556" t="s">
        <v>5966</v>
      </c>
      <c r="I2556">
        <v>0</v>
      </c>
      <c r="J2556" t="s">
        <v>343</v>
      </c>
      <c r="K2556">
        <v>3017</v>
      </c>
      <c r="M2556">
        <v>3017</v>
      </c>
    </row>
    <row r="2557" spans="1:13" x14ac:dyDescent="0.35">
      <c r="A2557" t="str">
        <f t="shared" si="138"/>
        <v>STKCDG4573176260440000</v>
      </c>
      <c r="B2557" t="s">
        <v>3115</v>
      </c>
      <c r="C2557" s="1">
        <v>45731</v>
      </c>
      <c r="D2557" t="str">
        <f>"762"</f>
        <v>762</v>
      </c>
      <c r="E2557" t="str">
        <f t="shared" si="139"/>
        <v>60440000</v>
      </c>
      <c r="F2557" t="s">
        <v>4419</v>
      </c>
      <c r="G2557" t="s">
        <v>336</v>
      </c>
      <c r="H2557" t="s">
        <v>5966</v>
      </c>
      <c r="I2557">
        <v>0</v>
      </c>
      <c r="J2557" t="s">
        <v>343</v>
      </c>
      <c r="K2557">
        <v>3149</v>
      </c>
      <c r="M2557">
        <v>3149</v>
      </c>
    </row>
    <row r="2558" spans="1:13" x14ac:dyDescent="0.35">
      <c r="A2558" t="str">
        <f t="shared" si="138"/>
        <v>STKCDG4573176360460000</v>
      </c>
      <c r="B2558" t="s">
        <v>3115</v>
      </c>
      <c r="C2558" s="1">
        <v>45731</v>
      </c>
      <c r="D2558" t="str">
        <f>"763"</f>
        <v>763</v>
      </c>
      <c r="E2558" t="str">
        <f>"60460000"</f>
        <v>60460000</v>
      </c>
      <c r="F2558" t="s">
        <v>4421</v>
      </c>
      <c r="G2558" t="s">
        <v>336</v>
      </c>
      <c r="H2558" t="s">
        <v>5880</v>
      </c>
      <c r="I2558">
        <v>0</v>
      </c>
      <c r="J2558" t="s">
        <v>343</v>
      </c>
      <c r="K2558">
        <v>6900</v>
      </c>
      <c r="M2558">
        <v>6900</v>
      </c>
    </row>
    <row r="2559" spans="1:13" x14ac:dyDescent="0.35">
      <c r="A2559" t="str">
        <f t="shared" si="138"/>
        <v>STKCDG4573176460460000</v>
      </c>
      <c r="B2559" t="s">
        <v>3115</v>
      </c>
      <c r="C2559" s="1">
        <v>45731</v>
      </c>
      <c r="D2559" t="str">
        <f>"764"</f>
        <v>764</v>
      </c>
      <c r="E2559" t="str">
        <f>"60460000"</f>
        <v>60460000</v>
      </c>
      <c r="F2559" t="s">
        <v>4423</v>
      </c>
      <c r="G2559" t="s">
        <v>336</v>
      </c>
      <c r="H2559" t="s">
        <v>5966</v>
      </c>
      <c r="I2559">
        <v>0</v>
      </c>
      <c r="J2559" t="s">
        <v>343</v>
      </c>
      <c r="K2559">
        <v>107</v>
      </c>
      <c r="M2559">
        <v>107</v>
      </c>
    </row>
    <row r="2560" spans="1:13" x14ac:dyDescent="0.35">
      <c r="A2560" t="str">
        <f t="shared" si="138"/>
        <v>STKCDG4573176560440000</v>
      </c>
      <c r="B2560" t="s">
        <v>3115</v>
      </c>
      <c r="C2560" s="1">
        <v>45731</v>
      </c>
      <c r="D2560" t="str">
        <f>"765"</f>
        <v>765</v>
      </c>
      <c r="E2560" t="str">
        <f>"60440000"</f>
        <v>60440000</v>
      </c>
      <c r="F2560" t="s">
        <v>4425</v>
      </c>
      <c r="G2560" t="s">
        <v>336</v>
      </c>
      <c r="H2560" t="s">
        <v>5966</v>
      </c>
      <c r="I2560">
        <v>0</v>
      </c>
      <c r="J2560" t="s">
        <v>343</v>
      </c>
      <c r="K2560">
        <v>2886</v>
      </c>
      <c r="M2560">
        <v>2886</v>
      </c>
    </row>
    <row r="2561" spans="1:13" x14ac:dyDescent="0.35">
      <c r="A2561" t="str">
        <f t="shared" si="138"/>
        <v>STKCDG4573176660430000</v>
      </c>
      <c r="B2561" t="s">
        <v>3115</v>
      </c>
      <c r="C2561" s="1">
        <v>45731</v>
      </c>
      <c r="D2561" t="str">
        <f>"766"</f>
        <v>766</v>
      </c>
      <c r="E2561" t="str">
        <f>"60430000"</f>
        <v>60430000</v>
      </c>
      <c r="F2561" t="s">
        <v>4427</v>
      </c>
      <c r="G2561" t="s">
        <v>336</v>
      </c>
      <c r="H2561" t="s">
        <v>5874</v>
      </c>
      <c r="I2561">
        <v>0</v>
      </c>
      <c r="J2561" t="s">
        <v>343</v>
      </c>
      <c r="K2561">
        <v>96320</v>
      </c>
      <c r="M2561">
        <v>96320</v>
      </c>
    </row>
    <row r="2562" spans="1:13" x14ac:dyDescent="0.35">
      <c r="A2562" t="str">
        <f t="shared" si="138"/>
        <v>STKCDG4573176760410000</v>
      </c>
      <c r="B2562" t="s">
        <v>3115</v>
      </c>
      <c r="C2562" s="1">
        <v>45731</v>
      </c>
      <c r="D2562" t="str">
        <f>"767"</f>
        <v>767</v>
      </c>
      <c r="E2562" t="str">
        <f>"60410000"</f>
        <v>60410000</v>
      </c>
      <c r="F2562" t="s">
        <v>4429</v>
      </c>
      <c r="G2562" t="s">
        <v>336</v>
      </c>
      <c r="H2562" t="s">
        <v>6010</v>
      </c>
      <c r="I2562">
        <v>0</v>
      </c>
      <c r="J2562" t="s">
        <v>343</v>
      </c>
      <c r="K2562">
        <v>1649</v>
      </c>
      <c r="M2562">
        <v>1649</v>
      </c>
    </row>
    <row r="2563" spans="1:13" x14ac:dyDescent="0.35">
      <c r="A2563" t="str">
        <f t="shared" ref="A2563:A2626" si="140">CONCATENATE(B2563,C2563,D2563,E2563)</f>
        <v>STKCDG4573176860460000</v>
      </c>
      <c r="B2563" t="s">
        <v>3115</v>
      </c>
      <c r="C2563" s="1">
        <v>45731</v>
      </c>
      <c r="D2563" t="str">
        <f>"768"</f>
        <v>768</v>
      </c>
      <c r="E2563" t="str">
        <f>"60460000"</f>
        <v>60460000</v>
      </c>
      <c r="F2563" t="s">
        <v>4431</v>
      </c>
      <c r="G2563" t="s">
        <v>336</v>
      </c>
      <c r="H2563" t="s">
        <v>6010</v>
      </c>
      <c r="I2563">
        <v>0</v>
      </c>
      <c r="J2563" t="s">
        <v>343</v>
      </c>
      <c r="K2563">
        <v>147</v>
      </c>
      <c r="M2563">
        <v>147</v>
      </c>
    </row>
    <row r="2564" spans="1:13" x14ac:dyDescent="0.35">
      <c r="A2564" t="str">
        <f t="shared" si="140"/>
        <v>STKCDG4573275060440000</v>
      </c>
      <c r="B2564" t="s">
        <v>3115</v>
      </c>
      <c r="C2564" s="1">
        <v>45732</v>
      </c>
      <c r="D2564" t="str">
        <f>"750"</f>
        <v>750</v>
      </c>
      <c r="E2564" t="str">
        <f>"60440000"</f>
        <v>60440000</v>
      </c>
      <c r="F2564" t="s">
        <v>4433</v>
      </c>
      <c r="G2564" t="s">
        <v>336</v>
      </c>
      <c r="H2564" t="s">
        <v>5966</v>
      </c>
      <c r="I2564">
        <v>0</v>
      </c>
      <c r="J2564" t="s">
        <v>343</v>
      </c>
      <c r="K2564">
        <v>24336</v>
      </c>
      <c r="M2564">
        <v>24336</v>
      </c>
    </row>
    <row r="2565" spans="1:13" x14ac:dyDescent="0.35">
      <c r="A2565" t="str">
        <f t="shared" si="140"/>
        <v>STKCDG4573275160440000</v>
      </c>
      <c r="B2565" t="s">
        <v>3115</v>
      </c>
      <c r="C2565" s="1">
        <v>45732</v>
      </c>
      <c r="D2565" t="str">
        <f>"751"</f>
        <v>751</v>
      </c>
      <c r="E2565" t="str">
        <f>"60440000"</f>
        <v>60440000</v>
      </c>
      <c r="F2565" t="s">
        <v>4435</v>
      </c>
      <c r="G2565" t="s">
        <v>336</v>
      </c>
      <c r="H2565" t="s">
        <v>5966</v>
      </c>
      <c r="I2565">
        <v>0</v>
      </c>
      <c r="J2565" t="s">
        <v>343</v>
      </c>
      <c r="K2565">
        <v>262</v>
      </c>
      <c r="M2565">
        <v>262</v>
      </c>
    </row>
    <row r="2566" spans="1:13" x14ac:dyDescent="0.35">
      <c r="A2566" t="str">
        <f t="shared" si="140"/>
        <v>STKCDG4573275260460000</v>
      </c>
      <c r="B2566" t="s">
        <v>3115</v>
      </c>
      <c r="C2566" s="1">
        <v>45732</v>
      </c>
      <c r="D2566" t="str">
        <f>"752"</f>
        <v>752</v>
      </c>
      <c r="E2566" t="str">
        <f>"60460000"</f>
        <v>60460000</v>
      </c>
      <c r="F2566" t="s">
        <v>4437</v>
      </c>
      <c r="G2566" t="s">
        <v>336</v>
      </c>
      <c r="H2566" t="s">
        <v>5966</v>
      </c>
      <c r="I2566">
        <v>0</v>
      </c>
      <c r="J2566" t="s">
        <v>343</v>
      </c>
      <c r="K2566">
        <v>700</v>
      </c>
      <c r="M2566">
        <v>700</v>
      </c>
    </row>
    <row r="2567" spans="1:13" x14ac:dyDescent="0.35">
      <c r="A2567" t="str">
        <f t="shared" si="140"/>
        <v>STKCDG4573275360460000</v>
      </c>
      <c r="B2567" t="s">
        <v>3115</v>
      </c>
      <c r="C2567" s="1">
        <v>45732</v>
      </c>
      <c r="D2567" t="str">
        <f>"753"</f>
        <v>753</v>
      </c>
      <c r="E2567" t="str">
        <f>"60460000"</f>
        <v>60460000</v>
      </c>
      <c r="F2567" t="s">
        <v>4439</v>
      </c>
      <c r="G2567" t="s">
        <v>336</v>
      </c>
      <c r="H2567" t="s">
        <v>5966</v>
      </c>
      <c r="I2567">
        <v>0</v>
      </c>
      <c r="J2567" t="s">
        <v>343</v>
      </c>
      <c r="K2567">
        <v>13583</v>
      </c>
      <c r="M2567">
        <v>13583</v>
      </c>
    </row>
    <row r="2568" spans="1:13" x14ac:dyDescent="0.35">
      <c r="A2568" t="str">
        <f t="shared" si="140"/>
        <v>STKCDG4573275460460000</v>
      </c>
      <c r="B2568" t="s">
        <v>3115</v>
      </c>
      <c r="C2568" s="1">
        <v>45732</v>
      </c>
      <c r="D2568" t="str">
        <f>"754"</f>
        <v>754</v>
      </c>
      <c r="E2568" t="str">
        <f>"60460000"</f>
        <v>60460000</v>
      </c>
      <c r="F2568" t="s">
        <v>4441</v>
      </c>
      <c r="G2568" t="s">
        <v>336</v>
      </c>
      <c r="H2568" t="s">
        <v>6012</v>
      </c>
      <c r="I2568">
        <v>0</v>
      </c>
      <c r="J2568" t="s">
        <v>343</v>
      </c>
      <c r="K2568">
        <v>435</v>
      </c>
      <c r="M2568">
        <v>435</v>
      </c>
    </row>
    <row r="2569" spans="1:13" x14ac:dyDescent="0.35">
      <c r="A2569" t="str">
        <f t="shared" si="140"/>
        <v>STKCDG4573275560410000</v>
      </c>
      <c r="B2569" t="s">
        <v>3115</v>
      </c>
      <c r="C2569" s="1">
        <v>45732</v>
      </c>
      <c r="D2569" t="str">
        <f>"755"</f>
        <v>755</v>
      </c>
      <c r="E2569" t="str">
        <f>"60410000"</f>
        <v>60410000</v>
      </c>
      <c r="F2569" t="s">
        <v>4443</v>
      </c>
      <c r="G2569" t="s">
        <v>336</v>
      </c>
      <c r="H2569" t="s">
        <v>5966</v>
      </c>
      <c r="I2569">
        <v>0</v>
      </c>
      <c r="J2569" t="s">
        <v>343</v>
      </c>
      <c r="K2569">
        <v>3889</v>
      </c>
      <c r="M2569">
        <v>3889</v>
      </c>
    </row>
    <row r="2570" spans="1:13" x14ac:dyDescent="0.35">
      <c r="A2570" t="str">
        <f t="shared" si="140"/>
        <v>STKCDG4573369160460000</v>
      </c>
      <c r="B2570" t="s">
        <v>3115</v>
      </c>
      <c r="C2570" s="1">
        <v>45733</v>
      </c>
      <c r="D2570" t="str">
        <f>"691"</f>
        <v>691</v>
      </c>
      <c r="E2570" t="str">
        <f t="shared" ref="E2570:E2580" si="141">"60460000"</f>
        <v>60460000</v>
      </c>
      <c r="F2570" t="s">
        <v>4445</v>
      </c>
      <c r="G2570" t="s">
        <v>336</v>
      </c>
      <c r="H2570" t="s">
        <v>5874</v>
      </c>
      <c r="I2570">
        <v>0</v>
      </c>
      <c r="J2570" t="s">
        <v>343</v>
      </c>
      <c r="K2570">
        <v>95347</v>
      </c>
      <c r="M2570">
        <v>95347</v>
      </c>
    </row>
    <row r="2571" spans="1:13" x14ac:dyDescent="0.35">
      <c r="A2571" t="str">
        <f t="shared" si="140"/>
        <v>STKCDG4573369260460000</v>
      </c>
      <c r="B2571" t="s">
        <v>3115</v>
      </c>
      <c r="C2571" s="1">
        <v>45733</v>
      </c>
      <c r="D2571" t="str">
        <f>"692"</f>
        <v>692</v>
      </c>
      <c r="E2571" t="str">
        <f t="shared" si="141"/>
        <v>60460000</v>
      </c>
      <c r="F2571" t="s">
        <v>4447</v>
      </c>
      <c r="G2571" t="s">
        <v>336</v>
      </c>
      <c r="H2571" t="s">
        <v>5875</v>
      </c>
      <c r="I2571">
        <v>0</v>
      </c>
      <c r="J2571" t="s">
        <v>343</v>
      </c>
      <c r="K2571">
        <v>30006</v>
      </c>
      <c r="M2571">
        <v>30006</v>
      </c>
    </row>
    <row r="2572" spans="1:13" x14ac:dyDescent="0.35">
      <c r="A2572" t="str">
        <f t="shared" si="140"/>
        <v>STKCDG4573369360460000</v>
      </c>
      <c r="B2572" t="s">
        <v>3115</v>
      </c>
      <c r="C2572" s="1">
        <v>45733</v>
      </c>
      <c r="D2572" t="str">
        <f>"693"</f>
        <v>693</v>
      </c>
      <c r="E2572" t="str">
        <f t="shared" si="141"/>
        <v>60460000</v>
      </c>
      <c r="F2572" t="s">
        <v>4449</v>
      </c>
      <c r="G2572" t="s">
        <v>336</v>
      </c>
      <c r="H2572" t="s">
        <v>5966</v>
      </c>
      <c r="I2572">
        <v>0</v>
      </c>
      <c r="J2572" t="s">
        <v>343</v>
      </c>
      <c r="K2572">
        <v>2500</v>
      </c>
      <c r="M2572">
        <v>2500</v>
      </c>
    </row>
    <row r="2573" spans="1:13" x14ac:dyDescent="0.35">
      <c r="A2573" t="str">
        <f t="shared" si="140"/>
        <v>STKCDG4573369460460000</v>
      </c>
      <c r="B2573" t="s">
        <v>3115</v>
      </c>
      <c r="C2573" s="1">
        <v>45733</v>
      </c>
      <c r="D2573" t="str">
        <f>"694"</f>
        <v>694</v>
      </c>
      <c r="E2573" t="str">
        <f t="shared" si="141"/>
        <v>60460000</v>
      </c>
      <c r="F2573" t="s">
        <v>4451</v>
      </c>
      <c r="G2573" t="s">
        <v>336</v>
      </c>
      <c r="H2573" t="s">
        <v>5966</v>
      </c>
      <c r="I2573">
        <v>0</v>
      </c>
      <c r="J2573" t="s">
        <v>343</v>
      </c>
      <c r="K2573">
        <v>4500</v>
      </c>
      <c r="M2573">
        <v>4500</v>
      </c>
    </row>
    <row r="2574" spans="1:13" x14ac:dyDescent="0.35">
      <c r="A2574" t="str">
        <f t="shared" si="140"/>
        <v>STKCDG4573369560460000</v>
      </c>
      <c r="B2574" t="s">
        <v>3115</v>
      </c>
      <c r="C2574" s="1">
        <v>45733</v>
      </c>
      <c r="D2574" t="str">
        <f>"695"</f>
        <v>695</v>
      </c>
      <c r="E2574" t="str">
        <f t="shared" si="141"/>
        <v>60460000</v>
      </c>
      <c r="F2574" t="s">
        <v>4453</v>
      </c>
      <c r="G2574" t="s">
        <v>336</v>
      </c>
      <c r="H2574" t="s">
        <v>5875</v>
      </c>
      <c r="I2574">
        <v>0</v>
      </c>
      <c r="J2574" t="s">
        <v>343</v>
      </c>
      <c r="K2574">
        <v>1525</v>
      </c>
      <c r="M2574">
        <v>1525</v>
      </c>
    </row>
    <row r="2575" spans="1:13" x14ac:dyDescent="0.35">
      <c r="A2575" t="str">
        <f t="shared" si="140"/>
        <v>STKCDG4573369660460000</v>
      </c>
      <c r="B2575" t="s">
        <v>3115</v>
      </c>
      <c r="C2575" s="1">
        <v>45733</v>
      </c>
      <c r="D2575" t="str">
        <f>"696"</f>
        <v>696</v>
      </c>
      <c r="E2575" t="str">
        <f t="shared" si="141"/>
        <v>60460000</v>
      </c>
      <c r="F2575" t="s">
        <v>4455</v>
      </c>
      <c r="G2575" t="s">
        <v>336</v>
      </c>
      <c r="H2575" t="s">
        <v>5875</v>
      </c>
      <c r="I2575">
        <v>0</v>
      </c>
      <c r="J2575" t="s">
        <v>343</v>
      </c>
      <c r="K2575">
        <v>300</v>
      </c>
      <c r="M2575">
        <v>300</v>
      </c>
    </row>
    <row r="2576" spans="1:13" x14ac:dyDescent="0.35">
      <c r="A2576" t="str">
        <f t="shared" si="140"/>
        <v>STKCDG4573369760460000</v>
      </c>
      <c r="B2576" t="s">
        <v>3115</v>
      </c>
      <c r="C2576" s="1">
        <v>45733</v>
      </c>
      <c r="D2576" t="str">
        <f>"697"</f>
        <v>697</v>
      </c>
      <c r="E2576" t="str">
        <f t="shared" si="141"/>
        <v>60460000</v>
      </c>
      <c r="F2576" t="s">
        <v>4457</v>
      </c>
      <c r="G2576" t="s">
        <v>336</v>
      </c>
      <c r="H2576" t="s">
        <v>6012</v>
      </c>
      <c r="I2576">
        <v>0</v>
      </c>
      <c r="J2576" t="s">
        <v>343</v>
      </c>
      <c r="K2576">
        <v>39465</v>
      </c>
      <c r="M2576">
        <v>39465</v>
      </c>
    </row>
    <row r="2577" spans="1:13" x14ac:dyDescent="0.35">
      <c r="A2577" t="str">
        <f t="shared" si="140"/>
        <v>STKCDG4573369860460000</v>
      </c>
      <c r="B2577" t="s">
        <v>3115</v>
      </c>
      <c r="C2577" s="1">
        <v>45733</v>
      </c>
      <c r="D2577" t="str">
        <f>"698"</f>
        <v>698</v>
      </c>
      <c r="E2577" t="str">
        <f t="shared" si="141"/>
        <v>60460000</v>
      </c>
      <c r="F2577" t="s">
        <v>4459</v>
      </c>
      <c r="G2577" t="s">
        <v>336</v>
      </c>
      <c r="H2577" t="s">
        <v>5966</v>
      </c>
      <c r="I2577">
        <v>0</v>
      </c>
      <c r="J2577" t="s">
        <v>343</v>
      </c>
      <c r="K2577">
        <v>2019</v>
      </c>
      <c r="M2577">
        <v>2019</v>
      </c>
    </row>
    <row r="2578" spans="1:13" x14ac:dyDescent="0.35">
      <c r="A2578" t="str">
        <f t="shared" si="140"/>
        <v>STKCDG4573369960460000</v>
      </c>
      <c r="B2578" t="s">
        <v>3115</v>
      </c>
      <c r="C2578" s="1">
        <v>45733</v>
      </c>
      <c r="D2578" t="str">
        <f>"699"</f>
        <v>699</v>
      </c>
      <c r="E2578" t="str">
        <f t="shared" si="141"/>
        <v>60460000</v>
      </c>
      <c r="F2578" t="s">
        <v>4461</v>
      </c>
      <c r="G2578" t="s">
        <v>336</v>
      </c>
      <c r="H2578" t="s">
        <v>5966</v>
      </c>
      <c r="I2578">
        <v>0</v>
      </c>
      <c r="J2578" t="s">
        <v>343</v>
      </c>
      <c r="K2578">
        <v>356</v>
      </c>
      <c r="M2578">
        <v>356</v>
      </c>
    </row>
    <row r="2579" spans="1:13" x14ac:dyDescent="0.35">
      <c r="A2579" t="str">
        <f t="shared" si="140"/>
        <v>STKCDG4573370060460000</v>
      </c>
      <c r="B2579" t="s">
        <v>3115</v>
      </c>
      <c r="C2579" s="1">
        <v>45733</v>
      </c>
      <c r="D2579" t="str">
        <f>"700"</f>
        <v>700</v>
      </c>
      <c r="E2579" t="str">
        <f t="shared" si="141"/>
        <v>60460000</v>
      </c>
      <c r="F2579" t="s">
        <v>4463</v>
      </c>
      <c r="G2579" t="s">
        <v>336</v>
      </c>
      <c r="H2579" t="s">
        <v>5966</v>
      </c>
      <c r="I2579">
        <v>0</v>
      </c>
      <c r="J2579" t="s">
        <v>343</v>
      </c>
      <c r="K2579">
        <v>279</v>
      </c>
      <c r="M2579">
        <v>279</v>
      </c>
    </row>
    <row r="2580" spans="1:13" x14ac:dyDescent="0.35">
      <c r="A2580" t="str">
        <f t="shared" si="140"/>
        <v>STKCDG4573370160460000</v>
      </c>
      <c r="B2580" t="s">
        <v>3115</v>
      </c>
      <c r="C2580" s="1">
        <v>45733</v>
      </c>
      <c r="D2580" t="str">
        <f>"701"</f>
        <v>701</v>
      </c>
      <c r="E2580" t="str">
        <f t="shared" si="141"/>
        <v>60460000</v>
      </c>
      <c r="F2580" t="s">
        <v>4465</v>
      </c>
      <c r="G2580" t="s">
        <v>336</v>
      </c>
      <c r="H2580" t="s">
        <v>5949</v>
      </c>
      <c r="I2580">
        <v>0</v>
      </c>
      <c r="J2580" t="s">
        <v>343</v>
      </c>
      <c r="K2580">
        <v>11500</v>
      </c>
      <c r="M2580">
        <v>11500</v>
      </c>
    </row>
    <row r="2581" spans="1:13" x14ac:dyDescent="0.35">
      <c r="A2581" t="str">
        <f t="shared" si="140"/>
        <v>STKCDG4573370260430000</v>
      </c>
      <c r="B2581" t="s">
        <v>3115</v>
      </c>
      <c r="C2581" s="1">
        <v>45733</v>
      </c>
      <c r="D2581" t="str">
        <f>"702"</f>
        <v>702</v>
      </c>
      <c r="E2581" t="str">
        <f>"60430000"</f>
        <v>60430000</v>
      </c>
      <c r="F2581" t="s">
        <v>4467</v>
      </c>
      <c r="G2581" t="s">
        <v>336</v>
      </c>
      <c r="H2581" t="s">
        <v>5958</v>
      </c>
      <c r="I2581">
        <v>0</v>
      </c>
      <c r="J2581" t="s">
        <v>343</v>
      </c>
      <c r="K2581">
        <v>207400</v>
      </c>
      <c r="M2581">
        <v>207400</v>
      </c>
    </row>
    <row r="2582" spans="1:13" x14ac:dyDescent="0.35">
      <c r="A2582" t="str">
        <f t="shared" si="140"/>
        <v>STKCDG4573370360430000</v>
      </c>
      <c r="B2582" t="s">
        <v>3115</v>
      </c>
      <c r="C2582" s="1">
        <v>45733</v>
      </c>
      <c r="D2582" t="str">
        <f>"703"</f>
        <v>703</v>
      </c>
      <c r="E2582" t="str">
        <f>"60430000"</f>
        <v>60430000</v>
      </c>
      <c r="F2582" t="s">
        <v>4469</v>
      </c>
      <c r="G2582" t="s">
        <v>336</v>
      </c>
      <c r="H2582" t="s">
        <v>5958</v>
      </c>
      <c r="I2582">
        <v>0</v>
      </c>
      <c r="J2582" t="s">
        <v>343</v>
      </c>
      <c r="K2582">
        <v>250900</v>
      </c>
      <c r="M2582">
        <v>250900</v>
      </c>
    </row>
    <row r="2583" spans="1:13" x14ac:dyDescent="0.35">
      <c r="A2583" t="str">
        <f t="shared" si="140"/>
        <v>STKCDG4573370460460000</v>
      </c>
      <c r="B2583" t="s">
        <v>3115</v>
      </c>
      <c r="C2583" s="1">
        <v>45733</v>
      </c>
      <c r="D2583" t="str">
        <f>"704"</f>
        <v>704</v>
      </c>
      <c r="E2583" t="str">
        <f>"60460000"</f>
        <v>60460000</v>
      </c>
      <c r="F2583" t="s">
        <v>4471</v>
      </c>
      <c r="G2583" t="s">
        <v>336</v>
      </c>
      <c r="H2583" t="s">
        <v>5875</v>
      </c>
      <c r="I2583">
        <v>0</v>
      </c>
      <c r="J2583" t="s">
        <v>343</v>
      </c>
      <c r="K2583">
        <v>1346</v>
      </c>
      <c r="M2583">
        <v>1346</v>
      </c>
    </row>
    <row r="2584" spans="1:13" x14ac:dyDescent="0.35">
      <c r="A2584" t="str">
        <f t="shared" si="140"/>
        <v>STKCDG4573370560410000</v>
      </c>
      <c r="B2584" t="s">
        <v>3115</v>
      </c>
      <c r="C2584" s="1">
        <v>45733</v>
      </c>
      <c r="D2584" t="str">
        <f>"705"</f>
        <v>705</v>
      </c>
      <c r="E2584" t="str">
        <f>"60410000"</f>
        <v>60410000</v>
      </c>
      <c r="F2584" t="s">
        <v>4473</v>
      </c>
      <c r="G2584" t="s">
        <v>336</v>
      </c>
      <c r="H2584" t="s">
        <v>5941</v>
      </c>
      <c r="I2584">
        <v>0</v>
      </c>
      <c r="J2584" t="s">
        <v>343</v>
      </c>
      <c r="K2584">
        <v>992</v>
      </c>
      <c r="M2584">
        <v>992</v>
      </c>
    </row>
    <row r="2585" spans="1:13" x14ac:dyDescent="0.35">
      <c r="A2585" t="str">
        <f t="shared" si="140"/>
        <v>STKCDG4573370660460000</v>
      </c>
      <c r="B2585" t="s">
        <v>3115</v>
      </c>
      <c r="C2585" s="1">
        <v>45733</v>
      </c>
      <c r="D2585" t="str">
        <f>"706"</f>
        <v>706</v>
      </c>
      <c r="E2585" t="str">
        <f>"60460000"</f>
        <v>60460000</v>
      </c>
      <c r="F2585" t="s">
        <v>4475</v>
      </c>
      <c r="G2585" t="s">
        <v>336</v>
      </c>
      <c r="H2585" t="s">
        <v>5874</v>
      </c>
      <c r="I2585">
        <v>0</v>
      </c>
      <c r="J2585" t="s">
        <v>343</v>
      </c>
      <c r="K2585">
        <v>6356</v>
      </c>
      <c r="M2585">
        <v>6356</v>
      </c>
    </row>
    <row r="2586" spans="1:13" x14ac:dyDescent="0.35">
      <c r="A2586" t="str">
        <f t="shared" si="140"/>
        <v>STKCDG4573370760460000</v>
      </c>
      <c r="B2586" t="s">
        <v>3115</v>
      </c>
      <c r="C2586" s="1">
        <v>45733</v>
      </c>
      <c r="D2586" t="str">
        <f>"707"</f>
        <v>707</v>
      </c>
      <c r="E2586" t="str">
        <f>"60460000"</f>
        <v>60460000</v>
      </c>
      <c r="F2586" t="s">
        <v>4477</v>
      </c>
      <c r="G2586" t="s">
        <v>336</v>
      </c>
      <c r="H2586" t="s">
        <v>6012</v>
      </c>
      <c r="I2586">
        <v>0</v>
      </c>
      <c r="J2586" t="s">
        <v>343</v>
      </c>
      <c r="K2586">
        <v>17000</v>
      </c>
      <c r="M2586">
        <v>17000</v>
      </c>
    </row>
    <row r="2587" spans="1:13" x14ac:dyDescent="0.35">
      <c r="A2587" t="str">
        <f t="shared" si="140"/>
        <v>STKCDG4573370860460000</v>
      </c>
      <c r="B2587" t="s">
        <v>3115</v>
      </c>
      <c r="C2587" s="1">
        <v>45733</v>
      </c>
      <c r="D2587" t="str">
        <f>"708"</f>
        <v>708</v>
      </c>
      <c r="E2587" t="str">
        <f>"60460000"</f>
        <v>60460000</v>
      </c>
      <c r="F2587" t="s">
        <v>4479</v>
      </c>
      <c r="G2587" t="s">
        <v>336</v>
      </c>
      <c r="H2587" t="s">
        <v>5876</v>
      </c>
      <c r="I2587">
        <v>0</v>
      </c>
      <c r="J2587" t="s">
        <v>343</v>
      </c>
      <c r="K2587">
        <v>600</v>
      </c>
      <c r="M2587">
        <v>600</v>
      </c>
    </row>
    <row r="2588" spans="1:13" x14ac:dyDescent="0.35">
      <c r="A2588" t="str">
        <f t="shared" si="140"/>
        <v>STKCDG4573370960460000</v>
      </c>
      <c r="B2588" t="s">
        <v>3115</v>
      </c>
      <c r="C2588" s="1">
        <v>45733</v>
      </c>
      <c r="D2588" t="str">
        <f>"709"</f>
        <v>709</v>
      </c>
      <c r="E2588" t="str">
        <f>"60460000"</f>
        <v>60460000</v>
      </c>
      <c r="F2588" t="s">
        <v>4481</v>
      </c>
      <c r="G2588" t="s">
        <v>336</v>
      </c>
      <c r="H2588" t="s">
        <v>5874</v>
      </c>
      <c r="I2588">
        <v>0</v>
      </c>
      <c r="J2588" t="s">
        <v>343</v>
      </c>
      <c r="K2588">
        <v>2793</v>
      </c>
      <c r="M2588">
        <v>2793</v>
      </c>
    </row>
    <row r="2589" spans="1:13" x14ac:dyDescent="0.35">
      <c r="A2589" t="str">
        <f t="shared" si="140"/>
        <v>STKCDG4573371060430000</v>
      </c>
      <c r="B2589" t="s">
        <v>3115</v>
      </c>
      <c r="C2589" s="1">
        <v>45733</v>
      </c>
      <c r="D2589" t="str">
        <f>"710"</f>
        <v>710</v>
      </c>
      <c r="E2589" t="str">
        <f>"60430000"</f>
        <v>60430000</v>
      </c>
      <c r="F2589" t="s">
        <v>4483</v>
      </c>
      <c r="G2589" t="s">
        <v>336</v>
      </c>
      <c r="H2589" t="s">
        <v>5946</v>
      </c>
      <c r="I2589">
        <v>0</v>
      </c>
      <c r="J2589" t="s">
        <v>343</v>
      </c>
      <c r="K2589">
        <v>41110</v>
      </c>
      <c r="M2589">
        <v>41110</v>
      </c>
    </row>
    <row r="2590" spans="1:13" x14ac:dyDescent="0.35">
      <c r="A2590" t="str">
        <f t="shared" si="140"/>
        <v>STKCDG4573371160460000</v>
      </c>
      <c r="B2590" t="s">
        <v>3115</v>
      </c>
      <c r="C2590" s="1">
        <v>45733</v>
      </c>
      <c r="D2590" t="str">
        <f>"711"</f>
        <v>711</v>
      </c>
      <c r="E2590" t="str">
        <f>"60460000"</f>
        <v>60460000</v>
      </c>
      <c r="F2590" t="s">
        <v>4485</v>
      </c>
      <c r="G2590" t="s">
        <v>336</v>
      </c>
      <c r="H2590" t="s">
        <v>6014</v>
      </c>
      <c r="I2590">
        <v>0</v>
      </c>
      <c r="J2590" t="s">
        <v>343</v>
      </c>
      <c r="K2590">
        <v>1500</v>
      </c>
      <c r="M2590">
        <v>1500</v>
      </c>
    </row>
    <row r="2591" spans="1:13" x14ac:dyDescent="0.35">
      <c r="A2591" t="str">
        <f t="shared" si="140"/>
        <v>STKCDG4573371260410000</v>
      </c>
      <c r="B2591" t="s">
        <v>3115</v>
      </c>
      <c r="C2591" s="1">
        <v>45733</v>
      </c>
      <c r="D2591" t="str">
        <f>"712"</f>
        <v>712</v>
      </c>
      <c r="E2591" t="str">
        <f t="shared" ref="E2591:E2596" si="142">"60410000"</f>
        <v>60410000</v>
      </c>
      <c r="F2591" t="s">
        <v>4487</v>
      </c>
      <c r="G2591" t="s">
        <v>336</v>
      </c>
      <c r="H2591" t="s">
        <v>5875</v>
      </c>
      <c r="I2591">
        <v>0</v>
      </c>
      <c r="J2591" t="s">
        <v>343</v>
      </c>
      <c r="K2591">
        <v>1649</v>
      </c>
      <c r="M2591">
        <v>1649</v>
      </c>
    </row>
    <row r="2592" spans="1:13" x14ac:dyDescent="0.35">
      <c r="A2592" t="str">
        <f t="shared" si="140"/>
        <v>STKCDG4573371360410000</v>
      </c>
      <c r="B2592" t="s">
        <v>3115</v>
      </c>
      <c r="C2592" s="1">
        <v>45733</v>
      </c>
      <c r="D2592" t="str">
        <f>"713"</f>
        <v>713</v>
      </c>
      <c r="E2592" t="str">
        <f t="shared" si="142"/>
        <v>60410000</v>
      </c>
      <c r="F2592" t="s">
        <v>4489</v>
      </c>
      <c r="G2592" t="s">
        <v>336</v>
      </c>
      <c r="H2592" t="s">
        <v>5966</v>
      </c>
      <c r="I2592">
        <v>0</v>
      </c>
      <c r="J2592" t="s">
        <v>343</v>
      </c>
      <c r="K2592">
        <v>2917</v>
      </c>
      <c r="M2592">
        <v>2917</v>
      </c>
    </row>
    <row r="2593" spans="1:13" x14ac:dyDescent="0.35">
      <c r="A2593" t="str">
        <f t="shared" si="140"/>
        <v>STKCDG4573371460410000</v>
      </c>
      <c r="B2593" t="s">
        <v>3115</v>
      </c>
      <c r="C2593" s="1">
        <v>45733</v>
      </c>
      <c r="D2593" t="str">
        <f>"714"</f>
        <v>714</v>
      </c>
      <c r="E2593" t="str">
        <f t="shared" si="142"/>
        <v>60410000</v>
      </c>
      <c r="F2593" t="s">
        <v>4491</v>
      </c>
      <c r="G2593" t="s">
        <v>336</v>
      </c>
      <c r="H2593" t="s">
        <v>5966</v>
      </c>
      <c r="I2593">
        <v>0</v>
      </c>
      <c r="J2593" t="s">
        <v>343</v>
      </c>
      <c r="K2593">
        <v>4947</v>
      </c>
      <c r="M2593">
        <v>4947</v>
      </c>
    </row>
    <row r="2594" spans="1:13" x14ac:dyDescent="0.35">
      <c r="A2594" t="str">
        <f t="shared" si="140"/>
        <v>STKCDG4573371560410000</v>
      </c>
      <c r="B2594" t="s">
        <v>3115</v>
      </c>
      <c r="C2594" s="1">
        <v>45733</v>
      </c>
      <c r="D2594" t="str">
        <f>"715"</f>
        <v>715</v>
      </c>
      <c r="E2594" t="str">
        <f t="shared" si="142"/>
        <v>60410000</v>
      </c>
      <c r="F2594" t="s">
        <v>4493</v>
      </c>
      <c r="G2594" t="s">
        <v>336</v>
      </c>
      <c r="H2594" t="s">
        <v>6010</v>
      </c>
      <c r="I2594">
        <v>0</v>
      </c>
      <c r="J2594" t="s">
        <v>343</v>
      </c>
      <c r="K2594">
        <v>1649</v>
      </c>
      <c r="M2594">
        <v>1649</v>
      </c>
    </row>
    <row r="2595" spans="1:13" x14ac:dyDescent="0.35">
      <c r="A2595" t="str">
        <f t="shared" si="140"/>
        <v>STKCDG4573371660410000</v>
      </c>
      <c r="B2595" t="s">
        <v>3115</v>
      </c>
      <c r="C2595" s="1">
        <v>45733</v>
      </c>
      <c r="D2595" t="str">
        <f>"716"</f>
        <v>716</v>
      </c>
      <c r="E2595" t="str">
        <f t="shared" si="142"/>
        <v>60410000</v>
      </c>
      <c r="F2595" t="s">
        <v>4495</v>
      </c>
      <c r="G2595" t="s">
        <v>336</v>
      </c>
      <c r="H2595" t="s">
        <v>5966</v>
      </c>
      <c r="I2595">
        <v>0</v>
      </c>
      <c r="J2595" t="s">
        <v>343</v>
      </c>
      <c r="K2595">
        <v>2917</v>
      </c>
      <c r="M2595">
        <v>2917</v>
      </c>
    </row>
    <row r="2596" spans="1:13" x14ac:dyDescent="0.35">
      <c r="A2596" t="str">
        <f t="shared" si="140"/>
        <v>STKCDG4573371760410000</v>
      </c>
      <c r="B2596" t="s">
        <v>3115</v>
      </c>
      <c r="C2596" s="1">
        <v>45733</v>
      </c>
      <c r="D2596" t="str">
        <f>"717"</f>
        <v>717</v>
      </c>
      <c r="E2596" t="str">
        <f t="shared" si="142"/>
        <v>60410000</v>
      </c>
      <c r="F2596" t="s">
        <v>4497</v>
      </c>
      <c r="G2596" t="s">
        <v>336</v>
      </c>
      <c r="H2596" t="s">
        <v>5949</v>
      </c>
      <c r="I2596">
        <v>0</v>
      </c>
      <c r="J2596" t="s">
        <v>343</v>
      </c>
      <c r="K2596">
        <v>35000</v>
      </c>
      <c r="M2596">
        <v>35000</v>
      </c>
    </row>
    <row r="2597" spans="1:13" x14ac:dyDescent="0.35">
      <c r="A2597" t="str">
        <f t="shared" si="140"/>
        <v>STKCDG4573371860440000</v>
      </c>
      <c r="B2597" t="s">
        <v>3115</v>
      </c>
      <c r="C2597" s="1">
        <v>45733</v>
      </c>
      <c r="D2597" t="str">
        <f>"718"</f>
        <v>718</v>
      </c>
      <c r="E2597" t="str">
        <f>"60440000"</f>
        <v>60440000</v>
      </c>
      <c r="F2597" t="s">
        <v>4499</v>
      </c>
      <c r="G2597" t="s">
        <v>336</v>
      </c>
      <c r="H2597" t="s">
        <v>5958</v>
      </c>
      <c r="I2597">
        <v>0</v>
      </c>
      <c r="J2597" t="s">
        <v>343</v>
      </c>
      <c r="K2597">
        <v>174616</v>
      </c>
      <c r="M2597">
        <v>174616</v>
      </c>
    </row>
    <row r="2598" spans="1:13" x14ac:dyDescent="0.35">
      <c r="A2598" t="str">
        <f t="shared" si="140"/>
        <v>STKCDG4573371960440000</v>
      </c>
      <c r="B2598" t="s">
        <v>3115</v>
      </c>
      <c r="C2598" s="1">
        <v>45733</v>
      </c>
      <c r="D2598" t="str">
        <f>"719"</f>
        <v>719</v>
      </c>
      <c r="E2598" t="str">
        <f>"60440000"</f>
        <v>60440000</v>
      </c>
      <c r="F2598" t="s">
        <v>4501</v>
      </c>
      <c r="G2598" t="s">
        <v>336</v>
      </c>
      <c r="H2598" t="s">
        <v>5958</v>
      </c>
      <c r="I2598">
        <v>0</v>
      </c>
      <c r="J2598" t="s">
        <v>343</v>
      </c>
      <c r="K2598">
        <v>50640</v>
      </c>
      <c r="M2598">
        <v>50640</v>
      </c>
    </row>
    <row r="2599" spans="1:13" x14ac:dyDescent="0.35">
      <c r="A2599" t="str">
        <f t="shared" si="140"/>
        <v>STKCDG4573372060440000</v>
      </c>
      <c r="B2599" t="s">
        <v>3115</v>
      </c>
      <c r="C2599" s="1">
        <v>45733</v>
      </c>
      <c r="D2599" t="str">
        <f>"720"</f>
        <v>720</v>
      </c>
      <c r="E2599" t="str">
        <f>"60440000"</f>
        <v>60440000</v>
      </c>
      <c r="F2599" t="s">
        <v>4503</v>
      </c>
      <c r="G2599" t="s">
        <v>336</v>
      </c>
      <c r="H2599" t="s">
        <v>5958</v>
      </c>
      <c r="I2599">
        <v>0</v>
      </c>
      <c r="J2599" t="s">
        <v>343</v>
      </c>
      <c r="K2599">
        <v>74976</v>
      </c>
      <c r="M2599">
        <v>74976</v>
      </c>
    </row>
    <row r="2600" spans="1:13" x14ac:dyDescent="0.35">
      <c r="A2600" t="str">
        <f t="shared" si="140"/>
        <v>STKCDG4573372160440000</v>
      </c>
      <c r="B2600" t="s">
        <v>3115</v>
      </c>
      <c r="C2600" s="1">
        <v>45733</v>
      </c>
      <c r="D2600" t="str">
        <f>"721"</f>
        <v>721</v>
      </c>
      <c r="E2600" t="str">
        <f>"60440000"</f>
        <v>60440000</v>
      </c>
      <c r="F2600" t="s">
        <v>4505</v>
      </c>
      <c r="G2600" t="s">
        <v>336</v>
      </c>
      <c r="H2600" t="s">
        <v>5875</v>
      </c>
      <c r="I2600">
        <v>0</v>
      </c>
      <c r="J2600" t="s">
        <v>343</v>
      </c>
      <c r="K2600">
        <v>181701</v>
      </c>
      <c r="M2600">
        <v>181701</v>
      </c>
    </row>
    <row r="2601" spans="1:13" x14ac:dyDescent="0.35">
      <c r="A2601" t="str">
        <f t="shared" si="140"/>
        <v>STKCDG4573372260410000</v>
      </c>
      <c r="B2601" t="s">
        <v>3115</v>
      </c>
      <c r="C2601" s="1">
        <v>45733</v>
      </c>
      <c r="D2601" t="str">
        <f>"722"</f>
        <v>722</v>
      </c>
      <c r="E2601" t="str">
        <f>"60410000"</f>
        <v>60410000</v>
      </c>
      <c r="F2601" t="s">
        <v>4507</v>
      </c>
      <c r="G2601" t="s">
        <v>336</v>
      </c>
      <c r="H2601" t="s">
        <v>5875</v>
      </c>
      <c r="I2601">
        <v>0</v>
      </c>
      <c r="J2601" t="s">
        <v>343</v>
      </c>
      <c r="K2601">
        <v>3298</v>
      </c>
      <c r="M2601">
        <v>3298</v>
      </c>
    </row>
    <row r="2602" spans="1:13" x14ac:dyDescent="0.35">
      <c r="A2602" t="str">
        <f t="shared" si="140"/>
        <v>STKCDG4573372360410000</v>
      </c>
      <c r="B2602" t="s">
        <v>3115</v>
      </c>
      <c r="C2602" s="1">
        <v>45733</v>
      </c>
      <c r="D2602" t="str">
        <f>"723"</f>
        <v>723</v>
      </c>
      <c r="E2602" t="str">
        <f>"60410000"</f>
        <v>60410000</v>
      </c>
      <c r="F2602" t="s">
        <v>4509</v>
      </c>
      <c r="G2602" t="s">
        <v>336</v>
      </c>
      <c r="H2602" t="s">
        <v>5874</v>
      </c>
      <c r="I2602">
        <v>0</v>
      </c>
      <c r="J2602" t="s">
        <v>343</v>
      </c>
      <c r="K2602">
        <v>3298</v>
      </c>
      <c r="M2602">
        <v>3298</v>
      </c>
    </row>
    <row r="2603" spans="1:13" x14ac:dyDescent="0.35">
      <c r="A2603" t="str">
        <f t="shared" si="140"/>
        <v>STKCDG4573372460440000</v>
      </c>
      <c r="B2603" t="s">
        <v>3115</v>
      </c>
      <c r="C2603" s="1">
        <v>45733</v>
      </c>
      <c r="D2603" t="str">
        <f>"724"</f>
        <v>724</v>
      </c>
      <c r="E2603" t="str">
        <f t="shared" ref="E2603:E2631" si="143">"60440000"</f>
        <v>60440000</v>
      </c>
      <c r="F2603" t="s">
        <v>4511</v>
      </c>
      <c r="G2603" t="s">
        <v>336</v>
      </c>
      <c r="H2603" t="s">
        <v>5876</v>
      </c>
      <c r="I2603">
        <v>0</v>
      </c>
      <c r="J2603" t="s">
        <v>343</v>
      </c>
      <c r="K2603">
        <v>1968</v>
      </c>
      <c r="M2603">
        <v>1968</v>
      </c>
    </row>
    <row r="2604" spans="1:13" x14ac:dyDescent="0.35">
      <c r="A2604" t="str">
        <f t="shared" si="140"/>
        <v>STKCDG4573372560440000</v>
      </c>
      <c r="B2604" t="s">
        <v>3115</v>
      </c>
      <c r="C2604" s="1">
        <v>45733</v>
      </c>
      <c r="D2604" t="str">
        <f>"725"</f>
        <v>725</v>
      </c>
      <c r="E2604" t="str">
        <f t="shared" si="143"/>
        <v>60440000</v>
      </c>
      <c r="F2604" t="s">
        <v>4513</v>
      </c>
      <c r="G2604" t="s">
        <v>336</v>
      </c>
      <c r="H2604" t="s">
        <v>5876</v>
      </c>
      <c r="I2604">
        <v>0</v>
      </c>
      <c r="J2604" t="s">
        <v>343</v>
      </c>
      <c r="K2604">
        <v>2361</v>
      </c>
      <c r="M2604">
        <v>2361</v>
      </c>
    </row>
    <row r="2605" spans="1:13" x14ac:dyDescent="0.35">
      <c r="A2605" t="str">
        <f t="shared" si="140"/>
        <v>STKCDG4573372660440000</v>
      </c>
      <c r="B2605" t="s">
        <v>3115</v>
      </c>
      <c r="C2605" s="1">
        <v>45733</v>
      </c>
      <c r="D2605" t="str">
        <f>"726"</f>
        <v>726</v>
      </c>
      <c r="E2605" t="str">
        <f t="shared" si="143"/>
        <v>60440000</v>
      </c>
      <c r="F2605" t="s">
        <v>4515</v>
      </c>
      <c r="G2605" t="s">
        <v>336</v>
      </c>
      <c r="H2605" t="s">
        <v>5876</v>
      </c>
      <c r="I2605">
        <v>0</v>
      </c>
      <c r="J2605" t="s">
        <v>343</v>
      </c>
      <c r="K2605">
        <v>20139</v>
      </c>
      <c r="M2605">
        <v>20139</v>
      </c>
    </row>
    <row r="2606" spans="1:13" x14ac:dyDescent="0.35">
      <c r="A2606" t="str">
        <f t="shared" si="140"/>
        <v>STKCDG4573372760440000</v>
      </c>
      <c r="B2606" t="s">
        <v>3115</v>
      </c>
      <c r="C2606" s="1">
        <v>45733</v>
      </c>
      <c r="D2606" t="str">
        <f>"727"</f>
        <v>727</v>
      </c>
      <c r="E2606" t="str">
        <f t="shared" si="143"/>
        <v>60440000</v>
      </c>
      <c r="F2606" t="s">
        <v>4517</v>
      </c>
      <c r="G2606" t="s">
        <v>336</v>
      </c>
      <c r="H2606" t="s">
        <v>5876</v>
      </c>
      <c r="I2606">
        <v>0</v>
      </c>
      <c r="J2606" t="s">
        <v>343</v>
      </c>
      <c r="K2606">
        <v>5969</v>
      </c>
      <c r="M2606">
        <v>5969</v>
      </c>
    </row>
    <row r="2607" spans="1:13" x14ac:dyDescent="0.35">
      <c r="A2607" t="str">
        <f t="shared" si="140"/>
        <v>STKCDG4573372860440000</v>
      </c>
      <c r="B2607" t="s">
        <v>3115</v>
      </c>
      <c r="C2607" s="1">
        <v>45733</v>
      </c>
      <c r="D2607" t="str">
        <f>"728"</f>
        <v>728</v>
      </c>
      <c r="E2607" t="str">
        <f t="shared" si="143"/>
        <v>60440000</v>
      </c>
      <c r="F2607" t="s">
        <v>4519</v>
      </c>
      <c r="G2607" t="s">
        <v>336</v>
      </c>
      <c r="H2607" t="s">
        <v>5874</v>
      </c>
      <c r="I2607">
        <v>0</v>
      </c>
      <c r="J2607" t="s">
        <v>343</v>
      </c>
      <c r="K2607">
        <v>4067</v>
      </c>
      <c r="M2607">
        <v>4067</v>
      </c>
    </row>
    <row r="2608" spans="1:13" x14ac:dyDescent="0.35">
      <c r="A2608" t="str">
        <f t="shared" si="140"/>
        <v>STKCDG4573372960440000</v>
      </c>
      <c r="B2608" t="s">
        <v>3115</v>
      </c>
      <c r="C2608" s="1">
        <v>45733</v>
      </c>
      <c r="D2608" t="str">
        <f>"729"</f>
        <v>729</v>
      </c>
      <c r="E2608" t="str">
        <f t="shared" si="143"/>
        <v>60440000</v>
      </c>
      <c r="F2608" t="s">
        <v>4521</v>
      </c>
      <c r="G2608" t="s">
        <v>336</v>
      </c>
      <c r="H2608" t="s">
        <v>5880</v>
      </c>
      <c r="I2608">
        <v>0</v>
      </c>
      <c r="J2608" t="s">
        <v>343</v>
      </c>
      <c r="K2608">
        <v>98875</v>
      </c>
      <c r="M2608">
        <v>98875</v>
      </c>
    </row>
    <row r="2609" spans="1:13" x14ac:dyDescent="0.35">
      <c r="A2609" t="str">
        <f t="shared" si="140"/>
        <v>STKCDG4573373060440000</v>
      </c>
      <c r="B2609" t="s">
        <v>3115</v>
      </c>
      <c r="C2609" s="1">
        <v>45733</v>
      </c>
      <c r="D2609" t="str">
        <f>"730"</f>
        <v>730</v>
      </c>
      <c r="E2609" t="str">
        <f t="shared" si="143"/>
        <v>60440000</v>
      </c>
      <c r="F2609" t="s">
        <v>4523</v>
      </c>
      <c r="G2609" t="s">
        <v>336</v>
      </c>
      <c r="H2609" t="s">
        <v>5876</v>
      </c>
      <c r="I2609">
        <v>0</v>
      </c>
      <c r="J2609" t="s">
        <v>343</v>
      </c>
      <c r="K2609">
        <v>24928</v>
      </c>
      <c r="M2609">
        <v>24928</v>
      </c>
    </row>
    <row r="2610" spans="1:13" x14ac:dyDescent="0.35">
      <c r="A2610" t="str">
        <f t="shared" si="140"/>
        <v>STKCDG4573373160440000</v>
      </c>
      <c r="B2610" t="s">
        <v>3115</v>
      </c>
      <c r="C2610" s="1">
        <v>45733</v>
      </c>
      <c r="D2610" t="str">
        <f>"731"</f>
        <v>731</v>
      </c>
      <c r="E2610" t="str">
        <f t="shared" si="143"/>
        <v>60440000</v>
      </c>
      <c r="F2610" t="s">
        <v>4525</v>
      </c>
      <c r="G2610" t="s">
        <v>336</v>
      </c>
      <c r="H2610" t="s">
        <v>5876</v>
      </c>
      <c r="I2610">
        <v>0</v>
      </c>
      <c r="J2610" t="s">
        <v>343</v>
      </c>
      <c r="K2610">
        <v>6954</v>
      </c>
      <c r="M2610">
        <v>6954</v>
      </c>
    </row>
    <row r="2611" spans="1:13" x14ac:dyDescent="0.35">
      <c r="A2611" t="str">
        <f t="shared" si="140"/>
        <v>STKCDG4573373260440000</v>
      </c>
      <c r="B2611" t="s">
        <v>3115</v>
      </c>
      <c r="C2611" s="1">
        <v>45733</v>
      </c>
      <c r="D2611" t="str">
        <f>"732"</f>
        <v>732</v>
      </c>
      <c r="E2611" t="str">
        <f t="shared" si="143"/>
        <v>60440000</v>
      </c>
      <c r="F2611" t="s">
        <v>4527</v>
      </c>
      <c r="G2611" t="s">
        <v>336</v>
      </c>
      <c r="H2611" t="s">
        <v>5876</v>
      </c>
      <c r="I2611">
        <v>0</v>
      </c>
      <c r="J2611" t="s">
        <v>343</v>
      </c>
      <c r="K2611">
        <v>787</v>
      </c>
      <c r="M2611">
        <v>787</v>
      </c>
    </row>
    <row r="2612" spans="1:13" x14ac:dyDescent="0.35">
      <c r="A2612" t="str">
        <f t="shared" si="140"/>
        <v>STKCDG4573373360440000</v>
      </c>
      <c r="B2612" t="s">
        <v>3115</v>
      </c>
      <c r="C2612" s="1">
        <v>45733</v>
      </c>
      <c r="D2612" t="str">
        <f>"733"</f>
        <v>733</v>
      </c>
      <c r="E2612" t="str">
        <f t="shared" si="143"/>
        <v>60440000</v>
      </c>
      <c r="F2612" t="s">
        <v>4529</v>
      </c>
      <c r="G2612" t="s">
        <v>336</v>
      </c>
      <c r="H2612" t="s">
        <v>5874</v>
      </c>
      <c r="I2612">
        <v>0</v>
      </c>
      <c r="J2612" t="s">
        <v>343</v>
      </c>
      <c r="K2612">
        <v>51776</v>
      </c>
      <c r="M2612">
        <v>51776</v>
      </c>
    </row>
    <row r="2613" spans="1:13" x14ac:dyDescent="0.35">
      <c r="A2613" t="str">
        <f t="shared" si="140"/>
        <v>STKCDG4573373460440000</v>
      </c>
      <c r="B2613" t="s">
        <v>3115</v>
      </c>
      <c r="C2613" s="1">
        <v>45733</v>
      </c>
      <c r="D2613" t="str">
        <f>"734"</f>
        <v>734</v>
      </c>
      <c r="E2613" t="str">
        <f t="shared" si="143"/>
        <v>60440000</v>
      </c>
      <c r="F2613" t="s">
        <v>4531</v>
      </c>
      <c r="G2613" t="s">
        <v>336</v>
      </c>
      <c r="H2613" t="s">
        <v>5874</v>
      </c>
      <c r="I2613">
        <v>0</v>
      </c>
      <c r="J2613" t="s">
        <v>343</v>
      </c>
      <c r="K2613">
        <v>35000</v>
      </c>
      <c r="M2613">
        <v>35000</v>
      </c>
    </row>
    <row r="2614" spans="1:13" x14ac:dyDescent="0.35">
      <c r="A2614" t="str">
        <f t="shared" si="140"/>
        <v>STKCDG4573373560440000</v>
      </c>
      <c r="B2614" t="s">
        <v>3115</v>
      </c>
      <c r="C2614" s="1">
        <v>45733</v>
      </c>
      <c r="D2614" t="str">
        <f>"735"</f>
        <v>735</v>
      </c>
      <c r="E2614" t="str">
        <f t="shared" si="143"/>
        <v>60440000</v>
      </c>
      <c r="F2614" t="s">
        <v>4533</v>
      </c>
      <c r="G2614" t="s">
        <v>336</v>
      </c>
      <c r="H2614" t="s">
        <v>5966</v>
      </c>
      <c r="I2614">
        <v>0</v>
      </c>
      <c r="J2614" t="s">
        <v>343</v>
      </c>
      <c r="K2614">
        <v>17500</v>
      </c>
      <c r="M2614">
        <v>17500</v>
      </c>
    </row>
    <row r="2615" spans="1:13" x14ac:dyDescent="0.35">
      <c r="A2615" t="str">
        <f t="shared" si="140"/>
        <v>STKCDG4573373660440000</v>
      </c>
      <c r="B2615" t="s">
        <v>3115</v>
      </c>
      <c r="C2615" s="1">
        <v>45733</v>
      </c>
      <c r="D2615" t="str">
        <f>"736"</f>
        <v>736</v>
      </c>
      <c r="E2615" t="str">
        <f t="shared" si="143"/>
        <v>60440000</v>
      </c>
      <c r="F2615" t="s">
        <v>4535</v>
      </c>
      <c r="G2615" t="s">
        <v>336</v>
      </c>
      <c r="H2615" t="s">
        <v>5966</v>
      </c>
      <c r="I2615">
        <v>0</v>
      </c>
      <c r="J2615" t="s">
        <v>343</v>
      </c>
      <c r="K2615">
        <v>17500</v>
      </c>
      <c r="M2615">
        <v>17500</v>
      </c>
    </row>
    <row r="2616" spans="1:13" x14ac:dyDescent="0.35">
      <c r="A2616" t="str">
        <f t="shared" si="140"/>
        <v>STKCDG4573373760440000</v>
      </c>
      <c r="B2616" t="s">
        <v>3115</v>
      </c>
      <c r="C2616" s="1">
        <v>45733</v>
      </c>
      <c r="D2616" t="str">
        <f>"737"</f>
        <v>737</v>
      </c>
      <c r="E2616" t="str">
        <f t="shared" si="143"/>
        <v>60440000</v>
      </c>
      <c r="F2616" t="s">
        <v>4537</v>
      </c>
      <c r="G2616" t="s">
        <v>336</v>
      </c>
      <c r="H2616" t="s">
        <v>5875</v>
      </c>
      <c r="I2616">
        <v>0</v>
      </c>
      <c r="J2616" t="s">
        <v>343</v>
      </c>
      <c r="K2616">
        <v>50180</v>
      </c>
      <c r="M2616">
        <v>50180</v>
      </c>
    </row>
    <row r="2617" spans="1:13" x14ac:dyDescent="0.35">
      <c r="A2617" t="str">
        <f t="shared" si="140"/>
        <v>STKCDG4573373860440000</v>
      </c>
      <c r="B2617" t="s">
        <v>3115</v>
      </c>
      <c r="C2617" s="1">
        <v>45733</v>
      </c>
      <c r="D2617" t="str">
        <f>"738"</f>
        <v>738</v>
      </c>
      <c r="E2617" t="str">
        <f t="shared" si="143"/>
        <v>60440000</v>
      </c>
      <c r="F2617" t="s">
        <v>4539</v>
      </c>
      <c r="G2617" t="s">
        <v>336</v>
      </c>
      <c r="H2617" t="s">
        <v>5949</v>
      </c>
      <c r="I2617">
        <v>0</v>
      </c>
      <c r="J2617" t="s">
        <v>343</v>
      </c>
      <c r="K2617">
        <v>66185</v>
      </c>
      <c r="M2617">
        <v>66185</v>
      </c>
    </row>
    <row r="2618" spans="1:13" x14ac:dyDescent="0.35">
      <c r="A2618" t="str">
        <f t="shared" si="140"/>
        <v>STKCDG4573373960440000</v>
      </c>
      <c r="B2618" t="s">
        <v>3115</v>
      </c>
      <c r="C2618" s="1">
        <v>45733</v>
      </c>
      <c r="D2618" t="str">
        <f>"739"</f>
        <v>739</v>
      </c>
      <c r="E2618" t="str">
        <f t="shared" si="143"/>
        <v>60440000</v>
      </c>
      <c r="F2618" t="s">
        <v>4541</v>
      </c>
      <c r="G2618" t="s">
        <v>336</v>
      </c>
      <c r="H2618" t="s">
        <v>5880</v>
      </c>
      <c r="I2618">
        <v>0</v>
      </c>
      <c r="J2618" t="s">
        <v>343</v>
      </c>
      <c r="K2618">
        <v>66185</v>
      </c>
      <c r="M2618">
        <v>66185</v>
      </c>
    </row>
    <row r="2619" spans="1:13" x14ac:dyDescent="0.35">
      <c r="A2619" t="str">
        <f t="shared" si="140"/>
        <v>STKCDG4573374060440000</v>
      </c>
      <c r="B2619" t="s">
        <v>3115</v>
      </c>
      <c r="C2619" s="1">
        <v>45733</v>
      </c>
      <c r="D2619" t="str">
        <f>"740"</f>
        <v>740</v>
      </c>
      <c r="E2619" t="str">
        <f t="shared" si="143"/>
        <v>60440000</v>
      </c>
      <c r="F2619" t="s">
        <v>4543</v>
      </c>
      <c r="G2619" t="s">
        <v>336</v>
      </c>
      <c r="H2619" t="s">
        <v>5876</v>
      </c>
      <c r="I2619">
        <v>0</v>
      </c>
      <c r="J2619" t="s">
        <v>343</v>
      </c>
      <c r="K2619">
        <v>66185</v>
      </c>
      <c r="M2619">
        <v>66185</v>
      </c>
    </row>
    <row r="2620" spans="1:13" x14ac:dyDescent="0.35">
      <c r="A2620" t="str">
        <f t="shared" si="140"/>
        <v>STKCDG4573374160440000</v>
      </c>
      <c r="B2620" t="s">
        <v>3115</v>
      </c>
      <c r="C2620" s="1">
        <v>45733</v>
      </c>
      <c r="D2620" t="str">
        <f>"741"</f>
        <v>741</v>
      </c>
      <c r="E2620" t="str">
        <f t="shared" si="143"/>
        <v>60440000</v>
      </c>
      <c r="F2620" t="s">
        <v>4545</v>
      </c>
      <c r="G2620" t="s">
        <v>336</v>
      </c>
      <c r="H2620" t="s">
        <v>5966</v>
      </c>
      <c r="I2620">
        <v>0</v>
      </c>
      <c r="J2620" t="s">
        <v>343</v>
      </c>
      <c r="K2620">
        <v>3149</v>
      </c>
      <c r="M2620">
        <v>3149</v>
      </c>
    </row>
    <row r="2621" spans="1:13" x14ac:dyDescent="0.35">
      <c r="A2621" t="str">
        <f t="shared" si="140"/>
        <v>STKCDG4573374260440000</v>
      </c>
      <c r="B2621" t="s">
        <v>3115</v>
      </c>
      <c r="C2621" s="1">
        <v>45733</v>
      </c>
      <c r="D2621" t="str">
        <f>"742"</f>
        <v>742</v>
      </c>
      <c r="E2621" t="str">
        <f t="shared" si="143"/>
        <v>60440000</v>
      </c>
      <c r="F2621" t="s">
        <v>4547</v>
      </c>
      <c r="G2621" t="s">
        <v>336</v>
      </c>
      <c r="H2621" t="s">
        <v>5875</v>
      </c>
      <c r="I2621">
        <v>0</v>
      </c>
      <c r="J2621" t="s">
        <v>343</v>
      </c>
      <c r="K2621">
        <v>20391</v>
      </c>
      <c r="M2621">
        <v>20391</v>
      </c>
    </row>
    <row r="2622" spans="1:13" x14ac:dyDescent="0.35">
      <c r="A2622" t="str">
        <f t="shared" si="140"/>
        <v>STKCDG4573374360440000</v>
      </c>
      <c r="B2622" t="s">
        <v>3115</v>
      </c>
      <c r="C2622" s="1">
        <v>45733</v>
      </c>
      <c r="D2622" t="str">
        <f>"743"</f>
        <v>743</v>
      </c>
      <c r="E2622" t="str">
        <f t="shared" si="143"/>
        <v>60440000</v>
      </c>
      <c r="F2622" t="s">
        <v>4549</v>
      </c>
      <c r="G2622" t="s">
        <v>336</v>
      </c>
      <c r="H2622" t="s">
        <v>5875</v>
      </c>
      <c r="I2622">
        <v>0</v>
      </c>
      <c r="J2622" t="s">
        <v>343</v>
      </c>
      <c r="K2622">
        <v>20391</v>
      </c>
      <c r="M2622">
        <v>20391</v>
      </c>
    </row>
    <row r="2623" spans="1:13" x14ac:dyDescent="0.35">
      <c r="A2623" t="str">
        <f t="shared" si="140"/>
        <v>STKCDG4573374460440000</v>
      </c>
      <c r="B2623" t="s">
        <v>3115</v>
      </c>
      <c r="C2623" s="1">
        <v>45733</v>
      </c>
      <c r="D2623" t="str">
        <f>"744"</f>
        <v>744</v>
      </c>
      <c r="E2623" t="str">
        <f t="shared" si="143"/>
        <v>60440000</v>
      </c>
      <c r="F2623" t="s">
        <v>4551</v>
      </c>
      <c r="G2623" t="s">
        <v>336</v>
      </c>
      <c r="H2623" t="s">
        <v>5875</v>
      </c>
      <c r="I2623">
        <v>0</v>
      </c>
      <c r="J2623" t="s">
        <v>343</v>
      </c>
      <c r="K2623">
        <v>61173</v>
      </c>
      <c r="M2623">
        <v>61173</v>
      </c>
    </row>
    <row r="2624" spans="1:13" x14ac:dyDescent="0.35">
      <c r="A2624" t="str">
        <f t="shared" si="140"/>
        <v>STKCDG4573374560440000</v>
      </c>
      <c r="B2624" t="s">
        <v>3115</v>
      </c>
      <c r="C2624" s="1">
        <v>45733</v>
      </c>
      <c r="D2624" t="str">
        <f>"745"</f>
        <v>745</v>
      </c>
      <c r="E2624" t="str">
        <f t="shared" si="143"/>
        <v>60440000</v>
      </c>
      <c r="F2624" t="s">
        <v>4553</v>
      </c>
      <c r="G2624" t="s">
        <v>336</v>
      </c>
      <c r="H2624" t="s">
        <v>5876</v>
      </c>
      <c r="I2624">
        <v>0</v>
      </c>
      <c r="J2624" t="s">
        <v>343</v>
      </c>
      <c r="K2624">
        <v>61173</v>
      </c>
      <c r="M2624">
        <v>61173</v>
      </c>
    </row>
    <row r="2625" spans="1:13" x14ac:dyDescent="0.35">
      <c r="A2625" t="str">
        <f t="shared" si="140"/>
        <v>STKCDG4573374660440000</v>
      </c>
      <c r="B2625" t="s">
        <v>3115</v>
      </c>
      <c r="C2625" s="1">
        <v>45733</v>
      </c>
      <c r="D2625" t="str">
        <f>"746"</f>
        <v>746</v>
      </c>
      <c r="E2625" t="str">
        <f t="shared" si="143"/>
        <v>60440000</v>
      </c>
      <c r="F2625" t="s">
        <v>4555</v>
      </c>
      <c r="G2625" t="s">
        <v>336</v>
      </c>
      <c r="H2625" t="s">
        <v>5876</v>
      </c>
      <c r="I2625">
        <v>0</v>
      </c>
      <c r="J2625" t="s">
        <v>343</v>
      </c>
      <c r="K2625">
        <v>20391</v>
      </c>
      <c r="M2625">
        <v>20391</v>
      </c>
    </row>
    <row r="2626" spans="1:13" x14ac:dyDescent="0.35">
      <c r="A2626" t="str">
        <f t="shared" si="140"/>
        <v>STKCDG4573374760440000</v>
      </c>
      <c r="B2626" t="s">
        <v>3115</v>
      </c>
      <c r="C2626" s="1">
        <v>45733</v>
      </c>
      <c r="D2626" t="str">
        <f>"747"</f>
        <v>747</v>
      </c>
      <c r="E2626" t="str">
        <f t="shared" si="143"/>
        <v>60440000</v>
      </c>
      <c r="F2626" t="s">
        <v>4557</v>
      </c>
      <c r="G2626" t="s">
        <v>336</v>
      </c>
      <c r="H2626" t="s">
        <v>5876</v>
      </c>
      <c r="I2626">
        <v>0</v>
      </c>
      <c r="J2626" t="s">
        <v>343</v>
      </c>
      <c r="K2626">
        <v>40782</v>
      </c>
      <c r="M2626">
        <v>40782</v>
      </c>
    </row>
    <row r="2627" spans="1:13" x14ac:dyDescent="0.35">
      <c r="A2627" t="str">
        <f t="shared" ref="A2627:A2690" si="144">CONCATENATE(B2627,C2627,D2627,E2627)</f>
        <v>STKCDG4573374860440000</v>
      </c>
      <c r="B2627" t="s">
        <v>3115</v>
      </c>
      <c r="C2627" s="1">
        <v>45733</v>
      </c>
      <c r="D2627" t="str">
        <f>"748"</f>
        <v>748</v>
      </c>
      <c r="E2627" t="str">
        <f t="shared" si="143"/>
        <v>60440000</v>
      </c>
      <c r="F2627" t="s">
        <v>4559</v>
      </c>
      <c r="G2627" t="s">
        <v>336</v>
      </c>
      <c r="H2627" t="s">
        <v>5874</v>
      </c>
      <c r="I2627">
        <v>0</v>
      </c>
      <c r="J2627" t="s">
        <v>343</v>
      </c>
      <c r="K2627">
        <v>145250</v>
      </c>
      <c r="M2627">
        <v>145250</v>
      </c>
    </row>
    <row r="2628" spans="1:13" x14ac:dyDescent="0.35">
      <c r="A2628" t="str">
        <f t="shared" si="144"/>
        <v>STKCDG4573374960440000</v>
      </c>
      <c r="B2628" t="s">
        <v>3115</v>
      </c>
      <c r="C2628" s="1">
        <v>45733</v>
      </c>
      <c r="D2628" t="str">
        <f>"749"</f>
        <v>749</v>
      </c>
      <c r="E2628" t="str">
        <f t="shared" si="143"/>
        <v>60440000</v>
      </c>
      <c r="F2628" t="s">
        <v>4561</v>
      </c>
      <c r="G2628" t="s">
        <v>336</v>
      </c>
      <c r="H2628" t="s">
        <v>5966</v>
      </c>
      <c r="I2628">
        <v>0</v>
      </c>
      <c r="J2628" t="s">
        <v>343</v>
      </c>
      <c r="K2628">
        <v>262</v>
      </c>
      <c r="M2628">
        <v>262</v>
      </c>
    </row>
    <row r="2629" spans="1:13" x14ac:dyDescent="0.35">
      <c r="A2629" t="str">
        <f t="shared" si="144"/>
        <v>STKCDG4573444760440000</v>
      </c>
      <c r="B2629" t="s">
        <v>3115</v>
      </c>
      <c r="C2629" s="1">
        <v>45734</v>
      </c>
      <c r="D2629" t="str">
        <f>"447"</f>
        <v>447</v>
      </c>
      <c r="E2629" t="str">
        <f t="shared" si="143"/>
        <v>60440000</v>
      </c>
      <c r="F2629" t="s">
        <v>4563</v>
      </c>
      <c r="G2629" t="s">
        <v>336</v>
      </c>
      <c r="H2629" t="s">
        <v>5958</v>
      </c>
      <c r="I2629">
        <v>0</v>
      </c>
      <c r="J2629" t="s">
        <v>343</v>
      </c>
      <c r="K2629">
        <v>918</v>
      </c>
      <c r="M2629">
        <v>1443</v>
      </c>
    </row>
    <row r="2630" spans="1:13" x14ac:dyDescent="0.35">
      <c r="A2630" t="str">
        <f t="shared" si="144"/>
        <v>STKCDG4573444760440000</v>
      </c>
      <c r="B2630" t="s">
        <v>3115</v>
      </c>
      <c r="C2630" s="1">
        <v>45734</v>
      </c>
      <c r="D2630" t="str">
        <f>"447"</f>
        <v>447</v>
      </c>
      <c r="E2630" t="str">
        <f t="shared" si="143"/>
        <v>60440000</v>
      </c>
      <c r="F2630" t="s">
        <v>4563</v>
      </c>
      <c r="G2630" t="s">
        <v>336</v>
      </c>
      <c r="H2630" t="s">
        <v>5958</v>
      </c>
      <c r="I2630">
        <v>0</v>
      </c>
      <c r="J2630" t="s">
        <v>343</v>
      </c>
      <c r="K2630">
        <v>525</v>
      </c>
      <c r="M2630">
        <v>1443</v>
      </c>
    </row>
    <row r="2631" spans="1:13" x14ac:dyDescent="0.35">
      <c r="A2631" t="str">
        <f t="shared" si="144"/>
        <v>STKCDG4573444860440000</v>
      </c>
      <c r="B2631" t="s">
        <v>3115</v>
      </c>
      <c r="C2631" s="1">
        <v>45734</v>
      </c>
      <c r="D2631" t="str">
        <f>"448"</f>
        <v>448</v>
      </c>
      <c r="E2631" t="str">
        <f t="shared" si="143"/>
        <v>60440000</v>
      </c>
      <c r="F2631" t="s">
        <v>4565</v>
      </c>
      <c r="G2631" t="s">
        <v>336</v>
      </c>
      <c r="H2631" t="s">
        <v>5958</v>
      </c>
      <c r="I2631">
        <v>0</v>
      </c>
      <c r="J2631" t="s">
        <v>343</v>
      </c>
      <c r="K2631">
        <v>29977</v>
      </c>
      <c r="M2631">
        <v>29977</v>
      </c>
    </row>
    <row r="2632" spans="1:13" x14ac:dyDescent="0.35">
      <c r="A2632" t="str">
        <f t="shared" si="144"/>
        <v>STKCDG4573444960460000</v>
      </c>
      <c r="B2632" t="s">
        <v>3115</v>
      </c>
      <c r="C2632" s="1">
        <v>45734</v>
      </c>
      <c r="D2632" t="str">
        <f>"449"</f>
        <v>449</v>
      </c>
      <c r="E2632" t="str">
        <f>"60460000"</f>
        <v>60460000</v>
      </c>
      <c r="F2632" t="s">
        <v>4567</v>
      </c>
      <c r="G2632" t="s">
        <v>336</v>
      </c>
      <c r="H2632" t="s">
        <v>5875</v>
      </c>
      <c r="I2632">
        <v>0</v>
      </c>
      <c r="J2632" t="s">
        <v>343</v>
      </c>
      <c r="K2632">
        <v>77082</v>
      </c>
      <c r="M2632">
        <v>77082</v>
      </c>
    </row>
    <row r="2633" spans="1:13" x14ac:dyDescent="0.35">
      <c r="A2633" t="str">
        <f t="shared" si="144"/>
        <v>STKCDG4573445060460000</v>
      </c>
      <c r="B2633" t="s">
        <v>3115</v>
      </c>
      <c r="C2633" s="1">
        <v>45734</v>
      </c>
      <c r="D2633" t="str">
        <f>"450"</f>
        <v>450</v>
      </c>
      <c r="E2633" t="str">
        <f>"60460000"</f>
        <v>60460000</v>
      </c>
      <c r="F2633" t="s">
        <v>4569</v>
      </c>
      <c r="G2633" t="s">
        <v>336</v>
      </c>
      <c r="H2633" t="s">
        <v>5874</v>
      </c>
      <c r="I2633">
        <v>0</v>
      </c>
      <c r="J2633" t="s">
        <v>343</v>
      </c>
      <c r="K2633">
        <v>52730</v>
      </c>
      <c r="M2633">
        <v>52730</v>
      </c>
    </row>
    <row r="2634" spans="1:13" x14ac:dyDescent="0.35">
      <c r="A2634" t="str">
        <f t="shared" si="144"/>
        <v>STKCDG4573445160460000</v>
      </c>
      <c r="B2634" t="s">
        <v>3115</v>
      </c>
      <c r="C2634" s="1">
        <v>45734</v>
      </c>
      <c r="D2634" t="str">
        <f>"451"</f>
        <v>451</v>
      </c>
      <c r="E2634" t="str">
        <f>"60460000"</f>
        <v>60460000</v>
      </c>
      <c r="F2634" t="s">
        <v>4571</v>
      </c>
      <c r="G2634" t="s">
        <v>336</v>
      </c>
      <c r="H2634" t="s">
        <v>5881</v>
      </c>
      <c r="I2634">
        <v>0</v>
      </c>
      <c r="J2634" t="s">
        <v>343</v>
      </c>
      <c r="K2634">
        <v>196</v>
      </c>
      <c r="M2634">
        <v>5208</v>
      </c>
    </row>
    <row r="2635" spans="1:13" x14ac:dyDescent="0.35">
      <c r="A2635" t="str">
        <f t="shared" si="144"/>
        <v>STKCDG4573445160460000</v>
      </c>
      <c r="B2635" t="s">
        <v>3115</v>
      </c>
      <c r="C2635" s="1">
        <v>45734</v>
      </c>
      <c r="D2635" t="str">
        <f>"451"</f>
        <v>451</v>
      </c>
      <c r="E2635" t="str">
        <f>"60460000"</f>
        <v>60460000</v>
      </c>
      <c r="F2635" t="s">
        <v>4571</v>
      </c>
      <c r="G2635" t="s">
        <v>336</v>
      </c>
      <c r="H2635" t="s">
        <v>5881</v>
      </c>
      <c r="I2635">
        <v>0</v>
      </c>
      <c r="J2635" t="s">
        <v>343</v>
      </c>
      <c r="K2635">
        <v>5012</v>
      </c>
      <c r="M2635">
        <v>5208</v>
      </c>
    </row>
    <row r="2636" spans="1:13" x14ac:dyDescent="0.35">
      <c r="A2636" t="str">
        <f t="shared" si="144"/>
        <v>STKCDG4573445260440000</v>
      </c>
      <c r="B2636" t="s">
        <v>3115</v>
      </c>
      <c r="C2636" s="1">
        <v>45734</v>
      </c>
      <c r="D2636" t="str">
        <f>"452"</f>
        <v>452</v>
      </c>
      <c r="E2636" t="str">
        <f>"60440000"</f>
        <v>60440000</v>
      </c>
      <c r="F2636" t="s">
        <v>4573</v>
      </c>
      <c r="G2636" t="s">
        <v>336</v>
      </c>
      <c r="H2636" t="s">
        <v>5875</v>
      </c>
      <c r="I2636">
        <v>0</v>
      </c>
      <c r="J2636" t="s">
        <v>343</v>
      </c>
      <c r="K2636">
        <v>181701</v>
      </c>
      <c r="M2636">
        <v>181701</v>
      </c>
    </row>
    <row r="2637" spans="1:13" x14ac:dyDescent="0.35">
      <c r="A2637" t="str">
        <f t="shared" si="144"/>
        <v>STKCDG4573445360430000</v>
      </c>
      <c r="B2637" t="s">
        <v>3115</v>
      </c>
      <c r="C2637" s="1">
        <v>45734</v>
      </c>
      <c r="D2637" t="str">
        <f>"453"</f>
        <v>453</v>
      </c>
      <c r="E2637" t="str">
        <f>"60430000"</f>
        <v>60430000</v>
      </c>
      <c r="F2637" t="s">
        <v>4575</v>
      </c>
      <c r="G2637" t="s">
        <v>336</v>
      </c>
      <c r="H2637" t="s">
        <v>5875</v>
      </c>
      <c r="I2637">
        <v>0</v>
      </c>
      <c r="J2637" t="s">
        <v>343</v>
      </c>
      <c r="K2637">
        <v>162121</v>
      </c>
      <c r="M2637">
        <v>162121</v>
      </c>
    </row>
    <row r="2638" spans="1:13" x14ac:dyDescent="0.35">
      <c r="A2638" t="str">
        <f t="shared" si="144"/>
        <v>STKCDG4573445460440000</v>
      </c>
      <c r="B2638" t="s">
        <v>3115</v>
      </c>
      <c r="C2638" s="1">
        <v>45734</v>
      </c>
      <c r="D2638" t="str">
        <f>"454"</f>
        <v>454</v>
      </c>
      <c r="E2638" t="str">
        <f>"60440000"</f>
        <v>60440000</v>
      </c>
      <c r="F2638" t="s">
        <v>4577</v>
      </c>
      <c r="G2638" t="s">
        <v>336</v>
      </c>
      <c r="H2638" t="s">
        <v>5876</v>
      </c>
      <c r="I2638">
        <v>0</v>
      </c>
      <c r="J2638" t="s">
        <v>343</v>
      </c>
      <c r="K2638">
        <v>3477</v>
      </c>
      <c r="M2638">
        <v>3477</v>
      </c>
    </row>
    <row r="2639" spans="1:13" x14ac:dyDescent="0.35">
      <c r="A2639" t="str">
        <f t="shared" si="144"/>
        <v>STKCDG4573445560460000</v>
      </c>
      <c r="B2639" t="s">
        <v>3115</v>
      </c>
      <c r="C2639" s="1">
        <v>45734</v>
      </c>
      <c r="D2639" t="str">
        <f>"455"</f>
        <v>455</v>
      </c>
      <c r="E2639" t="str">
        <f>"60460000"</f>
        <v>60460000</v>
      </c>
      <c r="F2639" t="s">
        <v>4579</v>
      </c>
      <c r="G2639" t="s">
        <v>336</v>
      </c>
      <c r="H2639" t="s">
        <v>5949</v>
      </c>
      <c r="I2639">
        <v>0</v>
      </c>
      <c r="J2639" t="s">
        <v>343</v>
      </c>
      <c r="K2639">
        <v>1350</v>
      </c>
      <c r="M2639">
        <v>1350</v>
      </c>
    </row>
    <row r="2640" spans="1:13" x14ac:dyDescent="0.35">
      <c r="A2640" t="str">
        <f t="shared" si="144"/>
        <v>STKCDG4573445660440000</v>
      </c>
      <c r="B2640" t="s">
        <v>3115</v>
      </c>
      <c r="C2640" s="1">
        <v>45734</v>
      </c>
      <c r="D2640" t="str">
        <f>"456"</f>
        <v>456</v>
      </c>
      <c r="E2640" t="str">
        <f>"60440000"</f>
        <v>60440000</v>
      </c>
      <c r="F2640" t="s">
        <v>4581</v>
      </c>
      <c r="G2640" t="s">
        <v>336</v>
      </c>
      <c r="H2640" t="s">
        <v>5946</v>
      </c>
      <c r="I2640">
        <v>0</v>
      </c>
      <c r="J2640" t="s">
        <v>343</v>
      </c>
      <c r="K2640">
        <v>1312</v>
      </c>
      <c r="M2640">
        <v>6429</v>
      </c>
    </row>
    <row r="2641" spans="1:13" x14ac:dyDescent="0.35">
      <c r="A2641" t="str">
        <f t="shared" si="144"/>
        <v>STKCDG4573445660440000</v>
      </c>
      <c r="B2641" t="s">
        <v>3115</v>
      </c>
      <c r="C2641" s="1">
        <v>45734</v>
      </c>
      <c r="D2641" t="str">
        <f>"456"</f>
        <v>456</v>
      </c>
      <c r="E2641" t="str">
        <f>"60440000"</f>
        <v>60440000</v>
      </c>
      <c r="F2641" t="s">
        <v>4581</v>
      </c>
      <c r="G2641" t="s">
        <v>336</v>
      </c>
      <c r="H2641" t="s">
        <v>5946</v>
      </c>
      <c r="I2641">
        <v>0</v>
      </c>
      <c r="J2641" t="s">
        <v>343</v>
      </c>
      <c r="K2641">
        <v>5117</v>
      </c>
      <c r="M2641">
        <v>6429</v>
      </c>
    </row>
    <row r="2642" spans="1:13" x14ac:dyDescent="0.35">
      <c r="A2642" t="str">
        <f t="shared" si="144"/>
        <v>STKCDG4573445760440000</v>
      </c>
      <c r="B2642" t="s">
        <v>3115</v>
      </c>
      <c r="C2642" s="1">
        <v>45734</v>
      </c>
      <c r="D2642" t="str">
        <f>"457"</f>
        <v>457</v>
      </c>
      <c r="E2642" t="str">
        <f>"60440000"</f>
        <v>60440000</v>
      </c>
      <c r="F2642" t="s">
        <v>4583</v>
      </c>
      <c r="G2642" t="s">
        <v>336</v>
      </c>
      <c r="H2642" t="s">
        <v>5875</v>
      </c>
      <c r="I2642">
        <v>0</v>
      </c>
      <c r="J2642" t="s">
        <v>343</v>
      </c>
      <c r="K2642">
        <v>2165</v>
      </c>
      <c r="M2642">
        <v>2165</v>
      </c>
    </row>
    <row r="2643" spans="1:13" x14ac:dyDescent="0.35">
      <c r="A2643" t="str">
        <f t="shared" si="144"/>
        <v>STKCDG4573445860460000</v>
      </c>
      <c r="B2643" t="s">
        <v>3115</v>
      </c>
      <c r="C2643" s="1">
        <v>45734</v>
      </c>
      <c r="D2643" t="str">
        <f>"458"</f>
        <v>458</v>
      </c>
      <c r="E2643" t="str">
        <f>"60460000"</f>
        <v>60460000</v>
      </c>
      <c r="F2643" t="s">
        <v>4585</v>
      </c>
      <c r="G2643" t="s">
        <v>336</v>
      </c>
      <c r="H2643" t="s">
        <v>5880</v>
      </c>
      <c r="I2643">
        <v>0</v>
      </c>
      <c r="J2643" t="s">
        <v>343</v>
      </c>
      <c r="K2643">
        <v>1346</v>
      </c>
      <c r="M2643">
        <v>1346</v>
      </c>
    </row>
    <row r="2644" spans="1:13" x14ac:dyDescent="0.35">
      <c r="A2644" t="str">
        <f t="shared" si="144"/>
        <v>STKCDG4573445960460000</v>
      </c>
      <c r="B2644" t="s">
        <v>3115</v>
      </c>
      <c r="C2644" s="1">
        <v>45734</v>
      </c>
      <c r="D2644" t="str">
        <f>"459"</f>
        <v>459</v>
      </c>
      <c r="E2644" t="str">
        <f>"60460000"</f>
        <v>60460000</v>
      </c>
      <c r="F2644" t="s">
        <v>4587</v>
      </c>
      <c r="G2644" t="s">
        <v>336</v>
      </c>
      <c r="H2644" t="s">
        <v>5874</v>
      </c>
      <c r="I2644">
        <v>0</v>
      </c>
      <c r="J2644" t="s">
        <v>343</v>
      </c>
      <c r="K2644">
        <v>294</v>
      </c>
      <c r="M2644">
        <v>1094</v>
      </c>
    </row>
    <row r="2645" spans="1:13" x14ac:dyDescent="0.35">
      <c r="A2645" t="str">
        <f t="shared" si="144"/>
        <v>STKCDG4573445960460000</v>
      </c>
      <c r="B2645" t="s">
        <v>3115</v>
      </c>
      <c r="C2645" s="1">
        <v>45734</v>
      </c>
      <c r="D2645" t="str">
        <f>"459"</f>
        <v>459</v>
      </c>
      <c r="E2645" t="str">
        <f>"60460000"</f>
        <v>60460000</v>
      </c>
      <c r="F2645" t="s">
        <v>4587</v>
      </c>
      <c r="G2645" t="s">
        <v>336</v>
      </c>
      <c r="H2645" t="s">
        <v>5874</v>
      </c>
      <c r="I2645">
        <v>0</v>
      </c>
      <c r="J2645" t="s">
        <v>343</v>
      </c>
      <c r="K2645">
        <v>800</v>
      </c>
      <c r="M2645">
        <v>1094</v>
      </c>
    </row>
    <row r="2646" spans="1:13" x14ac:dyDescent="0.35">
      <c r="A2646" t="str">
        <f t="shared" si="144"/>
        <v>STKCDG4573446060410000</v>
      </c>
      <c r="B2646" t="s">
        <v>3115</v>
      </c>
      <c r="C2646" s="1">
        <v>45734</v>
      </c>
      <c r="D2646" t="str">
        <f>"460"</f>
        <v>460</v>
      </c>
      <c r="E2646" t="str">
        <f t="shared" ref="E2646:E2651" si="145">"60410000"</f>
        <v>60410000</v>
      </c>
      <c r="F2646" t="s">
        <v>4589</v>
      </c>
      <c r="G2646" t="s">
        <v>336</v>
      </c>
      <c r="H2646" t="s">
        <v>5876</v>
      </c>
      <c r="I2646">
        <v>0</v>
      </c>
      <c r="J2646" t="s">
        <v>343</v>
      </c>
      <c r="K2646">
        <v>3298</v>
      </c>
      <c r="M2646">
        <v>9654</v>
      </c>
    </row>
    <row r="2647" spans="1:13" x14ac:dyDescent="0.35">
      <c r="A2647" t="str">
        <f t="shared" si="144"/>
        <v>STKCDG4573446060410000</v>
      </c>
      <c r="B2647" t="s">
        <v>3115</v>
      </c>
      <c r="C2647" s="1">
        <v>45734</v>
      </c>
      <c r="D2647" t="str">
        <f>"460"</f>
        <v>460</v>
      </c>
      <c r="E2647" t="str">
        <f t="shared" si="145"/>
        <v>60410000</v>
      </c>
      <c r="F2647" t="s">
        <v>4589</v>
      </c>
      <c r="G2647" t="s">
        <v>336</v>
      </c>
      <c r="H2647" t="s">
        <v>5876</v>
      </c>
      <c r="I2647">
        <v>0</v>
      </c>
      <c r="J2647" t="s">
        <v>343</v>
      </c>
      <c r="K2647">
        <v>6356</v>
      </c>
      <c r="M2647">
        <v>9654</v>
      </c>
    </row>
    <row r="2648" spans="1:13" x14ac:dyDescent="0.35">
      <c r="A2648" t="str">
        <f t="shared" si="144"/>
        <v>STKCDG4573446160410000</v>
      </c>
      <c r="B2648" t="s">
        <v>3115</v>
      </c>
      <c r="C2648" s="1">
        <v>45734</v>
      </c>
      <c r="D2648" t="str">
        <f>"461"</f>
        <v>461</v>
      </c>
      <c r="E2648" t="str">
        <f t="shared" si="145"/>
        <v>60410000</v>
      </c>
      <c r="F2648" t="s">
        <v>4591</v>
      </c>
      <c r="G2648" t="s">
        <v>336</v>
      </c>
      <c r="H2648" t="s">
        <v>5876</v>
      </c>
      <c r="I2648">
        <v>0</v>
      </c>
      <c r="J2648" t="s">
        <v>343</v>
      </c>
      <c r="K2648">
        <v>3298</v>
      </c>
      <c r="M2648">
        <v>6476</v>
      </c>
    </row>
    <row r="2649" spans="1:13" x14ac:dyDescent="0.35">
      <c r="A2649" t="str">
        <f t="shared" si="144"/>
        <v>STKCDG4573446160410000</v>
      </c>
      <c r="B2649" t="s">
        <v>3115</v>
      </c>
      <c r="C2649" s="1">
        <v>45734</v>
      </c>
      <c r="D2649" t="str">
        <f>"461"</f>
        <v>461</v>
      </c>
      <c r="E2649" t="str">
        <f t="shared" si="145"/>
        <v>60410000</v>
      </c>
      <c r="F2649" t="s">
        <v>4591</v>
      </c>
      <c r="G2649" t="s">
        <v>336</v>
      </c>
      <c r="H2649" t="s">
        <v>5876</v>
      </c>
      <c r="I2649">
        <v>0</v>
      </c>
      <c r="J2649" t="s">
        <v>343</v>
      </c>
      <c r="K2649">
        <v>3178</v>
      </c>
      <c r="M2649">
        <v>6476</v>
      </c>
    </row>
    <row r="2650" spans="1:13" x14ac:dyDescent="0.35">
      <c r="A2650" t="str">
        <f t="shared" si="144"/>
        <v>STKCDG4573446260410000</v>
      </c>
      <c r="B2650" t="s">
        <v>3115</v>
      </c>
      <c r="C2650" s="1">
        <v>45734</v>
      </c>
      <c r="D2650" t="str">
        <f>"462"</f>
        <v>462</v>
      </c>
      <c r="E2650" t="str">
        <f t="shared" si="145"/>
        <v>60410000</v>
      </c>
      <c r="F2650" t="s">
        <v>4593</v>
      </c>
      <c r="G2650" t="s">
        <v>336</v>
      </c>
      <c r="H2650" t="s">
        <v>5876</v>
      </c>
      <c r="I2650">
        <v>0</v>
      </c>
      <c r="J2650" t="s">
        <v>343</v>
      </c>
      <c r="K2650">
        <v>33600</v>
      </c>
      <c r="M2650">
        <v>36600</v>
      </c>
    </row>
    <row r="2651" spans="1:13" x14ac:dyDescent="0.35">
      <c r="A2651" t="str">
        <f t="shared" si="144"/>
        <v>STKCDG4573446260410000</v>
      </c>
      <c r="B2651" t="s">
        <v>3115</v>
      </c>
      <c r="C2651" s="1">
        <v>45734</v>
      </c>
      <c r="D2651" t="str">
        <f>"462"</f>
        <v>462</v>
      </c>
      <c r="E2651" t="str">
        <f t="shared" si="145"/>
        <v>60410000</v>
      </c>
      <c r="F2651" t="s">
        <v>4593</v>
      </c>
      <c r="G2651" t="s">
        <v>336</v>
      </c>
      <c r="H2651" t="s">
        <v>5876</v>
      </c>
      <c r="I2651">
        <v>0</v>
      </c>
      <c r="J2651" t="s">
        <v>343</v>
      </c>
      <c r="K2651">
        <v>3000</v>
      </c>
      <c r="M2651">
        <v>36600</v>
      </c>
    </row>
    <row r="2652" spans="1:13" x14ac:dyDescent="0.35">
      <c r="A2652" t="str">
        <f t="shared" si="144"/>
        <v>STKCDG4573446360440000</v>
      </c>
      <c r="B2652" t="s">
        <v>3115</v>
      </c>
      <c r="C2652" s="1">
        <v>45734</v>
      </c>
      <c r="D2652" t="str">
        <f>"463"</f>
        <v>463</v>
      </c>
      <c r="E2652" t="str">
        <f>"60440000"</f>
        <v>60440000</v>
      </c>
      <c r="F2652" t="s">
        <v>4595</v>
      </c>
      <c r="G2652" t="s">
        <v>336</v>
      </c>
      <c r="H2652" t="s">
        <v>5875</v>
      </c>
      <c r="I2652">
        <v>0</v>
      </c>
      <c r="J2652" t="s">
        <v>343</v>
      </c>
      <c r="K2652">
        <v>39619</v>
      </c>
      <c r="M2652">
        <v>39619</v>
      </c>
    </row>
    <row r="2653" spans="1:13" x14ac:dyDescent="0.35">
      <c r="A2653" t="str">
        <f t="shared" si="144"/>
        <v>STKCDG4573446460460000</v>
      </c>
      <c r="B2653" t="s">
        <v>3115</v>
      </c>
      <c r="C2653" s="1">
        <v>45734</v>
      </c>
      <c r="D2653" t="str">
        <f>"464"</f>
        <v>464</v>
      </c>
      <c r="E2653" t="str">
        <f>"60460000"</f>
        <v>60460000</v>
      </c>
      <c r="F2653" t="s">
        <v>4597</v>
      </c>
      <c r="G2653" t="s">
        <v>336</v>
      </c>
      <c r="H2653" t="s">
        <v>5875</v>
      </c>
      <c r="I2653">
        <v>0</v>
      </c>
      <c r="J2653" t="s">
        <v>343</v>
      </c>
      <c r="K2653">
        <v>3000</v>
      </c>
      <c r="M2653">
        <v>3000</v>
      </c>
    </row>
    <row r="2654" spans="1:13" x14ac:dyDescent="0.35">
      <c r="A2654" t="str">
        <f t="shared" si="144"/>
        <v>STKCDG4573446560430000</v>
      </c>
      <c r="B2654" t="s">
        <v>3115</v>
      </c>
      <c r="C2654" s="1">
        <v>45734</v>
      </c>
      <c r="D2654" t="str">
        <f>"465"</f>
        <v>465</v>
      </c>
      <c r="E2654" t="str">
        <f>"60430000"</f>
        <v>60430000</v>
      </c>
      <c r="F2654" t="s">
        <v>4599</v>
      </c>
      <c r="G2654" t="s">
        <v>336</v>
      </c>
      <c r="H2654" t="s">
        <v>5966</v>
      </c>
      <c r="I2654">
        <v>0</v>
      </c>
      <c r="J2654" t="s">
        <v>343</v>
      </c>
      <c r="K2654">
        <v>2550</v>
      </c>
      <c r="M2654">
        <v>2550</v>
      </c>
    </row>
    <row r="2655" spans="1:13" x14ac:dyDescent="0.35">
      <c r="A2655" t="str">
        <f t="shared" si="144"/>
        <v>STKCDG4573446660460000</v>
      </c>
      <c r="B2655" t="s">
        <v>3115</v>
      </c>
      <c r="C2655" s="1">
        <v>45734</v>
      </c>
      <c r="D2655" t="str">
        <f>"466"</f>
        <v>466</v>
      </c>
      <c r="E2655" t="str">
        <f>"60460000"</f>
        <v>60460000</v>
      </c>
      <c r="F2655" t="s">
        <v>4601</v>
      </c>
      <c r="G2655" t="s">
        <v>336</v>
      </c>
      <c r="H2655" t="s">
        <v>5966</v>
      </c>
      <c r="I2655">
        <v>0</v>
      </c>
      <c r="J2655" t="s">
        <v>343</v>
      </c>
      <c r="K2655">
        <v>750</v>
      </c>
      <c r="M2655">
        <v>750</v>
      </c>
    </row>
    <row r="2656" spans="1:13" x14ac:dyDescent="0.35">
      <c r="A2656" t="str">
        <f t="shared" si="144"/>
        <v>STKCDG4573446760460000</v>
      </c>
      <c r="B2656" t="s">
        <v>3115</v>
      </c>
      <c r="C2656" s="1">
        <v>45734</v>
      </c>
      <c r="D2656" t="str">
        <f>"467"</f>
        <v>467</v>
      </c>
      <c r="E2656" t="str">
        <f>"60460000"</f>
        <v>60460000</v>
      </c>
      <c r="F2656" t="s">
        <v>4603</v>
      </c>
      <c r="G2656" t="s">
        <v>336</v>
      </c>
      <c r="H2656" t="s">
        <v>5966</v>
      </c>
      <c r="I2656">
        <v>0</v>
      </c>
      <c r="J2656" t="s">
        <v>343</v>
      </c>
      <c r="K2656">
        <v>3000</v>
      </c>
      <c r="M2656">
        <v>3000</v>
      </c>
    </row>
    <row r="2657" spans="1:13" x14ac:dyDescent="0.35">
      <c r="A2657" t="str">
        <f t="shared" si="144"/>
        <v>STKCDG4573446860440000</v>
      </c>
      <c r="B2657" t="s">
        <v>3115</v>
      </c>
      <c r="C2657" s="1">
        <v>45734</v>
      </c>
      <c r="D2657" t="str">
        <f>"468"</f>
        <v>468</v>
      </c>
      <c r="E2657" t="str">
        <f>"60440000"</f>
        <v>60440000</v>
      </c>
      <c r="F2657" t="s">
        <v>4605</v>
      </c>
      <c r="G2657" t="s">
        <v>336</v>
      </c>
      <c r="H2657" t="s">
        <v>5966</v>
      </c>
      <c r="I2657">
        <v>0</v>
      </c>
      <c r="J2657" t="s">
        <v>343</v>
      </c>
      <c r="K2657">
        <v>122270</v>
      </c>
      <c r="M2657">
        <v>122270</v>
      </c>
    </row>
    <row r="2658" spans="1:13" x14ac:dyDescent="0.35">
      <c r="A2658" t="str">
        <f t="shared" si="144"/>
        <v>STKCDG4573446960430000</v>
      </c>
      <c r="B2658" t="s">
        <v>3115</v>
      </c>
      <c r="C2658" s="1">
        <v>45734</v>
      </c>
      <c r="D2658" t="str">
        <f>"469"</f>
        <v>469</v>
      </c>
      <c r="E2658" t="str">
        <f>"60430000"</f>
        <v>60430000</v>
      </c>
      <c r="F2658" t="s">
        <v>4607</v>
      </c>
      <c r="G2658" t="s">
        <v>336</v>
      </c>
      <c r="H2658" t="s">
        <v>5966</v>
      </c>
      <c r="I2658">
        <v>0</v>
      </c>
      <c r="J2658" t="s">
        <v>343</v>
      </c>
      <c r="K2658">
        <v>66825</v>
      </c>
      <c r="M2658">
        <v>66825</v>
      </c>
    </row>
    <row r="2659" spans="1:13" x14ac:dyDescent="0.35">
      <c r="A2659" t="str">
        <f t="shared" si="144"/>
        <v>STKCDG4573447060460000</v>
      </c>
      <c r="B2659" t="s">
        <v>3115</v>
      </c>
      <c r="C2659" s="1">
        <v>45734</v>
      </c>
      <c r="D2659" t="str">
        <f>"470"</f>
        <v>470</v>
      </c>
      <c r="E2659" t="str">
        <f>"60460000"</f>
        <v>60460000</v>
      </c>
      <c r="F2659" t="s">
        <v>4609</v>
      </c>
      <c r="G2659" t="s">
        <v>336</v>
      </c>
      <c r="H2659" t="s">
        <v>6012</v>
      </c>
      <c r="I2659">
        <v>0</v>
      </c>
      <c r="J2659" t="s">
        <v>343</v>
      </c>
      <c r="K2659">
        <v>1100</v>
      </c>
      <c r="M2659">
        <v>1100</v>
      </c>
    </row>
    <row r="2660" spans="1:13" x14ac:dyDescent="0.35">
      <c r="A2660" t="str">
        <f t="shared" si="144"/>
        <v>STKCDG4573447160460000</v>
      </c>
      <c r="B2660" t="s">
        <v>3115</v>
      </c>
      <c r="C2660" s="1">
        <v>45734</v>
      </c>
      <c r="D2660" t="str">
        <f>"471"</f>
        <v>471</v>
      </c>
      <c r="E2660" t="str">
        <f>"60460000"</f>
        <v>60460000</v>
      </c>
      <c r="F2660" t="s">
        <v>4611</v>
      </c>
      <c r="G2660" t="s">
        <v>336</v>
      </c>
      <c r="H2660" t="s">
        <v>5966</v>
      </c>
      <c r="I2660">
        <v>0</v>
      </c>
      <c r="J2660" t="s">
        <v>343</v>
      </c>
      <c r="K2660">
        <v>7700</v>
      </c>
      <c r="M2660">
        <v>7700</v>
      </c>
    </row>
    <row r="2661" spans="1:13" x14ac:dyDescent="0.35">
      <c r="A2661" t="str">
        <f t="shared" si="144"/>
        <v>STKCDG4573447260460000</v>
      </c>
      <c r="B2661" t="s">
        <v>3115</v>
      </c>
      <c r="C2661" s="1">
        <v>45734</v>
      </c>
      <c r="D2661" t="str">
        <f>"472"</f>
        <v>472</v>
      </c>
      <c r="E2661" t="str">
        <f>"60460000"</f>
        <v>60460000</v>
      </c>
      <c r="F2661" t="s">
        <v>4613</v>
      </c>
      <c r="G2661" t="s">
        <v>336</v>
      </c>
      <c r="H2661" t="s">
        <v>5966</v>
      </c>
      <c r="I2661">
        <v>0</v>
      </c>
      <c r="J2661" t="s">
        <v>343</v>
      </c>
      <c r="K2661">
        <v>360</v>
      </c>
      <c r="M2661">
        <v>360</v>
      </c>
    </row>
    <row r="2662" spans="1:13" x14ac:dyDescent="0.35">
      <c r="A2662" t="str">
        <f t="shared" si="144"/>
        <v>STKCDG4573447360440000</v>
      </c>
      <c r="B2662" t="s">
        <v>3115</v>
      </c>
      <c r="C2662" s="1">
        <v>45734</v>
      </c>
      <c r="D2662" t="str">
        <f>"473"</f>
        <v>473</v>
      </c>
      <c r="E2662" t="str">
        <f>"60440000"</f>
        <v>60440000</v>
      </c>
      <c r="F2662" t="s">
        <v>4615</v>
      </c>
      <c r="G2662" t="s">
        <v>336</v>
      </c>
      <c r="H2662" t="s">
        <v>5966</v>
      </c>
      <c r="I2662">
        <v>0</v>
      </c>
      <c r="J2662" t="s">
        <v>343</v>
      </c>
      <c r="K2662">
        <v>5117</v>
      </c>
      <c r="M2662">
        <v>5117</v>
      </c>
    </row>
    <row r="2663" spans="1:13" x14ac:dyDescent="0.35">
      <c r="A2663" t="str">
        <f t="shared" si="144"/>
        <v>STKCDG4573447460440000</v>
      </c>
      <c r="B2663" t="s">
        <v>3115</v>
      </c>
      <c r="C2663" s="1">
        <v>45734</v>
      </c>
      <c r="D2663" t="str">
        <f>"474"</f>
        <v>474</v>
      </c>
      <c r="E2663" t="str">
        <f>"60440000"</f>
        <v>60440000</v>
      </c>
      <c r="F2663" t="s">
        <v>4617</v>
      </c>
      <c r="G2663" t="s">
        <v>336</v>
      </c>
      <c r="H2663" t="s">
        <v>5966</v>
      </c>
      <c r="I2663">
        <v>0</v>
      </c>
      <c r="J2663" t="s">
        <v>343</v>
      </c>
      <c r="K2663">
        <v>1181</v>
      </c>
      <c r="M2663">
        <v>1181</v>
      </c>
    </row>
    <row r="2664" spans="1:13" x14ac:dyDescent="0.35">
      <c r="A2664" t="str">
        <f t="shared" si="144"/>
        <v>STKCDG4573447560440000</v>
      </c>
      <c r="B2664" t="s">
        <v>3115</v>
      </c>
      <c r="C2664" s="1">
        <v>45734</v>
      </c>
      <c r="D2664" t="str">
        <f>"475"</f>
        <v>475</v>
      </c>
      <c r="E2664" t="str">
        <f>"60440000"</f>
        <v>60440000</v>
      </c>
      <c r="F2664" t="s">
        <v>4619</v>
      </c>
      <c r="G2664" t="s">
        <v>336</v>
      </c>
      <c r="H2664" t="s">
        <v>5966</v>
      </c>
      <c r="I2664">
        <v>0</v>
      </c>
      <c r="J2664" t="s">
        <v>343</v>
      </c>
      <c r="K2664">
        <v>787</v>
      </c>
      <c r="M2664">
        <v>787</v>
      </c>
    </row>
    <row r="2665" spans="1:13" x14ac:dyDescent="0.35">
      <c r="A2665" t="str">
        <f t="shared" si="144"/>
        <v>STKCDG4573447660460000</v>
      </c>
      <c r="B2665" t="s">
        <v>3115</v>
      </c>
      <c r="C2665" s="1">
        <v>45734</v>
      </c>
      <c r="D2665" t="str">
        <f>"476"</f>
        <v>476</v>
      </c>
      <c r="E2665" t="str">
        <f>"60460000"</f>
        <v>60460000</v>
      </c>
      <c r="F2665" t="s">
        <v>4621</v>
      </c>
      <c r="G2665" t="s">
        <v>336</v>
      </c>
      <c r="H2665" t="s">
        <v>5966</v>
      </c>
      <c r="I2665">
        <v>0</v>
      </c>
      <c r="J2665" t="s">
        <v>343</v>
      </c>
      <c r="K2665">
        <v>279</v>
      </c>
      <c r="M2665">
        <v>279</v>
      </c>
    </row>
    <row r="2666" spans="1:13" x14ac:dyDescent="0.35">
      <c r="A2666" t="str">
        <f t="shared" si="144"/>
        <v>STKCDG4573447760460000</v>
      </c>
      <c r="B2666" t="s">
        <v>3115</v>
      </c>
      <c r="C2666" s="1">
        <v>45734</v>
      </c>
      <c r="D2666" t="str">
        <f>"477"</f>
        <v>477</v>
      </c>
      <c r="E2666" t="str">
        <f>"60460000"</f>
        <v>60460000</v>
      </c>
      <c r="F2666" t="s">
        <v>4623</v>
      </c>
      <c r="G2666" t="s">
        <v>336</v>
      </c>
      <c r="H2666" t="s">
        <v>5875</v>
      </c>
      <c r="I2666">
        <v>0</v>
      </c>
      <c r="J2666" t="s">
        <v>343</v>
      </c>
      <c r="K2666">
        <v>546</v>
      </c>
      <c r="M2666">
        <v>546</v>
      </c>
    </row>
    <row r="2667" spans="1:13" x14ac:dyDescent="0.35">
      <c r="A2667" t="str">
        <f t="shared" si="144"/>
        <v>STKCDG4573447860440000</v>
      </c>
      <c r="B2667" t="s">
        <v>3115</v>
      </c>
      <c r="C2667" s="1">
        <v>45734</v>
      </c>
      <c r="D2667" t="str">
        <f>"478"</f>
        <v>478</v>
      </c>
      <c r="E2667" t="str">
        <f>"60440000"</f>
        <v>60440000</v>
      </c>
      <c r="F2667" t="s">
        <v>4625</v>
      </c>
      <c r="G2667" t="s">
        <v>336</v>
      </c>
      <c r="H2667" t="s">
        <v>5875</v>
      </c>
      <c r="I2667">
        <v>0</v>
      </c>
      <c r="J2667" t="s">
        <v>343</v>
      </c>
      <c r="K2667">
        <v>2493</v>
      </c>
      <c r="M2667">
        <v>2493</v>
      </c>
    </row>
    <row r="2668" spans="1:13" x14ac:dyDescent="0.35">
      <c r="A2668" t="str">
        <f t="shared" si="144"/>
        <v>STKCDG4573447960460000</v>
      </c>
      <c r="B2668" t="s">
        <v>3115</v>
      </c>
      <c r="C2668" s="1">
        <v>45734</v>
      </c>
      <c r="D2668" t="str">
        <f>"479"</f>
        <v>479</v>
      </c>
      <c r="E2668" t="str">
        <f>"60460000"</f>
        <v>60460000</v>
      </c>
      <c r="F2668" t="s">
        <v>4627</v>
      </c>
      <c r="G2668" t="s">
        <v>336</v>
      </c>
      <c r="H2668" t="s">
        <v>5875</v>
      </c>
      <c r="I2668">
        <v>0</v>
      </c>
      <c r="J2668" t="s">
        <v>343</v>
      </c>
      <c r="K2668">
        <v>1200</v>
      </c>
      <c r="M2668">
        <v>1200</v>
      </c>
    </row>
    <row r="2669" spans="1:13" x14ac:dyDescent="0.35">
      <c r="A2669" t="str">
        <f t="shared" si="144"/>
        <v>STKCDG4573448060460000</v>
      </c>
      <c r="B2669" t="s">
        <v>3115</v>
      </c>
      <c r="C2669" s="1">
        <v>45734</v>
      </c>
      <c r="D2669" t="str">
        <f>"480"</f>
        <v>480</v>
      </c>
      <c r="E2669" t="str">
        <f>"60460000"</f>
        <v>60460000</v>
      </c>
      <c r="F2669" t="s">
        <v>4629</v>
      </c>
      <c r="G2669" t="s">
        <v>336</v>
      </c>
      <c r="H2669" t="s">
        <v>5874</v>
      </c>
      <c r="I2669">
        <v>0</v>
      </c>
      <c r="J2669" t="s">
        <v>343</v>
      </c>
      <c r="K2669">
        <v>19290</v>
      </c>
      <c r="M2669">
        <v>19290</v>
      </c>
    </row>
    <row r="2670" spans="1:13" x14ac:dyDescent="0.35">
      <c r="A2670" t="str">
        <f t="shared" si="144"/>
        <v>STKCDG4573448160430000</v>
      </c>
      <c r="B2670" t="s">
        <v>3115</v>
      </c>
      <c r="C2670" s="1">
        <v>45734</v>
      </c>
      <c r="D2670" t="str">
        <f>"481"</f>
        <v>481</v>
      </c>
      <c r="E2670" t="str">
        <f>"60430000"</f>
        <v>60430000</v>
      </c>
      <c r="F2670" t="s">
        <v>4631</v>
      </c>
      <c r="G2670" t="s">
        <v>336</v>
      </c>
      <c r="H2670" t="s">
        <v>5875</v>
      </c>
      <c r="I2670">
        <v>0</v>
      </c>
      <c r="J2670" t="s">
        <v>343</v>
      </c>
      <c r="K2670">
        <v>114380</v>
      </c>
      <c r="M2670">
        <v>114380</v>
      </c>
    </row>
    <row r="2671" spans="1:13" x14ac:dyDescent="0.35">
      <c r="A2671" t="str">
        <f t="shared" si="144"/>
        <v>STKCDG4573448260440000</v>
      </c>
      <c r="B2671" t="s">
        <v>3115</v>
      </c>
      <c r="C2671" s="1">
        <v>45734</v>
      </c>
      <c r="D2671" t="str">
        <f>"482"</f>
        <v>482</v>
      </c>
      <c r="E2671" t="str">
        <f>"60440000"</f>
        <v>60440000</v>
      </c>
      <c r="F2671" t="s">
        <v>4633</v>
      </c>
      <c r="G2671" t="s">
        <v>336</v>
      </c>
      <c r="H2671" t="s">
        <v>5875</v>
      </c>
      <c r="I2671">
        <v>0</v>
      </c>
      <c r="J2671" t="s">
        <v>343</v>
      </c>
      <c r="K2671">
        <v>7609</v>
      </c>
      <c r="M2671">
        <v>7609</v>
      </c>
    </row>
    <row r="2672" spans="1:13" x14ac:dyDescent="0.35">
      <c r="A2672" t="str">
        <f t="shared" si="144"/>
        <v>STKCDG4573448360460000</v>
      </c>
      <c r="B2672" t="s">
        <v>3115</v>
      </c>
      <c r="C2672" s="1">
        <v>45734</v>
      </c>
      <c r="D2672" t="str">
        <f>"483"</f>
        <v>483</v>
      </c>
      <c r="E2672" t="str">
        <f>"60460000"</f>
        <v>60460000</v>
      </c>
      <c r="F2672" t="s">
        <v>4635</v>
      </c>
      <c r="G2672" t="s">
        <v>336</v>
      </c>
      <c r="H2672" t="s">
        <v>5966</v>
      </c>
      <c r="I2672">
        <v>0</v>
      </c>
      <c r="J2672" t="s">
        <v>343</v>
      </c>
      <c r="K2672">
        <v>1809</v>
      </c>
      <c r="M2672">
        <v>1809</v>
      </c>
    </row>
    <row r="2673" spans="1:13" x14ac:dyDescent="0.35">
      <c r="A2673" t="str">
        <f t="shared" si="144"/>
        <v>STKCDG4573448460460000</v>
      </c>
      <c r="B2673" t="s">
        <v>3115</v>
      </c>
      <c r="C2673" s="1">
        <v>45734</v>
      </c>
      <c r="D2673" t="str">
        <f>"484"</f>
        <v>484</v>
      </c>
      <c r="E2673" t="str">
        <f>"60460000"</f>
        <v>60460000</v>
      </c>
      <c r="F2673" t="s">
        <v>4637</v>
      </c>
      <c r="G2673" t="s">
        <v>336</v>
      </c>
      <c r="H2673" t="s">
        <v>5966</v>
      </c>
      <c r="I2673">
        <v>0</v>
      </c>
      <c r="J2673" t="s">
        <v>343</v>
      </c>
      <c r="K2673">
        <v>3409</v>
      </c>
      <c r="M2673">
        <v>3409</v>
      </c>
    </row>
    <row r="2674" spans="1:13" x14ac:dyDescent="0.35">
      <c r="A2674" t="str">
        <f t="shared" si="144"/>
        <v>STKCDG4573533860440000</v>
      </c>
      <c r="B2674" t="s">
        <v>3115</v>
      </c>
      <c r="C2674" s="1">
        <v>45735</v>
      </c>
      <c r="D2674" t="str">
        <f>"338"</f>
        <v>338</v>
      </c>
      <c r="E2674" t="str">
        <f>"60440000"</f>
        <v>60440000</v>
      </c>
      <c r="F2674" t="s">
        <v>4639</v>
      </c>
      <c r="G2674" t="s">
        <v>336</v>
      </c>
      <c r="H2674" t="s">
        <v>5958</v>
      </c>
      <c r="I2674">
        <v>0</v>
      </c>
      <c r="J2674" t="s">
        <v>343</v>
      </c>
      <c r="K2674">
        <v>262</v>
      </c>
      <c r="M2674">
        <v>262</v>
      </c>
    </row>
    <row r="2675" spans="1:13" x14ac:dyDescent="0.35">
      <c r="A2675" t="str">
        <f t="shared" si="144"/>
        <v>STKCDG4573533960430000</v>
      </c>
      <c r="B2675" t="s">
        <v>3115</v>
      </c>
      <c r="C2675" s="1">
        <v>45735</v>
      </c>
      <c r="D2675" t="str">
        <f>"339"</f>
        <v>339</v>
      </c>
      <c r="E2675" t="str">
        <f>"60430000"</f>
        <v>60430000</v>
      </c>
      <c r="F2675" t="s">
        <v>4641</v>
      </c>
      <c r="G2675" t="s">
        <v>336</v>
      </c>
      <c r="H2675" t="s">
        <v>5958</v>
      </c>
      <c r="I2675">
        <v>0</v>
      </c>
      <c r="J2675" t="s">
        <v>343</v>
      </c>
      <c r="K2675">
        <v>250900</v>
      </c>
      <c r="M2675">
        <v>250900</v>
      </c>
    </row>
    <row r="2676" spans="1:13" x14ac:dyDescent="0.35">
      <c r="A2676" t="str">
        <f t="shared" si="144"/>
        <v>STKCDG4573534060440000</v>
      </c>
      <c r="B2676" t="s">
        <v>3115</v>
      </c>
      <c r="C2676" s="1">
        <v>45735</v>
      </c>
      <c r="D2676" t="str">
        <f>"340"</f>
        <v>340</v>
      </c>
      <c r="E2676" t="str">
        <f>"60440000"</f>
        <v>60440000</v>
      </c>
      <c r="F2676" t="s">
        <v>4643</v>
      </c>
      <c r="G2676" t="s">
        <v>336</v>
      </c>
      <c r="H2676" t="s">
        <v>5958</v>
      </c>
      <c r="I2676">
        <v>0</v>
      </c>
      <c r="J2676" t="s">
        <v>343</v>
      </c>
      <c r="K2676">
        <v>1299982</v>
      </c>
      <c r="M2676">
        <v>1299982</v>
      </c>
    </row>
    <row r="2677" spans="1:13" x14ac:dyDescent="0.35">
      <c r="A2677" t="str">
        <f t="shared" si="144"/>
        <v>STKCDG4573534160440000</v>
      </c>
      <c r="B2677" t="s">
        <v>3115</v>
      </c>
      <c r="C2677" s="1">
        <v>45735</v>
      </c>
      <c r="D2677" t="str">
        <f>"341"</f>
        <v>341</v>
      </c>
      <c r="E2677" t="str">
        <f>"60440000"</f>
        <v>60440000</v>
      </c>
      <c r="F2677" t="s">
        <v>4645</v>
      </c>
      <c r="G2677" t="s">
        <v>336</v>
      </c>
      <c r="H2677" t="s">
        <v>5875</v>
      </c>
      <c r="I2677">
        <v>0</v>
      </c>
      <c r="J2677" t="s">
        <v>343</v>
      </c>
      <c r="K2677">
        <v>6297</v>
      </c>
      <c r="M2677">
        <v>6297</v>
      </c>
    </row>
    <row r="2678" spans="1:13" x14ac:dyDescent="0.35">
      <c r="A2678" t="str">
        <f t="shared" si="144"/>
        <v>STKCDG4573534260460000</v>
      </c>
      <c r="B2678" t="s">
        <v>3115</v>
      </c>
      <c r="C2678" s="1">
        <v>45735</v>
      </c>
      <c r="D2678" t="str">
        <f>"342"</f>
        <v>342</v>
      </c>
      <c r="E2678" t="str">
        <f>"60460000"</f>
        <v>60460000</v>
      </c>
      <c r="F2678" t="s">
        <v>4647</v>
      </c>
      <c r="G2678" t="s">
        <v>336</v>
      </c>
      <c r="H2678" t="s">
        <v>5949</v>
      </c>
      <c r="I2678">
        <v>0</v>
      </c>
      <c r="J2678" t="s">
        <v>343</v>
      </c>
      <c r="K2678">
        <v>58500</v>
      </c>
      <c r="M2678">
        <v>58500</v>
      </c>
    </row>
    <row r="2679" spans="1:13" x14ac:dyDescent="0.35">
      <c r="A2679" t="str">
        <f t="shared" si="144"/>
        <v>STKCDG4573534360440000</v>
      </c>
      <c r="B2679" t="s">
        <v>3115</v>
      </c>
      <c r="C2679" s="1">
        <v>45735</v>
      </c>
      <c r="D2679" t="str">
        <f>"343"</f>
        <v>343</v>
      </c>
      <c r="E2679" t="str">
        <f>"60440000"</f>
        <v>60440000</v>
      </c>
      <c r="F2679" t="s">
        <v>4649</v>
      </c>
      <c r="G2679" t="s">
        <v>336</v>
      </c>
      <c r="H2679" t="s">
        <v>5946</v>
      </c>
      <c r="I2679">
        <v>0</v>
      </c>
      <c r="J2679" t="s">
        <v>343</v>
      </c>
      <c r="K2679">
        <v>19941</v>
      </c>
      <c r="M2679">
        <v>19941</v>
      </c>
    </row>
    <row r="2680" spans="1:13" x14ac:dyDescent="0.35">
      <c r="A2680" t="str">
        <f t="shared" si="144"/>
        <v>STKCDG4573534460440000</v>
      </c>
      <c r="B2680" t="s">
        <v>3115</v>
      </c>
      <c r="C2680" s="1">
        <v>45735</v>
      </c>
      <c r="D2680" t="str">
        <f>"344"</f>
        <v>344</v>
      </c>
      <c r="E2680" t="str">
        <f>"60440000"</f>
        <v>60440000</v>
      </c>
      <c r="F2680" t="s">
        <v>4651</v>
      </c>
      <c r="G2680" t="s">
        <v>336</v>
      </c>
      <c r="H2680" t="s">
        <v>5875</v>
      </c>
      <c r="I2680">
        <v>0</v>
      </c>
      <c r="J2680" t="s">
        <v>343</v>
      </c>
      <c r="K2680">
        <v>5838</v>
      </c>
      <c r="M2680">
        <v>5838</v>
      </c>
    </row>
    <row r="2681" spans="1:13" x14ac:dyDescent="0.35">
      <c r="A2681" t="str">
        <f t="shared" si="144"/>
        <v>STKCDG4573534560460000</v>
      </c>
      <c r="B2681" t="s">
        <v>3115</v>
      </c>
      <c r="C2681" s="1">
        <v>45735</v>
      </c>
      <c r="D2681" t="str">
        <f>"345"</f>
        <v>345</v>
      </c>
      <c r="E2681" t="str">
        <f t="shared" ref="E2681:E2688" si="146">"60460000"</f>
        <v>60460000</v>
      </c>
      <c r="F2681" t="s">
        <v>4653</v>
      </c>
      <c r="G2681" t="s">
        <v>336</v>
      </c>
      <c r="H2681" t="s">
        <v>5875</v>
      </c>
      <c r="I2681">
        <v>0</v>
      </c>
      <c r="J2681" t="s">
        <v>343</v>
      </c>
      <c r="K2681">
        <v>600</v>
      </c>
      <c r="M2681">
        <v>600</v>
      </c>
    </row>
    <row r="2682" spans="1:13" x14ac:dyDescent="0.35">
      <c r="A2682" t="str">
        <f t="shared" si="144"/>
        <v>STKCDG4573534660460000</v>
      </c>
      <c r="B2682" t="s">
        <v>3115</v>
      </c>
      <c r="C2682" s="1">
        <v>45735</v>
      </c>
      <c r="D2682" t="str">
        <f>"346"</f>
        <v>346</v>
      </c>
      <c r="E2682" t="str">
        <f t="shared" si="146"/>
        <v>60460000</v>
      </c>
      <c r="F2682" t="s">
        <v>4655</v>
      </c>
      <c r="G2682" t="s">
        <v>336</v>
      </c>
      <c r="H2682" t="s">
        <v>5880</v>
      </c>
      <c r="I2682">
        <v>0</v>
      </c>
      <c r="J2682" t="s">
        <v>343</v>
      </c>
      <c r="K2682">
        <v>24500</v>
      </c>
      <c r="M2682">
        <v>24500</v>
      </c>
    </row>
    <row r="2683" spans="1:13" x14ac:dyDescent="0.35">
      <c r="A2683" t="str">
        <f t="shared" si="144"/>
        <v>STKCDG4573534760460000</v>
      </c>
      <c r="B2683" t="s">
        <v>3115</v>
      </c>
      <c r="C2683" s="1">
        <v>45735</v>
      </c>
      <c r="D2683" t="str">
        <f>"347"</f>
        <v>347</v>
      </c>
      <c r="E2683" t="str">
        <f t="shared" si="146"/>
        <v>60460000</v>
      </c>
      <c r="F2683" t="s">
        <v>4657</v>
      </c>
      <c r="G2683" t="s">
        <v>336</v>
      </c>
      <c r="H2683" t="s">
        <v>5876</v>
      </c>
      <c r="I2683">
        <v>0</v>
      </c>
      <c r="J2683" t="s">
        <v>343</v>
      </c>
      <c r="K2683">
        <v>490</v>
      </c>
      <c r="M2683">
        <v>6042</v>
      </c>
    </row>
    <row r="2684" spans="1:13" x14ac:dyDescent="0.35">
      <c r="A2684" t="str">
        <f t="shared" si="144"/>
        <v>STKCDG4573534760460000</v>
      </c>
      <c r="B2684" t="s">
        <v>3115</v>
      </c>
      <c r="C2684" s="1">
        <v>45735</v>
      </c>
      <c r="D2684" t="str">
        <f>"347"</f>
        <v>347</v>
      </c>
      <c r="E2684" t="str">
        <f t="shared" si="146"/>
        <v>60460000</v>
      </c>
      <c r="F2684" t="s">
        <v>4657</v>
      </c>
      <c r="G2684" t="s">
        <v>336</v>
      </c>
      <c r="H2684" t="s">
        <v>5876</v>
      </c>
      <c r="I2684">
        <v>0</v>
      </c>
      <c r="J2684" t="s">
        <v>343</v>
      </c>
      <c r="K2684">
        <v>5552</v>
      </c>
      <c r="M2684">
        <v>6042</v>
      </c>
    </row>
    <row r="2685" spans="1:13" x14ac:dyDescent="0.35">
      <c r="A2685" t="str">
        <f t="shared" si="144"/>
        <v>STKCDG4573534860460000</v>
      </c>
      <c r="B2685" t="s">
        <v>3115</v>
      </c>
      <c r="C2685" s="1">
        <v>45735</v>
      </c>
      <c r="D2685" t="str">
        <f>"348"</f>
        <v>348</v>
      </c>
      <c r="E2685" t="str">
        <f t="shared" si="146"/>
        <v>60460000</v>
      </c>
      <c r="F2685" t="s">
        <v>4659</v>
      </c>
      <c r="G2685" t="s">
        <v>336</v>
      </c>
      <c r="H2685" t="s">
        <v>5876</v>
      </c>
      <c r="I2685">
        <v>0</v>
      </c>
      <c r="J2685" t="s">
        <v>343</v>
      </c>
      <c r="K2685">
        <v>490</v>
      </c>
      <c r="M2685">
        <v>6042</v>
      </c>
    </row>
    <row r="2686" spans="1:13" x14ac:dyDescent="0.35">
      <c r="A2686" t="str">
        <f t="shared" si="144"/>
        <v>STKCDG4573534860460000</v>
      </c>
      <c r="B2686" t="s">
        <v>3115</v>
      </c>
      <c r="C2686" s="1">
        <v>45735</v>
      </c>
      <c r="D2686" t="str">
        <f>"348"</f>
        <v>348</v>
      </c>
      <c r="E2686" t="str">
        <f t="shared" si="146"/>
        <v>60460000</v>
      </c>
      <c r="F2686" t="s">
        <v>4659</v>
      </c>
      <c r="G2686" t="s">
        <v>336</v>
      </c>
      <c r="H2686" t="s">
        <v>5876</v>
      </c>
      <c r="I2686">
        <v>0</v>
      </c>
      <c r="J2686" t="s">
        <v>343</v>
      </c>
      <c r="K2686">
        <v>5552</v>
      </c>
      <c r="M2686">
        <v>6042</v>
      </c>
    </row>
    <row r="2687" spans="1:13" x14ac:dyDescent="0.35">
      <c r="A2687" t="str">
        <f t="shared" si="144"/>
        <v>STKCDG4573534960460000</v>
      </c>
      <c r="B2687" t="s">
        <v>3115</v>
      </c>
      <c r="C2687" s="1">
        <v>45735</v>
      </c>
      <c r="D2687" t="str">
        <f>"349"</f>
        <v>349</v>
      </c>
      <c r="E2687" t="str">
        <f t="shared" si="146"/>
        <v>60460000</v>
      </c>
      <c r="F2687" t="s">
        <v>4661</v>
      </c>
      <c r="G2687" t="s">
        <v>336</v>
      </c>
      <c r="H2687" t="s">
        <v>5874</v>
      </c>
      <c r="I2687">
        <v>0</v>
      </c>
      <c r="J2687" t="s">
        <v>343</v>
      </c>
      <c r="K2687">
        <v>980</v>
      </c>
      <c r="M2687">
        <v>11544</v>
      </c>
    </row>
    <row r="2688" spans="1:13" x14ac:dyDescent="0.35">
      <c r="A2688" t="str">
        <f t="shared" si="144"/>
        <v>STKCDG4573534960460000</v>
      </c>
      <c r="B2688" t="s">
        <v>3115</v>
      </c>
      <c r="C2688" s="1">
        <v>45735</v>
      </c>
      <c r="D2688" t="str">
        <f>"349"</f>
        <v>349</v>
      </c>
      <c r="E2688" t="str">
        <f t="shared" si="146"/>
        <v>60460000</v>
      </c>
      <c r="F2688" t="s">
        <v>4661</v>
      </c>
      <c r="G2688" t="s">
        <v>336</v>
      </c>
      <c r="H2688" t="s">
        <v>5874</v>
      </c>
      <c r="I2688">
        <v>0</v>
      </c>
      <c r="J2688" t="s">
        <v>343</v>
      </c>
      <c r="K2688">
        <v>10564</v>
      </c>
      <c r="M2688">
        <v>11544</v>
      </c>
    </row>
    <row r="2689" spans="1:13" x14ac:dyDescent="0.35">
      <c r="A2689" t="str">
        <f t="shared" si="144"/>
        <v>STKCDG4573535060410000</v>
      </c>
      <c r="B2689" t="s">
        <v>3115</v>
      </c>
      <c r="C2689" s="1">
        <v>45735</v>
      </c>
      <c r="D2689" t="str">
        <f>"350"</f>
        <v>350</v>
      </c>
      <c r="E2689" t="str">
        <f>"60410000"</f>
        <v>60410000</v>
      </c>
      <c r="F2689" t="s">
        <v>4663</v>
      </c>
      <c r="G2689" t="s">
        <v>336</v>
      </c>
      <c r="H2689" t="s">
        <v>5966</v>
      </c>
      <c r="I2689">
        <v>0</v>
      </c>
      <c r="J2689" t="s">
        <v>343</v>
      </c>
      <c r="K2689">
        <v>1944</v>
      </c>
      <c r="M2689">
        <v>1944</v>
      </c>
    </row>
    <row r="2690" spans="1:13" x14ac:dyDescent="0.35">
      <c r="A2690" t="str">
        <f t="shared" si="144"/>
        <v>STKCDG4573535160410000</v>
      </c>
      <c r="B2690" t="s">
        <v>3115</v>
      </c>
      <c r="C2690" s="1">
        <v>45735</v>
      </c>
      <c r="D2690" t="str">
        <f>"351"</f>
        <v>351</v>
      </c>
      <c r="E2690" t="str">
        <f>"60410000"</f>
        <v>60410000</v>
      </c>
      <c r="F2690" t="s">
        <v>4665</v>
      </c>
      <c r="G2690" t="s">
        <v>336</v>
      </c>
      <c r="H2690" t="s">
        <v>5966</v>
      </c>
      <c r="I2690">
        <v>0</v>
      </c>
      <c r="J2690" t="s">
        <v>343</v>
      </c>
      <c r="K2690">
        <v>1944</v>
      </c>
      <c r="M2690">
        <v>1944</v>
      </c>
    </row>
    <row r="2691" spans="1:13" x14ac:dyDescent="0.35">
      <c r="A2691" t="str">
        <f t="shared" ref="A2691:A2754" si="147">CONCATENATE(B2691,C2691,D2691,E2691)</f>
        <v>STKCDG4573535260460000</v>
      </c>
      <c r="B2691" t="s">
        <v>3115</v>
      </c>
      <c r="C2691" s="1">
        <v>45735</v>
      </c>
      <c r="D2691" t="str">
        <f>"352"</f>
        <v>352</v>
      </c>
      <c r="E2691" t="str">
        <f>"60460000"</f>
        <v>60460000</v>
      </c>
      <c r="F2691" t="s">
        <v>4667</v>
      </c>
      <c r="G2691" t="s">
        <v>336</v>
      </c>
      <c r="H2691" t="s">
        <v>5875</v>
      </c>
      <c r="I2691">
        <v>0</v>
      </c>
      <c r="J2691" t="s">
        <v>343</v>
      </c>
      <c r="K2691">
        <v>980</v>
      </c>
      <c r="M2691">
        <v>11544</v>
      </c>
    </row>
    <row r="2692" spans="1:13" x14ac:dyDescent="0.35">
      <c r="A2692" t="str">
        <f t="shared" si="147"/>
        <v>STKCDG4573535260460000</v>
      </c>
      <c r="B2692" t="s">
        <v>3115</v>
      </c>
      <c r="C2692" s="1">
        <v>45735</v>
      </c>
      <c r="D2692" t="str">
        <f>"352"</f>
        <v>352</v>
      </c>
      <c r="E2692" t="str">
        <f>"60460000"</f>
        <v>60460000</v>
      </c>
      <c r="F2692" t="s">
        <v>4667</v>
      </c>
      <c r="G2692" t="s">
        <v>336</v>
      </c>
      <c r="H2692" t="s">
        <v>5875</v>
      </c>
      <c r="I2692">
        <v>0</v>
      </c>
      <c r="J2692" t="s">
        <v>343</v>
      </c>
      <c r="K2692">
        <v>10564</v>
      </c>
      <c r="M2692">
        <v>11544</v>
      </c>
    </row>
    <row r="2693" spans="1:13" x14ac:dyDescent="0.35">
      <c r="A2693" t="str">
        <f t="shared" si="147"/>
        <v>STKCDG4573535360440000</v>
      </c>
      <c r="B2693" t="s">
        <v>3115</v>
      </c>
      <c r="C2693" s="1">
        <v>45735</v>
      </c>
      <c r="D2693" t="str">
        <f>"353"</f>
        <v>353</v>
      </c>
      <c r="E2693" t="str">
        <f>"60440000"</f>
        <v>60440000</v>
      </c>
      <c r="F2693" t="s">
        <v>4669</v>
      </c>
      <c r="G2693" t="s">
        <v>336</v>
      </c>
      <c r="H2693" t="s">
        <v>5875</v>
      </c>
      <c r="I2693">
        <v>0</v>
      </c>
      <c r="J2693" t="s">
        <v>343</v>
      </c>
      <c r="K2693">
        <v>3936</v>
      </c>
      <c r="M2693">
        <v>3936</v>
      </c>
    </row>
    <row r="2694" spans="1:13" x14ac:dyDescent="0.35">
      <c r="A2694" t="str">
        <f t="shared" si="147"/>
        <v>STKCDG4573535460440000</v>
      </c>
      <c r="B2694" t="s">
        <v>3115</v>
      </c>
      <c r="C2694" s="1">
        <v>45735</v>
      </c>
      <c r="D2694" t="str">
        <f>"354"</f>
        <v>354</v>
      </c>
      <c r="E2694" t="str">
        <f>"60440000"</f>
        <v>60440000</v>
      </c>
      <c r="F2694" t="s">
        <v>4671</v>
      </c>
      <c r="G2694" t="s">
        <v>336</v>
      </c>
      <c r="H2694" t="s">
        <v>5876</v>
      </c>
      <c r="I2694">
        <v>0</v>
      </c>
      <c r="J2694" t="s">
        <v>343</v>
      </c>
      <c r="K2694">
        <v>11348</v>
      </c>
      <c r="M2694">
        <v>11348</v>
      </c>
    </row>
    <row r="2695" spans="1:13" x14ac:dyDescent="0.35">
      <c r="A2695" t="str">
        <f t="shared" si="147"/>
        <v>STKCDG4573535560460000</v>
      </c>
      <c r="B2695" t="s">
        <v>3115</v>
      </c>
      <c r="C2695" s="1">
        <v>45735</v>
      </c>
      <c r="D2695" t="str">
        <f>"355"</f>
        <v>355</v>
      </c>
      <c r="E2695" t="str">
        <f>"60460000"</f>
        <v>60460000</v>
      </c>
      <c r="F2695" t="s">
        <v>4673</v>
      </c>
      <c r="G2695" t="s">
        <v>336</v>
      </c>
      <c r="H2695" t="s">
        <v>5876</v>
      </c>
      <c r="I2695">
        <v>0</v>
      </c>
      <c r="J2695" t="s">
        <v>343</v>
      </c>
      <c r="K2695">
        <v>1500</v>
      </c>
      <c r="M2695">
        <v>1626</v>
      </c>
    </row>
    <row r="2696" spans="1:13" x14ac:dyDescent="0.35">
      <c r="A2696" t="str">
        <f t="shared" si="147"/>
        <v>STKCDG4573535560460000</v>
      </c>
      <c r="B2696" t="s">
        <v>3115</v>
      </c>
      <c r="C2696" s="1">
        <v>45735</v>
      </c>
      <c r="D2696" t="str">
        <f>"355"</f>
        <v>355</v>
      </c>
      <c r="E2696" t="str">
        <f>"60460000"</f>
        <v>60460000</v>
      </c>
      <c r="F2696" t="s">
        <v>4673</v>
      </c>
      <c r="G2696" t="s">
        <v>336</v>
      </c>
      <c r="H2696" t="s">
        <v>5876</v>
      </c>
      <c r="I2696">
        <v>0</v>
      </c>
      <c r="J2696" t="s">
        <v>343</v>
      </c>
      <c r="K2696">
        <v>126</v>
      </c>
      <c r="M2696">
        <v>1626</v>
      </c>
    </row>
    <row r="2697" spans="1:13" x14ac:dyDescent="0.35">
      <c r="A2697" t="str">
        <f t="shared" si="147"/>
        <v>STKCDG4573535660410000</v>
      </c>
      <c r="B2697" t="s">
        <v>3115</v>
      </c>
      <c r="C2697" s="1">
        <v>45735</v>
      </c>
      <c r="D2697" t="str">
        <f>"356"</f>
        <v>356</v>
      </c>
      <c r="E2697" t="str">
        <f>"60410000"</f>
        <v>60410000</v>
      </c>
      <c r="F2697" t="s">
        <v>4675</v>
      </c>
      <c r="G2697" t="s">
        <v>336</v>
      </c>
      <c r="H2697" t="s">
        <v>5873</v>
      </c>
      <c r="I2697">
        <v>0</v>
      </c>
      <c r="J2697" t="s">
        <v>343</v>
      </c>
      <c r="K2697">
        <v>992</v>
      </c>
      <c r="M2697">
        <v>992</v>
      </c>
    </row>
    <row r="2698" spans="1:13" x14ac:dyDescent="0.35">
      <c r="A2698" t="str">
        <f t="shared" si="147"/>
        <v>STKCDG4573535760410000</v>
      </c>
      <c r="B2698" t="s">
        <v>3115</v>
      </c>
      <c r="C2698" s="1">
        <v>45735</v>
      </c>
      <c r="D2698" t="str">
        <f>"357"</f>
        <v>357</v>
      </c>
      <c r="E2698" t="str">
        <f>"60410000"</f>
        <v>60410000</v>
      </c>
      <c r="F2698" t="s">
        <v>4677</v>
      </c>
      <c r="G2698" t="s">
        <v>336</v>
      </c>
      <c r="H2698" t="s">
        <v>5881</v>
      </c>
      <c r="I2698">
        <v>0</v>
      </c>
      <c r="J2698" t="s">
        <v>343</v>
      </c>
      <c r="K2698">
        <v>1649</v>
      </c>
      <c r="M2698">
        <v>4827</v>
      </c>
    </row>
    <row r="2699" spans="1:13" x14ac:dyDescent="0.35">
      <c r="A2699" t="str">
        <f t="shared" si="147"/>
        <v>STKCDG4573535760410000</v>
      </c>
      <c r="B2699" t="s">
        <v>3115</v>
      </c>
      <c r="C2699" s="1">
        <v>45735</v>
      </c>
      <c r="D2699" t="str">
        <f>"357"</f>
        <v>357</v>
      </c>
      <c r="E2699" t="str">
        <f>"60410000"</f>
        <v>60410000</v>
      </c>
      <c r="F2699" t="s">
        <v>4677</v>
      </c>
      <c r="G2699" t="s">
        <v>336</v>
      </c>
      <c r="H2699" t="s">
        <v>5881</v>
      </c>
      <c r="I2699">
        <v>0</v>
      </c>
      <c r="J2699" t="s">
        <v>343</v>
      </c>
      <c r="K2699">
        <v>3178</v>
      </c>
      <c r="M2699">
        <v>4827</v>
      </c>
    </row>
    <row r="2700" spans="1:13" x14ac:dyDescent="0.35">
      <c r="A2700" t="str">
        <f t="shared" si="147"/>
        <v>STKCDG4573535860440000</v>
      </c>
      <c r="B2700" t="s">
        <v>3115</v>
      </c>
      <c r="C2700" s="1">
        <v>45735</v>
      </c>
      <c r="D2700" t="str">
        <f>"358"</f>
        <v>358</v>
      </c>
      <c r="E2700" t="str">
        <f>"60440000"</f>
        <v>60440000</v>
      </c>
      <c r="F2700" t="s">
        <v>4679</v>
      </c>
      <c r="G2700" t="s">
        <v>336</v>
      </c>
      <c r="H2700" t="s">
        <v>5875</v>
      </c>
      <c r="I2700">
        <v>0</v>
      </c>
      <c r="J2700" t="s">
        <v>343</v>
      </c>
      <c r="K2700">
        <v>74911</v>
      </c>
      <c r="M2700">
        <v>74911</v>
      </c>
    </row>
    <row r="2701" spans="1:13" x14ac:dyDescent="0.35">
      <c r="A2701" t="str">
        <f t="shared" si="147"/>
        <v>STKCDG4573535960430000</v>
      </c>
      <c r="B2701" t="s">
        <v>3115</v>
      </c>
      <c r="C2701" s="1">
        <v>45735</v>
      </c>
      <c r="D2701" t="str">
        <f>"359"</f>
        <v>359</v>
      </c>
      <c r="E2701" t="str">
        <f>"60430000"</f>
        <v>60430000</v>
      </c>
      <c r="F2701" t="s">
        <v>4681</v>
      </c>
      <c r="G2701" t="s">
        <v>336</v>
      </c>
      <c r="H2701" t="s">
        <v>5875</v>
      </c>
      <c r="I2701">
        <v>0</v>
      </c>
      <c r="J2701" t="s">
        <v>343</v>
      </c>
      <c r="K2701">
        <v>120400</v>
      </c>
      <c r="M2701">
        <v>120400</v>
      </c>
    </row>
    <row r="2702" spans="1:13" x14ac:dyDescent="0.35">
      <c r="A2702" t="str">
        <f t="shared" si="147"/>
        <v>STKCDG4573536060440000</v>
      </c>
      <c r="B2702" t="s">
        <v>3115</v>
      </c>
      <c r="C2702" s="1">
        <v>45735</v>
      </c>
      <c r="D2702" t="str">
        <f>"360"</f>
        <v>360</v>
      </c>
      <c r="E2702" t="str">
        <f>"60440000"</f>
        <v>60440000</v>
      </c>
      <c r="F2702" t="s">
        <v>4683</v>
      </c>
      <c r="G2702" t="s">
        <v>336</v>
      </c>
      <c r="H2702" t="s">
        <v>5875</v>
      </c>
      <c r="I2702">
        <v>0</v>
      </c>
      <c r="J2702" t="s">
        <v>343</v>
      </c>
      <c r="K2702">
        <v>252217</v>
      </c>
      <c r="M2702">
        <v>252217</v>
      </c>
    </row>
    <row r="2703" spans="1:13" x14ac:dyDescent="0.35">
      <c r="A2703" t="str">
        <f t="shared" si="147"/>
        <v>STKCDG4573536160440000</v>
      </c>
      <c r="B2703" t="s">
        <v>3115</v>
      </c>
      <c r="C2703" s="1">
        <v>45735</v>
      </c>
      <c r="D2703" t="str">
        <f>"361"</f>
        <v>361</v>
      </c>
      <c r="E2703" t="str">
        <f>"60440000"</f>
        <v>60440000</v>
      </c>
      <c r="F2703" t="s">
        <v>4685</v>
      </c>
      <c r="G2703" t="s">
        <v>336</v>
      </c>
      <c r="H2703" t="s">
        <v>5875</v>
      </c>
      <c r="I2703">
        <v>0</v>
      </c>
      <c r="J2703" t="s">
        <v>343</v>
      </c>
      <c r="K2703">
        <v>3214</v>
      </c>
      <c r="M2703">
        <v>184915</v>
      </c>
    </row>
    <row r="2704" spans="1:13" x14ac:dyDescent="0.35">
      <c r="A2704" t="str">
        <f t="shared" si="147"/>
        <v>STKCDG4573536160440000</v>
      </c>
      <c r="B2704" t="s">
        <v>3115</v>
      </c>
      <c r="C2704" s="1">
        <v>45735</v>
      </c>
      <c r="D2704" t="str">
        <f>"361"</f>
        <v>361</v>
      </c>
      <c r="E2704" t="str">
        <f>"60440000"</f>
        <v>60440000</v>
      </c>
      <c r="F2704" t="s">
        <v>4685</v>
      </c>
      <c r="G2704" t="s">
        <v>336</v>
      </c>
      <c r="H2704" t="s">
        <v>5875</v>
      </c>
      <c r="I2704">
        <v>0</v>
      </c>
      <c r="J2704" t="s">
        <v>343</v>
      </c>
      <c r="K2704">
        <v>181701</v>
      </c>
      <c r="M2704">
        <v>184915</v>
      </c>
    </row>
    <row r="2705" spans="1:13" x14ac:dyDescent="0.35">
      <c r="A2705" t="str">
        <f t="shared" si="147"/>
        <v>STKCDG4573536260460000</v>
      </c>
      <c r="B2705" t="s">
        <v>3115</v>
      </c>
      <c r="C2705" s="1">
        <v>45735</v>
      </c>
      <c r="D2705" t="str">
        <f>"362"</f>
        <v>362</v>
      </c>
      <c r="E2705" t="str">
        <f t="shared" ref="E2705:E2716" si="148">"60460000"</f>
        <v>60460000</v>
      </c>
      <c r="F2705" t="s">
        <v>4687</v>
      </c>
      <c r="G2705" t="s">
        <v>336</v>
      </c>
      <c r="H2705" t="s">
        <v>5874</v>
      </c>
      <c r="I2705">
        <v>0</v>
      </c>
      <c r="J2705" t="s">
        <v>343</v>
      </c>
      <c r="K2705">
        <v>5040</v>
      </c>
      <c r="M2705">
        <v>5040</v>
      </c>
    </row>
    <row r="2706" spans="1:13" x14ac:dyDescent="0.35">
      <c r="A2706" t="str">
        <f t="shared" si="147"/>
        <v>STKCDG4573536360460000</v>
      </c>
      <c r="B2706" t="s">
        <v>3115</v>
      </c>
      <c r="C2706" s="1">
        <v>45735</v>
      </c>
      <c r="D2706" t="str">
        <f>"363"</f>
        <v>363</v>
      </c>
      <c r="E2706" t="str">
        <f t="shared" si="148"/>
        <v>60460000</v>
      </c>
      <c r="F2706" t="s">
        <v>4689</v>
      </c>
      <c r="G2706" t="s">
        <v>336</v>
      </c>
      <c r="H2706" t="s">
        <v>5958</v>
      </c>
      <c r="I2706">
        <v>0</v>
      </c>
      <c r="J2706" t="s">
        <v>343</v>
      </c>
      <c r="K2706">
        <v>5000</v>
      </c>
      <c r="M2706">
        <v>5000</v>
      </c>
    </row>
    <row r="2707" spans="1:13" x14ac:dyDescent="0.35">
      <c r="A2707" t="str">
        <f t="shared" si="147"/>
        <v>STKCDG4573536460460000</v>
      </c>
      <c r="B2707" t="s">
        <v>3115</v>
      </c>
      <c r="C2707" s="1">
        <v>45735</v>
      </c>
      <c r="D2707" t="str">
        <f>"364"</f>
        <v>364</v>
      </c>
      <c r="E2707" t="str">
        <f t="shared" si="148"/>
        <v>60460000</v>
      </c>
      <c r="F2707" t="s">
        <v>4691</v>
      </c>
      <c r="G2707" t="s">
        <v>336</v>
      </c>
      <c r="H2707" t="s">
        <v>5875</v>
      </c>
      <c r="I2707">
        <v>0</v>
      </c>
      <c r="J2707" t="s">
        <v>343</v>
      </c>
      <c r="K2707">
        <v>250000</v>
      </c>
      <c r="M2707">
        <v>250000</v>
      </c>
    </row>
    <row r="2708" spans="1:13" x14ac:dyDescent="0.35">
      <c r="A2708" t="str">
        <f t="shared" si="147"/>
        <v>STKCDG4573536560460000</v>
      </c>
      <c r="B2708" t="s">
        <v>3115</v>
      </c>
      <c r="C2708" s="1">
        <v>45735</v>
      </c>
      <c r="D2708" t="str">
        <f>"365"</f>
        <v>365</v>
      </c>
      <c r="E2708" t="str">
        <f t="shared" si="148"/>
        <v>60460000</v>
      </c>
      <c r="F2708" t="s">
        <v>4693</v>
      </c>
      <c r="G2708" t="s">
        <v>336</v>
      </c>
      <c r="H2708" t="s">
        <v>5946</v>
      </c>
      <c r="I2708">
        <v>0</v>
      </c>
      <c r="J2708" t="s">
        <v>343</v>
      </c>
      <c r="K2708">
        <v>180000</v>
      </c>
      <c r="M2708">
        <v>180000</v>
      </c>
    </row>
    <row r="2709" spans="1:13" x14ac:dyDescent="0.35">
      <c r="A2709" t="str">
        <f t="shared" si="147"/>
        <v>STKCDG4573536660460000</v>
      </c>
      <c r="B2709" t="s">
        <v>3115</v>
      </c>
      <c r="C2709" s="1">
        <v>45735</v>
      </c>
      <c r="D2709" t="str">
        <f>"366"</f>
        <v>366</v>
      </c>
      <c r="E2709" t="str">
        <f t="shared" si="148"/>
        <v>60460000</v>
      </c>
      <c r="F2709" t="s">
        <v>4695</v>
      </c>
      <c r="G2709" t="s">
        <v>336</v>
      </c>
      <c r="H2709" t="s">
        <v>5880</v>
      </c>
      <c r="I2709">
        <v>0</v>
      </c>
      <c r="J2709" t="s">
        <v>343</v>
      </c>
      <c r="K2709">
        <v>80000</v>
      </c>
      <c r="M2709">
        <v>80000</v>
      </c>
    </row>
    <row r="2710" spans="1:13" x14ac:dyDescent="0.35">
      <c r="A2710" t="str">
        <f t="shared" si="147"/>
        <v>STKCDG4573536760460000</v>
      </c>
      <c r="B2710" t="s">
        <v>3115</v>
      </c>
      <c r="C2710" s="1">
        <v>45735</v>
      </c>
      <c r="D2710" t="str">
        <f>"367"</f>
        <v>367</v>
      </c>
      <c r="E2710" t="str">
        <f t="shared" si="148"/>
        <v>60460000</v>
      </c>
      <c r="F2710" t="s">
        <v>4697</v>
      </c>
      <c r="G2710" t="s">
        <v>336</v>
      </c>
      <c r="H2710" t="s">
        <v>5876</v>
      </c>
      <c r="I2710">
        <v>0</v>
      </c>
      <c r="J2710" t="s">
        <v>343</v>
      </c>
      <c r="K2710">
        <v>5000</v>
      </c>
      <c r="M2710">
        <v>5000</v>
      </c>
    </row>
    <row r="2711" spans="1:13" x14ac:dyDescent="0.35">
      <c r="A2711" t="str">
        <f t="shared" si="147"/>
        <v>STKCDG4573536860460000</v>
      </c>
      <c r="B2711" t="s">
        <v>3115</v>
      </c>
      <c r="C2711" s="1">
        <v>45735</v>
      </c>
      <c r="D2711" t="str">
        <f>"368"</f>
        <v>368</v>
      </c>
      <c r="E2711" t="str">
        <f t="shared" si="148"/>
        <v>60460000</v>
      </c>
      <c r="F2711" t="s">
        <v>4699</v>
      </c>
      <c r="G2711" t="s">
        <v>336</v>
      </c>
      <c r="H2711" t="s">
        <v>5876</v>
      </c>
      <c r="I2711">
        <v>0</v>
      </c>
      <c r="J2711" t="s">
        <v>343</v>
      </c>
      <c r="K2711">
        <v>5000</v>
      </c>
      <c r="M2711">
        <v>5000</v>
      </c>
    </row>
    <row r="2712" spans="1:13" x14ac:dyDescent="0.35">
      <c r="A2712" t="str">
        <f t="shared" si="147"/>
        <v>STKCDG4573536960460000</v>
      </c>
      <c r="B2712" t="s">
        <v>3115</v>
      </c>
      <c r="C2712" s="1">
        <v>45735</v>
      </c>
      <c r="D2712" t="str">
        <f>"369"</f>
        <v>369</v>
      </c>
      <c r="E2712" t="str">
        <f t="shared" si="148"/>
        <v>60460000</v>
      </c>
      <c r="F2712" t="s">
        <v>4701</v>
      </c>
      <c r="G2712" t="s">
        <v>336</v>
      </c>
      <c r="H2712" t="s">
        <v>5876</v>
      </c>
      <c r="I2712">
        <v>0</v>
      </c>
      <c r="J2712" t="s">
        <v>343</v>
      </c>
      <c r="K2712">
        <v>5000</v>
      </c>
      <c r="M2712">
        <v>5000</v>
      </c>
    </row>
    <row r="2713" spans="1:13" x14ac:dyDescent="0.35">
      <c r="A2713" t="str">
        <f t="shared" si="147"/>
        <v>STKCDG4573537060460000</v>
      </c>
      <c r="B2713" t="s">
        <v>3115</v>
      </c>
      <c r="C2713" s="1">
        <v>45735</v>
      </c>
      <c r="D2713" t="str">
        <f>"370"</f>
        <v>370</v>
      </c>
      <c r="E2713" t="str">
        <f t="shared" si="148"/>
        <v>60460000</v>
      </c>
      <c r="F2713" t="s">
        <v>4703</v>
      </c>
      <c r="G2713" t="s">
        <v>336</v>
      </c>
      <c r="H2713" t="s">
        <v>5874</v>
      </c>
      <c r="I2713">
        <v>0</v>
      </c>
      <c r="J2713" t="s">
        <v>343</v>
      </c>
      <c r="K2713">
        <v>17820</v>
      </c>
      <c r="M2713">
        <v>18366</v>
      </c>
    </row>
    <row r="2714" spans="1:13" x14ac:dyDescent="0.35">
      <c r="A2714" t="str">
        <f t="shared" si="147"/>
        <v>STKCDG4573537060460000</v>
      </c>
      <c r="B2714" t="s">
        <v>3115</v>
      </c>
      <c r="C2714" s="1">
        <v>45735</v>
      </c>
      <c r="D2714" t="str">
        <f>"370"</f>
        <v>370</v>
      </c>
      <c r="E2714" t="str">
        <f t="shared" si="148"/>
        <v>60460000</v>
      </c>
      <c r="F2714" t="s">
        <v>4703</v>
      </c>
      <c r="G2714" t="s">
        <v>336</v>
      </c>
      <c r="H2714" t="s">
        <v>5874</v>
      </c>
      <c r="I2714">
        <v>0</v>
      </c>
      <c r="J2714" t="s">
        <v>343</v>
      </c>
      <c r="K2714">
        <v>546</v>
      </c>
      <c r="M2714">
        <v>18366</v>
      </c>
    </row>
    <row r="2715" spans="1:13" x14ac:dyDescent="0.35">
      <c r="A2715" t="str">
        <f t="shared" si="147"/>
        <v>STKCDG4573537160460000</v>
      </c>
      <c r="B2715" t="s">
        <v>3115</v>
      </c>
      <c r="C2715" s="1">
        <v>45735</v>
      </c>
      <c r="D2715" t="str">
        <f>"371"</f>
        <v>371</v>
      </c>
      <c r="E2715" t="str">
        <f t="shared" si="148"/>
        <v>60460000</v>
      </c>
      <c r="F2715" t="s">
        <v>4705</v>
      </c>
      <c r="G2715" t="s">
        <v>336</v>
      </c>
      <c r="H2715" t="s">
        <v>5876</v>
      </c>
      <c r="I2715">
        <v>0</v>
      </c>
      <c r="J2715" t="s">
        <v>343</v>
      </c>
      <c r="K2715">
        <v>5000</v>
      </c>
      <c r="M2715">
        <v>5000</v>
      </c>
    </row>
    <row r="2716" spans="1:13" x14ac:dyDescent="0.35">
      <c r="A2716" t="str">
        <f t="shared" si="147"/>
        <v>STKCDG4573537260460000</v>
      </c>
      <c r="B2716" t="s">
        <v>3115</v>
      </c>
      <c r="C2716" s="1">
        <v>45735</v>
      </c>
      <c r="D2716" t="str">
        <f>"372"</f>
        <v>372</v>
      </c>
      <c r="E2716" t="str">
        <f t="shared" si="148"/>
        <v>60460000</v>
      </c>
      <c r="F2716" t="s">
        <v>4707</v>
      </c>
      <c r="G2716" t="s">
        <v>336</v>
      </c>
      <c r="H2716" t="s">
        <v>5949</v>
      </c>
      <c r="I2716">
        <v>0</v>
      </c>
      <c r="J2716" t="s">
        <v>343</v>
      </c>
      <c r="K2716">
        <v>679</v>
      </c>
      <c r="M2716">
        <v>679</v>
      </c>
    </row>
    <row r="2717" spans="1:13" x14ac:dyDescent="0.35">
      <c r="A2717" t="str">
        <f t="shared" si="147"/>
        <v>STKCDG4573537360410000</v>
      </c>
      <c r="B2717" t="s">
        <v>3115</v>
      </c>
      <c r="C2717" s="1">
        <v>45735</v>
      </c>
      <c r="D2717" t="str">
        <f>"373"</f>
        <v>373</v>
      </c>
      <c r="E2717" t="str">
        <f>"60410000"</f>
        <v>60410000</v>
      </c>
      <c r="F2717" t="s">
        <v>4709</v>
      </c>
      <c r="G2717" t="s">
        <v>336</v>
      </c>
      <c r="H2717" t="s">
        <v>5874</v>
      </c>
      <c r="I2717">
        <v>0</v>
      </c>
      <c r="J2717" t="s">
        <v>343</v>
      </c>
      <c r="K2717">
        <v>6356</v>
      </c>
      <c r="M2717">
        <v>6356</v>
      </c>
    </row>
    <row r="2718" spans="1:13" x14ac:dyDescent="0.35">
      <c r="A2718" t="str">
        <f t="shared" si="147"/>
        <v>STKCDG4573537460460000</v>
      </c>
      <c r="B2718" t="s">
        <v>3115</v>
      </c>
      <c r="C2718" s="1">
        <v>45735</v>
      </c>
      <c r="D2718" t="str">
        <f>"374"</f>
        <v>374</v>
      </c>
      <c r="E2718" t="str">
        <f t="shared" ref="E2718:E2727" si="149">"60460000"</f>
        <v>60460000</v>
      </c>
      <c r="F2718" t="s">
        <v>4711</v>
      </c>
      <c r="G2718" t="s">
        <v>336</v>
      </c>
      <c r="H2718" t="s">
        <v>5958</v>
      </c>
      <c r="I2718">
        <v>0</v>
      </c>
      <c r="J2718" t="s">
        <v>343</v>
      </c>
      <c r="K2718">
        <v>13583</v>
      </c>
      <c r="M2718">
        <v>13583</v>
      </c>
    </row>
    <row r="2719" spans="1:13" x14ac:dyDescent="0.35">
      <c r="A2719" t="str">
        <f t="shared" si="147"/>
        <v>STKCDG4573537560460000</v>
      </c>
      <c r="B2719" t="s">
        <v>3115</v>
      </c>
      <c r="C2719" s="1">
        <v>45735</v>
      </c>
      <c r="D2719" t="str">
        <f>"375"</f>
        <v>375</v>
      </c>
      <c r="E2719" t="str">
        <f t="shared" si="149"/>
        <v>60460000</v>
      </c>
      <c r="F2719" t="s">
        <v>4713</v>
      </c>
      <c r="G2719" t="s">
        <v>336</v>
      </c>
      <c r="H2719" t="s">
        <v>5931</v>
      </c>
      <c r="I2719">
        <v>0</v>
      </c>
      <c r="J2719" t="s">
        <v>343</v>
      </c>
      <c r="K2719">
        <v>9168</v>
      </c>
      <c r="M2719">
        <v>9168</v>
      </c>
    </row>
    <row r="2720" spans="1:13" x14ac:dyDescent="0.35">
      <c r="A2720" t="str">
        <f t="shared" si="147"/>
        <v>STKCDG4573537660460000</v>
      </c>
      <c r="B2720" t="s">
        <v>3115</v>
      </c>
      <c r="C2720" s="1">
        <v>45735</v>
      </c>
      <c r="D2720" t="str">
        <f>"376"</f>
        <v>376</v>
      </c>
      <c r="E2720" t="str">
        <f t="shared" si="149"/>
        <v>60460000</v>
      </c>
      <c r="F2720" t="s">
        <v>4715</v>
      </c>
      <c r="G2720" t="s">
        <v>336</v>
      </c>
      <c r="H2720" t="s">
        <v>5875</v>
      </c>
      <c r="I2720">
        <v>0</v>
      </c>
      <c r="J2720" t="s">
        <v>343</v>
      </c>
      <c r="K2720">
        <v>5000</v>
      </c>
      <c r="M2720">
        <v>5000</v>
      </c>
    </row>
    <row r="2721" spans="1:13" x14ac:dyDescent="0.35">
      <c r="A2721" t="str">
        <f t="shared" si="147"/>
        <v>STKCDG4573537760460000</v>
      </c>
      <c r="B2721" t="s">
        <v>3115</v>
      </c>
      <c r="C2721" s="1">
        <v>45735</v>
      </c>
      <c r="D2721" t="str">
        <f>"377"</f>
        <v>377</v>
      </c>
      <c r="E2721" t="str">
        <f t="shared" si="149"/>
        <v>60460000</v>
      </c>
      <c r="F2721" t="s">
        <v>4717</v>
      </c>
      <c r="G2721" t="s">
        <v>336</v>
      </c>
      <c r="H2721" t="s">
        <v>5881</v>
      </c>
      <c r="I2721">
        <v>0</v>
      </c>
      <c r="J2721" t="s">
        <v>343</v>
      </c>
      <c r="K2721">
        <v>70000</v>
      </c>
      <c r="M2721">
        <v>70000</v>
      </c>
    </row>
    <row r="2722" spans="1:13" x14ac:dyDescent="0.35">
      <c r="A2722" t="str">
        <f t="shared" si="147"/>
        <v>STKCDG4573537860460000</v>
      </c>
      <c r="B2722" t="s">
        <v>3115</v>
      </c>
      <c r="C2722" s="1">
        <v>45735</v>
      </c>
      <c r="D2722" t="str">
        <f>"378"</f>
        <v>378</v>
      </c>
      <c r="E2722" t="str">
        <f t="shared" si="149"/>
        <v>60460000</v>
      </c>
      <c r="F2722" t="s">
        <v>4719</v>
      </c>
      <c r="G2722" t="s">
        <v>336</v>
      </c>
      <c r="H2722" t="s">
        <v>5880</v>
      </c>
      <c r="I2722">
        <v>0</v>
      </c>
      <c r="J2722" t="s">
        <v>343</v>
      </c>
      <c r="K2722">
        <v>18000</v>
      </c>
      <c r="M2722">
        <v>18000</v>
      </c>
    </row>
    <row r="2723" spans="1:13" x14ac:dyDescent="0.35">
      <c r="A2723" t="str">
        <f t="shared" si="147"/>
        <v>STKCDG4573537960460000</v>
      </c>
      <c r="B2723" t="s">
        <v>3115</v>
      </c>
      <c r="C2723" s="1">
        <v>45735</v>
      </c>
      <c r="D2723" t="str">
        <f>"379"</f>
        <v>379</v>
      </c>
      <c r="E2723" t="str">
        <f t="shared" si="149"/>
        <v>60460000</v>
      </c>
      <c r="F2723" t="s">
        <v>4721</v>
      </c>
      <c r="G2723" t="s">
        <v>336</v>
      </c>
      <c r="H2723" t="s">
        <v>5966</v>
      </c>
      <c r="I2723">
        <v>0</v>
      </c>
      <c r="J2723" t="s">
        <v>343</v>
      </c>
      <c r="K2723">
        <v>18</v>
      </c>
      <c r="M2723">
        <v>18</v>
      </c>
    </row>
    <row r="2724" spans="1:13" x14ac:dyDescent="0.35">
      <c r="A2724" t="str">
        <f t="shared" si="147"/>
        <v>STKCDG4573538060460000</v>
      </c>
      <c r="B2724" t="s">
        <v>3115</v>
      </c>
      <c r="C2724" s="1">
        <v>45735</v>
      </c>
      <c r="D2724" t="str">
        <f>"380"</f>
        <v>380</v>
      </c>
      <c r="E2724" t="str">
        <f t="shared" si="149"/>
        <v>60460000</v>
      </c>
      <c r="F2724" t="s">
        <v>4723</v>
      </c>
      <c r="G2724" t="s">
        <v>336</v>
      </c>
      <c r="H2724" t="s">
        <v>5876</v>
      </c>
      <c r="I2724">
        <v>0</v>
      </c>
      <c r="J2724" t="s">
        <v>343</v>
      </c>
      <c r="K2724">
        <v>70000</v>
      </c>
      <c r="M2724">
        <v>70000</v>
      </c>
    </row>
    <row r="2725" spans="1:13" x14ac:dyDescent="0.35">
      <c r="A2725" t="str">
        <f t="shared" si="147"/>
        <v>STKCDG4573538160460000</v>
      </c>
      <c r="B2725" t="s">
        <v>3115</v>
      </c>
      <c r="C2725" s="1">
        <v>45735</v>
      </c>
      <c r="D2725" t="str">
        <f>"381"</f>
        <v>381</v>
      </c>
      <c r="E2725" t="str">
        <f t="shared" si="149"/>
        <v>60460000</v>
      </c>
      <c r="F2725" t="s">
        <v>4725</v>
      </c>
      <c r="G2725" t="s">
        <v>336</v>
      </c>
      <c r="H2725" t="s">
        <v>5966</v>
      </c>
      <c r="I2725">
        <v>0</v>
      </c>
      <c r="J2725" t="s">
        <v>343</v>
      </c>
      <c r="K2725">
        <v>2500</v>
      </c>
      <c r="M2725">
        <v>2500</v>
      </c>
    </row>
    <row r="2726" spans="1:13" x14ac:dyDescent="0.35">
      <c r="A2726" t="str">
        <f t="shared" si="147"/>
        <v>STKCDG4573538260460000</v>
      </c>
      <c r="B2726" t="s">
        <v>3115</v>
      </c>
      <c r="C2726" s="1">
        <v>45735</v>
      </c>
      <c r="D2726" t="str">
        <f>"382"</f>
        <v>382</v>
      </c>
      <c r="E2726" t="str">
        <f t="shared" si="149"/>
        <v>60460000</v>
      </c>
      <c r="F2726" t="s">
        <v>4727</v>
      </c>
      <c r="G2726" t="s">
        <v>336</v>
      </c>
      <c r="H2726" t="s">
        <v>5958</v>
      </c>
      <c r="I2726">
        <v>0</v>
      </c>
      <c r="J2726" t="s">
        <v>343</v>
      </c>
      <c r="K2726">
        <v>600</v>
      </c>
      <c r="M2726">
        <v>600</v>
      </c>
    </row>
    <row r="2727" spans="1:13" x14ac:dyDescent="0.35">
      <c r="A2727" t="str">
        <f t="shared" si="147"/>
        <v>STKCDG4573538360460000</v>
      </c>
      <c r="B2727" t="s">
        <v>3115</v>
      </c>
      <c r="C2727" s="1">
        <v>45735</v>
      </c>
      <c r="D2727" t="str">
        <f>"383"</f>
        <v>383</v>
      </c>
      <c r="E2727" t="str">
        <f t="shared" si="149"/>
        <v>60460000</v>
      </c>
      <c r="F2727" t="s">
        <v>4729</v>
      </c>
      <c r="G2727" t="s">
        <v>336</v>
      </c>
      <c r="H2727" t="s">
        <v>5966</v>
      </c>
      <c r="I2727">
        <v>0</v>
      </c>
      <c r="J2727" t="s">
        <v>343</v>
      </c>
      <c r="K2727">
        <v>51</v>
      </c>
      <c r="M2727">
        <v>51</v>
      </c>
    </row>
    <row r="2728" spans="1:13" x14ac:dyDescent="0.35">
      <c r="A2728" t="str">
        <f t="shared" si="147"/>
        <v>STKCDG4573538460440000</v>
      </c>
      <c r="B2728" t="s">
        <v>3115</v>
      </c>
      <c r="C2728" s="1">
        <v>45735</v>
      </c>
      <c r="D2728" t="str">
        <f>"384"</f>
        <v>384</v>
      </c>
      <c r="E2728" t="str">
        <f>"60440000"</f>
        <v>60440000</v>
      </c>
      <c r="F2728" t="s">
        <v>4731</v>
      </c>
      <c r="G2728" t="s">
        <v>336</v>
      </c>
      <c r="H2728" t="s">
        <v>5874</v>
      </c>
      <c r="I2728">
        <v>0</v>
      </c>
      <c r="J2728" t="s">
        <v>343</v>
      </c>
      <c r="K2728">
        <v>65000</v>
      </c>
      <c r="M2728">
        <v>65000</v>
      </c>
    </row>
    <row r="2729" spans="1:13" x14ac:dyDescent="0.35">
      <c r="A2729" t="str">
        <f t="shared" si="147"/>
        <v>STKCDG4573538560440000</v>
      </c>
      <c r="B2729" t="s">
        <v>3115</v>
      </c>
      <c r="C2729" s="1">
        <v>45735</v>
      </c>
      <c r="D2729" t="str">
        <f>"385"</f>
        <v>385</v>
      </c>
      <c r="E2729" t="str">
        <f>"60440000"</f>
        <v>60440000</v>
      </c>
      <c r="F2729" t="s">
        <v>4733</v>
      </c>
      <c r="G2729" t="s">
        <v>336</v>
      </c>
      <c r="H2729" t="s">
        <v>5876</v>
      </c>
      <c r="I2729">
        <v>0</v>
      </c>
      <c r="J2729" t="s">
        <v>343</v>
      </c>
      <c r="K2729">
        <v>30000</v>
      </c>
      <c r="M2729">
        <v>30000</v>
      </c>
    </row>
    <row r="2730" spans="1:13" x14ac:dyDescent="0.35">
      <c r="A2730" t="str">
        <f t="shared" si="147"/>
        <v>STKCDG4573538660440000</v>
      </c>
      <c r="B2730" t="s">
        <v>3115</v>
      </c>
      <c r="C2730" s="1">
        <v>45735</v>
      </c>
      <c r="D2730" t="str">
        <f>"386"</f>
        <v>386</v>
      </c>
      <c r="E2730" t="str">
        <f>"60440000"</f>
        <v>60440000</v>
      </c>
      <c r="F2730" t="s">
        <v>4735</v>
      </c>
      <c r="G2730" t="s">
        <v>336</v>
      </c>
      <c r="H2730" t="s">
        <v>5946</v>
      </c>
      <c r="I2730">
        <v>0</v>
      </c>
      <c r="J2730" t="s">
        <v>343</v>
      </c>
      <c r="K2730">
        <v>65000</v>
      </c>
      <c r="M2730">
        <v>65000</v>
      </c>
    </row>
    <row r="2731" spans="1:13" x14ac:dyDescent="0.35">
      <c r="A2731" t="str">
        <f t="shared" si="147"/>
        <v>STKCDG4573538760460000</v>
      </c>
      <c r="B2731" t="s">
        <v>3115</v>
      </c>
      <c r="C2731" s="1">
        <v>45735</v>
      </c>
      <c r="D2731" t="str">
        <f>"387"</f>
        <v>387</v>
      </c>
      <c r="E2731" t="str">
        <f>"60460000"</f>
        <v>60460000</v>
      </c>
      <c r="F2731" t="s">
        <v>4737</v>
      </c>
      <c r="G2731" t="s">
        <v>336</v>
      </c>
      <c r="H2731" t="s">
        <v>5875</v>
      </c>
      <c r="I2731">
        <v>0</v>
      </c>
      <c r="J2731" t="s">
        <v>343</v>
      </c>
      <c r="K2731">
        <v>600</v>
      </c>
      <c r="M2731">
        <v>600</v>
      </c>
    </row>
    <row r="2732" spans="1:13" x14ac:dyDescent="0.35">
      <c r="A2732" t="str">
        <f t="shared" si="147"/>
        <v>STKCDG4573538860410000</v>
      </c>
      <c r="B2732" t="s">
        <v>3115</v>
      </c>
      <c r="C2732" s="1">
        <v>45735</v>
      </c>
      <c r="D2732" t="str">
        <f>"388"</f>
        <v>388</v>
      </c>
      <c r="E2732" t="str">
        <f>"60410000"</f>
        <v>60410000</v>
      </c>
      <c r="F2732" t="s">
        <v>4739</v>
      </c>
      <c r="G2732" t="s">
        <v>336</v>
      </c>
      <c r="H2732" t="s">
        <v>5966</v>
      </c>
      <c r="I2732">
        <v>0</v>
      </c>
      <c r="J2732" t="s">
        <v>343</v>
      </c>
      <c r="K2732">
        <v>2917</v>
      </c>
      <c r="M2732">
        <v>2917</v>
      </c>
    </row>
    <row r="2733" spans="1:13" x14ac:dyDescent="0.35">
      <c r="A2733" t="str">
        <f t="shared" si="147"/>
        <v>STKCDG4573538960460000</v>
      </c>
      <c r="B2733" t="s">
        <v>3115</v>
      </c>
      <c r="C2733" s="1">
        <v>45735</v>
      </c>
      <c r="D2733" t="str">
        <f>"389"</f>
        <v>389</v>
      </c>
      <c r="E2733" t="str">
        <f>"60460000"</f>
        <v>60460000</v>
      </c>
      <c r="F2733" t="s">
        <v>4741</v>
      </c>
      <c r="G2733" t="s">
        <v>336</v>
      </c>
      <c r="H2733" t="s">
        <v>5876</v>
      </c>
      <c r="I2733">
        <v>0</v>
      </c>
      <c r="J2733" t="s">
        <v>343</v>
      </c>
      <c r="K2733">
        <v>45000</v>
      </c>
      <c r="M2733">
        <v>45000</v>
      </c>
    </row>
    <row r="2734" spans="1:13" x14ac:dyDescent="0.35">
      <c r="A2734" t="str">
        <f t="shared" si="147"/>
        <v>STKCDG4573539060410000</v>
      </c>
      <c r="B2734" t="s">
        <v>3115</v>
      </c>
      <c r="C2734" s="1">
        <v>45735</v>
      </c>
      <c r="D2734" t="str">
        <f>"390"</f>
        <v>390</v>
      </c>
      <c r="E2734" t="str">
        <f>"60410000"</f>
        <v>60410000</v>
      </c>
      <c r="F2734" t="s">
        <v>4743</v>
      </c>
      <c r="G2734" t="s">
        <v>336</v>
      </c>
      <c r="H2734" t="s">
        <v>5966</v>
      </c>
      <c r="I2734">
        <v>0</v>
      </c>
      <c r="J2734" t="s">
        <v>343</v>
      </c>
      <c r="K2734">
        <v>1944</v>
      </c>
      <c r="M2734">
        <v>36944</v>
      </c>
    </row>
    <row r="2735" spans="1:13" x14ac:dyDescent="0.35">
      <c r="A2735" t="str">
        <f t="shared" si="147"/>
        <v>STKCDG4573539060410000</v>
      </c>
      <c r="B2735" t="s">
        <v>3115</v>
      </c>
      <c r="C2735" s="1">
        <v>45735</v>
      </c>
      <c r="D2735" t="str">
        <f>"390"</f>
        <v>390</v>
      </c>
      <c r="E2735" t="str">
        <f>"60410000"</f>
        <v>60410000</v>
      </c>
      <c r="F2735" t="s">
        <v>4743</v>
      </c>
      <c r="G2735" t="s">
        <v>336</v>
      </c>
      <c r="H2735" t="s">
        <v>5966</v>
      </c>
      <c r="I2735">
        <v>0</v>
      </c>
      <c r="J2735" t="s">
        <v>343</v>
      </c>
      <c r="K2735">
        <v>35000</v>
      </c>
      <c r="M2735">
        <v>36944</v>
      </c>
    </row>
    <row r="2736" spans="1:13" x14ac:dyDescent="0.35">
      <c r="A2736" t="str">
        <f t="shared" si="147"/>
        <v>STKCDG4573539160410000</v>
      </c>
      <c r="B2736" t="s">
        <v>3115</v>
      </c>
      <c r="C2736" s="1">
        <v>45735</v>
      </c>
      <c r="D2736" t="str">
        <f>"391"</f>
        <v>391</v>
      </c>
      <c r="E2736" t="str">
        <f>"60410000"</f>
        <v>60410000</v>
      </c>
      <c r="F2736" t="s">
        <v>4745</v>
      </c>
      <c r="G2736" t="s">
        <v>336</v>
      </c>
      <c r="H2736" t="s">
        <v>5966</v>
      </c>
      <c r="I2736">
        <v>0</v>
      </c>
      <c r="J2736" t="s">
        <v>343</v>
      </c>
      <c r="K2736">
        <v>4947</v>
      </c>
      <c r="M2736">
        <v>4947</v>
      </c>
    </row>
    <row r="2737" spans="1:13" x14ac:dyDescent="0.35">
      <c r="A2737" t="str">
        <f t="shared" si="147"/>
        <v>STKCDG4573539260440000</v>
      </c>
      <c r="B2737" t="s">
        <v>3115</v>
      </c>
      <c r="C2737" s="1">
        <v>45735</v>
      </c>
      <c r="D2737" t="str">
        <f>"392"</f>
        <v>392</v>
      </c>
      <c r="E2737" t="str">
        <f>"60440000"</f>
        <v>60440000</v>
      </c>
      <c r="F2737" t="s">
        <v>4747</v>
      </c>
      <c r="G2737" t="s">
        <v>336</v>
      </c>
      <c r="H2737" t="s">
        <v>5875</v>
      </c>
      <c r="I2737">
        <v>0</v>
      </c>
      <c r="J2737" t="s">
        <v>343</v>
      </c>
      <c r="K2737">
        <v>330000</v>
      </c>
      <c r="M2737">
        <v>330000</v>
      </c>
    </row>
    <row r="2738" spans="1:13" x14ac:dyDescent="0.35">
      <c r="A2738" t="str">
        <f t="shared" si="147"/>
        <v>STKCDG4573539360410000</v>
      </c>
      <c r="B2738" t="s">
        <v>3115</v>
      </c>
      <c r="C2738" s="1">
        <v>45735</v>
      </c>
      <c r="D2738" t="str">
        <f>"393"</f>
        <v>393</v>
      </c>
      <c r="E2738" t="str">
        <f>"60410000"</f>
        <v>60410000</v>
      </c>
      <c r="F2738" t="s">
        <v>4749</v>
      </c>
      <c r="G2738" t="s">
        <v>336</v>
      </c>
      <c r="H2738" t="s">
        <v>5966</v>
      </c>
      <c r="I2738">
        <v>0</v>
      </c>
      <c r="J2738" t="s">
        <v>343</v>
      </c>
      <c r="K2738">
        <v>1944</v>
      </c>
      <c r="M2738">
        <v>1944</v>
      </c>
    </row>
    <row r="2739" spans="1:13" x14ac:dyDescent="0.35">
      <c r="A2739" t="str">
        <f t="shared" si="147"/>
        <v>STKCDG4573539460440000</v>
      </c>
      <c r="B2739" t="s">
        <v>3115</v>
      </c>
      <c r="C2739" s="1">
        <v>45735</v>
      </c>
      <c r="D2739" t="str">
        <f>"394"</f>
        <v>394</v>
      </c>
      <c r="E2739" t="str">
        <f>"60440000"</f>
        <v>60440000</v>
      </c>
      <c r="F2739" t="s">
        <v>4751</v>
      </c>
      <c r="G2739" t="s">
        <v>336</v>
      </c>
      <c r="H2739" t="s">
        <v>5946</v>
      </c>
      <c r="I2739">
        <v>0</v>
      </c>
      <c r="J2739" t="s">
        <v>343</v>
      </c>
      <c r="K2739">
        <v>3500</v>
      </c>
      <c r="M2739">
        <v>3500</v>
      </c>
    </row>
    <row r="2740" spans="1:13" x14ac:dyDescent="0.35">
      <c r="A2740" t="str">
        <f t="shared" si="147"/>
        <v>STKCDG4573539560460000</v>
      </c>
      <c r="B2740" t="s">
        <v>3115</v>
      </c>
      <c r="C2740" s="1">
        <v>45735</v>
      </c>
      <c r="D2740" t="str">
        <f>"395"</f>
        <v>395</v>
      </c>
      <c r="E2740" t="str">
        <f>"60460000"</f>
        <v>60460000</v>
      </c>
      <c r="F2740" t="s">
        <v>4753</v>
      </c>
      <c r="G2740" t="s">
        <v>336</v>
      </c>
      <c r="H2740" t="s">
        <v>5966</v>
      </c>
      <c r="I2740">
        <v>0</v>
      </c>
      <c r="J2740" t="s">
        <v>343</v>
      </c>
      <c r="K2740">
        <v>904</v>
      </c>
      <c r="M2740">
        <v>904</v>
      </c>
    </row>
    <row r="2741" spans="1:13" x14ac:dyDescent="0.35">
      <c r="A2741" t="str">
        <f t="shared" si="147"/>
        <v>STKCDG4573539660440000</v>
      </c>
      <c r="B2741" t="s">
        <v>3115</v>
      </c>
      <c r="C2741" s="1">
        <v>45735</v>
      </c>
      <c r="D2741" t="str">
        <f>"396"</f>
        <v>396</v>
      </c>
      <c r="E2741" t="str">
        <f>"60440000"</f>
        <v>60440000</v>
      </c>
      <c r="F2741" t="s">
        <v>4755</v>
      </c>
      <c r="G2741" t="s">
        <v>336</v>
      </c>
      <c r="H2741" t="s">
        <v>5874</v>
      </c>
      <c r="I2741">
        <v>0</v>
      </c>
      <c r="J2741" t="s">
        <v>343</v>
      </c>
      <c r="K2741">
        <v>300000</v>
      </c>
      <c r="M2741">
        <v>300000</v>
      </c>
    </row>
    <row r="2742" spans="1:13" x14ac:dyDescent="0.35">
      <c r="A2742" t="str">
        <f t="shared" si="147"/>
        <v>STKCDG4573539760440000</v>
      </c>
      <c r="B2742" t="s">
        <v>3115</v>
      </c>
      <c r="C2742" s="1">
        <v>45735</v>
      </c>
      <c r="D2742" t="str">
        <f>"397"</f>
        <v>397</v>
      </c>
      <c r="E2742" t="str">
        <f>"60440000"</f>
        <v>60440000</v>
      </c>
      <c r="F2742" t="s">
        <v>4757</v>
      </c>
      <c r="G2742" t="s">
        <v>336</v>
      </c>
      <c r="H2742" t="s">
        <v>5874</v>
      </c>
      <c r="I2742">
        <v>0</v>
      </c>
      <c r="J2742" t="s">
        <v>343</v>
      </c>
      <c r="K2742">
        <v>60000</v>
      </c>
      <c r="M2742">
        <v>60000</v>
      </c>
    </row>
    <row r="2743" spans="1:13" x14ac:dyDescent="0.35">
      <c r="A2743" t="str">
        <f t="shared" si="147"/>
        <v>STKCDG4573539860440000</v>
      </c>
      <c r="B2743" t="s">
        <v>3115</v>
      </c>
      <c r="C2743" s="1">
        <v>45735</v>
      </c>
      <c r="D2743" t="str">
        <f>"398"</f>
        <v>398</v>
      </c>
      <c r="E2743" t="str">
        <f>"60440000"</f>
        <v>60440000</v>
      </c>
      <c r="F2743" t="s">
        <v>4759</v>
      </c>
      <c r="G2743" t="s">
        <v>336</v>
      </c>
      <c r="H2743" t="s">
        <v>5874</v>
      </c>
      <c r="I2743">
        <v>0</v>
      </c>
      <c r="J2743" t="s">
        <v>343</v>
      </c>
      <c r="K2743">
        <v>80000</v>
      </c>
      <c r="M2743">
        <v>80000</v>
      </c>
    </row>
    <row r="2744" spans="1:13" x14ac:dyDescent="0.35">
      <c r="A2744" t="str">
        <f t="shared" si="147"/>
        <v>STKCDG4573539960440000</v>
      </c>
      <c r="B2744" t="s">
        <v>3115</v>
      </c>
      <c r="C2744" s="1">
        <v>45735</v>
      </c>
      <c r="D2744" t="str">
        <f>"399"</f>
        <v>399</v>
      </c>
      <c r="E2744" t="str">
        <f>"60440000"</f>
        <v>60440000</v>
      </c>
      <c r="F2744" t="s">
        <v>4761</v>
      </c>
      <c r="G2744" t="s">
        <v>336</v>
      </c>
      <c r="H2744" t="s">
        <v>5875</v>
      </c>
      <c r="I2744">
        <v>0</v>
      </c>
      <c r="J2744" t="s">
        <v>343</v>
      </c>
      <c r="K2744">
        <v>3214</v>
      </c>
      <c r="M2744">
        <v>41653</v>
      </c>
    </row>
    <row r="2745" spans="1:13" x14ac:dyDescent="0.35">
      <c r="A2745" t="str">
        <f t="shared" si="147"/>
        <v>STKCDG4573539960440000</v>
      </c>
      <c r="B2745" t="s">
        <v>3115</v>
      </c>
      <c r="C2745" s="1">
        <v>45735</v>
      </c>
      <c r="D2745" t="str">
        <f>"399"</f>
        <v>399</v>
      </c>
      <c r="E2745" t="str">
        <f>"60440000"</f>
        <v>60440000</v>
      </c>
      <c r="F2745" t="s">
        <v>4761</v>
      </c>
      <c r="G2745" t="s">
        <v>336</v>
      </c>
      <c r="H2745" t="s">
        <v>5875</v>
      </c>
      <c r="I2745">
        <v>0</v>
      </c>
      <c r="J2745" t="s">
        <v>343</v>
      </c>
      <c r="K2745">
        <v>38439</v>
      </c>
      <c r="M2745">
        <v>41653</v>
      </c>
    </row>
    <row r="2746" spans="1:13" x14ac:dyDescent="0.35">
      <c r="A2746" t="str">
        <f t="shared" si="147"/>
        <v>STKCDG4573540060460000</v>
      </c>
      <c r="B2746" t="s">
        <v>3115</v>
      </c>
      <c r="C2746" s="1">
        <v>45735</v>
      </c>
      <c r="D2746" t="str">
        <f>"400"</f>
        <v>400</v>
      </c>
      <c r="E2746" t="str">
        <f>"60460000"</f>
        <v>60460000</v>
      </c>
      <c r="F2746" t="s">
        <v>4763</v>
      </c>
      <c r="G2746" t="s">
        <v>336</v>
      </c>
      <c r="H2746" t="s">
        <v>5875</v>
      </c>
      <c r="I2746">
        <v>0</v>
      </c>
      <c r="J2746" t="s">
        <v>343</v>
      </c>
      <c r="K2746">
        <v>5000</v>
      </c>
      <c r="M2746">
        <v>5000</v>
      </c>
    </row>
    <row r="2747" spans="1:13" x14ac:dyDescent="0.35">
      <c r="A2747" t="str">
        <f t="shared" si="147"/>
        <v>STKCDG4573540160460000</v>
      </c>
      <c r="B2747" t="s">
        <v>3115</v>
      </c>
      <c r="C2747" s="1">
        <v>45735</v>
      </c>
      <c r="D2747" t="str">
        <f>"401"</f>
        <v>401</v>
      </c>
      <c r="E2747" t="str">
        <f>"60460000"</f>
        <v>60460000</v>
      </c>
      <c r="F2747" t="s">
        <v>4765</v>
      </c>
      <c r="G2747" t="s">
        <v>336</v>
      </c>
      <c r="H2747" t="s">
        <v>6012</v>
      </c>
      <c r="I2747">
        <v>0</v>
      </c>
      <c r="J2747" t="s">
        <v>343</v>
      </c>
      <c r="K2747">
        <v>568</v>
      </c>
      <c r="M2747">
        <v>568</v>
      </c>
    </row>
    <row r="2748" spans="1:13" x14ac:dyDescent="0.35">
      <c r="A2748" t="str">
        <f t="shared" si="147"/>
        <v>STKCDG4573540260440000</v>
      </c>
      <c r="B2748" t="s">
        <v>3115</v>
      </c>
      <c r="C2748" s="1">
        <v>45735</v>
      </c>
      <c r="D2748" t="str">
        <f>"402"</f>
        <v>402</v>
      </c>
      <c r="E2748" t="str">
        <f>"60440000"</f>
        <v>60440000</v>
      </c>
      <c r="F2748" t="s">
        <v>4767</v>
      </c>
      <c r="G2748" t="s">
        <v>336</v>
      </c>
      <c r="H2748" t="s">
        <v>5874</v>
      </c>
      <c r="I2748">
        <v>0</v>
      </c>
      <c r="J2748" t="s">
        <v>343</v>
      </c>
      <c r="K2748">
        <v>80000</v>
      </c>
      <c r="M2748">
        <v>80000</v>
      </c>
    </row>
    <row r="2749" spans="1:13" x14ac:dyDescent="0.35">
      <c r="A2749" t="str">
        <f t="shared" si="147"/>
        <v>STKCDG4573540360440000</v>
      </c>
      <c r="B2749" t="s">
        <v>3115</v>
      </c>
      <c r="C2749" s="1">
        <v>45735</v>
      </c>
      <c r="D2749" t="str">
        <f>"403"</f>
        <v>403</v>
      </c>
      <c r="E2749" t="str">
        <f>"60440000"</f>
        <v>60440000</v>
      </c>
      <c r="F2749" t="s">
        <v>4769</v>
      </c>
      <c r="G2749" t="s">
        <v>336</v>
      </c>
      <c r="H2749" t="s">
        <v>5875</v>
      </c>
      <c r="I2749">
        <v>0</v>
      </c>
      <c r="J2749" t="s">
        <v>343</v>
      </c>
      <c r="K2749">
        <v>130000</v>
      </c>
      <c r="M2749">
        <v>130000</v>
      </c>
    </row>
    <row r="2750" spans="1:13" x14ac:dyDescent="0.35">
      <c r="A2750" t="str">
        <f t="shared" si="147"/>
        <v>STKCDG4573540460460000</v>
      </c>
      <c r="B2750" t="s">
        <v>3115</v>
      </c>
      <c r="C2750" s="1">
        <v>45735</v>
      </c>
      <c r="D2750" t="str">
        <f>"404"</f>
        <v>404</v>
      </c>
      <c r="E2750" t="str">
        <f>"60460000"</f>
        <v>60460000</v>
      </c>
      <c r="F2750" t="s">
        <v>4771</v>
      </c>
      <c r="G2750" t="s">
        <v>336</v>
      </c>
      <c r="H2750" t="s">
        <v>5875</v>
      </c>
      <c r="I2750">
        <v>0</v>
      </c>
      <c r="J2750" t="s">
        <v>343</v>
      </c>
      <c r="K2750">
        <v>70000</v>
      </c>
      <c r="M2750">
        <v>70000</v>
      </c>
    </row>
    <row r="2751" spans="1:13" x14ac:dyDescent="0.35">
      <c r="A2751" t="str">
        <f t="shared" si="147"/>
        <v>STKCDG4573540560460000</v>
      </c>
      <c r="B2751" t="s">
        <v>3115</v>
      </c>
      <c r="C2751" s="1">
        <v>45735</v>
      </c>
      <c r="D2751" t="str">
        <f>"405"</f>
        <v>405</v>
      </c>
      <c r="E2751" t="str">
        <f>"60460000"</f>
        <v>60460000</v>
      </c>
      <c r="F2751" t="s">
        <v>4773</v>
      </c>
      <c r="G2751" t="s">
        <v>336</v>
      </c>
      <c r="H2751" t="s">
        <v>5875</v>
      </c>
      <c r="I2751">
        <v>0</v>
      </c>
      <c r="J2751" t="s">
        <v>343</v>
      </c>
      <c r="K2751">
        <v>70000</v>
      </c>
      <c r="M2751">
        <v>70000</v>
      </c>
    </row>
    <row r="2752" spans="1:13" x14ac:dyDescent="0.35">
      <c r="A2752" t="str">
        <f t="shared" si="147"/>
        <v>STKCDG4573548560440000</v>
      </c>
      <c r="B2752" t="s">
        <v>3115</v>
      </c>
      <c r="C2752" s="1">
        <v>45735</v>
      </c>
      <c r="D2752" t="str">
        <f>"485"</f>
        <v>485</v>
      </c>
      <c r="E2752" t="str">
        <f t="shared" ref="E2752:E2773" si="150">"60440000"</f>
        <v>60440000</v>
      </c>
      <c r="F2752" t="s">
        <v>4775</v>
      </c>
      <c r="G2752" t="s">
        <v>336</v>
      </c>
      <c r="H2752" t="s">
        <v>5880</v>
      </c>
      <c r="I2752">
        <v>0</v>
      </c>
      <c r="J2752" t="s">
        <v>343</v>
      </c>
      <c r="K2752">
        <v>903000</v>
      </c>
      <c r="M2752">
        <v>903000</v>
      </c>
    </row>
    <row r="2753" spans="1:13" x14ac:dyDescent="0.35">
      <c r="A2753" t="str">
        <f t="shared" si="147"/>
        <v>STKCDG4573548660440000</v>
      </c>
      <c r="B2753" t="s">
        <v>3115</v>
      </c>
      <c r="C2753" s="1">
        <v>45735</v>
      </c>
      <c r="D2753" t="str">
        <f>"486"</f>
        <v>486</v>
      </c>
      <c r="E2753" t="str">
        <f t="shared" si="150"/>
        <v>60440000</v>
      </c>
      <c r="F2753" t="s">
        <v>4777</v>
      </c>
      <c r="G2753" t="s">
        <v>336</v>
      </c>
      <c r="H2753" t="s">
        <v>5876</v>
      </c>
      <c r="I2753">
        <v>0</v>
      </c>
      <c r="J2753" t="s">
        <v>343</v>
      </c>
      <c r="K2753">
        <v>1600000</v>
      </c>
      <c r="M2753">
        <v>1600000</v>
      </c>
    </row>
    <row r="2754" spans="1:13" x14ac:dyDescent="0.35">
      <c r="A2754" t="str">
        <f t="shared" si="147"/>
        <v>STKCDG4573548760440000</v>
      </c>
      <c r="B2754" t="s">
        <v>3115</v>
      </c>
      <c r="C2754" s="1">
        <v>45735</v>
      </c>
      <c r="D2754" t="str">
        <f>"487"</f>
        <v>487</v>
      </c>
      <c r="E2754" t="str">
        <f t="shared" si="150"/>
        <v>60440000</v>
      </c>
      <c r="F2754" t="s">
        <v>4779</v>
      </c>
      <c r="G2754" t="s">
        <v>336</v>
      </c>
      <c r="H2754" t="s">
        <v>5880</v>
      </c>
      <c r="I2754">
        <v>0</v>
      </c>
      <c r="J2754" t="s">
        <v>343</v>
      </c>
      <c r="K2754">
        <v>70000</v>
      </c>
      <c r="M2754">
        <v>70000</v>
      </c>
    </row>
    <row r="2755" spans="1:13" x14ac:dyDescent="0.35">
      <c r="A2755" t="str">
        <f t="shared" ref="A2755:A2818" si="151">CONCATENATE(B2755,C2755,D2755,E2755)</f>
        <v>STKCDG4573548860440000</v>
      </c>
      <c r="B2755" t="s">
        <v>3115</v>
      </c>
      <c r="C2755" s="1">
        <v>45735</v>
      </c>
      <c r="D2755" t="str">
        <f>"488"</f>
        <v>488</v>
      </c>
      <c r="E2755" t="str">
        <f t="shared" si="150"/>
        <v>60440000</v>
      </c>
      <c r="F2755" t="s">
        <v>4781</v>
      </c>
      <c r="G2755" t="s">
        <v>336</v>
      </c>
      <c r="H2755" t="s">
        <v>5876</v>
      </c>
      <c r="I2755">
        <v>0</v>
      </c>
      <c r="J2755" t="s">
        <v>343</v>
      </c>
      <c r="K2755">
        <v>20000</v>
      </c>
      <c r="M2755">
        <v>20000</v>
      </c>
    </row>
    <row r="2756" spans="1:13" x14ac:dyDescent="0.35">
      <c r="A2756" t="str">
        <f t="shared" si="151"/>
        <v>STKCDG4573548960440000</v>
      </c>
      <c r="B2756" t="s">
        <v>3115</v>
      </c>
      <c r="C2756" s="1">
        <v>45735</v>
      </c>
      <c r="D2756" t="str">
        <f>"489"</f>
        <v>489</v>
      </c>
      <c r="E2756" t="str">
        <f t="shared" si="150"/>
        <v>60440000</v>
      </c>
      <c r="F2756" t="s">
        <v>4783</v>
      </c>
      <c r="G2756" t="s">
        <v>336</v>
      </c>
      <c r="H2756" t="s">
        <v>5880</v>
      </c>
      <c r="I2756">
        <v>0</v>
      </c>
      <c r="J2756" t="s">
        <v>343</v>
      </c>
      <c r="K2756">
        <v>150000</v>
      </c>
      <c r="M2756">
        <v>150000</v>
      </c>
    </row>
    <row r="2757" spans="1:13" x14ac:dyDescent="0.35">
      <c r="A2757" t="str">
        <f t="shared" si="151"/>
        <v>STKCDG4573549060440000</v>
      </c>
      <c r="B2757" t="s">
        <v>3115</v>
      </c>
      <c r="C2757" s="1">
        <v>45735</v>
      </c>
      <c r="D2757" t="str">
        <f>"490"</f>
        <v>490</v>
      </c>
      <c r="E2757" t="str">
        <f t="shared" si="150"/>
        <v>60440000</v>
      </c>
      <c r="F2757" t="s">
        <v>4785</v>
      </c>
      <c r="G2757" t="s">
        <v>336</v>
      </c>
      <c r="H2757" t="s">
        <v>5875</v>
      </c>
      <c r="I2757">
        <v>0</v>
      </c>
      <c r="J2757" t="s">
        <v>343</v>
      </c>
      <c r="K2757">
        <v>140000</v>
      </c>
      <c r="M2757">
        <v>140000</v>
      </c>
    </row>
    <row r="2758" spans="1:13" x14ac:dyDescent="0.35">
      <c r="A2758" t="str">
        <f t="shared" si="151"/>
        <v>STKCDG4573549160440000</v>
      </c>
      <c r="B2758" t="s">
        <v>3115</v>
      </c>
      <c r="C2758" s="1">
        <v>45735</v>
      </c>
      <c r="D2758" t="str">
        <f>"491"</f>
        <v>491</v>
      </c>
      <c r="E2758" t="str">
        <f t="shared" si="150"/>
        <v>60440000</v>
      </c>
      <c r="F2758" t="s">
        <v>4787</v>
      </c>
      <c r="G2758" t="s">
        <v>336</v>
      </c>
      <c r="H2758" t="s">
        <v>5876</v>
      </c>
      <c r="I2758">
        <v>0</v>
      </c>
      <c r="J2758" t="s">
        <v>343</v>
      </c>
      <c r="K2758">
        <v>75000</v>
      </c>
      <c r="M2758">
        <v>75000</v>
      </c>
    </row>
    <row r="2759" spans="1:13" x14ac:dyDescent="0.35">
      <c r="A2759" t="str">
        <f t="shared" si="151"/>
        <v>STKCDG4573549260440000</v>
      </c>
      <c r="B2759" t="s">
        <v>3115</v>
      </c>
      <c r="C2759" s="1">
        <v>45735</v>
      </c>
      <c r="D2759" t="str">
        <f>"492"</f>
        <v>492</v>
      </c>
      <c r="E2759" t="str">
        <f t="shared" si="150"/>
        <v>60440000</v>
      </c>
      <c r="F2759" t="s">
        <v>4789</v>
      </c>
      <c r="G2759" t="s">
        <v>336</v>
      </c>
      <c r="H2759" t="s">
        <v>5874</v>
      </c>
      <c r="I2759">
        <v>0</v>
      </c>
      <c r="J2759" t="s">
        <v>343</v>
      </c>
      <c r="K2759">
        <v>80000</v>
      </c>
      <c r="M2759">
        <v>80000</v>
      </c>
    </row>
    <row r="2760" spans="1:13" x14ac:dyDescent="0.35">
      <c r="A2760" t="str">
        <f t="shared" si="151"/>
        <v>STKCDG4573549360440000</v>
      </c>
      <c r="B2760" t="s">
        <v>3115</v>
      </c>
      <c r="C2760" s="1">
        <v>45735</v>
      </c>
      <c r="D2760" t="str">
        <f>"493"</f>
        <v>493</v>
      </c>
      <c r="E2760" t="str">
        <f t="shared" si="150"/>
        <v>60440000</v>
      </c>
      <c r="F2760" t="s">
        <v>4791</v>
      </c>
      <c r="G2760" t="s">
        <v>336</v>
      </c>
      <c r="H2760" t="s">
        <v>5875</v>
      </c>
      <c r="I2760">
        <v>0</v>
      </c>
      <c r="J2760" t="s">
        <v>343</v>
      </c>
      <c r="K2760">
        <v>3500</v>
      </c>
      <c r="M2760">
        <v>3500</v>
      </c>
    </row>
    <row r="2761" spans="1:13" x14ac:dyDescent="0.35">
      <c r="A2761" t="str">
        <f t="shared" si="151"/>
        <v>STKCDG4573549460440000</v>
      </c>
      <c r="B2761" t="s">
        <v>3115</v>
      </c>
      <c r="C2761" s="1">
        <v>45735</v>
      </c>
      <c r="D2761" t="str">
        <f>"494"</f>
        <v>494</v>
      </c>
      <c r="E2761" t="str">
        <f t="shared" si="150"/>
        <v>60440000</v>
      </c>
      <c r="F2761" t="s">
        <v>4793</v>
      </c>
      <c r="G2761" t="s">
        <v>336</v>
      </c>
      <c r="H2761" t="s">
        <v>5881</v>
      </c>
      <c r="I2761">
        <v>0</v>
      </c>
      <c r="J2761" t="s">
        <v>343</v>
      </c>
      <c r="K2761">
        <v>750000</v>
      </c>
      <c r="M2761">
        <v>750000</v>
      </c>
    </row>
    <row r="2762" spans="1:13" x14ac:dyDescent="0.35">
      <c r="A2762" t="str">
        <f t="shared" si="151"/>
        <v>STKCDG4573549560440000</v>
      </c>
      <c r="B2762" t="s">
        <v>3115</v>
      </c>
      <c r="C2762" s="1">
        <v>45735</v>
      </c>
      <c r="D2762" t="str">
        <f>"495"</f>
        <v>495</v>
      </c>
      <c r="E2762" t="str">
        <f t="shared" si="150"/>
        <v>60440000</v>
      </c>
      <c r="F2762" t="s">
        <v>4795</v>
      </c>
      <c r="G2762" t="s">
        <v>336</v>
      </c>
      <c r="H2762" t="s">
        <v>5958</v>
      </c>
      <c r="I2762">
        <v>0</v>
      </c>
      <c r="J2762" t="s">
        <v>343</v>
      </c>
      <c r="K2762">
        <v>170000</v>
      </c>
      <c r="M2762">
        <v>170000</v>
      </c>
    </row>
    <row r="2763" spans="1:13" x14ac:dyDescent="0.35">
      <c r="A2763" t="str">
        <f t="shared" si="151"/>
        <v>STKCDG4573549660440000</v>
      </c>
      <c r="B2763" t="s">
        <v>3115</v>
      </c>
      <c r="C2763" s="1">
        <v>45735</v>
      </c>
      <c r="D2763" t="str">
        <f>"496"</f>
        <v>496</v>
      </c>
      <c r="E2763" t="str">
        <f t="shared" si="150"/>
        <v>60440000</v>
      </c>
      <c r="F2763" t="s">
        <v>4797</v>
      </c>
      <c r="G2763" t="s">
        <v>336</v>
      </c>
      <c r="H2763" t="s">
        <v>5875</v>
      </c>
      <c r="I2763">
        <v>0</v>
      </c>
      <c r="J2763" t="s">
        <v>343</v>
      </c>
      <c r="K2763">
        <v>70000</v>
      </c>
      <c r="M2763">
        <v>70000</v>
      </c>
    </row>
    <row r="2764" spans="1:13" x14ac:dyDescent="0.35">
      <c r="A2764" t="str">
        <f t="shared" si="151"/>
        <v>STKCDG4573549760440000</v>
      </c>
      <c r="B2764" t="s">
        <v>3115</v>
      </c>
      <c r="C2764" s="1">
        <v>45735</v>
      </c>
      <c r="D2764" t="str">
        <f>"497"</f>
        <v>497</v>
      </c>
      <c r="E2764" t="str">
        <f t="shared" si="150"/>
        <v>60440000</v>
      </c>
      <c r="F2764" t="s">
        <v>4799</v>
      </c>
      <c r="G2764" t="s">
        <v>336</v>
      </c>
      <c r="H2764" t="s">
        <v>5875</v>
      </c>
      <c r="I2764">
        <v>0</v>
      </c>
      <c r="J2764" t="s">
        <v>343</v>
      </c>
      <c r="K2764">
        <v>75000</v>
      </c>
      <c r="M2764">
        <v>75000</v>
      </c>
    </row>
    <row r="2765" spans="1:13" x14ac:dyDescent="0.35">
      <c r="A2765" t="str">
        <f t="shared" si="151"/>
        <v>STKCDG4573549860440000</v>
      </c>
      <c r="B2765" t="s">
        <v>3115</v>
      </c>
      <c r="C2765" s="1">
        <v>45735</v>
      </c>
      <c r="D2765" t="str">
        <f>"498"</f>
        <v>498</v>
      </c>
      <c r="E2765" t="str">
        <f t="shared" si="150"/>
        <v>60440000</v>
      </c>
      <c r="F2765" t="s">
        <v>4801</v>
      </c>
      <c r="G2765" t="s">
        <v>336</v>
      </c>
      <c r="H2765" t="s">
        <v>5875</v>
      </c>
      <c r="I2765">
        <v>0</v>
      </c>
      <c r="J2765" t="s">
        <v>343</v>
      </c>
      <c r="K2765">
        <v>15000</v>
      </c>
      <c r="M2765">
        <v>15000</v>
      </c>
    </row>
    <row r="2766" spans="1:13" x14ac:dyDescent="0.35">
      <c r="A2766" t="str">
        <f t="shared" si="151"/>
        <v>STKCDG4573549960440000</v>
      </c>
      <c r="B2766" t="s">
        <v>3115</v>
      </c>
      <c r="C2766" s="1">
        <v>45735</v>
      </c>
      <c r="D2766" t="str">
        <f>"499"</f>
        <v>499</v>
      </c>
      <c r="E2766" t="str">
        <f t="shared" si="150"/>
        <v>60440000</v>
      </c>
      <c r="F2766" t="s">
        <v>4803</v>
      </c>
      <c r="G2766" t="s">
        <v>336</v>
      </c>
      <c r="H2766" t="s">
        <v>5875</v>
      </c>
      <c r="I2766">
        <v>0</v>
      </c>
      <c r="J2766" t="s">
        <v>343</v>
      </c>
      <c r="K2766">
        <v>3673</v>
      </c>
      <c r="M2766">
        <v>3673</v>
      </c>
    </row>
    <row r="2767" spans="1:13" x14ac:dyDescent="0.35">
      <c r="A2767" t="str">
        <f t="shared" si="151"/>
        <v>STKCDG4573550060440000</v>
      </c>
      <c r="B2767" t="s">
        <v>3115</v>
      </c>
      <c r="C2767" s="1">
        <v>45735</v>
      </c>
      <c r="D2767" t="str">
        <f>"500"</f>
        <v>500</v>
      </c>
      <c r="E2767" t="str">
        <f t="shared" si="150"/>
        <v>60440000</v>
      </c>
      <c r="F2767" t="s">
        <v>4805</v>
      </c>
      <c r="G2767" t="s">
        <v>336</v>
      </c>
      <c r="H2767" t="s">
        <v>5966</v>
      </c>
      <c r="I2767">
        <v>0</v>
      </c>
      <c r="J2767" t="s">
        <v>343</v>
      </c>
      <c r="K2767">
        <v>3149</v>
      </c>
      <c r="M2767">
        <v>3149</v>
      </c>
    </row>
    <row r="2768" spans="1:13" x14ac:dyDescent="0.35">
      <c r="A2768" t="str">
        <f t="shared" si="151"/>
        <v>STKCDG4573550160440000</v>
      </c>
      <c r="B2768" t="s">
        <v>3115</v>
      </c>
      <c r="C2768" s="1">
        <v>45735</v>
      </c>
      <c r="D2768" t="str">
        <f>"501"</f>
        <v>501</v>
      </c>
      <c r="E2768" t="str">
        <f t="shared" si="150"/>
        <v>60440000</v>
      </c>
      <c r="F2768" t="s">
        <v>4807</v>
      </c>
      <c r="G2768" t="s">
        <v>336</v>
      </c>
      <c r="H2768" t="s">
        <v>5966</v>
      </c>
      <c r="I2768">
        <v>0</v>
      </c>
      <c r="J2768" t="s">
        <v>343</v>
      </c>
      <c r="K2768">
        <v>15941</v>
      </c>
      <c r="M2768">
        <v>15941</v>
      </c>
    </row>
    <row r="2769" spans="1:13" x14ac:dyDescent="0.35">
      <c r="A2769" t="str">
        <f t="shared" si="151"/>
        <v>STKCDG4573550260440000</v>
      </c>
      <c r="B2769" t="s">
        <v>3115</v>
      </c>
      <c r="C2769" s="1">
        <v>45735</v>
      </c>
      <c r="D2769" t="str">
        <f>"502"</f>
        <v>502</v>
      </c>
      <c r="E2769" t="str">
        <f t="shared" si="150"/>
        <v>60440000</v>
      </c>
      <c r="F2769" t="s">
        <v>4809</v>
      </c>
      <c r="G2769" t="s">
        <v>336</v>
      </c>
      <c r="H2769" t="s">
        <v>5875</v>
      </c>
      <c r="I2769">
        <v>0</v>
      </c>
      <c r="J2769" t="s">
        <v>343</v>
      </c>
      <c r="K2769">
        <v>20000</v>
      </c>
      <c r="M2769">
        <v>20000</v>
      </c>
    </row>
    <row r="2770" spans="1:13" x14ac:dyDescent="0.35">
      <c r="A2770" t="str">
        <f t="shared" si="151"/>
        <v>STKCDG4573550360440000</v>
      </c>
      <c r="B2770" t="s">
        <v>3115</v>
      </c>
      <c r="C2770" s="1">
        <v>45735</v>
      </c>
      <c r="D2770" t="str">
        <f>"503"</f>
        <v>503</v>
      </c>
      <c r="E2770" t="str">
        <f t="shared" si="150"/>
        <v>60440000</v>
      </c>
      <c r="F2770" t="s">
        <v>4811</v>
      </c>
      <c r="G2770" t="s">
        <v>336</v>
      </c>
      <c r="H2770" t="s">
        <v>5875</v>
      </c>
      <c r="I2770">
        <v>0</v>
      </c>
      <c r="J2770" t="s">
        <v>343</v>
      </c>
      <c r="K2770">
        <v>75000</v>
      </c>
      <c r="M2770">
        <v>75000</v>
      </c>
    </row>
    <row r="2771" spans="1:13" x14ac:dyDescent="0.35">
      <c r="A2771" t="str">
        <f t="shared" si="151"/>
        <v>STKCDG4573550460440000</v>
      </c>
      <c r="B2771" t="s">
        <v>3115</v>
      </c>
      <c r="C2771" s="1">
        <v>45735</v>
      </c>
      <c r="D2771" t="str">
        <f>"504"</f>
        <v>504</v>
      </c>
      <c r="E2771" t="str">
        <f t="shared" si="150"/>
        <v>60440000</v>
      </c>
      <c r="F2771" t="s">
        <v>4813</v>
      </c>
      <c r="G2771" t="s">
        <v>336</v>
      </c>
      <c r="H2771" t="s">
        <v>5875</v>
      </c>
      <c r="I2771">
        <v>0</v>
      </c>
      <c r="J2771" t="s">
        <v>343</v>
      </c>
      <c r="K2771">
        <v>500000</v>
      </c>
      <c r="M2771">
        <v>500000</v>
      </c>
    </row>
    <row r="2772" spans="1:13" x14ac:dyDescent="0.35">
      <c r="A2772" t="str">
        <f t="shared" si="151"/>
        <v>STKCDG4573550560440000</v>
      </c>
      <c r="B2772" t="s">
        <v>3115</v>
      </c>
      <c r="C2772" s="1">
        <v>45735</v>
      </c>
      <c r="D2772" t="str">
        <f>"505"</f>
        <v>505</v>
      </c>
      <c r="E2772" t="str">
        <f t="shared" si="150"/>
        <v>60440000</v>
      </c>
      <c r="F2772" t="s">
        <v>4815</v>
      </c>
      <c r="G2772" t="s">
        <v>336</v>
      </c>
      <c r="H2772" t="s">
        <v>5874</v>
      </c>
      <c r="I2772">
        <v>0</v>
      </c>
      <c r="J2772" t="s">
        <v>343</v>
      </c>
      <c r="K2772">
        <v>45000</v>
      </c>
      <c r="M2772">
        <v>45000</v>
      </c>
    </row>
    <row r="2773" spans="1:13" x14ac:dyDescent="0.35">
      <c r="A2773" t="str">
        <f t="shared" si="151"/>
        <v>STKCDG4573550660440000</v>
      </c>
      <c r="B2773" t="s">
        <v>3115</v>
      </c>
      <c r="C2773" s="1">
        <v>45735</v>
      </c>
      <c r="D2773" t="str">
        <f>"506"</f>
        <v>506</v>
      </c>
      <c r="E2773" t="str">
        <f t="shared" si="150"/>
        <v>60440000</v>
      </c>
      <c r="F2773" t="s">
        <v>4817</v>
      </c>
      <c r="G2773" t="s">
        <v>336</v>
      </c>
      <c r="H2773" t="s">
        <v>5875</v>
      </c>
      <c r="I2773">
        <v>0</v>
      </c>
      <c r="J2773" t="s">
        <v>343</v>
      </c>
      <c r="K2773">
        <v>90000</v>
      </c>
      <c r="M2773">
        <v>90000</v>
      </c>
    </row>
    <row r="2774" spans="1:13" x14ac:dyDescent="0.35">
      <c r="A2774" t="str">
        <f t="shared" si="151"/>
        <v>STKCDG4573630660460000</v>
      </c>
      <c r="B2774" t="s">
        <v>3115</v>
      </c>
      <c r="C2774" s="1">
        <v>45736</v>
      </c>
      <c r="D2774" t="str">
        <f>"306"</f>
        <v>306</v>
      </c>
      <c r="E2774" t="str">
        <f t="shared" ref="E2774:E2799" si="152">"60460000"</f>
        <v>60460000</v>
      </c>
      <c r="F2774" t="s">
        <v>4819</v>
      </c>
      <c r="G2774" t="s">
        <v>336</v>
      </c>
      <c r="H2774" t="s">
        <v>5966</v>
      </c>
      <c r="I2774">
        <v>0</v>
      </c>
      <c r="J2774" t="s">
        <v>343</v>
      </c>
      <c r="K2774">
        <v>1100</v>
      </c>
      <c r="M2774">
        <v>1100</v>
      </c>
    </row>
    <row r="2775" spans="1:13" x14ac:dyDescent="0.35">
      <c r="A2775" t="str">
        <f t="shared" si="151"/>
        <v>STKCDG4573630760460000</v>
      </c>
      <c r="B2775" t="s">
        <v>3115</v>
      </c>
      <c r="C2775" s="1">
        <v>45736</v>
      </c>
      <c r="D2775" t="str">
        <f>"307"</f>
        <v>307</v>
      </c>
      <c r="E2775" t="str">
        <f t="shared" si="152"/>
        <v>60460000</v>
      </c>
      <c r="F2775" t="s">
        <v>4821</v>
      </c>
      <c r="G2775" t="s">
        <v>336</v>
      </c>
      <c r="H2775" t="s">
        <v>5949</v>
      </c>
      <c r="I2775">
        <v>0</v>
      </c>
      <c r="J2775" t="s">
        <v>343</v>
      </c>
      <c r="K2775">
        <v>88000</v>
      </c>
      <c r="M2775">
        <v>88000</v>
      </c>
    </row>
    <row r="2776" spans="1:13" x14ac:dyDescent="0.35">
      <c r="A2776" t="str">
        <f t="shared" si="151"/>
        <v>STKCDG4573630860460000</v>
      </c>
      <c r="B2776" t="s">
        <v>3115</v>
      </c>
      <c r="C2776" s="1">
        <v>45736</v>
      </c>
      <c r="D2776" t="str">
        <f>"308"</f>
        <v>308</v>
      </c>
      <c r="E2776" t="str">
        <f t="shared" si="152"/>
        <v>60460000</v>
      </c>
      <c r="F2776" t="s">
        <v>4823</v>
      </c>
      <c r="G2776" t="s">
        <v>336</v>
      </c>
      <c r="H2776" t="s">
        <v>5966</v>
      </c>
      <c r="I2776">
        <v>0</v>
      </c>
      <c r="J2776" t="s">
        <v>343</v>
      </c>
      <c r="K2776">
        <v>350</v>
      </c>
      <c r="M2776">
        <v>526</v>
      </c>
    </row>
    <row r="2777" spans="1:13" x14ac:dyDescent="0.35">
      <c r="A2777" t="str">
        <f t="shared" si="151"/>
        <v>STKCDG4573630860460000</v>
      </c>
      <c r="B2777" t="s">
        <v>3115</v>
      </c>
      <c r="C2777" s="1">
        <v>45736</v>
      </c>
      <c r="D2777" t="str">
        <f>"308"</f>
        <v>308</v>
      </c>
      <c r="E2777" t="str">
        <f t="shared" si="152"/>
        <v>60460000</v>
      </c>
      <c r="F2777" t="s">
        <v>4823</v>
      </c>
      <c r="G2777" t="s">
        <v>336</v>
      </c>
      <c r="H2777" t="s">
        <v>5966</v>
      </c>
      <c r="I2777">
        <v>0</v>
      </c>
      <c r="J2777" t="s">
        <v>343</v>
      </c>
      <c r="K2777">
        <v>176</v>
      </c>
      <c r="M2777">
        <v>526</v>
      </c>
    </row>
    <row r="2778" spans="1:13" x14ac:dyDescent="0.35">
      <c r="A2778" t="str">
        <f t="shared" si="151"/>
        <v>STKCDG4573630960460000</v>
      </c>
      <c r="B2778" t="s">
        <v>3115</v>
      </c>
      <c r="C2778" s="1">
        <v>45736</v>
      </c>
      <c r="D2778" t="str">
        <f>"309"</f>
        <v>309</v>
      </c>
      <c r="E2778" t="str">
        <f t="shared" si="152"/>
        <v>60460000</v>
      </c>
      <c r="F2778" t="s">
        <v>4825</v>
      </c>
      <c r="G2778" t="s">
        <v>336</v>
      </c>
      <c r="H2778" t="s">
        <v>5966</v>
      </c>
      <c r="I2778">
        <v>0</v>
      </c>
      <c r="J2778" t="s">
        <v>343</v>
      </c>
      <c r="K2778">
        <v>300</v>
      </c>
      <c r="M2778">
        <v>300</v>
      </c>
    </row>
    <row r="2779" spans="1:13" x14ac:dyDescent="0.35">
      <c r="A2779" t="str">
        <f t="shared" si="151"/>
        <v>STKCDG4573631060460000</v>
      </c>
      <c r="B2779" t="s">
        <v>3115</v>
      </c>
      <c r="C2779" s="1">
        <v>45736</v>
      </c>
      <c r="D2779" t="str">
        <f>"310"</f>
        <v>310</v>
      </c>
      <c r="E2779" t="str">
        <f t="shared" si="152"/>
        <v>60460000</v>
      </c>
      <c r="F2779" t="s">
        <v>4827</v>
      </c>
      <c r="G2779" t="s">
        <v>336</v>
      </c>
      <c r="H2779" t="s">
        <v>5966</v>
      </c>
      <c r="I2779">
        <v>0</v>
      </c>
      <c r="J2779" t="s">
        <v>343</v>
      </c>
      <c r="K2779">
        <v>2717</v>
      </c>
      <c r="M2779">
        <v>2717</v>
      </c>
    </row>
    <row r="2780" spans="1:13" x14ac:dyDescent="0.35">
      <c r="A2780" t="str">
        <f t="shared" si="151"/>
        <v>STKCDG4573631160460000</v>
      </c>
      <c r="B2780" t="s">
        <v>3115</v>
      </c>
      <c r="C2780" s="1">
        <v>45736</v>
      </c>
      <c r="D2780" t="str">
        <f>"311"</f>
        <v>311</v>
      </c>
      <c r="E2780" t="str">
        <f t="shared" si="152"/>
        <v>60460000</v>
      </c>
      <c r="F2780" t="s">
        <v>4829</v>
      </c>
      <c r="G2780" t="s">
        <v>336</v>
      </c>
      <c r="H2780" t="s">
        <v>5966</v>
      </c>
      <c r="I2780">
        <v>0</v>
      </c>
      <c r="J2780" t="s">
        <v>343</v>
      </c>
      <c r="K2780">
        <v>202</v>
      </c>
      <c r="M2780">
        <v>202</v>
      </c>
    </row>
    <row r="2781" spans="1:13" x14ac:dyDescent="0.35">
      <c r="A2781" t="str">
        <f t="shared" si="151"/>
        <v>STKCDG4573631260460000</v>
      </c>
      <c r="B2781" t="s">
        <v>3115</v>
      </c>
      <c r="C2781" s="1">
        <v>45736</v>
      </c>
      <c r="D2781" t="str">
        <f>"312"</f>
        <v>312</v>
      </c>
      <c r="E2781" t="str">
        <f t="shared" si="152"/>
        <v>60460000</v>
      </c>
      <c r="F2781" t="s">
        <v>4831</v>
      </c>
      <c r="G2781" t="s">
        <v>336</v>
      </c>
      <c r="H2781" t="s">
        <v>5966</v>
      </c>
      <c r="I2781">
        <v>0</v>
      </c>
      <c r="J2781" t="s">
        <v>343</v>
      </c>
      <c r="K2781">
        <v>1718</v>
      </c>
      <c r="M2781">
        <v>2818</v>
      </c>
    </row>
    <row r="2782" spans="1:13" x14ac:dyDescent="0.35">
      <c r="A2782" t="str">
        <f t="shared" si="151"/>
        <v>STKCDG4573631260460000</v>
      </c>
      <c r="B2782" t="s">
        <v>3115</v>
      </c>
      <c r="C2782" s="1">
        <v>45736</v>
      </c>
      <c r="D2782" t="str">
        <f>"312"</f>
        <v>312</v>
      </c>
      <c r="E2782" t="str">
        <f t="shared" si="152"/>
        <v>60460000</v>
      </c>
      <c r="F2782" t="s">
        <v>4831</v>
      </c>
      <c r="G2782" t="s">
        <v>336</v>
      </c>
      <c r="H2782" t="s">
        <v>5966</v>
      </c>
      <c r="I2782">
        <v>0</v>
      </c>
      <c r="J2782" t="s">
        <v>343</v>
      </c>
      <c r="K2782">
        <v>1100</v>
      </c>
      <c r="M2782">
        <v>2818</v>
      </c>
    </row>
    <row r="2783" spans="1:13" x14ac:dyDescent="0.35">
      <c r="A2783" t="str">
        <f t="shared" si="151"/>
        <v>STKCDG4573631360460000</v>
      </c>
      <c r="B2783" t="s">
        <v>3115</v>
      </c>
      <c r="C2783" s="1">
        <v>45736</v>
      </c>
      <c r="D2783" t="str">
        <f>"313"</f>
        <v>313</v>
      </c>
      <c r="E2783" t="str">
        <f t="shared" si="152"/>
        <v>60460000</v>
      </c>
      <c r="F2783" t="s">
        <v>4833</v>
      </c>
      <c r="G2783" t="s">
        <v>336</v>
      </c>
      <c r="H2783" t="s">
        <v>5949</v>
      </c>
      <c r="I2783">
        <v>0</v>
      </c>
      <c r="J2783" t="s">
        <v>343</v>
      </c>
      <c r="K2783">
        <v>14966</v>
      </c>
      <c r="M2783">
        <v>14966</v>
      </c>
    </row>
    <row r="2784" spans="1:13" x14ac:dyDescent="0.35">
      <c r="A2784" t="str">
        <f t="shared" si="151"/>
        <v>STKCDG4573631460460000</v>
      </c>
      <c r="B2784" t="s">
        <v>3115</v>
      </c>
      <c r="C2784" s="1">
        <v>45736</v>
      </c>
      <c r="D2784" t="str">
        <f>"314"</f>
        <v>314</v>
      </c>
      <c r="E2784" t="str">
        <f t="shared" si="152"/>
        <v>60460000</v>
      </c>
      <c r="F2784" t="s">
        <v>4835</v>
      </c>
      <c r="G2784" t="s">
        <v>336</v>
      </c>
      <c r="H2784" t="s">
        <v>5874</v>
      </c>
      <c r="I2784">
        <v>0</v>
      </c>
      <c r="J2784" t="s">
        <v>343</v>
      </c>
      <c r="K2784">
        <v>294</v>
      </c>
      <c r="M2784">
        <v>1094</v>
      </c>
    </row>
    <row r="2785" spans="1:13" x14ac:dyDescent="0.35">
      <c r="A2785" t="str">
        <f t="shared" si="151"/>
        <v>STKCDG4573631460460000</v>
      </c>
      <c r="B2785" t="s">
        <v>3115</v>
      </c>
      <c r="C2785" s="1">
        <v>45736</v>
      </c>
      <c r="D2785" t="str">
        <f>"314"</f>
        <v>314</v>
      </c>
      <c r="E2785" t="str">
        <f t="shared" si="152"/>
        <v>60460000</v>
      </c>
      <c r="F2785" t="s">
        <v>4835</v>
      </c>
      <c r="G2785" t="s">
        <v>336</v>
      </c>
      <c r="H2785" t="s">
        <v>5874</v>
      </c>
      <c r="I2785">
        <v>0</v>
      </c>
      <c r="J2785" t="s">
        <v>343</v>
      </c>
      <c r="K2785">
        <v>800</v>
      </c>
      <c r="M2785">
        <v>1094</v>
      </c>
    </row>
    <row r="2786" spans="1:13" x14ac:dyDescent="0.35">
      <c r="A2786" t="str">
        <f t="shared" si="151"/>
        <v>STKCDG4573631560460000</v>
      </c>
      <c r="B2786" t="s">
        <v>3115</v>
      </c>
      <c r="C2786" s="1">
        <v>45736</v>
      </c>
      <c r="D2786" t="str">
        <f>"315"</f>
        <v>315</v>
      </c>
      <c r="E2786" t="str">
        <f t="shared" si="152"/>
        <v>60460000</v>
      </c>
      <c r="F2786" t="s">
        <v>4837</v>
      </c>
      <c r="G2786" t="s">
        <v>336</v>
      </c>
      <c r="H2786" t="s">
        <v>5875</v>
      </c>
      <c r="I2786">
        <v>0</v>
      </c>
      <c r="J2786" t="s">
        <v>343</v>
      </c>
      <c r="K2786">
        <v>15400</v>
      </c>
      <c r="M2786">
        <v>15400</v>
      </c>
    </row>
    <row r="2787" spans="1:13" x14ac:dyDescent="0.35">
      <c r="A2787" t="str">
        <f t="shared" si="151"/>
        <v>STKCDG4573631660460000</v>
      </c>
      <c r="B2787" t="s">
        <v>3115</v>
      </c>
      <c r="C2787" s="1">
        <v>45736</v>
      </c>
      <c r="D2787" t="str">
        <f>"316"</f>
        <v>316</v>
      </c>
      <c r="E2787" t="str">
        <f t="shared" si="152"/>
        <v>60460000</v>
      </c>
      <c r="F2787" t="s">
        <v>4839</v>
      </c>
      <c r="G2787" t="s">
        <v>336</v>
      </c>
      <c r="H2787" t="s">
        <v>5881</v>
      </c>
      <c r="I2787">
        <v>0</v>
      </c>
      <c r="J2787" t="s">
        <v>343</v>
      </c>
      <c r="K2787">
        <v>1346</v>
      </c>
      <c r="M2787">
        <v>1346</v>
      </c>
    </row>
    <row r="2788" spans="1:13" x14ac:dyDescent="0.35">
      <c r="A2788" t="str">
        <f t="shared" si="151"/>
        <v>STKCDG4573631760460000</v>
      </c>
      <c r="B2788" t="s">
        <v>3115</v>
      </c>
      <c r="C2788" s="1">
        <v>45736</v>
      </c>
      <c r="D2788" t="str">
        <f>"317"</f>
        <v>317</v>
      </c>
      <c r="E2788" t="str">
        <f t="shared" si="152"/>
        <v>60460000</v>
      </c>
      <c r="F2788" t="s">
        <v>4841</v>
      </c>
      <c r="G2788" t="s">
        <v>336</v>
      </c>
      <c r="H2788" t="s">
        <v>5874</v>
      </c>
      <c r="I2788">
        <v>0</v>
      </c>
      <c r="J2788" t="s">
        <v>343</v>
      </c>
      <c r="K2788">
        <v>980</v>
      </c>
      <c r="M2788">
        <v>11744</v>
      </c>
    </row>
    <row r="2789" spans="1:13" x14ac:dyDescent="0.35">
      <c r="A2789" t="str">
        <f t="shared" si="151"/>
        <v>STKCDG4573631760460000</v>
      </c>
      <c r="B2789" t="s">
        <v>3115</v>
      </c>
      <c r="C2789" s="1">
        <v>45736</v>
      </c>
      <c r="D2789" t="str">
        <f>"317"</f>
        <v>317</v>
      </c>
      <c r="E2789" t="str">
        <f t="shared" si="152"/>
        <v>60460000</v>
      </c>
      <c r="F2789" t="s">
        <v>4841</v>
      </c>
      <c r="G2789" t="s">
        <v>336</v>
      </c>
      <c r="H2789" t="s">
        <v>5874</v>
      </c>
      <c r="I2789">
        <v>0</v>
      </c>
      <c r="J2789" t="s">
        <v>343</v>
      </c>
      <c r="K2789">
        <v>10764</v>
      </c>
      <c r="M2789">
        <v>11744</v>
      </c>
    </row>
    <row r="2790" spans="1:13" x14ac:dyDescent="0.35">
      <c r="A2790" t="str">
        <f t="shared" si="151"/>
        <v>STKCDG4573631860460000</v>
      </c>
      <c r="B2790" t="s">
        <v>3115</v>
      </c>
      <c r="C2790" s="1">
        <v>45736</v>
      </c>
      <c r="D2790" t="str">
        <f>"318"</f>
        <v>318</v>
      </c>
      <c r="E2790" t="str">
        <f t="shared" si="152"/>
        <v>60460000</v>
      </c>
      <c r="F2790" t="s">
        <v>4843</v>
      </c>
      <c r="G2790" t="s">
        <v>336</v>
      </c>
      <c r="H2790" t="s">
        <v>5874</v>
      </c>
      <c r="I2790">
        <v>0</v>
      </c>
      <c r="J2790" t="s">
        <v>343</v>
      </c>
      <c r="K2790">
        <v>980</v>
      </c>
      <c r="M2790">
        <v>11744</v>
      </c>
    </row>
    <row r="2791" spans="1:13" x14ac:dyDescent="0.35">
      <c r="A2791" t="str">
        <f t="shared" si="151"/>
        <v>STKCDG4573631860460000</v>
      </c>
      <c r="B2791" t="s">
        <v>3115</v>
      </c>
      <c r="C2791" s="1">
        <v>45736</v>
      </c>
      <c r="D2791" t="str">
        <f>"318"</f>
        <v>318</v>
      </c>
      <c r="E2791" t="str">
        <f t="shared" si="152"/>
        <v>60460000</v>
      </c>
      <c r="F2791" t="s">
        <v>4843</v>
      </c>
      <c r="G2791" t="s">
        <v>336</v>
      </c>
      <c r="H2791" t="s">
        <v>5874</v>
      </c>
      <c r="I2791">
        <v>0</v>
      </c>
      <c r="J2791" t="s">
        <v>343</v>
      </c>
      <c r="K2791">
        <v>10764</v>
      </c>
      <c r="M2791">
        <v>11744</v>
      </c>
    </row>
    <row r="2792" spans="1:13" x14ac:dyDescent="0.35">
      <c r="A2792" t="str">
        <f t="shared" si="151"/>
        <v>STKCDG4573631960460000</v>
      </c>
      <c r="B2792" t="s">
        <v>3115</v>
      </c>
      <c r="C2792" s="1">
        <v>45736</v>
      </c>
      <c r="D2792" t="str">
        <f>"319"</f>
        <v>319</v>
      </c>
      <c r="E2792" t="str">
        <f t="shared" si="152"/>
        <v>60460000</v>
      </c>
      <c r="F2792" t="s">
        <v>4845</v>
      </c>
      <c r="G2792" t="s">
        <v>336</v>
      </c>
      <c r="H2792" t="s">
        <v>5875</v>
      </c>
      <c r="I2792">
        <v>0</v>
      </c>
      <c r="J2792" t="s">
        <v>343</v>
      </c>
      <c r="K2792">
        <v>980</v>
      </c>
      <c r="M2792">
        <v>9648</v>
      </c>
    </row>
    <row r="2793" spans="1:13" x14ac:dyDescent="0.35">
      <c r="A2793" t="str">
        <f t="shared" si="151"/>
        <v>STKCDG4573631960460000</v>
      </c>
      <c r="B2793" t="s">
        <v>3115</v>
      </c>
      <c r="C2793" s="1">
        <v>45736</v>
      </c>
      <c r="D2793" t="str">
        <f>"319"</f>
        <v>319</v>
      </c>
      <c r="E2793" t="str">
        <f t="shared" si="152"/>
        <v>60460000</v>
      </c>
      <c r="F2793" t="s">
        <v>4845</v>
      </c>
      <c r="G2793" t="s">
        <v>336</v>
      </c>
      <c r="H2793" t="s">
        <v>5875</v>
      </c>
      <c r="I2793">
        <v>0</v>
      </c>
      <c r="J2793" t="s">
        <v>343</v>
      </c>
      <c r="K2793">
        <v>8668</v>
      </c>
      <c r="M2793">
        <v>9648</v>
      </c>
    </row>
    <row r="2794" spans="1:13" x14ac:dyDescent="0.35">
      <c r="A2794" t="str">
        <f t="shared" si="151"/>
        <v>STKCDG4573632060460000</v>
      </c>
      <c r="B2794" t="s">
        <v>3115</v>
      </c>
      <c r="C2794" s="1">
        <v>45736</v>
      </c>
      <c r="D2794" t="str">
        <f>"320"</f>
        <v>320</v>
      </c>
      <c r="E2794" t="str">
        <f t="shared" si="152"/>
        <v>60460000</v>
      </c>
      <c r="F2794" t="s">
        <v>4847</v>
      </c>
      <c r="G2794" t="s">
        <v>336</v>
      </c>
      <c r="H2794" t="s">
        <v>5874</v>
      </c>
      <c r="I2794">
        <v>0</v>
      </c>
      <c r="J2794" t="s">
        <v>343</v>
      </c>
      <c r="K2794">
        <v>27262</v>
      </c>
      <c r="M2794">
        <v>27262</v>
      </c>
    </row>
    <row r="2795" spans="1:13" x14ac:dyDescent="0.35">
      <c r="A2795" t="str">
        <f t="shared" si="151"/>
        <v>STKCDG4573632160460000</v>
      </c>
      <c r="B2795" t="s">
        <v>3115</v>
      </c>
      <c r="C2795" s="1">
        <v>45736</v>
      </c>
      <c r="D2795" t="str">
        <f>"321"</f>
        <v>321</v>
      </c>
      <c r="E2795" t="str">
        <f t="shared" si="152"/>
        <v>60460000</v>
      </c>
      <c r="F2795" t="s">
        <v>4849</v>
      </c>
      <c r="G2795" t="s">
        <v>336</v>
      </c>
      <c r="H2795" t="s">
        <v>5949</v>
      </c>
      <c r="I2795">
        <v>0</v>
      </c>
      <c r="J2795" t="s">
        <v>343</v>
      </c>
      <c r="K2795">
        <v>41400</v>
      </c>
      <c r="M2795">
        <v>41400</v>
      </c>
    </row>
    <row r="2796" spans="1:13" x14ac:dyDescent="0.35">
      <c r="A2796" t="str">
        <f t="shared" si="151"/>
        <v>STKCDG4573632260460000</v>
      </c>
      <c r="B2796" t="s">
        <v>3115</v>
      </c>
      <c r="C2796" s="1">
        <v>45736</v>
      </c>
      <c r="D2796" t="str">
        <f>"322"</f>
        <v>322</v>
      </c>
      <c r="E2796" t="str">
        <f t="shared" si="152"/>
        <v>60460000</v>
      </c>
      <c r="F2796" t="s">
        <v>4851</v>
      </c>
      <c r="G2796" t="s">
        <v>336</v>
      </c>
      <c r="H2796" t="s">
        <v>5875</v>
      </c>
      <c r="I2796">
        <v>0</v>
      </c>
      <c r="J2796" t="s">
        <v>343</v>
      </c>
      <c r="K2796">
        <v>600</v>
      </c>
      <c r="M2796">
        <v>600</v>
      </c>
    </row>
    <row r="2797" spans="1:13" x14ac:dyDescent="0.35">
      <c r="A2797" t="str">
        <f t="shared" si="151"/>
        <v>STKCDG4573632360460000</v>
      </c>
      <c r="B2797" t="s">
        <v>3115</v>
      </c>
      <c r="C2797" s="1">
        <v>45736</v>
      </c>
      <c r="D2797" t="str">
        <f>"323"</f>
        <v>323</v>
      </c>
      <c r="E2797" t="str">
        <f t="shared" si="152"/>
        <v>60460000</v>
      </c>
      <c r="F2797" t="s">
        <v>4853</v>
      </c>
      <c r="G2797" t="s">
        <v>336</v>
      </c>
      <c r="H2797" t="s">
        <v>5875</v>
      </c>
      <c r="I2797">
        <v>0</v>
      </c>
      <c r="J2797" t="s">
        <v>343</v>
      </c>
      <c r="K2797">
        <v>40000</v>
      </c>
      <c r="M2797">
        <v>40000</v>
      </c>
    </row>
    <row r="2798" spans="1:13" x14ac:dyDescent="0.35">
      <c r="A2798" t="str">
        <f t="shared" si="151"/>
        <v>STKCDG4573632460460000</v>
      </c>
      <c r="B2798" t="s">
        <v>3115</v>
      </c>
      <c r="C2798" s="1">
        <v>45736</v>
      </c>
      <c r="D2798" t="str">
        <f>"324"</f>
        <v>324</v>
      </c>
      <c r="E2798" t="str">
        <f t="shared" si="152"/>
        <v>60460000</v>
      </c>
      <c r="F2798" t="s">
        <v>4855</v>
      </c>
      <c r="G2798" t="s">
        <v>336</v>
      </c>
      <c r="H2798" t="s">
        <v>5875</v>
      </c>
      <c r="I2798">
        <v>0</v>
      </c>
      <c r="J2798" t="s">
        <v>343</v>
      </c>
      <c r="K2798">
        <v>300</v>
      </c>
      <c r="M2798">
        <v>300</v>
      </c>
    </row>
    <row r="2799" spans="1:13" x14ac:dyDescent="0.35">
      <c r="A2799" t="str">
        <f t="shared" si="151"/>
        <v>STKCDG4573632560460000</v>
      </c>
      <c r="B2799" t="s">
        <v>3115</v>
      </c>
      <c r="C2799" s="1">
        <v>45736</v>
      </c>
      <c r="D2799" t="str">
        <f>"325"</f>
        <v>325</v>
      </c>
      <c r="E2799" t="str">
        <f t="shared" si="152"/>
        <v>60460000</v>
      </c>
      <c r="F2799" t="s">
        <v>4857</v>
      </c>
      <c r="G2799" t="s">
        <v>336</v>
      </c>
      <c r="H2799" t="s">
        <v>5880</v>
      </c>
      <c r="I2799">
        <v>0</v>
      </c>
      <c r="J2799" t="s">
        <v>343</v>
      </c>
      <c r="K2799">
        <v>1500</v>
      </c>
      <c r="M2799">
        <v>1500</v>
      </c>
    </row>
    <row r="2800" spans="1:13" x14ac:dyDescent="0.35">
      <c r="A2800" t="str">
        <f t="shared" si="151"/>
        <v>STKCDG4573632660410000</v>
      </c>
      <c r="B2800" t="s">
        <v>3115</v>
      </c>
      <c r="C2800" s="1">
        <v>45736</v>
      </c>
      <c r="D2800" t="str">
        <f>"326"</f>
        <v>326</v>
      </c>
      <c r="E2800" t="str">
        <f>"60410000"</f>
        <v>60410000</v>
      </c>
      <c r="F2800" t="s">
        <v>4859</v>
      </c>
      <c r="G2800" t="s">
        <v>336</v>
      </c>
      <c r="H2800" t="s">
        <v>5966</v>
      </c>
      <c r="I2800">
        <v>0</v>
      </c>
      <c r="J2800" t="s">
        <v>343</v>
      </c>
      <c r="K2800">
        <v>6597</v>
      </c>
      <c r="M2800">
        <v>6597</v>
      </c>
    </row>
    <row r="2801" spans="1:13" x14ac:dyDescent="0.35">
      <c r="A2801" t="str">
        <f t="shared" si="151"/>
        <v>STKCDG4573632760410000</v>
      </c>
      <c r="B2801" t="s">
        <v>3115</v>
      </c>
      <c r="C2801" s="1">
        <v>45736</v>
      </c>
      <c r="D2801" t="str">
        <f>"327"</f>
        <v>327</v>
      </c>
      <c r="E2801" t="str">
        <f>"60410000"</f>
        <v>60410000</v>
      </c>
      <c r="F2801" t="s">
        <v>4861</v>
      </c>
      <c r="G2801" t="s">
        <v>336</v>
      </c>
      <c r="H2801" t="s">
        <v>5966</v>
      </c>
      <c r="I2801">
        <v>0</v>
      </c>
      <c r="J2801" t="s">
        <v>343</v>
      </c>
      <c r="K2801">
        <v>3889</v>
      </c>
      <c r="M2801">
        <v>3889</v>
      </c>
    </row>
    <row r="2802" spans="1:13" x14ac:dyDescent="0.35">
      <c r="A2802" t="str">
        <f t="shared" si="151"/>
        <v>STKCDG4573632860430000</v>
      </c>
      <c r="B2802" t="s">
        <v>3115</v>
      </c>
      <c r="C2802" s="1">
        <v>45736</v>
      </c>
      <c r="D2802" t="str">
        <f>"328"</f>
        <v>328</v>
      </c>
      <c r="E2802" t="str">
        <f>"60430000"</f>
        <v>60430000</v>
      </c>
      <c r="F2802" t="s">
        <v>4863</v>
      </c>
      <c r="G2802" t="s">
        <v>336</v>
      </c>
      <c r="H2802" t="s">
        <v>5875</v>
      </c>
      <c r="I2802">
        <v>0</v>
      </c>
      <c r="J2802" t="s">
        <v>343</v>
      </c>
      <c r="K2802">
        <v>282521</v>
      </c>
      <c r="M2802">
        <v>282521</v>
      </c>
    </row>
    <row r="2803" spans="1:13" x14ac:dyDescent="0.35">
      <c r="A2803" t="str">
        <f t="shared" si="151"/>
        <v>STKCDG4573632960460000</v>
      </c>
      <c r="B2803" t="s">
        <v>3115</v>
      </c>
      <c r="C2803" s="1">
        <v>45736</v>
      </c>
      <c r="D2803" t="str">
        <f>"329"</f>
        <v>329</v>
      </c>
      <c r="E2803" t="str">
        <f>"60460000"</f>
        <v>60460000</v>
      </c>
      <c r="F2803" t="s">
        <v>4865</v>
      </c>
      <c r="G2803" t="s">
        <v>336</v>
      </c>
      <c r="H2803" t="s">
        <v>5876</v>
      </c>
      <c r="I2803">
        <v>0</v>
      </c>
      <c r="J2803" t="s">
        <v>343</v>
      </c>
      <c r="K2803">
        <v>1960</v>
      </c>
      <c r="M2803">
        <v>2933</v>
      </c>
    </row>
    <row r="2804" spans="1:13" x14ac:dyDescent="0.35">
      <c r="A2804" t="str">
        <f t="shared" si="151"/>
        <v>STKCDG4573632960460000</v>
      </c>
      <c r="B2804" t="s">
        <v>3115</v>
      </c>
      <c r="C2804" s="1">
        <v>45736</v>
      </c>
      <c r="D2804" t="str">
        <f>"329"</f>
        <v>329</v>
      </c>
      <c r="E2804" t="str">
        <f>"60460000"</f>
        <v>60460000</v>
      </c>
      <c r="F2804" t="s">
        <v>4865</v>
      </c>
      <c r="G2804" t="s">
        <v>336</v>
      </c>
      <c r="H2804" t="s">
        <v>5876</v>
      </c>
      <c r="I2804">
        <v>0</v>
      </c>
      <c r="J2804" t="s">
        <v>343</v>
      </c>
      <c r="K2804">
        <v>973</v>
      </c>
      <c r="M2804">
        <v>2933</v>
      </c>
    </row>
    <row r="2805" spans="1:13" x14ac:dyDescent="0.35">
      <c r="A2805" t="str">
        <f t="shared" si="151"/>
        <v>STKCDG4573633060460000</v>
      </c>
      <c r="B2805" t="s">
        <v>3115</v>
      </c>
      <c r="C2805" s="1">
        <v>45736</v>
      </c>
      <c r="D2805" t="str">
        <f>"330"</f>
        <v>330</v>
      </c>
      <c r="E2805" t="str">
        <f>"60460000"</f>
        <v>60460000</v>
      </c>
      <c r="F2805" t="s">
        <v>4867</v>
      </c>
      <c r="G2805" t="s">
        <v>336</v>
      </c>
      <c r="H2805" t="s">
        <v>5881</v>
      </c>
      <c r="I2805">
        <v>0</v>
      </c>
      <c r="J2805" t="s">
        <v>343</v>
      </c>
      <c r="K2805">
        <v>2546</v>
      </c>
      <c r="M2805">
        <v>2546</v>
      </c>
    </row>
    <row r="2806" spans="1:13" x14ac:dyDescent="0.35">
      <c r="A2806" t="str">
        <f t="shared" si="151"/>
        <v>STKCDG4573633160460000</v>
      </c>
      <c r="B2806" t="s">
        <v>3115</v>
      </c>
      <c r="C2806" s="1">
        <v>45736</v>
      </c>
      <c r="D2806" t="str">
        <f>"331"</f>
        <v>331</v>
      </c>
      <c r="E2806" t="str">
        <f>"60460000"</f>
        <v>60460000</v>
      </c>
      <c r="F2806" t="s">
        <v>4869</v>
      </c>
      <c r="G2806" t="s">
        <v>336</v>
      </c>
      <c r="H2806" t="s">
        <v>6010</v>
      </c>
      <c r="I2806">
        <v>0</v>
      </c>
      <c r="J2806" t="s">
        <v>343</v>
      </c>
      <c r="K2806">
        <v>1346</v>
      </c>
      <c r="M2806">
        <v>1346</v>
      </c>
    </row>
    <row r="2807" spans="1:13" x14ac:dyDescent="0.35">
      <c r="A2807" t="str">
        <f t="shared" si="151"/>
        <v>STKCDG4573633260410000</v>
      </c>
      <c r="B2807" t="s">
        <v>3115</v>
      </c>
      <c r="C2807" s="1">
        <v>45736</v>
      </c>
      <c r="D2807" t="str">
        <f>"332"</f>
        <v>332</v>
      </c>
      <c r="E2807" t="str">
        <f>"60410000"</f>
        <v>60410000</v>
      </c>
      <c r="F2807" t="s">
        <v>4871</v>
      </c>
      <c r="G2807" t="s">
        <v>336</v>
      </c>
      <c r="H2807" t="s">
        <v>5876</v>
      </c>
      <c r="I2807">
        <v>0</v>
      </c>
      <c r="J2807" t="s">
        <v>343</v>
      </c>
      <c r="K2807">
        <v>3298</v>
      </c>
      <c r="M2807">
        <v>3298</v>
      </c>
    </row>
    <row r="2808" spans="1:13" x14ac:dyDescent="0.35">
      <c r="A2808" t="str">
        <f t="shared" si="151"/>
        <v>STKCDG4573633360410000</v>
      </c>
      <c r="B2808" t="s">
        <v>3115</v>
      </c>
      <c r="C2808" s="1">
        <v>45736</v>
      </c>
      <c r="D2808" t="str">
        <f>"333"</f>
        <v>333</v>
      </c>
      <c r="E2808" t="str">
        <f>"60410000"</f>
        <v>60410000</v>
      </c>
      <c r="F2808" t="s">
        <v>4873</v>
      </c>
      <c r="G2808" t="s">
        <v>336</v>
      </c>
      <c r="H2808" t="s">
        <v>5876</v>
      </c>
      <c r="I2808">
        <v>0</v>
      </c>
      <c r="J2808" t="s">
        <v>343</v>
      </c>
      <c r="K2808">
        <v>5715</v>
      </c>
      <c r="M2808">
        <v>5715</v>
      </c>
    </row>
    <row r="2809" spans="1:13" x14ac:dyDescent="0.35">
      <c r="A2809" t="str">
        <f t="shared" si="151"/>
        <v>STKCDG4573633460460000</v>
      </c>
      <c r="B2809" t="s">
        <v>3115</v>
      </c>
      <c r="C2809" s="1">
        <v>45736</v>
      </c>
      <c r="D2809" t="str">
        <f>"334"</f>
        <v>334</v>
      </c>
      <c r="E2809" t="str">
        <f>"60460000"</f>
        <v>60460000</v>
      </c>
      <c r="F2809" t="s">
        <v>4875</v>
      </c>
      <c r="G2809" t="s">
        <v>336</v>
      </c>
      <c r="H2809" t="s">
        <v>5876</v>
      </c>
      <c r="I2809">
        <v>0</v>
      </c>
      <c r="J2809" t="s">
        <v>343</v>
      </c>
      <c r="K2809">
        <v>18500</v>
      </c>
      <c r="M2809">
        <v>18500</v>
      </c>
    </row>
    <row r="2810" spans="1:13" x14ac:dyDescent="0.35">
      <c r="A2810" t="str">
        <f t="shared" si="151"/>
        <v>STKCDG4573633560460000</v>
      </c>
      <c r="B2810" t="s">
        <v>3115</v>
      </c>
      <c r="C2810" s="1">
        <v>45736</v>
      </c>
      <c r="D2810" t="str">
        <f>"335"</f>
        <v>335</v>
      </c>
      <c r="E2810" t="str">
        <f>"60460000"</f>
        <v>60460000</v>
      </c>
      <c r="F2810" t="s">
        <v>4877</v>
      </c>
      <c r="G2810" t="s">
        <v>336</v>
      </c>
      <c r="H2810" t="s">
        <v>5880</v>
      </c>
      <c r="I2810">
        <v>0</v>
      </c>
      <c r="J2810" t="s">
        <v>343</v>
      </c>
      <c r="K2810">
        <v>1748</v>
      </c>
      <c r="M2810">
        <v>1748</v>
      </c>
    </row>
    <row r="2811" spans="1:13" x14ac:dyDescent="0.35">
      <c r="A2811" t="str">
        <f t="shared" si="151"/>
        <v>STKCDG4573633660460000</v>
      </c>
      <c r="B2811" t="s">
        <v>3115</v>
      </c>
      <c r="C2811" s="1">
        <v>45736</v>
      </c>
      <c r="D2811" t="str">
        <f>"336"</f>
        <v>336</v>
      </c>
      <c r="E2811" t="str">
        <f>"60460000"</f>
        <v>60460000</v>
      </c>
      <c r="F2811" t="s">
        <v>4879</v>
      </c>
      <c r="G2811" t="s">
        <v>336</v>
      </c>
      <c r="H2811" t="s">
        <v>5949</v>
      </c>
      <c r="I2811">
        <v>0</v>
      </c>
      <c r="J2811" t="s">
        <v>343</v>
      </c>
      <c r="K2811">
        <v>33500</v>
      </c>
      <c r="M2811">
        <v>33500</v>
      </c>
    </row>
    <row r="2812" spans="1:13" x14ac:dyDescent="0.35">
      <c r="A2812" t="str">
        <f t="shared" si="151"/>
        <v>STKCDG4573633760410000</v>
      </c>
      <c r="B2812" t="s">
        <v>3115</v>
      </c>
      <c r="C2812" s="1">
        <v>45736</v>
      </c>
      <c r="D2812" t="str">
        <f>"337"</f>
        <v>337</v>
      </c>
      <c r="E2812" t="str">
        <f>"60410000"</f>
        <v>60410000</v>
      </c>
      <c r="F2812" t="s">
        <v>4881</v>
      </c>
      <c r="G2812" t="s">
        <v>336</v>
      </c>
      <c r="H2812" t="s">
        <v>5958</v>
      </c>
      <c r="I2812">
        <v>0</v>
      </c>
      <c r="J2812" t="s">
        <v>343</v>
      </c>
      <c r="K2812">
        <v>11010</v>
      </c>
      <c r="M2812">
        <v>11010</v>
      </c>
    </row>
    <row r="2813" spans="1:13" x14ac:dyDescent="0.35">
      <c r="A2813" t="str">
        <f t="shared" si="151"/>
        <v>STKCDG4573640660440000</v>
      </c>
      <c r="B2813" t="s">
        <v>3115</v>
      </c>
      <c r="C2813" s="1">
        <v>45736</v>
      </c>
      <c r="D2813" t="str">
        <f>"406"</f>
        <v>406</v>
      </c>
      <c r="E2813" t="str">
        <f t="shared" ref="E2813:E2849" si="153">"60440000"</f>
        <v>60440000</v>
      </c>
      <c r="F2813" t="s">
        <v>4883</v>
      </c>
      <c r="G2813" t="s">
        <v>336</v>
      </c>
      <c r="H2813" t="s">
        <v>5958</v>
      </c>
      <c r="I2813">
        <v>0</v>
      </c>
      <c r="J2813" t="s">
        <v>343</v>
      </c>
      <c r="K2813">
        <v>80027</v>
      </c>
      <c r="M2813">
        <v>80027</v>
      </c>
    </row>
    <row r="2814" spans="1:13" x14ac:dyDescent="0.35">
      <c r="A2814" t="str">
        <f t="shared" si="151"/>
        <v>STKCDG4573640760440000</v>
      </c>
      <c r="B2814" t="s">
        <v>3115</v>
      </c>
      <c r="C2814" s="1">
        <v>45736</v>
      </c>
      <c r="D2814" t="str">
        <f>"407"</f>
        <v>407</v>
      </c>
      <c r="E2814" t="str">
        <f t="shared" si="153"/>
        <v>60440000</v>
      </c>
      <c r="F2814" t="s">
        <v>4885</v>
      </c>
      <c r="G2814" t="s">
        <v>336</v>
      </c>
      <c r="H2814" t="s">
        <v>5880</v>
      </c>
      <c r="I2814">
        <v>0</v>
      </c>
      <c r="J2814" t="s">
        <v>343</v>
      </c>
      <c r="K2814">
        <v>140000</v>
      </c>
      <c r="M2814">
        <v>140000</v>
      </c>
    </row>
    <row r="2815" spans="1:13" x14ac:dyDescent="0.35">
      <c r="A2815" t="str">
        <f t="shared" si="151"/>
        <v>STKCDG4573640860440000</v>
      </c>
      <c r="B2815" t="s">
        <v>3115</v>
      </c>
      <c r="C2815" s="1">
        <v>45736</v>
      </c>
      <c r="D2815" t="str">
        <f>"408"</f>
        <v>408</v>
      </c>
      <c r="E2815" t="str">
        <f t="shared" si="153"/>
        <v>60440000</v>
      </c>
      <c r="F2815" t="s">
        <v>4887</v>
      </c>
      <c r="G2815" t="s">
        <v>336</v>
      </c>
      <c r="H2815" t="s">
        <v>5880</v>
      </c>
      <c r="I2815">
        <v>0</v>
      </c>
      <c r="J2815" t="s">
        <v>343</v>
      </c>
      <c r="K2815">
        <v>260000</v>
      </c>
      <c r="M2815">
        <v>260000</v>
      </c>
    </row>
    <row r="2816" spans="1:13" x14ac:dyDescent="0.35">
      <c r="A2816" t="str">
        <f t="shared" si="151"/>
        <v>STKCDG4573640960440000</v>
      </c>
      <c r="B2816" t="s">
        <v>3115</v>
      </c>
      <c r="C2816" s="1">
        <v>45736</v>
      </c>
      <c r="D2816" t="str">
        <f>"409"</f>
        <v>409</v>
      </c>
      <c r="E2816" t="str">
        <f t="shared" si="153"/>
        <v>60440000</v>
      </c>
      <c r="F2816" t="s">
        <v>4889</v>
      </c>
      <c r="G2816" t="s">
        <v>336</v>
      </c>
      <c r="H2816" t="s">
        <v>5874</v>
      </c>
      <c r="I2816">
        <v>0</v>
      </c>
      <c r="J2816" t="s">
        <v>343</v>
      </c>
      <c r="K2816">
        <v>30000</v>
      </c>
      <c r="M2816">
        <v>30000</v>
      </c>
    </row>
    <row r="2817" spans="1:13" x14ac:dyDescent="0.35">
      <c r="A2817" t="str">
        <f t="shared" si="151"/>
        <v>STKCDG4573641060440000</v>
      </c>
      <c r="B2817" t="s">
        <v>3115</v>
      </c>
      <c r="C2817" s="1">
        <v>45736</v>
      </c>
      <c r="D2817" t="str">
        <f>"410"</f>
        <v>410</v>
      </c>
      <c r="E2817" t="str">
        <f t="shared" si="153"/>
        <v>60440000</v>
      </c>
      <c r="F2817" t="s">
        <v>4891</v>
      </c>
      <c r="G2817" t="s">
        <v>336</v>
      </c>
      <c r="H2817" t="s">
        <v>5876</v>
      </c>
      <c r="I2817">
        <v>0</v>
      </c>
      <c r="J2817" t="s">
        <v>343</v>
      </c>
      <c r="K2817">
        <v>2200000</v>
      </c>
      <c r="M2817">
        <v>2200000</v>
      </c>
    </row>
    <row r="2818" spans="1:13" x14ac:dyDescent="0.35">
      <c r="A2818" t="str">
        <f t="shared" si="151"/>
        <v>STKCDG4573641160440000</v>
      </c>
      <c r="B2818" t="s">
        <v>3115</v>
      </c>
      <c r="C2818" s="1">
        <v>45736</v>
      </c>
      <c r="D2818" t="str">
        <f>"411"</f>
        <v>411</v>
      </c>
      <c r="E2818" t="str">
        <f t="shared" si="153"/>
        <v>60440000</v>
      </c>
      <c r="F2818" t="s">
        <v>4893</v>
      </c>
      <c r="G2818" t="s">
        <v>336</v>
      </c>
      <c r="H2818" t="s">
        <v>5880</v>
      </c>
      <c r="I2818">
        <v>0</v>
      </c>
      <c r="J2818" t="s">
        <v>343</v>
      </c>
      <c r="K2818">
        <v>480000</v>
      </c>
      <c r="M2818">
        <v>480000</v>
      </c>
    </row>
    <row r="2819" spans="1:13" x14ac:dyDescent="0.35">
      <c r="A2819" t="str">
        <f t="shared" ref="A2819:A2882" si="154">CONCATENATE(B2819,C2819,D2819,E2819)</f>
        <v>STKCDG4573641260440000</v>
      </c>
      <c r="B2819" t="s">
        <v>3115</v>
      </c>
      <c r="C2819" s="1">
        <v>45736</v>
      </c>
      <c r="D2819" t="str">
        <f>"412"</f>
        <v>412</v>
      </c>
      <c r="E2819" t="str">
        <f t="shared" si="153"/>
        <v>60440000</v>
      </c>
      <c r="F2819" t="s">
        <v>4895</v>
      </c>
      <c r="G2819" t="s">
        <v>336</v>
      </c>
      <c r="H2819" t="s">
        <v>5875</v>
      </c>
      <c r="I2819">
        <v>0</v>
      </c>
      <c r="J2819" t="s">
        <v>343</v>
      </c>
      <c r="K2819">
        <v>50000</v>
      </c>
      <c r="M2819">
        <v>50000</v>
      </c>
    </row>
    <row r="2820" spans="1:13" x14ac:dyDescent="0.35">
      <c r="A2820" t="str">
        <f t="shared" si="154"/>
        <v>STKCDG4573641360440000</v>
      </c>
      <c r="B2820" t="s">
        <v>3115</v>
      </c>
      <c r="C2820" s="1">
        <v>45736</v>
      </c>
      <c r="D2820" t="str">
        <f>"413"</f>
        <v>413</v>
      </c>
      <c r="E2820" t="str">
        <f t="shared" si="153"/>
        <v>60440000</v>
      </c>
      <c r="F2820" t="s">
        <v>4897</v>
      </c>
      <c r="G2820" t="s">
        <v>336</v>
      </c>
      <c r="H2820" t="s">
        <v>5875</v>
      </c>
      <c r="I2820">
        <v>0</v>
      </c>
      <c r="J2820" t="s">
        <v>343</v>
      </c>
      <c r="K2820">
        <v>45000</v>
      </c>
      <c r="M2820">
        <v>45000</v>
      </c>
    </row>
    <row r="2821" spans="1:13" x14ac:dyDescent="0.35">
      <c r="A2821" t="str">
        <f t="shared" si="154"/>
        <v>STKCDG4573641460440000</v>
      </c>
      <c r="B2821" t="s">
        <v>3115</v>
      </c>
      <c r="C2821" s="1">
        <v>45736</v>
      </c>
      <c r="D2821" t="str">
        <f>"414"</f>
        <v>414</v>
      </c>
      <c r="E2821" t="str">
        <f t="shared" si="153"/>
        <v>60440000</v>
      </c>
      <c r="F2821" t="s">
        <v>4899</v>
      </c>
      <c r="G2821" t="s">
        <v>336</v>
      </c>
      <c r="H2821" t="s">
        <v>5874</v>
      </c>
      <c r="I2821">
        <v>0</v>
      </c>
      <c r="J2821" t="s">
        <v>343</v>
      </c>
      <c r="K2821">
        <v>20000</v>
      </c>
      <c r="M2821">
        <v>20000</v>
      </c>
    </row>
    <row r="2822" spans="1:13" x14ac:dyDescent="0.35">
      <c r="A2822" t="str">
        <f t="shared" si="154"/>
        <v>STKCDG4573641560440000</v>
      </c>
      <c r="B2822" t="s">
        <v>3115</v>
      </c>
      <c r="C2822" s="1">
        <v>45736</v>
      </c>
      <c r="D2822" t="str">
        <f>"415"</f>
        <v>415</v>
      </c>
      <c r="E2822" t="str">
        <f t="shared" si="153"/>
        <v>60440000</v>
      </c>
      <c r="F2822" t="s">
        <v>4901</v>
      </c>
      <c r="G2822" t="s">
        <v>336</v>
      </c>
      <c r="H2822" t="s">
        <v>5881</v>
      </c>
      <c r="I2822">
        <v>0</v>
      </c>
      <c r="J2822" t="s">
        <v>343</v>
      </c>
      <c r="K2822">
        <v>84000</v>
      </c>
      <c r="M2822">
        <v>84000</v>
      </c>
    </row>
    <row r="2823" spans="1:13" x14ac:dyDescent="0.35">
      <c r="A2823" t="str">
        <f t="shared" si="154"/>
        <v>STKCDG4573641660440000</v>
      </c>
      <c r="B2823" t="s">
        <v>3115</v>
      </c>
      <c r="C2823" s="1">
        <v>45736</v>
      </c>
      <c r="D2823" t="str">
        <f>"416"</f>
        <v>416</v>
      </c>
      <c r="E2823" t="str">
        <f t="shared" si="153"/>
        <v>60440000</v>
      </c>
      <c r="F2823" t="s">
        <v>4903</v>
      </c>
      <c r="G2823" t="s">
        <v>336</v>
      </c>
      <c r="H2823" t="s">
        <v>5958</v>
      </c>
      <c r="I2823">
        <v>0</v>
      </c>
      <c r="J2823" t="s">
        <v>343</v>
      </c>
      <c r="K2823">
        <v>40000</v>
      </c>
      <c r="M2823">
        <v>40000</v>
      </c>
    </row>
    <row r="2824" spans="1:13" x14ac:dyDescent="0.35">
      <c r="A2824" t="str">
        <f t="shared" si="154"/>
        <v>STKCDG4573641760440000</v>
      </c>
      <c r="B2824" t="s">
        <v>3115</v>
      </c>
      <c r="C2824" s="1">
        <v>45736</v>
      </c>
      <c r="D2824" t="str">
        <f>"417"</f>
        <v>417</v>
      </c>
      <c r="E2824" t="str">
        <f t="shared" si="153"/>
        <v>60440000</v>
      </c>
      <c r="F2824" t="s">
        <v>4905</v>
      </c>
      <c r="G2824" t="s">
        <v>336</v>
      </c>
      <c r="H2824" t="s">
        <v>5875</v>
      </c>
      <c r="I2824">
        <v>0</v>
      </c>
      <c r="J2824" t="s">
        <v>343</v>
      </c>
      <c r="K2824">
        <v>500000</v>
      </c>
      <c r="M2824">
        <v>500000</v>
      </c>
    </row>
    <row r="2825" spans="1:13" x14ac:dyDescent="0.35">
      <c r="A2825" t="str">
        <f t="shared" si="154"/>
        <v>STKCDG4573641860440000</v>
      </c>
      <c r="B2825" t="s">
        <v>3115</v>
      </c>
      <c r="C2825" s="1">
        <v>45736</v>
      </c>
      <c r="D2825" t="str">
        <f>"418"</f>
        <v>418</v>
      </c>
      <c r="E2825" t="str">
        <f t="shared" si="153"/>
        <v>60440000</v>
      </c>
      <c r="F2825" t="s">
        <v>4907</v>
      </c>
      <c r="G2825" t="s">
        <v>336</v>
      </c>
      <c r="H2825" t="s">
        <v>5880</v>
      </c>
      <c r="I2825">
        <v>0</v>
      </c>
      <c r="J2825" t="s">
        <v>343</v>
      </c>
      <c r="K2825">
        <v>25000</v>
      </c>
      <c r="M2825">
        <v>25000</v>
      </c>
    </row>
    <row r="2826" spans="1:13" x14ac:dyDescent="0.35">
      <c r="A2826" t="str">
        <f t="shared" si="154"/>
        <v>STKCDG4573641960440000</v>
      </c>
      <c r="B2826" t="s">
        <v>3115</v>
      </c>
      <c r="C2826" s="1">
        <v>45736</v>
      </c>
      <c r="D2826" t="str">
        <f>"419"</f>
        <v>419</v>
      </c>
      <c r="E2826" t="str">
        <f t="shared" si="153"/>
        <v>60440000</v>
      </c>
      <c r="F2826" t="s">
        <v>4909</v>
      </c>
      <c r="G2826" t="s">
        <v>336</v>
      </c>
      <c r="H2826" t="s">
        <v>5880</v>
      </c>
      <c r="I2826">
        <v>0</v>
      </c>
      <c r="J2826" t="s">
        <v>343</v>
      </c>
      <c r="K2826">
        <v>30000</v>
      </c>
      <c r="M2826">
        <v>30000</v>
      </c>
    </row>
    <row r="2827" spans="1:13" x14ac:dyDescent="0.35">
      <c r="A2827" t="str">
        <f t="shared" si="154"/>
        <v>STKCDG4573642060440000</v>
      </c>
      <c r="B2827" t="s">
        <v>3115</v>
      </c>
      <c r="C2827" s="1">
        <v>45736</v>
      </c>
      <c r="D2827" t="str">
        <f>"420"</f>
        <v>420</v>
      </c>
      <c r="E2827" t="str">
        <f t="shared" si="153"/>
        <v>60440000</v>
      </c>
      <c r="F2827" t="s">
        <v>4911</v>
      </c>
      <c r="G2827" t="s">
        <v>336</v>
      </c>
      <c r="H2827" t="s">
        <v>5875</v>
      </c>
      <c r="I2827">
        <v>0</v>
      </c>
      <c r="J2827" t="s">
        <v>343</v>
      </c>
      <c r="K2827">
        <v>6691</v>
      </c>
      <c r="M2827">
        <v>6691</v>
      </c>
    </row>
    <row r="2828" spans="1:13" x14ac:dyDescent="0.35">
      <c r="A2828" t="str">
        <f t="shared" si="154"/>
        <v>STKCDG4573642160440000</v>
      </c>
      <c r="B2828" t="s">
        <v>3115</v>
      </c>
      <c r="C2828" s="1">
        <v>45736</v>
      </c>
      <c r="D2828" t="str">
        <f>"421"</f>
        <v>421</v>
      </c>
      <c r="E2828" t="str">
        <f t="shared" si="153"/>
        <v>60440000</v>
      </c>
      <c r="F2828" t="s">
        <v>4913</v>
      </c>
      <c r="G2828" t="s">
        <v>336</v>
      </c>
      <c r="H2828" t="s">
        <v>5876</v>
      </c>
      <c r="I2828">
        <v>0</v>
      </c>
      <c r="J2828" t="s">
        <v>343</v>
      </c>
      <c r="K2828">
        <v>200000</v>
      </c>
      <c r="M2828">
        <v>200000</v>
      </c>
    </row>
    <row r="2829" spans="1:13" x14ac:dyDescent="0.35">
      <c r="A2829" t="str">
        <f t="shared" si="154"/>
        <v>STKCDG4573642260440000</v>
      </c>
      <c r="B2829" t="s">
        <v>3115</v>
      </c>
      <c r="C2829" s="1">
        <v>45736</v>
      </c>
      <c r="D2829" t="str">
        <f>"422"</f>
        <v>422</v>
      </c>
      <c r="E2829" t="str">
        <f t="shared" si="153"/>
        <v>60440000</v>
      </c>
      <c r="F2829" t="s">
        <v>4915</v>
      </c>
      <c r="G2829" t="s">
        <v>336</v>
      </c>
      <c r="H2829" t="s">
        <v>5880</v>
      </c>
      <c r="I2829">
        <v>0</v>
      </c>
      <c r="J2829" t="s">
        <v>343</v>
      </c>
      <c r="K2829">
        <v>40000</v>
      </c>
      <c r="M2829">
        <v>40000</v>
      </c>
    </row>
    <row r="2830" spans="1:13" x14ac:dyDescent="0.35">
      <c r="A2830" t="str">
        <f t="shared" si="154"/>
        <v>STKCDG4573642360440000</v>
      </c>
      <c r="B2830" t="s">
        <v>3115</v>
      </c>
      <c r="C2830" s="1">
        <v>45736</v>
      </c>
      <c r="D2830" t="str">
        <f>"423"</f>
        <v>423</v>
      </c>
      <c r="E2830" t="str">
        <f t="shared" si="153"/>
        <v>60440000</v>
      </c>
      <c r="F2830" t="s">
        <v>4917</v>
      </c>
      <c r="G2830" t="s">
        <v>336</v>
      </c>
      <c r="H2830" t="s">
        <v>5880</v>
      </c>
      <c r="I2830">
        <v>0</v>
      </c>
      <c r="J2830" t="s">
        <v>343</v>
      </c>
      <c r="K2830">
        <v>65000</v>
      </c>
      <c r="M2830">
        <v>65000</v>
      </c>
    </row>
    <row r="2831" spans="1:13" x14ac:dyDescent="0.35">
      <c r="A2831" t="str">
        <f t="shared" si="154"/>
        <v>STKCDG4573642460440000</v>
      </c>
      <c r="B2831" t="s">
        <v>3115</v>
      </c>
      <c r="C2831" s="1">
        <v>45736</v>
      </c>
      <c r="D2831" t="str">
        <f>"424"</f>
        <v>424</v>
      </c>
      <c r="E2831" t="str">
        <f t="shared" si="153"/>
        <v>60440000</v>
      </c>
      <c r="F2831" t="s">
        <v>4919</v>
      </c>
      <c r="G2831" t="s">
        <v>336</v>
      </c>
      <c r="H2831" t="s">
        <v>5874</v>
      </c>
      <c r="I2831">
        <v>0</v>
      </c>
      <c r="J2831" t="s">
        <v>343</v>
      </c>
      <c r="K2831">
        <v>50000</v>
      </c>
      <c r="M2831">
        <v>50000</v>
      </c>
    </row>
    <row r="2832" spans="1:13" x14ac:dyDescent="0.35">
      <c r="A2832" t="str">
        <f t="shared" si="154"/>
        <v>STKCDG4573642560440000</v>
      </c>
      <c r="B2832" t="s">
        <v>3115</v>
      </c>
      <c r="C2832" s="1">
        <v>45736</v>
      </c>
      <c r="D2832" t="str">
        <f>"425"</f>
        <v>425</v>
      </c>
      <c r="E2832" t="str">
        <f t="shared" si="153"/>
        <v>60440000</v>
      </c>
      <c r="F2832" t="s">
        <v>4921</v>
      </c>
      <c r="G2832" t="s">
        <v>336</v>
      </c>
      <c r="H2832" t="s">
        <v>5880</v>
      </c>
      <c r="I2832">
        <v>0</v>
      </c>
      <c r="J2832" t="s">
        <v>343</v>
      </c>
      <c r="K2832">
        <v>90000</v>
      </c>
      <c r="M2832">
        <v>90000</v>
      </c>
    </row>
    <row r="2833" spans="1:13" x14ac:dyDescent="0.35">
      <c r="A2833" t="str">
        <f t="shared" si="154"/>
        <v>STKCDG4573642660440000</v>
      </c>
      <c r="B2833" t="s">
        <v>3115</v>
      </c>
      <c r="C2833" s="1">
        <v>45736</v>
      </c>
      <c r="D2833" t="str">
        <f>"426"</f>
        <v>426</v>
      </c>
      <c r="E2833" t="str">
        <f t="shared" si="153"/>
        <v>60440000</v>
      </c>
      <c r="F2833" t="s">
        <v>4923</v>
      </c>
      <c r="G2833" t="s">
        <v>336</v>
      </c>
      <c r="H2833" t="s">
        <v>5880</v>
      </c>
      <c r="I2833">
        <v>0</v>
      </c>
      <c r="J2833" t="s">
        <v>343</v>
      </c>
      <c r="K2833">
        <v>90000</v>
      </c>
      <c r="M2833">
        <v>90000</v>
      </c>
    </row>
    <row r="2834" spans="1:13" x14ac:dyDescent="0.35">
      <c r="A2834" t="str">
        <f t="shared" si="154"/>
        <v>STKCDG4573642760440000</v>
      </c>
      <c r="B2834" t="s">
        <v>3115</v>
      </c>
      <c r="C2834" s="1">
        <v>45736</v>
      </c>
      <c r="D2834" t="str">
        <f>"427"</f>
        <v>427</v>
      </c>
      <c r="E2834" t="str">
        <f t="shared" si="153"/>
        <v>60440000</v>
      </c>
      <c r="F2834" t="s">
        <v>4925</v>
      </c>
      <c r="G2834" t="s">
        <v>336</v>
      </c>
      <c r="H2834" t="s">
        <v>5876</v>
      </c>
      <c r="I2834">
        <v>0</v>
      </c>
      <c r="J2834" t="s">
        <v>343</v>
      </c>
      <c r="K2834">
        <v>130000</v>
      </c>
      <c r="M2834">
        <v>130000</v>
      </c>
    </row>
    <row r="2835" spans="1:13" x14ac:dyDescent="0.35">
      <c r="A2835" t="str">
        <f t="shared" si="154"/>
        <v>STKCDG4573642860440000</v>
      </c>
      <c r="B2835" t="s">
        <v>3115</v>
      </c>
      <c r="C2835" s="1">
        <v>45736</v>
      </c>
      <c r="D2835" t="str">
        <f>"428"</f>
        <v>428</v>
      </c>
      <c r="E2835" t="str">
        <f t="shared" si="153"/>
        <v>60440000</v>
      </c>
      <c r="F2835" t="s">
        <v>4927</v>
      </c>
      <c r="G2835" t="s">
        <v>336</v>
      </c>
      <c r="H2835" t="s">
        <v>5880</v>
      </c>
      <c r="I2835">
        <v>0</v>
      </c>
      <c r="J2835" t="s">
        <v>343</v>
      </c>
      <c r="K2835">
        <v>150000</v>
      </c>
      <c r="M2835">
        <v>150000</v>
      </c>
    </row>
    <row r="2836" spans="1:13" x14ac:dyDescent="0.35">
      <c r="A2836" t="str">
        <f t="shared" si="154"/>
        <v>STKCDG4573642960440000</v>
      </c>
      <c r="B2836" t="s">
        <v>3115</v>
      </c>
      <c r="C2836" s="1">
        <v>45736</v>
      </c>
      <c r="D2836" t="str">
        <f>"429"</f>
        <v>429</v>
      </c>
      <c r="E2836" t="str">
        <f t="shared" si="153"/>
        <v>60440000</v>
      </c>
      <c r="F2836" t="s">
        <v>4929</v>
      </c>
      <c r="G2836" t="s">
        <v>336</v>
      </c>
      <c r="H2836" t="s">
        <v>5880</v>
      </c>
      <c r="I2836">
        <v>0</v>
      </c>
      <c r="J2836" t="s">
        <v>343</v>
      </c>
      <c r="K2836">
        <v>12000</v>
      </c>
      <c r="M2836">
        <v>12000</v>
      </c>
    </row>
    <row r="2837" spans="1:13" x14ac:dyDescent="0.35">
      <c r="A2837" t="str">
        <f t="shared" si="154"/>
        <v>STKCDG4573643060440000</v>
      </c>
      <c r="B2837" t="s">
        <v>3115</v>
      </c>
      <c r="C2837" s="1">
        <v>45736</v>
      </c>
      <c r="D2837" t="str">
        <f>"430"</f>
        <v>430</v>
      </c>
      <c r="E2837" t="str">
        <f t="shared" si="153"/>
        <v>60440000</v>
      </c>
      <c r="F2837" t="s">
        <v>4931</v>
      </c>
      <c r="G2837" t="s">
        <v>336</v>
      </c>
      <c r="H2837" t="s">
        <v>5875</v>
      </c>
      <c r="I2837">
        <v>0</v>
      </c>
      <c r="J2837" t="s">
        <v>343</v>
      </c>
      <c r="K2837">
        <v>5773</v>
      </c>
      <c r="M2837">
        <v>5773</v>
      </c>
    </row>
    <row r="2838" spans="1:13" x14ac:dyDescent="0.35">
      <c r="A2838" t="str">
        <f t="shared" si="154"/>
        <v>STKCDG4573643160440000</v>
      </c>
      <c r="B2838" t="s">
        <v>3115</v>
      </c>
      <c r="C2838" s="1">
        <v>45736</v>
      </c>
      <c r="D2838" t="str">
        <f>"431"</f>
        <v>431</v>
      </c>
      <c r="E2838" t="str">
        <f t="shared" si="153"/>
        <v>60440000</v>
      </c>
      <c r="F2838" t="s">
        <v>4933</v>
      </c>
      <c r="G2838" t="s">
        <v>336</v>
      </c>
      <c r="H2838" t="s">
        <v>5946</v>
      </c>
      <c r="I2838">
        <v>0</v>
      </c>
      <c r="J2838" t="s">
        <v>343</v>
      </c>
      <c r="K2838">
        <v>30000</v>
      </c>
      <c r="M2838">
        <v>30000</v>
      </c>
    </row>
    <row r="2839" spans="1:13" x14ac:dyDescent="0.35">
      <c r="A2839" t="str">
        <f t="shared" si="154"/>
        <v>STKCDG4573643260440000</v>
      </c>
      <c r="B2839" t="s">
        <v>3115</v>
      </c>
      <c r="C2839" s="1">
        <v>45736</v>
      </c>
      <c r="D2839" t="str">
        <f>"432"</f>
        <v>432</v>
      </c>
      <c r="E2839" t="str">
        <f t="shared" si="153"/>
        <v>60440000</v>
      </c>
      <c r="F2839" t="s">
        <v>4935</v>
      </c>
      <c r="G2839" t="s">
        <v>336</v>
      </c>
      <c r="H2839" t="s">
        <v>5875</v>
      </c>
      <c r="I2839">
        <v>0</v>
      </c>
      <c r="J2839" t="s">
        <v>343</v>
      </c>
      <c r="K2839">
        <v>500000</v>
      </c>
      <c r="M2839">
        <v>500000</v>
      </c>
    </row>
    <row r="2840" spans="1:13" x14ac:dyDescent="0.35">
      <c r="A2840" t="str">
        <f t="shared" si="154"/>
        <v>STKCDG4573643360440000</v>
      </c>
      <c r="B2840" t="s">
        <v>3115</v>
      </c>
      <c r="C2840" s="1">
        <v>45736</v>
      </c>
      <c r="D2840" t="str">
        <f>"433"</f>
        <v>433</v>
      </c>
      <c r="E2840" t="str">
        <f t="shared" si="153"/>
        <v>60440000</v>
      </c>
      <c r="F2840" t="s">
        <v>4937</v>
      </c>
      <c r="G2840" t="s">
        <v>336</v>
      </c>
      <c r="H2840" t="s">
        <v>5958</v>
      </c>
      <c r="I2840">
        <v>0</v>
      </c>
      <c r="J2840" t="s">
        <v>343</v>
      </c>
      <c r="K2840">
        <v>58000</v>
      </c>
      <c r="M2840">
        <v>58000</v>
      </c>
    </row>
    <row r="2841" spans="1:13" x14ac:dyDescent="0.35">
      <c r="A2841" t="str">
        <f t="shared" si="154"/>
        <v>STKCDG4573643460440000</v>
      </c>
      <c r="B2841" t="s">
        <v>3115</v>
      </c>
      <c r="C2841" s="1">
        <v>45736</v>
      </c>
      <c r="D2841" t="str">
        <f>"434"</f>
        <v>434</v>
      </c>
      <c r="E2841" t="str">
        <f t="shared" si="153"/>
        <v>60440000</v>
      </c>
      <c r="F2841" t="s">
        <v>4939</v>
      </c>
      <c r="G2841" t="s">
        <v>336</v>
      </c>
      <c r="H2841" t="s">
        <v>5874</v>
      </c>
      <c r="I2841">
        <v>0</v>
      </c>
      <c r="J2841" t="s">
        <v>343</v>
      </c>
      <c r="K2841">
        <v>12000</v>
      </c>
      <c r="M2841">
        <v>12000</v>
      </c>
    </row>
    <row r="2842" spans="1:13" x14ac:dyDescent="0.35">
      <c r="A2842" t="str">
        <f t="shared" si="154"/>
        <v>STKCDG4573643560440000</v>
      </c>
      <c r="B2842" t="s">
        <v>3115</v>
      </c>
      <c r="C2842" s="1">
        <v>45736</v>
      </c>
      <c r="D2842" t="str">
        <f>"435"</f>
        <v>435</v>
      </c>
      <c r="E2842" t="str">
        <f t="shared" si="153"/>
        <v>60440000</v>
      </c>
      <c r="F2842" t="s">
        <v>4941</v>
      </c>
      <c r="G2842" t="s">
        <v>336</v>
      </c>
      <c r="H2842" t="s">
        <v>5873</v>
      </c>
      <c r="I2842">
        <v>0</v>
      </c>
      <c r="J2842" t="s">
        <v>343</v>
      </c>
      <c r="K2842">
        <v>32431</v>
      </c>
      <c r="M2842">
        <v>32431</v>
      </c>
    </row>
    <row r="2843" spans="1:13" x14ac:dyDescent="0.35">
      <c r="A2843" t="str">
        <f t="shared" si="154"/>
        <v>STKCDG4573643660440000</v>
      </c>
      <c r="B2843" t="s">
        <v>3115</v>
      </c>
      <c r="C2843" s="1">
        <v>45736</v>
      </c>
      <c r="D2843" t="str">
        <f>"436"</f>
        <v>436</v>
      </c>
      <c r="E2843" t="str">
        <f t="shared" si="153"/>
        <v>60440000</v>
      </c>
      <c r="F2843" t="s">
        <v>4943</v>
      </c>
      <c r="G2843" t="s">
        <v>336</v>
      </c>
      <c r="H2843" t="s">
        <v>5875</v>
      </c>
      <c r="I2843">
        <v>0</v>
      </c>
      <c r="J2843" t="s">
        <v>343</v>
      </c>
      <c r="K2843">
        <v>12000</v>
      </c>
      <c r="M2843">
        <v>12000</v>
      </c>
    </row>
    <row r="2844" spans="1:13" x14ac:dyDescent="0.35">
      <c r="A2844" t="str">
        <f t="shared" si="154"/>
        <v>STKCDG4573643760440000</v>
      </c>
      <c r="B2844" t="s">
        <v>3115</v>
      </c>
      <c r="C2844" s="1">
        <v>45736</v>
      </c>
      <c r="D2844" t="str">
        <f>"437"</f>
        <v>437</v>
      </c>
      <c r="E2844" t="str">
        <f t="shared" si="153"/>
        <v>60440000</v>
      </c>
      <c r="F2844" t="s">
        <v>4945</v>
      </c>
      <c r="G2844" t="s">
        <v>336</v>
      </c>
      <c r="H2844" t="s">
        <v>5875</v>
      </c>
      <c r="I2844">
        <v>0</v>
      </c>
      <c r="J2844" t="s">
        <v>343</v>
      </c>
      <c r="K2844">
        <v>13000</v>
      </c>
      <c r="M2844">
        <v>13000</v>
      </c>
    </row>
    <row r="2845" spans="1:13" x14ac:dyDescent="0.35">
      <c r="A2845" t="str">
        <f t="shared" si="154"/>
        <v>STKCDG4573643860440000</v>
      </c>
      <c r="B2845" t="s">
        <v>3115</v>
      </c>
      <c r="C2845" s="1">
        <v>45736</v>
      </c>
      <c r="D2845" t="str">
        <f>"438"</f>
        <v>438</v>
      </c>
      <c r="E2845" t="str">
        <f t="shared" si="153"/>
        <v>60440000</v>
      </c>
      <c r="F2845" t="s">
        <v>4947</v>
      </c>
      <c r="G2845" t="s">
        <v>336</v>
      </c>
      <c r="H2845" t="s">
        <v>5874</v>
      </c>
      <c r="I2845">
        <v>0</v>
      </c>
      <c r="J2845" t="s">
        <v>343</v>
      </c>
      <c r="K2845">
        <v>24000</v>
      </c>
      <c r="M2845">
        <v>24000</v>
      </c>
    </row>
    <row r="2846" spans="1:13" x14ac:dyDescent="0.35">
      <c r="A2846" t="str">
        <f t="shared" si="154"/>
        <v>STKCDG4573643960440000</v>
      </c>
      <c r="B2846" t="s">
        <v>3115</v>
      </c>
      <c r="C2846" s="1">
        <v>45736</v>
      </c>
      <c r="D2846" t="str">
        <f>"439"</f>
        <v>439</v>
      </c>
      <c r="E2846" t="str">
        <f t="shared" si="153"/>
        <v>60440000</v>
      </c>
      <c r="F2846" t="s">
        <v>4949</v>
      </c>
      <c r="G2846" t="s">
        <v>336</v>
      </c>
      <c r="H2846" t="s">
        <v>5875</v>
      </c>
      <c r="I2846">
        <v>0</v>
      </c>
      <c r="J2846" t="s">
        <v>343</v>
      </c>
      <c r="K2846">
        <v>3673</v>
      </c>
      <c r="M2846">
        <v>3673</v>
      </c>
    </row>
    <row r="2847" spans="1:13" x14ac:dyDescent="0.35">
      <c r="A2847" t="str">
        <f t="shared" si="154"/>
        <v>STKCDG4573644060440000</v>
      </c>
      <c r="B2847" t="s">
        <v>3115</v>
      </c>
      <c r="C2847" s="1">
        <v>45736</v>
      </c>
      <c r="D2847" t="str">
        <f>"440"</f>
        <v>440</v>
      </c>
      <c r="E2847" t="str">
        <f t="shared" si="153"/>
        <v>60440000</v>
      </c>
      <c r="F2847" t="s">
        <v>4951</v>
      </c>
      <c r="G2847" t="s">
        <v>336</v>
      </c>
      <c r="H2847" t="s">
        <v>5949</v>
      </c>
      <c r="I2847">
        <v>0</v>
      </c>
      <c r="J2847" t="s">
        <v>343</v>
      </c>
      <c r="K2847">
        <v>360000</v>
      </c>
      <c r="M2847">
        <v>360000</v>
      </c>
    </row>
    <row r="2848" spans="1:13" x14ac:dyDescent="0.35">
      <c r="A2848" t="str">
        <f t="shared" si="154"/>
        <v>STKCDG4573644160440000</v>
      </c>
      <c r="B2848" t="s">
        <v>3115</v>
      </c>
      <c r="C2848" s="1">
        <v>45736</v>
      </c>
      <c r="D2848" t="str">
        <f>"441"</f>
        <v>441</v>
      </c>
      <c r="E2848" t="str">
        <f t="shared" si="153"/>
        <v>60440000</v>
      </c>
      <c r="F2848" t="s">
        <v>4953</v>
      </c>
      <c r="G2848" t="s">
        <v>336</v>
      </c>
      <c r="H2848" t="s">
        <v>5875</v>
      </c>
      <c r="I2848">
        <v>0</v>
      </c>
      <c r="J2848" t="s">
        <v>343</v>
      </c>
      <c r="K2848">
        <v>14563</v>
      </c>
      <c r="M2848">
        <v>14563</v>
      </c>
    </row>
    <row r="2849" spans="1:13" x14ac:dyDescent="0.35">
      <c r="A2849" t="str">
        <f t="shared" si="154"/>
        <v>STKCDG4573644260440000</v>
      </c>
      <c r="B2849" t="s">
        <v>3115</v>
      </c>
      <c r="C2849" s="1">
        <v>45736</v>
      </c>
      <c r="D2849" t="str">
        <f>"442"</f>
        <v>442</v>
      </c>
      <c r="E2849" t="str">
        <f t="shared" si="153"/>
        <v>60440000</v>
      </c>
      <c r="F2849" t="s">
        <v>4955</v>
      </c>
      <c r="G2849" t="s">
        <v>336</v>
      </c>
      <c r="H2849" t="s">
        <v>5958</v>
      </c>
      <c r="I2849">
        <v>0</v>
      </c>
      <c r="J2849" t="s">
        <v>343</v>
      </c>
      <c r="K2849">
        <v>195000</v>
      </c>
      <c r="M2849">
        <v>195000</v>
      </c>
    </row>
    <row r="2850" spans="1:13" x14ac:dyDescent="0.35">
      <c r="A2850" t="str">
        <f t="shared" si="154"/>
        <v>STKCDG4573644360410000</v>
      </c>
      <c r="B2850" t="s">
        <v>3115</v>
      </c>
      <c r="C2850" s="1">
        <v>45736</v>
      </c>
      <c r="D2850" t="str">
        <f>"443"</f>
        <v>443</v>
      </c>
      <c r="E2850" t="str">
        <f>"60410000"</f>
        <v>60410000</v>
      </c>
      <c r="F2850" t="s">
        <v>4957</v>
      </c>
      <c r="G2850" t="s">
        <v>336</v>
      </c>
      <c r="H2850" t="s">
        <v>5875</v>
      </c>
      <c r="I2850">
        <v>0</v>
      </c>
      <c r="J2850" t="s">
        <v>343</v>
      </c>
      <c r="K2850">
        <v>6356</v>
      </c>
      <c r="M2850">
        <v>6356</v>
      </c>
    </row>
    <row r="2851" spans="1:13" x14ac:dyDescent="0.35">
      <c r="A2851" t="str">
        <f t="shared" si="154"/>
        <v>STKCDG4573644460440000</v>
      </c>
      <c r="B2851" t="s">
        <v>3115</v>
      </c>
      <c r="C2851" s="1">
        <v>45736</v>
      </c>
      <c r="D2851" t="str">
        <f>"444"</f>
        <v>444</v>
      </c>
      <c r="E2851" t="str">
        <f>"60440000"</f>
        <v>60440000</v>
      </c>
      <c r="F2851" t="s">
        <v>4959</v>
      </c>
      <c r="G2851" t="s">
        <v>336</v>
      </c>
      <c r="H2851" t="s">
        <v>5881</v>
      </c>
      <c r="I2851">
        <v>0</v>
      </c>
      <c r="J2851" t="s">
        <v>343</v>
      </c>
      <c r="K2851">
        <v>74911</v>
      </c>
      <c r="M2851">
        <v>74911</v>
      </c>
    </row>
    <row r="2852" spans="1:13" x14ac:dyDescent="0.35">
      <c r="A2852" t="str">
        <f t="shared" si="154"/>
        <v>STKCDG4573644560440000</v>
      </c>
      <c r="B2852" t="s">
        <v>3115</v>
      </c>
      <c r="C2852" s="1">
        <v>45736</v>
      </c>
      <c r="D2852" t="str">
        <f>"445"</f>
        <v>445</v>
      </c>
      <c r="E2852" t="str">
        <f>"60440000"</f>
        <v>60440000</v>
      </c>
      <c r="F2852" t="s">
        <v>4961</v>
      </c>
      <c r="G2852" t="s">
        <v>336</v>
      </c>
      <c r="H2852" t="s">
        <v>5874</v>
      </c>
      <c r="I2852">
        <v>0</v>
      </c>
      <c r="J2852" t="s">
        <v>343</v>
      </c>
      <c r="K2852">
        <v>4591</v>
      </c>
      <c r="M2852">
        <v>4591</v>
      </c>
    </row>
    <row r="2853" spans="1:13" x14ac:dyDescent="0.35">
      <c r="A2853" t="str">
        <f t="shared" si="154"/>
        <v>STKCDG4573644660440000</v>
      </c>
      <c r="B2853" t="s">
        <v>3115</v>
      </c>
      <c r="C2853" s="1">
        <v>45736</v>
      </c>
      <c r="D2853" t="str">
        <f>"446"</f>
        <v>446</v>
      </c>
      <c r="E2853" t="str">
        <f>"60440000"</f>
        <v>60440000</v>
      </c>
      <c r="F2853" t="s">
        <v>4963</v>
      </c>
      <c r="G2853" t="s">
        <v>336</v>
      </c>
      <c r="H2853" t="s">
        <v>5881</v>
      </c>
      <c r="I2853">
        <v>0</v>
      </c>
      <c r="J2853" t="s">
        <v>343</v>
      </c>
      <c r="K2853">
        <v>121045</v>
      </c>
      <c r="M2853">
        <v>121045</v>
      </c>
    </row>
    <row r="2854" spans="1:13" x14ac:dyDescent="0.35">
      <c r="A2854" t="str">
        <f t="shared" si="154"/>
        <v>STKCDG4573726060460000</v>
      </c>
      <c r="B2854" t="s">
        <v>3115</v>
      </c>
      <c r="C2854" s="1">
        <v>45737</v>
      </c>
      <c r="D2854" t="str">
        <f>"260"</f>
        <v>260</v>
      </c>
      <c r="E2854" t="str">
        <f>"60460000"</f>
        <v>60460000</v>
      </c>
      <c r="F2854" t="s">
        <v>4965</v>
      </c>
      <c r="G2854" t="s">
        <v>336</v>
      </c>
      <c r="H2854" t="s">
        <v>5949</v>
      </c>
      <c r="I2854">
        <v>0</v>
      </c>
      <c r="J2854" t="s">
        <v>343</v>
      </c>
      <c r="K2854">
        <v>2500</v>
      </c>
      <c r="M2854">
        <v>2500</v>
      </c>
    </row>
    <row r="2855" spans="1:13" x14ac:dyDescent="0.35">
      <c r="A2855" t="str">
        <f t="shared" si="154"/>
        <v>STKCDG4573726160430000</v>
      </c>
      <c r="B2855" t="s">
        <v>3115</v>
      </c>
      <c r="C2855" s="1">
        <v>45737</v>
      </c>
      <c r="D2855" t="str">
        <f>"261"</f>
        <v>261</v>
      </c>
      <c r="E2855" t="str">
        <f>"60430000"</f>
        <v>60430000</v>
      </c>
      <c r="F2855" t="s">
        <v>4967</v>
      </c>
      <c r="G2855" t="s">
        <v>336</v>
      </c>
      <c r="H2855" t="s">
        <v>5958</v>
      </c>
      <c r="I2855">
        <v>0</v>
      </c>
      <c r="J2855" t="s">
        <v>343</v>
      </c>
      <c r="K2855">
        <v>15050</v>
      </c>
      <c r="M2855">
        <v>15050</v>
      </c>
    </row>
    <row r="2856" spans="1:13" x14ac:dyDescent="0.35">
      <c r="A2856" t="str">
        <f t="shared" si="154"/>
        <v>STKCDG4573726260460000</v>
      </c>
      <c r="B2856" t="s">
        <v>3115</v>
      </c>
      <c r="C2856" s="1">
        <v>45737</v>
      </c>
      <c r="D2856" t="str">
        <f>"262"</f>
        <v>262</v>
      </c>
      <c r="E2856" t="str">
        <f>"60460000"</f>
        <v>60460000</v>
      </c>
      <c r="F2856" t="s">
        <v>4969</v>
      </c>
      <c r="G2856" t="s">
        <v>336</v>
      </c>
      <c r="H2856" t="s">
        <v>5966</v>
      </c>
      <c r="I2856">
        <v>0</v>
      </c>
      <c r="J2856" t="s">
        <v>343</v>
      </c>
      <c r="K2856">
        <v>2500</v>
      </c>
      <c r="M2856">
        <v>2500</v>
      </c>
    </row>
    <row r="2857" spans="1:13" x14ac:dyDescent="0.35">
      <c r="A2857" t="str">
        <f t="shared" si="154"/>
        <v>STKCDG4573726360460000</v>
      </c>
      <c r="B2857" t="s">
        <v>3115</v>
      </c>
      <c r="C2857" s="1">
        <v>45737</v>
      </c>
      <c r="D2857" t="str">
        <f>"263"</f>
        <v>263</v>
      </c>
      <c r="E2857" t="str">
        <f>"60460000"</f>
        <v>60460000</v>
      </c>
      <c r="F2857" t="s">
        <v>4971</v>
      </c>
      <c r="G2857" t="s">
        <v>336</v>
      </c>
      <c r="H2857" t="s">
        <v>5966</v>
      </c>
      <c r="I2857">
        <v>0</v>
      </c>
      <c r="J2857" t="s">
        <v>343</v>
      </c>
      <c r="K2857">
        <v>1467</v>
      </c>
      <c r="M2857">
        <v>1467</v>
      </c>
    </row>
    <row r="2858" spans="1:13" x14ac:dyDescent="0.35">
      <c r="A2858" t="str">
        <f t="shared" si="154"/>
        <v>STKCDG4573726460460000</v>
      </c>
      <c r="B2858" t="s">
        <v>3115</v>
      </c>
      <c r="C2858" s="1">
        <v>45737</v>
      </c>
      <c r="D2858" t="str">
        <f>"264"</f>
        <v>264</v>
      </c>
      <c r="E2858" t="str">
        <f>"60460000"</f>
        <v>60460000</v>
      </c>
      <c r="F2858" t="s">
        <v>4973</v>
      </c>
      <c r="G2858" t="s">
        <v>336</v>
      </c>
      <c r="H2858" t="s">
        <v>6012</v>
      </c>
      <c r="I2858">
        <v>0</v>
      </c>
      <c r="J2858" t="s">
        <v>343</v>
      </c>
      <c r="K2858">
        <v>300</v>
      </c>
      <c r="M2858">
        <v>300</v>
      </c>
    </row>
    <row r="2859" spans="1:13" x14ac:dyDescent="0.35">
      <c r="A2859" t="str">
        <f t="shared" si="154"/>
        <v>STKCDG4573726560460000</v>
      </c>
      <c r="B2859" t="s">
        <v>3115</v>
      </c>
      <c r="C2859" s="1">
        <v>45737</v>
      </c>
      <c r="D2859" t="str">
        <f>"265"</f>
        <v>265</v>
      </c>
      <c r="E2859" t="str">
        <f>"60460000"</f>
        <v>60460000</v>
      </c>
      <c r="F2859" t="s">
        <v>4975</v>
      </c>
      <c r="G2859" t="s">
        <v>336</v>
      </c>
      <c r="H2859" t="s">
        <v>5874</v>
      </c>
      <c r="I2859">
        <v>0</v>
      </c>
      <c r="J2859" t="s">
        <v>343</v>
      </c>
      <c r="K2859">
        <v>980</v>
      </c>
      <c r="M2859">
        <v>9543</v>
      </c>
    </row>
    <row r="2860" spans="1:13" x14ac:dyDescent="0.35">
      <c r="A2860" t="str">
        <f t="shared" si="154"/>
        <v>STKCDG4573726560460000</v>
      </c>
      <c r="B2860" t="s">
        <v>3115</v>
      </c>
      <c r="C2860" s="1">
        <v>45737</v>
      </c>
      <c r="D2860" t="str">
        <f>"265"</f>
        <v>265</v>
      </c>
      <c r="E2860" t="str">
        <f>"60460000"</f>
        <v>60460000</v>
      </c>
      <c r="F2860" t="s">
        <v>4975</v>
      </c>
      <c r="G2860" t="s">
        <v>336</v>
      </c>
      <c r="H2860" t="s">
        <v>5874</v>
      </c>
      <c r="I2860">
        <v>0</v>
      </c>
      <c r="J2860" t="s">
        <v>343</v>
      </c>
      <c r="K2860">
        <v>8563</v>
      </c>
      <c r="M2860">
        <v>9543</v>
      </c>
    </row>
    <row r="2861" spans="1:13" x14ac:dyDescent="0.35">
      <c r="A2861" t="str">
        <f t="shared" si="154"/>
        <v>STKCDG4573726660430000</v>
      </c>
      <c r="B2861" t="s">
        <v>3115</v>
      </c>
      <c r="C2861" s="1">
        <v>45737</v>
      </c>
      <c r="D2861" t="str">
        <f>"266"</f>
        <v>266</v>
      </c>
      <c r="E2861" t="str">
        <f>"60430000"</f>
        <v>60430000</v>
      </c>
      <c r="F2861" t="s">
        <v>4977</v>
      </c>
      <c r="G2861" t="s">
        <v>336</v>
      </c>
      <c r="H2861" t="s">
        <v>5881</v>
      </c>
      <c r="I2861">
        <v>0</v>
      </c>
      <c r="J2861" t="s">
        <v>343</v>
      </c>
      <c r="K2861">
        <v>235804</v>
      </c>
      <c r="M2861">
        <v>235804</v>
      </c>
    </row>
    <row r="2862" spans="1:13" x14ac:dyDescent="0.35">
      <c r="A2862" t="str">
        <f t="shared" si="154"/>
        <v>STKCDG4573726760460000</v>
      </c>
      <c r="B2862" t="s">
        <v>3115</v>
      </c>
      <c r="C2862" s="1">
        <v>45737</v>
      </c>
      <c r="D2862" t="str">
        <f>"267"</f>
        <v>267</v>
      </c>
      <c r="E2862" t="str">
        <f t="shared" ref="E2862:E2867" si="155">"60460000"</f>
        <v>60460000</v>
      </c>
      <c r="F2862" t="s">
        <v>4979</v>
      </c>
      <c r="G2862" t="s">
        <v>336</v>
      </c>
      <c r="H2862" t="s">
        <v>5875</v>
      </c>
      <c r="I2862">
        <v>0</v>
      </c>
      <c r="J2862" t="s">
        <v>343</v>
      </c>
      <c r="K2862">
        <v>673</v>
      </c>
      <c r="M2862">
        <v>158785</v>
      </c>
    </row>
    <row r="2863" spans="1:13" x14ac:dyDescent="0.35">
      <c r="A2863" t="str">
        <f t="shared" si="154"/>
        <v>STKCDG4573726760460000</v>
      </c>
      <c r="B2863" t="s">
        <v>3115</v>
      </c>
      <c r="C2863" s="1">
        <v>45737</v>
      </c>
      <c r="D2863" t="str">
        <f>"267"</f>
        <v>267</v>
      </c>
      <c r="E2863" t="str">
        <f t="shared" si="155"/>
        <v>60460000</v>
      </c>
      <c r="F2863" t="s">
        <v>4979</v>
      </c>
      <c r="G2863" t="s">
        <v>336</v>
      </c>
      <c r="H2863" t="s">
        <v>5875</v>
      </c>
      <c r="I2863">
        <v>0</v>
      </c>
      <c r="J2863" t="s">
        <v>343</v>
      </c>
      <c r="K2863">
        <v>158112</v>
      </c>
      <c r="M2863">
        <v>158785</v>
      </c>
    </row>
    <row r="2864" spans="1:13" x14ac:dyDescent="0.35">
      <c r="A2864" t="str">
        <f t="shared" si="154"/>
        <v>STKCDG4573726860460000</v>
      </c>
      <c r="B2864" t="s">
        <v>3115</v>
      </c>
      <c r="C2864" s="1">
        <v>45737</v>
      </c>
      <c r="D2864" t="str">
        <f>"268"</f>
        <v>268</v>
      </c>
      <c r="E2864" t="str">
        <f t="shared" si="155"/>
        <v>60460000</v>
      </c>
      <c r="F2864" t="s">
        <v>4981</v>
      </c>
      <c r="G2864" t="s">
        <v>336</v>
      </c>
      <c r="H2864" t="s">
        <v>5875</v>
      </c>
      <c r="I2864">
        <v>0</v>
      </c>
      <c r="J2864" t="s">
        <v>343</v>
      </c>
      <c r="K2864">
        <v>980</v>
      </c>
      <c r="M2864">
        <v>7342</v>
      </c>
    </row>
    <row r="2865" spans="1:13" x14ac:dyDescent="0.35">
      <c r="A2865" t="str">
        <f t="shared" si="154"/>
        <v>STKCDG4573726860460000</v>
      </c>
      <c r="B2865" t="s">
        <v>3115</v>
      </c>
      <c r="C2865" s="1">
        <v>45737</v>
      </c>
      <c r="D2865" t="str">
        <f>"268"</f>
        <v>268</v>
      </c>
      <c r="E2865" t="str">
        <f t="shared" si="155"/>
        <v>60460000</v>
      </c>
      <c r="F2865" t="s">
        <v>4981</v>
      </c>
      <c r="G2865" t="s">
        <v>336</v>
      </c>
      <c r="H2865" t="s">
        <v>5875</v>
      </c>
      <c r="I2865">
        <v>0</v>
      </c>
      <c r="J2865" t="s">
        <v>343</v>
      </c>
      <c r="K2865">
        <v>6362</v>
      </c>
      <c r="M2865">
        <v>7342</v>
      </c>
    </row>
    <row r="2866" spans="1:13" x14ac:dyDescent="0.35">
      <c r="A2866" t="str">
        <f t="shared" si="154"/>
        <v>STKCDG4573726960460000</v>
      </c>
      <c r="B2866" t="s">
        <v>3115</v>
      </c>
      <c r="C2866" s="1">
        <v>45737</v>
      </c>
      <c r="D2866" t="str">
        <f>"269"</f>
        <v>269</v>
      </c>
      <c r="E2866" t="str">
        <f t="shared" si="155"/>
        <v>60460000</v>
      </c>
      <c r="F2866" t="s">
        <v>4983</v>
      </c>
      <c r="G2866" t="s">
        <v>336</v>
      </c>
      <c r="H2866" t="s">
        <v>6010</v>
      </c>
      <c r="I2866">
        <v>0</v>
      </c>
      <c r="J2866" t="s">
        <v>343</v>
      </c>
      <c r="K2866">
        <v>150</v>
      </c>
      <c r="M2866">
        <v>150</v>
      </c>
    </row>
    <row r="2867" spans="1:13" x14ac:dyDescent="0.35">
      <c r="A2867" t="str">
        <f t="shared" si="154"/>
        <v>STKCDG4573727060460000</v>
      </c>
      <c r="B2867" t="s">
        <v>3115</v>
      </c>
      <c r="C2867" s="1">
        <v>45737</v>
      </c>
      <c r="D2867" t="str">
        <f>"270"</f>
        <v>270</v>
      </c>
      <c r="E2867" t="str">
        <f t="shared" si="155"/>
        <v>60460000</v>
      </c>
      <c r="F2867" t="s">
        <v>4985</v>
      </c>
      <c r="G2867" t="s">
        <v>336</v>
      </c>
      <c r="H2867" t="s">
        <v>5955</v>
      </c>
      <c r="I2867">
        <v>0</v>
      </c>
      <c r="J2867" t="s">
        <v>343</v>
      </c>
      <c r="K2867">
        <v>300</v>
      </c>
      <c r="M2867">
        <v>300</v>
      </c>
    </row>
    <row r="2868" spans="1:13" x14ac:dyDescent="0.35">
      <c r="A2868" t="str">
        <f t="shared" si="154"/>
        <v>STKCDG4573727160430000</v>
      </c>
      <c r="B2868" t="s">
        <v>3115</v>
      </c>
      <c r="C2868" s="1">
        <v>45737</v>
      </c>
      <c r="D2868" t="str">
        <f>"271"</f>
        <v>271</v>
      </c>
      <c r="E2868" t="str">
        <f>"60430000"</f>
        <v>60430000</v>
      </c>
      <c r="F2868" t="s">
        <v>4987</v>
      </c>
      <c r="G2868" t="s">
        <v>336</v>
      </c>
      <c r="H2868" t="s">
        <v>5875</v>
      </c>
      <c r="I2868">
        <v>0</v>
      </c>
      <c r="J2868" t="s">
        <v>343</v>
      </c>
      <c r="K2868">
        <v>120400</v>
      </c>
      <c r="M2868">
        <v>120400</v>
      </c>
    </row>
    <row r="2869" spans="1:13" x14ac:dyDescent="0.35">
      <c r="A2869" t="str">
        <f t="shared" si="154"/>
        <v>STKCDG4573727260460000</v>
      </c>
      <c r="B2869" t="s">
        <v>3115</v>
      </c>
      <c r="C2869" s="1">
        <v>45737</v>
      </c>
      <c r="D2869" t="str">
        <f>"272"</f>
        <v>272</v>
      </c>
      <c r="E2869" t="str">
        <f>"60460000"</f>
        <v>60460000</v>
      </c>
      <c r="F2869" t="s">
        <v>4989</v>
      </c>
      <c r="G2869" t="s">
        <v>336</v>
      </c>
      <c r="H2869" t="s">
        <v>5966</v>
      </c>
      <c r="I2869">
        <v>0</v>
      </c>
      <c r="J2869" t="s">
        <v>343</v>
      </c>
      <c r="K2869">
        <v>300</v>
      </c>
      <c r="M2869">
        <v>300</v>
      </c>
    </row>
    <row r="2870" spans="1:13" x14ac:dyDescent="0.35">
      <c r="A2870" t="str">
        <f t="shared" si="154"/>
        <v>STKCDG4573727360430000</v>
      </c>
      <c r="B2870" t="s">
        <v>3115</v>
      </c>
      <c r="C2870" s="1">
        <v>45737</v>
      </c>
      <c r="D2870" t="str">
        <f>"273"</f>
        <v>273</v>
      </c>
      <c r="E2870" t="str">
        <f>"60430000"</f>
        <v>60430000</v>
      </c>
      <c r="F2870" t="s">
        <v>4991</v>
      </c>
      <c r="G2870" t="s">
        <v>336</v>
      </c>
      <c r="H2870" t="s">
        <v>5876</v>
      </c>
      <c r="I2870">
        <v>0</v>
      </c>
      <c r="J2870" t="s">
        <v>343</v>
      </c>
      <c r="K2870">
        <v>10963</v>
      </c>
      <c r="M2870">
        <v>10963</v>
      </c>
    </row>
    <row r="2871" spans="1:13" x14ac:dyDescent="0.35">
      <c r="A2871" t="str">
        <f t="shared" si="154"/>
        <v>STKCDG4573727660440000</v>
      </c>
      <c r="B2871" t="s">
        <v>3115</v>
      </c>
      <c r="C2871" s="1">
        <v>45737</v>
      </c>
      <c r="D2871" t="str">
        <f>"276"</f>
        <v>276</v>
      </c>
      <c r="E2871" t="str">
        <f>"60440000"</f>
        <v>60440000</v>
      </c>
      <c r="F2871" t="s">
        <v>4993</v>
      </c>
      <c r="G2871" t="s">
        <v>336</v>
      </c>
      <c r="H2871" t="s">
        <v>5880</v>
      </c>
      <c r="I2871">
        <v>0</v>
      </c>
      <c r="J2871" t="s">
        <v>343</v>
      </c>
      <c r="K2871">
        <v>14700</v>
      </c>
      <c r="M2871">
        <v>120859</v>
      </c>
    </row>
    <row r="2872" spans="1:13" x14ac:dyDescent="0.35">
      <c r="A2872" t="str">
        <f t="shared" si="154"/>
        <v>STKCDG4573727660440000</v>
      </c>
      <c r="B2872" t="s">
        <v>3115</v>
      </c>
      <c r="C2872" s="1">
        <v>45737</v>
      </c>
      <c r="D2872" t="str">
        <f>"276"</f>
        <v>276</v>
      </c>
      <c r="E2872" t="str">
        <f>"60440000"</f>
        <v>60440000</v>
      </c>
      <c r="F2872" t="s">
        <v>4993</v>
      </c>
      <c r="G2872" t="s">
        <v>336</v>
      </c>
      <c r="H2872" t="s">
        <v>5880</v>
      </c>
      <c r="I2872">
        <v>0</v>
      </c>
      <c r="J2872" t="s">
        <v>343</v>
      </c>
      <c r="K2872">
        <v>106159</v>
      </c>
      <c r="M2872">
        <v>120859</v>
      </c>
    </row>
    <row r="2873" spans="1:13" x14ac:dyDescent="0.35">
      <c r="A2873" t="str">
        <f t="shared" si="154"/>
        <v>STKCDG4573727760440000</v>
      </c>
      <c r="B2873" t="s">
        <v>3115</v>
      </c>
      <c r="C2873" s="1">
        <v>45737</v>
      </c>
      <c r="D2873" t="str">
        <f>"277"</f>
        <v>277</v>
      </c>
      <c r="E2873" t="str">
        <f>"60440000"</f>
        <v>60440000</v>
      </c>
      <c r="F2873" t="s">
        <v>4995</v>
      </c>
      <c r="G2873" t="s">
        <v>336</v>
      </c>
      <c r="H2873" t="s">
        <v>5880</v>
      </c>
      <c r="I2873">
        <v>0</v>
      </c>
      <c r="J2873" t="s">
        <v>343</v>
      </c>
      <c r="K2873">
        <v>435885</v>
      </c>
      <c r="M2873">
        <v>435885</v>
      </c>
    </row>
    <row r="2874" spans="1:13" x14ac:dyDescent="0.35">
      <c r="A2874" t="str">
        <f t="shared" si="154"/>
        <v>STKCDG4573727860410000</v>
      </c>
      <c r="B2874" t="s">
        <v>3115</v>
      </c>
      <c r="C2874" s="1">
        <v>45737</v>
      </c>
      <c r="D2874" t="str">
        <f>"278"</f>
        <v>278</v>
      </c>
      <c r="E2874" t="str">
        <f>"60410000"</f>
        <v>60410000</v>
      </c>
      <c r="F2874" t="s">
        <v>4997</v>
      </c>
      <c r="G2874" t="s">
        <v>336</v>
      </c>
      <c r="H2874" t="s">
        <v>5876</v>
      </c>
      <c r="I2874">
        <v>0</v>
      </c>
      <c r="J2874" t="s">
        <v>343</v>
      </c>
      <c r="K2874">
        <v>13892</v>
      </c>
      <c r="M2874">
        <v>13892</v>
      </c>
    </row>
    <row r="2875" spans="1:13" x14ac:dyDescent="0.35">
      <c r="A2875" t="str">
        <f t="shared" si="154"/>
        <v>STKCDG4573727960440000</v>
      </c>
      <c r="B2875" t="s">
        <v>3115</v>
      </c>
      <c r="C2875" s="1">
        <v>45737</v>
      </c>
      <c r="D2875" t="str">
        <f>"279"</f>
        <v>279</v>
      </c>
      <c r="E2875" t="str">
        <f>"60440000"</f>
        <v>60440000</v>
      </c>
      <c r="F2875" t="s">
        <v>4999</v>
      </c>
      <c r="G2875" t="s">
        <v>336</v>
      </c>
      <c r="H2875" t="s">
        <v>5875</v>
      </c>
      <c r="I2875">
        <v>0</v>
      </c>
      <c r="J2875" t="s">
        <v>343</v>
      </c>
      <c r="K2875">
        <v>1640</v>
      </c>
      <c r="M2875">
        <v>1640</v>
      </c>
    </row>
    <row r="2876" spans="1:13" x14ac:dyDescent="0.35">
      <c r="A2876" t="str">
        <f t="shared" si="154"/>
        <v>STKCDG4573728060440000</v>
      </c>
      <c r="B2876" t="s">
        <v>3115</v>
      </c>
      <c r="C2876" s="1">
        <v>45737</v>
      </c>
      <c r="D2876" t="str">
        <f>"280"</f>
        <v>280</v>
      </c>
      <c r="E2876" t="str">
        <f>"60440000"</f>
        <v>60440000</v>
      </c>
      <c r="F2876" t="s">
        <v>5001</v>
      </c>
      <c r="G2876" t="s">
        <v>336</v>
      </c>
      <c r="H2876" t="s">
        <v>5875</v>
      </c>
      <c r="I2876">
        <v>0</v>
      </c>
      <c r="J2876" t="s">
        <v>343</v>
      </c>
      <c r="K2876">
        <v>1443</v>
      </c>
      <c r="M2876">
        <v>1443</v>
      </c>
    </row>
    <row r="2877" spans="1:13" x14ac:dyDescent="0.35">
      <c r="A2877" t="str">
        <f t="shared" si="154"/>
        <v>STKCDG4573728160440000</v>
      </c>
      <c r="B2877" t="s">
        <v>3115</v>
      </c>
      <c r="C2877" s="1">
        <v>45737</v>
      </c>
      <c r="D2877" t="str">
        <f>"281"</f>
        <v>281</v>
      </c>
      <c r="E2877" t="str">
        <f>"60440000"</f>
        <v>60440000</v>
      </c>
      <c r="F2877" t="s">
        <v>5003</v>
      </c>
      <c r="G2877" t="s">
        <v>336</v>
      </c>
      <c r="H2877" t="s">
        <v>5880</v>
      </c>
      <c r="I2877">
        <v>0</v>
      </c>
      <c r="J2877" t="s">
        <v>343</v>
      </c>
      <c r="K2877">
        <v>1443</v>
      </c>
      <c r="M2877">
        <v>1443</v>
      </c>
    </row>
    <row r="2878" spans="1:13" x14ac:dyDescent="0.35">
      <c r="A2878" t="str">
        <f t="shared" si="154"/>
        <v>STKCDG4573728260440000</v>
      </c>
      <c r="B2878" t="s">
        <v>3115</v>
      </c>
      <c r="C2878" s="1">
        <v>45737</v>
      </c>
      <c r="D2878" t="str">
        <f>"282"</f>
        <v>282</v>
      </c>
      <c r="E2878" t="str">
        <f>"60440000"</f>
        <v>60440000</v>
      </c>
      <c r="F2878" t="s">
        <v>5005</v>
      </c>
      <c r="G2878" t="s">
        <v>336</v>
      </c>
      <c r="H2878" t="s">
        <v>5880</v>
      </c>
      <c r="I2878">
        <v>0</v>
      </c>
      <c r="J2878" t="s">
        <v>343</v>
      </c>
      <c r="K2878">
        <v>43950</v>
      </c>
      <c r="M2878">
        <v>43950</v>
      </c>
    </row>
    <row r="2879" spans="1:13" x14ac:dyDescent="0.35">
      <c r="A2879" t="str">
        <f t="shared" si="154"/>
        <v>STKCDG4573728360440000</v>
      </c>
      <c r="B2879" t="s">
        <v>3115</v>
      </c>
      <c r="C2879" s="1">
        <v>45737</v>
      </c>
      <c r="D2879" t="str">
        <f>"283"</f>
        <v>283</v>
      </c>
      <c r="E2879" t="str">
        <f>"60440000"</f>
        <v>60440000</v>
      </c>
      <c r="F2879" t="s">
        <v>5007</v>
      </c>
      <c r="G2879" t="s">
        <v>336</v>
      </c>
      <c r="H2879" t="s">
        <v>6010</v>
      </c>
      <c r="I2879">
        <v>0</v>
      </c>
      <c r="J2879" t="s">
        <v>343</v>
      </c>
      <c r="K2879">
        <v>787</v>
      </c>
      <c r="M2879">
        <v>787</v>
      </c>
    </row>
    <row r="2880" spans="1:13" x14ac:dyDescent="0.35">
      <c r="A2880" t="str">
        <f t="shared" si="154"/>
        <v>STKCDG4573728460410000</v>
      </c>
      <c r="B2880" t="s">
        <v>3115</v>
      </c>
      <c r="C2880" s="1">
        <v>45737</v>
      </c>
      <c r="D2880" t="str">
        <f>"284"</f>
        <v>284</v>
      </c>
      <c r="E2880" t="str">
        <f>"60410000"</f>
        <v>60410000</v>
      </c>
      <c r="F2880" t="s">
        <v>5009</v>
      </c>
      <c r="G2880" t="s">
        <v>336</v>
      </c>
      <c r="H2880" t="s">
        <v>6010</v>
      </c>
      <c r="I2880">
        <v>0</v>
      </c>
      <c r="J2880" t="s">
        <v>343</v>
      </c>
      <c r="K2880">
        <v>1649</v>
      </c>
      <c r="M2880">
        <v>1649</v>
      </c>
    </row>
    <row r="2881" spans="1:13" x14ac:dyDescent="0.35">
      <c r="A2881" t="str">
        <f t="shared" si="154"/>
        <v>STKCDG4573728560440000</v>
      </c>
      <c r="B2881" t="s">
        <v>3115</v>
      </c>
      <c r="C2881" s="1">
        <v>45737</v>
      </c>
      <c r="D2881" t="str">
        <f>"285"</f>
        <v>285</v>
      </c>
      <c r="E2881" t="str">
        <f>"60440000"</f>
        <v>60440000</v>
      </c>
      <c r="F2881" t="s">
        <v>5011</v>
      </c>
      <c r="G2881" t="s">
        <v>336</v>
      </c>
      <c r="H2881" t="s">
        <v>5955</v>
      </c>
      <c r="I2881">
        <v>0</v>
      </c>
      <c r="J2881" t="s">
        <v>343</v>
      </c>
      <c r="K2881">
        <v>38439</v>
      </c>
      <c r="M2881">
        <v>38439</v>
      </c>
    </row>
    <row r="2882" spans="1:13" x14ac:dyDescent="0.35">
      <c r="A2882" t="str">
        <f t="shared" si="154"/>
        <v>STKCDG4573728660440000</v>
      </c>
      <c r="B2882" t="s">
        <v>3115</v>
      </c>
      <c r="C2882" s="1">
        <v>45737</v>
      </c>
      <c r="D2882" t="str">
        <f>"286"</f>
        <v>286</v>
      </c>
      <c r="E2882" t="str">
        <f>"60440000"</f>
        <v>60440000</v>
      </c>
      <c r="F2882" t="s">
        <v>5013</v>
      </c>
      <c r="G2882" t="s">
        <v>336</v>
      </c>
      <c r="H2882" t="s">
        <v>6010</v>
      </c>
      <c r="I2882">
        <v>0</v>
      </c>
      <c r="J2882" t="s">
        <v>343</v>
      </c>
      <c r="K2882">
        <v>65006</v>
      </c>
      <c r="M2882">
        <v>65006</v>
      </c>
    </row>
    <row r="2883" spans="1:13" x14ac:dyDescent="0.35">
      <c r="A2883" t="str">
        <f t="shared" ref="A2883:A2946" si="156">CONCATENATE(B2883,C2883,D2883,E2883)</f>
        <v>STKCDG4573728760440000</v>
      </c>
      <c r="B2883" t="s">
        <v>3115</v>
      </c>
      <c r="C2883" s="1">
        <v>45737</v>
      </c>
      <c r="D2883" t="str">
        <f>"287"</f>
        <v>287</v>
      </c>
      <c r="E2883" t="str">
        <f>"60440000"</f>
        <v>60440000</v>
      </c>
      <c r="F2883" t="s">
        <v>5015</v>
      </c>
      <c r="G2883" t="s">
        <v>336</v>
      </c>
      <c r="H2883" t="s">
        <v>5966</v>
      </c>
      <c r="I2883">
        <v>0</v>
      </c>
      <c r="J2883" t="s">
        <v>343</v>
      </c>
      <c r="K2883">
        <v>46442</v>
      </c>
      <c r="M2883">
        <v>46442</v>
      </c>
    </row>
    <row r="2884" spans="1:13" x14ac:dyDescent="0.35">
      <c r="A2884" t="str">
        <f t="shared" si="156"/>
        <v>STKCDG4573728860440000</v>
      </c>
      <c r="B2884" t="s">
        <v>3115</v>
      </c>
      <c r="C2884" s="1">
        <v>45737</v>
      </c>
      <c r="D2884" t="str">
        <f>"288"</f>
        <v>288</v>
      </c>
      <c r="E2884" t="str">
        <f>"60440000"</f>
        <v>60440000</v>
      </c>
      <c r="F2884" t="s">
        <v>5017</v>
      </c>
      <c r="G2884" t="s">
        <v>336</v>
      </c>
      <c r="H2884" t="s">
        <v>5876</v>
      </c>
      <c r="I2884">
        <v>0</v>
      </c>
      <c r="J2884" t="s">
        <v>343</v>
      </c>
      <c r="K2884">
        <v>3214</v>
      </c>
      <c r="M2884">
        <v>3214</v>
      </c>
    </row>
    <row r="2885" spans="1:13" x14ac:dyDescent="0.35">
      <c r="A2885" t="str">
        <f t="shared" si="156"/>
        <v>STKCDG4573728960440000</v>
      </c>
      <c r="B2885" t="s">
        <v>3115</v>
      </c>
      <c r="C2885" s="1">
        <v>45737</v>
      </c>
      <c r="D2885" t="str">
        <f>"289"</f>
        <v>289</v>
      </c>
      <c r="E2885" t="str">
        <f>"60440000"</f>
        <v>60440000</v>
      </c>
      <c r="F2885" t="s">
        <v>5019</v>
      </c>
      <c r="G2885" t="s">
        <v>336</v>
      </c>
      <c r="H2885" t="s">
        <v>5876</v>
      </c>
      <c r="I2885">
        <v>0</v>
      </c>
      <c r="J2885" t="s">
        <v>343</v>
      </c>
      <c r="K2885">
        <v>2099</v>
      </c>
      <c r="M2885">
        <v>2099</v>
      </c>
    </row>
    <row r="2886" spans="1:13" x14ac:dyDescent="0.35">
      <c r="A2886" t="str">
        <f t="shared" si="156"/>
        <v>STKCDG4573729060410000</v>
      </c>
      <c r="B2886" t="s">
        <v>3115</v>
      </c>
      <c r="C2886" s="1">
        <v>45737</v>
      </c>
      <c r="D2886" t="str">
        <f>"290"</f>
        <v>290</v>
      </c>
      <c r="E2886" t="str">
        <f>"60410000"</f>
        <v>60410000</v>
      </c>
      <c r="F2886" t="s">
        <v>5021</v>
      </c>
      <c r="G2886" t="s">
        <v>336</v>
      </c>
      <c r="H2886" t="s">
        <v>5875</v>
      </c>
      <c r="I2886">
        <v>0</v>
      </c>
      <c r="J2886" t="s">
        <v>343</v>
      </c>
      <c r="K2886">
        <v>3298</v>
      </c>
      <c r="M2886">
        <v>6476</v>
      </c>
    </row>
    <row r="2887" spans="1:13" x14ac:dyDescent="0.35">
      <c r="A2887" t="str">
        <f t="shared" si="156"/>
        <v>STKCDG4573729060410000</v>
      </c>
      <c r="B2887" t="s">
        <v>3115</v>
      </c>
      <c r="C2887" s="1">
        <v>45737</v>
      </c>
      <c r="D2887" t="str">
        <f>"290"</f>
        <v>290</v>
      </c>
      <c r="E2887" t="str">
        <f>"60410000"</f>
        <v>60410000</v>
      </c>
      <c r="F2887" t="s">
        <v>5021</v>
      </c>
      <c r="G2887" t="s">
        <v>336</v>
      </c>
      <c r="H2887" t="s">
        <v>5875</v>
      </c>
      <c r="I2887">
        <v>0</v>
      </c>
      <c r="J2887" t="s">
        <v>343</v>
      </c>
      <c r="K2887">
        <v>3178</v>
      </c>
      <c r="M2887">
        <v>6476</v>
      </c>
    </row>
    <row r="2888" spans="1:13" x14ac:dyDescent="0.35">
      <c r="A2888" t="str">
        <f t="shared" si="156"/>
        <v>STKCDG4573729160440000</v>
      </c>
      <c r="B2888" t="s">
        <v>3115</v>
      </c>
      <c r="C2888" s="1">
        <v>45737</v>
      </c>
      <c r="D2888" t="str">
        <f>"291"</f>
        <v>291</v>
      </c>
      <c r="E2888" t="str">
        <f t="shared" ref="E2888:E2903" si="157">"60440000"</f>
        <v>60440000</v>
      </c>
      <c r="F2888" t="s">
        <v>5023</v>
      </c>
      <c r="G2888" t="s">
        <v>336</v>
      </c>
      <c r="H2888" t="s">
        <v>5875</v>
      </c>
      <c r="I2888">
        <v>0</v>
      </c>
      <c r="J2888" t="s">
        <v>343</v>
      </c>
      <c r="K2888">
        <v>21580</v>
      </c>
      <c r="M2888">
        <v>21580</v>
      </c>
    </row>
    <row r="2889" spans="1:13" x14ac:dyDescent="0.35">
      <c r="A2889" t="str">
        <f t="shared" si="156"/>
        <v>STKCDG4573729260440000</v>
      </c>
      <c r="B2889" t="s">
        <v>3115</v>
      </c>
      <c r="C2889" s="1">
        <v>45737</v>
      </c>
      <c r="D2889" t="str">
        <f>"292"</f>
        <v>292</v>
      </c>
      <c r="E2889" t="str">
        <f t="shared" si="157"/>
        <v>60440000</v>
      </c>
      <c r="F2889" t="s">
        <v>5025</v>
      </c>
      <c r="G2889" t="s">
        <v>336</v>
      </c>
      <c r="H2889" t="s">
        <v>6010</v>
      </c>
      <c r="I2889">
        <v>0</v>
      </c>
      <c r="J2889" t="s">
        <v>343</v>
      </c>
      <c r="K2889">
        <v>262</v>
      </c>
      <c r="M2889">
        <v>262</v>
      </c>
    </row>
    <row r="2890" spans="1:13" x14ac:dyDescent="0.35">
      <c r="A2890" t="str">
        <f t="shared" si="156"/>
        <v>STKCDG4573729360440000</v>
      </c>
      <c r="B2890" t="s">
        <v>3115</v>
      </c>
      <c r="C2890" s="1">
        <v>45737</v>
      </c>
      <c r="D2890" t="str">
        <f>"293"</f>
        <v>293</v>
      </c>
      <c r="E2890" t="str">
        <f t="shared" si="157"/>
        <v>60440000</v>
      </c>
      <c r="F2890" t="s">
        <v>5027</v>
      </c>
      <c r="G2890" t="s">
        <v>336</v>
      </c>
      <c r="H2890" t="s">
        <v>5873</v>
      </c>
      <c r="I2890">
        <v>0</v>
      </c>
      <c r="J2890" t="s">
        <v>343</v>
      </c>
      <c r="K2890">
        <v>71500</v>
      </c>
      <c r="M2890">
        <v>71500</v>
      </c>
    </row>
    <row r="2891" spans="1:13" x14ac:dyDescent="0.35">
      <c r="A2891" t="str">
        <f t="shared" si="156"/>
        <v>STKCDG4573729460440000</v>
      </c>
      <c r="B2891" t="s">
        <v>3115</v>
      </c>
      <c r="C2891" s="1">
        <v>45737</v>
      </c>
      <c r="D2891" t="str">
        <f>"294"</f>
        <v>294</v>
      </c>
      <c r="E2891" t="str">
        <f t="shared" si="157"/>
        <v>60440000</v>
      </c>
      <c r="F2891" t="s">
        <v>5029</v>
      </c>
      <c r="G2891" t="s">
        <v>336</v>
      </c>
      <c r="H2891" t="s">
        <v>5874</v>
      </c>
      <c r="I2891">
        <v>0</v>
      </c>
      <c r="J2891" t="s">
        <v>343</v>
      </c>
      <c r="K2891">
        <v>9677</v>
      </c>
      <c r="M2891">
        <v>9677</v>
      </c>
    </row>
    <row r="2892" spans="1:13" x14ac:dyDescent="0.35">
      <c r="A2892" t="str">
        <f t="shared" si="156"/>
        <v>STKCDG4573729560440000</v>
      </c>
      <c r="B2892" t="s">
        <v>3115</v>
      </c>
      <c r="C2892" s="1">
        <v>45737</v>
      </c>
      <c r="D2892" t="str">
        <f>"295"</f>
        <v>295</v>
      </c>
      <c r="E2892" t="str">
        <f t="shared" si="157"/>
        <v>60440000</v>
      </c>
      <c r="F2892" t="s">
        <v>5031</v>
      </c>
      <c r="G2892" t="s">
        <v>336</v>
      </c>
      <c r="H2892" t="s">
        <v>5958</v>
      </c>
      <c r="I2892">
        <v>0</v>
      </c>
      <c r="J2892" t="s">
        <v>343</v>
      </c>
      <c r="K2892">
        <v>20859</v>
      </c>
      <c r="M2892">
        <v>20859</v>
      </c>
    </row>
    <row r="2893" spans="1:13" x14ac:dyDescent="0.35">
      <c r="A2893" t="str">
        <f t="shared" si="156"/>
        <v>STKCDG4573729660440000</v>
      </c>
      <c r="B2893" t="s">
        <v>3115</v>
      </c>
      <c r="C2893" s="1">
        <v>45737</v>
      </c>
      <c r="D2893" t="str">
        <f>"296"</f>
        <v>296</v>
      </c>
      <c r="E2893" t="str">
        <f t="shared" si="157"/>
        <v>60440000</v>
      </c>
      <c r="F2893" t="s">
        <v>5033</v>
      </c>
      <c r="G2893" t="s">
        <v>336</v>
      </c>
      <c r="H2893" t="s">
        <v>5874</v>
      </c>
      <c r="I2893">
        <v>0</v>
      </c>
      <c r="J2893" t="s">
        <v>343</v>
      </c>
      <c r="K2893">
        <v>9677</v>
      </c>
      <c r="M2893">
        <v>9677</v>
      </c>
    </row>
    <row r="2894" spans="1:13" x14ac:dyDescent="0.35">
      <c r="A2894" t="str">
        <f t="shared" si="156"/>
        <v>STKCDG4573729760440000</v>
      </c>
      <c r="B2894" t="s">
        <v>3115</v>
      </c>
      <c r="C2894" s="1">
        <v>45737</v>
      </c>
      <c r="D2894" t="str">
        <f>"297"</f>
        <v>297</v>
      </c>
      <c r="E2894" t="str">
        <f t="shared" si="157"/>
        <v>60440000</v>
      </c>
      <c r="F2894" t="s">
        <v>5035</v>
      </c>
      <c r="G2894" t="s">
        <v>336</v>
      </c>
      <c r="H2894" t="s">
        <v>6012</v>
      </c>
      <c r="I2894">
        <v>0</v>
      </c>
      <c r="J2894" t="s">
        <v>343</v>
      </c>
      <c r="K2894">
        <v>656</v>
      </c>
      <c r="M2894">
        <v>656</v>
      </c>
    </row>
    <row r="2895" spans="1:13" x14ac:dyDescent="0.35">
      <c r="A2895" t="str">
        <f t="shared" si="156"/>
        <v>STKCDG4573729860440000</v>
      </c>
      <c r="B2895" t="s">
        <v>3115</v>
      </c>
      <c r="C2895" s="1">
        <v>45737</v>
      </c>
      <c r="D2895" t="str">
        <f>"298"</f>
        <v>298</v>
      </c>
      <c r="E2895" t="str">
        <f t="shared" si="157"/>
        <v>60440000</v>
      </c>
      <c r="F2895" t="s">
        <v>5037</v>
      </c>
      <c r="G2895" t="s">
        <v>336</v>
      </c>
      <c r="H2895" t="s">
        <v>5875</v>
      </c>
      <c r="I2895">
        <v>0</v>
      </c>
      <c r="J2895" t="s">
        <v>343</v>
      </c>
      <c r="K2895">
        <v>21580</v>
      </c>
      <c r="M2895">
        <v>21580</v>
      </c>
    </row>
    <row r="2896" spans="1:13" x14ac:dyDescent="0.35">
      <c r="A2896" t="str">
        <f t="shared" si="156"/>
        <v>STKCDG4573729960440000</v>
      </c>
      <c r="B2896" t="s">
        <v>3115</v>
      </c>
      <c r="C2896" s="1">
        <v>45737</v>
      </c>
      <c r="D2896" t="str">
        <f>"299"</f>
        <v>299</v>
      </c>
      <c r="E2896" t="str">
        <f t="shared" si="157"/>
        <v>60440000</v>
      </c>
      <c r="F2896" t="s">
        <v>5039</v>
      </c>
      <c r="G2896" t="s">
        <v>336</v>
      </c>
      <c r="H2896" t="s">
        <v>5874</v>
      </c>
      <c r="I2896">
        <v>0</v>
      </c>
      <c r="J2896" t="s">
        <v>343</v>
      </c>
      <c r="K2896">
        <v>6887</v>
      </c>
      <c r="M2896">
        <v>6887</v>
      </c>
    </row>
    <row r="2897" spans="1:13" x14ac:dyDescent="0.35">
      <c r="A2897" t="str">
        <f t="shared" si="156"/>
        <v>STKCDG4573730060440000</v>
      </c>
      <c r="B2897" t="s">
        <v>3115</v>
      </c>
      <c r="C2897" s="1">
        <v>45737</v>
      </c>
      <c r="D2897" t="str">
        <f>"300"</f>
        <v>300</v>
      </c>
      <c r="E2897" t="str">
        <f t="shared" si="157"/>
        <v>60440000</v>
      </c>
      <c r="F2897" t="s">
        <v>5041</v>
      </c>
      <c r="G2897" t="s">
        <v>336</v>
      </c>
      <c r="H2897" t="s">
        <v>5875</v>
      </c>
      <c r="I2897">
        <v>0</v>
      </c>
      <c r="J2897" t="s">
        <v>343</v>
      </c>
      <c r="K2897">
        <v>328</v>
      </c>
      <c r="M2897">
        <v>328</v>
      </c>
    </row>
    <row r="2898" spans="1:13" x14ac:dyDescent="0.35">
      <c r="A2898" t="str">
        <f t="shared" si="156"/>
        <v>STKCDG4573730160440000</v>
      </c>
      <c r="B2898" t="s">
        <v>3115</v>
      </c>
      <c r="C2898" s="1">
        <v>45737</v>
      </c>
      <c r="D2898" t="str">
        <f>"301"</f>
        <v>301</v>
      </c>
      <c r="E2898" t="str">
        <f t="shared" si="157"/>
        <v>60440000</v>
      </c>
      <c r="F2898" t="s">
        <v>5043</v>
      </c>
      <c r="G2898" t="s">
        <v>336</v>
      </c>
      <c r="H2898" t="s">
        <v>5874</v>
      </c>
      <c r="I2898">
        <v>0</v>
      </c>
      <c r="J2898" t="s">
        <v>343</v>
      </c>
      <c r="K2898">
        <v>2099</v>
      </c>
      <c r="M2898">
        <v>2099</v>
      </c>
    </row>
    <row r="2899" spans="1:13" x14ac:dyDescent="0.35">
      <c r="A2899" t="str">
        <f t="shared" si="156"/>
        <v>STKCDG4573730260440000</v>
      </c>
      <c r="B2899" t="s">
        <v>3115</v>
      </c>
      <c r="C2899" s="1">
        <v>45737</v>
      </c>
      <c r="D2899" t="str">
        <f>"302"</f>
        <v>302</v>
      </c>
      <c r="E2899" t="str">
        <f t="shared" si="157"/>
        <v>60440000</v>
      </c>
      <c r="F2899" t="s">
        <v>5045</v>
      </c>
      <c r="G2899" t="s">
        <v>336</v>
      </c>
      <c r="H2899" t="s">
        <v>5874</v>
      </c>
      <c r="I2899">
        <v>0</v>
      </c>
      <c r="J2899" t="s">
        <v>343</v>
      </c>
      <c r="K2899">
        <v>1574</v>
      </c>
      <c r="M2899">
        <v>1574</v>
      </c>
    </row>
    <row r="2900" spans="1:13" x14ac:dyDescent="0.35">
      <c r="A2900" t="str">
        <f t="shared" si="156"/>
        <v>STKCDG4573730360440000</v>
      </c>
      <c r="B2900" t="s">
        <v>3115</v>
      </c>
      <c r="C2900" s="1">
        <v>45737</v>
      </c>
      <c r="D2900" t="str">
        <f>"303"</f>
        <v>303</v>
      </c>
      <c r="E2900" t="str">
        <f t="shared" si="157"/>
        <v>60440000</v>
      </c>
      <c r="F2900" t="s">
        <v>5047</v>
      </c>
      <c r="G2900" t="s">
        <v>336</v>
      </c>
      <c r="H2900" t="s">
        <v>5875</v>
      </c>
      <c r="I2900">
        <v>0</v>
      </c>
      <c r="J2900" t="s">
        <v>343</v>
      </c>
      <c r="K2900">
        <v>8921</v>
      </c>
      <c r="M2900">
        <v>8921</v>
      </c>
    </row>
    <row r="2901" spans="1:13" x14ac:dyDescent="0.35">
      <c r="A2901" t="str">
        <f t="shared" si="156"/>
        <v>STKCDG4573730460440000</v>
      </c>
      <c r="B2901" t="s">
        <v>3115</v>
      </c>
      <c r="C2901" s="1">
        <v>45737</v>
      </c>
      <c r="D2901" t="str">
        <f>"304"</f>
        <v>304</v>
      </c>
      <c r="E2901" t="str">
        <f t="shared" si="157"/>
        <v>60440000</v>
      </c>
      <c r="F2901" t="s">
        <v>5049</v>
      </c>
      <c r="G2901" t="s">
        <v>336</v>
      </c>
      <c r="H2901" t="s">
        <v>5876</v>
      </c>
      <c r="I2901">
        <v>0</v>
      </c>
      <c r="J2901" t="s">
        <v>343</v>
      </c>
      <c r="K2901">
        <v>24928</v>
      </c>
      <c r="M2901">
        <v>24928</v>
      </c>
    </row>
    <row r="2902" spans="1:13" x14ac:dyDescent="0.35">
      <c r="A2902" t="str">
        <f t="shared" si="156"/>
        <v>STKCDG4573730560440000</v>
      </c>
      <c r="B2902" t="s">
        <v>3115</v>
      </c>
      <c r="C2902" s="1">
        <v>45737</v>
      </c>
      <c r="D2902" t="str">
        <f>"305"</f>
        <v>305</v>
      </c>
      <c r="E2902" t="str">
        <f t="shared" si="157"/>
        <v>60440000</v>
      </c>
      <c r="F2902" t="s">
        <v>5051</v>
      </c>
      <c r="G2902" t="s">
        <v>336</v>
      </c>
      <c r="H2902" t="s">
        <v>5875</v>
      </c>
      <c r="I2902">
        <v>0</v>
      </c>
      <c r="J2902" t="s">
        <v>343</v>
      </c>
      <c r="K2902">
        <v>24928</v>
      </c>
      <c r="M2902">
        <v>24928</v>
      </c>
    </row>
    <row r="2903" spans="1:13" x14ac:dyDescent="0.35">
      <c r="A2903" t="str">
        <f t="shared" si="156"/>
        <v>STKCDG4573827460440000</v>
      </c>
      <c r="B2903" t="s">
        <v>3115</v>
      </c>
      <c r="C2903" s="1">
        <v>45738</v>
      </c>
      <c r="D2903" t="str">
        <f>"274"</f>
        <v>274</v>
      </c>
      <c r="E2903" t="str">
        <f t="shared" si="157"/>
        <v>60440000</v>
      </c>
      <c r="F2903" t="s">
        <v>5053</v>
      </c>
      <c r="G2903" t="s">
        <v>336</v>
      </c>
      <c r="H2903" t="s">
        <v>5875</v>
      </c>
      <c r="I2903">
        <v>0</v>
      </c>
      <c r="J2903" t="s">
        <v>343</v>
      </c>
      <c r="K2903">
        <v>656</v>
      </c>
      <c r="M2903">
        <v>656</v>
      </c>
    </row>
    <row r="2904" spans="1:13" x14ac:dyDescent="0.35">
      <c r="A2904" t="str">
        <f t="shared" si="156"/>
        <v>STKCDG4573827560410000</v>
      </c>
      <c r="B2904" t="s">
        <v>3115</v>
      </c>
      <c r="C2904" s="1">
        <v>45738</v>
      </c>
      <c r="D2904" t="str">
        <f>"275"</f>
        <v>275</v>
      </c>
      <c r="E2904" t="str">
        <f>"60410000"</f>
        <v>60410000</v>
      </c>
      <c r="F2904" t="s">
        <v>5055</v>
      </c>
      <c r="G2904" t="s">
        <v>336</v>
      </c>
      <c r="H2904" t="s">
        <v>6010</v>
      </c>
      <c r="I2904">
        <v>0</v>
      </c>
      <c r="J2904" t="s">
        <v>343</v>
      </c>
      <c r="K2904">
        <v>1649</v>
      </c>
      <c r="M2904">
        <v>1649</v>
      </c>
    </row>
    <row r="2905" spans="1:13" x14ac:dyDescent="0.35">
      <c r="A2905" t="str">
        <f t="shared" si="156"/>
        <v>STKCDG457401760460000</v>
      </c>
      <c r="B2905" t="s">
        <v>3115</v>
      </c>
      <c r="C2905" s="1">
        <v>45740</v>
      </c>
      <c r="D2905" t="str">
        <f>"17"</f>
        <v>17</v>
      </c>
      <c r="E2905" t="str">
        <f t="shared" ref="E2905:E2917" si="158">"60460000"</f>
        <v>60460000</v>
      </c>
      <c r="F2905" t="s">
        <v>5057</v>
      </c>
      <c r="G2905" t="s">
        <v>336</v>
      </c>
      <c r="H2905" t="s">
        <v>5966</v>
      </c>
      <c r="I2905">
        <v>0</v>
      </c>
      <c r="J2905" t="s">
        <v>343</v>
      </c>
      <c r="K2905">
        <v>900</v>
      </c>
      <c r="M2905">
        <v>1200</v>
      </c>
    </row>
    <row r="2906" spans="1:13" x14ac:dyDescent="0.35">
      <c r="A2906" t="str">
        <f t="shared" si="156"/>
        <v>STKCDG457401760460000</v>
      </c>
      <c r="B2906" t="s">
        <v>3115</v>
      </c>
      <c r="C2906" s="1">
        <v>45740</v>
      </c>
      <c r="D2906" t="str">
        <f>"17"</f>
        <v>17</v>
      </c>
      <c r="E2906" t="str">
        <f t="shared" si="158"/>
        <v>60460000</v>
      </c>
      <c r="F2906" t="s">
        <v>5057</v>
      </c>
      <c r="G2906" t="s">
        <v>336</v>
      </c>
      <c r="H2906" t="s">
        <v>5966</v>
      </c>
      <c r="I2906">
        <v>0</v>
      </c>
      <c r="J2906" t="s">
        <v>343</v>
      </c>
      <c r="K2906">
        <v>300</v>
      </c>
      <c r="M2906">
        <v>1200</v>
      </c>
    </row>
    <row r="2907" spans="1:13" x14ac:dyDescent="0.35">
      <c r="A2907" t="str">
        <f t="shared" si="156"/>
        <v>STKCDG457401860460000</v>
      </c>
      <c r="B2907" t="s">
        <v>3115</v>
      </c>
      <c r="C2907" s="1">
        <v>45740</v>
      </c>
      <c r="D2907" t="str">
        <f>"18"</f>
        <v>18</v>
      </c>
      <c r="E2907" t="str">
        <f t="shared" si="158"/>
        <v>60460000</v>
      </c>
      <c r="F2907" t="s">
        <v>5059</v>
      </c>
      <c r="G2907" t="s">
        <v>336</v>
      </c>
      <c r="H2907" t="s">
        <v>6010</v>
      </c>
      <c r="I2907">
        <v>0</v>
      </c>
      <c r="J2907" t="s">
        <v>343</v>
      </c>
      <c r="K2907">
        <v>98</v>
      </c>
      <c r="M2907">
        <v>2604</v>
      </c>
    </row>
    <row r="2908" spans="1:13" x14ac:dyDescent="0.35">
      <c r="A2908" t="str">
        <f t="shared" si="156"/>
        <v>STKCDG457401860460000</v>
      </c>
      <c r="B2908" t="s">
        <v>3115</v>
      </c>
      <c r="C2908" s="1">
        <v>45740</v>
      </c>
      <c r="D2908" t="str">
        <f>"18"</f>
        <v>18</v>
      </c>
      <c r="E2908" t="str">
        <f t="shared" si="158"/>
        <v>60460000</v>
      </c>
      <c r="F2908" t="s">
        <v>5059</v>
      </c>
      <c r="G2908" t="s">
        <v>336</v>
      </c>
      <c r="H2908" t="s">
        <v>6010</v>
      </c>
      <c r="I2908">
        <v>0</v>
      </c>
      <c r="J2908" t="s">
        <v>343</v>
      </c>
      <c r="K2908">
        <v>2506</v>
      </c>
      <c r="M2908">
        <v>2604</v>
      </c>
    </row>
    <row r="2909" spans="1:13" x14ac:dyDescent="0.35">
      <c r="A2909" t="str">
        <f t="shared" si="156"/>
        <v>STKCDG4574020860460000</v>
      </c>
      <c r="B2909" t="s">
        <v>3115</v>
      </c>
      <c r="C2909" s="1">
        <v>45740</v>
      </c>
      <c r="D2909" t="str">
        <f>"208"</f>
        <v>208</v>
      </c>
      <c r="E2909" t="str">
        <f t="shared" si="158"/>
        <v>60460000</v>
      </c>
      <c r="F2909" t="s">
        <v>5061</v>
      </c>
      <c r="G2909" t="s">
        <v>336</v>
      </c>
      <c r="H2909" t="s">
        <v>5966</v>
      </c>
      <c r="I2909">
        <v>0</v>
      </c>
      <c r="J2909" t="s">
        <v>343</v>
      </c>
      <c r="K2909">
        <v>904</v>
      </c>
      <c r="M2909">
        <v>904</v>
      </c>
    </row>
    <row r="2910" spans="1:13" x14ac:dyDescent="0.35">
      <c r="A2910" t="str">
        <f t="shared" si="156"/>
        <v>STKCDG4574020960460000</v>
      </c>
      <c r="B2910" t="s">
        <v>3115</v>
      </c>
      <c r="C2910" s="1">
        <v>45740</v>
      </c>
      <c r="D2910" t="str">
        <f>"209"</f>
        <v>209</v>
      </c>
      <c r="E2910" t="str">
        <f t="shared" si="158"/>
        <v>60460000</v>
      </c>
      <c r="F2910" t="s">
        <v>5063</v>
      </c>
      <c r="G2910" t="s">
        <v>336</v>
      </c>
      <c r="H2910" t="s">
        <v>5966</v>
      </c>
      <c r="I2910">
        <v>0</v>
      </c>
      <c r="J2910" t="s">
        <v>343</v>
      </c>
      <c r="K2910">
        <v>300</v>
      </c>
      <c r="M2910">
        <v>300</v>
      </c>
    </row>
    <row r="2911" spans="1:13" x14ac:dyDescent="0.35">
      <c r="A2911" t="str">
        <f t="shared" si="156"/>
        <v>STKCDG4574021060460000</v>
      </c>
      <c r="B2911" t="s">
        <v>3115</v>
      </c>
      <c r="C2911" s="1">
        <v>45740</v>
      </c>
      <c r="D2911" t="str">
        <f>"210"</f>
        <v>210</v>
      </c>
      <c r="E2911" t="str">
        <f t="shared" si="158"/>
        <v>60460000</v>
      </c>
      <c r="F2911" t="s">
        <v>5065</v>
      </c>
      <c r="G2911" t="s">
        <v>336</v>
      </c>
      <c r="H2911" t="s">
        <v>5875</v>
      </c>
      <c r="I2911">
        <v>0</v>
      </c>
      <c r="J2911" t="s">
        <v>343</v>
      </c>
      <c r="K2911">
        <v>10039</v>
      </c>
      <c r="M2911">
        <v>10039</v>
      </c>
    </row>
    <row r="2912" spans="1:13" x14ac:dyDescent="0.35">
      <c r="A2912" t="str">
        <f t="shared" si="156"/>
        <v>STKCDG4574021160460000</v>
      </c>
      <c r="B2912" t="s">
        <v>3115</v>
      </c>
      <c r="C2912" s="1">
        <v>45740</v>
      </c>
      <c r="D2912" t="str">
        <f>"211"</f>
        <v>211</v>
      </c>
      <c r="E2912" t="str">
        <f t="shared" si="158"/>
        <v>60460000</v>
      </c>
      <c r="F2912" t="s">
        <v>5067</v>
      </c>
      <c r="G2912" t="s">
        <v>336</v>
      </c>
      <c r="H2912" t="s">
        <v>5949</v>
      </c>
      <c r="I2912">
        <v>0</v>
      </c>
      <c r="J2912" t="s">
        <v>343</v>
      </c>
      <c r="K2912">
        <v>4560</v>
      </c>
      <c r="M2912">
        <v>4560</v>
      </c>
    </row>
    <row r="2913" spans="1:13" x14ac:dyDescent="0.35">
      <c r="A2913" t="str">
        <f t="shared" si="156"/>
        <v>STKCDG4574021260460000</v>
      </c>
      <c r="B2913" t="s">
        <v>3115</v>
      </c>
      <c r="C2913" s="1">
        <v>45740</v>
      </c>
      <c r="D2913" t="str">
        <f>"212"</f>
        <v>212</v>
      </c>
      <c r="E2913" t="str">
        <f t="shared" si="158"/>
        <v>60460000</v>
      </c>
      <c r="F2913" t="s">
        <v>5069</v>
      </c>
      <c r="G2913" t="s">
        <v>336</v>
      </c>
      <c r="H2913" t="s">
        <v>5880</v>
      </c>
      <c r="I2913">
        <v>0</v>
      </c>
      <c r="J2913" t="s">
        <v>343</v>
      </c>
      <c r="K2913">
        <v>14400</v>
      </c>
      <c r="M2913">
        <v>14400</v>
      </c>
    </row>
    <row r="2914" spans="1:13" x14ac:dyDescent="0.35">
      <c r="A2914" t="str">
        <f t="shared" si="156"/>
        <v>STKCDG4574021360460000</v>
      </c>
      <c r="B2914" t="s">
        <v>3115</v>
      </c>
      <c r="C2914" s="1">
        <v>45740</v>
      </c>
      <c r="D2914" t="str">
        <f>"213"</f>
        <v>213</v>
      </c>
      <c r="E2914" t="str">
        <f t="shared" si="158"/>
        <v>60460000</v>
      </c>
      <c r="F2914" t="s">
        <v>5071</v>
      </c>
      <c r="G2914" t="s">
        <v>336</v>
      </c>
      <c r="H2914" t="s">
        <v>6010</v>
      </c>
      <c r="I2914">
        <v>0</v>
      </c>
      <c r="J2914" t="s">
        <v>343</v>
      </c>
      <c r="K2914">
        <v>300</v>
      </c>
      <c r="M2914">
        <v>300</v>
      </c>
    </row>
    <row r="2915" spans="1:13" x14ac:dyDescent="0.35">
      <c r="A2915" t="str">
        <f t="shared" si="156"/>
        <v>STKCDG4574021460460000</v>
      </c>
      <c r="B2915" t="s">
        <v>3115</v>
      </c>
      <c r="C2915" s="1">
        <v>45740</v>
      </c>
      <c r="D2915" t="str">
        <f>"214"</f>
        <v>214</v>
      </c>
      <c r="E2915" t="str">
        <f t="shared" si="158"/>
        <v>60460000</v>
      </c>
      <c r="F2915" t="s">
        <v>5073</v>
      </c>
      <c r="G2915" t="s">
        <v>336</v>
      </c>
      <c r="H2915" t="s">
        <v>5874</v>
      </c>
      <c r="I2915">
        <v>0</v>
      </c>
      <c r="J2915" t="s">
        <v>343</v>
      </c>
      <c r="K2915">
        <v>108000</v>
      </c>
      <c r="M2915">
        <v>108000</v>
      </c>
    </row>
    <row r="2916" spans="1:13" x14ac:dyDescent="0.35">
      <c r="A2916" t="str">
        <f t="shared" si="156"/>
        <v>STKCDG4574021560460000</v>
      </c>
      <c r="B2916" t="s">
        <v>3115</v>
      </c>
      <c r="C2916" s="1">
        <v>45740</v>
      </c>
      <c r="D2916" t="str">
        <f>"215"</f>
        <v>215</v>
      </c>
      <c r="E2916" t="str">
        <f t="shared" si="158"/>
        <v>60460000</v>
      </c>
      <c r="F2916" t="s">
        <v>5075</v>
      </c>
      <c r="G2916" t="s">
        <v>336</v>
      </c>
      <c r="H2916" t="s">
        <v>5949</v>
      </c>
      <c r="I2916">
        <v>0</v>
      </c>
      <c r="J2916" t="s">
        <v>343</v>
      </c>
      <c r="K2916">
        <v>140000</v>
      </c>
      <c r="M2916">
        <v>140000</v>
      </c>
    </row>
    <row r="2917" spans="1:13" x14ac:dyDescent="0.35">
      <c r="A2917" t="str">
        <f t="shared" si="156"/>
        <v>STKCDG4574021660460000</v>
      </c>
      <c r="B2917" t="s">
        <v>3115</v>
      </c>
      <c r="C2917" s="1">
        <v>45740</v>
      </c>
      <c r="D2917" t="str">
        <f>"216"</f>
        <v>216</v>
      </c>
      <c r="E2917" t="str">
        <f t="shared" si="158"/>
        <v>60460000</v>
      </c>
      <c r="F2917" t="s">
        <v>5077</v>
      </c>
      <c r="G2917" t="s">
        <v>336</v>
      </c>
      <c r="H2917" t="s">
        <v>5949</v>
      </c>
      <c r="I2917">
        <v>0</v>
      </c>
      <c r="J2917" t="s">
        <v>343</v>
      </c>
      <c r="K2917">
        <v>112000</v>
      </c>
      <c r="M2917">
        <v>112000</v>
      </c>
    </row>
    <row r="2918" spans="1:13" x14ac:dyDescent="0.35">
      <c r="A2918" t="str">
        <f t="shared" si="156"/>
        <v>STKCDG4574021760410000</v>
      </c>
      <c r="B2918" t="s">
        <v>3115</v>
      </c>
      <c r="C2918" s="1">
        <v>45740</v>
      </c>
      <c r="D2918" t="str">
        <f>"217"</f>
        <v>217</v>
      </c>
      <c r="E2918" t="str">
        <f>"60410000"</f>
        <v>60410000</v>
      </c>
      <c r="F2918" t="s">
        <v>5079</v>
      </c>
      <c r="G2918" t="s">
        <v>336</v>
      </c>
      <c r="H2918" t="s">
        <v>6010</v>
      </c>
      <c r="I2918">
        <v>0</v>
      </c>
      <c r="J2918" t="s">
        <v>343</v>
      </c>
      <c r="K2918">
        <v>6356</v>
      </c>
      <c r="M2918">
        <v>6356</v>
      </c>
    </row>
    <row r="2919" spans="1:13" x14ac:dyDescent="0.35">
      <c r="A2919" t="str">
        <f t="shared" si="156"/>
        <v>STKCDG4574021860460000</v>
      </c>
      <c r="B2919" t="s">
        <v>3115</v>
      </c>
      <c r="C2919" s="1">
        <v>45740</v>
      </c>
      <c r="D2919" t="str">
        <f>"218"</f>
        <v>218</v>
      </c>
      <c r="E2919" t="str">
        <f>"60460000"</f>
        <v>60460000</v>
      </c>
      <c r="F2919" t="s">
        <v>5081</v>
      </c>
      <c r="G2919" t="s">
        <v>336</v>
      </c>
      <c r="H2919" t="s">
        <v>5881</v>
      </c>
      <c r="I2919">
        <v>0</v>
      </c>
      <c r="J2919" t="s">
        <v>343</v>
      </c>
      <c r="K2919">
        <v>35000</v>
      </c>
      <c r="M2919">
        <v>35000</v>
      </c>
    </row>
    <row r="2920" spans="1:13" x14ac:dyDescent="0.35">
      <c r="A2920" t="str">
        <f t="shared" si="156"/>
        <v>STKCDG4574021960460000</v>
      </c>
      <c r="B2920" t="s">
        <v>3115</v>
      </c>
      <c r="C2920" s="1">
        <v>45740</v>
      </c>
      <c r="D2920" t="str">
        <f>"219"</f>
        <v>219</v>
      </c>
      <c r="E2920" t="str">
        <f>"60460000"</f>
        <v>60460000</v>
      </c>
      <c r="F2920" t="s">
        <v>5083</v>
      </c>
      <c r="G2920" t="s">
        <v>336</v>
      </c>
      <c r="H2920" t="s">
        <v>5874</v>
      </c>
      <c r="I2920">
        <v>0</v>
      </c>
      <c r="J2920" t="s">
        <v>343</v>
      </c>
      <c r="K2920">
        <v>103500</v>
      </c>
      <c r="M2920">
        <v>103500</v>
      </c>
    </row>
    <row r="2921" spans="1:13" x14ac:dyDescent="0.35">
      <c r="A2921" t="str">
        <f t="shared" si="156"/>
        <v>STKCDG4574022060430000</v>
      </c>
      <c r="B2921" t="s">
        <v>3115</v>
      </c>
      <c r="C2921" s="1">
        <v>45740</v>
      </c>
      <c r="D2921" t="str">
        <f>"220"</f>
        <v>220</v>
      </c>
      <c r="E2921" t="str">
        <f>"60430000"</f>
        <v>60430000</v>
      </c>
      <c r="F2921" t="s">
        <v>5085</v>
      </c>
      <c r="G2921" t="s">
        <v>336</v>
      </c>
      <c r="H2921" t="s">
        <v>5946</v>
      </c>
      <c r="I2921">
        <v>0</v>
      </c>
      <c r="J2921" t="s">
        <v>343</v>
      </c>
      <c r="K2921">
        <v>162500</v>
      </c>
      <c r="M2921">
        <v>162500</v>
      </c>
    </row>
    <row r="2922" spans="1:13" x14ac:dyDescent="0.35">
      <c r="A2922" t="str">
        <f t="shared" si="156"/>
        <v>STKCDG4574022160460000</v>
      </c>
      <c r="B2922" t="s">
        <v>3115</v>
      </c>
      <c r="C2922" s="1">
        <v>45740</v>
      </c>
      <c r="D2922" t="str">
        <f>"221"</f>
        <v>221</v>
      </c>
      <c r="E2922" t="str">
        <f>"60460000"</f>
        <v>60460000</v>
      </c>
      <c r="F2922" t="s">
        <v>5087</v>
      </c>
      <c r="G2922" t="s">
        <v>336</v>
      </c>
      <c r="H2922" t="s">
        <v>5881</v>
      </c>
      <c r="I2922">
        <v>0</v>
      </c>
      <c r="J2922" t="s">
        <v>343</v>
      </c>
      <c r="K2922">
        <v>33750</v>
      </c>
      <c r="M2922">
        <v>33750</v>
      </c>
    </row>
    <row r="2923" spans="1:13" x14ac:dyDescent="0.35">
      <c r="A2923" t="str">
        <f t="shared" si="156"/>
        <v>STKCDG4574022260430000</v>
      </c>
      <c r="B2923" t="s">
        <v>3115</v>
      </c>
      <c r="C2923" s="1">
        <v>45740</v>
      </c>
      <c r="D2923" t="str">
        <f>"222"</f>
        <v>222</v>
      </c>
      <c r="E2923" t="str">
        <f>"60430000"</f>
        <v>60430000</v>
      </c>
      <c r="F2923" t="s">
        <v>5089</v>
      </c>
      <c r="G2923" t="s">
        <v>336</v>
      </c>
      <c r="H2923" t="s">
        <v>5881</v>
      </c>
      <c r="I2923">
        <v>0</v>
      </c>
      <c r="J2923" t="s">
        <v>343</v>
      </c>
      <c r="K2923">
        <v>65000</v>
      </c>
      <c r="M2923">
        <v>65000</v>
      </c>
    </row>
    <row r="2924" spans="1:13" x14ac:dyDescent="0.35">
      <c r="A2924" t="str">
        <f t="shared" si="156"/>
        <v>STKCDG4574022360460000</v>
      </c>
      <c r="B2924" t="s">
        <v>3115</v>
      </c>
      <c r="C2924" s="1">
        <v>45740</v>
      </c>
      <c r="D2924" t="str">
        <f>"223"</f>
        <v>223</v>
      </c>
      <c r="E2924" t="str">
        <f>"60460000"</f>
        <v>60460000</v>
      </c>
      <c r="F2924" t="s">
        <v>5091</v>
      </c>
      <c r="G2924" t="s">
        <v>336</v>
      </c>
      <c r="H2924" t="s">
        <v>5949</v>
      </c>
      <c r="I2924">
        <v>0</v>
      </c>
      <c r="J2924" t="s">
        <v>343</v>
      </c>
      <c r="K2924">
        <v>15329</v>
      </c>
      <c r="M2924">
        <v>15329</v>
      </c>
    </row>
    <row r="2925" spans="1:13" x14ac:dyDescent="0.35">
      <c r="A2925" t="str">
        <f t="shared" si="156"/>
        <v>STKCDG4574022460430000</v>
      </c>
      <c r="B2925" t="s">
        <v>3115</v>
      </c>
      <c r="C2925" s="1">
        <v>45740</v>
      </c>
      <c r="D2925" t="str">
        <f>"224"</f>
        <v>224</v>
      </c>
      <c r="E2925" t="str">
        <f>"60430000"</f>
        <v>60430000</v>
      </c>
      <c r="F2925" t="s">
        <v>5093</v>
      </c>
      <c r="G2925" t="s">
        <v>336</v>
      </c>
      <c r="H2925" t="s">
        <v>5876</v>
      </c>
      <c r="I2925">
        <v>0</v>
      </c>
      <c r="J2925" t="s">
        <v>343</v>
      </c>
      <c r="K2925">
        <v>120400</v>
      </c>
      <c r="M2925">
        <v>120400</v>
      </c>
    </row>
    <row r="2926" spans="1:13" x14ac:dyDescent="0.35">
      <c r="A2926" t="str">
        <f t="shared" si="156"/>
        <v>STKCDG4574022560460000</v>
      </c>
      <c r="B2926" t="s">
        <v>3115</v>
      </c>
      <c r="C2926" s="1">
        <v>45740</v>
      </c>
      <c r="D2926" t="str">
        <f>"225"</f>
        <v>225</v>
      </c>
      <c r="E2926" t="str">
        <f>"60460000"</f>
        <v>60460000</v>
      </c>
      <c r="F2926" t="s">
        <v>5095</v>
      </c>
      <c r="G2926" t="s">
        <v>336</v>
      </c>
      <c r="H2926" t="s">
        <v>5880</v>
      </c>
      <c r="I2926">
        <v>0</v>
      </c>
      <c r="J2926" t="s">
        <v>343</v>
      </c>
      <c r="K2926">
        <v>1500</v>
      </c>
      <c r="M2926">
        <v>1500</v>
      </c>
    </row>
    <row r="2927" spans="1:13" x14ac:dyDescent="0.35">
      <c r="A2927" t="str">
        <f t="shared" si="156"/>
        <v>STKCDG4574022660460000</v>
      </c>
      <c r="B2927" t="s">
        <v>3115</v>
      </c>
      <c r="C2927" s="1">
        <v>45740</v>
      </c>
      <c r="D2927" t="str">
        <f>"226"</f>
        <v>226</v>
      </c>
      <c r="E2927" t="str">
        <f>"60460000"</f>
        <v>60460000</v>
      </c>
      <c r="F2927" t="s">
        <v>5097</v>
      </c>
      <c r="G2927" t="s">
        <v>336</v>
      </c>
      <c r="H2927" t="s">
        <v>5949</v>
      </c>
      <c r="I2927">
        <v>0</v>
      </c>
      <c r="J2927" t="s">
        <v>343</v>
      </c>
      <c r="K2927">
        <v>85000</v>
      </c>
      <c r="M2927">
        <v>85000</v>
      </c>
    </row>
    <row r="2928" spans="1:13" x14ac:dyDescent="0.35">
      <c r="A2928" t="str">
        <f t="shared" si="156"/>
        <v>STKCDG4574022760460000</v>
      </c>
      <c r="B2928" t="s">
        <v>3115</v>
      </c>
      <c r="C2928" s="1">
        <v>45740</v>
      </c>
      <c r="D2928" t="str">
        <f>"227"</f>
        <v>227</v>
      </c>
      <c r="E2928" t="str">
        <f>"60460000"</f>
        <v>60460000</v>
      </c>
      <c r="F2928" t="s">
        <v>5099</v>
      </c>
      <c r="G2928" t="s">
        <v>336</v>
      </c>
      <c r="H2928" t="s">
        <v>5874</v>
      </c>
      <c r="I2928">
        <v>0</v>
      </c>
      <c r="J2928" t="s">
        <v>343</v>
      </c>
      <c r="K2928">
        <v>2327</v>
      </c>
      <c r="M2928">
        <v>2327</v>
      </c>
    </row>
    <row r="2929" spans="1:13" x14ac:dyDescent="0.35">
      <c r="A2929" t="str">
        <f t="shared" si="156"/>
        <v>STKCDG4574022860430000</v>
      </c>
      <c r="B2929" t="s">
        <v>3115</v>
      </c>
      <c r="C2929" s="1">
        <v>45740</v>
      </c>
      <c r="D2929" t="str">
        <f>"228"</f>
        <v>228</v>
      </c>
      <c r="E2929" t="str">
        <f>"60430000"</f>
        <v>60430000</v>
      </c>
      <c r="F2929" t="s">
        <v>5101</v>
      </c>
      <c r="G2929" t="s">
        <v>336</v>
      </c>
      <c r="H2929" t="s">
        <v>5881</v>
      </c>
      <c r="I2929">
        <v>0</v>
      </c>
      <c r="J2929" t="s">
        <v>343</v>
      </c>
      <c r="K2929">
        <v>32500</v>
      </c>
      <c r="M2929">
        <v>32500</v>
      </c>
    </row>
    <row r="2930" spans="1:13" x14ac:dyDescent="0.35">
      <c r="A2930" t="str">
        <f t="shared" si="156"/>
        <v>STKCDG4574022960440000</v>
      </c>
      <c r="B2930" t="s">
        <v>3115</v>
      </c>
      <c r="C2930" s="1">
        <v>45740</v>
      </c>
      <c r="D2930" t="str">
        <f>"229"</f>
        <v>229</v>
      </c>
      <c r="E2930" t="str">
        <f>"60440000"</f>
        <v>60440000</v>
      </c>
      <c r="F2930" t="s">
        <v>5103</v>
      </c>
      <c r="G2930" t="s">
        <v>336</v>
      </c>
      <c r="H2930" t="s">
        <v>5966</v>
      </c>
      <c r="I2930">
        <v>0</v>
      </c>
      <c r="J2930" t="s">
        <v>343</v>
      </c>
      <c r="K2930">
        <v>119975</v>
      </c>
      <c r="M2930">
        <v>119975</v>
      </c>
    </row>
    <row r="2931" spans="1:13" x14ac:dyDescent="0.35">
      <c r="A2931" t="str">
        <f t="shared" si="156"/>
        <v>STKCDG4574023060410000</v>
      </c>
      <c r="B2931" t="s">
        <v>3115</v>
      </c>
      <c r="C2931" s="1">
        <v>45740</v>
      </c>
      <c r="D2931" t="str">
        <f>"230"</f>
        <v>230</v>
      </c>
      <c r="E2931" t="str">
        <f>"60410000"</f>
        <v>60410000</v>
      </c>
      <c r="F2931" t="s">
        <v>5105</v>
      </c>
      <c r="G2931" t="s">
        <v>336</v>
      </c>
      <c r="H2931" t="s">
        <v>6010</v>
      </c>
      <c r="I2931">
        <v>0</v>
      </c>
      <c r="J2931" t="s">
        <v>343</v>
      </c>
      <c r="K2931">
        <v>3178</v>
      </c>
      <c r="M2931">
        <v>3178</v>
      </c>
    </row>
    <row r="2932" spans="1:13" x14ac:dyDescent="0.35">
      <c r="A2932" t="str">
        <f t="shared" si="156"/>
        <v>STKCDG4574023160440000</v>
      </c>
      <c r="B2932" t="s">
        <v>3115</v>
      </c>
      <c r="C2932" s="1">
        <v>45740</v>
      </c>
      <c r="D2932" t="str">
        <f>"231"</f>
        <v>231</v>
      </c>
      <c r="E2932" t="str">
        <f>"60440000"</f>
        <v>60440000</v>
      </c>
      <c r="F2932" t="s">
        <v>5107</v>
      </c>
      <c r="G2932" t="s">
        <v>336</v>
      </c>
      <c r="H2932" t="s">
        <v>6010</v>
      </c>
      <c r="I2932">
        <v>0</v>
      </c>
      <c r="J2932" t="s">
        <v>343</v>
      </c>
      <c r="K2932">
        <v>6954</v>
      </c>
      <c r="M2932">
        <v>6954</v>
      </c>
    </row>
    <row r="2933" spans="1:13" x14ac:dyDescent="0.35">
      <c r="A2933" t="str">
        <f t="shared" si="156"/>
        <v>STKCDG4574023260440000</v>
      </c>
      <c r="B2933" t="s">
        <v>3115</v>
      </c>
      <c r="C2933" s="1">
        <v>45740</v>
      </c>
      <c r="D2933" t="str">
        <f>"232"</f>
        <v>232</v>
      </c>
      <c r="E2933" t="str">
        <f>"60440000"</f>
        <v>60440000</v>
      </c>
      <c r="F2933" t="s">
        <v>5109</v>
      </c>
      <c r="G2933" t="s">
        <v>336</v>
      </c>
      <c r="H2933" t="s">
        <v>5876</v>
      </c>
      <c r="I2933">
        <v>0</v>
      </c>
      <c r="J2933" t="s">
        <v>343</v>
      </c>
      <c r="K2933">
        <v>6954</v>
      </c>
      <c r="M2933">
        <v>6954</v>
      </c>
    </row>
    <row r="2934" spans="1:13" x14ac:dyDescent="0.35">
      <c r="A2934" t="str">
        <f t="shared" si="156"/>
        <v>STKCDG4574023360440000</v>
      </c>
      <c r="B2934" t="s">
        <v>3115</v>
      </c>
      <c r="C2934" s="1">
        <v>45740</v>
      </c>
      <c r="D2934" t="str">
        <f>"233"</f>
        <v>233</v>
      </c>
      <c r="E2934" t="str">
        <f>"60440000"</f>
        <v>60440000</v>
      </c>
      <c r="F2934" t="s">
        <v>5111</v>
      </c>
      <c r="G2934" t="s">
        <v>336</v>
      </c>
      <c r="H2934" t="s">
        <v>5876</v>
      </c>
      <c r="I2934">
        <v>0</v>
      </c>
      <c r="J2934" t="s">
        <v>343</v>
      </c>
      <c r="K2934">
        <v>2100</v>
      </c>
      <c r="M2934">
        <v>2100</v>
      </c>
    </row>
    <row r="2935" spans="1:13" x14ac:dyDescent="0.35">
      <c r="A2935" t="str">
        <f t="shared" si="156"/>
        <v>STKCDG4574023460410000</v>
      </c>
      <c r="B2935" t="s">
        <v>3115</v>
      </c>
      <c r="C2935" s="1">
        <v>45740</v>
      </c>
      <c r="D2935" t="str">
        <f>"234"</f>
        <v>234</v>
      </c>
      <c r="E2935" t="str">
        <f>"60410000"</f>
        <v>60410000</v>
      </c>
      <c r="F2935" t="s">
        <v>5113</v>
      </c>
      <c r="G2935" t="s">
        <v>336</v>
      </c>
      <c r="H2935" t="s">
        <v>5966</v>
      </c>
      <c r="I2935">
        <v>0</v>
      </c>
      <c r="J2935" t="s">
        <v>343</v>
      </c>
      <c r="K2935">
        <v>1944</v>
      </c>
      <c r="M2935">
        <v>1944</v>
      </c>
    </row>
    <row r="2936" spans="1:13" x14ac:dyDescent="0.35">
      <c r="A2936" t="str">
        <f t="shared" si="156"/>
        <v>STKCDG4574023560440000</v>
      </c>
      <c r="B2936" t="s">
        <v>3115</v>
      </c>
      <c r="C2936" s="1">
        <v>45740</v>
      </c>
      <c r="D2936" t="str">
        <f>"235"</f>
        <v>235</v>
      </c>
      <c r="E2936" t="str">
        <f>"60440000"</f>
        <v>60440000</v>
      </c>
      <c r="F2936" t="s">
        <v>5115</v>
      </c>
      <c r="G2936" t="s">
        <v>336</v>
      </c>
      <c r="H2936" t="s">
        <v>6010</v>
      </c>
      <c r="I2936">
        <v>0</v>
      </c>
      <c r="J2936" t="s">
        <v>343</v>
      </c>
      <c r="K2936">
        <v>3017</v>
      </c>
      <c r="M2936">
        <v>3017</v>
      </c>
    </row>
    <row r="2937" spans="1:13" x14ac:dyDescent="0.35">
      <c r="A2937" t="str">
        <f t="shared" si="156"/>
        <v>STKCDG4574023660410000</v>
      </c>
      <c r="B2937" t="s">
        <v>3115</v>
      </c>
      <c r="C2937" s="1">
        <v>45740</v>
      </c>
      <c r="D2937" t="str">
        <f>"236"</f>
        <v>236</v>
      </c>
      <c r="E2937" t="str">
        <f t="shared" ref="E2937:E2944" si="159">"60410000"</f>
        <v>60410000</v>
      </c>
      <c r="F2937" t="s">
        <v>5117</v>
      </c>
      <c r="G2937" t="s">
        <v>336</v>
      </c>
      <c r="H2937" t="s">
        <v>5874</v>
      </c>
      <c r="I2937">
        <v>0</v>
      </c>
      <c r="J2937" t="s">
        <v>343</v>
      </c>
      <c r="K2937">
        <v>4290</v>
      </c>
      <c r="M2937">
        <v>4290</v>
      </c>
    </row>
    <row r="2938" spans="1:13" x14ac:dyDescent="0.35">
      <c r="A2938" t="str">
        <f t="shared" si="156"/>
        <v>STKCDG4574023760410000</v>
      </c>
      <c r="B2938" t="s">
        <v>3115</v>
      </c>
      <c r="C2938" s="1">
        <v>45740</v>
      </c>
      <c r="D2938" t="str">
        <f>"237"</f>
        <v>237</v>
      </c>
      <c r="E2938" t="str">
        <f t="shared" si="159"/>
        <v>60410000</v>
      </c>
      <c r="F2938" t="s">
        <v>5119</v>
      </c>
      <c r="G2938" t="s">
        <v>336</v>
      </c>
      <c r="H2938" t="s">
        <v>5880</v>
      </c>
      <c r="I2938">
        <v>0</v>
      </c>
      <c r="J2938" t="s">
        <v>343</v>
      </c>
      <c r="K2938">
        <v>33600</v>
      </c>
      <c r="M2938">
        <v>33600</v>
      </c>
    </row>
    <row r="2939" spans="1:13" x14ac:dyDescent="0.35">
      <c r="A2939" t="str">
        <f t="shared" si="156"/>
        <v>STKCDG4574023860410000</v>
      </c>
      <c r="B2939" t="s">
        <v>3115</v>
      </c>
      <c r="C2939" s="1">
        <v>45740</v>
      </c>
      <c r="D2939" t="str">
        <f>"238"</f>
        <v>238</v>
      </c>
      <c r="E2939" t="str">
        <f t="shared" si="159"/>
        <v>60410000</v>
      </c>
      <c r="F2939" t="s">
        <v>5121</v>
      </c>
      <c r="G2939" t="s">
        <v>336</v>
      </c>
      <c r="H2939" t="s">
        <v>5881</v>
      </c>
      <c r="I2939">
        <v>0</v>
      </c>
      <c r="J2939" t="s">
        <v>343</v>
      </c>
      <c r="K2939">
        <v>3298</v>
      </c>
      <c r="M2939">
        <v>3298</v>
      </c>
    </row>
    <row r="2940" spans="1:13" x14ac:dyDescent="0.35">
      <c r="A2940" t="str">
        <f t="shared" si="156"/>
        <v>STKCDG4574023960410000</v>
      </c>
      <c r="B2940" t="s">
        <v>3115</v>
      </c>
      <c r="C2940" s="1">
        <v>45740</v>
      </c>
      <c r="D2940" t="str">
        <f>"239"</f>
        <v>239</v>
      </c>
      <c r="E2940" t="str">
        <f t="shared" si="159"/>
        <v>60410000</v>
      </c>
      <c r="F2940" t="s">
        <v>5123</v>
      </c>
      <c r="G2940" t="s">
        <v>336</v>
      </c>
      <c r="H2940" t="s">
        <v>5875</v>
      </c>
      <c r="I2940">
        <v>0</v>
      </c>
      <c r="J2940" t="s">
        <v>343</v>
      </c>
      <c r="K2940">
        <v>6356</v>
      </c>
      <c r="M2940">
        <v>6356</v>
      </c>
    </row>
    <row r="2941" spans="1:13" x14ac:dyDescent="0.35">
      <c r="A2941" t="str">
        <f t="shared" si="156"/>
        <v>STKCDG4574024060410000</v>
      </c>
      <c r="B2941" t="s">
        <v>3115</v>
      </c>
      <c r="C2941" s="1">
        <v>45740</v>
      </c>
      <c r="D2941" t="str">
        <f>"240"</f>
        <v>240</v>
      </c>
      <c r="E2941" t="str">
        <f t="shared" si="159"/>
        <v>60410000</v>
      </c>
      <c r="F2941" t="s">
        <v>5125</v>
      </c>
      <c r="G2941" t="s">
        <v>336</v>
      </c>
      <c r="H2941" t="s">
        <v>5875</v>
      </c>
      <c r="I2941">
        <v>0</v>
      </c>
      <c r="J2941" t="s">
        <v>343</v>
      </c>
      <c r="K2941">
        <v>3298</v>
      </c>
      <c r="M2941">
        <v>3298</v>
      </c>
    </row>
    <row r="2942" spans="1:13" x14ac:dyDescent="0.35">
      <c r="A2942" t="str">
        <f t="shared" si="156"/>
        <v>STKCDG4574024160410000</v>
      </c>
      <c r="B2942" t="s">
        <v>3115</v>
      </c>
      <c r="C2942" s="1">
        <v>45740</v>
      </c>
      <c r="D2942" t="str">
        <f>"241"</f>
        <v>241</v>
      </c>
      <c r="E2942" t="str">
        <f t="shared" si="159"/>
        <v>60410000</v>
      </c>
      <c r="F2942" t="s">
        <v>5127</v>
      </c>
      <c r="G2942" t="s">
        <v>336</v>
      </c>
      <c r="H2942" t="s">
        <v>5875</v>
      </c>
      <c r="I2942">
        <v>0</v>
      </c>
      <c r="J2942" t="s">
        <v>343</v>
      </c>
      <c r="K2942">
        <v>5715</v>
      </c>
      <c r="M2942">
        <v>5715</v>
      </c>
    </row>
    <row r="2943" spans="1:13" x14ac:dyDescent="0.35">
      <c r="A2943" t="str">
        <f t="shared" si="156"/>
        <v>STKCDG4574024260410000</v>
      </c>
      <c r="B2943" t="s">
        <v>3115</v>
      </c>
      <c r="C2943" s="1">
        <v>45740</v>
      </c>
      <c r="D2943" t="str">
        <f>"242"</f>
        <v>242</v>
      </c>
      <c r="E2943" t="str">
        <f t="shared" si="159"/>
        <v>60410000</v>
      </c>
      <c r="F2943" t="s">
        <v>5129</v>
      </c>
      <c r="G2943" t="s">
        <v>336</v>
      </c>
      <c r="H2943" t="s">
        <v>5875</v>
      </c>
      <c r="I2943">
        <v>0</v>
      </c>
      <c r="J2943" t="s">
        <v>343</v>
      </c>
      <c r="K2943">
        <v>6356</v>
      </c>
      <c r="M2943">
        <v>6356</v>
      </c>
    </row>
    <row r="2944" spans="1:13" x14ac:dyDescent="0.35">
      <c r="A2944" t="str">
        <f t="shared" si="156"/>
        <v>STKCDG4574024360410000</v>
      </c>
      <c r="B2944" t="s">
        <v>3115</v>
      </c>
      <c r="C2944" s="1">
        <v>45740</v>
      </c>
      <c r="D2944" t="str">
        <f>"243"</f>
        <v>243</v>
      </c>
      <c r="E2944" t="str">
        <f t="shared" si="159"/>
        <v>60410000</v>
      </c>
      <c r="F2944" t="s">
        <v>5131</v>
      </c>
      <c r="G2944" t="s">
        <v>336</v>
      </c>
      <c r="H2944" t="s">
        <v>5938</v>
      </c>
      <c r="I2944">
        <v>0</v>
      </c>
      <c r="J2944" t="s">
        <v>343</v>
      </c>
      <c r="K2944">
        <v>1649</v>
      </c>
      <c r="M2944">
        <v>1649</v>
      </c>
    </row>
    <row r="2945" spans="1:13" x14ac:dyDescent="0.35">
      <c r="A2945" t="str">
        <f t="shared" si="156"/>
        <v>STKCDG4574024460440000</v>
      </c>
      <c r="B2945" t="s">
        <v>3115</v>
      </c>
      <c r="C2945" s="1">
        <v>45740</v>
      </c>
      <c r="D2945" t="str">
        <f>"244"</f>
        <v>244</v>
      </c>
      <c r="E2945" t="str">
        <f t="shared" ref="E2945:E2964" si="160">"60440000"</f>
        <v>60440000</v>
      </c>
      <c r="F2945" t="s">
        <v>5133</v>
      </c>
      <c r="G2945" t="s">
        <v>336</v>
      </c>
      <c r="H2945" t="s">
        <v>5958</v>
      </c>
      <c r="I2945">
        <v>0</v>
      </c>
      <c r="J2945" t="s">
        <v>343</v>
      </c>
      <c r="K2945">
        <v>2099</v>
      </c>
      <c r="M2945">
        <v>2099</v>
      </c>
    </row>
    <row r="2946" spans="1:13" x14ac:dyDescent="0.35">
      <c r="A2946" t="str">
        <f t="shared" si="156"/>
        <v>STKCDG4574024560440000</v>
      </c>
      <c r="B2946" t="s">
        <v>3115</v>
      </c>
      <c r="C2946" s="1">
        <v>45740</v>
      </c>
      <c r="D2946" t="str">
        <f>"245"</f>
        <v>245</v>
      </c>
      <c r="E2946" t="str">
        <f t="shared" si="160"/>
        <v>60440000</v>
      </c>
      <c r="F2946" t="s">
        <v>5135</v>
      </c>
      <c r="G2946" t="s">
        <v>336</v>
      </c>
      <c r="H2946" t="s">
        <v>5958</v>
      </c>
      <c r="I2946">
        <v>0</v>
      </c>
      <c r="J2946" t="s">
        <v>343</v>
      </c>
      <c r="K2946">
        <v>3017</v>
      </c>
      <c r="M2946">
        <v>3673</v>
      </c>
    </row>
    <row r="2947" spans="1:13" x14ac:dyDescent="0.35">
      <c r="A2947" t="str">
        <f t="shared" ref="A2947:A3010" si="161">CONCATENATE(B2947,C2947,D2947,E2947)</f>
        <v>STKCDG4574024560440000</v>
      </c>
      <c r="B2947" t="s">
        <v>3115</v>
      </c>
      <c r="C2947" s="1">
        <v>45740</v>
      </c>
      <c r="D2947" t="str">
        <f>"245"</f>
        <v>245</v>
      </c>
      <c r="E2947" t="str">
        <f t="shared" si="160"/>
        <v>60440000</v>
      </c>
      <c r="F2947" t="s">
        <v>5135</v>
      </c>
      <c r="G2947" t="s">
        <v>336</v>
      </c>
      <c r="H2947" t="s">
        <v>5958</v>
      </c>
      <c r="I2947">
        <v>0</v>
      </c>
      <c r="J2947" t="s">
        <v>343</v>
      </c>
      <c r="K2947">
        <v>656</v>
      </c>
      <c r="M2947">
        <v>3673</v>
      </c>
    </row>
    <row r="2948" spans="1:13" x14ac:dyDescent="0.35">
      <c r="A2948" t="str">
        <f t="shared" si="161"/>
        <v>STKCDG4574024660440000</v>
      </c>
      <c r="B2948" t="s">
        <v>3115</v>
      </c>
      <c r="C2948" s="1">
        <v>45740</v>
      </c>
      <c r="D2948" t="str">
        <f>"246"</f>
        <v>246</v>
      </c>
      <c r="E2948" t="str">
        <f t="shared" si="160"/>
        <v>60440000</v>
      </c>
      <c r="F2948" t="s">
        <v>5137</v>
      </c>
      <c r="G2948" t="s">
        <v>336</v>
      </c>
      <c r="H2948" t="s">
        <v>5874</v>
      </c>
      <c r="I2948">
        <v>0</v>
      </c>
      <c r="J2948" t="s">
        <v>343</v>
      </c>
      <c r="K2948">
        <v>4900</v>
      </c>
      <c r="M2948">
        <v>36204</v>
      </c>
    </row>
    <row r="2949" spans="1:13" x14ac:dyDescent="0.35">
      <c r="A2949" t="str">
        <f t="shared" si="161"/>
        <v>STKCDG4574024660440000</v>
      </c>
      <c r="B2949" t="s">
        <v>3115</v>
      </c>
      <c r="C2949" s="1">
        <v>45740</v>
      </c>
      <c r="D2949" t="str">
        <f>"246"</f>
        <v>246</v>
      </c>
      <c r="E2949" t="str">
        <f t="shared" si="160"/>
        <v>60440000</v>
      </c>
      <c r="F2949" t="s">
        <v>5137</v>
      </c>
      <c r="G2949" t="s">
        <v>336</v>
      </c>
      <c r="H2949" t="s">
        <v>5874</v>
      </c>
      <c r="I2949">
        <v>0</v>
      </c>
      <c r="J2949" t="s">
        <v>343</v>
      </c>
      <c r="K2949">
        <v>31304</v>
      </c>
      <c r="M2949">
        <v>36204</v>
      </c>
    </row>
    <row r="2950" spans="1:13" x14ac:dyDescent="0.35">
      <c r="A2950" t="str">
        <f t="shared" si="161"/>
        <v>STKCDG4574024760440000</v>
      </c>
      <c r="B2950" t="s">
        <v>3115</v>
      </c>
      <c r="C2950" s="1">
        <v>45740</v>
      </c>
      <c r="D2950" t="str">
        <f>"247"</f>
        <v>247</v>
      </c>
      <c r="E2950" t="str">
        <f t="shared" si="160"/>
        <v>60440000</v>
      </c>
      <c r="F2950" t="s">
        <v>5139</v>
      </c>
      <c r="G2950" t="s">
        <v>336</v>
      </c>
      <c r="H2950" t="s">
        <v>5874</v>
      </c>
      <c r="I2950">
        <v>0</v>
      </c>
      <c r="J2950" t="s">
        <v>343</v>
      </c>
      <c r="K2950">
        <v>69138</v>
      </c>
      <c r="M2950">
        <v>69138</v>
      </c>
    </row>
    <row r="2951" spans="1:13" x14ac:dyDescent="0.35">
      <c r="A2951" t="str">
        <f t="shared" si="161"/>
        <v>STKCDG4574024860440000</v>
      </c>
      <c r="B2951" t="s">
        <v>3115</v>
      </c>
      <c r="C2951" s="1">
        <v>45740</v>
      </c>
      <c r="D2951" t="str">
        <f>"248"</f>
        <v>248</v>
      </c>
      <c r="E2951" t="str">
        <f t="shared" si="160"/>
        <v>60440000</v>
      </c>
      <c r="F2951" t="s">
        <v>5141</v>
      </c>
      <c r="G2951" t="s">
        <v>336</v>
      </c>
      <c r="H2951" t="s">
        <v>5880</v>
      </c>
      <c r="I2951">
        <v>0</v>
      </c>
      <c r="J2951" t="s">
        <v>343</v>
      </c>
      <c r="K2951">
        <v>14700</v>
      </c>
      <c r="M2951">
        <v>114862</v>
      </c>
    </row>
    <row r="2952" spans="1:13" x14ac:dyDescent="0.35">
      <c r="A2952" t="str">
        <f t="shared" si="161"/>
        <v>STKCDG4574024860440000</v>
      </c>
      <c r="B2952" t="s">
        <v>3115</v>
      </c>
      <c r="C2952" s="1">
        <v>45740</v>
      </c>
      <c r="D2952" t="str">
        <f>"248"</f>
        <v>248</v>
      </c>
      <c r="E2952" t="str">
        <f t="shared" si="160"/>
        <v>60440000</v>
      </c>
      <c r="F2952" t="s">
        <v>5141</v>
      </c>
      <c r="G2952" t="s">
        <v>336</v>
      </c>
      <c r="H2952" t="s">
        <v>5880</v>
      </c>
      <c r="I2952">
        <v>0</v>
      </c>
      <c r="J2952" t="s">
        <v>343</v>
      </c>
      <c r="K2952">
        <v>100162</v>
      </c>
      <c r="M2952">
        <v>114862</v>
      </c>
    </row>
    <row r="2953" spans="1:13" x14ac:dyDescent="0.35">
      <c r="A2953" t="str">
        <f t="shared" si="161"/>
        <v>STKCDG4574024960440000</v>
      </c>
      <c r="B2953" t="s">
        <v>3115</v>
      </c>
      <c r="C2953" s="1">
        <v>45740</v>
      </c>
      <c r="D2953" t="str">
        <f>"249"</f>
        <v>249</v>
      </c>
      <c r="E2953" t="str">
        <f t="shared" si="160"/>
        <v>60440000</v>
      </c>
      <c r="F2953" t="s">
        <v>5143</v>
      </c>
      <c r="G2953" t="s">
        <v>336</v>
      </c>
      <c r="H2953" t="s">
        <v>6010</v>
      </c>
      <c r="I2953">
        <v>0</v>
      </c>
      <c r="J2953" t="s">
        <v>343</v>
      </c>
      <c r="K2953">
        <v>12464</v>
      </c>
      <c r="M2953">
        <v>12464</v>
      </c>
    </row>
    <row r="2954" spans="1:13" x14ac:dyDescent="0.35">
      <c r="A2954" t="str">
        <f t="shared" si="161"/>
        <v>STKCDG4574025060440000</v>
      </c>
      <c r="B2954" t="s">
        <v>3115</v>
      </c>
      <c r="C2954" s="1">
        <v>45740</v>
      </c>
      <c r="D2954" t="str">
        <f>"250"</f>
        <v>250</v>
      </c>
      <c r="E2954" t="str">
        <f t="shared" si="160"/>
        <v>60440000</v>
      </c>
      <c r="F2954" t="s">
        <v>5145</v>
      </c>
      <c r="G2954" t="s">
        <v>336</v>
      </c>
      <c r="H2954" t="s">
        <v>5876</v>
      </c>
      <c r="I2954">
        <v>0</v>
      </c>
      <c r="J2954" t="s">
        <v>343</v>
      </c>
      <c r="K2954">
        <v>2099</v>
      </c>
      <c r="M2954">
        <v>2099</v>
      </c>
    </row>
    <row r="2955" spans="1:13" x14ac:dyDescent="0.35">
      <c r="A2955" t="str">
        <f t="shared" si="161"/>
        <v>STKCDG4574025160440000</v>
      </c>
      <c r="B2955" t="s">
        <v>3115</v>
      </c>
      <c r="C2955" s="1">
        <v>45740</v>
      </c>
      <c r="D2955" t="str">
        <f>"251"</f>
        <v>251</v>
      </c>
      <c r="E2955" t="str">
        <f t="shared" si="160"/>
        <v>60440000</v>
      </c>
      <c r="F2955" t="s">
        <v>5147</v>
      </c>
      <c r="G2955" t="s">
        <v>336</v>
      </c>
      <c r="H2955" t="s">
        <v>5874</v>
      </c>
      <c r="I2955">
        <v>0</v>
      </c>
      <c r="J2955" t="s">
        <v>343</v>
      </c>
      <c r="K2955">
        <v>1443</v>
      </c>
      <c r="M2955">
        <v>1443</v>
      </c>
    </row>
    <row r="2956" spans="1:13" x14ac:dyDescent="0.35">
      <c r="A2956" t="str">
        <f t="shared" si="161"/>
        <v>STKCDG4574025260440000</v>
      </c>
      <c r="B2956" t="s">
        <v>3115</v>
      </c>
      <c r="C2956" s="1">
        <v>45740</v>
      </c>
      <c r="D2956" t="str">
        <f>"252"</f>
        <v>252</v>
      </c>
      <c r="E2956" t="str">
        <f t="shared" si="160"/>
        <v>60440000</v>
      </c>
      <c r="F2956" t="s">
        <v>5149</v>
      </c>
      <c r="G2956" t="s">
        <v>336</v>
      </c>
      <c r="H2956" t="s">
        <v>5949</v>
      </c>
      <c r="I2956">
        <v>0</v>
      </c>
      <c r="J2956" t="s">
        <v>343</v>
      </c>
      <c r="K2956">
        <v>2600</v>
      </c>
      <c r="M2956">
        <v>2600</v>
      </c>
    </row>
    <row r="2957" spans="1:13" x14ac:dyDescent="0.35">
      <c r="A2957" t="str">
        <f t="shared" si="161"/>
        <v>STKCDG4574025360440000</v>
      </c>
      <c r="B2957" t="s">
        <v>3115</v>
      </c>
      <c r="C2957" s="1">
        <v>45740</v>
      </c>
      <c r="D2957" t="str">
        <f>"253"</f>
        <v>253</v>
      </c>
      <c r="E2957" t="str">
        <f t="shared" si="160"/>
        <v>60440000</v>
      </c>
      <c r="F2957" t="s">
        <v>5151</v>
      </c>
      <c r="G2957" t="s">
        <v>336</v>
      </c>
      <c r="H2957" t="s">
        <v>5873</v>
      </c>
      <c r="I2957">
        <v>0</v>
      </c>
      <c r="J2957" t="s">
        <v>343</v>
      </c>
      <c r="K2957">
        <v>57237</v>
      </c>
      <c r="M2957">
        <v>57237</v>
      </c>
    </row>
    <row r="2958" spans="1:13" x14ac:dyDescent="0.35">
      <c r="A2958" t="str">
        <f t="shared" si="161"/>
        <v>STKCDG4574025460440000</v>
      </c>
      <c r="B2958" t="s">
        <v>3115</v>
      </c>
      <c r="C2958" s="1">
        <v>45740</v>
      </c>
      <c r="D2958" t="str">
        <f>"254"</f>
        <v>254</v>
      </c>
      <c r="E2958" t="str">
        <f t="shared" si="160"/>
        <v>60440000</v>
      </c>
      <c r="F2958" t="s">
        <v>5153</v>
      </c>
      <c r="G2958" t="s">
        <v>336</v>
      </c>
      <c r="H2958" t="s">
        <v>5874</v>
      </c>
      <c r="I2958">
        <v>0</v>
      </c>
      <c r="J2958" t="s">
        <v>343</v>
      </c>
      <c r="K2958">
        <v>6756</v>
      </c>
      <c r="M2958">
        <v>6756</v>
      </c>
    </row>
    <row r="2959" spans="1:13" x14ac:dyDescent="0.35">
      <c r="A2959" t="str">
        <f t="shared" si="161"/>
        <v>STKCDG4574025560440000</v>
      </c>
      <c r="B2959" t="s">
        <v>3115</v>
      </c>
      <c r="C2959" s="1">
        <v>45740</v>
      </c>
      <c r="D2959" t="str">
        <f>"255"</f>
        <v>255</v>
      </c>
      <c r="E2959" t="str">
        <f t="shared" si="160"/>
        <v>60440000</v>
      </c>
      <c r="F2959" t="s">
        <v>5155</v>
      </c>
      <c r="G2959" t="s">
        <v>336</v>
      </c>
      <c r="H2959" t="s">
        <v>5873</v>
      </c>
      <c r="I2959">
        <v>0</v>
      </c>
      <c r="J2959" t="s">
        <v>343</v>
      </c>
      <c r="K2959">
        <v>57237</v>
      </c>
      <c r="M2959">
        <v>57237</v>
      </c>
    </row>
    <row r="2960" spans="1:13" x14ac:dyDescent="0.35">
      <c r="A2960" t="str">
        <f t="shared" si="161"/>
        <v>STKCDG4574025660440000</v>
      </c>
      <c r="B2960" t="s">
        <v>3115</v>
      </c>
      <c r="C2960" s="1">
        <v>45740</v>
      </c>
      <c r="D2960" t="str">
        <f>"256"</f>
        <v>256</v>
      </c>
      <c r="E2960" t="str">
        <f t="shared" si="160"/>
        <v>60440000</v>
      </c>
      <c r="F2960" t="s">
        <v>5157</v>
      </c>
      <c r="G2960" t="s">
        <v>336</v>
      </c>
      <c r="H2960" t="s">
        <v>5880</v>
      </c>
      <c r="I2960">
        <v>0</v>
      </c>
      <c r="J2960" t="s">
        <v>343</v>
      </c>
      <c r="K2960">
        <v>738302</v>
      </c>
      <c r="M2960">
        <v>738302</v>
      </c>
    </row>
    <row r="2961" spans="1:13" x14ac:dyDescent="0.35">
      <c r="A2961" t="str">
        <f t="shared" si="161"/>
        <v>STKCDG4574025760440000</v>
      </c>
      <c r="B2961" t="s">
        <v>3115</v>
      </c>
      <c r="C2961" s="1">
        <v>45740</v>
      </c>
      <c r="D2961" t="str">
        <f>"257"</f>
        <v>257</v>
      </c>
      <c r="E2961" t="str">
        <f t="shared" si="160"/>
        <v>60440000</v>
      </c>
      <c r="F2961" t="s">
        <v>5159</v>
      </c>
      <c r="G2961" t="s">
        <v>336</v>
      </c>
      <c r="H2961" t="s">
        <v>5875</v>
      </c>
      <c r="I2961">
        <v>0</v>
      </c>
      <c r="J2961" t="s">
        <v>343</v>
      </c>
      <c r="K2961">
        <v>17973</v>
      </c>
      <c r="M2961">
        <v>17973</v>
      </c>
    </row>
    <row r="2962" spans="1:13" x14ac:dyDescent="0.35">
      <c r="A2962" t="str">
        <f t="shared" si="161"/>
        <v>STKCDG4574025860440000</v>
      </c>
      <c r="B2962" t="s">
        <v>3115</v>
      </c>
      <c r="C2962" s="1">
        <v>45740</v>
      </c>
      <c r="D2962" t="str">
        <f>"258"</f>
        <v>258</v>
      </c>
      <c r="E2962" t="str">
        <f t="shared" si="160"/>
        <v>60440000</v>
      </c>
      <c r="F2962" t="s">
        <v>5161</v>
      </c>
      <c r="G2962" t="s">
        <v>336</v>
      </c>
      <c r="H2962" t="s">
        <v>5876</v>
      </c>
      <c r="I2962">
        <v>0</v>
      </c>
      <c r="J2962" t="s">
        <v>343</v>
      </c>
      <c r="K2962">
        <v>656</v>
      </c>
      <c r="M2962">
        <v>656</v>
      </c>
    </row>
    <row r="2963" spans="1:13" x14ac:dyDescent="0.35">
      <c r="A2963" t="str">
        <f t="shared" si="161"/>
        <v>STKCDG4574025960440000</v>
      </c>
      <c r="B2963" t="s">
        <v>3115</v>
      </c>
      <c r="C2963" s="1">
        <v>45740</v>
      </c>
      <c r="D2963" t="str">
        <f>"259"</f>
        <v>259</v>
      </c>
      <c r="E2963" t="str">
        <f t="shared" si="160"/>
        <v>60440000</v>
      </c>
      <c r="F2963" t="s">
        <v>5163</v>
      </c>
      <c r="G2963" t="s">
        <v>336</v>
      </c>
      <c r="H2963" t="s">
        <v>5876</v>
      </c>
      <c r="I2963">
        <v>0</v>
      </c>
      <c r="J2963" t="s">
        <v>343</v>
      </c>
      <c r="K2963">
        <v>2099</v>
      </c>
      <c r="M2963">
        <v>2099</v>
      </c>
    </row>
    <row r="2964" spans="1:13" x14ac:dyDescent="0.35">
      <c r="A2964" t="str">
        <f t="shared" si="161"/>
        <v>STKCDG457411960440000</v>
      </c>
      <c r="B2964" t="s">
        <v>3115</v>
      </c>
      <c r="C2964" s="1">
        <v>45741</v>
      </c>
      <c r="D2964" t="str">
        <f>"19"</f>
        <v>19</v>
      </c>
      <c r="E2964" t="str">
        <f t="shared" si="160"/>
        <v>60440000</v>
      </c>
      <c r="F2964" t="s">
        <v>5165</v>
      </c>
      <c r="G2964" t="s">
        <v>336</v>
      </c>
      <c r="H2964" t="s">
        <v>5958</v>
      </c>
      <c r="I2964">
        <v>0</v>
      </c>
      <c r="J2964" t="s">
        <v>343</v>
      </c>
      <c r="K2964">
        <v>394</v>
      </c>
      <c r="M2964">
        <v>394</v>
      </c>
    </row>
    <row r="2965" spans="1:13" x14ac:dyDescent="0.35">
      <c r="A2965" t="str">
        <f t="shared" si="161"/>
        <v>STKCDG457412060430000</v>
      </c>
      <c r="B2965" t="s">
        <v>3115</v>
      </c>
      <c r="C2965" s="1">
        <v>45741</v>
      </c>
      <c r="D2965" t="str">
        <f>"20"</f>
        <v>20</v>
      </c>
      <c r="E2965" t="str">
        <f>"60430000"</f>
        <v>60430000</v>
      </c>
      <c r="F2965" t="s">
        <v>5167</v>
      </c>
      <c r="G2965" t="s">
        <v>336</v>
      </c>
      <c r="H2965" t="s">
        <v>5958</v>
      </c>
      <c r="I2965">
        <v>0</v>
      </c>
      <c r="J2965" t="s">
        <v>343</v>
      </c>
      <c r="K2965">
        <v>155200</v>
      </c>
      <c r="M2965">
        <v>155200</v>
      </c>
    </row>
    <row r="2966" spans="1:13" x14ac:dyDescent="0.35">
      <c r="A2966" t="str">
        <f t="shared" si="161"/>
        <v>STKCDG457412160440000</v>
      </c>
      <c r="B2966" t="s">
        <v>3115</v>
      </c>
      <c r="C2966" s="1">
        <v>45741</v>
      </c>
      <c r="D2966" t="str">
        <f>"21"</f>
        <v>21</v>
      </c>
      <c r="E2966" t="str">
        <f>"60440000"</f>
        <v>60440000</v>
      </c>
      <c r="F2966" t="s">
        <v>5169</v>
      </c>
      <c r="G2966" t="s">
        <v>336</v>
      </c>
      <c r="H2966" t="s">
        <v>5880</v>
      </c>
      <c r="I2966">
        <v>0</v>
      </c>
      <c r="J2966" t="s">
        <v>343</v>
      </c>
      <c r="K2966">
        <v>575342</v>
      </c>
      <c r="M2966">
        <v>575342</v>
      </c>
    </row>
    <row r="2967" spans="1:13" x14ac:dyDescent="0.35">
      <c r="A2967" t="str">
        <f t="shared" si="161"/>
        <v>STKCDG457412260440000</v>
      </c>
      <c r="B2967" t="s">
        <v>3115</v>
      </c>
      <c r="C2967" s="1">
        <v>45741</v>
      </c>
      <c r="D2967" t="str">
        <f>"22"</f>
        <v>22</v>
      </c>
      <c r="E2967" t="str">
        <f>"60440000"</f>
        <v>60440000</v>
      </c>
      <c r="F2967" t="s">
        <v>5171</v>
      </c>
      <c r="G2967" t="s">
        <v>336</v>
      </c>
      <c r="H2967" t="s">
        <v>5874</v>
      </c>
      <c r="I2967">
        <v>0</v>
      </c>
      <c r="J2967" t="s">
        <v>343</v>
      </c>
      <c r="K2967">
        <v>200000</v>
      </c>
      <c r="M2967">
        <v>200000</v>
      </c>
    </row>
    <row r="2968" spans="1:13" x14ac:dyDescent="0.35">
      <c r="A2968" t="str">
        <f t="shared" si="161"/>
        <v>STKCDG457412360460000</v>
      </c>
      <c r="B2968" t="s">
        <v>3115</v>
      </c>
      <c r="C2968" s="1">
        <v>45741</v>
      </c>
      <c r="D2968" t="str">
        <f>"23"</f>
        <v>23</v>
      </c>
      <c r="E2968" t="str">
        <f>"60460000"</f>
        <v>60460000</v>
      </c>
      <c r="F2968" t="s">
        <v>5173</v>
      </c>
      <c r="G2968" t="s">
        <v>336</v>
      </c>
      <c r="H2968" t="s">
        <v>5875</v>
      </c>
      <c r="I2968">
        <v>0</v>
      </c>
      <c r="J2968" t="s">
        <v>343</v>
      </c>
      <c r="K2968">
        <v>80044</v>
      </c>
      <c r="M2968">
        <v>80044</v>
      </c>
    </row>
    <row r="2969" spans="1:13" x14ac:dyDescent="0.35">
      <c r="A2969" t="str">
        <f t="shared" si="161"/>
        <v>STKCDG457412460440000</v>
      </c>
      <c r="B2969" t="s">
        <v>3115</v>
      </c>
      <c r="C2969" s="1">
        <v>45741</v>
      </c>
      <c r="D2969" t="str">
        <f>"24"</f>
        <v>24</v>
      </c>
      <c r="E2969" t="str">
        <f>"60440000"</f>
        <v>60440000</v>
      </c>
      <c r="F2969" t="s">
        <v>5175</v>
      </c>
      <c r="G2969" t="s">
        <v>336</v>
      </c>
      <c r="H2969" t="s">
        <v>5880</v>
      </c>
      <c r="I2969">
        <v>0</v>
      </c>
      <c r="J2969" t="s">
        <v>343</v>
      </c>
      <c r="K2969">
        <v>450000</v>
      </c>
      <c r="M2969">
        <v>450000</v>
      </c>
    </row>
    <row r="2970" spans="1:13" x14ac:dyDescent="0.35">
      <c r="A2970" t="str">
        <f t="shared" si="161"/>
        <v>STKCDG457412560440000</v>
      </c>
      <c r="B2970" t="s">
        <v>3115</v>
      </c>
      <c r="C2970" s="1">
        <v>45741</v>
      </c>
      <c r="D2970" t="str">
        <f>"25"</f>
        <v>25</v>
      </c>
      <c r="E2970" t="str">
        <f>"60440000"</f>
        <v>60440000</v>
      </c>
      <c r="F2970" t="s">
        <v>5177</v>
      </c>
      <c r="G2970" t="s">
        <v>336</v>
      </c>
      <c r="H2970" t="s">
        <v>5958</v>
      </c>
      <c r="I2970">
        <v>0</v>
      </c>
      <c r="J2970" t="s">
        <v>343</v>
      </c>
      <c r="K2970">
        <v>450000</v>
      </c>
      <c r="M2970">
        <v>450000</v>
      </c>
    </row>
    <row r="2971" spans="1:13" x14ac:dyDescent="0.35">
      <c r="A2971" t="str">
        <f t="shared" si="161"/>
        <v>STKCDG457412660460000</v>
      </c>
      <c r="B2971" t="s">
        <v>3115</v>
      </c>
      <c r="C2971" s="1">
        <v>45741</v>
      </c>
      <c r="D2971" t="str">
        <f>"26"</f>
        <v>26</v>
      </c>
      <c r="E2971" t="str">
        <f>"60460000"</f>
        <v>60460000</v>
      </c>
      <c r="F2971" t="s">
        <v>5179</v>
      </c>
      <c r="G2971" t="s">
        <v>336</v>
      </c>
      <c r="H2971" t="s">
        <v>5874</v>
      </c>
      <c r="I2971">
        <v>0</v>
      </c>
      <c r="J2971" t="s">
        <v>343</v>
      </c>
      <c r="K2971">
        <v>300</v>
      </c>
      <c r="M2971">
        <v>300</v>
      </c>
    </row>
    <row r="2972" spans="1:13" x14ac:dyDescent="0.35">
      <c r="A2972" t="str">
        <f t="shared" si="161"/>
        <v>STKCDG457412760440000</v>
      </c>
      <c r="B2972" t="s">
        <v>3115</v>
      </c>
      <c r="C2972" s="1">
        <v>45741</v>
      </c>
      <c r="D2972" t="str">
        <f>"27"</f>
        <v>27</v>
      </c>
      <c r="E2972" t="str">
        <f>"60440000"</f>
        <v>60440000</v>
      </c>
      <c r="F2972" t="s">
        <v>5181</v>
      </c>
      <c r="G2972" t="s">
        <v>336</v>
      </c>
      <c r="H2972" t="s">
        <v>5875</v>
      </c>
      <c r="I2972">
        <v>0</v>
      </c>
      <c r="J2972" t="s">
        <v>343</v>
      </c>
      <c r="K2972">
        <v>65000</v>
      </c>
      <c r="M2972">
        <v>65000</v>
      </c>
    </row>
    <row r="2973" spans="1:13" x14ac:dyDescent="0.35">
      <c r="A2973" t="str">
        <f t="shared" si="161"/>
        <v>STKCDG457412860460000</v>
      </c>
      <c r="B2973" t="s">
        <v>3115</v>
      </c>
      <c r="C2973" s="1">
        <v>45741</v>
      </c>
      <c r="D2973" t="str">
        <f>"28"</f>
        <v>28</v>
      </c>
      <c r="E2973" t="str">
        <f>"60460000"</f>
        <v>60460000</v>
      </c>
      <c r="F2973" t="s">
        <v>5183</v>
      </c>
      <c r="G2973" t="s">
        <v>336</v>
      </c>
      <c r="H2973" t="s">
        <v>5880</v>
      </c>
      <c r="I2973">
        <v>0</v>
      </c>
      <c r="J2973" t="s">
        <v>343</v>
      </c>
      <c r="K2973">
        <v>600</v>
      </c>
      <c r="M2973">
        <v>600</v>
      </c>
    </row>
    <row r="2974" spans="1:13" x14ac:dyDescent="0.35">
      <c r="A2974" t="str">
        <f t="shared" si="161"/>
        <v>STKCDG457412960440000</v>
      </c>
      <c r="B2974" t="s">
        <v>3115</v>
      </c>
      <c r="C2974" s="1">
        <v>45741</v>
      </c>
      <c r="D2974" t="str">
        <f>"29"</f>
        <v>29</v>
      </c>
      <c r="E2974" t="str">
        <f>"60440000"</f>
        <v>60440000</v>
      </c>
      <c r="F2974" t="s">
        <v>5185</v>
      </c>
      <c r="G2974" t="s">
        <v>336</v>
      </c>
      <c r="H2974" t="s">
        <v>5875</v>
      </c>
      <c r="I2974">
        <v>0</v>
      </c>
      <c r="J2974" t="s">
        <v>343</v>
      </c>
      <c r="K2974">
        <v>65000</v>
      </c>
      <c r="M2974">
        <v>65000</v>
      </c>
    </row>
    <row r="2975" spans="1:13" x14ac:dyDescent="0.35">
      <c r="A2975" t="str">
        <f t="shared" si="161"/>
        <v>STKCDG457413060440000</v>
      </c>
      <c r="B2975" t="s">
        <v>3115</v>
      </c>
      <c r="C2975" s="1">
        <v>45741</v>
      </c>
      <c r="D2975" t="str">
        <f>"30"</f>
        <v>30</v>
      </c>
      <c r="E2975" t="str">
        <f>"60440000"</f>
        <v>60440000</v>
      </c>
      <c r="F2975" t="s">
        <v>5187</v>
      </c>
      <c r="G2975" t="s">
        <v>336</v>
      </c>
      <c r="H2975" t="s">
        <v>5880</v>
      </c>
      <c r="I2975">
        <v>0</v>
      </c>
      <c r="J2975" t="s">
        <v>343</v>
      </c>
      <c r="K2975">
        <v>90000</v>
      </c>
      <c r="M2975">
        <v>90000</v>
      </c>
    </row>
    <row r="2976" spans="1:13" x14ac:dyDescent="0.35">
      <c r="A2976" t="str">
        <f t="shared" si="161"/>
        <v>STKCDG457413160460000</v>
      </c>
      <c r="B2976" t="s">
        <v>3115</v>
      </c>
      <c r="C2976" s="1">
        <v>45741</v>
      </c>
      <c r="D2976" t="str">
        <f>"31"</f>
        <v>31</v>
      </c>
      <c r="E2976" t="str">
        <f>"60460000"</f>
        <v>60460000</v>
      </c>
      <c r="F2976" t="s">
        <v>5189</v>
      </c>
      <c r="G2976" t="s">
        <v>336</v>
      </c>
      <c r="H2976" t="s">
        <v>5874</v>
      </c>
      <c r="I2976">
        <v>0</v>
      </c>
      <c r="J2976" t="s">
        <v>343</v>
      </c>
      <c r="K2976">
        <v>300</v>
      </c>
      <c r="M2976">
        <v>300</v>
      </c>
    </row>
    <row r="2977" spans="1:13" x14ac:dyDescent="0.35">
      <c r="A2977" t="str">
        <f t="shared" si="161"/>
        <v>STKCDG457413260440000</v>
      </c>
      <c r="B2977" t="s">
        <v>3115</v>
      </c>
      <c r="C2977" s="1">
        <v>45741</v>
      </c>
      <c r="D2977" t="str">
        <f>"32"</f>
        <v>32</v>
      </c>
      <c r="E2977" t="str">
        <f>"60440000"</f>
        <v>60440000</v>
      </c>
      <c r="F2977" t="s">
        <v>5191</v>
      </c>
      <c r="G2977" t="s">
        <v>336</v>
      </c>
      <c r="H2977" t="s">
        <v>5875</v>
      </c>
      <c r="I2977">
        <v>0</v>
      </c>
      <c r="J2977" t="s">
        <v>343</v>
      </c>
      <c r="K2977">
        <v>200000</v>
      </c>
      <c r="M2977">
        <v>200000</v>
      </c>
    </row>
    <row r="2978" spans="1:13" x14ac:dyDescent="0.35">
      <c r="A2978" t="str">
        <f t="shared" si="161"/>
        <v>STKCDG457413360460000</v>
      </c>
      <c r="B2978" t="s">
        <v>3115</v>
      </c>
      <c r="C2978" s="1">
        <v>45741</v>
      </c>
      <c r="D2978" t="str">
        <f>"33"</f>
        <v>33</v>
      </c>
      <c r="E2978" t="str">
        <f>"60460000"</f>
        <v>60460000</v>
      </c>
      <c r="F2978" t="s">
        <v>5193</v>
      </c>
      <c r="G2978" t="s">
        <v>336</v>
      </c>
      <c r="H2978" t="s">
        <v>5875</v>
      </c>
      <c r="I2978">
        <v>0</v>
      </c>
      <c r="J2978" t="s">
        <v>343</v>
      </c>
      <c r="K2978">
        <v>4600</v>
      </c>
      <c r="M2978">
        <v>4600</v>
      </c>
    </row>
    <row r="2979" spans="1:13" x14ac:dyDescent="0.35">
      <c r="A2979" t="str">
        <f t="shared" si="161"/>
        <v>STKCDG457413460440000</v>
      </c>
      <c r="B2979" t="s">
        <v>3115</v>
      </c>
      <c r="C2979" s="1">
        <v>45741</v>
      </c>
      <c r="D2979" t="str">
        <f>"34"</f>
        <v>34</v>
      </c>
      <c r="E2979" t="str">
        <f>"60440000"</f>
        <v>60440000</v>
      </c>
      <c r="F2979" t="s">
        <v>5195</v>
      </c>
      <c r="G2979" t="s">
        <v>336</v>
      </c>
      <c r="H2979" t="s">
        <v>5876</v>
      </c>
      <c r="I2979">
        <v>0</v>
      </c>
      <c r="J2979" t="s">
        <v>343</v>
      </c>
      <c r="K2979">
        <v>80000</v>
      </c>
      <c r="M2979">
        <v>80000</v>
      </c>
    </row>
    <row r="2980" spans="1:13" x14ac:dyDescent="0.35">
      <c r="A2980" t="str">
        <f t="shared" si="161"/>
        <v>STKCDG457413560460000</v>
      </c>
      <c r="B2980" t="s">
        <v>3115</v>
      </c>
      <c r="C2980" s="1">
        <v>45741</v>
      </c>
      <c r="D2980" t="str">
        <f>"35"</f>
        <v>35</v>
      </c>
      <c r="E2980" t="str">
        <f>"60460000"</f>
        <v>60460000</v>
      </c>
      <c r="F2980" t="s">
        <v>5197</v>
      </c>
      <c r="G2980" t="s">
        <v>336</v>
      </c>
      <c r="H2980" t="s">
        <v>5875</v>
      </c>
      <c r="I2980">
        <v>0</v>
      </c>
      <c r="J2980" t="s">
        <v>343</v>
      </c>
      <c r="K2980">
        <v>5745</v>
      </c>
      <c r="M2980">
        <v>5745</v>
      </c>
    </row>
    <row r="2981" spans="1:13" x14ac:dyDescent="0.35">
      <c r="A2981" t="str">
        <f t="shared" si="161"/>
        <v>STKCDG457413660440000</v>
      </c>
      <c r="B2981" t="s">
        <v>3115</v>
      </c>
      <c r="C2981" s="1">
        <v>45741</v>
      </c>
      <c r="D2981" t="str">
        <f>"36"</f>
        <v>36</v>
      </c>
      <c r="E2981" t="str">
        <f>"60440000"</f>
        <v>60440000</v>
      </c>
      <c r="F2981" t="s">
        <v>5199</v>
      </c>
      <c r="G2981" t="s">
        <v>336</v>
      </c>
      <c r="H2981" t="s">
        <v>5875</v>
      </c>
      <c r="I2981">
        <v>0</v>
      </c>
      <c r="J2981" t="s">
        <v>343</v>
      </c>
      <c r="K2981">
        <v>20000</v>
      </c>
      <c r="M2981">
        <v>20000</v>
      </c>
    </row>
    <row r="2982" spans="1:13" x14ac:dyDescent="0.35">
      <c r="A2982" t="str">
        <f t="shared" si="161"/>
        <v>STKCDG457413760440000</v>
      </c>
      <c r="B2982" t="s">
        <v>3115</v>
      </c>
      <c r="C2982" s="1">
        <v>45741</v>
      </c>
      <c r="D2982" t="str">
        <f>"37"</f>
        <v>37</v>
      </c>
      <c r="E2982" t="str">
        <f>"60440000"</f>
        <v>60440000</v>
      </c>
      <c r="F2982" t="s">
        <v>5201</v>
      </c>
      <c r="G2982" t="s">
        <v>336</v>
      </c>
      <c r="H2982" t="s">
        <v>5876</v>
      </c>
      <c r="I2982">
        <v>0</v>
      </c>
      <c r="J2982" t="s">
        <v>343</v>
      </c>
      <c r="K2982">
        <v>45000</v>
      </c>
      <c r="M2982">
        <v>45000</v>
      </c>
    </row>
    <row r="2983" spans="1:13" x14ac:dyDescent="0.35">
      <c r="A2983" t="str">
        <f t="shared" si="161"/>
        <v>STKCDG457413860440000</v>
      </c>
      <c r="B2983" t="s">
        <v>3115</v>
      </c>
      <c r="C2983" s="1">
        <v>45741</v>
      </c>
      <c r="D2983" t="str">
        <f>"38"</f>
        <v>38</v>
      </c>
      <c r="E2983" t="str">
        <f>"60440000"</f>
        <v>60440000</v>
      </c>
      <c r="F2983" t="s">
        <v>5203</v>
      </c>
      <c r="G2983" t="s">
        <v>336</v>
      </c>
      <c r="H2983" t="s">
        <v>5875</v>
      </c>
      <c r="I2983">
        <v>0</v>
      </c>
      <c r="J2983" t="s">
        <v>343</v>
      </c>
      <c r="K2983">
        <v>15000</v>
      </c>
      <c r="M2983">
        <v>15000</v>
      </c>
    </row>
    <row r="2984" spans="1:13" x14ac:dyDescent="0.35">
      <c r="A2984" t="str">
        <f t="shared" si="161"/>
        <v>STKCDG457413960460000</v>
      </c>
      <c r="B2984" t="s">
        <v>3115</v>
      </c>
      <c r="C2984" s="1">
        <v>45741</v>
      </c>
      <c r="D2984" t="str">
        <f>"39"</f>
        <v>39</v>
      </c>
      <c r="E2984" t="str">
        <f>"60460000"</f>
        <v>60460000</v>
      </c>
      <c r="F2984" t="s">
        <v>5205</v>
      </c>
      <c r="G2984" t="s">
        <v>336</v>
      </c>
      <c r="H2984" t="s">
        <v>5966</v>
      </c>
      <c r="I2984">
        <v>0</v>
      </c>
      <c r="J2984" t="s">
        <v>343</v>
      </c>
      <c r="K2984">
        <v>2841</v>
      </c>
      <c r="M2984">
        <v>2841</v>
      </c>
    </row>
    <row r="2985" spans="1:13" x14ac:dyDescent="0.35">
      <c r="A2985" t="str">
        <f t="shared" si="161"/>
        <v>STKCDG457414060440000</v>
      </c>
      <c r="B2985" t="s">
        <v>3115</v>
      </c>
      <c r="C2985" s="1">
        <v>45741</v>
      </c>
      <c r="D2985" t="str">
        <f>"40"</f>
        <v>40</v>
      </c>
      <c r="E2985" t="str">
        <f>"60440000"</f>
        <v>60440000</v>
      </c>
      <c r="F2985" t="s">
        <v>5207</v>
      </c>
      <c r="G2985" t="s">
        <v>336</v>
      </c>
      <c r="H2985" t="s">
        <v>5873</v>
      </c>
      <c r="I2985">
        <v>0</v>
      </c>
      <c r="J2985" t="s">
        <v>343</v>
      </c>
      <c r="K2985">
        <v>15000</v>
      </c>
      <c r="M2985">
        <v>15000</v>
      </c>
    </row>
    <row r="2986" spans="1:13" x14ac:dyDescent="0.35">
      <c r="A2986" t="str">
        <f t="shared" si="161"/>
        <v>STKCDG457414160440000</v>
      </c>
      <c r="B2986" t="s">
        <v>3115</v>
      </c>
      <c r="C2986" s="1">
        <v>45741</v>
      </c>
      <c r="D2986" t="str">
        <f>"41"</f>
        <v>41</v>
      </c>
      <c r="E2986" t="str">
        <f>"60440000"</f>
        <v>60440000</v>
      </c>
      <c r="F2986" t="s">
        <v>5209</v>
      </c>
      <c r="G2986" t="s">
        <v>336</v>
      </c>
      <c r="H2986" t="s">
        <v>5875</v>
      </c>
      <c r="I2986">
        <v>0</v>
      </c>
      <c r="J2986" t="s">
        <v>343</v>
      </c>
      <c r="K2986">
        <v>80000</v>
      </c>
      <c r="M2986">
        <v>80000</v>
      </c>
    </row>
    <row r="2987" spans="1:13" x14ac:dyDescent="0.35">
      <c r="A2987" t="str">
        <f t="shared" si="161"/>
        <v>STKCDG457414260460000</v>
      </c>
      <c r="B2987" t="s">
        <v>3115</v>
      </c>
      <c r="C2987" s="1">
        <v>45741</v>
      </c>
      <c r="D2987" t="str">
        <f>"42"</f>
        <v>42</v>
      </c>
      <c r="E2987" t="str">
        <f>"60460000"</f>
        <v>60460000</v>
      </c>
      <c r="F2987" t="s">
        <v>5211</v>
      </c>
      <c r="G2987" t="s">
        <v>336</v>
      </c>
      <c r="H2987" t="s">
        <v>5875</v>
      </c>
      <c r="I2987">
        <v>0</v>
      </c>
      <c r="J2987" t="s">
        <v>343</v>
      </c>
      <c r="K2987">
        <v>300</v>
      </c>
      <c r="M2987">
        <v>300</v>
      </c>
    </row>
    <row r="2988" spans="1:13" x14ac:dyDescent="0.35">
      <c r="A2988" t="str">
        <f t="shared" si="161"/>
        <v>STKCDG457414360440000</v>
      </c>
      <c r="B2988" t="s">
        <v>3115</v>
      </c>
      <c r="C2988" s="1">
        <v>45741</v>
      </c>
      <c r="D2988" t="str">
        <f>"43"</f>
        <v>43</v>
      </c>
      <c r="E2988" t="str">
        <f>"60440000"</f>
        <v>60440000</v>
      </c>
      <c r="F2988" t="s">
        <v>5213</v>
      </c>
      <c r="G2988" t="s">
        <v>336</v>
      </c>
      <c r="H2988" t="s">
        <v>5876</v>
      </c>
      <c r="I2988">
        <v>0</v>
      </c>
      <c r="J2988" t="s">
        <v>343</v>
      </c>
      <c r="K2988">
        <v>6166</v>
      </c>
      <c r="M2988">
        <v>6166</v>
      </c>
    </row>
    <row r="2989" spans="1:13" x14ac:dyDescent="0.35">
      <c r="A2989" t="str">
        <f t="shared" si="161"/>
        <v>STKCDG457414460460000</v>
      </c>
      <c r="B2989" t="s">
        <v>3115</v>
      </c>
      <c r="C2989" s="1">
        <v>45741</v>
      </c>
      <c r="D2989" t="str">
        <f>"44"</f>
        <v>44</v>
      </c>
      <c r="E2989" t="str">
        <f>"60460000"</f>
        <v>60460000</v>
      </c>
      <c r="F2989" t="s">
        <v>5215</v>
      </c>
      <c r="G2989" t="s">
        <v>336</v>
      </c>
      <c r="H2989" t="s">
        <v>5874</v>
      </c>
      <c r="I2989">
        <v>0</v>
      </c>
      <c r="J2989" t="s">
        <v>343</v>
      </c>
      <c r="K2989">
        <v>294</v>
      </c>
      <c r="M2989">
        <v>1094</v>
      </c>
    </row>
    <row r="2990" spans="1:13" x14ac:dyDescent="0.35">
      <c r="A2990" t="str">
        <f t="shared" si="161"/>
        <v>STKCDG457414460460000</v>
      </c>
      <c r="B2990" t="s">
        <v>3115</v>
      </c>
      <c r="C2990" s="1">
        <v>45741</v>
      </c>
      <c r="D2990" t="str">
        <f>"44"</f>
        <v>44</v>
      </c>
      <c r="E2990" t="str">
        <f>"60460000"</f>
        <v>60460000</v>
      </c>
      <c r="F2990" t="s">
        <v>5215</v>
      </c>
      <c r="G2990" t="s">
        <v>336</v>
      </c>
      <c r="H2990" t="s">
        <v>5874</v>
      </c>
      <c r="I2990">
        <v>0</v>
      </c>
      <c r="J2990" t="s">
        <v>343</v>
      </c>
      <c r="K2990">
        <v>800</v>
      </c>
      <c r="M2990">
        <v>1094</v>
      </c>
    </row>
    <row r="2991" spans="1:13" x14ac:dyDescent="0.35">
      <c r="A2991" t="str">
        <f t="shared" si="161"/>
        <v>STKCDG457414560440000</v>
      </c>
      <c r="B2991" t="s">
        <v>3115</v>
      </c>
      <c r="C2991" s="1">
        <v>45741</v>
      </c>
      <c r="D2991" t="str">
        <f>"45"</f>
        <v>45</v>
      </c>
      <c r="E2991" t="str">
        <f t="shared" ref="E2991:E2996" si="162">"60440000"</f>
        <v>60440000</v>
      </c>
      <c r="F2991" t="s">
        <v>5217</v>
      </c>
      <c r="G2991" t="s">
        <v>336</v>
      </c>
      <c r="H2991" t="s">
        <v>5875</v>
      </c>
      <c r="I2991">
        <v>0</v>
      </c>
      <c r="J2991" t="s">
        <v>343</v>
      </c>
      <c r="K2991">
        <v>68500</v>
      </c>
      <c r="M2991">
        <v>68500</v>
      </c>
    </row>
    <row r="2992" spans="1:13" x14ac:dyDescent="0.35">
      <c r="A2992" t="str">
        <f t="shared" si="161"/>
        <v>STKCDG457414660440000</v>
      </c>
      <c r="B2992" t="s">
        <v>3115</v>
      </c>
      <c r="C2992" s="1">
        <v>45741</v>
      </c>
      <c r="D2992" t="str">
        <f>"46"</f>
        <v>46</v>
      </c>
      <c r="E2992" t="str">
        <f t="shared" si="162"/>
        <v>60440000</v>
      </c>
      <c r="F2992" t="s">
        <v>5219</v>
      </c>
      <c r="G2992" t="s">
        <v>336</v>
      </c>
      <c r="H2992" t="s">
        <v>5875</v>
      </c>
      <c r="I2992">
        <v>0</v>
      </c>
      <c r="J2992" t="s">
        <v>343</v>
      </c>
      <c r="K2992">
        <v>1837</v>
      </c>
      <c r="M2992">
        <v>1837</v>
      </c>
    </row>
    <row r="2993" spans="1:13" x14ac:dyDescent="0.35">
      <c r="A2993" t="str">
        <f t="shared" si="161"/>
        <v>STKCDG457414760440000</v>
      </c>
      <c r="B2993" t="s">
        <v>3115</v>
      </c>
      <c r="C2993" s="1">
        <v>45741</v>
      </c>
      <c r="D2993" t="str">
        <f>"47"</f>
        <v>47</v>
      </c>
      <c r="E2993" t="str">
        <f t="shared" si="162"/>
        <v>60440000</v>
      </c>
      <c r="F2993" t="s">
        <v>5221</v>
      </c>
      <c r="G2993" t="s">
        <v>336</v>
      </c>
      <c r="H2993" t="s">
        <v>5874</v>
      </c>
      <c r="I2993">
        <v>0</v>
      </c>
      <c r="J2993" t="s">
        <v>343</v>
      </c>
      <c r="K2993">
        <v>65000</v>
      </c>
      <c r="M2993">
        <v>65000</v>
      </c>
    </row>
    <row r="2994" spans="1:13" x14ac:dyDescent="0.35">
      <c r="A2994" t="str">
        <f t="shared" si="161"/>
        <v>STKCDG457414860440000</v>
      </c>
      <c r="B2994" t="s">
        <v>3115</v>
      </c>
      <c r="C2994" s="1">
        <v>45741</v>
      </c>
      <c r="D2994" t="str">
        <f>"48"</f>
        <v>48</v>
      </c>
      <c r="E2994" t="str">
        <f t="shared" si="162"/>
        <v>60440000</v>
      </c>
      <c r="F2994" t="s">
        <v>5223</v>
      </c>
      <c r="G2994" t="s">
        <v>336</v>
      </c>
      <c r="H2994" t="s">
        <v>5875</v>
      </c>
      <c r="I2994">
        <v>0</v>
      </c>
      <c r="J2994" t="s">
        <v>343</v>
      </c>
      <c r="K2994">
        <v>2230</v>
      </c>
      <c r="M2994">
        <v>2230</v>
      </c>
    </row>
    <row r="2995" spans="1:13" x14ac:dyDescent="0.35">
      <c r="A2995" t="str">
        <f t="shared" si="161"/>
        <v>STKCDG457414960440000</v>
      </c>
      <c r="B2995" t="s">
        <v>3115</v>
      </c>
      <c r="C2995" s="1">
        <v>45741</v>
      </c>
      <c r="D2995" t="str">
        <f>"49"</f>
        <v>49</v>
      </c>
      <c r="E2995" t="str">
        <f t="shared" si="162"/>
        <v>60440000</v>
      </c>
      <c r="F2995" t="s">
        <v>5225</v>
      </c>
      <c r="G2995" t="s">
        <v>336</v>
      </c>
      <c r="H2995" t="s">
        <v>5874</v>
      </c>
      <c r="I2995">
        <v>0</v>
      </c>
      <c r="J2995" t="s">
        <v>343</v>
      </c>
      <c r="K2995">
        <v>150000</v>
      </c>
      <c r="M2995">
        <v>150000</v>
      </c>
    </row>
    <row r="2996" spans="1:13" x14ac:dyDescent="0.35">
      <c r="A2996" t="str">
        <f t="shared" si="161"/>
        <v>STKCDG457415060440000</v>
      </c>
      <c r="B2996" t="s">
        <v>3115</v>
      </c>
      <c r="C2996" s="1">
        <v>45741</v>
      </c>
      <c r="D2996" t="str">
        <f>"50"</f>
        <v>50</v>
      </c>
      <c r="E2996" t="str">
        <f t="shared" si="162"/>
        <v>60440000</v>
      </c>
      <c r="F2996" t="s">
        <v>5227</v>
      </c>
      <c r="G2996" t="s">
        <v>336</v>
      </c>
      <c r="H2996" t="s">
        <v>5875</v>
      </c>
      <c r="I2996">
        <v>0</v>
      </c>
      <c r="J2996" t="s">
        <v>343</v>
      </c>
      <c r="K2996">
        <v>7543</v>
      </c>
      <c r="M2996">
        <v>7543</v>
      </c>
    </row>
    <row r="2997" spans="1:13" x14ac:dyDescent="0.35">
      <c r="A2997" t="str">
        <f t="shared" si="161"/>
        <v>STKCDG457415160460000</v>
      </c>
      <c r="B2997" t="s">
        <v>3115</v>
      </c>
      <c r="C2997" s="1">
        <v>45741</v>
      </c>
      <c r="D2997" t="str">
        <f>"51"</f>
        <v>51</v>
      </c>
      <c r="E2997" t="str">
        <f>"60460000"</f>
        <v>60460000</v>
      </c>
      <c r="F2997" t="s">
        <v>5229</v>
      </c>
      <c r="G2997" t="s">
        <v>336</v>
      </c>
      <c r="H2997" t="s">
        <v>5880</v>
      </c>
      <c r="I2997">
        <v>0</v>
      </c>
      <c r="J2997" t="s">
        <v>343</v>
      </c>
      <c r="K2997">
        <v>3409</v>
      </c>
      <c r="M2997">
        <v>3409</v>
      </c>
    </row>
    <row r="2998" spans="1:13" x14ac:dyDescent="0.35">
      <c r="A2998" t="str">
        <f t="shared" si="161"/>
        <v>STKCDG457415260440000</v>
      </c>
      <c r="B2998" t="s">
        <v>3115</v>
      </c>
      <c r="C2998" s="1">
        <v>45741</v>
      </c>
      <c r="D2998" t="str">
        <f>"52"</f>
        <v>52</v>
      </c>
      <c r="E2998" t="str">
        <f>"60440000"</f>
        <v>60440000</v>
      </c>
      <c r="F2998" t="s">
        <v>5231</v>
      </c>
      <c r="G2998" t="s">
        <v>336</v>
      </c>
      <c r="H2998" t="s">
        <v>5880</v>
      </c>
      <c r="I2998">
        <v>0</v>
      </c>
      <c r="J2998" t="s">
        <v>343</v>
      </c>
      <c r="K2998">
        <v>3500</v>
      </c>
      <c r="M2998">
        <v>3500</v>
      </c>
    </row>
    <row r="2999" spans="1:13" x14ac:dyDescent="0.35">
      <c r="A2999" t="str">
        <f t="shared" si="161"/>
        <v>STKCDG457415360460000</v>
      </c>
      <c r="B2999" t="s">
        <v>3115</v>
      </c>
      <c r="C2999" s="1">
        <v>45741</v>
      </c>
      <c r="D2999" t="str">
        <f>"53"</f>
        <v>53</v>
      </c>
      <c r="E2999" t="str">
        <f>"60460000"</f>
        <v>60460000</v>
      </c>
      <c r="F2999" t="s">
        <v>5233</v>
      </c>
      <c r="G2999" t="s">
        <v>336</v>
      </c>
      <c r="H2999" t="s">
        <v>5949</v>
      </c>
      <c r="I2999">
        <v>0</v>
      </c>
      <c r="J2999" t="s">
        <v>343</v>
      </c>
      <c r="K2999">
        <v>2700</v>
      </c>
      <c r="M2999">
        <v>2700</v>
      </c>
    </row>
    <row r="3000" spans="1:13" x14ac:dyDescent="0.35">
      <c r="A3000" t="str">
        <f t="shared" si="161"/>
        <v>STKCDG457415460440000</v>
      </c>
      <c r="B3000" t="s">
        <v>3115</v>
      </c>
      <c r="C3000" s="1">
        <v>45741</v>
      </c>
      <c r="D3000" t="str">
        <f>"54"</f>
        <v>54</v>
      </c>
      <c r="E3000" t="str">
        <f>"60440000"</f>
        <v>60440000</v>
      </c>
      <c r="F3000" t="s">
        <v>5235</v>
      </c>
      <c r="G3000" t="s">
        <v>336</v>
      </c>
      <c r="H3000" t="s">
        <v>5966</v>
      </c>
      <c r="I3000">
        <v>0</v>
      </c>
      <c r="J3000" t="s">
        <v>343</v>
      </c>
      <c r="K3000">
        <v>31093</v>
      </c>
      <c r="M3000">
        <v>31093</v>
      </c>
    </row>
    <row r="3001" spans="1:13" x14ac:dyDescent="0.35">
      <c r="A3001" t="str">
        <f t="shared" si="161"/>
        <v>STKCDG457415560460000</v>
      </c>
      <c r="B3001" t="s">
        <v>3115</v>
      </c>
      <c r="C3001" s="1">
        <v>45741</v>
      </c>
      <c r="D3001" t="str">
        <f>"55"</f>
        <v>55</v>
      </c>
      <c r="E3001" t="str">
        <f>"60460000"</f>
        <v>60460000</v>
      </c>
      <c r="F3001" t="s">
        <v>5237</v>
      </c>
      <c r="G3001" t="s">
        <v>336</v>
      </c>
      <c r="H3001" t="s">
        <v>5873</v>
      </c>
      <c r="I3001">
        <v>0</v>
      </c>
      <c r="J3001" t="s">
        <v>343</v>
      </c>
      <c r="K3001">
        <v>5295</v>
      </c>
      <c r="M3001">
        <v>5295</v>
      </c>
    </row>
    <row r="3002" spans="1:13" x14ac:dyDescent="0.35">
      <c r="A3002" t="str">
        <f t="shared" si="161"/>
        <v>STKCDG457415660460000</v>
      </c>
      <c r="B3002" t="s">
        <v>3115</v>
      </c>
      <c r="C3002" s="1">
        <v>45741</v>
      </c>
      <c r="D3002" t="str">
        <f>"56"</f>
        <v>56</v>
      </c>
      <c r="E3002" t="str">
        <f>"60460000"</f>
        <v>60460000</v>
      </c>
      <c r="F3002" t="s">
        <v>5239</v>
      </c>
      <c r="G3002" t="s">
        <v>336</v>
      </c>
      <c r="H3002" t="s">
        <v>5966</v>
      </c>
      <c r="I3002">
        <v>0</v>
      </c>
      <c r="J3002" t="s">
        <v>343</v>
      </c>
      <c r="K3002">
        <v>1200</v>
      </c>
      <c r="M3002">
        <v>1700</v>
      </c>
    </row>
    <row r="3003" spans="1:13" x14ac:dyDescent="0.35">
      <c r="A3003" t="str">
        <f t="shared" si="161"/>
        <v>STKCDG457415660460000</v>
      </c>
      <c r="B3003" t="s">
        <v>3115</v>
      </c>
      <c r="C3003" s="1">
        <v>45741</v>
      </c>
      <c r="D3003" t="str">
        <f>"56"</f>
        <v>56</v>
      </c>
      <c r="E3003" t="str">
        <f>"60460000"</f>
        <v>60460000</v>
      </c>
      <c r="F3003" t="s">
        <v>5239</v>
      </c>
      <c r="G3003" t="s">
        <v>336</v>
      </c>
      <c r="H3003" t="s">
        <v>5966</v>
      </c>
      <c r="I3003">
        <v>0</v>
      </c>
      <c r="J3003" t="s">
        <v>343</v>
      </c>
      <c r="K3003">
        <v>500</v>
      </c>
      <c r="M3003">
        <v>1700</v>
      </c>
    </row>
    <row r="3004" spans="1:13" x14ac:dyDescent="0.35">
      <c r="A3004" t="str">
        <f t="shared" si="161"/>
        <v>STKCDG457415760440000</v>
      </c>
      <c r="B3004" t="s">
        <v>3115</v>
      </c>
      <c r="C3004" s="1">
        <v>45741</v>
      </c>
      <c r="D3004" t="str">
        <f>"57"</f>
        <v>57</v>
      </c>
      <c r="E3004" t="str">
        <f>"60440000"</f>
        <v>60440000</v>
      </c>
      <c r="F3004" t="s">
        <v>5241</v>
      </c>
      <c r="G3004" t="s">
        <v>336</v>
      </c>
      <c r="H3004" t="s">
        <v>5880</v>
      </c>
      <c r="I3004">
        <v>0</v>
      </c>
      <c r="J3004" t="s">
        <v>343</v>
      </c>
      <c r="K3004">
        <v>18000</v>
      </c>
      <c r="M3004">
        <v>18000</v>
      </c>
    </row>
    <row r="3005" spans="1:13" x14ac:dyDescent="0.35">
      <c r="A3005" t="str">
        <f t="shared" si="161"/>
        <v>STKCDG457415860410000</v>
      </c>
      <c r="B3005" t="s">
        <v>3115</v>
      </c>
      <c r="C3005" s="1">
        <v>45741</v>
      </c>
      <c r="D3005" t="str">
        <f>"58"</f>
        <v>58</v>
      </c>
      <c r="E3005" t="str">
        <f>"60410000"</f>
        <v>60410000</v>
      </c>
      <c r="F3005" t="s">
        <v>5243</v>
      </c>
      <c r="G3005" t="s">
        <v>336</v>
      </c>
      <c r="H3005" t="s">
        <v>5880</v>
      </c>
      <c r="I3005">
        <v>0</v>
      </c>
      <c r="J3005" t="s">
        <v>343</v>
      </c>
      <c r="K3005">
        <v>1649</v>
      </c>
      <c r="M3005">
        <v>1649</v>
      </c>
    </row>
    <row r="3006" spans="1:13" x14ac:dyDescent="0.35">
      <c r="A3006" t="str">
        <f t="shared" si="161"/>
        <v>STKCDG457415960410000</v>
      </c>
      <c r="B3006" t="s">
        <v>3115</v>
      </c>
      <c r="C3006" s="1">
        <v>45741</v>
      </c>
      <c r="D3006" t="str">
        <f>"59"</f>
        <v>59</v>
      </c>
      <c r="E3006" t="str">
        <f>"60410000"</f>
        <v>60410000</v>
      </c>
      <c r="F3006" t="s">
        <v>5245</v>
      </c>
      <c r="G3006" t="s">
        <v>336</v>
      </c>
      <c r="H3006" t="s">
        <v>5874</v>
      </c>
      <c r="I3006">
        <v>0</v>
      </c>
      <c r="J3006" t="s">
        <v>343</v>
      </c>
      <c r="K3006">
        <v>3298</v>
      </c>
      <c r="M3006">
        <v>9654</v>
      </c>
    </row>
    <row r="3007" spans="1:13" x14ac:dyDescent="0.35">
      <c r="A3007" t="str">
        <f t="shared" si="161"/>
        <v>STKCDG457415960410000</v>
      </c>
      <c r="B3007" t="s">
        <v>3115</v>
      </c>
      <c r="C3007" s="1">
        <v>45741</v>
      </c>
      <c r="D3007" t="str">
        <f>"59"</f>
        <v>59</v>
      </c>
      <c r="E3007" t="str">
        <f>"60410000"</f>
        <v>60410000</v>
      </c>
      <c r="F3007" t="s">
        <v>5245</v>
      </c>
      <c r="G3007" t="s">
        <v>336</v>
      </c>
      <c r="H3007" t="s">
        <v>5874</v>
      </c>
      <c r="I3007">
        <v>0</v>
      </c>
      <c r="J3007" t="s">
        <v>343</v>
      </c>
      <c r="K3007">
        <v>6356</v>
      </c>
      <c r="M3007">
        <v>9654</v>
      </c>
    </row>
    <row r="3008" spans="1:13" x14ac:dyDescent="0.35">
      <c r="A3008" t="str">
        <f t="shared" si="161"/>
        <v>STKCDG457416060440000</v>
      </c>
      <c r="B3008" t="s">
        <v>3115</v>
      </c>
      <c r="C3008" s="1">
        <v>45741</v>
      </c>
      <c r="D3008" t="str">
        <f>"60"</f>
        <v>60</v>
      </c>
      <c r="E3008" t="str">
        <f>"60440000"</f>
        <v>60440000</v>
      </c>
      <c r="F3008" t="s">
        <v>5247</v>
      </c>
      <c r="G3008" t="s">
        <v>336</v>
      </c>
      <c r="H3008" t="s">
        <v>5880</v>
      </c>
      <c r="I3008">
        <v>0</v>
      </c>
      <c r="J3008" t="s">
        <v>343</v>
      </c>
      <c r="K3008">
        <v>30000</v>
      </c>
      <c r="M3008">
        <v>30000</v>
      </c>
    </row>
    <row r="3009" spans="1:13" x14ac:dyDescent="0.35">
      <c r="A3009" t="str">
        <f t="shared" si="161"/>
        <v>STKCDG457416160410000</v>
      </c>
      <c r="B3009" t="s">
        <v>3115</v>
      </c>
      <c r="C3009" s="1">
        <v>45741</v>
      </c>
      <c r="D3009" t="str">
        <f>"61"</f>
        <v>61</v>
      </c>
      <c r="E3009" t="str">
        <f>"60410000"</f>
        <v>60410000</v>
      </c>
      <c r="F3009" t="s">
        <v>5249</v>
      </c>
      <c r="G3009" t="s">
        <v>336</v>
      </c>
      <c r="H3009" t="s">
        <v>5966</v>
      </c>
      <c r="I3009">
        <v>0</v>
      </c>
      <c r="J3009" t="s">
        <v>343</v>
      </c>
      <c r="K3009">
        <v>4947</v>
      </c>
      <c r="M3009">
        <v>4947</v>
      </c>
    </row>
    <row r="3010" spans="1:13" x14ac:dyDescent="0.35">
      <c r="A3010" t="str">
        <f t="shared" si="161"/>
        <v>STKCDG457416260410000</v>
      </c>
      <c r="B3010" t="s">
        <v>3115</v>
      </c>
      <c r="C3010" s="1">
        <v>45741</v>
      </c>
      <c r="D3010" t="str">
        <f>"62"</f>
        <v>62</v>
      </c>
      <c r="E3010" t="str">
        <f>"60410000"</f>
        <v>60410000</v>
      </c>
      <c r="F3010" t="s">
        <v>5251</v>
      </c>
      <c r="G3010" t="s">
        <v>336</v>
      </c>
      <c r="H3010" t="s">
        <v>5966</v>
      </c>
      <c r="I3010">
        <v>0</v>
      </c>
      <c r="J3010" t="s">
        <v>343</v>
      </c>
      <c r="K3010">
        <v>2917</v>
      </c>
      <c r="M3010">
        <v>2917</v>
      </c>
    </row>
    <row r="3011" spans="1:13" x14ac:dyDescent="0.35">
      <c r="A3011" t="str">
        <f t="shared" ref="A3011:A3074" si="163">CONCATENATE(B3011,C3011,D3011,E3011)</f>
        <v>STKCDG457416360440000</v>
      </c>
      <c r="B3011" t="s">
        <v>3115</v>
      </c>
      <c r="C3011" s="1">
        <v>45741</v>
      </c>
      <c r="D3011" t="str">
        <f>"63"</f>
        <v>63</v>
      </c>
      <c r="E3011" t="str">
        <f>"60440000"</f>
        <v>60440000</v>
      </c>
      <c r="F3011" t="s">
        <v>5253</v>
      </c>
      <c r="G3011" t="s">
        <v>336</v>
      </c>
      <c r="H3011" t="s">
        <v>5874</v>
      </c>
      <c r="I3011">
        <v>0</v>
      </c>
      <c r="J3011" t="s">
        <v>343</v>
      </c>
      <c r="K3011">
        <v>95000</v>
      </c>
      <c r="M3011">
        <v>95000</v>
      </c>
    </row>
    <row r="3012" spans="1:13" x14ac:dyDescent="0.35">
      <c r="A3012" t="str">
        <f t="shared" si="163"/>
        <v>STKCDG457416460440000</v>
      </c>
      <c r="B3012" t="s">
        <v>3115</v>
      </c>
      <c r="C3012" s="1">
        <v>45741</v>
      </c>
      <c r="D3012" t="str">
        <f>"64"</f>
        <v>64</v>
      </c>
      <c r="E3012" t="str">
        <f>"60440000"</f>
        <v>60440000</v>
      </c>
      <c r="F3012" t="s">
        <v>5255</v>
      </c>
      <c r="G3012" t="s">
        <v>336</v>
      </c>
      <c r="H3012" t="s">
        <v>5875</v>
      </c>
      <c r="I3012">
        <v>0</v>
      </c>
      <c r="J3012" t="s">
        <v>343</v>
      </c>
      <c r="K3012">
        <v>1837</v>
      </c>
      <c r="M3012">
        <v>1837</v>
      </c>
    </row>
    <row r="3013" spans="1:13" x14ac:dyDescent="0.35">
      <c r="A3013" t="str">
        <f t="shared" si="163"/>
        <v>STKCDG457416560440000</v>
      </c>
      <c r="B3013" t="s">
        <v>3115</v>
      </c>
      <c r="C3013" s="1">
        <v>45741</v>
      </c>
      <c r="D3013" t="str">
        <f>"65"</f>
        <v>65</v>
      </c>
      <c r="E3013" t="str">
        <f>"60440000"</f>
        <v>60440000</v>
      </c>
      <c r="F3013" t="s">
        <v>5257</v>
      </c>
      <c r="G3013" t="s">
        <v>336</v>
      </c>
      <c r="H3013" t="s">
        <v>5966</v>
      </c>
      <c r="I3013">
        <v>0</v>
      </c>
      <c r="J3013" t="s">
        <v>343</v>
      </c>
      <c r="K3013">
        <v>50000</v>
      </c>
      <c r="M3013">
        <v>50000</v>
      </c>
    </row>
    <row r="3014" spans="1:13" x14ac:dyDescent="0.35">
      <c r="A3014" t="str">
        <f t="shared" si="163"/>
        <v>STKCDG457416660460000</v>
      </c>
      <c r="B3014" t="s">
        <v>3115</v>
      </c>
      <c r="C3014" s="1">
        <v>45741</v>
      </c>
      <c r="D3014" t="str">
        <f>"66"</f>
        <v>66</v>
      </c>
      <c r="E3014" t="str">
        <f>"60460000"</f>
        <v>60460000</v>
      </c>
      <c r="F3014" t="s">
        <v>5259</v>
      </c>
      <c r="G3014" t="s">
        <v>336</v>
      </c>
      <c r="H3014" t="s">
        <v>5875</v>
      </c>
      <c r="I3014">
        <v>0</v>
      </c>
      <c r="J3014" t="s">
        <v>343</v>
      </c>
      <c r="K3014">
        <v>600</v>
      </c>
      <c r="M3014">
        <v>600</v>
      </c>
    </row>
    <row r="3015" spans="1:13" x14ac:dyDescent="0.35">
      <c r="A3015" t="str">
        <f t="shared" si="163"/>
        <v>STKCDG457416760410000</v>
      </c>
      <c r="B3015" t="s">
        <v>3115</v>
      </c>
      <c r="C3015" s="1">
        <v>45741</v>
      </c>
      <c r="D3015" t="str">
        <f>"67"</f>
        <v>67</v>
      </c>
      <c r="E3015" t="str">
        <f>"60410000"</f>
        <v>60410000</v>
      </c>
      <c r="F3015" t="s">
        <v>5261</v>
      </c>
      <c r="G3015" t="s">
        <v>336</v>
      </c>
      <c r="H3015" t="s">
        <v>5966</v>
      </c>
      <c r="I3015">
        <v>0</v>
      </c>
      <c r="J3015" t="s">
        <v>343</v>
      </c>
      <c r="K3015">
        <v>13440</v>
      </c>
      <c r="M3015">
        <v>13440</v>
      </c>
    </row>
    <row r="3016" spans="1:13" x14ac:dyDescent="0.35">
      <c r="A3016" t="str">
        <f t="shared" si="163"/>
        <v>STKCDG457416860460000</v>
      </c>
      <c r="B3016" t="s">
        <v>3115</v>
      </c>
      <c r="C3016" s="1">
        <v>45741</v>
      </c>
      <c r="D3016" t="str">
        <f>"68"</f>
        <v>68</v>
      </c>
      <c r="E3016" t="str">
        <f>"60460000"</f>
        <v>60460000</v>
      </c>
      <c r="F3016" t="s">
        <v>5263</v>
      </c>
      <c r="G3016" t="s">
        <v>336</v>
      </c>
      <c r="H3016" t="s">
        <v>5874</v>
      </c>
      <c r="I3016">
        <v>0</v>
      </c>
      <c r="J3016" t="s">
        <v>343</v>
      </c>
      <c r="K3016">
        <v>300</v>
      </c>
      <c r="M3016">
        <v>300</v>
      </c>
    </row>
    <row r="3017" spans="1:13" x14ac:dyDescent="0.35">
      <c r="A3017" t="str">
        <f t="shared" si="163"/>
        <v>STKCDG457416960440000</v>
      </c>
      <c r="B3017" t="s">
        <v>3115</v>
      </c>
      <c r="C3017" s="1">
        <v>45741</v>
      </c>
      <c r="D3017" t="str">
        <f>"69"</f>
        <v>69</v>
      </c>
      <c r="E3017" t="str">
        <f>"60440000"</f>
        <v>60440000</v>
      </c>
      <c r="F3017" t="s">
        <v>5265</v>
      </c>
      <c r="G3017" t="s">
        <v>336</v>
      </c>
      <c r="H3017" t="s">
        <v>5874</v>
      </c>
      <c r="I3017">
        <v>0</v>
      </c>
      <c r="J3017" t="s">
        <v>343</v>
      </c>
      <c r="K3017">
        <v>20000</v>
      </c>
      <c r="M3017">
        <v>20000</v>
      </c>
    </row>
    <row r="3018" spans="1:13" x14ac:dyDescent="0.35">
      <c r="A3018" t="str">
        <f t="shared" si="163"/>
        <v>STKCDG457417060460000</v>
      </c>
      <c r="B3018" t="s">
        <v>3115</v>
      </c>
      <c r="C3018" s="1">
        <v>45741</v>
      </c>
      <c r="D3018" t="str">
        <f>"70"</f>
        <v>70</v>
      </c>
      <c r="E3018" t="str">
        <f>"60460000"</f>
        <v>60460000</v>
      </c>
      <c r="F3018" t="s">
        <v>5267</v>
      </c>
      <c r="G3018" t="s">
        <v>336</v>
      </c>
      <c r="H3018" t="s">
        <v>5876</v>
      </c>
      <c r="I3018">
        <v>0</v>
      </c>
      <c r="J3018" t="s">
        <v>343</v>
      </c>
      <c r="K3018">
        <v>2100</v>
      </c>
      <c r="M3018">
        <v>2100</v>
      </c>
    </row>
    <row r="3019" spans="1:13" x14ac:dyDescent="0.35">
      <c r="A3019" t="str">
        <f t="shared" si="163"/>
        <v>STKCDG457417160440000</v>
      </c>
      <c r="B3019" t="s">
        <v>3115</v>
      </c>
      <c r="C3019" s="1">
        <v>45741</v>
      </c>
      <c r="D3019" t="str">
        <f>"71"</f>
        <v>71</v>
      </c>
      <c r="E3019" t="str">
        <f>"60440000"</f>
        <v>60440000</v>
      </c>
      <c r="F3019" t="s">
        <v>5269</v>
      </c>
      <c r="G3019" t="s">
        <v>336</v>
      </c>
      <c r="H3019" t="s">
        <v>5875</v>
      </c>
      <c r="I3019">
        <v>0</v>
      </c>
      <c r="J3019" t="s">
        <v>343</v>
      </c>
      <c r="K3019">
        <v>80000</v>
      </c>
      <c r="M3019">
        <v>80000</v>
      </c>
    </row>
    <row r="3020" spans="1:13" x14ac:dyDescent="0.35">
      <c r="A3020" t="str">
        <f t="shared" si="163"/>
        <v>STKCDG457417260460000</v>
      </c>
      <c r="B3020" t="s">
        <v>3115</v>
      </c>
      <c r="C3020" s="1">
        <v>45741</v>
      </c>
      <c r="D3020" t="str">
        <f>"72"</f>
        <v>72</v>
      </c>
      <c r="E3020" t="str">
        <f>"60460000"</f>
        <v>60460000</v>
      </c>
      <c r="F3020" t="s">
        <v>5271</v>
      </c>
      <c r="G3020" t="s">
        <v>336</v>
      </c>
      <c r="H3020" t="s">
        <v>5876</v>
      </c>
      <c r="I3020">
        <v>0</v>
      </c>
      <c r="J3020" t="s">
        <v>343</v>
      </c>
      <c r="K3020">
        <v>600</v>
      </c>
      <c r="M3020">
        <v>600</v>
      </c>
    </row>
    <row r="3021" spans="1:13" x14ac:dyDescent="0.35">
      <c r="A3021" t="str">
        <f t="shared" si="163"/>
        <v>STKCDG457417360440000</v>
      </c>
      <c r="B3021" t="s">
        <v>3115</v>
      </c>
      <c r="C3021" s="1">
        <v>45741</v>
      </c>
      <c r="D3021" t="str">
        <f>"73"</f>
        <v>73</v>
      </c>
      <c r="E3021" t="str">
        <f>"60440000"</f>
        <v>60440000</v>
      </c>
      <c r="F3021" t="s">
        <v>5273</v>
      </c>
      <c r="G3021" t="s">
        <v>336</v>
      </c>
      <c r="H3021" t="s">
        <v>5881</v>
      </c>
      <c r="I3021">
        <v>0</v>
      </c>
      <c r="J3021" t="s">
        <v>343</v>
      </c>
      <c r="K3021">
        <v>80000</v>
      </c>
      <c r="M3021">
        <v>80000</v>
      </c>
    </row>
    <row r="3022" spans="1:13" x14ac:dyDescent="0.35">
      <c r="A3022" t="str">
        <f t="shared" si="163"/>
        <v>STKCDG457417460440000</v>
      </c>
      <c r="B3022" t="s">
        <v>3115</v>
      </c>
      <c r="C3022" s="1">
        <v>45741</v>
      </c>
      <c r="D3022" t="str">
        <f>"74"</f>
        <v>74</v>
      </c>
      <c r="E3022" t="str">
        <f>"60440000"</f>
        <v>60440000</v>
      </c>
      <c r="F3022" t="s">
        <v>5275</v>
      </c>
      <c r="G3022" t="s">
        <v>336</v>
      </c>
      <c r="H3022" t="s">
        <v>5874</v>
      </c>
      <c r="I3022">
        <v>0</v>
      </c>
      <c r="J3022" t="s">
        <v>343</v>
      </c>
      <c r="K3022">
        <v>5510</v>
      </c>
      <c r="M3022">
        <v>5510</v>
      </c>
    </row>
    <row r="3023" spans="1:13" x14ac:dyDescent="0.35">
      <c r="A3023" t="str">
        <f t="shared" si="163"/>
        <v>STKCDG457417560440000</v>
      </c>
      <c r="B3023" t="s">
        <v>3115</v>
      </c>
      <c r="C3023" s="1">
        <v>45741</v>
      </c>
      <c r="D3023" t="str">
        <f>"75"</f>
        <v>75</v>
      </c>
      <c r="E3023" t="str">
        <f>"60440000"</f>
        <v>60440000</v>
      </c>
      <c r="F3023" t="s">
        <v>5277</v>
      </c>
      <c r="G3023" t="s">
        <v>336</v>
      </c>
      <c r="H3023" t="s">
        <v>5874</v>
      </c>
      <c r="I3023">
        <v>0</v>
      </c>
      <c r="J3023" t="s">
        <v>343</v>
      </c>
      <c r="K3023">
        <v>60000</v>
      </c>
      <c r="M3023">
        <v>60000</v>
      </c>
    </row>
    <row r="3024" spans="1:13" x14ac:dyDescent="0.35">
      <c r="A3024" t="str">
        <f t="shared" si="163"/>
        <v>STKCDG457417660430000</v>
      </c>
      <c r="B3024" t="s">
        <v>3115</v>
      </c>
      <c r="C3024" s="1">
        <v>45741</v>
      </c>
      <c r="D3024" t="str">
        <f>"76"</f>
        <v>76</v>
      </c>
      <c r="E3024" t="str">
        <f>"60430000"</f>
        <v>60430000</v>
      </c>
      <c r="F3024" t="s">
        <v>5279</v>
      </c>
      <c r="G3024" t="s">
        <v>336</v>
      </c>
      <c r="H3024" t="s">
        <v>5874</v>
      </c>
      <c r="I3024">
        <v>0</v>
      </c>
      <c r="J3024" t="s">
        <v>343</v>
      </c>
      <c r="K3024">
        <v>96320</v>
      </c>
      <c r="M3024">
        <v>96320</v>
      </c>
    </row>
    <row r="3025" spans="1:13" x14ac:dyDescent="0.35">
      <c r="A3025" t="str">
        <f t="shared" si="163"/>
        <v>STKCDG457417760460000</v>
      </c>
      <c r="B3025" t="s">
        <v>3115</v>
      </c>
      <c r="C3025" s="1">
        <v>45741</v>
      </c>
      <c r="D3025" t="str">
        <f>"77"</f>
        <v>77</v>
      </c>
      <c r="E3025" t="str">
        <f>"60460000"</f>
        <v>60460000</v>
      </c>
      <c r="F3025" t="s">
        <v>5281</v>
      </c>
      <c r="G3025" t="s">
        <v>336</v>
      </c>
      <c r="H3025" t="s">
        <v>5874</v>
      </c>
      <c r="I3025">
        <v>0</v>
      </c>
      <c r="J3025" t="s">
        <v>343</v>
      </c>
      <c r="K3025">
        <v>900</v>
      </c>
      <c r="M3025">
        <v>900</v>
      </c>
    </row>
    <row r="3026" spans="1:13" x14ac:dyDescent="0.35">
      <c r="A3026" t="str">
        <f t="shared" si="163"/>
        <v>STKCDG457417860440000</v>
      </c>
      <c r="B3026" t="s">
        <v>3115</v>
      </c>
      <c r="C3026" s="1">
        <v>45741</v>
      </c>
      <c r="D3026" t="str">
        <f>"78"</f>
        <v>78</v>
      </c>
      <c r="E3026" t="str">
        <f>"60440000"</f>
        <v>60440000</v>
      </c>
      <c r="F3026" t="s">
        <v>5283</v>
      </c>
      <c r="G3026" t="s">
        <v>336</v>
      </c>
      <c r="H3026" t="s">
        <v>5881</v>
      </c>
      <c r="I3026">
        <v>0</v>
      </c>
      <c r="J3026" t="s">
        <v>343</v>
      </c>
      <c r="K3026">
        <v>60000</v>
      </c>
      <c r="M3026">
        <v>60000</v>
      </c>
    </row>
    <row r="3027" spans="1:13" x14ac:dyDescent="0.35">
      <c r="A3027" t="str">
        <f t="shared" si="163"/>
        <v>STKCDG457417960440000</v>
      </c>
      <c r="B3027" t="s">
        <v>3115</v>
      </c>
      <c r="C3027" s="1">
        <v>45741</v>
      </c>
      <c r="D3027" t="str">
        <f>"79"</f>
        <v>79</v>
      </c>
      <c r="E3027" t="str">
        <f>"60440000"</f>
        <v>60440000</v>
      </c>
      <c r="F3027" t="s">
        <v>5285</v>
      </c>
      <c r="G3027" t="s">
        <v>336</v>
      </c>
      <c r="H3027" t="s">
        <v>5876</v>
      </c>
      <c r="I3027">
        <v>0</v>
      </c>
      <c r="J3027" t="s">
        <v>343</v>
      </c>
      <c r="K3027">
        <v>181701</v>
      </c>
      <c r="M3027">
        <v>181701</v>
      </c>
    </row>
    <row r="3028" spans="1:13" x14ac:dyDescent="0.35">
      <c r="A3028" t="str">
        <f t="shared" si="163"/>
        <v>STKCDG457418060430000</v>
      </c>
      <c r="B3028" t="s">
        <v>3115</v>
      </c>
      <c r="C3028" s="1">
        <v>45741</v>
      </c>
      <c r="D3028" t="str">
        <f>"80"</f>
        <v>80</v>
      </c>
      <c r="E3028" t="str">
        <f>"60430000"</f>
        <v>60430000</v>
      </c>
      <c r="F3028" t="s">
        <v>5287</v>
      </c>
      <c r="G3028" t="s">
        <v>336</v>
      </c>
      <c r="H3028" t="s">
        <v>5876</v>
      </c>
      <c r="I3028">
        <v>0</v>
      </c>
      <c r="J3028" t="s">
        <v>343</v>
      </c>
      <c r="K3028">
        <v>162121</v>
      </c>
      <c r="M3028">
        <v>162121</v>
      </c>
    </row>
    <row r="3029" spans="1:13" x14ac:dyDescent="0.35">
      <c r="A3029" t="str">
        <f t="shared" si="163"/>
        <v>STKCDG457418160460000</v>
      </c>
      <c r="B3029" t="s">
        <v>3115</v>
      </c>
      <c r="C3029" s="1">
        <v>45741</v>
      </c>
      <c r="D3029" t="str">
        <f>"81"</f>
        <v>81</v>
      </c>
      <c r="E3029" t="str">
        <f>"60460000"</f>
        <v>60460000</v>
      </c>
      <c r="F3029" t="s">
        <v>5289</v>
      </c>
      <c r="G3029" t="s">
        <v>336</v>
      </c>
      <c r="H3029" t="s">
        <v>5949</v>
      </c>
      <c r="I3029">
        <v>0</v>
      </c>
      <c r="J3029" t="s">
        <v>343</v>
      </c>
      <c r="K3029">
        <v>90000</v>
      </c>
      <c r="M3029">
        <v>90000</v>
      </c>
    </row>
    <row r="3030" spans="1:13" x14ac:dyDescent="0.35">
      <c r="A3030" t="str">
        <f t="shared" si="163"/>
        <v>STKCDG457418260440000</v>
      </c>
      <c r="B3030" t="s">
        <v>3115</v>
      </c>
      <c r="C3030" s="1">
        <v>45741</v>
      </c>
      <c r="D3030" t="str">
        <f>"82"</f>
        <v>82</v>
      </c>
      <c r="E3030" t="str">
        <f>"60440000"</f>
        <v>60440000</v>
      </c>
      <c r="F3030" t="s">
        <v>5291</v>
      </c>
      <c r="G3030" t="s">
        <v>336</v>
      </c>
      <c r="H3030" t="s">
        <v>5874</v>
      </c>
      <c r="I3030">
        <v>0</v>
      </c>
      <c r="J3030" t="s">
        <v>343</v>
      </c>
      <c r="K3030">
        <v>220000</v>
      </c>
      <c r="M3030">
        <v>220000</v>
      </c>
    </row>
    <row r="3031" spans="1:13" x14ac:dyDescent="0.35">
      <c r="A3031" t="str">
        <f t="shared" si="163"/>
        <v>STKCDG457418360440000</v>
      </c>
      <c r="B3031" t="s">
        <v>3115</v>
      </c>
      <c r="C3031" s="1">
        <v>45741</v>
      </c>
      <c r="D3031" t="str">
        <f>"83"</f>
        <v>83</v>
      </c>
      <c r="E3031" t="str">
        <f>"60440000"</f>
        <v>60440000</v>
      </c>
      <c r="F3031" t="s">
        <v>5293</v>
      </c>
      <c r="G3031" t="s">
        <v>336</v>
      </c>
      <c r="H3031" t="s">
        <v>5874</v>
      </c>
      <c r="I3031">
        <v>0</v>
      </c>
      <c r="J3031" t="s">
        <v>343</v>
      </c>
      <c r="K3031">
        <v>93802</v>
      </c>
      <c r="M3031">
        <v>93802</v>
      </c>
    </row>
    <row r="3032" spans="1:13" x14ac:dyDescent="0.35">
      <c r="A3032" t="str">
        <f t="shared" si="163"/>
        <v>STKCDG457418460460000</v>
      </c>
      <c r="B3032" t="s">
        <v>3115</v>
      </c>
      <c r="C3032" s="1">
        <v>45741</v>
      </c>
      <c r="D3032" t="str">
        <f>"84"</f>
        <v>84</v>
      </c>
      <c r="E3032" t="str">
        <f>"60460000"</f>
        <v>60460000</v>
      </c>
      <c r="F3032" t="s">
        <v>5295</v>
      </c>
      <c r="G3032" t="s">
        <v>336</v>
      </c>
      <c r="H3032" t="s">
        <v>5949</v>
      </c>
      <c r="I3032">
        <v>0</v>
      </c>
      <c r="J3032" t="s">
        <v>343</v>
      </c>
      <c r="K3032">
        <v>600</v>
      </c>
      <c r="M3032">
        <v>600</v>
      </c>
    </row>
    <row r="3033" spans="1:13" x14ac:dyDescent="0.35">
      <c r="A3033" t="str">
        <f t="shared" si="163"/>
        <v>STKCDG457418560440000</v>
      </c>
      <c r="B3033" t="s">
        <v>3115</v>
      </c>
      <c r="C3033" s="1">
        <v>45741</v>
      </c>
      <c r="D3033" t="str">
        <f>"85"</f>
        <v>85</v>
      </c>
      <c r="E3033" t="str">
        <f>"60440000"</f>
        <v>60440000</v>
      </c>
      <c r="F3033" t="s">
        <v>5297</v>
      </c>
      <c r="G3033" t="s">
        <v>336</v>
      </c>
      <c r="H3033" t="s">
        <v>5876</v>
      </c>
      <c r="I3033">
        <v>0</v>
      </c>
      <c r="J3033" t="s">
        <v>343</v>
      </c>
      <c r="K3033">
        <v>181701</v>
      </c>
      <c r="M3033">
        <v>181701</v>
      </c>
    </row>
    <row r="3034" spans="1:13" x14ac:dyDescent="0.35">
      <c r="A3034" t="str">
        <f t="shared" si="163"/>
        <v>STKCDG457418660440000</v>
      </c>
      <c r="B3034" t="s">
        <v>3115</v>
      </c>
      <c r="C3034" s="1">
        <v>45741</v>
      </c>
      <c r="D3034" t="str">
        <f>"86"</f>
        <v>86</v>
      </c>
      <c r="E3034" t="str">
        <f>"60440000"</f>
        <v>60440000</v>
      </c>
      <c r="F3034" t="s">
        <v>5299</v>
      </c>
      <c r="G3034" t="s">
        <v>336</v>
      </c>
      <c r="H3034" t="s">
        <v>5875</v>
      </c>
      <c r="I3034">
        <v>0</v>
      </c>
      <c r="J3034" t="s">
        <v>343</v>
      </c>
      <c r="K3034">
        <v>20000</v>
      </c>
      <c r="M3034">
        <v>20000</v>
      </c>
    </row>
    <row r="3035" spans="1:13" x14ac:dyDescent="0.35">
      <c r="A3035" t="str">
        <f t="shared" si="163"/>
        <v>STKCDG457418760440000</v>
      </c>
      <c r="B3035" t="s">
        <v>3115</v>
      </c>
      <c r="C3035" s="1">
        <v>45741</v>
      </c>
      <c r="D3035" t="str">
        <f>"87"</f>
        <v>87</v>
      </c>
      <c r="E3035" t="str">
        <f>"60440000"</f>
        <v>60440000</v>
      </c>
      <c r="F3035" t="s">
        <v>5301</v>
      </c>
      <c r="G3035" t="s">
        <v>336</v>
      </c>
      <c r="H3035" t="s">
        <v>5874</v>
      </c>
      <c r="I3035">
        <v>0</v>
      </c>
      <c r="J3035" t="s">
        <v>343</v>
      </c>
      <c r="K3035">
        <v>70000</v>
      </c>
      <c r="M3035">
        <v>70000</v>
      </c>
    </row>
    <row r="3036" spans="1:13" x14ac:dyDescent="0.35">
      <c r="A3036" t="str">
        <f t="shared" si="163"/>
        <v>STKCDG457418860440000</v>
      </c>
      <c r="B3036" t="s">
        <v>3115</v>
      </c>
      <c r="C3036" s="1">
        <v>45741</v>
      </c>
      <c r="D3036" t="str">
        <f>"88"</f>
        <v>88</v>
      </c>
      <c r="E3036" t="str">
        <f>"60440000"</f>
        <v>60440000</v>
      </c>
      <c r="F3036" t="s">
        <v>5303</v>
      </c>
      <c r="G3036" t="s">
        <v>336</v>
      </c>
      <c r="H3036" t="s">
        <v>5876</v>
      </c>
      <c r="I3036">
        <v>0</v>
      </c>
      <c r="J3036" t="s">
        <v>343</v>
      </c>
      <c r="K3036">
        <v>20000</v>
      </c>
      <c r="M3036">
        <v>20000</v>
      </c>
    </row>
    <row r="3037" spans="1:13" x14ac:dyDescent="0.35">
      <c r="A3037" t="str">
        <f t="shared" si="163"/>
        <v>STKCDG457418960440000</v>
      </c>
      <c r="B3037" t="s">
        <v>3115</v>
      </c>
      <c r="C3037" s="1">
        <v>45741</v>
      </c>
      <c r="D3037" t="str">
        <f>"89"</f>
        <v>89</v>
      </c>
      <c r="E3037" t="str">
        <f>"60440000"</f>
        <v>60440000</v>
      </c>
      <c r="F3037" t="s">
        <v>5305</v>
      </c>
      <c r="G3037" t="s">
        <v>336</v>
      </c>
      <c r="H3037" t="s">
        <v>5876</v>
      </c>
      <c r="I3037">
        <v>0</v>
      </c>
      <c r="J3037" t="s">
        <v>343</v>
      </c>
      <c r="K3037">
        <v>45000</v>
      </c>
      <c r="M3037">
        <v>45000</v>
      </c>
    </row>
    <row r="3038" spans="1:13" x14ac:dyDescent="0.35">
      <c r="A3038" t="str">
        <f t="shared" si="163"/>
        <v>STKCDG457419060460000</v>
      </c>
      <c r="B3038" t="s">
        <v>3115</v>
      </c>
      <c r="C3038" s="1">
        <v>45741</v>
      </c>
      <c r="D3038" t="str">
        <f>"90"</f>
        <v>90</v>
      </c>
      <c r="E3038" t="str">
        <f>"60460000"</f>
        <v>60460000</v>
      </c>
      <c r="F3038" t="s">
        <v>5307</v>
      </c>
      <c r="G3038" t="s">
        <v>336</v>
      </c>
      <c r="H3038" t="s">
        <v>5876</v>
      </c>
      <c r="I3038">
        <v>0</v>
      </c>
      <c r="J3038" t="s">
        <v>343</v>
      </c>
      <c r="K3038">
        <v>300</v>
      </c>
      <c r="M3038">
        <v>300</v>
      </c>
    </row>
    <row r="3039" spans="1:13" x14ac:dyDescent="0.35">
      <c r="A3039" t="str">
        <f t="shared" si="163"/>
        <v>STKCDG457419160440000</v>
      </c>
      <c r="B3039" t="s">
        <v>3115</v>
      </c>
      <c r="C3039" s="1">
        <v>45741</v>
      </c>
      <c r="D3039" t="str">
        <f>"91"</f>
        <v>91</v>
      </c>
      <c r="E3039" t="str">
        <f>"60440000"</f>
        <v>60440000</v>
      </c>
      <c r="F3039" t="s">
        <v>5309</v>
      </c>
      <c r="G3039" t="s">
        <v>336</v>
      </c>
      <c r="H3039" t="s">
        <v>5876</v>
      </c>
      <c r="I3039">
        <v>0</v>
      </c>
      <c r="J3039" t="s">
        <v>343</v>
      </c>
      <c r="K3039">
        <v>3500</v>
      </c>
      <c r="M3039">
        <v>3500</v>
      </c>
    </row>
    <row r="3040" spans="1:13" x14ac:dyDescent="0.35">
      <c r="A3040" t="str">
        <f t="shared" si="163"/>
        <v>STKCDG457419260440000</v>
      </c>
      <c r="B3040" t="s">
        <v>3115</v>
      </c>
      <c r="C3040" s="1">
        <v>45741</v>
      </c>
      <c r="D3040" t="str">
        <f>"92"</f>
        <v>92</v>
      </c>
      <c r="E3040" t="str">
        <f>"60440000"</f>
        <v>60440000</v>
      </c>
      <c r="F3040" t="s">
        <v>5311</v>
      </c>
      <c r="G3040" t="s">
        <v>336</v>
      </c>
      <c r="H3040" t="s">
        <v>5958</v>
      </c>
      <c r="I3040">
        <v>0</v>
      </c>
      <c r="J3040" t="s">
        <v>343</v>
      </c>
      <c r="K3040">
        <v>250000</v>
      </c>
      <c r="M3040">
        <v>250000</v>
      </c>
    </row>
    <row r="3041" spans="1:13" x14ac:dyDescent="0.35">
      <c r="A3041" t="str">
        <f t="shared" si="163"/>
        <v>STKCDG457419360430000</v>
      </c>
      <c r="B3041" t="s">
        <v>3115</v>
      </c>
      <c r="C3041" s="1">
        <v>45741</v>
      </c>
      <c r="D3041" t="str">
        <f>"93"</f>
        <v>93</v>
      </c>
      <c r="E3041" t="str">
        <f>"60430000"</f>
        <v>60430000</v>
      </c>
      <c r="F3041" t="s">
        <v>5313</v>
      </c>
      <c r="G3041" t="s">
        <v>336</v>
      </c>
      <c r="H3041" t="s">
        <v>5876</v>
      </c>
      <c r="I3041">
        <v>0</v>
      </c>
      <c r="J3041" t="s">
        <v>343</v>
      </c>
      <c r="K3041">
        <v>120400</v>
      </c>
      <c r="M3041">
        <v>120400</v>
      </c>
    </row>
    <row r="3042" spans="1:13" x14ac:dyDescent="0.35">
      <c r="A3042" t="str">
        <f t="shared" si="163"/>
        <v>STKCDG457419460440000</v>
      </c>
      <c r="B3042" t="s">
        <v>3115</v>
      </c>
      <c r="C3042" s="1">
        <v>45741</v>
      </c>
      <c r="D3042" t="str">
        <f>"94"</f>
        <v>94</v>
      </c>
      <c r="E3042" t="str">
        <f>"60440000"</f>
        <v>60440000</v>
      </c>
      <c r="F3042" t="s">
        <v>5315</v>
      </c>
      <c r="G3042" t="s">
        <v>336</v>
      </c>
      <c r="H3042" t="s">
        <v>5946</v>
      </c>
      <c r="I3042">
        <v>0</v>
      </c>
      <c r="J3042" t="s">
        <v>343</v>
      </c>
      <c r="K3042">
        <v>180000</v>
      </c>
      <c r="M3042">
        <v>180000</v>
      </c>
    </row>
    <row r="3043" spans="1:13" x14ac:dyDescent="0.35">
      <c r="A3043" t="str">
        <f t="shared" si="163"/>
        <v>STKCDG457419560440000</v>
      </c>
      <c r="B3043" t="s">
        <v>3115</v>
      </c>
      <c r="C3043" s="1">
        <v>45741</v>
      </c>
      <c r="D3043" t="str">
        <f>"95"</f>
        <v>95</v>
      </c>
      <c r="E3043" t="str">
        <f>"60440000"</f>
        <v>60440000</v>
      </c>
      <c r="F3043" t="s">
        <v>5317</v>
      </c>
      <c r="G3043" t="s">
        <v>336</v>
      </c>
      <c r="H3043" t="s">
        <v>5949</v>
      </c>
      <c r="I3043">
        <v>0</v>
      </c>
      <c r="J3043" t="s">
        <v>343</v>
      </c>
      <c r="K3043">
        <v>2493</v>
      </c>
      <c r="M3043">
        <v>2493</v>
      </c>
    </row>
    <row r="3044" spans="1:13" x14ac:dyDescent="0.35">
      <c r="A3044" t="str">
        <f t="shared" si="163"/>
        <v>STKCDG457419660440000</v>
      </c>
      <c r="B3044" t="s">
        <v>3115</v>
      </c>
      <c r="C3044" s="1">
        <v>45741</v>
      </c>
      <c r="D3044" t="str">
        <f>"96"</f>
        <v>96</v>
      </c>
      <c r="E3044" t="str">
        <f>"60440000"</f>
        <v>60440000</v>
      </c>
      <c r="F3044" t="s">
        <v>5319</v>
      </c>
      <c r="G3044" t="s">
        <v>336</v>
      </c>
      <c r="H3044" t="s">
        <v>5880</v>
      </c>
      <c r="I3044">
        <v>0</v>
      </c>
      <c r="J3044" t="s">
        <v>343</v>
      </c>
      <c r="K3044">
        <v>180000</v>
      </c>
      <c r="M3044">
        <v>180000</v>
      </c>
    </row>
    <row r="3045" spans="1:13" x14ac:dyDescent="0.35">
      <c r="A3045" t="str">
        <f t="shared" si="163"/>
        <v>STKCDG457419760460000</v>
      </c>
      <c r="B3045" t="s">
        <v>3115</v>
      </c>
      <c r="C3045" s="1">
        <v>45741</v>
      </c>
      <c r="D3045" t="str">
        <f>"97"</f>
        <v>97</v>
      </c>
      <c r="E3045" t="str">
        <f>"60460000"</f>
        <v>60460000</v>
      </c>
      <c r="F3045" t="s">
        <v>5321</v>
      </c>
      <c r="G3045" t="s">
        <v>336</v>
      </c>
      <c r="H3045" t="s">
        <v>5949</v>
      </c>
      <c r="I3045">
        <v>0</v>
      </c>
      <c r="J3045" t="s">
        <v>343</v>
      </c>
      <c r="K3045">
        <v>3000</v>
      </c>
      <c r="M3045">
        <v>3000</v>
      </c>
    </row>
    <row r="3046" spans="1:13" x14ac:dyDescent="0.35">
      <c r="A3046" t="str">
        <f t="shared" si="163"/>
        <v>STKCDG457419860440000</v>
      </c>
      <c r="B3046" t="s">
        <v>3115</v>
      </c>
      <c r="C3046" s="1">
        <v>45741</v>
      </c>
      <c r="D3046" t="str">
        <f>"98"</f>
        <v>98</v>
      </c>
      <c r="E3046" t="str">
        <f>"60440000"</f>
        <v>60440000</v>
      </c>
      <c r="F3046" t="s">
        <v>5323</v>
      </c>
      <c r="G3046" t="s">
        <v>336</v>
      </c>
      <c r="H3046" t="s">
        <v>5874</v>
      </c>
      <c r="I3046">
        <v>0</v>
      </c>
      <c r="J3046" t="s">
        <v>343</v>
      </c>
      <c r="K3046">
        <v>95000</v>
      </c>
      <c r="M3046">
        <v>95000</v>
      </c>
    </row>
    <row r="3047" spans="1:13" x14ac:dyDescent="0.35">
      <c r="A3047" t="str">
        <f t="shared" si="163"/>
        <v>STKCDG457419960460000</v>
      </c>
      <c r="B3047" t="s">
        <v>3115</v>
      </c>
      <c r="C3047" s="1">
        <v>45741</v>
      </c>
      <c r="D3047" t="str">
        <f>"99"</f>
        <v>99</v>
      </c>
      <c r="E3047" t="str">
        <f>"60460000"</f>
        <v>60460000</v>
      </c>
      <c r="F3047" t="s">
        <v>5325</v>
      </c>
      <c r="G3047" t="s">
        <v>336</v>
      </c>
      <c r="H3047" t="s">
        <v>5874</v>
      </c>
      <c r="I3047">
        <v>0</v>
      </c>
      <c r="J3047" t="s">
        <v>343</v>
      </c>
      <c r="K3047">
        <v>980</v>
      </c>
      <c r="M3047">
        <v>7142</v>
      </c>
    </row>
    <row r="3048" spans="1:13" x14ac:dyDescent="0.35">
      <c r="A3048" t="str">
        <f t="shared" si="163"/>
        <v>STKCDG457419960460000</v>
      </c>
      <c r="B3048" t="s">
        <v>3115</v>
      </c>
      <c r="C3048" s="1">
        <v>45741</v>
      </c>
      <c r="D3048" t="str">
        <f>"99"</f>
        <v>99</v>
      </c>
      <c r="E3048" t="str">
        <f>"60460000"</f>
        <v>60460000</v>
      </c>
      <c r="F3048" t="s">
        <v>5325</v>
      </c>
      <c r="G3048" t="s">
        <v>336</v>
      </c>
      <c r="H3048" t="s">
        <v>5874</v>
      </c>
      <c r="I3048">
        <v>0</v>
      </c>
      <c r="J3048" t="s">
        <v>343</v>
      </c>
      <c r="K3048">
        <v>6162</v>
      </c>
      <c r="M3048">
        <v>7142</v>
      </c>
    </row>
    <row r="3049" spans="1:13" x14ac:dyDescent="0.35">
      <c r="A3049" t="str">
        <f t="shared" si="163"/>
        <v>STKCDG4574110060440000</v>
      </c>
      <c r="B3049" t="s">
        <v>3115</v>
      </c>
      <c r="C3049" s="1">
        <v>45741</v>
      </c>
      <c r="D3049" t="str">
        <f>"100"</f>
        <v>100</v>
      </c>
      <c r="E3049" t="str">
        <f>"60440000"</f>
        <v>60440000</v>
      </c>
      <c r="F3049" t="s">
        <v>5327</v>
      </c>
      <c r="G3049" t="s">
        <v>336</v>
      </c>
      <c r="H3049" t="s">
        <v>5881</v>
      </c>
      <c r="I3049">
        <v>0</v>
      </c>
      <c r="J3049" t="s">
        <v>343</v>
      </c>
      <c r="K3049">
        <v>80000</v>
      </c>
      <c r="M3049">
        <v>80000</v>
      </c>
    </row>
    <row r="3050" spans="1:13" x14ac:dyDescent="0.35">
      <c r="A3050" t="str">
        <f t="shared" si="163"/>
        <v>STKCDG4574110160460000</v>
      </c>
      <c r="B3050" t="s">
        <v>3115</v>
      </c>
      <c r="C3050" s="1">
        <v>45741</v>
      </c>
      <c r="D3050" t="str">
        <f>"101"</f>
        <v>101</v>
      </c>
      <c r="E3050" t="str">
        <f>"60460000"</f>
        <v>60460000</v>
      </c>
      <c r="F3050" t="s">
        <v>5329</v>
      </c>
      <c r="G3050" t="s">
        <v>336</v>
      </c>
      <c r="H3050" t="s">
        <v>5874</v>
      </c>
      <c r="I3050">
        <v>0</v>
      </c>
      <c r="J3050" t="s">
        <v>343</v>
      </c>
      <c r="K3050">
        <v>294</v>
      </c>
      <c r="M3050">
        <v>644</v>
      </c>
    </row>
    <row r="3051" spans="1:13" x14ac:dyDescent="0.35">
      <c r="A3051" t="str">
        <f t="shared" si="163"/>
        <v>STKCDG4574110160460000</v>
      </c>
      <c r="B3051" t="s">
        <v>3115</v>
      </c>
      <c r="C3051" s="1">
        <v>45741</v>
      </c>
      <c r="D3051" t="str">
        <f>"101"</f>
        <v>101</v>
      </c>
      <c r="E3051" t="str">
        <f>"60460000"</f>
        <v>60460000</v>
      </c>
      <c r="F3051" t="s">
        <v>5329</v>
      </c>
      <c r="G3051" t="s">
        <v>336</v>
      </c>
      <c r="H3051" t="s">
        <v>5874</v>
      </c>
      <c r="I3051">
        <v>0</v>
      </c>
      <c r="J3051" t="s">
        <v>343</v>
      </c>
      <c r="K3051">
        <v>350</v>
      </c>
      <c r="M3051">
        <v>644</v>
      </c>
    </row>
    <row r="3052" spans="1:13" x14ac:dyDescent="0.35">
      <c r="A3052" t="str">
        <f t="shared" si="163"/>
        <v>STKCDG4574110260440000</v>
      </c>
      <c r="B3052" t="s">
        <v>3115</v>
      </c>
      <c r="C3052" s="1">
        <v>45741</v>
      </c>
      <c r="D3052" t="str">
        <f>"102"</f>
        <v>102</v>
      </c>
      <c r="E3052" t="str">
        <f>"60440000"</f>
        <v>60440000</v>
      </c>
      <c r="F3052" t="s">
        <v>5331</v>
      </c>
      <c r="G3052" t="s">
        <v>336</v>
      </c>
      <c r="H3052" t="s">
        <v>5880</v>
      </c>
      <c r="I3052">
        <v>0</v>
      </c>
      <c r="J3052" t="s">
        <v>343</v>
      </c>
      <c r="K3052">
        <v>40000</v>
      </c>
      <c r="M3052">
        <v>40000</v>
      </c>
    </row>
    <row r="3053" spans="1:13" x14ac:dyDescent="0.35">
      <c r="A3053" t="str">
        <f t="shared" si="163"/>
        <v>STKCDG4574110360460000</v>
      </c>
      <c r="B3053" t="s">
        <v>3115</v>
      </c>
      <c r="C3053" s="1">
        <v>45741</v>
      </c>
      <c r="D3053" t="str">
        <f>"103"</f>
        <v>103</v>
      </c>
      <c r="E3053" t="str">
        <f>"60460000"</f>
        <v>60460000</v>
      </c>
      <c r="F3053" t="s">
        <v>5333</v>
      </c>
      <c r="G3053" t="s">
        <v>336</v>
      </c>
      <c r="H3053" t="s">
        <v>5880</v>
      </c>
      <c r="I3053">
        <v>0</v>
      </c>
      <c r="J3053" t="s">
        <v>343</v>
      </c>
      <c r="K3053">
        <v>300</v>
      </c>
      <c r="M3053">
        <v>300</v>
      </c>
    </row>
    <row r="3054" spans="1:13" x14ac:dyDescent="0.35">
      <c r="A3054" t="str">
        <f t="shared" si="163"/>
        <v>STKCDG4574110460440000</v>
      </c>
      <c r="B3054" t="s">
        <v>3115</v>
      </c>
      <c r="C3054" s="1">
        <v>45741</v>
      </c>
      <c r="D3054" t="str">
        <f>"104"</f>
        <v>104</v>
      </c>
      <c r="E3054" t="str">
        <f t="shared" ref="E3054:E3060" si="164">"60440000"</f>
        <v>60440000</v>
      </c>
      <c r="F3054" t="s">
        <v>5335</v>
      </c>
      <c r="G3054" t="s">
        <v>336</v>
      </c>
      <c r="H3054" t="s">
        <v>5874</v>
      </c>
      <c r="I3054">
        <v>0</v>
      </c>
      <c r="J3054" t="s">
        <v>343</v>
      </c>
      <c r="K3054">
        <v>3477</v>
      </c>
      <c r="M3054">
        <v>3477</v>
      </c>
    </row>
    <row r="3055" spans="1:13" x14ac:dyDescent="0.35">
      <c r="A3055" t="str">
        <f t="shared" si="163"/>
        <v>STKCDG4574110560440000</v>
      </c>
      <c r="B3055" t="s">
        <v>3115</v>
      </c>
      <c r="C3055" s="1">
        <v>45741</v>
      </c>
      <c r="D3055" t="str">
        <f>"105"</f>
        <v>105</v>
      </c>
      <c r="E3055" t="str">
        <f t="shared" si="164"/>
        <v>60440000</v>
      </c>
      <c r="F3055" t="s">
        <v>5337</v>
      </c>
      <c r="G3055" t="s">
        <v>336</v>
      </c>
      <c r="H3055" t="s">
        <v>5875</v>
      </c>
      <c r="I3055">
        <v>0</v>
      </c>
      <c r="J3055" t="s">
        <v>343</v>
      </c>
      <c r="K3055">
        <v>6954</v>
      </c>
      <c r="M3055">
        <v>6954</v>
      </c>
    </row>
    <row r="3056" spans="1:13" x14ac:dyDescent="0.35">
      <c r="A3056" t="str">
        <f t="shared" si="163"/>
        <v>STKCDG4574110660440000</v>
      </c>
      <c r="B3056" t="s">
        <v>3115</v>
      </c>
      <c r="C3056" s="1">
        <v>45741</v>
      </c>
      <c r="D3056" t="str">
        <f>"106"</f>
        <v>106</v>
      </c>
      <c r="E3056" t="str">
        <f t="shared" si="164"/>
        <v>60440000</v>
      </c>
      <c r="F3056" t="s">
        <v>5339</v>
      </c>
      <c r="G3056" t="s">
        <v>336</v>
      </c>
      <c r="H3056" t="s">
        <v>5880</v>
      </c>
      <c r="I3056">
        <v>0</v>
      </c>
      <c r="J3056" t="s">
        <v>343</v>
      </c>
      <c r="K3056">
        <v>39000</v>
      </c>
      <c r="M3056">
        <v>39000</v>
      </c>
    </row>
    <row r="3057" spans="1:13" x14ac:dyDescent="0.35">
      <c r="A3057" t="str">
        <f t="shared" si="163"/>
        <v>STKCDG4574110760440000</v>
      </c>
      <c r="B3057" t="s">
        <v>3115</v>
      </c>
      <c r="C3057" s="1">
        <v>45741</v>
      </c>
      <c r="D3057" t="str">
        <f>"107"</f>
        <v>107</v>
      </c>
      <c r="E3057" t="str">
        <f t="shared" si="164"/>
        <v>60440000</v>
      </c>
      <c r="F3057" t="s">
        <v>5341</v>
      </c>
      <c r="G3057" t="s">
        <v>336</v>
      </c>
      <c r="H3057" t="s">
        <v>5875</v>
      </c>
      <c r="I3057">
        <v>0</v>
      </c>
      <c r="J3057" t="s">
        <v>343</v>
      </c>
      <c r="K3057">
        <v>6000</v>
      </c>
      <c r="M3057">
        <v>6000</v>
      </c>
    </row>
    <row r="3058" spans="1:13" x14ac:dyDescent="0.35">
      <c r="A3058" t="str">
        <f t="shared" si="163"/>
        <v>STKCDG4574110860440000</v>
      </c>
      <c r="B3058" t="s">
        <v>3115</v>
      </c>
      <c r="C3058" s="1">
        <v>45741</v>
      </c>
      <c r="D3058" t="str">
        <f>"108"</f>
        <v>108</v>
      </c>
      <c r="E3058" t="str">
        <f t="shared" si="164"/>
        <v>60440000</v>
      </c>
      <c r="F3058" t="s">
        <v>5343</v>
      </c>
      <c r="G3058" t="s">
        <v>336</v>
      </c>
      <c r="H3058" t="s">
        <v>5876</v>
      </c>
      <c r="I3058">
        <v>0</v>
      </c>
      <c r="J3058" t="s">
        <v>343</v>
      </c>
      <c r="K3058">
        <v>9000</v>
      </c>
      <c r="M3058">
        <v>9000</v>
      </c>
    </row>
    <row r="3059" spans="1:13" x14ac:dyDescent="0.35">
      <c r="A3059" t="str">
        <f t="shared" si="163"/>
        <v>STKCDG4574110960440000</v>
      </c>
      <c r="B3059" t="s">
        <v>3115</v>
      </c>
      <c r="C3059" s="1">
        <v>45741</v>
      </c>
      <c r="D3059" t="str">
        <f>"109"</f>
        <v>109</v>
      </c>
      <c r="E3059" t="str">
        <f t="shared" si="164"/>
        <v>60440000</v>
      </c>
      <c r="F3059" t="s">
        <v>5345</v>
      </c>
      <c r="G3059" t="s">
        <v>336</v>
      </c>
      <c r="H3059" t="s">
        <v>5876</v>
      </c>
      <c r="I3059">
        <v>0</v>
      </c>
      <c r="J3059" t="s">
        <v>343</v>
      </c>
      <c r="K3059">
        <v>3000</v>
      </c>
      <c r="M3059">
        <v>3000</v>
      </c>
    </row>
    <row r="3060" spans="1:13" x14ac:dyDescent="0.35">
      <c r="A3060" t="str">
        <f t="shared" si="163"/>
        <v>STKCDG4574211060440000</v>
      </c>
      <c r="B3060" t="s">
        <v>3115</v>
      </c>
      <c r="C3060" s="1">
        <v>45742</v>
      </c>
      <c r="D3060" t="str">
        <f>"110"</f>
        <v>110</v>
      </c>
      <c r="E3060" t="str">
        <f t="shared" si="164"/>
        <v>60440000</v>
      </c>
      <c r="F3060" t="s">
        <v>5347</v>
      </c>
      <c r="G3060" t="s">
        <v>336</v>
      </c>
      <c r="H3060" t="s">
        <v>5876</v>
      </c>
      <c r="I3060">
        <v>0</v>
      </c>
      <c r="J3060" t="s">
        <v>343</v>
      </c>
      <c r="K3060">
        <v>87833</v>
      </c>
      <c r="M3060">
        <v>87833</v>
      </c>
    </row>
    <row r="3061" spans="1:13" x14ac:dyDescent="0.35">
      <c r="A3061" t="str">
        <f t="shared" si="163"/>
        <v>STKCDG4574211160460000</v>
      </c>
      <c r="B3061" t="s">
        <v>3115</v>
      </c>
      <c r="C3061" s="1">
        <v>45742</v>
      </c>
      <c r="D3061" t="str">
        <f>"111"</f>
        <v>111</v>
      </c>
      <c r="E3061" t="str">
        <f>"60460000"</f>
        <v>60460000</v>
      </c>
      <c r="F3061" t="s">
        <v>5349</v>
      </c>
      <c r="G3061" t="s">
        <v>336</v>
      </c>
      <c r="H3061" t="s">
        <v>5876</v>
      </c>
      <c r="I3061">
        <v>0</v>
      </c>
      <c r="J3061" t="s">
        <v>343</v>
      </c>
      <c r="K3061">
        <v>750</v>
      </c>
      <c r="M3061">
        <v>876</v>
      </c>
    </row>
    <row r="3062" spans="1:13" x14ac:dyDescent="0.35">
      <c r="A3062" t="str">
        <f t="shared" si="163"/>
        <v>STKCDG4574211160460000</v>
      </c>
      <c r="B3062" t="s">
        <v>3115</v>
      </c>
      <c r="C3062" s="1">
        <v>45742</v>
      </c>
      <c r="D3062" t="str">
        <f>"111"</f>
        <v>111</v>
      </c>
      <c r="E3062" t="str">
        <f>"60460000"</f>
        <v>60460000</v>
      </c>
      <c r="F3062" t="s">
        <v>5349</v>
      </c>
      <c r="G3062" t="s">
        <v>336</v>
      </c>
      <c r="H3062" t="s">
        <v>5876</v>
      </c>
      <c r="I3062">
        <v>0</v>
      </c>
      <c r="J3062" t="s">
        <v>343</v>
      </c>
      <c r="K3062">
        <v>126</v>
      </c>
      <c r="M3062">
        <v>876</v>
      </c>
    </row>
    <row r="3063" spans="1:13" x14ac:dyDescent="0.35">
      <c r="A3063" t="str">
        <f t="shared" si="163"/>
        <v>STKCDG4574211260460000</v>
      </c>
      <c r="B3063" t="s">
        <v>3115</v>
      </c>
      <c r="C3063" s="1">
        <v>45742</v>
      </c>
      <c r="D3063" t="str">
        <f>"112"</f>
        <v>112</v>
      </c>
      <c r="E3063" t="str">
        <f>"60460000"</f>
        <v>60460000</v>
      </c>
      <c r="F3063" t="s">
        <v>5351</v>
      </c>
      <c r="G3063" t="s">
        <v>336</v>
      </c>
      <c r="H3063" t="s">
        <v>5876</v>
      </c>
      <c r="I3063">
        <v>0</v>
      </c>
      <c r="J3063" t="s">
        <v>343</v>
      </c>
      <c r="K3063">
        <v>750</v>
      </c>
      <c r="M3063">
        <v>876</v>
      </c>
    </row>
    <row r="3064" spans="1:13" x14ac:dyDescent="0.35">
      <c r="A3064" t="str">
        <f t="shared" si="163"/>
        <v>STKCDG4574211260460000</v>
      </c>
      <c r="B3064" t="s">
        <v>3115</v>
      </c>
      <c r="C3064" s="1">
        <v>45742</v>
      </c>
      <c r="D3064" t="str">
        <f>"112"</f>
        <v>112</v>
      </c>
      <c r="E3064" t="str">
        <f>"60460000"</f>
        <v>60460000</v>
      </c>
      <c r="F3064" t="s">
        <v>5351</v>
      </c>
      <c r="G3064" t="s">
        <v>336</v>
      </c>
      <c r="H3064" t="s">
        <v>5876</v>
      </c>
      <c r="I3064">
        <v>0</v>
      </c>
      <c r="J3064" t="s">
        <v>343</v>
      </c>
      <c r="K3064">
        <v>126</v>
      </c>
      <c r="M3064">
        <v>876</v>
      </c>
    </row>
    <row r="3065" spans="1:13" x14ac:dyDescent="0.35">
      <c r="A3065" t="str">
        <f t="shared" si="163"/>
        <v>STKCDG4574211360440000</v>
      </c>
      <c r="B3065" t="s">
        <v>3115</v>
      </c>
      <c r="C3065" s="1">
        <v>45742</v>
      </c>
      <c r="D3065" t="str">
        <f>"113"</f>
        <v>113</v>
      </c>
      <c r="E3065" t="str">
        <f>"60440000"</f>
        <v>60440000</v>
      </c>
      <c r="F3065" t="s">
        <v>5353</v>
      </c>
      <c r="G3065" t="s">
        <v>336</v>
      </c>
      <c r="H3065" t="s">
        <v>5875</v>
      </c>
      <c r="I3065">
        <v>0</v>
      </c>
      <c r="J3065" t="s">
        <v>343</v>
      </c>
      <c r="K3065">
        <v>40604</v>
      </c>
      <c r="M3065">
        <v>40604</v>
      </c>
    </row>
    <row r="3066" spans="1:13" x14ac:dyDescent="0.35">
      <c r="A3066" t="str">
        <f t="shared" si="163"/>
        <v>STKCDG4574211460440000</v>
      </c>
      <c r="B3066" t="s">
        <v>3115</v>
      </c>
      <c r="C3066" s="1">
        <v>45742</v>
      </c>
      <c r="D3066" t="str">
        <f>"114"</f>
        <v>114</v>
      </c>
      <c r="E3066" t="str">
        <f>"60440000"</f>
        <v>60440000</v>
      </c>
      <c r="F3066" t="s">
        <v>5355</v>
      </c>
      <c r="G3066" t="s">
        <v>336</v>
      </c>
      <c r="H3066" t="s">
        <v>5905</v>
      </c>
      <c r="I3066">
        <v>0</v>
      </c>
      <c r="J3066" t="s">
        <v>343</v>
      </c>
      <c r="K3066">
        <v>33600</v>
      </c>
      <c r="M3066">
        <v>33600</v>
      </c>
    </row>
    <row r="3067" spans="1:13" x14ac:dyDescent="0.35">
      <c r="A3067" t="str">
        <f t="shared" si="163"/>
        <v>STKCDG4574211560440000</v>
      </c>
      <c r="B3067" t="s">
        <v>3115</v>
      </c>
      <c r="C3067" s="1">
        <v>45742</v>
      </c>
      <c r="D3067" t="str">
        <f>"115"</f>
        <v>115</v>
      </c>
      <c r="E3067" t="str">
        <f>"60440000"</f>
        <v>60440000</v>
      </c>
      <c r="F3067" t="s">
        <v>5357</v>
      </c>
      <c r="G3067" t="s">
        <v>336</v>
      </c>
      <c r="H3067" t="s">
        <v>5876</v>
      </c>
      <c r="I3067">
        <v>0</v>
      </c>
      <c r="J3067" t="s">
        <v>343</v>
      </c>
      <c r="K3067">
        <v>16202</v>
      </c>
      <c r="M3067">
        <v>16202</v>
      </c>
    </row>
    <row r="3068" spans="1:13" x14ac:dyDescent="0.35">
      <c r="A3068" t="str">
        <f t="shared" si="163"/>
        <v>STKCDG4574211660460000</v>
      </c>
      <c r="B3068" t="s">
        <v>3115</v>
      </c>
      <c r="C3068" s="1">
        <v>45742</v>
      </c>
      <c r="D3068" t="str">
        <f>"116"</f>
        <v>116</v>
      </c>
      <c r="E3068" t="str">
        <f>"60460000"</f>
        <v>60460000</v>
      </c>
      <c r="F3068" t="s">
        <v>5359</v>
      </c>
      <c r="G3068" t="s">
        <v>336</v>
      </c>
      <c r="H3068" t="s">
        <v>5876</v>
      </c>
      <c r="I3068">
        <v>0</v>
      </c>
      <c r="J3068" t="s">
        <v>343</v>
      </c>
      <c r="K3068">
        <v>11060</v>
      </c>
      <c r="M3068">
        <v>11060</v>
      </c>
    </row>
    <row r="3069" spans="1:13" x14ac:dyDescent="0.35">
      <c r="A3069" t="str">
        <f t="shared" si="163"/>
        <v>STKCDG4574211760460000</v>
      </c>
      <c r="B3069" t="s">
        <v>3115</v>
      </c>
      <c r="C3069" s="1">
        <v>45742</v>
      </c>
      <c r="D3069" t="str">
        <f>"117"</f>
        <v>117</v>
      </c>
      <c r="E3069" t="str">
        <f>"60460000"</f>
        <v>60460000</v>
      </c>
      <c r="F3069" t="s">
        <v>5361</v>
      </c>
      <c r="G3069" t="s">
        <v>336</v>
      </c>
      <c r="H3069" t="s">
        <v>5875</v>
      </c>
      <c r="I3069">
        <v>0</v>
      </c>
      <c r="J3069" t="s">
        <v>343</v>
      </c>
      <c r="K3069">
        <v>750</v>
      </c>
      <c r="M3069">
        <v>876</v>
      </c>
    </row>
    <row r="3070" spans="1:13" x14ac:dyDescent="0.35">
      <c r="A3070" t="str">
        <f t="shared" si="163"/>
        <v>STKCDG4574211760460000</v>
      </c>
      <c r="B3070" t="s">
        <v>3115</v>
      </c>
      <c r="C3070" s="1">
        <v>45742</v>
      </c>
      <c r="D3070" t="str">
        <f>"117"</f>
        <v>117</v>
      </c>
      <c r="E3070" t="str">
        <f>"60460000"</f>
        <v>60460000</v>
      </c>
      <c r="F3070" t="s">
        <v>5361</v>
      </c>
      <c r="G3070" t="s">
        <v>336</v>
      </c>
      <c r="H3070" t="s">
        <v>5875</v>
      </c>
      <c r="I3070">
        <v>0</v>
      </c>
      <c r="J3070" t="s">
        <v>343</v>
      </c>
      <c r="K3070">
        <v>126</v>
      </c>
      <c r="M3070">
        <v>876</v>
      </c>
    </row>
    <row r="3071" spans="1:13" x14ac:dyDescent="0.35">
      <c r="A3071" t="str">
        <f t="shared" si="163"/>
        <v>STKCDG4574211860460000</v>
      </c>
      <c r="B3071" t="s">
        <v>3115</v>
      </c>
      <c r="C3071" s="1">
        <v>45742</v>
      </c>
      <c r="D3071" t="str">
        <f>"118"</f>
        <v>118</v>
      </c>
      <c r="E3071" t="str">
        <f>"60460000"</f>
        <v>60460000</v>
      </c>
      <c r="F3071" t="s">
        <v>5363</v>
      </c>
      <c r="G3071" t="s">
        <v>336</v>
      </c>
      <c r="H3071" t="s">
        <v>5876</v>
      </c>
      <c r="I3071">
        <v>0</v>
      </c>
      <c r="J3071" t="s">
        <v>343</v>
      </c>
      <c r="K3071">
        <v>750</v>
      </c>
      <c r="M3071">
        <v>876</v>
      </c>
    </row>
    <row r="3072" spans="1:13" x14ac:dyDescent="0.35">
      <c r="A3072" t="str">
        <f t="shared" si="163"/>
        <v>STKCDG4574211860460000</v>
      </c>
      <c r="B3072" t="s">
        <v>3115</v>
      </c>
      <c r="C3072" s="1">
        <v>45742</v>
      </c>
      <c r="D3072" t="str">
        <f>"118"</f>
        <v>118</v>
      </c>
      <c r="E3072" t="str">
        <f>"60460000"</f>
        <v>60460000</v>
      </c>
      <c r="F3072" t="s">
        <v>5363</v>
      </c>
      <c r="G3072" t="s">
        <v>336</v>
      </c>
      <c r="H3072" t="s">
        <v>5876</v>
      </c>
      <c r="I3072">
        <v>0</v>
      </c>
      <c r="J3072" t="s">
        <v>343</v>
      </c>
      <c r="K3072">
        <v>126</v>
      </c>
      <c r="M3072">
        <v>876</v>
      </c>
    </row>
    <row r="3073" spans="1:13" x14ac:dyDescent="0.35">
      <c r="A3073" t="str">
        <f t="shared" si="163"/>
        <v>STKCDG4574211960440000</v>
      </c>
      <c r="B3073" t="s">
        <v>3115</v>
      </c>
      <c r="C3073" s="1">
        <v>45742</v>
      </c>
      <c r="D3073" t="str">
        <f>"119"</f>
        <v>119</v>
      </c>
      <c r="E3073" t="str">
        <f>"60440000"</f>
        <v>60440000</v>
      </c>
      <c r="F3073" t="s">
        <v>5365</v>
      </c>
      <c r="G3073" t="s">
        <v>336</v>
      </c>
      <c r="H3073" t="s">
        <v>5880</v>
      </c>
      <c r="I3073">
        <v>0</v>
      </c>
      <c r="J3073" t="s">
        <v>343</v>
      </c>
      <c r="K3073">
        <v>120697</v>
      </c>
      <c r="M3073">
        <v>120697</v>
      </c>
    </row>
    <row r="3074" spans="1:13" x14ac:dyDescent="0.35">
      <c r="A3074" t="str">
        <f t="shared" si="163"/>
        <v>STKCDG4574212060440000</v>
      </c>
      <c r="B3074" t="s">
        <v>3115</v>
      </c>
      <c r="C3074" s="1">
        <v>45742</v>
      </c>
      <c r="D3074" t="str">
        <f>"120"</f>
        <v>120</v>
      </c>
      <c r="E3074" t="str">
        <f>"60440000"</f>
        <v>60440000</v>
      </c>
      <c r="F3074" t="s">
        <v>5367</v>
      </c>
      <c r="G3074" t="s">
        <v>336</v>
      </c>
      <c r="H3074" t="s">
        <v>5876</v>
      </c>
      <c r="I3074">
        <v>0</v>
      </c>
      <c r="J3074" t="s">
        <v>343</v>
      </c>
      <c r="K3074">
        <v>23811</v>
      </c>
      <c r="M3074">
        <v>23811</v>
      </c>
    </row>
    <row r="3075" spans="1:13" x14ac:dyDescent="0.35">
      <c r="A3075" t="str">
        <f t="shared" ref="A3075:A3138" si="165">CONCATENATE(B3075,C3075,D3075,E3075)</f>
        <v>STKCDG4574212160460000</v>
      </c>
      <c r="B3075" t="s">
        <v>3115</v>
      </c>
      <c r="C3075" s="1">
        <v>45742</v>
      </c>
      <c r="D3075" t="str">
        <f>"121"</f>
        <v>121</v>
      </c>
      <c r="E3075" t="str">
        <f>"60460000"</f>
        <v>60460000</v>
      </c>
      <c r="F3075" t="s">
        <v>5369</v>
      </c>
      <c r="G3075" t="s">
        <v>336</v>
      </c>
      <c r="H3075" t="s">
        <v>5876</v>
      </c>
      <c r="I3075">
        <v>0</v>
      </c>
      <c r="J3075" t="s">
        <v>343</v>
      </c>
      <c r="K3075">
        <v>750</v>
      </c>
      <c r="M3075">
        <v>876</v>
      </c>
    </row>
    <row r="3076" spans="1:13" x14ac:dyDescent="0.35">
      <c r="A3076" t="str">
        <f t="shared" si="165"/>
        <v>STKCDG4574212160460000</v>
      </c>
      <c r="B3076" t="s">
        <v>3115</v>
      </c>
      <c r="C3076" s="1">
        <v>45742</v>
      </c>
      <c r="D3076" t="str">
        <f>"121"</f>
        <v>121</v>
      </c>
      <c r="E3076" t="str">
        <f>"60460000"</f>
        <v>60460000</v>
      </c>
      <c r="F3076" t="s">
        <v>5369</v>
      </c>
      <c r="G3076" t="s">
        <v>336</v>
      </c>
      <c r="H3076" t="s">
        <v>5876</v>
      </c>
      <c r="I3076">
        <v>0</v>
      </c>
      <c r="J3076" t="s">
        <v>343</v>
      </c>
      <c r="K3076">
        <v>126</v>
      </c>
      <c r="M3076">
        <v>876</v>
      </c>
    </row>
    <row r="3077" spans="1:13" x14ac:dyDescent="0.35">
      <c r="A3077" t="str">
        <f t="shared" si="165"/>
        <v>STKCDG4574212260460000</v>
      </c>
      <c r="B3077" t="s">
        <v>3115</v>
      </c>
      <c r="C3077" s="1">
        <v>45742</v>
      </c>
      <c r="D3077" t="str">
        <f>"122"</f>
        <v>122</v>
      </c>
      <c r="E3077" t="str">
        <f>"60460000"</f>
        <v>60460000</v>
      </c>
      <c r="F3077" t="s">
        <v>5371</v>
      </c>
      <c r="G3077" t="s">
        <v>336</v>
      </c>
      <c r="H3077" t="s">
        <v>5881</v>
      </c>
      <c r="I3077">
        <v>0</v>
      </c>
      <c r="J3077" t="s">
        <v>343</v>
      </c>
      <c r="K3077">
        <v>7718</v>
      </c>
      <c r="M3077">
        <v>7718</v>
      </c>
    </row>
    <row r="3078" spans="1:13" x14ac:dyDescent="0.35">
      <c r="A3078" t="str">
        <f t="shared" si="165"/>
        <v>STKCDG4574212360440000</v>
      </c>
      <c r="B3078" t="s">
        <v>3115</v>
      </c>
      <c r="C3078" s="1">
        <v>45742</v>
      </c>
      <c r="D3078" t="str">
        <f>"123"</f>
        <v>123</v>
      </c>
      <c r="E3078" t="str">
        <f t="shared" ref="E3078:E3084" si="166">"60440000"</f>
        <v>60440000</v>
      </c>
      <c r="F3078" t="s">
        <v>5373</v>
      </c>
      <c r="G3078" t="s">
        <v>336</v>
      </c>
      <c r="H3078" t="s">
        <v>5874</v>
      </c>
      <c r="I3078">
        <v>0</v>
      </c>
      <c r="J3078" t="s">
        <v>343</v>
      </c>
      <c r="K3078">
        <v>76400</v>
      </c>
      <c r="M3078">
        <v>76400</v>
      </c>
    </row>
    <row r="3079" spans="1:13" x14ac:dyDescent="0.35">
      <c r="A3079" t="str">
        <f t="shared" si="165"/>
        <v>STKCDG4574212460440000</v>
      </c>
      <c r="B3079" t="s">
        <v>3115</v>
      </c>
      <c r="C3079" s="1">
        <v>45742</v>
      </c>
      <c r="D3079" t="str">
        <f>"124"</f>
        <v>124</v>
      </c>
      <c r="E3079" t="str">
        <f t="shared" si="166"/>
        <v>60440000</v>
      </c>
      <c r="F3079" t="s">
        <v>5375</v>
      </c>
      <c r="G3079" t="s">
        <v>336</v>
      </c>
      <c r="H3079" t="s">
        <v>5875</v>
      </c>
      <c r="I3079">
        <v>0</v>
      </c>
      <c r="J3079" t="s">
        <v>343</v>
      </c>
      <c r="K3079">
        <v>51804</v>
      </c>
      <c r="M3079">
        <v>51804</v>
      </c>
    </row>
    <row r="3080" spans="1:13" x14ac:dyDescent="0.35">
      <c r="A3080" t="str">
        <f t="shared" si="165"/>
        <v>STKCDG4574212560440000</v>
      </c>
      <c r="B3080" t="s">
        <v>3115</v>
      </c>
      <c r="C3080" s="1">
        <v>45742</v>
      </c>
      <c r="D3080" t="str">
        <f>"125"</f>
        <v>125</v>
      </c>
      <c r="E3080" t="str">
        <f t="shared" si="166"/>
        <v>60440000</v>
      </c>
      <c r="F3080" t="s">
        <v>5377</v>
      </c>
      <c r="G3080" t="s">
        <v>336</v>
      </c>
      <c r="H3080" t="s">
        <v>5880</v>
      </c>
      <c r="I3080">
        <v>0</v>
      </c>
      <c r="J3080" t="s">
        <v>343</v>
      </c>
      <c r="K3080">
        <v>51804</v>
      </c>
      <c r="M3080">
        <v>51804</v>
      </c>
    </row>
    <row r="3081" spans="1:13" x14ac:dyDescent="0.35">
      <c r="A3081" t="str">
        <f t="shared" si="165"/>
        <v>STKCDG4574212660440000</v>
      </c>
      <c r="B3081" t="s">
        <v>3115</v>
      </c>
      <c r="C3081" s="1">
        <v>45742</v>
      </c>
      <c r="D3081" t="str">
        <f>"126"</f>
        <v>126</v>
      </c>
      <c r="E3081" t="str">
        <f t="shared" si="166"/>
        <v>60440000</v>
      </c>
      <c r="F3081" t="s">
        <v>5379</v>
      </c>
      <c r="G3081" t="s">
        <v>336</v>
      </c>
      <c r="H3081" t="s">
        <v>5875</v>
      </c>
      <c r="I3081">
        <v>0</v>
      </c>
      <c r="J3081" t="s">
        <v>343</v>
      </c>
      <c r="K3081">
        <v>51804</v>
      </c>
      <c r="M3081">
        <v>51804</v>
      </c>
    </row>
    <row r="3082" spans="1:13" x14ac:dyDescent="0.35">
      <c r="A3082" t="str">
        <f t="shared" si="165"/>
        <v>STKCDG4574212760440000</v>
      </c>
      <c r="B3082" t="s">
        <v>3115</v>
      </c>
      <c r="C3082" s="1">
        <v>45742</v>
      </c>
      <c r="D3082" t="str">
        <f>"127"</f>
        <v>127</v>
      </c>
      <c r="E3082" t="str">
        <f t="shared" si="166"/>
        <v>60440000</v>
      </c>
      <c r="F3082" t="s">
        <v>5381</v>
      </c>
      <c r="G3082" t="s">
        <v>336</v>
      </c>
      <c r="H3082" t="s">
        <v>5875</v>
      </c>
      <c r="I3082">
        <v>0</v>
      </c>
      <c r="J3082" t="s">
        <v>343</v>
      </c>
      <c r="K3082">
        <v>51804</v>
      </c>
      <c r="M3082">
        <v>51804</v>
      </c>
    </row>
    <row r="3083" spans="1:13" x14ac:dyDescent="0.35">
      <c r="A3083" t="str">
        <f t="shared" si="165"/>
        <v>STKCDG4574212860440000</v>
      </c>
      <c r="B3083" t="s">
        <v>3115</v>
      </c>
      <c r="C3083" s="1">
        <v>45742</v>
      </c>
      <c r="D3083" t="str">
        <f>"128"</f>
        <v>128</v>
      </c>
      <c r="E3083" t="str">
        <f t="shared" si="166"/>
        <v>60440000</v>
      </c>
      <c r="F3083" t="s">
        <v>5383</v>
      </c>
      <c r="G3083" t="s">
        <v>336</v>
      </c>
      <c r="H3083" t="s">
        <v>5873</v>
      </c>
      <c r="I3083">
        <v>0</v>
      </c>
      <c r="J3083" t="s">
        <v>343</v>
      </c>
      <c r="K3083">
        <v>48067</v>
      </c>
      <c r="M3083">
        <v>48067</v>
      </c>
    </row>
    <row r="3084" spans="1:13" x14ac:dyDescent="0.35">
      <c r="A3084" t="str">
        <f t="shared" si="165"/>
        <v>STKCDG4574212960440000</v>
      </c>
      <c r="B3084" t="s">
        <v>3115</v>
      </c>
      <c r="C3084" s="1">
        <v>45742</v>
      </c>
      <c r="D3084" t="str">
        <f>"129"</f>
        <v>129</v>
      </c>
      <c r="E3084" t="str">
        <f t="shared" si="166"/>
        <v>60440000</v>
      </c>
      <c r="F3084" t="s">
        <v>5385</v>
      </c>
      <c r="G3084" t="s">
        <v>336</v>
      </c>
      <c r="H3084" t="s">
        <v>5880</v>
      </c>
      <c r="I3084">
        <v>0</v>
      </c>
      <c r="J3084" t="s">
        <v>343</v>
      </c>
      <c r="K3084">
        <v>656</v>
      </c>
      <c r="M3084">
        <v>656</v>
      </c>
    </row>
    <row r="3085" spans="1:13" x14ac:dyDescent="0.35">
      <c r="A3085" t="str">
        <f t="shared" si="165"/>
        <v>STKCDG4574213060460000</v>
      </c>
      <c r="B3085" t="s">
        <v>3115</v>
      </c>
      <c r="C3085" s="1">
        <v>45742</v>
      </c>
      <c r="D3085" t="str">
        <f>"130"</f>
        <v>130</v>
      </c>
      <c r="E3085" t="str">
        <f>"60460000"</f>
        <v>60460000</v>
      </c>
      <c r="F3085" t="s">
        <v>5387</v>
      </c>
      <c r="G3085" t="s">
        <v>336</v>
      </c>
      <c r="H3085" t="s">
        <v>5874</v>
      </c>
      <c r="I3085">
        <v>0</v>
      </c>
      <c r="J3085" t="s">
        <v>343</v>
      </c>
      <c r="K3085">
        <v>1960</v>
      </c>
      <c r="M3085">
        <v>4358</v>
      </c>
    </row>
    <row r="3086" spans="1:13" x14ac:dyDescent="0.35">
      <c r="A3086" t="str">
        <f t="shared" si="165"/>
        <v>STKCDG4574213060460000</v>
      </c>
      <c r="B3086" t="s">
        <v>3115</v>
      </c>
      <c r="C3086" s="1">
        <v>45742</v>
      </c>
      <c r="D3086" t="str">
        <f>"130"</f>
        <v>130</v>
      </c>
      <c r="E3086" t="str">
        <f>"60460000"</f>
        <v>60460000</v>
      </c>
      <c r="F3086" t="s">
        <v>5387</v>
      </c>
      <c r="G3086" t="s">
        <v>336</v>
      </c>
      <c r="H3086" t="s">
        <v>5874</v>
      </c>
      <c r="I3086">
        <v>0</v>
      </c>
      <c r="J3086" t="s">
        <v>343</v>
      </c>
      <c r="K3086">
        <v>2398</v>
      </c>
      <c r="M3086">
        <v>4358</v>
      </c>
    </row>
    <row r="3087" spans="1:13" x14ac:dyDescent="0.35">
      <c r="A3087" t="str">
        <f t="shared" si="165"/>
        <v>STKCDG4574213160410000</v>
      </c>
      <c r="B3087" t="s">
        <v>3115</v>
      </c>
      <c r="C3087" s="1">
        <v>45742</v>
      </c>
      <c r="D3087" t="str">
        <f>"131"</f>
        <v>131</v>
      </c>
      <c r="E3087" t="str">
        <f>"60410000"</f>
        <v>60410000</v>
      </c>
      <c r="F3087" t="s">
        <v>5389</v>
      </c>
      <c r="G3087" t="s">
        <v>336</v>
      </c>
      <c r="H3087" t="s">
        <v>5876</v>
      </c>
      <c r="I3087">
        <v>0</v>
      </c>
      <c r="J3087" t="s">
        <v>343</v>
      </c>
      <c r="K3087">
        <v>3298</v>
      </c>
      <c r="M3087">
        <v>3298</v>
      </c>
    </row>
    <row r="3088" spans="1:13" x14ac:dyDescent="0.35">
      <c r="A3088" t="str">
        <f t="shared" si="165"/>
        <v>STKCDG4574213260460000</v>
      </c>
      <c r="B3088" t="s">
        <v>3115</v>
      </c>
      <c r="C3088" s="1">
        <v>45742</v>
      </c>
      <c r="D3088" t="str">
        <f>"132"</f>
        <v>132</v>
      </c>
      <c r="E3088" t="str">
        <f>"60460000"</f>
        <v>60460000</v>
      </c>
      <c r="F3088" t="s">
        <v>5391</v>
      </c>
      <c r="G3088" t="s">
        <v>336</v>
      </c>
      <c r="H3088" t="s">
        <v>5875</v>
      </c>
      <c r="I3088">
        <v>0</v>
      </c>
      <c r="J3088" t="s">
        <v>343</v>
      </c>
      <c r="K3088">
        <v>7646</v>
      </c>
      <c r="M3088">
        <v>7646</v>
      </c>
    </row>
    <row r="3089" spans="1:13" x14ac:dyDescent="0.35">
      <c r="A3089" t="str">
        <f t="shared" si="165"/>
        <v>STKCDG4574213360440000</v>
      </c>
      <c r="B3089" t="s">
        <v>3115</v>
      </c>
      <c r="C3089" s="1">
        <v>45742</v>
      </c>
      <c r="D3089" t="str">
        <f>"133"</f>
        <v>133</v>
      </c>
      <c r="E3089" t="str">
        <f>"60440000"</f>
        <v>60440000</v>
      </c>
      <c r="F3089" t="s">
        <v>5393</v>
      </c>
      <c r="G3089" t="s">
        <v>336</v>
      </c>
      <c r="H3089" t="s">
        <v>5958</v>
      </c>
      <c r="I3089">
        <v>0</v>
      </c>
      <c r="J3089" t="s">
        <v>343</v>
      </c>
      <c r="K3089">
        <v>19941</v>
      </c>
      <c r="M3089">
        <v>19941</v>
      </c>
    </row>
    <row r="3090" spans="1:13" x14ac:dyDescent="0.35">
      <c r="A3090" t="str">
        <f t="shared" si="165"/>
        <v>STKCDG4574213460440000</v>
      </c>
      <c r="B3090" t="s">
        <v>3115</v>
      </c>
      <c r="C3090" s="1">
        <v>45742</v>
      </c>
      <c r="D3090" t="str">
        <f>"134"</f>
        <v>134</v>
      </c>
      <c r="E3090" t="str">
        <f>"60440000"</f>
        <v>60440000</v>
      </c>
      <c r="F3090" t="s">
        <v>5395</v>
      </c>
      <c r="G3090" t="s">
        <v>336</v>
      </c>
      <c r="H3090" t="s">
        <v>5880</v>
      </c>
      <c r="I3090">
        <v>0</v>
      </c>
      <c r="J3090" t="s">
        <v>343</v>
      </c>
      <c r="K3090">
        <v>43950</v>
      </c>
      <c r="M3090">
        <v>43950</v>
      </c>
    </row>
    <row r="3091" spans="1:13" x14ac:dyDescent="0.35">
      <c r="A3091" t="str">
        <f t="shared" si="165"/>
        <v>STKCDG4574213560460000</v>
      </c>
      <c r="B3091" t="s">
        <v>3115</v>
      </c>
      <c r="C3091" s="1">
        <v>45742</v>
      </c>
      <c r="D3091" t="str">
        <f>"135"</f>
        <v>135</v>
      </c>
      <c r="E3091" t="str">
        <f>"60460000"</f>
        <v>60460000</v>
      </c>
      <c r="F3091" t="s">
        <v>5397</v>
      </c>
      <c r="G3091" t="s">
        <v>336</v>
      </c>
      <c r="H3091" t="s">
        <v>5880</v>
      </c>
      <c r="I3091">
        <v>0</v>
      </c>
      <c r="J3091" t="s">
        <v>343</v>
      </c>
      <c r="K3091">
        <v>350</v>
      </c>
      <c r="M3091">
        <v>350</v>
      </c>
    </row>
    <row r="3092" spans="1:13" x14ac:dyDescent="0.35">
      <c r="A3092" t="str">
        <f t="shared" si="165"/>
        <v>STKCDG4574213660410000</v>
      </c>
      <c r="B3092" t="s">
        <v>3115</v>
      </c>
      <c r="C3092" s="1">
        <v>45742</v>
      </c>
      <c r="D3092" t="str">
        <f>"136"</f>
        <v>136</v>
      </c>
      <c r="E3092" t="str">
        <f>"60410000"</f>
        <v>60410000</v>
      </c>
      <c r="F3092" t="s">
        <v>5399</v>
      </c>
      <c r="G3092" t="s">
        <v>336</v>
      </c>
      <c r="H3092" t="s">
        <v>5875</v>
      </c>
      <c r="I3092">
        <v>0</v>
      </c>
      <c r="J3092" t="s">
        <v>343</v>
      </c>
      <c r="K3092">
        <v>6356</v>
      </c>
      <c r="M3092">
        <v>6356</v>
      </c>
    </row>
    <row r="3093" spans="1:13" x14ac:dyDescent="0.35">
      <c r="A3093" t="str">
        <f t="shared" si="165"/>
        <v>STKCDG4574213760410000</v>
      </c>
      <c r="B3093" t="s">
        <v>3115</v>
      </c>
      <c r="C3093" s="1">
        <v>45742</v>
      </c>
      <c r="D3093" t="str">
        <f>"137"</f>
        <v>137</v>
      </c>
      <c r="E3093" t="str">
        <f>"60410000"</f>
        <v>60410000</v>
      </c>
      <c r="F3093" t="s">
        <v>5401</v>
      </c>
      <c r="G3093" t="s">
        <v>336</v>
      </c>
      <c r="H3093" t="s">
        <v>5880</v>
      </c>
      <c r="I3093">
        <v>0</v>
      </c>
      <c r="J3093" t="s">
        <v>343</v>
      </c>
      <c r="K3093">
        <v>3298</v>
      </c>
      <c r="M3093">
        <v>3298</v>
      </c>
    </row>
    <row r="3094" spans="1:13" x14ac:dyDescent="0.35">
      <c r="A3094" t="str">
        <f t="shared" si="165"/>
        <v>STKCDG4574213860440000</v>
      </c>
      <c r="B3094" t="s">
        <v>3115</v>
      </c>
      <c r="C3094" s="1">
        <v>45742</v>
      </c>
      <c r="D3094" t="str">
        <f>"138"</f>
        <v>138</v>
      </c>
      <c r="E3094" t="str">
        <f>"60440000"</f>
        <v>60440000</v>
      </c>
      <c r="F3094" t="s">
        <v>5403</v>
      </c>
      <c r="G3094" t="s">
        <v>336</v>
      </c>
      <c r="H3094" t="s">
        <v>5875</v>
      </c>
      <c r="I3094">
        <v>0</v>
      </c>
      <c r="J3094" t="s">
        <v>343</v>
      </c>
      <c r="K3094">
        <v>5773</v>
      </c>
      <c r="M3094">
        <v>5773</v>
      </c>
    </row>
    <row r="3095" spans="1:13" x14ac:dyDescent="0.35">
      <c r="A3095" t="str">
        <f t="shared" si="165"/>
        <v>STKCDG4574213960460000</v>
      </c>
      <c r="B3095" t="s">
        <v>3115</v>
      </c>
      <c r="C3095" s="1">
        <v>45742</v>
      </c>
      <c r="D3095" t="str">
        <f>"139"</f>
        <v>139</v>
      </c>
      <c r="E3095" t="str">
        <f t="shared" ref="E3095:E3104" si="167">"60460000"</f>
        <v>60460000</v>
      </c>
      <c r="F3095" t="s">
        <v>5405</v>
      </c>
      <c r="G3095" t="s">
        <v>336</v>
      </c>
      <c r="H3095" t="s">
        <v>5949</v>
      </c>
      <c r="I3095">
        <v>0</v>
      </c>
      <c r="J3095" t="s">
        <v>343</v>
      </c>
      <c r="K3095">
        <v>42900</v>
      </c>
      <c r="M3095">
        <v>42900</v>
      </c>
    </row>
    <row r="3096" spans="1:13" x14ac:dyDescent="0.35">
      <c r="A3096" t="str">
        <f t="shared" si="165"/>
        <v>STKCDG4574214060460000</v>
      </c>
      <c r="B3096" t="s">
        <v>3115</v>
      </c>
      <c r="C3096" s="1">
        <v>45742</v>
      </c>
      <c r="D3096" t="str">
        <f>"140"</f>
        <v>140</v>
      </c>
      <c r="E3096" t="str">
        <f t="shared" si="167"/>
        <v>60460000</v>
      </c>
      <c r="F3096" t="s">
        <v>5407</v>
      </c>
      <c r="G3096" t="s">
        <v>336</v>
      </c>
      <c r="H3096" t="s">
        <v>5880</v>
      </c>
      <c r="I3096">
        <v>0</v>
      </c>
      <c r="J3096" t="s">
        <v>343</v>
      </c>
      <c r="K3096">
        <v>22050</v>
      </c>
      <c r="M3096">
        <v>22050</v>
      </c>
    </row>
    <row r="3097" spans="1:13" x14ac:dyDescent="0.35">
      <c r="A3097" t="str">
        <f t="shared" si="165"/>
        <v>STKCDG4574214160460000</v>
      </c>
      <c r="B3097" t="s">
        <v>3115</v>
      </c>
      <c r="C3097" s="1">
        <v>45742</v>
      </c>
      <c r="D3097" t="str">
        <f>"141"</f>
        <v>141</v>
      </c>
      <c r="E3097" t="str">
        <f t="shared" si="167"/>
        <v>60460000</v>
      </c>
      <c r="F3097" t="s">
        <v>5409</v>
      </c>
      <c r="G3097" t="s">
        <v>336</v>
      </c>
      <c r="H3097" t="s">
        <v>5880</v>
      </c>
      <c r="I3097">
        <v>0</v>
      </c>
      <c r="J3097" t="s">
        <v>343</v>
      </c>
      <c r="K3097">
        <v>6500</v>
      </c>
      <c r="M3097">
        <v>6500</v>
      </c>
    </row>
    <row r="3098" spans="1:13" x14ac:dyDescent="0.35">
      <c r="A3098" t="str">
        <f t="shared" si="165"/>
        <v>STKCDG4574214260460000</v>
      </c>
      <c r="B3098" t="s">
        <v>3115</v>
      </c>
      <c r="C3098" s="1">
        <v>45742</v>
      </c>
      <c r="D3098" t="str">
        <f>"142"</f>
        <v>142</v>
      </c>
      <c r="E3098" t="str">
        <f t="shared" si="167"/>
        <v>60460000</v>
      </c>
      <c r="F3098" t="s">
        <v>5411</v>
      </c>
      <c r="G3098" t="s">
        <v>336</v>
      </c>
      <c r="H3098" t="s">
        <v>5880</v>
      </c>
      <c r="I3098">
        <v>0</v>
      </c>
      <c r="J3098" t="s">
        <v>343</v>
      </c>
      <c r="K3098">
        <v>980</v>
      </c>
      <c r="M3098">
        <v>7142</v>
      </c>
    </row>
    <row r="3099" spans="1:13" x14ac:dyDescent="0.35">
      <c r="A3099" t="str">
        <f t="shared" si="165"/>
        <v>STKCDG4574214260460000</v>
      </c>
      <c r="B3099" t="s">
        <v>3115</v>
      </c>
      <c r="C3099" s="1">
        <v>45742</v>
      </c>
      <c r="D3099" t="str">
        <f>"142"</f>
        <v>142</v>
      </c>
      <c r="E3099" t="str">
        <f t="shared" si="167"/>
        <v>60460000</v>
      </c>
      <c r="F3099" t="s">
        <v>5411</v>
      </c>
      <c r="G3099" t="s">
        <v>336</v>
      </c>
      <c r="H3099" t="s">
        <v>5880</v>
      </c>
      <c r="I3099">
        <v>0</v>
      </c>
      <c r="J3099" t="s">
        <v>343</v>
      </c>
      <c r="K3099">
        <v>6162</v>
      </c>
      <c r="M3099">
        <v>7142</v>
      </c>
    </row>
    <row r="3100" spans="1:13" x14ac:dyDescent="0.35">
      <c r="A3100" t="str">
        <f t="shared" si="165"/>
        <v>STKCDG4574214360460000</v>
      </c>
      <c r="B3100" t="s">
        <v>3115</v>
      </c>
      <c r="C3100" s="1">
        <v>45742</v>
      </c>
      <c r="D3100" t="str">
        <f>"143"</f>
        <v>143</v>
      </c>
      <c r="E3100" t="str">
        <f t="shared" si="167"/>
        <v>60460000</v>
      </c>
      <c r="F3100" t="s">
        <v>5413</v>
      </c>
      <c r="G3100" t="s">
        <v>336</v>
      </c>
      <c r="H3100" t="s">
        <v>5874</v>
      </c>
      <c r="I3100">
        <v>0</v>
      </c>
      <c r="J3100" t="s">
        <v>343</v>
      </c>
      <c r="K3100">
        <v>294</v>
      </c>
      <c r="M3100">
        <v>1094</v>
      </c>
    </row>
    <row r="3101" spans="1:13" x14ac:dyDescent="0.35">
      <c r="A3101" t="str">
        <f t="shared" si="165"/>
        <v>STKCDG4574214360460000</v>
      </c>
      <c r="B3101" t="s">
        <v>3115</v>
      </c>
      <c r="C3101" s="1">
        <v>45742</v>
      </c>
      <c r="D3101" t="str">
        <f>"143"</f>
        <v>143</v>
      </c>
      <c r="E3101" t="str">
        <f t="shared" si="167"/>
        <v>60460000</v>
      </c>
      <c r="F3101" t="s">
        <v>5413</v>
      </c>
      <c r="G3101" t="s">
        <v>336</v>
      </c>
      <c r="H3101" t="s">
        <v>5874</v>
      </c>
      <c r="I3101">
        <v>0</v>
      </c>
      <c r="J3101" t="s">
        <v>343</v>
      </c>
      <c r="K3101">
        <v>800</v>
      </c>
      <c r="M3101">
        <v>1094</v>
      </c>
    </row>
    <row r="3102" spans="1:13" x14ac:dyDescent="0.35">
      <c r="A3102" t="str">
        <f t="shared" si="165"/>
        <v>STKCDG4574214460460000</v>
      </c>
      <c r="B3102" t="s">
        <v>3115</v>
      </c>
      <c r="C3102" s="1">
        <v>45742</v>
      </c>
      <c r="D3102" t="str">
        <f>"144"</f>
        <v>144</v>
      </c>
      <c r="E3102" t="str">
        <f t="shared" si="167"/>
        <v>60460000</v>
      </c>
      <c r="F3102" t="s">
        <v>5415</v>
      </c>
      <c r="G3102" t="s">
        <v>336</v>
      </c>
      <c r="H3102" t="s">
        <v>5880</v>
      </c>
      <c r="I3102">
        <v>0</v>
      </c>
      <c r="J3102" t="s">
        <v>343</v>
      </c>
      <c r="K3102">
        <v>784</v>
      </c>
      <c r="M3102">
        <v>1934</v>
      </c>
    </row>
    <row r="3103" spans="1:13" x14ac:dyDescent="0.35">
      <c r="A3103" t="str">
        <f t="shared" si="165"/>
        <v>STKCDG4574214460460000</v>
      </c>
      <c r="B3103" t="s">
        <v>3115</v>
      </c>
      <c r="C3103" s="1">
        <v>45742</v>
      </c>
      <c r="D3103" t="str">
        <f>"144"</f>
        <v>144</v>
      </c>
      <c r="E3103" t="str">
        <f t="shared" si="167"/>
        <v>60460000</v>
      </c>
      <c r="F3103" t="s">
        <v>5415</v>
      </c>
      <c r="G3103" t="s">
        <v>336</v>
      </c>
      <c r="H3103" t="s">
        <v>5880</v>
      </c>
      <c r="I3103">
        <v>0</v>
      </c>
      <c r="J3103" t="s">
        <v>343</v>
      </c>
      <c r="K3103">
        <v>1150</v>
      </c>
      <c r="M3103">
        <v>1934</v>
      </c>
    </row>
    <row r="3104" spans="1:13" x14ac:dyDescent="0.35">
      <c r="A3104" t="str">
        <f t="shared" si="165"/>
        <v>STKCDG4574214560460000</v>
      </c>
      <c r="B3104" t="s">
        <v>3115</v>
      </c>
      <c r="C3104" s="1">
        <v>45742</v>
      </c>
      <c r="D3104" t="str">
        <f>"145"</f>
        <v>145</v>
      </c>
      <c r="E3104" t="str">
        <f t="shared" si="167"/>
        <v>60460000</v>
      </c>
      <c r="F3104" t="s">
        <v>5417</v>
      </c>
      <c r="G3104" t="s">
        <v>336</v>
      </c>
      <c r="H3104" t="s">
        <v>5880</v>
      </c>
      <c r="I3104">
        <v>0</v>
      </c>
      <c r="J3104" t="s">
        <v>343</v>
      </c>
      <c r="K3104">
        <v>1346</v>
      </c>
      <c r="M3104">
        <v>1346</v>
      </c>
    </row>
    <row r="3105" spans="1:13" x14ac:dyDescent="0.35">
      <c r="A3105" t="str">
        <f t="shared" si="165"/>
        <v>STKCDG4574214660440000</v>
      </c>
      <c r="B3105" t="s">
        <v>3115</v>
      </c>
      <c r="C3105" s="1">
        <v>45742</v>
      </c>
      <c r="D3105" t="str">
        <f>"146"</f>
        <v>146</v>
      </c>
      <c r="E3105" t="str">
        <f>"60440000"</f>
        <v>60440000</v>
      </c>
      <c r="F3105" t="s">
        <v>5419</v>
      </c>
      <c r="G3105" t="s">
        <v>336</v>
      </c>
      <c r="H3105" t="s">
        <v>5880</v>
      </c>
      <c r="I3105">
        <v>0</v>
      </c>
      <c r="J3105" t="s">
        <v>343</v>
      </c>
      <c r="K3105">
        <v>43950</v>
      </c>
      <c r="M3105">
        <v>43950</v>
      </c>
    </row>
    <row r="3106" spans="1:13" x14ac:dyDescent="0.35">
      <c r="A3106" t="str">
        <f t="shared" si="165"/>
        <v>STKCDG4574214760460000</v>
      </c>
      <c r="B3106" t="s">
        <v>3115</v>
      </c>
      <c r="C3106" s="1">
        <v>45742</v>
      </c>
      <c r="D3106" t="str">
        <f>"147"</f>
        <v>147</v>
      </c>
      <c r="E3106" t="str">
        <f>"60460000"</f>
        <v>60460000</v>
      </c>
      <c r="F3106" t="s">
        <v>5421</v>
      </c>
      <c r="G3106" t="s">
        <v>336</v>
      </c>
      <c r="H3106" t="s">
        <v>5949</v>
      </c>
      <c r="I3106">
        <v>0</v>
      </c>
      <c r="J3106" t="s">
        <v>343</v>
      </c>
      <c r="K3106">
        <v>2000</v>
      </c>
      <c r="M3106">
        <v>2000</v>
      </c>
    </row>
    <row r="3107" spans="1:13" x14ac:dyDescent="0.35">
      <c r="A3107" t="str">
        <f t="shared" si="165"/>
        <v>STKCDG4574214860460000</v>
      </c>
      <c r="B3107" t="s">
        <v>3115</v>
      </c>
      <c r="C3107" s="1">
        <v>45742</v>
      </c>
      <c r="D3107" t="str">
        <f>"148"</f>
        <v>148</v>
      </c>
      <c r="E3107" t="str">
        <f>"60460000"</f>
        <v>60460000</v>
      </c>
      <c r="F3107" t="s">
        <v>5423</v>
      </c>
      <c r="G3107" t="s">
        <v>336</v>
      </c>
      <c r="H3107" t="s">
        <v>5949</v>
      </c>
      <c r="I3107">
        <v>0</v>
      </c>
      <c r="J3107" t="s">
        <v>343</v>
      </c>
      <c r="K3107">
        <v>5000</v>
      </c>
      <c r="M3107">
        <v>5000</v>
      </c>
    </row>
    <row r="3108" spans="1:13" x14ac:dyDescent="0.35">
      <c r="A3108" t="str">
        <f t="shared" si="165"/>
        <v>STKCDG4574214960440000</v>
      </c>
      <c r="B3108" t="s">
        <v>3115</v>
      </c>
      <c r="C3108" s="1">
        <v>45742</v>
      </c>
      <c r="D3108" t="str">
        <f>"149"</f>
        <v>149</v>
      </c>
      <c r="E3108" t="str">
        <f>"60440000"</f>
        <v>60440000</v>
      </c>
      <c r="F3108" t="s">
        <v>5425</v>
      </c>
      <c r="G3108" t="s">
        <v>336</v>
      </c>
      <c r="H3108" t="s">
        <v>6015</v>
      </c>
      <c r="I3108">
        <v>0</v>
      </c>
      <c r="J3108" t="s">
        <v>343</v>
      </c>
      <c r="K3108">
        <v>8921</v>
      </c>
      <c r="M3108">
        <v>8921</v>
      </c>
    </row>
    <row r="3109" spans="1:13" x14ac:dyDescent="0.35">
      <c r="A3109" t="str">
        <f t="shared" si="165"/>
        <v>STKCDG45744160460000</v>
      </c>
      <c r="B3109" t="s">
        <v>3115</v>
      </c>
      <c r="C3109" s="1">
        <v>45744</v>
      </c>
      <c r="D3109" t="str">
        <f>"1"</f>
        <v>1</v>
      </c>
      <c r="E3109" t="str">
        <f t="shared" ref="E3109:E3115" si="168">"60460000"</f>
        <v>60460000</v>
      </c>
      <c r="F3109" t="s">
        <v>5427</v>
      </c>
      <c r="G3109" t="s">
        <v>336</v>
      </c>
      <c r="H3109" t="s">
        <v>5876</v>
      </c>
      <c r="I3109">
        <v>0</v>
      </c>
      <c r="J3109" t="s">
        <v>343</v>
      </c>
      <c r="K3109">
        <v>600</v>
      </c>
      <c r="M3109">
        <v>600</v>
      </c>
    </row>
    <row r="3110" spans="1:13" x14ac:dyDescent="0.35">
      <c r="A3110" t="str">
        <f t="shared" si="165"/>
        <v>STKCDG45744260460000</v>
      </c>
      <c r="B3110" t="s">
        <v>3115</v>
      </c>
      <c r="C3110" s="1">
        <v>45744</v>
      </c>
      <c r="D3110" t="str">
        <f>"2"</f>
        <v>2</v>
      </c>
      <c r="E3110" t="str">
        <f t="shared" si="168"/>
        <v>60460000</v>
      </c>
      <c r="F3110" t="s">
        <v>5429</v>
      </c>
      <c r="G3110" t="s">
        <v>336</v>
      </c>
      <c r="H3110" t="s">
        <v>5875</v>
      </c>
      <c r="I3110">
        <v>0</v>
      </c>
      <c r="J3110" t="s">
        <v>343</v>
      </c>
      <c r="K3110">
        <v>600</v>
      </c>
      <c r="M3110">
        <v>600</v>
      </c>
    </row>
    <row r="3111" spans="1:13" x14ac:dyDescent="0.35">
      <c r="A3111" t="str">
        <f t="shared" si="165"/>
        <v>STKCDG45744360460000</v>
      </c>
      <c r="B3111" t="s">
        <v>3115</v>
      </c>
      <c r="C3111" s="1">
        <v>45744</v>
      </c>
      <c r="D3111" t="str">
        <f>"3"</f>
        <v>3</v>
      </c>
      <c r="E3111" t="str">
        <f t="shared" si="168"/>
        <v>60460000</v>
      </c>
      <c r="F3111" t="s">
        <v>5431</v>
      </c>
      <c r="G3111" t="s">
        <v>336</v>
      </c>
      <c r="H3111" t="s">
        <v>5873</v>
      </c>
      <c r="I3111">
        <v>0</v>
      </c>
      <c r="J3111" t="s">
        <v>343</v>
      </c>
      <c r="K3111">
        <v>6900</v>
      </c>
      <c r="M3111">
        <v>6900</v>
      </c>
    </row>
    <row r="3112" spans="1:13" x14ac:dyDescent="0.35">
      <c r="A3112" t="str">
        <f t="shared" si="165"/>
        <v>STKCDG45744460460000</v>
      </c>
      <c r="B3112" t="s">
        <v>3115</v>
      </c>
      <c r="C3112" s="1">
        <v>45744</v>
      </c>
      <c r="D3112" t="str">
        <f>"4"</f>
        <v>4</v>
      </c>
      <c r="E3112" t="str">
        <f t="shared" si="168"/>
        <v>60460000</v>
      </c>
      <c r="F3112" t="s">
        <v>5433</v>
      </c>
      <c r="G3112" t="s">
        <v>336</v>
      </c>
      <c r="H3112" t="s">
        <v>5958</v>
      </c>
      <c r="I3112">
        <v>0</v>
      </c>
      <c r="J3112" t="s">
        <v>343</v>
      </c>
      <c r="K3112">
        <v>294</v>
      </c>
      <c r="M3112">
        <v>1094</v>
      </c>
    </row>
    <row r="3113" spans="1:13" x14ac:dyDescent="0.35">
      <c r="A3113" t="str">
        <f t="shared" si="165"/>
        <v>STKCDG45744460460000</v>
      </c>
      <c r="B3113" t="s">
        <v>3115</v>
      </c>
      <c r="C3113" s="1">
        <v>45744</v>
      </c>
      <c r="D3113" t="str">
        <f>"4"</f>
        <v>4</v>
      </c>
      <c r="E3113" t="str">
        <f t="shared" si="168"/>
        <v>60460000</v>
      </c>
      <c r="F3113" t="s">
        <v>5433</v>
      </c>
      <c r="G3113" t="s">
        <v>336</v>
      </c>
      <c r="H3113" t="s">
        <v>5958</v>
      </c>
      <c r="I3113">
        <v>0</v>
      </c>
      <c r="J3113" t="s">
        <v>343</v>
      </c>
      <c r="K3113">
        <v>800</v>
      </c>
      <c r="M3113">
        <v>1094</v>
      </c>
    </row>
    <row r="3114" spans="1:13" x14ac:dyDescent="0.35">
      <c r="A3114" t="str">
        <f t="shared" si="165"/>
        <v>STKCDG45744560460000</v>
      </c>
      <c r="B3114" t="s">
        <v>3115</v>
      </c>
      <c r="C3114" s="1">
        <v>45744</v>
      </c>
      <c r="D3114" t="str">
        <f>"5"</f>
        <v>5</v>
      </c>
      <c r="E3114" t="str">
        <f t="shared" si="168"/>
        <v>60460000</v>
      </c>
      <c r="F3114" t="s">
        <v>5435</v>
      </c>
      <c r="G3114" t="s">
        <v>336</v>
      </c>
      <c r="H3114" t="s">
        <v>5958</v>
      </c>
      <c r="I3114">
        <v>0</v>
      </c>
      <c r="J3114" t="s">
        <v>343</v>
      </c>
      <c r="K3114">
        <v>294</v>
      </c>
      <c r="M3114">
        <v>1094</v>
      </c>
    </row>
    <row r="3115" spans="1:13" x14ac:dyDescent="0.35">
      <c r="A3115" t="str">
        <f t="shared" si="165"/>
        <v>STKCDG45744560460000</v>
      </c>
      <c r="B3115" t="s">
        <v>3115</v>
      </c>
      <c r="C3115" s="1">
        <v>45744</v>
      </c>
      <c r="D3115" t="str">
        <f>"5"</f>
        <v>5</v>
      </c>
      <c r="E3115" t="str">
        <f t="shared" si="168"/>
        <v>60460000</v>
      </c>
      <c r="F3115" t="s">
        <v>5435</v>
      </c>
      <c r="G3115" t="s">
        <v>336</v>
      </c>
      <c r="H3115" t="s">
        <v>5958</v>
      </c>
      <c r="I3115">
        <v>0</v>
      </c>
      <c r="J3115" t="s">
        <v>343</v>
      </c>
      <c r="K3115">
        <v>800</v>
      </c>
      <c r="M3115">
        <v>1094</v>
      </c>
    </row>
    <row r="3116" spans="1:13" x14ac:dyDescent="0.35">
      <c r="A3116" t="str">
        <f t="shared" si="165"/>
        <v>STKCDG45744660410000</v>
      </c>
      <c r="B3116" t="s">
        <v>3115</v>
      </c>
      <c r="C3116" s="1">
        <v>45744</v>
      </c>
      <c r="D3116" t="str">
        <f>"6"</f>
        <v>6</v>
      </c>
      <c r="E3116" t="str">
        <f>"60410000"</f>
        <v>60410000</v>
      </c>
      <c r="F3116" t="s">
        <v>5437</v>
      </c>
      <c r="G3116" t="s">
        <v>336</v>
      </c>
      <c r="H3116" t="s">
        <v>5949</v>
      </c>
      <c r="I3116">
        <v>0</v>
      </c>
      <c r="J3116" t="s">
        <v>343</v>
      </c>
      <c r="K3116">
        <v>35000</v>
      </c>
      <c r="M3116">
        <v>35000</v>
      </c>
    </row>
    <row r="3117" spans="1:13" x14ac:dyDescent="0.35">
      <c r="A3117" t="str">
        <f t="shared" si="165"/>
        <v>STKCDG45744760460000</v>
      </c>
      <c r="B3117" t="s">
        <v>3115</v>
      </c>
      <c r="C3117" s="1">
        <v>45744</v>
      </c>
      <c r="D3117" t="str">
        <f>"7"</f>
        <v>7</v>
      </c>
      <c r="E3117" t="str">
        <f t="shared" ref="E3117:E3123" si="169">"60460000"</f>
        <v>60460000</v>
      </c>
      <c r="F3117" t="s">
        <v>5439</v>
      </c>
      <c r="G3117" t="s">
        <v>336</v>
      </c>
      <c r="H3117" t="s">
        <v>5880</v>
      </c>
      <c r="I3117">
        <v>0</v>
      </c>
      <c r="J3117" t="s">
        <v>343</v>
      </c>
      <c r="K3117">
        <v>4319</v>
      </c>
      <c r="M3117">
        <v>4319</v>
      </c>
    </row>
    <row r="3118" spans="1:13" x14ac:dyDescent="0.35">
      <c r="A3118" t="str">
        <f t="shared" si="165"/>
        <v>STKCDG45744860460000</v>
      </c>
      <c r="B3118" t="s">
        <v>3115</v>
      </c>
      <c r="C3118" s="1">
        <v>45744</v>
      </c>
      <c r="D3118" t="str">
        <f>"8"</f>
        <v>8</v>
      </c>
      <c r="E3118" t="str">
        <f t="shared" si="169"/>
        <v>60460000</v>
      </c>
      <c r="F3118" t="s">
        <v>5441</v>
      </c>
      <c r="G3118" t="s">
        <v>336</v>
      </c>
      <c r="H3118" t="s">
        <v>5949</v>
      </c>
      <c r="I3118">
        <v>0</v>
      </c>
      <c r="J3118" t="s">
        <v>343</v>
      </c>
      <c r="K3118">
        <v>1470</v>
      </c>
      <c r="M3118">
        <v>1470</v>
      </c>
    </row>
    <row r="3119" spans="1:13" x14ac:dyDescent="0.35">
      <c r="A3119" t="str">
        <f t="shared" si="165"/>
        <v>STKCDG45744960460000</v>
      </c>
      <c r="B3119" t="s">
        <v>3115</v>
      </c>
      <c r="C3119" s="1">
        <v>45744</v>
      </c>
      <c r="D3119" t="str">
        <f>"9"</f>
        <v>9</v>
      </c>
      <c r="E3119" t="str">
        <f t="shared" si="169"/>
        <v>60460000</v>
      </c>
      <c r="F3119" t="s">
        <v>5443</v>
      </c>
      <c r="G3119" t="s">
        <v>336</v>
      </c>
      <c r="H3119" t="s">
        <v>5958</v>
      </c>
      <c r="I3119">
        <v>0</v>
      </c>
      <c r="J3119" t="s">
        <v>343</v>
      </c>
      <c r="K3119">
        <v>21500</v>
      </c>
      <c r="M3119">
        <v>21500</v>
      </c>
    </row>
    <row r="3120" spans="1:13" x14ac:dyDescent="0.35">
      <c r="A3120" t="str">
        <f t="shared" si="165"/>
        <v>STKCDG457441060460000</v>
      </c>
      <c r="B3120" t="s">
        <v>3115</v>
      </c>
      <c r="C3120" s="1">
        <v>45744</v>
      </c>
      <c r="D3120" t="str">
        <f>"10"</f>
        <v>10</v>
      </c>
      <c r="E3120" t="str">
        <f t="shared" si="169"/>
        <v>60460000</v>
      </c>
      <c r="F3120" t="s">
        <v>5445</v>
      </c>
      <c r="G3120" t="s">
        <v>336</v>
      </c>
      <c r="H3120" t="s">
        <v>5875</v>
      </c>
      <c r="I3120">
        <v>0</v>
      </c>
      <c r="J3120" t="s">
        <v>343</v>
      </c>
      <c r="K3120">
        <v>13800</v>
      </c>
      <c r="M3120">
        <v>13800</v>
      </c>
    </row>
    <row r="3121" spans="1:13" x14ac:dyDescent="0.35">
      <c r="A3121" t="str">
        <f t="shared" si="165"/>
        <v>STKCDG457441160460000</v>
      </c>
      <c r="B3121" t="s">
        <v>3115</v>
      </c>
      <c r="C3121" s="1">
        <v>45744</v>
      </c>
      <c r="D3121" t="str">
        <f>"11"</f>
        <v>11</v>
      </c>
      <c r="E3121" t="str">
        <f t="shared" si="169"/>
        <v>60460000</v>
      </c>
      <c r="F3121" t="s">
        <v>5447</v>
      </c>
      <c r="G3121" t="s">
        <v>336</v>
      </c>
      <c r="H3121" t="s">
        <v>5874</v>
      </c>
      <c r="I3121">
        <v>0</v>
      </c>
      <c r="J3121" t="s">
        <v>343</v>
      </c>
      <c r="K3121">
        <v>245</v>
      </c>
      <c r="M3121">
        <v>23040</v>
      </c>
    </row>
    <row r="3122" spans="1:13" x14ac:dyDescent="0.35">
      <c r="A3122" t="str">
        <f t="shared" si="165"/>
        <v>STKCDG457441160460000</v>
      </c>
      <c r="B3122" t="s">
        <v>3115</v>
      </c>
      <c r="C3122" s="1">
        <v>45744</v>
      </c>
      <c r="D3122" t="str">
        <f>"11"</f>
        <v>11</v>
      </c>
      <c r="E3122" t="str">
        <f t="shared" si="169"/>
        <v>60460000</v>
      </c>
      <c r="F3122" t="s">
        <v>5447</v>
      </c>
      <c r="G3122" t="s">
        <v>336</v>
      </c>
      <c r="H3122" t="s">
        <v>5874</v>
      </c>
      <c r="I3122">
        <v>0</v>
      </c>
      <c r="J3122" t="s">
        <v>343</v>
      </c>
      <c r="K3122">
        <v>22795</v>
      </c>
      <c r="M3122">
        <v>23040</v>
      </c>
    </row>
    <row r="3123" spans="1:13" x14ac:dyDescent="0.35">
      <c r="A3123" t="str">
        <f t="shared" si="165"/>
        <v>STKCDG457441260460000</v>
      </c>
      <c r="B3123" t="s">
        <v>3115</v>
      </c>
      <c r="C3123" s="1">
        <v>45744</v>
      </c>
      <c r="D3123" t="str">
        <f>"12"</f>
        <v>12</v>
      </c>
      <c r="E3123" t="str">
        <f t="shared" si="169"/>
        <v>60460000</v>
      </c>
      <c r="F3123" t="s">
        <v>5449</v>
      </c>
      <c r="G3123" t="s">
        <v>336</v>
      </c>
      <c r="H3123" t="s">
        <v>6016</v>
      </c>
      <c r="I3123">
        <v>0</v>
      </c>
      <c r="J3123" t="s">
        <v>343</v>
      </c>
      <c r="K3123">
        <v>2300</v>
      </c>
      <c r="M3123">
        <v>2300</v>
      </c>
    </row>
    <row r="3124" spans="1:13" x14ac:dyDescent="0.35">
      <c r="A3124" t="str">
        <f t="shared" si="165"/>
        <v>STKCDG457441360430000</v>
      </c>
      <c r="B3124" t="s">
        <v>3115</v>
      </c>
      <c r="C3124" s="1">
        <v>45744</v>
      </c>
      <c r="D3124" t="str">
        <f>"13"</f>
        <v>13</v>
      </c>
      <c r="E3124" t="str">
        <f>"60430000"</f>
        <v>60430000</v>
      </c>
      <c r="F3124" t="s">
        <v>5451</v>
      </c>
      <c r="G3124" t="s">
        <v>336</v>
      </c>
      <c r="H3124" t="s">
        <v>5880</v>
      </c>
      <c r="I3124">
        <v>0</v>
      </c>
      <c r="J3124" t="s">
        <v>343</v>
      </c>
      <c r="K3124">
        <v>120400</v>
      </c>
      <c r="M3124">
        <v>120400</v>
      </c>
    </row>
    <row r="3125" spans="1:13" x14ac:dyDescent="0.35">
      <c r="A3125" t="str">
        <f t="shared" si="165"/>
        <v>STKCDG457441460460000</v>
      </c>
      <c r="B3125" t="s">
        <v>3115</v>
      </c>
      <c r="C3125" s="1">
        <v>45744</v>
      </c>
      <c r="D3125" t="str">
        <f>"14"</f>
        <v>14</v>
      </c>
      <c r="E3125" t="str">
        <f>"60460000"</f>
        <v>60460000</v>
      </c>
      <c r="F3125" t="s">
        <v>5453</v>
      </c>
      <c r="G3125" t="s">
        <v>336</v>
      </c>
      <c r="H3125" t="s">
        <v>5875</v>
      </c>
      <c r="I3125">
        <v>0</v>
      </c>
      <c r="J3125" t="s">
        <v>343</v>
      </c>
      <c r="K3125">
        <v>273000</v>
      </c>
      <c r="M3125">
        <v>273000</v>
      </c>
    </row>
    <row r="3126" spans="1:13" x14ac:dyDescent="0.35">
      <c r="A3126" t="str">
        <f t="shared" si="165"/>
        <v>STKCDG457441560460000</v>
      </c>
      <c r="B3126" t="s">
        <v>3115</v>
      </c>
      <c r="C3126" s="1">
        <v>45744</v>
      </c>
      <c r="D3126" t="str">
        <f>"15"</f>
        <v>15</v>
      </c>
      <c r="E3126" t="str">
        <f>"60460000"</f>
        <v>60460000</v>
      </c>
      <c r="F3126" t="s">
        <v>5455</v>
      </c>
      <c r="G3126" t="s">
        <v>336</v>
      </c>
      <c r="H3126" t="s">
        <v>5949</v>
      </c>
      <c r="I3126">
        <v>0</v>
      </c>
      <c r="J3126" t="s">
        <v>343</v>
      </c>
      <c r="K3126">
        <v>77484</v>
      </c>
      <c r="M3126">
        <v>77484</v>
      </c>
    </row>
    <row r="3127" spans="1:13" x14ac:dyDescent="0.35">
      <c r="A3127" t="str">
        <f t="shared" si="165"/>
        <v>STKCDG4574415060440000</v>
      </c>
      <c r="B3127" t="s">
        <v>3115</v>
      </c>
      <c r="C3127" s="1">
        <v>45744</v>
      </c>
      <c r="D3127" t="str">
        <f>"150"</f>
        <v>150</v>
      </c>
      <c r="E3127" t="str">
        <f t="shared" ref="E3127:E3133" si="170">"60440000"</f>
        <v>60440000</v>
      </c>
      <c r="F3127" t="s">
        <v>5457</v>
      </c>
      <c r="G3127" t="s">
        <v>336</v>
      </c>
      <c r="H3127" t="s">
        <v>5874</v>
      </c>
      <c r="I3127">
        <v>0</v>
      </c>
      <c r="J3127" t="s">
        <v>343</v>
      </c>
      <c r="K3127">
        <v>7347</v>
      </c>
      <c r="M3127">
        <v>7347</v>
      </c>
    </row>
    <row r="3128" spans="1:13" x14ac:dyDescent="0.35">
      <c r="A3128" t="str">
        <f t="shared" si="165"/>
        <v>STKCDG4574415160440000</v>
      </c>
      <c r="B3128" t="s">
        <v>3115</v>
      </c>
      <c r="C3128" s="1">
        <v>45744</v>
      </c>
      <c r="D3128" t="str">
        <f>"151"</f>
        <v>151</v>
      </c>
      <c r="E3128" t="str">
        <f t="shared" si="170"/>
        <v>60440000</v>
      </c>
      <c r="F3128" t="s">
        <v>5459</v>
      </c>
      <c r="G3128" t="s">
        <v>336</v>
      </c>
      <c r="H3128" t="s">
        <v>5874</v>
      </c>
      <c r="I3128">
        <v>0</v>
      </c>
      <c r="J3128" t="s">
        <v>343</v>
      </c>
      <c r="K3128">
        <v>1968</v>
      </c>
      <c r="M3128">
        <v>1968</v>
      </c>
    </row>
    <row r="3129" spans="1:13" x14ac:dyDescent="0.35">
      <c r="A3129" t="str">
        <f t="shared" si="165"/>
        <v>STKCDG4574415260440000</v>
      </c>
      <c r="B3129" t="s">
        <v>3115</v>
      </c>
      <c r="C3129" s="1">
        <v>45744</v>
      </c>
      <c r="D3129" t="str">
        <f>"152"</f>
        <v>152</v>
      </c>
      <c r="E3129" t="str">
        <f t="shared" si="170"/>
        <v>60440000</v>
      </c>
      <c r="F3129" t="s">
        <v>5461</v>
      </c>
      <c r="G3129" t="s">
        <v>336</v>
      </c>
      <c r="H3129" t="s">
        <v>5876</v>
      </c>
      <c r="I3129">
        <v>0</v>
      </c>
      <c r="J3129" t="s">
        <v>343</v>
      </c>
      <c r="K3129">
        <v>2099</v>
      </c>
      <c r="M3129">
        <v>2099</v>
      </c>
    </row>
    <row r="3130" spans="1:13" x14ac:dyDescent="0.35">
      <c r="A3130" t="str">
        <f t="shared" si="165"/>
        <v>STKCDG4574415360440000</v>
      </c>
      <c r="B3130" t="s">
        <v>3115</v>
      </c>
      <c r="C3130" s="1">
        <v>45744</v>
      </c>
      <c r="D3130" t="str">
        <f>"153"</f>
        <v>153</v>
      </c>
      <c r="E3130" t="str">
        <f t="shared" si="170"/>
        <v>60440000</v>
      </c>
      <c r="F3130" t="s">
        <v>5463</v>
      </c>
      <c r="G3130" t="s">
        <v>336</v>
      </c>
      <c r="H3130" t="s">
        <v>5876</v>
      </c>
      <c r="I3130">
        <v>0</v>
      </c>
      <c r="J3130" t="s">
        <v>343</v>
      </c>
      <c r="K3130">
        <v>656</v>
      </c>
      <c r="M3130">
        <v>656</v>
      </c>
    </row>
    <row r="3131" spans="1:13" x14ac:dyDescent="0.35">
      <c r="A3131" t="str">
        <f t="shared" si="165"/>
        <v>STKCDG4574415460440000</v>
      </c>
      <c r="B3131" t="s">
        <v>3115</v>
      </c>
      <c r="C3131" s="1">
        <v>45744</v>
      </c>
      <c r="D3131" t="str">
        <f>"154"</f>
        <v>154</v>
      </c>
      <c r="E3131" t="str">
        <f t="shared" si="170"/>
        <v>60440000</v>
      </c>
      <c r="F3131" t="s">
        <v>5465</v>
      </c>
      <c r="G3131" t="s">
        <v>336</v>
      </c>
      <c r="H3131" t="s">
        <v>5876</v>
      </c>
      <c r="I3131">
        <v>0</v>
      </c>
      <c r="J3131" t="s">
        <v>343</v>
      </c>
      <c r="K3131">
        <v>4789</v>
      </c>
      <c r="M3131">
        <v>4789</v>
      </c>
    </row>
    <row r="3132" spans="1:13" x14ac:dyDescent="0.35">
      <c r="A3132" t="str">
        <f t="shared" si="165"/>
        <v>STKCDG4574415560440000</v>
      </c>
      <c r="B3132" t="s">
        <v>3115</v>
      </c>
      <c r="C3132" s="1">
        <v>45744</v>
      </c>
      <c r="D3132" t="str">
        <f>"155"</f>
        <v>155</v>
      </c>
      <c r="E3132" t="str">
        <f t="shared" si="170"/>
        <v>60440000</v>
      </c>
      <c r="F3132" t="s">
        <v>5467</v>
      </c>
      <c r="G3132" t="s">
        <v>336</v>
      </c>
      <c r="H3132" t="s">
        <v>5876</v>
      </c>
      <c r="I3132">
        <v>0</v>
      </c>
      <c r="J3132" t="s">
        <v>343</v>
      </c>
      <c r="K3132">
        <v>11743</v>
      </c>
      <c r="M3132">
        <v>11743</v>
      </c>
    </row>
    <row r="3133" spans="1:13" x14ac:dyDescent="0.35">
      <c r="A3133" t="str">
        <f t="shared" si="165"/>
        <v>STKCDG4574415660440000</v>
      </c>
      <c r="B3133" t="s">
        <v>3115</v>
      </c>
      <c r="C3133" s="1">
        <v>45744</v>
      </c>
      <c r="D3133" t="str">
        <f>"156"</f>
        <v>156</v>
      </c>
      <c r="E3133" t="str">
        <f t="shared" si="170"/>
        <v>60440000</v>
      </c>
      <c r="F3133" t="s">
        <v>5469</v>
      </c>
      <c r="G3133" t="s">
        <v>336</v>
      </c>
      <c r="H3133" t="s">
        <v>5875</v>
      </c>
      <c r="I3133">
        <v>0</v>
      </c>
      <c r="J3133" t="s">
        <v>343</v>
      </c>
      <c r="K3133">
        <v>8068</v>
      </c>
      <c r="M3133">
        <v>8068</v>
      </c>
    </row>
    <row r="3134" spans="1:13" x14ac:dyDescent="0.35">
      <c r="A3134" t="str">
        <f t="shared" si="165"/>
        <v>STKCDG4574415760410000</v>
      </c>
      <c r="B3134" t="s">
        <v>3115</v>
      </c>
      <c r="C3134" s="1">
        <v>45744</v>
      </c>
      <c r="D3134" t="str">
        <f>"157"</f>
        <v>157</v>
      </c>
      <c r="E3134" t="str">
        <f>"60410000"</f>
        <v>60410000</v>
      </c>
      <c r="F3134" t="s">
        <v>5471</v>
      </c>
      <c r="G3134" t="s">
        <v>336</v>
      </c>
      <c r="H3134" t="s">
        <v>5880</v>
      </c>
      <c r="I3134">
        <v>0</v>
      </c>
      <c r="J3134" t="s">
        <v>343</v>
      </c>
      <c r="K3134">
        <v>2641</v>
      </c>
      <c r="M3134">
        <v>2641</v>
      </c>
    </row>
    <row r="3135" spans="1:13" x14ac:dyDescent="0.35">
      <c r="A3135" t="str">
        <f t="shared" si="165"/>
        <v>STKCDG4574415860440000</v>
      </c>
      <c r="B3135" t="s">
        <v>3115</v>
      </c>
      <c r="C3135" s="1">
        <v>45744</v>
      </c>
      <c r="D3135" t="str">
        <f>"158"</f>
        <v>158</v>
      </c>
      <c r="E3135" t="str">
        <f t="shared" ref="E3135:E3141" si="171">"60440000"</f>
        <v>60440000</v>
      </c>
      <c r="F3135" t="s">
        <v>5473</v>
      </c>
      <c r="G3135" t="s">
        <v>336</v>
      </c>
      <c r="H3135" t="s">
        <v>5875</v>
      </c>
      <c r="I3135">
        <v>0</v>
      </c>
      <c r="J3135" t="s">
        <v>343</v>
      </c>
      <c r="K3135">
        <v>3477</v>
      </c>
      <c r="M3135">
        <v>3477</v>
      </c>
    </row>
    <row r="3136" spans="1:13" x14ac:dyDescent="0.35">
      <c r="A3136" t="str">
        <f t="shared" si="165"/>
        <v>STKCDG4574415960440000</v>
      </c>
      <c r="B3136" t="s">
        <v>3115</v>
      </c>
      <c r="C3136" s="1">
        <v>45744</v>
      </c>
      <c r="D3136" t="str">
        <f>"159"</f>
        <v>159</v>
      </c>
      <c r="E3136" t="str">
        <f t="shared" si="171"/>
        <v>60440000</v>
      </c>
      <c r="F3136" t="s">
        <v>5475</v>
      </c>
      <c r="G3136" t="s">
        <v>336</v>
      </c>
      <c r="H3136" t="s">
        <v>5880</v>
      </c>
      <c r="I3136">
        <v>0</v>
      </c>
      <c r="J3136" t="s">
        <v>343</v>
      </c>
      <c r="K3136">
        <v>1050</v>
      </c>
      <c r="M3136">
        <v>1050</v>
      </c>
    </row>
    <row r="3137" spans="1:14" x14ac:dyDescent="0.35">
      <c r="A3137" t="str">
        <f t="shared" si="165"/>
        <v>STKCDG4574416060440000</v>
      </c>
      <c r="B3137" t="s">
        <v>3115</v>
      </c>
      <c r="C3137" s="1">
        <v>45744</v>
      </c>
      <c r="D3137" t="str">
        <f>"160"</f>
        <v>160</v>
      </c>
      <c r="E3137" t="str">
        <f t="shared" si="171"/>
        <v>60440000</v>
      </c>
      <c r="F3137" t="s">
        <v>5477</v>
      </c>
      <c r="G3137" t="s">
        <v>336</v>
      </c>
      <c r="H3137" t="s">
        <v>5905</v>
      </c>
      <c r="I3137">
        <v>0</v>
      </c>
      <c r="J3137" t="s">
        <v>343</v>
      </c>
      <c r="K3137">
        <v>117263</v>
      </c>
      <c r="M3137">
        <v>117263</v>
      </c>
    </row>
    <row r="3138" spans="1:14" x14ac:dyDescent="0.35">
      <c r="A3138" t="str">
        <f t="shared" si="165"/>
        <v>STKCDG4574416160440000</v>
      </c>
      <c r="B3138" t="s">
        <v>3115</v>
      </c>
      <c r="C3138" s="1">
        <v>45744</v>
      </c>
      <c r="D3138" t="str">
        <f>"161"</f>
        <v>161</v>
      </c>
      <c r="E3138" t="str">
        <f t="shared" si="171"/>
        <v>60440000</v>
      </c>
      <c r="F3138" t="s">
        <v>5479</v>
      </c>
      <c r="G3138" t="s">
        <v>336</v>
      </c>
      <c r="H3138" t="s">
        <v>5874</v>
      </c>
      <c r="I3138">
        <v>0</v>
      </c>
      <c r="J3138" t="s">
        <v>343</v>
      </c>
      <c r="K3138">
        <v>65000</v>
      </c>
      <c r="M3138">
        <v>65000</v>
      </c>
    </row>
    <row r="3139" spans="1:14" x14ac:dyDescent="0.35">
      <c r="A3139" t="str">
        <f t="shared" ref="A3139:A3202" si="172">CONCATENATE(B3139,C3139,D3139,E3139)</f>
        <v>STKCDG4574416260440000</v>
      </c>
      <c r="B3139" t="s">
        <v>3115</v>
      </c>
      <c r="C3139" s="1">
        <v>45744</v>
      </c>
      <c r="D3139" t="str">
        <f>"162"</f>
        <v>162</v>
      </c>
      <c r="E3139" t="str">
        <f t="shared" si="171"/>
        <v>60440000</v>
      </c>
      <c r="F3139" t="s">
        <v>5481</v>
      </c>
      <c r="G3139" t="s">
        <v>336</v>
      </c>
      <c r="H3139" t="s">
        <v>5958</v>
      </c>
      <c r="I3139">
        <v>0</v>
      </c>
      <c r="J3139" t="s">
        <v>343</v>
      </c>
      <c r="K3139">
        <v>500000</v>
      </c>
      <c r="M3139">
        <v>500000</v>
      </c>
    </row>
    <row r="3140" spans="1:14" x14ac:dyDescent="0.35">
      <c r="A3140" t="str">
        <f t="shared" si="172"/>
        <v>STKCDG4574416360440000</v>
      </c>
      <c r="B3140" t="s">
        <v>3115</v>
      </c>
      <c r="C3140" s="1">
        <v>45744</v>
      </c>
      <c r="D3140" t="str">
        <f>"163"</f>
        <v>163</v>
      </c>
      <c r="E3140" t="str">
        <f t="shared" si="171"/>
        <v>60440000</v>
      </c>
      <c r="F3140" t="s">
        <v>5483</v>
      </c>
      <c r="G3140" t="s">
        <v>336</v>
      </c>
      <c r="H3140" t="s">
        <v>5958</v>
      </c>
      <c r="I3140">
        <v>0</v>
      </c>
      <c r="J3140" t="s">
        <v>343</v>
      </c>
      <c r="K3140">
        <v>3477</v>
      </c>
      <c r="M3140">
        <v>3477</v>
      </c>
    </row>
    <row r="3141" spans="1:14" x14ac:dyDescent="0.35">
      <c r="A3141" t="str">
        <f t="shared" si="172"/>
        <v>STKCDG4574416460440000</v>
      </c>
      <c r="B3141" t="s">
        <v>3115</v>
      </c>
      <c r="C3141" s="1">
        <v>45744</v>
      </c>
      <c r="D3141" t="str">
        <f>"164"</f>
        <v>164</v>
      </c>
      <c r="E3141" t="str">
        <f t="shared" si="171"/>
        <v>60440000</v>
      </c>
      <c r="F3141" t="s">
        <v>5485</v>
      </c>
      <c r="G3141" t="s">
        <v>336</v>
      </c>
      <c r="H3141" t="s">
        <v>5874</v>
      </c>
      <c r="I3141">
        <v>0</v>
      </c>
      <c r="J3141" t="s">
        <v>343</v>
      </c>
      <c r="K3141">
        <v>9053</v>
      </c>
      <c r="M3141">
        <v>9053</v>
      </c>
    </row>
    <row r="3142" spans="1:14" x14ac:dyDescent="0.35">
      <c r="A3142" t="str">
        <f t="shared" si="172"/>
        <v>STKCDG4574416560410000</v>
      </c>
      <c r="B3142" t="s">
        <v>3115</v>
      </c>
      <c r="C3142" s="1">
        <v>45744</v>
      </c>
      <c r="D3142" t="str">
        <f>"165"</f>
        <v>165</v>
      </c>
      <c r="E3142" t="str">
        <f>"60410000"</f>
        <v>60410000</v>
      </c>
      <c r="F3142" t="s">
        <v>5487</v>
      </c>
      <c r="G3142" t="s">
        <v>336</v>
      </c>
      <c r="H3142" t="s">
        <v>5873</v>
      </c>
      <c r="I3142">
        <v>0</v>
      </c>
      <c r="J3142" t="s">
        <v>343</v>
      </c>
      <c r="K3142">
        <v>992</v>
      </c>
      <c r="M3142">
        <v>992</v>
      </c>
    </row>
    <row r="3143" spans="1:14" x14ac:dyDescent="0.35">
      <c r="A3143" t="str">
        <f t="shared" si="172"/>
        <v>STKCDG4574416660440000</v>
      </c>
      <c r="B3143" t="s">
        <v>3115</v>
      </c>
      <c r="C3143" s="1">
        <v>45744</v>
      </c>
      <c r="D3143" t="str">
        <f>"166"</f>
        <v>166</v>
      </c>
      <c r="E3143" t="str">
        <f>"60440000"</f>
        <v>60440000</v>
      </c>
      <c r="F3143" t="s">
        <v>5489</v>
      </c>
      <c r="G3143" t="s">
        <v>336</v>
      </c>
      <c r="H3143" t="s">
        <v>5958</v>
      </c>
      <c r="I3143">
        <v>0</v>
      </c>
      <c r="J3143" t="s">
        <v>343</v>
      </c>
      <c r="K3143">
        <v>328</v>
      </c>
      <c r="M3143">
        <v>328</v>
      </c>
    </row>
    <row r="3144" spans="1:14" x14ac:dyDescent="0.35">
      <c r="A3144" t="str">
        <f t="shared" si="172"/>
        <v>STKCDG4574416760440000</v>
      </c>
      <c r="B3144" t="s">
        <v>3115</v>
      </c>
      <c r="C3144" s="1">
        <v>45744</v>
      </c>
      <c r="D3144" t="str">
        <f>"167"</f>
        <v>167</v>
      </c>
      <c r="E3144" t="str">
        <f>"60440000"</f>
        <v>60440000</v>
      </c>
      <c r="F3144" t="s">
        <v>5491</v>
      </c>
      <c r="G3144" t="s">
        <v>336</v>
      </c>
      <c r="H3144" t="s">
        <v>5958</v>
      </c>
      <c r="I3144">
        <v>0</v>
      </c>
      <c r="J3144" t="s">
        <v>343</v>
      </c>
      <c r="K3144">
        <v>722</v>
      </c>
      <c r="M3144">
        <v>722</v>
      </c>
    </row>
    <row r="3145" spans="1:14" x14ac:dyDescent="0.35">
      <c r="A3145" t="str">
        <f t="shared" si="172"/>
        <v>STKCDG457451660440000</v>
      </c>
      <c r="B3145" t="s">
        <v>3115</v>
      </c>
      <c r="C3145" s="1">
        <v>45745</v>
      </c>
      <c r="D3145" t="str">
        <f>"16"</f>
        <v>16</v>
      </c>
      <c r="E3145" t="str">
        <f>"60440000"</f>
        <v>60440000</v>
      </c>
      <c r="F3145" t="s">
        <v>5493</v>
      </c>
      <c r="G3145" t="s">
        <v>336</v>
      </c>
      <c r="H3145" t="s">
        <v>5874</v>
      </c>
      <c r="I3145">
        <v>0</v>
      </c>
      <c r="J3145" t="s">
        <v>343</v>
      </c>
      <c r="K3145">
        <v>34700</v>
      </c>
      <c r="M3145">
        <v>34700</v>
      </c>
    </row>
    <row r="3146" spans="1:14" x14ac:dyDescent="0.35">
      <c r="A3146" t="str">
        <f t="shared" si="172"/>
        <v>VTE45717FAB250032170610010</v>
      </c>
      <c r="B3146" t="s">
        <v>131</v>
      </c>
      <c r="C3146" s="1">
        <v>45717</v>
      </c>
      <c r="D3146" t="s">
        <v>5494</v>
      </c>
      <c r="E3146" t="str">
        <f>"70610010"</f>
        <v>70610010</v>
      </c>
      <c r="F3146" t="s">
        <v>5495</v>
      </c>
      <c r="G3146" t="s">
        <v>5885</v>
      </c>
      <c r="H3146" t="s">
        <v>5975</v>
      </c>
      <c r="I3146">
        <v>0</v>
      </c>
      <c r="J3146" t="s">
        <v>343</v>
      </c>
      <c r="L3146">
        <v>5589000</v>
      </c>
      <c r="N3146">
        <v>5589000</v>
      </c>
    </row>
    <row r="3147" spans="1:14" x14ac:dyDescent="0.35">
      <c r="A3147" t="str">
        <f t="shared" si="172"/>
        <v>VTE45717FAB250032470610010</v>
      </c>
      <c r="B3147" t="s">
        <v>131</v>
      </c>
      <c r="C3147" s="1">
        <v>45717</v>
      </c>
      <c r="D3147" t="s">
        <v>5496</v>
      </c>
      <c r="E3147" t="str">
        <f>"70610010"</f>
        <v>70610010</v>
      </c>
      <c r="F3147" t="s">
        <v>5497</v>
      </c>
      <c r="G3147" t="s">
        <v>5885</v>
      </c>
      <c r="H3147" t="s">
        <v>5969</v>
      </c>
      <c r="I3147">
        <v>0</v>
      </c>
      <c r="J3147" t="s">
        <v>343</v>
      </c>
      <c r="L3147">
        <v>1700000</v>
      </c>
      <c r="N3147">
        <v>1700000</v>
      </c>
    </row>
    <row r="3148" spans="1:14" x14ac:dyDescent="0.35">
      <c r="A3148" t="str">
        <f t="shared" si="172"/>
        <v>VTE45717FAB250054070610020</v>
      </c>
      <c r="B3148" t="s">
        <v>131</v>
      </c>
      <c r="C3148" s="1">
        <v>45717</v>
      </c>
      <c r="D3148" t="s">
        <v>5498</v>
      </c>
      <c r="E3148" t="str">
        <f>"70610020"</f>
        <v>70610020</v>
      </c>
      <c r="F3148" t="s">
        <v>5499</v>
      </c>
      <c r="G3148" t="s">
        <v>5885</v>
      </c>
      <c r="H3148" t="s">
        <v>5978</v>
      </c>
      <c r="I3148">
        <v>0</v>
      </c>
      <c r="J3148" t="s">
        <v>343</v>
      </c>
      <c r="L3148">
        <v>25000000</v>
      </c>
      <c r="N3148">
        <v>25000000</v>
      </c>
    </row>
    <row r="3149" spans="1:14" x14ac:dyDescent="0.35">
      <c r="A3149" t="str">
        <f t="shared" si="172"/>
        <v>VTE45717FAB250061270610010</v>
      </c>
      <c r="B3149" t="s">
        <v>131</v>
      </c>
      <c r="C3149" s="1">
        <v>45717</v>
      </c>
      <c r="D3149" t="s">
        <v>5500</v>
      </c>
      <c r="E3149" t="str">
        <f>"70610010"</f>
        <v>70610010</v>
      </c>
      <c r="F3149" t="s">
        <v>5501</v>
      </c>
      <c r="G3149" t="s">
        <v>5885</v>
      </c>
      <c r="H3149" t="s">
        <v>5975</v>
      </c>
      <c r="I3149">
        <v>0</v>
      </c>
      <c r="J3149" t="s">
        <v>343</v>
      </c>
      <c r="L3149">
        <v>210000</v>
      </c>
      <c r="N3149">
        <v>210000</v>
      </c>
    </row>
    <row r="3150" spans="1:14" x14ac:dyDescent="0.35">
      <c r="A3150" t="str">
        <f t="shared" si="172"/>
        <v>VTE45717FAB250062070610010</v>
      </c>
      <c r="B3150" t="s">
        <v>131</v>
      </c>
      <c r="C3150" s="1">
        <v>45717</v>
      </c>
      <c r="D3150" t="s">
        <v>1778</v>
      </c>
      <c r="E3150" t="str">
        <f>"70610010"</f>
        <v>70610010</v>
      </c>
      <c r="F3150" t="s">
        <v>5502</v>
      </c>
      <c r="G3150" t="s">
        <v>5885</v>
      </c>
      <c r="H3150" t="s">
        <v>5969</v>
      </c>
      <c r="I3150">
        <v>0</v>
      </c>
      <c r="J3150" t="s">
        <v>343</v>
      </c>
      <c r="L3150">
        <v>35241650</v>
      </c>
      <c r="N3150">
        <v>35241650</v>
      </c>
    </row>
    <row r="3151" spans="1:14" x14ac:dyDescent="0.35">
      <c r="A3151" t="str">
        <f t="shared" si="172"/>
        <v>VTE45717FAB250062170610010</v>
      </c>
      <c r="B3151" t="s">
        <v>131</v>
      </c>
      <c r="C3151" s="1">
        <v>45717</v>
      </c>
      <c r="D3151" t="s">
        <v>5503</v>
      </c>
      <c r="E3151" t="str">
        <f>"70610010"</f>
        <v>70610010</v>
      </c>
      <c r="F3151" t="s">
        <v>5501</v>
      </c>
      <c r="G3151" t="s">
        <v>5885</v>
      </c>
      <c r="H3151" t="s">
        <v>5975</v>
      </c>
      <c r="I3151">
        <v>0</v>
      </c>
      <c r="J3151" t="s">
        <v>343</v>
      </c>
      <c r="L3151">
        <v>22124187</v>
      </c>
      <c r="N3151">
        <v>22124187</v>
      </c>
    </row>
    <row r="3152" spans="1:14" x14ac:dyDescent="0.35">
      <c r="A3152" t="str">
        <f t="shared" si="172"/>
        <v>VTE45717FAB250062170610040</v>
      </c>
      <c r="B3152" t="s">
        <v>131</v>
      </c>
      <c r="C3152" s="1">
        <v>45717</v>
      </c>
      <c r="D3152" t="s">
        <v>5503</v>
      </c>
      <c r="E3152" t="str">
        <f>"70610040"</f>
        <v>70610040</v>
      </c>
      <c r="F3152" t="s">
        <v>5501</v>
      </c>
      <c r="G3152" t="s">
        <v>5885</v>
      </c>
      <c r="H3152" t="s">
        <v>5972</v>
      </c>
      <c r="I3152">
        <v>0</v>
      </c>
      <c r="J3152" t="s">
        <v>343</v>
      </c>
      <c r="L3152">
        <v>6225000</v>
      </c>
      <c r="N3152">
        <v>12850000</v>
      </c>
    </row>
    <row r="3153" spans="1:14" x14ac:dyDescent="0.35">
      <c r="A3153" t="str">
        <f t="shared" si="172"/>
        <v>VTE45717FAB250062170610040</v>
      </c>
      <c r="B3153" t="s">
        <v>131</v>
      </c>
      <c r="C3153" s="1">
        <v>45717</v>
      </c>
      <c r="D3153" t="s">
        <v>5503</v>
      </c>
      <c r="E3153" t="str">
        <f>"70610040"</f>
        <v>70610040</v>
      </c>
      <c r="F3153" t="s">
        <v>5501</v>
      </c>
      <c r="G3153" t="s">
        <v>5885</v>
      </c>
      <c r="H3153" t="s">
        <v>5979</v>
      </c>
      <c r="I3153">
        <v>0</v>
      </c>
      <c r="J3153" t="s">
        <v>343</v>
      </c>
      <c r="L3153">
        <v>6625000</v>
      </c>
      <c r="N3153">
        <v>12850000</v>
      </c>
    </row>
    <row r="3154" spans="1:14" x14ac:dyDescent="0.35">
      <c r="A3154" t="str">
        <f t="shared" si="172"/>
        <v>VTE45717FBK250007270610010</v>
      </c>
      <c r="B3154" t="s">
        <v>131</v>
      </c>
      <c r="C3154" s="1">
        <v>45717</v>
      </c>
      <c r="D3154" t="s">
        <v>5504</v>
      </c>
      <c r="E3154" t="str">
        <f>"70610010"</f>
        <v>70610010</v>
      </c>
      <c r="F3154" t="s">
        <v>5495</v>
      </c>
      <c r="G3154" t="s">
        <v>5885</v>
      </c>
      <c r="H3154" t="s">
        <v>5977</v>
      </c>
      <c r="I3154">
        <v>0</v>
      </c>
      <c r="J3154" t="s">
        <v>343</v>
      </c>
      <c r="L3154">
        <v>395043</v>
      </c>
      <c r="N3154">
        <v>395043</v>
      </c>
    </row>
    <row r="3155" spans="1:14" x14ac:dyDescent="0.35">
      <c r="A3155" t="str">
        <f t="shared" si="172"/>
        <v>VTE45717FBK250008870610010</v>
      </c>
      <c r="B3155" t="s">
        <v>131</v>
      </c>
      <c r="C3155" s="1">
        <v>45717</v>
      </c>
      <c r="D3155" t="s">
        <v>5505</v>
      </c>
      <c r="E3155" t="str">
        <f>"70610010"</f>
        <v>70610010</v>
      </c>
      <c r="F3155" t="s">
        <v>5506</v>
      </c>
      <c r="G3155" t="s">
        <v>5885</v>
      </c>
      <c r="H3155" t="s">
        <v>6017</v>
      </c>
      <c r="I3155">
        <v>0</v>
      </c>
      <c r="J3155" t="s">
        <v>343</v>
      </c>
      <c r="L3155">
        <v>9622328</v>
      </c>
      <c r="N3155">
        <v>9622328</v>
      </c>
    </row>
    <row r="3156" spans="1:14" x14ac:dyDescent="0.35">
      <c r="A3156" t="str">
        <f t="shared" si="172"/>
        <v>VTE45717FBK250016870610010</v>
      </c>
      <c r="B3156" t="s">
        <v>131</v>
      </c>
      <c r="C3156" s="1">
        <v>45717</v>
      </c>
      <c r="D3156" t="s">
        <v>5507</v>
      </c>
      <c r="E3156" t="str">
        <f>"70610010"</f>
        <v>70610010</v>
      </c>
      <c r="F3156" t="s">
        <v>5508</v>
      </c>
      <c r="G3156" t="s">
        <v>5885</v>
      </c>
      <c r="H3156" t="s">
        <v>5977</v>
      </c>
      <c r="I3156">
        <v>0</v>
      </c>
      <c r="J3156" t="s">
        <v>343</v>
      </c>
      <c r="L3156">
        <v>931500</v>
      </c>
      <c r="N3156">
        <v>931500</v>
      </c>
    </row>
    <row r="3157" spans="1:14" x14ac:dyDescent="0.35">
      <c r="A3157" t="str">
        <f t="shared" si="172"/>
        <v>VTE45717FFE250000170610010</v>
      </c>
      <c r="B3157" t="s">
        <v>131</v>
      </c>
      <c r="C3157" s="1">
        <v>45717</v>
      </c>
      <c r="D3157" t="s">
        <v>5509</v>
      </c>
      <c r="E3157" t="str">
        <f>"70610010"</f>
        <v>70610010</v>
      </c>
      <c r="F3157" t="s">
        <v>5510</v>
      </c>
      <c r="G3157" t="s">
        <v>5885</v>
      </c>
      <c r="H3157" t="s">
        <v>5971</v>
      </c>
      <c r="I3157">
        <v>0</v>
      </c>
      <c r="J3157" t="s">
        <v>343</v>
      </c>
      <c r="L3157">
        <v>800000</v>
      </c>
      <c r="N3157">
        <v>800000</v>
      </c>
    </row>
    <row r="3158" spans="1:14" x14ac:dyDescent="0.35">
      <c r="A3158" t="str">
        <f t="shared" si="172"/>
        <v>VTE45717FYK250000670610010</v>
      </c>
      <c r="B3158" t="s">
        <v>131</v>
      </c>
      <c r="C3158" s="1">
        <v>45717</v>
      </c>
      <c r="D3158" t="s">
        <v>1788</v>
      </c>
      <c r="E3158" t="str">
        <f>"70610010"</f>
        <v>70610010</v>
      </c>
      <c r="F3158" t="s">
        <v>5502</v>
      </c>
      <c r="G3158" t="s">
        <v>5885</v>
      </c>
      <c r="H3158" t="s">
        <v>6018</v>
      </c>
      <c r="I3158">
        <v>0</v>
      </c>
      <c r="J3158" t="s">
        <v>343</v>
      </c>
      <c r="L3158">
        <v>40055300</v>
      </c>
      <c r="N3158">
        <v>40055300</v>
      </c>
    </row>
    <row r="3159" spans="1:14" x14ac:dyDescent="0.35">
      <c r="A3159" t="str">
        <f t="shared" si="172"/>
        <v>VTE45718FAB250054147310100</v>
      </c>
      <c r="B3159" t="s">
        <v>131</v>
      </c>
      <c r="C3159" s="1">
        <v>45718</v>
      </c>
      <c r="D3159" t="s">
        <v>5511</v>
      </c>
      <c r="E3159" t="str">
        <f>"47310100"</f>
        <v>47310100</v>
      </c>
      <c r="F3159" t="s">
        <v>5512</v>
      </c>
      <c r="G3159" t="s">
        <v>5885</v>
      </c>
      <c r="H3159" t="s">
        <v>350</v>
      </c>
      <c r="I3159">
        <v>0</v>
      </c>
      <c r="J3159" t="s">
        <v>343</v>
      </c>
      <c r="L3159">
        <v>147500</v>
      </c>
      <c r="N3159">
        <v>147500</v>
      </c>
    </row>
    <row r="3160" spans="1:14" x14ac:dyDescent="0.35">
      <c r="A3160" t="str">
        <f t="shared" si="172"/>
        <v>VTE45718FAB250054170610010</v>
      </c>
      <c r="B3160" t="s">
        <v>131</v>
      </c>
      <c r="C3160" s="1">
        <v>45718</v>
      </c>
      <c r="D3160" t="s">
        <v>5511</v>
      </c>
      <c r="E3160" t="str">
        <f>"70610010"</f>
        <v>70610010</v>
      </c>
      <c r="F3160" t="s">
        <v>5512</v>
      </c>
      <c r="G3160" t="s">
        <v>5885</v>
      </c>
      <c r="H3160" t="s">
        <v>5972</v>
      </c>
      <c r="I3160">
        <v>0</v>
      </c>
      <c r="J3160" t="s">
        <v>343</v>
      </c>
      <c r="L3160">
        <v>670000</v>
      </c>
      <c r="N3160">
        <v>670000</v>
      </c>
    </row>
    <row r="3161" spans="1:14" x14ac:dyDescent="0.35">
      <c r="A3161" t="str">
        <f t="shared" si="172"/>
        <v>VTE45718FBK250016270610010</v>
      </c>
      <c r="B3161" t="s">
        <v>131</v>
      </c>
      <c r="C3161" s="1">
        <v>45718</v>
      </c>
      <c r="D3161" t="s">
        <v>5513</v>
      </c>
      <c r="E3161" t="str">
        <f>"70610010"</f>
        <v>70610010</v>
      </c>
      <c r="F3161" t="s">
        <v>5514</v>
      </c>
      <c r="G3161" t="s">
        <v>5885</v>
      </c>
      <c r="H3161" t="s">
        <v>5977</v>
      </c>
      <c r="I3161">
        <v>0</v>
      </c>
      <c r="J3161" t="s">
        <v>343</v>
      </c>
      <c r="K3161">
        <v>931500</v>
      </c>
      <c r="M3161">
        <v>931500</v>
      </c>
    </row>
    <row r="3162" spans="1:14" x14ac:dyDescent="0.35">
      <c r="A3162" t="str">
        <f t="shared" si="172"/>
        <v>VTE45719FAB250062570610010</v>
      </c>
      <c r="B3162" t="s">
        <v>131</v>
      </c>
      <c r="C3162" s="1">
        <v>45719</v>
      </c>
      <c r="D3162" t="s">
        <v>5515</v>
      </c>
      <c r="E3162" t="str">
        <f>"70610010"</f>
        <v>70610010</v>
      </c>
      <c r="F3162" t="s">
        <v>5516</v>
      </c>
      <c r="G3162" t="s">
        <v>5885</v>
      </c>
      <c r="H3162" t="s">
        <v>5974</v>
      </c>
      <c r="I3162">
        <v>0</v>
      </c>
      <c r="J3162" t="s">
        <v>343</v>
      </c>
      <c r="L3162">
        <v>130000</v>
      </c>
      <c r="N3162">
        <v>130000</v>
      </c>
    </row>
    <row r="3163" spans="1:14" x14ac:dyDescent="0.35">
      <c r="A3163" t="str">
        <f t="shared" si="172"/>
        <v>VTE45720FAB250055347310100</v>
      </c>
      <c r="B3163" t="s">
        <v>131</v>
      </c>
      <c r="C3163" s="1">
        <v>45720</v>
      </c>
      <c r="D3163" t="s">
        <v>5517</v>
      </c>
      <c r="E3163" t="str">
        <f>"47310100"</f>
        <v>47310100</v>
      </c>
      <c r="F3163" t="s">
        <v>5518</v>
      </c>
      <c r="G3163" t="s">
        <v>5885</v>
      </c>
      <c r="H3163" t="s">
        <v>350</v>
      </c>
      <c r="I3163">
        <v>0</v>
      </c>
      <c r="J3163" t="s">
        <v>343</v>
      </c>
      <c r="L3163">
        <v>59000</v>
      </c>
      <c r="N3163">
        <v>59000</v>
      </c>
    </row>
    <row r="3164" spans="1:14" x14ac:dyDescent="0.35">
      <c r="A3164" t="str">
        <f t="shared" si="172"/>
        <v>VTE45720FAB250055370610010</v>
      </c>
      <c r="B3164" t="s">
        <v>131</v>
      </c>
      <c r="C3164" s="1">
        <v>45720</v>
      </c>
      <c r="D3164" t="s">
        <v>5517</v>
      </c>
      <c r="E3164" t="str">
        <f>"70610010"</f>
        <v>70610010</v>
      </c>
      <c r="F3164" t="s">
        <v>5518</v>
      </c>
      <c r="G3164" t="s">
        <v>5885</v>
      </c>
      <c r="H3164" t="s">
        <v>5972</v>
      </c>
      <c r="I3164">
        <v>0</v>
      </c>
      <c r="J3164" t="s">
        <v>343</v>
      </c>
      <c r="L3164">
        <v>150000</v>
      </c>
      <c r="N3164">
        <v>150000</v>
      </c>
    </row>
    <row r="3165" spans="1:14" x14ac:dyDescent="0.35">
      <c r="A3165" t="str">
        <f t="shared" si="172"/>
        <v>VTE45720FAB250055447310100</v>
      </c>
      <c r="B3165" t="s">
        <v>131</v>
      </c>
      <c r="C3165" s="1">
        <v>45720</v>
      </c>
      <c r="D3165" t="s">
        <v>5519</v>
      </c>
      <c r="E3165" t="str">
        <f>"47310100"</f>
        <v>47310100</v>
      </c>
      <c r="F3165" t="s">
        <v>5518</v>
      </c>
      <c r="G3165" t="s">
        <v>5885</v>
      </c>
      <c r="H3165" t="s">
        <v>350</v>
      </c>
      <c r="I3165">
        <v>0</v>
      </c>
      <c r="J3165" t="s">
        <v>343</v>
      </c>
      <c r="L3165">
        <v>59000</v>
      </c>
      <c r="N3165">
        <v>59000</v>
      </c>
    </row>
    <row r="3166" spans="1:14" x14ac:dyDescent="0.35">
      <c r="A3166" t="str">
        <f t="shared" si="172"/>
        <v>VTE45720FAB250055470610010</v>
      </c>
      <c r="B3166" t="s">
        <v>131</v>
      </c>
      <c r="C3166" s="1">
        <v>45720</v>
      </c>
      <c r="D3166" t="s">
        <v>5519</v>
      </c>
      <c r="E3166" t="str">
        <f>"70610010"</f>
        <v>70610010</v>
      </c>
      <c r="F3166" t="s">
        <v>5518</v>
      </c>
      <c r="G3166" t="s">
        <v>5885</v>
      </c>
      <c r="H3166" t="s">
        <v>5972</v>
      </c>
      <c r="I3166">
        <v>0</v>
      </c>
      <c r="J3166" t="s">
        <v>343</v>
      </c>
      <c r="L3166">
        <v>150000</v>
      </c>
      <c r="N3166">
        <v>150000</v>
      </c>
    </row>
    <row r="3167" spans="1:14" x14ac:dyDescent="0.35">
      <c r="A3167" t="str">
        <f t="shared" si="172"/>
        <v>VTE45720FAB250055547310100</v>
      </c>
      <c r="B3167" t="s">
        <v>131</v>
      </c>
      <c r="C3167" s="1">
        <v>45720</v>
      </c>
      <c r="D3167" t="s">
        <v>5520</v>
      </c>
      <c r="E3167" t="str">
        <f>"47310100"</f>
        <v>47310100</v>
      </c>
      <c r="F3167" t="s">
        <v>5518</v>
      </c>
      <c r="G3167" t="s">
        <v>5885</v>
      </c>
      <c r="H3167" t="s">
        <v>350</v>
      </c>
      <c r="I3167">
        <v>0</v>
      </c>
      <c r="J3167" t="s">
        <v>343</v>
      </c>
      <c r="L3167">
        <v>59000</v>
      </c>
      <c r="N3167">
        <v>59000</v>
      </c>
    </row>
    <row r="3168" spans="1:14" x14ac:dyDescent="0.35">
      <c r="A3168" t="str">
        <f t="shared" si="172"/>
        <v>VTE45720FAB250055570610010</v>
      </c>
      <c r="B3168" t="s">
        <v>131</v>
      </c>
      <c r="C3168" s="1">
        <v>45720</v>
      </c>
      <c r="D3168" t="s">
        <v>5520</v>
      </c>
      <c r="E3168" t="str">
        <f>"70610010"</f>
        <v>70610010</v>
      </c>
      <c r="F3168" t="s">
        <v>5518</v>
      </c>
      <c r="G3168" t="s">
        <v>5885</v>
      </c>
      <c r="H3168" t="s">
        <v>5972</v>
      </c>
      <c r="I3168">
        <v>0</v>
      </c>
      <c r="J3168" t="s">
        <v>343</v>
      </c>
      <c r="L3168">
        <v>150000</v>
      </c>
      <c r="N3168">
        <v>150000</v>
      </c>
    </row>
    <row r="3169" spans="1:14" x14ac:dyDescent="0.35">
      <c r="A3169" t="str">
        <f t="shared" si="172"/>
        <v>VTE45720FAB250055647310100</v>
      </c>
      <c r="B3169" t="s">
        <v>131</v>
      </c>
      <c r="C3169" s="1">
        <v>45720</v>
      </c>
      <c r="D3169" t="s">
        <v>5521</v>
      </c>
      <c r="E3169" t="str">
        <f>"47310100"</f>
        <v>47310100</v>
      </c>
      <c r="F3169" t="s">
        <v>5522</v>
      </c>
      <c r="G3169" t="s">
        <v>5885</v>
      </c>
      <c r="H3169" t="s">
        <v>350</v>
      </c>
      <c r="I3169">
        <v>0</v>
      </c>
      <c r="J3169" t="s">
        <v>343</v>
      </c>
      <c r="L3169">
        <v>88500</v>
      </c>
      <c r="N3169">
        <v>88500</v>
      </c>
    </row>
    <row r="3170" spans="1:14" x14ac:dyDescent="0.35">
      <c r="A3170" t="str">
        <f t="shared" si="172"/>
        <v>VTE45720FAB250055670610010</v>
      </c>
      <c r="B3170" t="s">
        <v>131</v>
      </c>
      <c r="C3170" s="1">
        <v>45720</v>
      </c>
      <c r="D3170" t="s">
        <v>5521</v>
      </c>
      <c r="E3170" t="str">
        <f>"70610010"</f>
        <v>70610010</v>
      </c>
      <c r="F3170" t="s">
        <v>5522</v>
      </c>
      <c r="G3170" t="s">
        <v>5885</v>
      </c>
      <c r="H3170" t="s">
        <v>5972</v>
      </c>
      <c r="I3170">
        <v>0</v>
      </c>
      <c r="J3170" t="s">
        <v>343</v>
      </c>
      <c r="L3170">
        <v>198000</v>
      </c>
      <c r="N3170">
        <v>198000</v>
      </c>
    </row>
    <row r="3171" spans="1:14" x14ac:dyDescent="0.35">
      <c r="A3171" t="str">
        <f t="shared" si="172"/>
        <v>VTE45720FBK250016970610010</v>
      </c>
      <c r="B3171" t="s">
        <v>131</v>
      </c>
      <c r="C3171" s="1">
        <v>45720</v>
      </c>
      <c r="D3171" t="s">
        <v>5523</v>
      </c>
      <c r="E3171" t="str">
        <f>"70610010"</f>
        <v>70610010</v>
      </c>
      <c r="F3171" t="s">
        <v>5508</v>
      </c>
      <c r="G3171" t="s">
        <v>5885</v>
      </c>
      <c r="H3171" t="s">
        <v>5977</v>
      </c>
      <c r="I3171">
        <v>0</v>
      </c>
      <c r="J3171" t="s">
        <v>343</v>
      </c>
      <c r="L3171">
        <v>21725</v>
      </c>
      <c r="N3171">
        <v>21725</v>
      </c>
    </row>
    <row r="3172" spans="1:14" x14ac:dyDescent="0.35">
      <c r="A3172" t="str">
        <f t="shared" si="172"/>
        <v>VTE45721FAB250055947310100</v>
      </c>
      <c r="B3172" t="s">
        <v>131</v>
      </c>
      <c r="C3172" s="1">
        <v>45721</v>
      </c>
      <c r="D3172" t="s">
        <v>5524</v>
      </c>
      <c r="E3172" t="str">
        <f>"47310100"</f>
        <v>47310100</v>
      </c>
      <c r="F3172" t="s">
        <v>5518</v>
      </c>
      <c r="G3172" t="s">
        <v>5885</v>
      </c>
      <c r="H3172" t="s">
        <v>350</v>
      </c>
      <c r="I3172">
        <v>0</v>
      </c>
      <c r="J3172" t="s">
        <v>343</v>
      </c>
      <c r="L3172">
        <v>59000</v>
      </c>
      <c r="N3172">
        <v>59000</v>
      </c>
    </row>
    <row r="3173" spans="1:14" x14ac:dyDescent="0.35">
      <c r="A3173" t="str">
        <f t="shared" si="172"/>
        <v>VTE45721FAB250055970610010</v>
      </c>
      <c r="B3173" t="s">
        <v>131</v>
      </c>
      <c r="C3173" s="1">
        <v>45721</v>
      </c>
      <c r="D3173" t="s">
        <v>5524</v>
      </c>
      <c r="E3173" t="str">
        <f>"70610010"</f>
        <v>70610010</v>
      </c>
      <c r="F3173" t="s">
        <v>5518</v>
      </c>
      <c r="G3173" t="s">
        <v>5885</v>
      </c>
      <c r="H3173" t="s">
        <v>5972</v>
      </c>
      <c r="I3173">
        <v>0</v>
      </c>
      <c r="J3173" t="s">
        <v>343</v>
      </c>
      <c r="L3173">
        <v>150000</v>
      </c>
      <c r="N3173">
        <v>150000</v>
      </c>
    </row>
    <row r="3174" spans="1:14" x14ac:dyDescent="0.35">
      <c r="A3174" t="str">
        <f t="shared" si="172"/>
        <v>VTE45721FAB250056070610010</v>
      </c>
      <c r="B3174" t="s">
        <v>131</v>
      </c>
      <c r="C3174" s="1">
        <v>45721</v>
      </c>
      <c r="D3174" t="s">
        <v>5525</v>
      </c>
      <c r="E3174" t="str">
        <f>"70610010"</f>
        <v>70610010</v>
      </c>
      <c r="F3174" t="s">
        <v>5526</v>
      </c>
      <c r="G3174" t="s">
        <v>5885</v>
      </c>
      <c r="H3174" t="s">
        <v>5975</v>
      </c>
      <c r="I3174">
        <v>0</v>
      </c>
      <c r="J3174" t="s">
        <v>343</v>
      </c>
      <c r="L3174">
        <v>3342072</v>
      </c>
      <c r="N3174">
        <v>3342072</v>
      </c>
    </row>
    <row r="3175" spans="1:14" x14ac:dyDescent="0.35">
      <c r="A3175" t="str">
        <f t="shared" si="172"/>
        <v>VTE45721FBK250017170610010</v>
      </c>
      <c r="B3175" t="s">
        <v>131</v>
      </c>
      <c r="C3175" s="1">
        <v>45721</v>
      </c>
      <c r="D3175" t="s">
        <v>5527</v>
      </c>
      <c r="E3175" t="str">
        <f>"70610010"</f>
        <v>70610010</v>
      </c>
      <c r="F3175" t="s">
        <v>5506</v>
      </c>
      <c r="G3175" t="s">
        <v>5885</v>
      </c>
      <c r="H3175" t="s">
        <v>5977</v>
      </c>
      <c r="I3175">
        <v>0</v>
      </c>
      <c r="J3175" t="s">
        <v>343</v>
      </c>
      <c r="L3175">
        <v>7064469</v>
      </c>
      <c r="N3175">
        <v>7064469</v>
      </c>
    </row>
    <row r="3176" spans="1:14" x14ac:dyDescent="0.35">
      <c r="A3176" t="str">
        <f t="shared" si="172"/>
        <v>VTE45722FAB250056147310100</v>
      </c>
      <c r="B3176" t="s">
        <v>131</v>
      </c>
      <c r="C3176" s="1">
        <v>45722</v>
      </c>
      <c r="D3176" t="s">
        <v>5528</v>
      </c>
      <c r="E3176" t="str">
        <f>"47310100"</f>
        <v>47310100</v>
      </c>
      <c r="F3176" t="s">
        <v>5512</v>
      </c>
      <c r="G3176" t="s">
        <v>5885</v>
      </c>
      <c r="H3176" t="s">
        <v>350</v>
      </c>
      <c r="I3176">
        <v>0</v>
      </c>
      <c r="J3176" t="s">
        <v>343</v>
      </c>
      <c r="L3176">
        <v>29500</v>
      </c>
      <c r="N3176">
        <v>29500</v>
      </c>
    </row>
    <row r="3177" spans="1:14" x14ac:dyDescent="0.35">
      <c r="A3177" t="str">
        <f t="shared" si="172"/>
        <v>VTE45722FAB250056170610010</v>
      </c>
      <c r="B3177" t="s">
        <v>131</v>
      </c>
      <c r="C3177" s="1">
        <v>45722</v>
      </c>
      <c r="D3177" t="s">
        <v>5528</v>
      </c>
      <c r="E3177" t="str">
        <f>"70610010"</f>
        <v>70610010</v>
      </c>
      <c r="F3177" t="s">
        <v>5512</v>
      </c>
      <c r="G3177" t="s">
        <v>5885</v>
      </c>
      <c r="H3177" t="s">
        <v>5972</v>
      </c>
      <c r="I3177">
        <v>0</v>
      </c>
      <c r="J3177" t="s">
        <v>343</v>
      </c>
      <c r="L3177">
        <v>201000</v>
      </c>
      <c r="N3177">
        <v>201000</v>
      </c>
    </row>
    <row r="3178" spans="1:14" x14ac:dyDescent="0.35">
      <c r="A3178" t="str">
        <f t="shared" si="172"/>
        <v>VTE45722FAB250056247310100</v>
      </c>
      <c r="B3178" t="s">
        <v>131</v>
      </c>
      <c r="C3178" s="1">
        <v>45722</v>
      </c>
      <c r="D3178" t="s">
        <v>5529</v>
      </c>
      <c r="E3178" t="str">
        <f>"47310100"</f>
        <v>47310100</v>
      </c>
      <c r="F3178" t="s">
        <v>5518</v>
      </c>
      <c r="G3178" t="s">
        <v>5885</v>
      </c>
      <c r="H3178" t="s">
        <v>350</v>
      </c>
      <c r="I3178">
        <v>0</v>
      </c>
      <c r="J3178" t="s">
        <v>343</v>
      </c>
      <c r="L3178">
        <v>59000</v>
      </c>
      <c r="N3178">
        <v>59000</v>
      </c>
    </row>
    <row r="3179" spans="1:14" x14ac:dyDescent="0.35">
      <c r="A3179" t="str">
        <f t="shared" si="172"/>
        <v>VTE45722FAB250056270610010</v>
      </c>
      <c r="B3179" t="s">
        <v>131</v>
      </c>
      <c r="C3179" s="1">
        <v>45722</v>
      </c>
      <c r="D3179" t="s">
        <v>5529</v>
      </c>
      <c r="E3179" t="str">
        <f>"70610010"</f>
        <v>70610010</v>
      </c>
      <c r="F3179" t="s">
        <v>5518</v>
      </c>
      <c r="G3179" t="s">
        <v>5885</v>
      </c>
      <c r="H3179" t="s">
        <v>5972</v>
      </c>
      <c r="I3179">
        <v>0</v>
      </c>
      <c r="J3179" t="s">
        <v>343</v>
      </c>
      <c r="L3179">
        <v>150000</v>
      </c>
      <c r="N3179">
        <v>150000</v>
      </c>
    </row>
    <row r="3180" spans="1:14" x14ac:dyDescent="0.35">
      <c r="A3180" t="str">
        <f t="shared" si="172"/>
        <v>VTE45722FAB250056347310100</v>
      </c>
      <c r="B3180" t="s">
        <v>131</v>
      </c>
      <c r="C3180" s="1">
        <v>45722</v>
      </c>
      <c r="D3180" t="s">
        <v>5530</v>
      </c>
      <c r="E3180" t="str">
        <f>"47310100"</f>
        <v>47310100</v>
      </c>
      <c r="F3180" t="s">
        <v>5518</v>
      </c>
      <c r="G3180" t="s">
        <v>5885</v>
      </c>
      <c r="H3180" t="s">
        <v>350</v>
      </c>
      <c r="I3180">
        <v>0</v>
      </c>
      <c r="J3180" t="s">
        <v>343</v>
      </c>
      <c r="L3180">
        <v>59000</v>
      </c>
      <c r="N3180">
        <v>59000</v>
      </c>
    </row>
    <row r="3181" spans="1:14" x14ac:dyDescent="0.35">
      <c r="A3181" t="str">
        <f t="shared" si="172"/>
        <v>VTE45722FAB250056370610010</v>
      </c>
      <c r="B3181" t="s">
        <v>131</v>
      </c>
      <c r="C3181" s="1">
        <v>45722</v>
      </c>
      <c r="D3181" t="s">
        <v>5530</v>
      </c>
      <c r="E3181" t="str">
        <f>"70610010"</f>
        <v>70610010</v>
      </c>
      <c r="F3181" t="s">
        <v>5518</v>
      </c>
      <c r="G3181" t="s">
        <v>5885</v>
      </c>
      <c r="H3181" t="s">
        <v>5972</v>
      </c>
      <c r="I3181">
        <v>0</v>
      </c>
      <c r="J3181" t="s">
        <v>343</v>
      </c>
      <c r="L3181">
        <v>150000</v>
      </c>
      <c r="N3181">
        <v>150000</v>
      </c>
    </row>
    <row r="3182" spans="1:14" x14ac:dyDescent="0.35">
      <c r="A3182" t="str">
        <f t="shared" si="172"/>
        <v>VTE45722FAB250056447310100</v>
      </c>
      <c r="B3182" t="s">
        <v>131</v>
      </c>
      <c r="C3182" s="1">
        <v>45722</v>
      </c>
      <c r="D3182" t="s">
        <v>5531</v>
      </c>
      <c r="E3182" t="str">
        <f>"47310100"</f>
        <v>47310100</v>
      </c>
      <c r="F3182" t="s">
        <v>5518</v>
      </c>
      <c r="G3182" t="s">
        <v>5885</v>
      </c>
      <c r="H3182" t="s">
        <v>350</v>
      </c>
      <c r="I3182">
        <v>0</v>
      </c>
      <c r="J3182" t="s">
        <v>343</v>
      </c>
      <c r="L3182">
        <v>59000</v>
      </c>
      <c r="N3182">
        <v>59000</v>
      </c>
    </row>
    <row r="3183" spans="1:14" x14ac:dyDescent="0.35">
      <c r="A3183" t="str">
        <f t="shared" si="172"/>
        <v>VTE45722FAB250056470610010</v>
      </c>
      <c r="B3183" t="s">
        <v>131</v>
      </c>
      <c r="C3183" s="1">
        <v>45722</v>
      </c>
      <c r="D3183" t="s">
        <v>5531</v>
      </c>
      <c r="E3183" t="str">
        <f>"70610010"</f>
        <v>70610010</v>
      </c>
      <c r="F3183" t="s">
        <v>5518</v>
      </c>
      <c r="G3183" t="s">
        <v>5885</v>
      </c>
      <c r="H3183" t="s">
        <v>5972</v>
      </c>
      <c r="I3183">
        <v>0</v>
      </c>
      <c r="J3183" t="s">
        <v>343</v>
      </c>
      <c r="L3183">
        <v>150000</v>
      </c>
      <c r="N3183">
        <v>150000</v>
      </c>
    </row>
    <row r="3184" spans="1:14" x14ac:dyDescent="0.35">
      <c r="A3184" t="str">
        <f t="shared" si="172"/>
        <v>VTE45722FAB250056547310100</v>
      </c>
      <c r="B3184" t="s">
        <v>131</v>
      </c>
      <c r="C3184" s="1">
        <v>45722</v>
      </c>
      <c r="D3184" t="s">
        <v>5532</v>
      </c>
      <c r="E3184" t="str">
        <f>"47310100"</f>
        <v>47310100</v>
      </c>
      <c r="F3184" t="s">
        <v>5518</v>
      </c>
      <c r="G3184" t="s">
        <v>5885</v>
      </c>
      <c r="H3184" t="s">
        <v>350</v>
      </c>
      <c r="I3184">
        <v>0</v>
      </c>
      <c r="J3184" t="s">
        <v>343</v>
      </c>
      <c r="L3184">
        <v>59000</v>
      </c>
      <c r="N3184">
        <v>59000</v>
      </c>
    </row>
    <row r="3185" spans="1:14" x14ac:dyDescent="0.35">
      <c r="A3185" t="str">
        <f t="shared" si="172"/>
        <v>VTE45722FAB250056570610010</v>
      </c>
      <c r="B3185" t="s">
        <v>131</v>
      </c>
      <c r="C3185" s="1">
        <v>45722</v>
      </c>
      <c r="D3185" t="s">
        <v>5532</v>
      </c>
      <c r="E3185" t="str">
        <f>"70610010"</f>
        <v>70610010</v>
      </c>
      <c r="F3185" t="s">
        <v>5518</v>
      </c>
      <c r="G3185" t="s">
        <v>5885</v>
      </c>
      <c r="H3185" t="s">
        <v>5972</v>
      </c>
      <c r="I3185">
        <v>0</v>
      </c>
      <c r="J3185" t="s">
        <v>343</v>
      </c>
      <c r="L3185">
        <v>150000</v>
      </c>
      <c r="N3185">
        <v>150000</v>
      </c>
    </row>
    <row r="3186" spans="1:14" x14ac:dyDescent="0.35">
      <c r="A3186" t="str">
        <f t="shared" si="172"/>
        <v>VTE45722FAB250056647310100</v>
      </c>
      <c r="B3186" t="s">
        <v>131</v>
      </c>
      <c r="C3186" s="1">
        <v>45722</v>
      </c>
      <c r="D3186" t="s">
        <v>5533</v>
      </c>
      <c r="E3186" t="str">
        <f>"47310100"</f>
        <v>47310100</v>
      </c>
      <c r="F3186" t="s">
        <v>5518</v>
      </c>
      <c r="G3186" t="s">
        <v>5885</v>
      </c>
      <c r="H3186" t="s">
        <v>350</v>
      </c>
      <c r="I3186">
        <v>0</v>
      </c>
      <c r="J3186" t="s">
        <v>343</v>
      </c>
      <c r="L3186">
        <v>59000</v>
      </c>
      <c r="N3186">
        <v>59000</v>
      </c>
    </row>
    <row r="3187" spans="1:14" x14ac:dyDescent="0.35">
      <c r="A3187" t="str">
        <f t="shared" si="172"/>
        <v>VTE45722FAB250056670610010</v>
      </c>
      <c r="B3187" t="s">
        <v>131</v>
      </c>
      <c r="C3187" s="1">
        <v>45722</v>
      </c>
      <c r="D3187" t="s">
        <v>5533</v>
      </c>
      <c r="E3187" t="str">
        <f>"70610010"</f>
        <v>70610010</v>
      </c>
      <c r="F3187" t="s">
        <v>5518</v>
      </c>
      <c r="G3187" t="s">
        <v>5885</v>
      </c>
      <c r="H3187" t="s">
        <v>5972</v>
      </c>
      <c r="I3187">
        <v>0</v>
      </c>
      <c r="J3187" t="s">
        <v>343</v>
      </c>
      <c r="L3187">
        <v>150000</v>
      </c>
      <c r="N3187">
        <v>150000</v>
      </c>
    </row>
    <row r="3188" spans="1:14" x14ac:dyDescent="0.35">
      <c r="A3188" t="str">
        <f t="shared" si="172"/>
        <v>VTE45722FAB250056747310100</v>
      </c>
      <c r="B3188" t="s">
        <v>131</v>
      </c>
      <c r="C3188" s="1">
        <v>45722</v>
      </c>
      <c r="D3188" t="s">
        <v>5534</v>
      </c>
      <c r="E3188" t="str">
        <f>"47310100"</f>
        <v>47310100</v>
      </c>
      <c r="F3188" t="s">
        <v>5518</v>
      </c>
      <c r="G3188" t="s">
        <v>5885</v>
      </c>
      <c r="H3188" t="s">
        <v>350</v>
      </c>
      <c r="I3188">
        <v>0</v>
      </c>
      <c r="J3188" t="s">
        <v>343</v>
      </c>
      <c r="L3188">
        <v>29500</v>
      </c>
      <c r="N3188">
        <v>29500</v>
      </c>
    </row>
    <row r="3189" spans="1:14" x14ac:dyDescent="0.35">
      <c r="A3189" t="str">
        <f t="shared" si="172"/>
        <v>VTE45722FAB250056770610010</v>
      </c>
      <c r="B3189" t="s">
        <v>131</v>
      </c>
      <c r="C3189" s="1">
        <v>45722</v>
      </c>
      <c r="D3189" t="s">
        <v>5534</v>
      </c>
      <c r="E3189" t="str">
        <f>"70610010"</f>
        <v>70610010</v>
      </c>
      <c r="F3189" t="s">
        <v>5518</v>
      </c>
      <c r="G3189" t="s">
        <v>5885</v>
      </c>
      <c r="H3189" t="s">
        <v>5972</v>
      </c>
      <c r="I3189">
        <v>0</v>
      </c>
      <c r="J3189" t="s">
        <v>343</v>
      </c>
      <c r="L3189">
        <v>150000</v>
      </c>
      <c r="N3189">
        <v>150000</v>
      </c>
    </row>
    <row r="3190" spans="1:14" x14ac:dyDescent="0.35">
      <c r="A3190" t="str">
        <f t="shared" si="172"/>
        <v>VTE45722FAB250056847310100</v>
      </c>
      <c r="B3190" t="s">
        <v>131</v>
      </c>
      <c r="C3190" s="1">
        <v>45722</v>
      </c>
      <c r="D3190" t="s">
        <v>5535</v>
      </c>
      <c r="E3190" t="str">
        <f>"47310100"</f>
        <v>47310100</v>
      </c>
      <c r="F3190" t="s">
        <v>5518</v>
      </c>
      <c r="G3190" t="s">
        <v>5885</v>
      </c>
      <c r="H3190" t="s">
        <v>350</v>
      </c>
      <c r="I3190">
        <v>0</v>
      </c>
      <c r="J3190" t="s">
        <v>343</v>
      </c>
      <c r="L3190">
        <v>29500</v>
      </c>
      <c r="N3190">
        <v>29500</v>
      </c>
    </row>
    <row r="3191" spans="1:14" x14ac:dyDescent="0.35">
      <c r="A3191" t="str">
        <f t="shared" si="172"/>
        <v>VTE45722FAB250056870610010</v>
      </c>
      <c r="B3191" t="s">
        <v>131</v>
      </c>
      <c r="C3191" s="1">
        <v>45722</v>
      </c>
      <c r="D3191" t="s">
        <v>5535</v>
      </c>
      <c r="E3191" t="str">
        <f>"70610010"</f>
        <v>70610010</v>
      </c>
      <c r="F3191" t="s">
        <v>5518</v>
      </c>
      <c r="G3191" t="s">
        <v>5885</v>
      </c>
      <c r="H3191" t="s">
        <v>5972</v>
      </c>
      <c r="I3191">
        <v>0</v>
      </c>
      <c r="J3191" t="s">
        <v>343</v>
      </c>
      <c r="L3191">
        <v>150000</v>
      </c>
      <c r="N3191">
        <v>150000</v>
      </c>
    </row>
    <row r="3192" spans="1:14" x14ac:dyDescent="0.35">
      <c r="A3192" t="str">
        <f t="shared" si="172"/>
        <v>VTE45722FAB250056947310100</v>
      </c>
      <c r="B3192" t="s">
        <v>131</v>
      </c>
      <c r="C3192" s="1">
        <v>45722</v>
      </c>
      <c r="D3192" t="s">
        <v>5536</v>
      </c>
      <c r="E3192" t="str">
        <f>"47310100"</f>
        <v>47310100</v>
      </c>
      <c r="F3192" t="s">
        <v>5518</v>
      </c>
      <c r="G3192" t="s">
        <v>5885</v>
      </c>
      <c r="H3192" t="s">
        <v>350</v>
      </c>
      <c r="I3192">
        <v>0</v>
      </c>
      <c r="J3192" t="s">
        <v>343</v>
      </c>
      <c r="L3192">
        <v>29500</v>
      </c>
      <c r="N3192">
        <v>29500</v>
      </c>
    </row>
    <row r="3193" spans="1:14" x14ac:dyDescent="0.35">
      <c r="A3193" t="str">
        <f t="shared" si="172"/>
        <v>VTE45722FAB250056970610010</v>
      </c>
      <c r="B3193" t="s">
        <v>131</v>
      </c>
      <c r="C3193" s="1">
        <v>45722</v>
      </c>
      <c r="D3193" t="s">
        <v>5536</v>
      </c>
      <c r="E3193" t="str">
        <f>"70610010"</f>
        <v>70610010</v>
      </c>
      <c r="F3193" t="s">
        <v>5518</v>
      </c>
      <c r="G3193" t="s">
        <v>5885</v>
      </c>
      <c r="H3193" t="s">
        <v>5972</v>
      </c>
      <c r="I3193">
        <v>0</v>
      </c>
      <c r="J3193" t="s">
        <v>343</v>
      </c>
      <c r="L3193">
        <v>150000</v>
      </c>
      <c r="N3193">
        <v>150000</v>
      </c>
    </row>
    <row r="3194" spans="1:14" x14ac:dyDescent="0.35">
      <c r="A3194" t="str">
        <f t="shared" si="172"/>
        <v>VTE45722FAB250057047310100</v>
      </c>
      <c r="B3194" t="s">
        <v>131</v>
      </c>
      <c r="C3194" s="1">
        <v>45722</v>
      </c>
      <c r="D3194" t="s">
        <v>5537</v>
      </c>
      <c r="E3194" t="str">
        <f>"47310100"</f>
        <v>47310100</v>
      </c>
      <c r="F3194" t="s">
        <v>5518</v>
      </c>
      <c r="G3194" t="s">
        <v>5885</v>
      </c>
      <c r="H3194" t="s">
        <v>350</v>
      </c>
      <c r="I3194">
        <v>0</v>
      </c>
      <c r="J3194" t="s">
        <v>343</v>
      </c>
      <c r="L3194">
        <v>59000</v>
      </c>
      <c r="N3194">
        <v>59000</v>
      </c>
    </row>
    <row r="3195" spans="1:14" x14ac:dyDescent="0.35">
      <c r="A3195" t="str">
        <f t="shared" si="172"/>
        <v>VTE45722FAB250057070610010</v>
      </c>
      <c r="B3195" t="s">
        <v>131</v>
      </c>
      <c r="C3195" s="1">
        <v>45722</v>
      </c>
      <c r="D3195" t="s">
        <v>5537</v>
      </c>
      <c r="E3195" t="str">
        <f>"70610010"</f>
        <v>70610010</v>
      </c>
      <c r="F3195" t="s">
        <v>5518</v>
      </c>
      <c r="G3195" t="s">
        <v>5885</v>
      </c>
      <c r="H3195" t="s">
        <v>5972</v>
      </c>
      <c r="I3195">
        <v>0</v>
      </c>
      <c r="J3195" t="s">
        <v>343</v>
      </c>
      <c r="L3195">
        <v>150000</v>
      </c>
      <c r="N3195">
        <v>150000</v>
      </c>
    </row>
    <row r="3196" spans="1:14" x14ac:dyDescent="0.35">
      <c r="A3196" t="str">
        <f t="shared" si="172"/>
        <v>VTE45722FAB250057147310100</v>
      </c>
      <c r="B3196" t="s">
        <v>131</v>
      </c>
      <c r="C3196" s="1">
        <v>45722</v>
      </c>
      <c r="D3196" t="s">
        <v>5538</v>
      </c>
      <c r="E3196" t="str">
        <f>"47310100"</f>
        <v>47310100</v>
      </c>
      <c r="F3196" t="s">
        <v>5518</v>
      </c>
      <c r="G3196" t="s">
        <v>5885</v>
      </c>
      <c r="H3196" t="s">
        <v>350</v>
      </c>
      <c r="I3196">
        <v>0</v>
      </c>
      <c r="J3196" t="s">
        <v>343</v>
      </c>
      <c r="L3196">
        <v>29500</v>
      </c>
      <c r="N3196">
        <v>29500</v>
      </c>
    </row>
    <row r="3197" spans="1:14" x14ac:dyDescent="0.35">
      <c r="A3197" t="str">
        <f t="shared" si="172"/>
        <v>VTE45722FAB250057170610010</v>
      </c>
      <c r="B3197" t="s">
        <v>131</v>
      </c>
      <c r="C3197" s="1">
        <v>45722</v>
      </c>
      <c r="D3197" t="s">
        <v>5538</v>
      </c>
      <c r="E3197" t="str">
        <f>"70610010"</f>
        <v>70610010</v>
      </c>
      <c r="F3197" t="s">
        <v>5518</v>
      </c>
      <c r="G3197" t="s">
        <v>5885</v>
      </c>
      <c r="H3197" t="s">
        <v>5972</v>
      </c>
      <c r="I3197">
        <v>0</v>
      </c>
      <c r="J3197" t="s">
        <v>343</v>
      </c>
      <c r="L3197">
        <v>150000</v>
      </c>
      <c r="N3197">
        <v>150000</v>
      </c>
    </row>
    <row r="3198" spans="1:14" x14ac:dyDescent="0.35">
      <c r="A3198" t="str">
        <f t="shared" si="172"/>
        <v>VTE45722FAB250057247310100</v>
      </c>
      <c r="B3198" t="s">
        <v>131</v>
      </c>
      <c r="C3198" s="1">
        <v>45722</v>
      </c>
      <c r="D3198" t="s">
        <v>5539</v>
      </c>
      <c r="E3198" t="str">
        <f>"47310100"</f>
        <v>47310100</v>
      </c>
      <c r="F3198" t="s">
        <v>5518</v>
      </c>
      <c r="G3198" t="s">
        <v>5885</v>
      </c>
      <c r="H3198" t="s">
        <v>350</v>
      </c>
      <c r="I3198">
        <v>0</v>
      </c>
      <c r="J3198" t="s">
        <v>343</v>
      </c>
      <c r="L3198">
        <v>118000</v>
      </c>
      <c r="N3198">
        <v>118000</v>
      </c>
    </row>
    <row r="3199" spans="1:14" x14ac:dyDescent="0.35">
      <c r="A3199" t="str">
        <f t="shared" si="172"/>
        <v>VTE45722FAB250057270610010</v>
      </c>
      <c r="B3199" t="s">
        <v>131</v>
      </c>
      <c r="C3199" s="1">
        <v>45722</v>
      </c>
      <c r="D3199" t="s">
        <v>5539</v>
      </c>
      <c r="E3199" t="str">
        <f>"70610010"</f>
        <v>70610010</v>
      </c>
      <c r="F3199" t="s">
        <v>5518</v>
      </c>
      <c r="G3199" t="s">
        <v>5885</v>
      </c>
      <c r="H3199" t="s">
        <v>5972</v>
      </c>
      <c r="I3199">
        <v>0</v>
      </c>
      <c r="J3199" t="s">
        <v>343</v>
      </c>
      <c r="L3199">
        <v>300000</v>
      </c>
      <c r="N3199">
        <v>300000</v>
      </c>
    </row>
    <row r="3200" spans="1:14" x14ac:dyDescent="0.35">
      <c r="A3200" t="str">
        <f t="shared" si="172"/>
        <v>VTE45722FAB250057347310100</v>
      </c>
      <c r="B3200" t="s">
        <v>131</v>
      </c>
      <c r="C3200" s="1">
        <v>45722</v>
      </c>
      <c r="D3200" t="s">
        <v>5540</v>
      </c>
      <c r="E3200" t="str">
        <f>"47310100"</f>
        <v>47310100</v>
      </c>
      <c r="F3200" t="s">
        <v>5518</v>
      </c>
      <c r="G3200" t="s">
        <v>5885</v>
      </c>
      <c r="H3200" t="s">
        <v>350</v>
      </c>
      <c r="I3200">
        <v>0</v>
      </c>
      <c r="J3200" t="s">
        <v>343</v>
      </c>
      <c r="L3200">
        <v>59000</v>
      </c>
      <c r="N3200">
        <v>59000</v>
      </c>
    </row>
    <row r="3201" spans="1:14" x14ac:dyDescent="0.35">
      <c r="A3201" t="str">
        <f t="shared" si="172"/>
        <v>VTE45722FAB250057370610010</v>
      </c>
      <c r="B3201" t="s">
        <v>131</v>
      </c>
      <c r="C3201" s="1">
        <v>45722</v>
      </c>
      <c r="D3201" t="s">
        <v>5540</v>
      </c>
      <c r="E3201" t="str">
        <f>"70610010"</f>
        <v>70610010</v>
      </c>
      <c r="F3201" t="s">
        <v>5518</v>
      </c>
      <c r="G3201" t="s">
        <v>5885</v>
      </c>
      <c r="H3201" t="s">
        <v>5972</v>
      </c>
      <c r="I3201">
        <v>0</v>
      </c>
      <c r="J3201" t="s">
        <v>343</v>
      </c>
      <c r="L3201">
        <v>150000</v>
      </c>
      <c r="N3201">
        <v>150000</v>
      </c>
    </row>
    <row r="3202" spans="1:14" x14ac:dyDescent="0.35">
      <c r="A3202" t="str">
        <f t="shared" si="172"/>
        <v>VTE45722FAB250057447310100</v>
      </c>
      <c r="B3202" t="s">
        <v>131</v>
      </c>
      <c r="C3202" s="1">
        <v>45722</v>
      </c>
      <c r="D3202" t="s">
        <v>5541</v>
      </c>
      <c r="E3202" t="str">
        <f>"47310100"</f>
        <v>47310100</v>
      </c>
      <c r="F3202" t="s">
        <v>180</v>
      </c>
      <c r="G3202" t="s">
        <v>5885</v>
      </c>
      <c r="H3202" t="s">
        <v>350</v>
      </c>
      <c r="I3202">
        <v>0</v>
      </c>
      <c r="J3202" t="s">
        <v>343</v>
      </c>
      <c r="L3202">
        <v>29500</v>
      </c>
      <c r="N3202">
        <v>29500</v>
      </c>
    </row>
    <row r="3203" spans="1:14" x14ac:dyDescent="0.35">
      <c r="A3203" t="str">
        <f t="shared" ref="A3203:A3266" si="173">CONCATENATE(B3203,C3203,D3203,E3203)</f>
        <v>VTE45722FAB250057470610010</v>
      </c>
      <c r="B3203" t="s">
        <v>131</v>
      </c>
      <c r="C3203" s="1">
        <v>45722</v>
      </c>
      <c r="D3203" t="s">
        <v>5541</v>
      </c>
      <c r="E3203" t="str">
        <f>"70610010"</f>
        <v>70610010</v>
      </c>
      <c r="F3203" t="s">
        <v>180</v>
      </c>
      <c r="G3203" t="s">
        <v>5885</v>
      </c>
      <c r="H3203" t="s">
        <v>5972</v>
      </c>
      <c r="I3203">
        <v>0</v>
      </c>
      <c r="J3203" t="s">
        <v>343</v>
      </c>
      <c r="L3203">
        <v>300000</v>
      </c>
      <c r="N3203">
        <v>300000</v>
      </c>
    </row>
    <row r="3204" spans="1:14" x14ac:dyDescent="0.35">
      <c r="A3204" t="str">
        <f t="shared" si="173"/>
        <v>VTE45722FAB250057547310100</v>
      </c>
      <c r="B3204" t="s">
        <v>131</v>
      </c>
      <c r="C3204" s="1">
        <v>45722</v>
      </c>
      <c r="D3204" t="s">
        <v>5542</v>
      </c>
      <c r="E3204" t="str">
        <f>"47310100"</f>
        <v>47310100</v>
      </c>
      <c r="F3204" t="s">
        <v>5522</v>
      </c>
      <c r="G3204" t="s">
        <v>5885</v>
      </c>
      <c r="H3204" t="s">
        <v>350</v>
      </c>
      <c r="I3204">
        <v>0</v>
      </c>
      <c r="J3204" t="s">
        <v>343</v>
      </c>
      <c r="L3204">
        <v>88500</v>
      </c>
      <c r="N3204">
        <v>88500</v>
      </c>
    </row>
    <row r="3205" spans="1:14" x14ac:dyDescent="0.35">
      <c r="A3205" t="str">
        <f t="shared" si="173"/>
        <v>VTE45722FAB250057570610010</v>
      </c>
      <c r="B3205" t="s">
        <v>131</v>
      </c>
      <c r="C3205" s="1">
        <v>45722</v>
      </c>
      <c r="D3205" t="s">
        <v>5542</v>
      </c>
      <c r="E3205" t="str">
        <f>"70610010"</f>
        <v>70610010</v>
      </c>
      <c r="F3205" t="s">
        <v>5522</v>
      </c>
      <c r="G3205" t="s">
        <v>5885</v>
      </c>
      <c r="H3205" t="s">
        <v>5972</v>
      </c>
      <c r="I3205">
        <v>0</v>
      </c>
      <c r="J3205" t="s">
        <v>343</v>
      </c>
      <c r="L3205">
        <v>198000</v>
      </c>
      <c r="N3205">
        <v>198000</v>
      </c>
    </row>
    <row r="3206" spans="1:14" x14ac:dyDescent="0.35">
      <c r="A3206" t="str">
        <f t="shared" si="173"/>
        <v>VTE45722FAB250057647310100</v>
      </c>
      <c r="B3206" t="s">
        <v>131</v>
      </c>
      <c r="C3206" s="1">
        <v>45722</v>
      </c>
      <c r="D3206" t="s">
        <v>5543</v>
      </c>
      <c r="E3206" t="str">
        <f>"47310100"</f>
        <v>47310100</v>
      </c>
      <c r="F3206" t="s">
        <v>5522</v>
      </c>
      <c r="G3206" t="s">
        <v>5885</v>
      </c>
      <c r="H3206" t="s">
        <v>350</v>
      </c>
      <c r="I3206">
        <v>0</v>
      </c>
      <c r="J3206" t="s">
        <v>343</v>
      </c>
      <c r="L3206">
        <v>29500</v>
      </c>
      <c r="N3206">
        <v>29500</v>
      </c>
    </row>
    <row r="3207" spans="1:14" x14ac:dyDescent="0.35">
      <c r="A3207" t="str">
        <f t="shared" si="173"/>
        <v>VTE45722FAB250057670610010</v>
      </c>
      <c r="B3207" t="s">
        <v>131</v>
      </c>
      <c r="C3207" s="1">
        <v>45722</v>
      </c>
      <c r="D3207" t="s">
        <v>5543</v>
      </c>
      <c r="E3207" t="str">
        <f>"70610010"</f>
        <v>70610010</v>
      </c>
      <c r="F3207" t="s">
        <v>5522</v>
      </c>
      <c r="G3207" t="s">
        <v>5885</v>
      </c>
      <c r="H3207" t="s">
        <v>5972</v>
      </c>
      <c r="I3207">
        <v>0</v>
      </c>
      <c r="J3207" t="s">
        <v>343</v>
      </c>
      <c r="L3207">
        <v>66000</v>
      </c>
      <c r="N3207">
        <v>66000</v>
      </c>
    </row>
    <row r="3208" spans="1:14" x14ac:dyDescent="0.35">
      <c r="A3208" t="str">
        <f t="shared" si="173"/>
        <v>VTE45723FAB250060147310100</v>
      </c>
      <c r="B3208" t="s">
        <v>131</v>
      </c>
      <c r="C3208" s="1">
        <v>45723</v>
      </c>
      <c r="D3208" t="s">
        <v>5544</v>
      </c>
      <c r="E3208" t="str">
        <f>"47310100"</f>
        <v>47310100</v>
      </c>
      <c r="F3208" t="s">
        <v>5512</v>
      </c>
      <c r="G3208" t="s">
        <v>5885</v>
      </c>
      <c r="H3208" t="s">
        <v>350</v>
      </c>
      <c r="I3208">
        <v>0</v>
      </c>
      <c r="J3208" t="s">
        <v>343</v>
      </c>
      <c r="L3208">
        <v>236000</v>
      </c>
      <c r="N3208">
        <v>236000</v>
      </c>
    </row>
    <row r="3209" spans="1:14" x14ac:dyDescent="0.35">
      <c r="A3209" t="str">
        <f t="shared" si="173"/>
        <v>VTE45723FAB250060170610010</v>
      </c>
      <c r="B3209" t="s">
        <v>131</v>
      </c>
      <c r="C3209" s="1">
        <v>45723</v>
      </c>
      <c r="D3209" t="s">
        <v>5544</v>
      </c>
      <c r="E3209" t="str">
        <f>"70610010"</f>
        <v>70610010</v>
      </c>
      <c r="F3209" t="s">
        <v>5512</v>
      </c>
      <c r="G3209" t="s">
        <v>5885</v>
      </c>
      <c r="H3209" t="s">
        <v>5972</v>
      </c>
      <c r="I3209">
        <v>0</v>
      </c>
      <c r="J3209" t="s">
        <v>343</v>
      </c>
      <c r="L3209">
        <v>1072000</v>
      </c>
      <c r="N3209">
        <v>1072000</v>
      </c>
    </row>
    <row r="3210" spans="1:14" x14ac:dyDescent="0.35">
      <c r="A3210" t="str">
        <f t="shared" si="173"/>
        <v>VTE45723FAB250060270610010</v>
      </c>
      <c r="B3210" t="s">
        <v>131</v>
      </c>
      <c r="C3210" s="1">
        <v>45723</v>
      </c>
      <c r="D3210" t="s">
        <v>5545</v>
      </c>
      <c r="E3210" t="str">
        <f>"70610010"</f>
        <v>70610010</v>
      </c>
      <c r="F3210" t="s">
        <v>5512</v>
      </c>
      <c r="G3210" t="s">
        <v>5885</v>
      </c>
      <c r="H3210" t="s">
        <v>5972</v>
      </c>
      <c r="I3210">
        <v>0</v>
      </c>
      <c r="J3210" t="s">
        <v>343</v>
      </c>
      <c r="L3210">
        <v>201000</v>
      </c>
      <c r="N3210">
        <v>201000</v>
      </c>
    </row>
    <row r="3211" spans="1:14" x14ac:dyDescent="0.35">
      <c r="A3211" t="str">
        <f t="shared" si="173"/>
        <v>VTE45723FAB250060347310100</v>
      </c>
      <c r="B3211" t="s">
        <v>131</v>
      </c>
      <c r="C3211" s="1">
        <v>45723</v>
      </c>
      <c r="D3211" t="s">
        <v>5546</v>
      </c>
      <c r="E3211" t="str">
        <f>"47310100"</f>
        <v>47310100</v>
      </c>
      <c r="F3211" t="s">
        <v>5518</v>
      </c>
      <c r="G3211" t="s">
        <v>5885</v>
      </c>
      <c r="H3211" t="s">
        <v>350</v>
      </c>
      <c r="I3211">
        <v>0</v>
      </c>
      <c r="J3211" t="s">
        <v>343</v>
      </c>
      <c r="L3211">
        <v>59000</v>
      </c>
      <c r="N3211">
        <v>59000</v>
      </c>
    </row>
    <row r="3212" spans="1:14" x14ac:dyDescent="0.35">
      <c r="A3212" t="str">
        <f t="shared" si="173"/>
        <v>VTE45723FAB250060370610010</v>
      </c>
      <c r="B3212" t="s">
        <v>131</v>
      </c>
      <c r="C3212" s="1">
        <v>45723</v>
      </c>
      <c r="D3212" t="s">
        <v>5546</v>
      </c>
      <c r="E3212" t="str">
        <f>"70610010"</f>
        <v>70610010</v>
      </c>
      <c r="F3212" t="s">
        <v>5518</v>
      </c>
      <c r="G3212" t="s">
        <v>5885</v>
      </c>
      <c r="H3212" t="s">
        <v>5972</v>
      </c>
      <c r="I3212">
        <v>0</v>
      </c>
      <c r="J3212" t="s">
        <v>343</v>
      </c>
      <c r="L3212">
        <v>150000</v>
      </c>
      <c r="N3212">
        <v>150000</v>
      </c>
    </row>
    <row r="3213" spans="1:14" x14ac:dyDescent="0.35">
      <c r="A3213" t="str">
        <f t="shared" si="173"/>
        <v>VTE45723FAB250060447310100</v>
      </c>
      <c r="B3213" t="s">
        <v>131</v>
      </c>
      <c r="C3213" s="1">
        <v>45723</v>
      </c>
      <c r="D3213" t="s">
        <v>5547</v>
      </c>
      <c r="E3213" t="str">
        <f>"47310100"</f>
        <v>47310100</v>
      </c>
      <c r="F3213" t="s">
        <v>5518</v>
      </c>
      <c r="G3213" t="s">
        <v>5885</v>
      </c>
      <c r="H3213" t="s">
        <v>350</v>
      </c>
      <c r="I3213">
        <v>0</v>
      </c>
      <c r="J3213" t="s">
        <v>343</v>
      </c>
      <c r="L3213">
        <v>59000</v>
      </c>
      <c r="N3213">
        <v>59000</v>
      </c>
    </row>
    <row r="3214" spans="1:14" x14ac:dyDescent="0.35">
      <c r="A3214" t="str">
        <f t="shared" si="173"/>
        <v>VTE45723FAB250060470610010</v>
      </c>
      <c r="B3214" t="s">
        <v>131</v>
      </c>
      <c r="C3214" s="1">
        <v>45723</v>
      </c>
      <c r="D3214" t="s">
        <v>5547</v>
      </c>
      <c r="E3214" t="str">
        <f>"70610010"</f>
        <v>70610010</v>
      </c>
      <c r="F3214" t="s">
        <v>5518</v>
      </c>
      <c r="G3214" t="s">
        <v>5885</v>
      </c>
      <c r="H3214" t="s">
        <v>5972</v>
      </c>
      <c r="I3214">
        <v>0</v>
      </c>
      <c r="J3214" t="s">
        <v>343</v>
      </c>
      <c r="L3214">
        <v>150000</v>
      </c>
      <c r="N3214">
        <v>150000</v>
      </c>
    </row>
    <row r="3215" spans="1:14" x14ac:dyDescent="0.35">
      <c r="A3215" t="str">
        <f t="shared" si="173"/>
        <v>VTE45723FAB250060547310100</v>
      </c>
      <c r="B3215" t="s">
        <v>131</v>
      </c>
      <c r="C3215" s="1">
        <v>45723</v>
      </c>
      <c r="D3215" t="s">
        <v>5548</v>
      </c>
      <c r="E3215" t="str">
        <f>"47310100"</f>
        <v>47310100</v>
      </c>
      <c r="F3215" t="s">
        <v>5518</v>
      </c>
      <c r="G3215" t="s">
        <v>5885</v>
      </c>
      <c r="H3215" t="s">
        <v>350</v>
      </c>
      <c r="I3215">
        <v>0</v>
      </c>
      <c r="J3215" t="s">
        <v>343</v>
      </c>
      <c r="L3215">
        <v>29500</v>
      </c>
      <c r="N3215">
        <v>29500</v>
      </c>
    </row>
    <row r="3216" spans="1:14" x14ac:dyDescent="0.35">
      <c r="A3216" t="str">
        <f t="shared" si="173"/>
        <v>VTE45723FAB250060570610010</v>
      </c>
      <c r="B3216" t="s">
        <v>131</v>
      </c>
      <c r="C3216" s="1">
        <v>45723</v>
      </c>
      <c r="D3216" t="s">
        <v>5548</v>
      </c>
      <c r="E3216" t="str">
        <f>"70610010"</f>
        <v>70610010</v>
      </c>
      <c r="F3216" t="s">
        <v>5518</v>
      </c>
      <c r="G3216" t="s">
        <v>5885</v>
      </c>
      <c r="H3216" t="s">
        <v>5972</v>
      </c>
      <c r="I3216">
        <v>0</v>
      </c>
      <c r="J3216" t="s">
        <v>343</v>
      </c>
      <c r="L3216">
        <v>150000</v>
      </c>
      <c r="N3216">
        <v>150000</v>
      </c>
    </row>
    <row r="3217" spans="1:14" x14ac:dyDescent="0.35">
      <c r="A3217" t="str">
        <f t="shared" si="173"/>
        <v>VTE45723FAB250060647310100</v>
      </c>
      <c r="B3217" t="s">
        <v>131</v>
      </c>
      <c r="C3217" s="1">
        <v>45723</v>
      </c>
      <c r="D3217" t="s">
        <v>5549</v>
      </c>
      <c r="E3217" t="str">
        <f>"47310100"</f>
        <v>47310100</v>
      </c>
      <c r="F3217" t="s">
        <v>5518</v>
      </c>
      <c r="G3217" t="s">
        <v>5885</v>
      </c>
      <c r="H3217" t="s">
        <v>350</v>
      </c>
      <c r="I3217">
        <v>0</v>
      </c>
      <c r="J3217" t="s">
        <v>343</v>
      </c>
      <c r="L3217">
        <v>59000</v>
      </c>
      <c r="N3217">
        <v>59000</v>
      </c>
    </row>
    <row r="3218" spans="1:14" x14ac:dyDescent="0.35">
      <c r="A3218" t="str">
        <f t="shared" si="173"/>
        <v>VTE45723FAB250060670610010</v>
      </c>
      <c r="B3218" t="s">
        <v>131</v>
      </c>
      <c r="C3218" s="1">
        <v>45723</v>
      </c>
      <c r="D3218" t="s">
        <v>5549</v>
      </c>
      <c r="E3218" t="str">
        <f>"70610010"</f>
        <v>70610010</v>
      </c>
      <c r="F3218" t="s">
        <v>5518</v>
      </c>
      <c r="G3218" t="s">
        <v>5885</v>
      </c>
      <c r="H3218" t="s">
        <v>5972</v>
      </c>
      <c r="I3218">
        <v>0</v>
      </c>
      <c r="J3218" t="s">
        <v>343</v>
      </c>
      <c r="L3218">
        <v>150000</v>
      </c>
      <c r="N3218">
        <v>150000</v>
      </c>
    </row>
    <row r="3219" spans="1:14" x14ac:dyDescent="0.35">
      <c r="A3219" t="str">
        <f t="shared" si="173"/>
        <v>VTE45723FAB250060747310100</v>
      </c>
      <c r="B3219" t="s">
        <v>131</v>
      </c>
      <c r="C3219" s="1">
        <v>45723</v>
      </c>
      <c r="D3219" t="s">
        <v>5550</v>
      </c>
      <c r="E3219" t="str">
        <f>"47310100"</f>
        <v>47310100</v>
      </c>
      <c r="F3219" t="s">
        <v>5551</v>
      </c>
      <c r="G3219" t="s">
        <v>5885</v>
      </c>
      <c r="H3219" t="s">
        <v>350</v>
      </c>
      <c r="I3219">
        <v>0</v>
      </c>
      <c r="J3219" t="s">
        <v>343</v>
      </c>
      <c r="L3219">
        <v>59000</v>
      </c>
      <c r="N3219">
        <v>59000</v>
      </c>
    </row>
    <row r="3220" spans="1:14" x14ac:dyDescent="0.35">
      <c r="A3220" t="str">
        <f t="shared" si="173"/>
        <v>VTE45723FAB250060770610010</v>
      </c>
      <c r="B3220" t="s">
        <v>131</v>
      </c>
      <c r="C3220" s="1">
        <v>45723</v>
      </c>
      <c r="D3220" t="s">
        <v>5550</v>
      </c>
      <c r="E3220" t="str">
        <f>"70610010"</f>
        <v>70610010</v>
      </c>
      <c r="F3220" t="s">
        <v>5551</v>
      </c>
      <c r="G3220" t="s">
        <v>5885</v>
      </c>
      <c r="H3220" t="s">
        <v>5972</v>
      </c>
      <c r="I3220">
        <v>0</v>
      </c>
      <c r="J3220" t="s">
        <v>343</v>
      </c>
      <c r="L3220">
        <v>297000</v>
      </c>
      <c r="N3220">
        <v>297000</v>
      </c>
    </row>
    <row r="3221" spans="1:14" x14ac:dyDescent="0.35">
      <c r="A3221" t="str">
        <f t="shared" si="173"/>
        <v>VTE45723FAB250060870610010</v>
      </c>
      <c r="B3221" t="s">
        <v>131</v>
      </c>
      <c r="C3221" s="1">
        <v>45723</v>
      </c>
      <c r="D3221" t="s">
        <v>5552</v>
      </c>
      <c r="E3221" t="str">
        <f>"70610010"</f>
        <v>70610010</v>
      </c>
      <c r="F3221" t="s">
        <v>180</v>
      </c>
      <c r="G3221" t="s">
        <v>5885</v>
      </c>
      <c r="H3221" t="s">
        <v>5972</v>
      </c>
      <c r="I3221">
        <v>0</v>
      </c>
      <c r="J3221" t="s">
        <v>343</v>
      </c>
      <c r="L3221">
        <v>99000</v>
      </c>
      <c r="N3221">
        <v>99000</v>
      </c>
    </row>
    <row r="3222" spans="1:14" x14ac:dyDescent="0.35">
      <c r="A3222" t="str">
        <f t="shared" si="173"/>
        <v>VTE45723FAB250060947310100</v>
      </c>
      <c r="B3222" t="s">
        <v>131</v>
      </c>
      <c r="C3222" s="1">
        <v>45723</v>
      </c>
      <c r="D3222" t="s">
        <v>5553</v>
      </c>
      <c r="E3222" t="str">
        <f>"47310100"</f>
        <v>47310100</v>
      </c>
      <c r="F3222" t="s">
        <v>5522</v>
      </c>
      <c r="G3222" t="s">
        <v>5885</v>
      </c>
      <c r="H3222" t="s">
        <v>350</v>
      </c>
      <c r="I3222">
        <v>0</v>
      </c>
      <c r="J3222" t="s">
        <v>343</v>
      </c>
      <c r="L3222">
        <v>295000</v>
      </c>
      <c r="N3222">
        <v>295000</v>
      </c>
    </row>
    <row r="3223" spans="1:14" x14ac:dyDescent="0.35">
      <c r="A3223" t="str">
        <f t="shared" si="173"/>
        <v>VTE45723FAB250060970610010</v>
      </c>
      <c r="B3223" t="s">
        <v>131</v>
      </c>
      <c r="C3223" s="1">
        <v>45723</v>
      </c>
      <c r="D3223" t="s">
        <v>5553</v>
      </c>
      <c r="E3223" t="str">
        <f>"70610010"</f>
        <v>70610010</v>
      </c>
      <c r="F3223" t="s">
        <v>5522</v>
      </c>
      <c r="G3223" t="s">
        <v>5885</v>
      </c>
      <c r="H3223" t="s">
        <v>5972</v>
      </c>
      <c r="I3223">
        <v>0</v>
      </c>
      <c r="J3223" t="s">
        <v>343</v>
      </c>
      <c r="L3223">
        <v>660000</v>
      </c>
      <c r="N3223">
        <v>660000</v>
      </c>
    </row>
    <row r="3224" spans="1:14" x14ac:dyDescent="0.35">
      <c r="A3224" t="str">
        <f t="shared" si="173"/>
        <v>VTE45723FAB250061047310100</v>
      </c>
      <c r="B3224" t="s">
        <v>131</v>
      </c>
      <c r="C3224" s="1">
        <v>45723</v>
      </c>
      <c r="D3224" t="s">
        <v>5554</v>
      </c>
      <c r="E3224" t="str">
        <f>"47310100"</f>
        <v>47310100</v>
      </c>
      <c r="F3224" t="s">
        <v>5555</v>
      </c>
      <c r="G3224" t="s">
        <v>5885</v>
      </c>
      <c r="H3224" t="s">
        <v>350</v>
      </c>
      <c r="I3224">
        <v>0</v>
      </c>
      <c r="J3224" t="s">
        <v>343</v>
      </c>
      <c r="L3224">
        <v>29500</v>
      </c>
      <c r="N3224">
        <v>29500</v>
      </c>
    </row>
    <row r="3225" spans="1:14" x14ac:dyDescent="0.35">
      <c r="A3225" t="str">
        <f t="shared" si="173"/>
        <v>VTE45723FAB250061070610010</v>
      </c>
      <c r="B3225" t="s">
        <v>131</v>
      </c>
      <c r="C3225" s="1">
        <v>45723</v>
      </c>
      <c r="D3225" t="s">
        <v>5554</v>
      </c>
      <c r="E3225" t="str">
        <f>"70610010"</f>
        <v>70610010</v>
      </c>
      <c r="F3225" t="s">
        <v>5555</v>
      </c>
      <c r="G3225" t="s">
        <v>5885</v>
      </c>
      <c r="H3225" t="s">
        <v>5972</v>
      </c>
      <c r="I3225">
        <v>0</v>
      </c>
      <c r="J3225" t="s">
        <v>343</v>
      </c>
      <c r="L3225">
        <v>100000</v>
      </c>
      <c r="N3225">
        <v>100000</v>
      </c>
    </row>
    <row r="3226" spans="1:14" x14ac:dyDescent="0.35">
      <c r="A3226" t="str">
        <f t="shared" si="173"/>
        <v>VTE45725FBK250018170610012</v>
      </c>
      <c r="B3226" t="s">
        <v>131</v>
      </c>
      <c r="C3226" s="1">
        <v>45725</v>
      </c>
      <c r="D3226" t="s">
        <v>5556</v>
      </c>
      <c r="E3226" t="str">
        <f>"70610012"</f>
        <v>70610012</v>
      </c>
      <c r="F3226" t="s">
        <v>5526</v>
      </c>
      <c r="G3226" t="s">
        <v>5885</v>
      </c>
      <c r="H3226" t="s">
        <v>5977</v>
      </c>
      <c r="I3226">
        <v>0</v>
      </c>
      <c r="J3226" t="s">
        <v>343</v>
      </c>
      <c r="L3226">
        <v>232672</v>
      </c>
      <c r="N3226">
        <v>232672</v>
      </c>
    </row>
    <row r="3227" spans="1:14" x14ac:dyDescent="0.35">
      <c r="A3227" t="str">
        <f t="shared" si="173"/>
        <v>VTE45725FBK250018270610010</v>
      </c>
      <c r="B3227" t="s">
        <v>131</v>
      </c>
      <c r="C3227" s="1">
        <v>45725</v>
      </c>
      <c r="D3227" t="s">
        <v>5557</v>
      </c>
      <c r="E3227" t="str">
        <f>"70610010"</f>
        <v>70610010</v>
      </c>
      <c r="F3227" t="s">
        <v>5508</v>
      </c>
      <c r="G3227" t="s">
        <v>5885</v>
      </c>
      <c r="H3227" t="s">
        <v>5977</v>
      </c>
      <c r="I3227">
        <v>0</v>
      </c>
      <c r="J3227" t="s">
        <v>343</v>
      </c>
      <c r="L3227">
        <v>931500</v>
      </c>
      <c r="N3227">
        <v>931500</v>
      </c>
    </row>
    <row r="3228" spans="1:14" x14ac:dyDescent="0.35">
      <c r="A3228" t="str">
        <f t="shared" si="173"/>
        <v>VTE45725FBK250018370610010</v>
      </c>
      <c r="B3228" t="s">
        <v>131</v>
      </c>
      <c r="C3228" s="1">
        <v>45725</v>
      </c>
      <c r="D3228" t="s">
        <v>5558</v>
      </c>
      <c r="E3228" t="str">
        <f>"70610010"</f>
        <v>70610010</v>
      </c>
      <c r="F3228" t="s">
        <v>5508</v>
      </c>
      <c r="G3228" t="s">
        <v>5885</v>
      </c>
      <c r="H3228" t="s">
        <v>5977</v>
      </c>
      <c r="I3228">
        <v>0</v>
      </c>
      <c r="J3228" t="s">
        <v>343</v>
      </c>
      <c r="L3228">
        <v>931500</v>
      </c>
      <c r="N3228">
        <v>931500</v>
      </c>
    </row>
    <row r="3229" spans="1:14" x14ac:dyDescent="0.35">
      <c r="A3229" t="str">
        <f t="shared" si="173"/>
        <v>VTE45725FBK250018470610010</v>
      </c>
      <c r="B3229" t="s">
        <v>131</v>
      </c>
      <c r="C3229" s="1">
        <v>45725</v>
      </c>
      <c r="D3229" t="s">
        <v>5559</v>
      </c>
      <c r="E3229" t="str">
        <f>"70610010"</f>
        <v>70610010</v>
      </c>
      <c r="F3229" t="s">
        <v>5508</v>
      </c>
      <c r="G3229" t="s">
        <v>5885</v>
      </c>
      <c r="H3229" t="s">
        <v>5977</v>
      </c>
      <c r="I3229">
        <v>0</v>
      </c>
      <c r="J3229" t="s">
        <v>343</v>
      </c>
      <c r="L3229">
        <v>931500</v>
      </c>
      <c r="N3229">
        <v>931500</v>
      </c>
    </row>
    <row r="3230" spans="1:14" x14ac:dyDescent="0.35">
      <c r="A3230" t="str">
        <f t="shared" si="173"/>
        <v>VTE45725FBK250018570610010</v>
      </c>
      <c r="B3230" t="s">
        <v>131</v>
      </c>
      <c r="C3230" s="1">
        <v>45725</v>
      </c>
      <c r="D3230" t="s">
        <v>5560</v>
      </c>
      <c r="E3230" t="str">
        <f>"70610010"</f>
        <v>70610010</v>
      </c>
      <c r="F3230" t="s">
        <v>5508</v>
      </c>
      <c r="G3230" t="s">
        <v>5885</v>
      </c>
      <c r="H3230" t="s">
        <v>5977</v>
      </c>
      <c r="I3230">
        <v>0</v>
      </c>
      <c r="J3230" t="s">
        <v>343</v>
      </c>
      <c r="L3230">
        <v>931500</v>
      </c>
      <c r="N3230">
        <v>931500</v>
      </c>
    </row>
    <row r="3231" spans="1:14" x14ac:dyDescent="0.35">
      <c r="A3231" t="str">
        <f t="shared" si="173"/>
        <v>VTE45726FAB250061147310100</v>
      </c>
      <c r="B3231" t="s">
        <v>131</v>
      </c>
      <c r="C3231" s="1">
        <v>45726</v>
      </c>
      <c r="D3231" t="s">
        <v>5561</v>
      </c>
      <c r="E3231" t="str">
        <f>"47310100"</f>
        <v>47310100</v>
      </c>
      <c r="F3231" t="s">
        <v>180</v>
      </c>
      <c r="G3231" t="s">
        <v>5885</v>
      </c>
      <c r="H3231" t="s">
        <v>350</v>
      </c>
      <c r="I3231">
        <v>0</v>
      </c>
      <c r="J3231" t="s">
        <v>343</v>
      </c>
      <c r="L3231">
        <v>59000</v>
      </c>
      <c r="N3231">
        <v>59000</v>
      </c>
    </row>
    <row r="3232" spans="1:14" x14ac:dyDescent="0.35">
      <c r="A3232" t="str">
        <f t="shared" si="173"/>
        <v>VTE45726FAB250061170610010</v>
      </c>
      <c r="B3232" t="s">
        <v>131</v>
      </c>
      <c r="C3232" s="1">
        <v>45726</v>
      </c>
      <c r="D3232" t="s">
        <v>5561</v>
      </c>
      <c r="E3232" t="str">
        <f t="shared" ref="E3232:E3239" si="174">"70610010"</f>
        <v>70610010</v>
      </c>
      <c r="F3232" t="s">
        <v>180</v>
      </c>
      <c r="G3232" t="s">
        <v>5885</v>
      </c>
      <c r="H3232" t="s">
        <v>5972</v>
      </c>
      <c r="I3232">
        <v>0</v>
      </c>
      <c r="J3232" t="s">
        <v>343</v>
      </c>
      <c r="L3232">
        <v>297000</v>
      </c>
      <c r="N3232">
        <v>297000</v>
      </c>
    </row>
    <row r="3233" spans="1:14" x14ac:dyDescent="0.35">
      <c r="A3233" t="str">
        <f t="shared" si="173"/>
        <v>VTE45726FAB250061370610010</v>
      </c>
      <c r="B3233" t="s">
        <v>131</v>
      </c>
      <c r="C3233" s="1">
        <v>45726</v>
      </c>
      <c r="D3233" t="s">
        <v>5562</v>
      </c>
      <c r="E3233" t="str">
        <f t="shared" si="174"/>
        <v>70610010</v>
      </c>
      <c r="F3233" t="s">
        <v>5508</v>
      </c>
      <c r="G3233" t="s">
        <v>5885</v>
      </c>
      <c r="H3233" t="s">
        <v>5975</v>
      </c>
      <c r="I3233">
        <v>0</v>
      </c>
      <c r="J3233" t="s">
        <v>343</v>
      </c>
      <c r="L3233">
        <v>5589000</v>
      </c>
      <c r="N3233">
        <v>5589000</v>
      </c>
    </row>
    <row r="3234" spans="1:14" x14ac:dyDescent="0.35">
      <c r="A3234" t="str">
        <f t="shared" si="173"/>
        <v>VTE45726FAB250061470610010</v>
      </c>
      <c r="B3234" t="s">
        <v>131</v>
      </c>
      <c r="C3234" s="1">
        <v>45726</v>
      </c>
      <c r="D3234" t="s">
        <v>5563</v>
      </c>
      <c r="E3234" t="str">
        <f t="shared" si="174"/>
        <v>70610010</v>
      </c>
      <c r="F3234" t="s">
        <v>5508</v>
      </c>
      <c r="G3234" t="s">
        <v>5885</v>
      </c>
      <c r="H3234" t="s">
        <v>5975</v>
      </c>
      <c r="I3234">
        <v>0</v>
      </c>
      <c r="J3234" t="s">
        <v>343</v>
      </c>
      <c r="L3234">
        <v>4657500</v>
      </c>
      <c r="N3234">
        <v>4657500</v>
      </c>
    </row>
    <row r="3235" spans="1:14" x14ac:dyDescent="0.35">
      <c r="A3235" t="str">
        <f t="shared" si="173"/>
        <v>VTE45726FAB250061570610010</v>
      </c>
      <c r="B3235" t="s">
        <v>131</v>
      </c>
      <c r="C3235" s="1">
        <v>45726</v>
      </c>
      <c r="D3235" t="s">
        <v>5564</v>
      </c>
      <c r="E3235" t="str">
        <f t="shared" si="174"/>
        <v>70610010</v>
      </c>
      <c r="F3235" t="s">
        <v>5508</v>
      </c>
      <c r="G3235" t="s">
        <v>5885</v>
      </c>
      <c r="H3235" t="s">
        <v>5975</v>
      </c>
      <c r="I3235">
        <v>0</v>
      </c>
      <c r="J3235" t="s">
        <v>343</v>
      </c>
      <c r="L3235">
        <v>4657500</v>
      </c>
      <c r="N3235">
        <v>4657500</v>
      </c>
    </row>
    <row r="3236" spans="1:14" x14ac:dyDescent="0.35">
      <c r="A3236" t="str">
        <f t="shared" si="173"/>
        <v>VTE45726FAB250061670610010</v>
      </c>
      <c r="B3236" t="s">
        <v>131</v>
      </c>
      <c r="C3236" s="1">
        <v>45726</v>
      </c>
      <c r="D3236" t="s">
        <v>5565</v>
      </c>
      <c r="E3236" t="str">
        <f t="shared" si="174"/>
        <v>70610010</v>
      </c>
      <c r="F3236" t="s">
        <v>5508</v>
      </c>
      <c r="G3236" t="s">
        <v>5885</v>
      </c>
      <c r="H3236" t="s">
        <v>5975</v>
      </c>
      <c r="I3236">
        <v>0</v>
      </c>
      <c r="J3236" t="s">
        <v>343</v>
      </c>
      <c r="L3236">
        <v>1863000</v>
      </c>
      <c r="N3236">
        <v>1863000</v>
      </c>
    </row>
    <row r="3237" spans="1:14" x14ac:dyDescent="0.35">
      <c r="A3237" t="str">
        <f t="shared" si="173"/>
        <v>VTE45726FAB250061770610010</v>
      </c>
      <c r="B3237" t="s">
        <v>131</v>
      </c>
      <c r="C3237" s="1">
        <v>45726</v>
      </c>
      <c r="D3237" t="s">
        <v>5566</v>
      </c>
      <c r="E3237" t="str">
        <f t="shared" si="174"/>
        <v>70610010</v>
      </c>
      <c r="F3237" t="s">
        <v>5508</v>
      </c>
      <c r="G3237" t="s">
        <v>5885</v>
      </c>
      <c r="H3237" t="s">
        <v>5975</v>
      </c>
      <c r="I3237">
        <v>0</v>
      </c>
      <c r="J3237" t="s">
        <v>343</v>
      </c>
      <c r="L3237">
        <v>931500</v>
      </c>
      <c r="N3237">
        <v>931500</v>
      </c>
    </row>
    <row r="3238" spans="1:14" x14ac:dyDescent="0.35">
      <c r="A3238" t="str">
        <f t="shared" si="173"/>
        <v>VTE45726FAB250061870610010</v>
      </c>
      <c r="B3238" t="s">
        <v>131</v>
      </c>
      <c r="C3238" s="1">
        <v>45726</v>
      </c>
      <c r="D3238" t="s">
        <v>5567</v>
      </c>
      <c r="E3238" t="str">
        <f t="shared" si="174"/>
        <v>70610010</v>
      </c>
      <c r="F3238" t="s">
        <v>5508</v>
      </c>
      <c r="G3238" t="s">
        <v>5885</v>
      </c>
      <c r="H3238" t="s">
        <v>5975</v>
      </c>
      <c r="I3238">
        <v>0</v>
      </c>
      <c r="J3238" t="s">
        <v>343</v>
      </c>
      <c r="L3238">
        <v>4657500</v>
      </c>
      <c r="N3238">
        <v>4657500</v>
      </c>
    </row>
    <row r="3239" spans="1:14" x14ac:dyDescent="0.35">
      <c r="A3239" t="str">
        <f t="shared" si="173"/>
        <v>VTE45726FAB250061970610010</v>
      </c>
      <c r="B3239" t="s">
        <v>131</v>
      </c>
      <c r="C3239" s="1">
        <v>45726</v>
      </c>
      <c r="D3239" t="s">
        <v>5568</v>
      </c>
      <c r="E3239" t="str">
        <f t="shared" si="174"/>
        <v>70610010</v>
      </c>
      <c r="F3239" t="s">
        <v>5508</v>
      </c>
      <c r="G3239" t="s">
        <v>5885</v>
      </c>
      <c r="H3239" t="s">
        <v>5975</v>
      </c>
      <c r="I3239">
        <v>0</v>
      </c>
      <c r="J3239" t="s">
        <v>343</v>
      </c>
      <c r="L3239">
        <v>444800</v>
      </c>
      <c r="N3239">
        <v>444800</v>
      </c>
    </row>
    <row r="3240" spans="1:14" x14ac:dyDescent="0.35">
      <c r="A3240" t="str">
        <f t="shared" si="173"/>
        <v>VTE45726FAB250062247310100</v>
      </c>
      <c r="B3240" t="s">
        <v>131</v>
      </c>
      <c r="C3240" s="1">
        <v>45726</v>
      </c>
      <c r="D3240" t="s">
        <v>5569</v>
      </c>
      <c r="E3240" t="str">
        <f>"47310100"</f>
        <v>47310100</v>
      </c>
      <c r="F3240" t="s">
        <v>5512</v>
      </c>
      <c r="G3240" t="s">
        <v>5885</v>
      </c>
      <c r="H3240" t="s">
        <v>350</v>
      </c>
      <c r="I3240">
        <v>0</v>
      </c>
      <c r="J3240" t="s">
        <v>343</v>
      </c>
      <c r="L3240">
        <v>59000</v>
      </c>
      <c r="N3240">
        <v>59000</v>
      </c>
    </row>
    <row r="3241" spans="1:14" x14ac:dyDescent="0.35">
      <c r="A3241" t="str">
        <f t="shared" si="173"/>
        <v>VTE45726FAB250062270610010</v>
      </c>
      <c r="B3241" t="s">
        <v>131</v>
      </c>
      <c r="C3241" s="1">
        <v>45726</v>
      </c>
      <c r="D3241" t="s">
        <v>5569</v>
      </c>
      <c r="E3241" t="str">
        <f>"70610010"</f>
        <v>70610010</v>
      </c>
      <c r="F3241" t="s">
        <v>5512</v>
      </c>
      <c r="G3241" t="s">
        <v>5885</v>
      </c>
      <c r="H3241" t="s">
        <v>5972</v>
      </c>
      <c r="I3241">
        <v>0</v>
      </c>
      <c r="J3241" t="s">
        <v>343</v>
      </c>
      <c r="L3241">
        <v>268000</v>
      </c>
      <c r="N3241">
        <v>268000</v>
      </c>
    </row>
    <row r="3242" spans="1:14" x14ac:dyDescent="0.35">
      <c r="A3242" t="str">
        <f t="shared" si="173"/>
        <v>VTE45726FAB250062347310100</v>
      </c>
      <c r="B3242" t="s">
        <v>131</v>
      </c>
      <c r="C3242" s="1">
        <v>45726</v>
      </c>
      <c r="D3242" t="s">
        <v>5570</v>
      </c>
      <c r="E3242" t="str">
        <f>"47310100"</f>
        <v>47310100</v>
      </c>
      <c r="F3242" t="s">
        <v>5518</v>
      </c>
      <c r="G3242" t="s">
        <v>5885</v>
      </c>
      <c r="H3242" t="s">
        <v>350</v>
      </c>
      <c r="I3242">
        <v>0</v>
      </c>
      <c r="J3242" t="s">
        <v>343</v>
      </c>
      <c r="L3242">
        <v>59000</v>
      </c>
      <c r="N3242">
        <v>59000</v>
      </c>
    </row>
    <row r="3243" spans="1:14" x14ac:dyDescent="0.35">
      <c r="A3243" t="str">
        <f t="shared" si="173"/>
        <v>VTE45726FAB250062370610010</v>
      </c>
      <c r="B3243" t="s">
        <v>131</v>
      </c>
      <c r="C3243" s="1">
        <v>45726</v>
      </c>
      <c r="D3243" t="s">
        <v>5570</v>
      </c>
      <c r="E3243" t="str">
        <f>"70610010"</f>
        <v>70610010</v>
      </c>
      <c r="F3243" t="s">
        <v>5518</v>
      </c>
      <c r="G3243" t="s">
        <v>5885</v>
      </c>
      <c r="H3243" t="s">
        <v>5972</v>
      </c>
      <c r="I3243">
        <v>0</v>
      </c>
      <c r="J3243" t="s">
        <v>343</v>
      </c>
      <c r="L3243">
        <v>150000</v>
      </c>
      <c r="N3243">
        <v>150000</v>
      </c>
    </row>
    <row r="3244" spans="1:14" x14ac:dyDescent="0.35">
      <c r="A3244" t="str">
        <f t="shared" si="173"/>
        <v>VTE45726FAB250062447310100</v>
      </c>
      <c r="B3244" t="s">
        <v>131</v>
      </c>
      <c r="C3244" s="1">
        <v>45726</v>
      </c>
      <c r="D3244" t="s">
        <v>5571</v>
      </c>
      <c r="E3244" t="str">
        <f>"47310100"</f>
        <v>47310100</v>
      </c>
      <c r="F3244" t="s">
        <v>5522</v>
      </c>
      <c r="G3244" t="s">
        <v>5885</v>
      </c>
      <c r="H3244" t="s">
        <v>350</v>
      </c>
      <c r="I3244">
        <v>0</v>
      </c>
      <c r="J3244" t="s">
        <v>343</v>
      </c>
      <c r="L3244">
        <v>29500</v>
      </c>
      <c r="N3244">
        <v>29500</v>
      </c>
    </row>
    <row r="3245" spans="1:14" x14ac:dyDescent="0.35">
      <c r="A3245" t="str">
        <f t="shared" si="173"/>
        <v>VTE45726FAB250062470610010</v>
      </c>
      <c r="B3245" t="s">
        <v>131</v>
      </c>
      <c r="C3245" s="1">
        <v>45726</v>
      </c>
      <c r="D3245" t="s">
        <v>5571</v>
      </c>
      <c r="E3245" t="str">
        <f>"70610010"</f>
        <v>70610010</v>
      </c>
      <c r="F3245" t="s">
        <v>5522</v>
      </c>
      <c r="G3245" t="s">
        <v>5885</v>
      </c>
      <c r="H3245" t="s">
        <v>5972</v>
      </c>
      <c r="I3245">
        <v>0</v>
      </c>
      <c r="J3245" t="s">
        <v>343</v>
      </c>
      <c r="L3245">
        <v>99000</v>
      </c>
      <c r="N3245">
        <v>99000</v>
      </c>
    </row>
    <row r="3246" spans="1:14" x14ac:dyDescent="0.35">
      <c r="A3246" t="str">
        <f t="shared" si="173"/>
        <v>VTE45726FAB250062670610010</v>
      </c>
      <c r="B3246" t="s">
        <v>131</v>
      </c>
      <c r="C3246" s="1">
        <v>45726</v>
      </c>
      <c r="D3246" t="s">
        <v>5572</v>
      </c>
      <c r="E3246" t="str">
        <f>"70610010"</f>
        <v>70610010</v>
      </c>
      <c r="F3246" t="s">
        <v>5573</v>
      </c>
      <c r="G3246" t="s">
        <v>5885</v>
      </c>
      <c r="H3246" t="s">
        <v>5974</v>
      </c>
      <c r="I3246">
        <v>0</v>
      </c>
      <c r="J3246" t="s">
        <v>343</v>
      </c>
      <c r="L3246">
        <v>1400000</v>
      </c>
      <c r="N3246">
        <v>1400000</v>
      </c>
    </row>
    <row r="3247" spans="1:14" x14ac:dyDescent="0.35">
      <c r="A3247" t="str">
        <f t="shared" si="173"/>
        <v>VTE45726FAB250062770610010</v>
      </c>
      <c r="B3247" t="s">
        <v>131</v>
      </c>
      <c r="C3247" s="1">
        <v>45726</v>
      </c>
      <c r="D3247" t="s">
        <v>5574</v>
      </c>
      <c r="E3247" t="str">
        <f>"70610010"</f>
        <v>70610010</v>
      </c>
      <c r="F3247" t="s">
        <v>5573</v>
      </c>
      <c r="G3247" t="s">
        <v>5885</v>
      </c>
      <c r="H3247" t="s">
        <v>5974</v>
      </c>
      <c r="I3247">
        <v>0</v>
      </c>
      <c r="J3247" t="s">
        <v>343</v>
      </c>
      <c r="L3247">
        <v>1200000</v>
      </c>
      <c r="N3247">
        <v>1200000</v>
      </c>
    </row>
    <row r="3248" spans="1:14" x14ac:dyDescent="0.35">
      <c r="A3248" t="str">
        <f t="shared" si="173"/>
        <v>VTE45726FAB250062870610030</v>
      </c>
      <c r="B3248" t="s">
        <v>131</v>
      </c>
      <c r="C3248" s="1">
        <v>45726</v>
      </c>
      <c r="D3248" t="s">
        <v>5575</v>
      </c>
      <c r="E3248" t="str">
        <f>"70610030"</f>
        <v>70610030</v>
      </c>
      <c r="F3248" t="s">
        <v>5576</v>
      </c>
      <c r="G3248" t="s">
        <v>5885</v>
      </c>
      <c r="H3248" t="s">
        <v>5976</v>
      </c>
      <c r="I3248">
        <v>0</v>
      </c>
      <c r="J3248" t="s">
        <v>343</v>
      </c>
      <c r="L3248">
        <v>500000</v>
      </c>
      <c r="N3248">
        <v>500000</v>
      </c>
    </row>
    <row r="3249" spans="1:14" x14ac:dyDescent="0.35">
      <c r="A3249" t="str">
        <f t="shared" si="173"/>
        <v>VTE45726FAB250068070610030</v>
      </c>
      <c r="B3249" t="s">
        <v>131</v>
      </c>
      <c r="C3249" s="1">
        <v>45726</v>
      </c>
      <c r="D3249" t="s">
        <v>5577</v>
      </c>
      <c r="E3249" t="str">
        <f>"70610030"</f>
        <v>70610030</v>
      </c>
      <c r="F3249" t="s">
        <v>5578</v>
      </c>
      <c r="G3249" t="s">
        <v>5885</v>
      </c>
      <c r="H3249" t="s">
        <v>5976</v>
      </c>
      <c r="I3249">
        <v>0</v>
      </c>
      <c r="J3249" t="s">
        <v>343</v>
      </c>
      <c r="L3249">
        <v>540000</v>
      </c>
      <c r="N3249">
        <v>540000</v>
      </c>
    </row>
    <row r="3250" spans="1:14" x14ac:dyDescent="0.35">
      <c r="A3250" t="str">
        <f t="shared" si="173"/>
        <v>VTE45726FAB250068170610030</v>
      </c>
      <c r="B3250" t="s">
        <v>131</v>
      </c>
      <c r="C3250" s="1">
        <v>45726</v>
      </c>
      <c r="D3250" t="s">
        <v>5579</v>
      </c>
      <c r="E3250" t="str">
        <f>"70610030"</f>
        <v>70610030</v>
      </c>
      <c r="F3250" t="s">
        <v>5578</v>
      </c>
      <c r="G3250" t="s">
        <v>5885</v>
      </c>
      <c r="H3250" t="s">
        <v>5976</v>
      </c>
      <c r="I3250">
        <v>0</v>
      </c>
      <c r="J3250" t="s">
        <v>343</v>
      </c>
      <c r="L3250">
        <v>790000</v>
      </c>
      <c r="N3250">
        <v>790000</v>
      </c>
    </row>
    <row r="3251" spans="1:14" x14ac:dyDescent="0.35">
      <c r="A3251" t="str">
        <f t="shared" si="173"/>
        <v>VTE45726FAB250082070610010</v>
      </c>
      <c r="B3251" t="s">
        <v>131</v>
      </c>
      <c r="C3251" s="1">
        <v>45726</v>
      </c>
      <c r="D3251" t="s">
        <v>5580</v>
      </c>
      <c r="E3251" t="str">
        <f>"70610010"</f>
        <v>70610010</v>
      </c>
      <c r="F3251" t="s">
        <v>5581</v>
      </c>
      <c r="G3251" t="s">
        <v>5885</v>
      </c>
      <c r="H3251" t="s">
        <v>5970</v>
      </c>
      <c r="I3251">
        <v>0</v>
      </c>
      <c r="J3251" t="s">
        <v>343</v>
      </c>
      <c r="L3251">
        <v>2699658</v>
      </c>
      <c r="N3251">
        <v>2699658</v>
      </c>
    </row>
    <row r="3252" spans="1:14" x14ac:dyDescent="0.35">
      <c r="A3252" t="str">
        <f t="shared" si="173"/>
        <v>VTE45726FAB250082170610010</v>
      </c>
      <c r="B3252" t="s">
        <v>131</v>
      </c>
      <c r="C3252" s="1">
        <v>45726</v>
      </c>
      <c r="D3252" t="s">
        <v>5582</v>
      </c>
      <c r="E3252" t="str">
        <f>"70610010"</f>
        <v>70610010</v>
      </c>
      <c r="F3252" t="s">
        <v>5581</v>
      </c>
      <c r="G3252" t="s">
        <v>5885</v>
      </c>
      <c r="H3252" t="s">
        <v>5970</v>
      </c>
      <c r="I3252">
        <v>0</v>
      </c>
      <c r="J3252" t="s">
        <v>343</v>
      </c>
      <c r="L3252">
        <v>41619288</v>
      </c>
      <c r="N3252">
        <v>41619288</v>
      </c>
    </row>
    <row r="3253" spans="1:14" x14ac:dyDescent="0.35">
      <c r="A3253" t="str">
        <f t="shared" si="173"/>
        <v>VTE45726FBK250018670610010</v>
      </c>
      <c r="B3253" t="s">
        <v>131</v>
      </c>
      <c r="C3253" s="1">
        <v>45726</v>
      </c>
      <c r="D3253" t="s">
        <v>5583</v>
      </c>
      <c r="E3253" t="str">
        <f>"70610010"</f>
        <v>70610010</v>
      </c>
      <c r="F3253" t="s">
        <v>5508</v>
      </c>
      <c r="G3253" t="s">
        <v>5885</v>
      </c>
      <c r="H3253" t="s">
        <v>5977</v>
      </c>
      <c r="I3253">
        <v>0</v>
      </c>
      <c r="J3253" t="s">
        <v>343</v>
      </c>
      <c r="L3253">
        <v>931500</v>
      </c>
      <c r="N3253">
        <v>931500</v>
      </c>
    </row>
    <row r="3254" spans="1:14" x14ac:dyDescent="0.35">
      <c r="A3254" t="str">
        <f t="shared" si="173"/>
        <v>VTE45726FFE250000670610010</v>
      </c>
      <c r="B3254" t="s">
        <v>131</v>
      </c>
      <c r="C3254" s="1">
        <v>45726</v>
      </c>
      <c r="D3254" t="s">
        <v>5584</v>
      </c>
      <c r="E3254" t="str">
        <f>"70610010"</f>
        <v>70610010</v>
      </c>
      <c r="F3254" t="s">
        <v>5585</v>
      </c>
      <c r="G3254" t="s">
        <v>5885</v>
      </c>
      <c r="H3254" t="s">
        <v>5971</v>
      </c>
      <c r="I3254">
        <v>0</v>
      </c>
      <c r="J3254" t="s">
        <v>343</v>
      </c>
      <c r="L3254">
        <v>200000</v>
      </c>
      <c r="N3254">
        <v>200000</v>
      </c>
    </row>
    <row r="3255" spans="1:14" x14ac:dyDescent="0.35">
      <c r="A3255" t="str">
        <f t="shared" si="173"/>
        <v>VTE45727FAB250062970610020</v>
      </c>
      <c r="B3255" t="s">
        <v>131</v>
      </c>
      <c r="C3255" s="1">
        <v>45727</v>
      </c>
      <c r="D3255" t="s">
        <v>5586</v>
      </c>
      <c r="E3255" t="str">
        <f>"70610020"</f>
        <v>70610020</v>
      </c>
      <c r="F3255" t="s">
        <v>5587</v>
      </c>
      <c r="G3255" t="s">
        <v>5885</v>
      </c>
      <c r="H3255" t="s">
        <v>5978</v>
      </c>
      <c r="I3255">
        <v>0</v>
      </c>
      <c r="J3255" t="s">
        <v>343</v>
      </c>
      <c r="K3255">
        <v>2000000</v>
      </c>
      <c r="M3255">
        <v>2000000</v>
      </c>
    </row>
    <row r="3256" spans="1:14" x14ac:dyDescent="0.35">
      <c r="A3256" t="str">
        <f t="shared" si="173"/>
        <v>VTE45727FAB250063070610010</v>
      </c>
      <c r="B3256" t="s">
        <v>131</v>
      </c>
      <c r="C3256" s="1">
        <v>45727</v>
      </c>
      <c r="D3256" t="s">
        <v>5588</v>
      </c>
      <c r="E3256" t="str">
        <f t="shared" ref="E3256:E3266" si="175">"70610010"</f>
        <v>70610010</v>
      </c>
      <c r="F3256" t="s">
        <v>5589</v>
      </c>
      <c r="G3256" t="s">
        <v>5885</v>
      </c>
      <c r="H3256" t="s">
        <v>5972</v>
      </c>
      <c r="I3256">
        <v>0</v>
      </c>
      <c r="J3256" t="s">
        <v>343</v>
      </c>
      <c r="L3256">
        <v>1050000</v>
      </c>
      <c r="N3256">
        <v>1050000</v>
      </c>
    </row>
    <row r="3257" spans="1:14" x14ac:dyDescent="0.35">
      <c r="A3257" t="str">
        <f t="shared" si="173"/>
        <v>VTE45727FAB250063170610010</v>
      </c>
      <c r="B3257" t="s">
        <v>131</v>
      </c>
      <c r="C3257" s="1">
        <v>45727</v>
      </c>
      <c r="D3257" t="s">
        <v>5590</v>
      </c>
      <c r="E3257" t="str">
        <f t="shared" si="175"/>
        <v>70610010</v>
      </c>
      <c r="F3257" t="s">
        <v>180</v>
      </c>
      <c r="G3257" t="s">
        <v>5885</v>
      </c>
      <c r="H3257" t="s">
        <v>5972</v>
      </c>
      <c r="I3257">
        <v>0</v>
      </c>
      <c r="J3257" t="s">
        <v>343</v>
      </c>
      <c r="L3257">
        <v>99000</v>
      </c>
      <c r="N3257">
        <v>99000</v>
      </c>
    </row>
    <row r="3258" spans="1:14" x14ac:dyDescent="0.35">
      <c r="A3258" t="str">
        <f t="shared" si="173"/>
        <v>VTE45727FBK250018770610010</v>
      </c>
      <c r="B3258" t="s">
        <v>131</v>
      </c>
      <c r="C3258" s="1">
        <v>45727</v>
      </c>
      <c r="D3258" t="s">
        <v>5591</v>
      </c>
      <c r="E3258" t="str">
        <f t="shared" si="175"/>
        <v>70610010</v>
      </c>
      <c r="F3258" t="s">
        <v>5508</v>
      </c>
      <c r="G3258" t="s">
        <v>5885</v>
      </c>
      <c r="H3258" t="s">
        <v>5977</v>
      </c>
      <c r="I3258">
        <v>0</v>
      </c>
      <c r="J3258" t="s">
        <v>343</v>
      </c>
      <c r="L3258">
        <v>258038</v>
      </c>
      <c r="N3258">
        <v>258038</v>
      </c>
    </row>
    <row r="3259" spans="1:14" x14ac:dyDescent="0.35">
      <c r="A3259" t="str">
        <f t="shared" si="173"/>
        <v>VTE45727FBK250018870610010</v>
      </c>
      <c r="B3259" t="s">
        <v>131</v>
      </c>
      <c r="C3259" s="1">
        <v>45727</v>
      </c>
      <c r="D3259" t="s">
        <v>5592</v>
      </c>
      <c r="E3259" t="str">
        <f t="shared" si="175"/>
        <v>70610010</v>
      </c>
      <c r="F3259" t="s">
        <v>5508</v>
      </c>
      <c r="G3259" t="s">
        <v>5885</v>
      </c>
      <c r="H3259" t="s">
        <v>5977</v>
      </c>
      <c r="I3259">
        <v>0</v>
      </c>
      <c r="J3259" t="s">
        <v>343</v>
      </c>
      <c r="L3259">
        <v>258038</v>
      </c>
      <c r="N3259">
        <v>258038</v>
      </c>
    </row>
    <row r="3260" spans="1:14" x14ac:dyDescent="0.35">
      <c r="A3260" t="str">
        <f t="shared" si="173"/>
        <v>VTE45727FBK250018970610010</v>
      </c>
      <c r="B3260" t="s">
        <v>131</v>
      </c>
      <c r="C3260" s="1">
        <v>45727</v>
      </c>
      <c r="D3260" t="s">
        <v>5593</v>
      </c>
      <c r="E3260" t="str">
        <f t="shared" si="175"/>
        <v>70610010</v>
      </c>
      <c r="F3260" t="s">
        <v>5508</v>
      </c>
      <c r="G3260" t="s">
        <v>5885</v>
      </c>
      <c r="H3260" t="s">
        <v>5977</v>
      </c>
      <c r="I3260">
        <v>0</v>
      </c>
      <c r="J3260" t="s">
        <v>343</v>
      </c>
      <c r="L3260">
        <v>258038</v>
      </c>
      <c r="N3260">
        <v>258038</v>
      </c>
    </row>
    <row r="3261" spans="1:14" x14ac:dyDescent="0.35">
      <c r="A3261" t="str">
        <f t="shared" si="173"/>
        <v>VTE45727FBK250019070610010</v>
      </c>
      <c r="B3261" t="s">
        <v>131</v>
      </c>
      <c r="C3261" s="1">
        <v>45727</v>
      </c>
      <c r="D3261" t="s">
        <v>5594</v>
      </c>
      <c r="E3261" t="str">
        <f t="shared" si="175"/>
        <v>70610010</v>
      </c>
      <c r="F3261" t="s">
        <v>5508</v>
      </c>
      <c r="G3261" t="s">
        <v>5885</v>
      </c>
      <c r="H3261" t="s">
        <v>5977</v>
      </c>
      <c r="I3261">
        <v>0</v>
      </c>
      <c r="J3261" t="s">
        <v>343</v>
      </c>
      <c r="L3261">
        <v>931500</v>
      </c>
      <c r="N3261">
        <v>931500</v>
      </c>
    </row>
    <row r="3262" spans="1:14" x14ac:dyDescent="0.35">
      <c r="A3262" t="str">
        <f t="shared" si="173"/>
        <v>VTE45727FBK250019170610010</v>
      </c>
      <c r="B3262" t="s">
        <v>131</v>
      </c>
      <c r="C3262" s="1">
        <v>45727</v>
      </c>
      <c r="D3262" t="s">
        <v>5595</v>
      </c>
      <c r="E3262" t="str">
        <f t="shared" si="175"/>
        <v>70610010</v>
      </c>
      <c r="F3262" t="s">
        <v>5508</v>
      </c>
      <c r="G3262" t="s">
        <v>5885</v>
      </c>
      <c r="H3262" t="s">
        <v>5977</v>
      </c>
      <c r="I3262">
        <v>0</v>
      </c>
      <c r="J3262" t="s">
        <v>343</v>
      </c>
      <c r="L3262">
        <v>931500</v>
      </c>
      <c r="N3262">
        <v>931500</v>
      </c>
    </row>
    <row r="3263" spans="1:14" x14ac:dyDescent="0.35">
      <c r="A3263" t="str">
        <f t="shared" si="173"/>
        <v>VTE45727FBK250019270610010</v>
      </c>
      <c r="B3263" t="s">
        <v>131</v>
      </c>
      <c r="C3263" s="1">
        <v>45727</v>
      </c>
      <c r="D3263" t="s">
        <v>5596</v>
      </c>
      <c r="E3263" t="str">
        <f t="shared" si="175"/>
        <v>70610010</v>
      </c>
      <c r="F3263" t="s">
        <v>5508</v>
      </c>
      <c r="G3263" t="s">
        <v>5885</v>
      </c>
      <c r="H3263" t="s">
        <v>5977</v>
      </c>
      <c r="I3263">
        <v>0</v>
      </c>
      <c r="J3263" t="s">
        <v>343</v>
      </c>
      <c r="L3263">
        <v>931500</v>
      </c>
      <c r="N3263">
        <v>931500</v>
      </c>
    </row>
    <row r="3264" spans="1:14" x14ac:dyDescent="0.35">
      <c r="A3264" t="str">
        <f t="shared" si="173"/>
        <v>VTE45727FBK250019370610010</v>
      </c>
      <c r="B3264" t="s">
        <v>131</v>
      </c>
      <c r="C3264" s="1">
        <v>45727</v>
      </c>
      <c r="D3264" t="s">
        <v>5597</v>
      </c>
      <c r="E3264" t="str">
        <f t="shared" si="175"/>
        <v>70610010</v>
      </c>
      <c r="F3264" t="s">
        <v>5508</v>
      </c>
      <c r="G3264" t="s">
        <v>5885</v>
      </c>
      <c r="H3264" t="s">
        <v>5977</v>
      </c>
      <c r="I3264">
        <v>0</v>
      </c>
      <c r="J3264" t="s">
        <v>343</v>
      </c>
      <c r="L3264">
        <v>931500</v>
      </c>
      <c r="N3264">
        <v>931500</v>
      </c>
    </row>
    <row r="3265" spans="1:14" x14ac:dyDescent="0.35">
      <c r="A3265" t="str">
        <f t="shared" si="173"/>
        <v>VTE45728FAB250063270610010</v>
      </c>
      <c r="B3265" t="s">
        <v>131</v>
      </c>
      <c r="C3265" s="1">
        <v>45728</v>
      </c>
      <c r="D3265" t="s">
        <v>5598</v>
      </c>
      <c r="E3265" t="str">
        <f t="shared" si="175"/>
        <v>70610010</v>
      </c>
      <c r="F3265" t="s">
        <v>139</v>
      </c>
      <c r="G3265" t="s">
        <v>5885</v>
      </c>
      <c r="H3265" t="s">
        <v>5972</v>
      </c>
      <c r="I3265">
        <v>0</v>
      </c>
      <c r="J3265" t="s">
        <v>343</v>
      </c>
      <c r="L3265">
        <v>400000</v>
      </c>
      <c r="N3265">
        <v>400000</v>
      </c>
    </row>
    <row r="3266" spans="1:14" x14ac:dyDescent="0.35">
      <c r="A3266" t="str">
        <f t="shared" si="173"/>
        <v>VTE45728FAB250063370610010</v>
      </c>
      <c r="B3266" t="s">
        <v>131</v>
      </c>
      <c r="C3266" s="1">
        <v>45728</v>
      </c>
      <c r="D3266" t="s">
        <v>5599</v>
      </c>
      <c r="E3266" t="str">
        <f t="shared" si="175"/>
        <v>70610010</v>
      </c>
      <c r="F3266" t="s">
        <v>139</v>
      </c>
      <c r="G3266" t="s">
        <v>5885</v>
      </c>
      <c r="H3266" t="s">
        <v>5972</v>
      </c>
      <c r="I3266">
        <v>0</v>
      </c>
      <c r="J3266" t="s">
        <v>343</v>
      </c>
      <c r="L3266">
        <v>400000</v>
      </c>
      <c r="N3266">
        <v>400000</v>
      </c>
    </row>
    <row r="3267" spans="1:14" x14ac:dyDescent="0.35">
      <c r="A3267" t="str">
        <f t="shared" ref="A3267:A3330" si="176">CONCATENATE(B3267,C3267,D3267,E3267)</f>
        <v>VTE45728FAB250063447310100</v>
      </c>
      <c r="B3267" t="s">
        <v>131</v>
      </c>
      <c r="C3267" s="1">
        <v>45728</v>
      </c>
      <c r="D3267" t="s">
        <v>5600</v>
      </c>
      <c r="E3267" t="str">
        <f>"47310100"</f>
        <v>47310100</v>
      </c>
      <c r="F3267" t="s">
        <v>5512</v>
      </c>
      <c r="G3267" t="s">
        <v>5885</v>
      </c>
      <c r="H3267" t="s">
        <v>350</v>
      </c>
      <c r="I3267">
        <v>0</v>
      </c>
      <c r="J3267" t="s">
        <v>343</v>
      </c>
      <c r="L3267">
        <v>29500</v>
      </c>
      <c r="N3267">
        <v>29500</v>
      </c>
    </row>
    <row r="3268" spans="1:14" x14ac:dyDescent="0.35">
      <c r="A3268" t="str">
        <f t="shared" si="176"/>
        <v>VTE45728FAB250063470610010</v>
      </c>
      <c r="B3268" t="s">
        <v>131</v>
      </c>
      <c r="C3268" s="1">
        <v>45728</v>
      </c>
      <c r="D3268" t="s">
        <v>5600</v>
      </c>
      <c r="E3268" t="str">
        <f>"70610010"</f>
        <v>70610010</v>
      </c>
      <c r="F3268" t="s">
        <v>5512</v>
      </c>
      <c r="G3268" t="s">
        <v>5885</v>
      </c>
      <c r="H3268" t="s">
        <v>5972</v>
      </c>
      <c r="I3268">
        <v>0</v>
      </c>
      <c r="J3268" t="s">
        <v>343</v>
      </c>
      <c r="L3268">
        <v>201000</v>
      </c>
      <c r="N3268">
        <v>201000</v>
      </c>
    </row>
    <row r="3269" spans="1:14" x14ac:dyDescent="0.35">
      <c r="A3269" t="str">
        <f t="shared" si="176"/>
        <v>VTE45728FAB250063547310100</v>
      </c>
      <c r="B3269" t="s">
        <v>131</v>
      </c>
      <c r="C3269" s="1">
        <v>45728</v>
      </c>
      <c r="D3269" t="s">
        <v>5601</v>
      </c>
      <c r="E3269" t="str">
        <f>"47310100"</f>
        <v>47310100</v>
      </c>
      <c r="F3269" t="s">
        <v>5602</v>
      </c>
      <c r="G3269" t="s">
        <v>5885</v>
      </c>
      <c r="H3269" t="s">
        <v>350</v>
      </c>
      <c r="I3269">
        <v>0</v>
      </c>
      <c r="J3269" t="s">
        <v>343</v>
      </c>
      <c r="L3269">
        <v>177000</v>
      </c>
      <c r="N3269">
        <v>177000</v>
      </c>
    </row>
    <row r="3270" spans="1:14" x14ac:dyDescent="0.35">
      <c r="A3270" t="str">
        <f t="shared" si="176"/>
        <v>VTE45728FAB250063570610010</v>
      </c>
      <c r="B3270" t="s">
        <v>131</v>
      </c>
      <c r="C3270" s="1">
        <v>45728</v>
      </c>
      <c r="D3270" t="s">
        <v>5601</v>
      </c>
      <c r="E3270" t="str">
        <f>"70610010"</f>
        <v>70610010</v>
      </c>
      <c r="F3270" t="s">
        <v>5602</v>
      </c>
      <c r="G3270" t="s">
        <v>5885</v>
      </c>
      <c r="H3270" t="s">
        <v>5972</v>
      </c>
      <c r="I3270">
        <v>0</v>
      </c>
      <c r="J3270" t="s">
        <v>343</v>
      </c>
      <c r="L3270">
        <v>396000</v>
      </c>
      <c r="N3270">
        <v>396000</v>
      </c>
    </row>
    <row r="3271" spans="1:14" x14ac:dyDescent="0.35">
      <c r="A3271" t="str">
        <f t="shared" si="176"/>
        <v>VTE45728FAB250063647310100</v>
      </c>
      <c r="B3271" t="s">
        <v>131</v>
      </c>
      <c r="C3271" s="1">
        <v>45728</v>
      </c>
      <c r="D3271" t="s">
        <v>5603</v>
      </c>
      <c r="E3271" t="str">
        <f>"47310100"</f>
        <v>47310100</v>
      </c>
      <c r="F3271" t="s">
        <v>180</v>
      </c>
      <c r="G3271" t="s">
        <v>5885</v>
      </c>
      <c r="H3271" t="s">
        <v>350</v>
      </c>
      <c r="I3271">
        <v>0</v>
      </c>
      <c r="J3271" t="s">
        <v>343</v>
      </c>
      <c r="L3271">
        <v>29500</v>
      </c>
      <c r="N3271">
        <v>29500</v>
      </c>
    </row>
    <row r="3272" spans="1:14" x14ac:dyDescent="0.35">
      <c r="A3272" t="str">
        <f t="shared" si="176"/>
        <v>VTE45728FAB250063670610010</v>
      </c>
      <c r="B3272" t="s">
        <v>131</v>
      </c>
      <c r="C3272" s="1">
        <v>45728</v>
      </c>
      <c r="D3272" t="s">
        <v>5603</v>
      </c>
      <c r="E3272" t="str">
        <f>"70610010"</f>
        <v>70610010</v>
      </c>
      <c r="F3272" t="s">
        <v>180</v>
      </c>
      <c r="G3272" t="s">
        <v>5885</v>
      </c>
      <c r="H3272" t="s">
        <v>5972</v>
      </c>
      <c r="I3272">
        <v>0</v>
      </c>
      <c r="J3272" t="s">
        <v>343</v>
      </c>
      <c r="L3272">
        <v>301250</v>
      </c>
      <c r="N3272">
        <v>301250</v>
      </c>
    </row>
    <row r="3273" spans="1:14" x14ac:dyDescent="0.35">
      <c r="A3273" t="str">
        <f t="shared" si="176"/>
        <v>VTE45728FAB250063670610050</v>
      </c>
      <c r="B3273" t="s">
        <v>131</v>
      </c>
      <c r="C3273" s="1">
        <v>45728</v>
      </c>
      <c r="D3273" t="s">
        <v>5603</v>
      </c>
      <c r="E3273" t="str">
        <f>"70610050"</f>
        <v>70610050</v>
      </c>
      <c r="F3273" t="s">
        <v>180</v>
      </c>
      <c r="G3273" t="s">
        <v>5885</v>
      </c>
      <c r="H3273" t="s">
        <v>5972</v>
      </c>
      <c r="I3273">
        <v>0</v>
      </c>
      <c r="J3273" t="s">
        <v>343</v>
      </c>
      <c r="L3273">
        <v>99000</v>
      </c>
      <c r="N3273">
        <v>99000</v>
      </c>
    </row>
    <row r="3274" spans="1:14" x14ac:dyDescent="0.35">
      <c r="A3274" t="str">
        <f t="shared" si="176"/>
        <v>VTE45728FBK250019470610012</v>
      </c>
      <c r="B3274" t="s">
        <v>131</v>
      </c>
      <c r="C3274" s="1">
        <v>45728</v>
      </c>
      <c r="D3274" t="s">
        <v>5604</v>
      </c>
      <c r="E3274" t="str">
        <f>"70610012"</f>
        <v>70610012</v>
      </c>
      <c r="F3274" t="s">
        <v>5508</v>
      </c>
      <c r="G3274" t="s">
        <v>5885</v>
      </c>
      <c r="H3274" t="s">
        <v>5977</v>
      </c>
      <c r="I3274">
        <v>0</v>
      </c>
      <c r="J3274" t="s">
        <v>343</v>
      </c>
      <c r="L3274">
        <v>6032055</v>
      </c>
      <c r="N3274">
        <v>6032055</v>
      </c>
    </row>
    <row r="3275" spans="1:14" x14ac:dyDescent="0.35">
      <c r="A3275" t="str">
        <f t="shared" si="176"/>
        <v>VTE45728FBK250019570610012</v>
      </c>
      <c r="B3275" t="s">
        <v>131</v>
      </c>
      <c r="C3275" s="1">
        <v>45728</v>
      </c>
      <c r="D3275" t="s">
        <v>5605</v>
      </c>
      <c r="E3275" t="str">
        <f>"70610012"</f>
        <v>70610012</v>
      </c>
      <c r="F3275" t="s">
        <v>5508</v>
      </c>
      <c r="G3275" t="s">
        <v>5885</v>
      </c>
      <c r="H3275" t="s">
        <v>5977</v>
      </c>
      <c r="I3275">
        <v>0</v>
      </c>
      <c r="J3275" t="s">
        <v>343</v>
      </c>
      <c r="L3275">
        <v>6032055</v>
      </c>
      <c r="N3275">
        <v>6032055</v>
      </c>
    </row>
    <row r="3276" spans="1:14" x14ac:dyDescent="0.35">
      <c r="A3276" t="str">
        <f t="shared" si="176"/>
        <v>VTE45729FAB250063770610010</v>
      </c>
      <c r="B3276" t="s">
        <v>131</v>
      </c>
      <c r="C3276" s="1">
        <v>45729</v>
      </c>
      <c r="D3276" t="s">
        <v>5606</v>
      </c>
      <c r="E3276" t="str">
        <f>"70610010"</f>
        <v>70610010</v>
      </c>
      <c r="F3276" t="s">
        <v>5607</v>
      </c>
      <c r="G3276" t="s">
        <v>5885</v>
      </c>
      <c r="H3276" t="s">
        <v>5970</v>
      </c>
      <c r="I3276">
        <v>0</v>
      </c>
      <c r="J3276" t="s">
        <v>343</v>
      </c>
      <c r="L3276">
        <v>14335256</v>
      </c>
      <c r="N3276">
        <v>14335256</v>
      </c>
    </row>
    <row r="3277" spans="1:14" x14ac:dyDescent="0.35">
      <c r="A3277" t="str">
        <f t="shared" si="176"/>
        <v>VTE45729FAB250063847310100</v>
      </c>
      <c r="B3277" t="s">
        <v>131</v>
      </c>
      <c r="C3277" s="1">
        <v>45729</v>
      </c>
      <c r="D3277" t="s">
        <v>5608</v>
      </c>
      <c r="E3277" t="str">
        <f>"47310100"</f>
        <v>47310100</v>
      </c>
      <c r="F3277" t="s">
        <v>5609</v>
      </c>
      <c r="G3277" t="s">
        <v>5885</v>
      </c>
      <c r="H3277" t="s">
        <v>350</v>
      </c>
      <c r="I3277">
        <v>0</v>
      </c>
      <c r="J3277" t="s">
        <v>343</v>
      </c>
      <c r="K3277">
        <v>250000</v>
      </c>
      <c r="M3277">
        <v>250000</v>
      </c>
    </row>
    <row r="3278" spans="1:14" x14ac:dyDescent="0.35">
      <c r="A3278" t="str">
        <f t="shared" si="176"/>
        <v>VTE45729FAB250063870610010</v>
      </c>
      <c r="B3278" t="s">
        <v>131</v>
      </c>
      <c r="C3278" s="1">
        <v>45729</v>
      </c>
      <c r="D3278" t="s">
        <v>5608</v>
      </c>
      <c r="E3278" t="str">
        <f>"70610010"</f>
        <v>70610010</v>
      </c>
      <c r="F3278" t="s">
        <v>5609</v>
      </c>
      <c r="G3278" t="s">
        <v>5885</v>
      </c>
      <c r="H3278" t="s">
        <v>5975</v>
      </c>
      <c r="I3278">
        <v>0</v>
      </c>
      <c r="J3278" t="s">
        <v>343</v>
      </c>
      <c r="K3278">
        <v>840000</v>
      </c>
      <c r="M3278">
        <v>1040000</v>
      </c>
    </row>
    <row r="3279" spans="1:14" x14ac:dyDescent="0.35">
      <c r="A3279" t="str">
        <f t="shared" si="176"/>
        <v>VTE45729FAB250063870610010</v>
      </c>
      <c r="B3279" t="s">
        <v>131</v>
      </c>
      <c r="C3279" s="1">
        <v>45729</v>
      </c>
      <c r="D3279" t="s">
        <v>5608</v>
      </c>
      <c r="E3279" t="str">
        <f>"70610010"</f>
        <v>70610010</v>
      </c>
      <c r="F3279" t="s">
        <v>5609</v>
      </c>
      <c r="G3279" t="s">
        <v>5885</v>
      </c>
      <c r="H3279" t="s">
        <v>5972</v>
      </c>
      <c r="I3279">
        <v>0</v>
      </c>
      <c r="J3279" t="s">
        <v>343</v>
      </c>
      <c r="K3279">
        <v>200000</v>
      </c>
      <c r="M3279">
        <v>1040000</v>
      </c>
    </row>
    <row r="3280" spans="1:14" x14ac:dyDescent="0.35">
      <c r="A3280" t="str">
        <f t="shared" si="176"/>
        <v>VTE45729FBK250019670610010</v>
      </c>
      <c r="B3280" t="s">
        <v>131</v>
      </c>
      <c r="C3280" s="1">
        <v>45729</v>
      </c>
      <c r="D3280" t="s">
        <v>5610</v>
      </c>
      <c r="E3280" t="str">
        <f>"70610010"</f>
        <v>70610010</v>
      </c>
      <c r="F3280" t="s">
        <v>5508</v>
      </c>
      <c r="G3280" t="s">
        <v>5885</v>
      </c>
      <c r="H3280" t="s">
        <v>5977</v>
      </c>
      <c r="I3280">
        <v>0</v>
      </c>
      <c r="J3280" t="s">
        <v>343</v>
      </c>
      <c r="L3280">
        <v>931500</v>
      </c>
      <c r="N3280">
        <v>931500</v>
      </c>
    </row>
    <row r="3281" spans="1:14" x14ac:dyDescent="0.35">
      <c r="A3281" t="str">
        <f t="shared" si="176"/>
        <v>VTE45729FBK250019670610010</v>
      </c>
      <c r="B3281" t="s">
        <v>131</v>
      </c>
      <c r="C3281" s="1">
        <v>45729</v>
      </c>
      <c r="D3281" t="s">
        <v>5610</v>
      </c>
      <c r="E3281" t="str">
        <f>"70610010"</f>
        <v>70610010</v>
      </c>
      <c r="F3281" t="s">
        <v>5611</v>
      </c>
      <c r="G3281" t="s">
        <v>5885</v>
      </c>
      <c r="H3281" t="s">
        <v>5977</v>
      </c>
      <c r="I3281">
        <v>0</v>
      </c>
      <c r="J3281" t="s">
        <v>343</v>
      </c>
      <c r="L3281">
        <v>-931500</v>
      </c>
      <c r="N3281">
        <v>-931500</v>
      </c>
    </row>
    <row r="3282" spans="1:14" x14ac:dyDescent="0.35">
      <c r="A3282" t="str">
        <f t="shared" si="176"/>
        <v>VTE45730FAB250063970610010</v>
      </c>
      <c r="B3282" t="s">
        <v>131</v>
      </c>
      <c r="C3282" s="1">
        <v>45730</v>
      </c>
      <c r="D3282" t="s">
        <v>5612</v>
      </c>
      <c r="E3282" t="str">
        <f>"70610010"</f>
        <v>70610010</v>
      </c>
      <c r="F3282" t="s">
        <v>5499</v>
      </c>
      <c r="G3282" t="s">
        <v>5885</v>
      </c>
      <c r="H3282" t="s">
        <v>5972</v>
      </c>
      <c r="I3282">
        <v>0</v>
      </c>
      <c r="J3282" t="s">
        <v>343</v>
      </c>
      <c r="L3282">
        <v>300000</v>
      </c>
      <c r="N3282">
        <v>300000</v>
      </c>
    </row>
    <row r="3283" spans="1:14" x14ac:dyDescent="0.35">
      <c r="A3283" t="str">
        <f t="shared" si="176"/>
        <v>VTE45730FAB250064047310100</v>
      </c>
      <c r="B3283" t="s">
        <v>131</v>
      </c>
      <c r="C3283" s="1">
        <v>45730</v>
      </c>
      <c r="D3283" t="s">
        <v>5613</v>
      </c>
      <c r="E3283" t="str">
        <f>"47310100"</f>
        <v>47310100</v>
      </c>
      <c r="F3283" t="s">
        <v>5499</v>
      </c>
      <c r="G3283" t="s">
        <v>5885</v>
      </c>
      <c r="H3283" t="s">
        <v>350</v>
      </c>
      <c r="I3283">
        <v>0</v>
      </c>
      <c r="J3283" t="s">
        <v>343</v>
      </c>
      <c r="L3283">
        <v>59000</v>
      </c>
      <c r="N3283">
        <v>59000</v>
      </c>
    </row>
    <row r="3284" spans="1:14" x14ac:dyDescent="0.35">
      <c r="A3284" t="str">
        <f t="shared" si="176"/>
        <v>VTE45730FAB250064070610010</v>
      </c>
      <c r="B3284" t="s">
        <v>131</v>
      </c>
      <c r="C3284" s="1">
        <v>45730</v>
      </c>
      <c r="D3284" t="s">
        <v>5613</v>
      </c>
      <c r="E3284" t="str">
        <f>"70610010"</f>
        <v>70610010</v>
      </c>
      <c r="F3284" t="s">
        <v>5499</v>
      </c>
      <c r="G3284" t="s">
        <v>5885</v>
      </c>
      <c r="H3284" t="s">
        <v>5972</v>
      </c>
      <c r="I3284">
        <v>0</v>
      </c>
      <c r="J3284" t="s">
        <v>343</v>
      </c>
      <c r="L3284">
        <v>300000</v>
      </c>
      <c r="N3284">
        <v>300000</v>
      </c>
    </row>
    <row r="3285" spans="1:14" x14ac:dyDescent="0.35">
      <c r="A3285" t="str">
        <f t="shared" si="176"/>
        <v>VTE45730FAB250064147310100</v>
      </c>
      <c r="B3285" t="s">
        <v>131</v>
      </c>
      <c r="C3285" s="1">
        <v>45730</v>
      </c>
      <c r="D3285" t="s">
        <v>5614</v>
      </c>
      <c r="E3285" t="str">
        <f>"47310100"</f>
        <v>47310100</v>
      </c>
      <c r="F3285" t="s">
        <v>5499</v>
      </c>
      <c r="G3285" t="s">
        <v>5885</v>
      </c>
      <c r="H3285" t="s">
        <v>350</v>
      </c>
      <c r="I3285">
        <v>0</v>
      </c>
      <c r="J3285" t="s">
        <v>343</v>
      </c>
      <c r="L3285">
        <v>88500</v>
      </c>
      <c r="N3285">
        <v>88500</v>
      </c>
    </row>
    <row r="3286" spans="1:14" x14ac:dyDescent="0.35">
      <c r="A3286" t="str">
        <f t="shared" si="176"/>
        <v>VTE45730FAB250064170610010</v>
      </c>
      <c r="B3286" t="s">
        <v>131</v>
      </c>
      <c r="C3286" s="1">
        <v>45730</v>
      </c>
      <c r="D3286" t="s">
        <v>5614</v>
      </c>
      <c r="E3286" t="str">
        <f>"70610010"</f>
        <v>70610010</v>
      </c>
      <c r="F3286" t="s">
        <v>5499</v>
      </c>
      <c r="G3286" t="s">
        <v>5885</v>
      </c>
      <c r="H3286" t="s">
        <v>5972</v>
      </c>
      <c r="I3286">
        <v>0</v>
      </c>
      <c r="J3286" t="s">
        <v>343</v>
      </c>
      <c r="L3286">
        <v>450000</v>
      </c>
      <c r="N3286">
        <v>450000</v>
      </c>
    </row>
    <row r="3287" spans="1:14" x14ac:dyDescent="0.35">
      <c r="A3287" t="str">
        <f t="shared" si="176"/>
        <v>VTE45730FAB250064247310100</v>
      </c>
      <c r="B3287" t="s">
        <v>131</v>
      </c>
      <c r="C3287" s="1">
        <v>45730</v>
      </c>
      <c r="D3287" t="s">
        <v>5615</v>
      </c>
      <c r="E3287" t="str">
        <f>"47310100"</f>
        <v>47310100</v>
      </c>
      <c r="F3287" t="s">
        <v>5512</v>
      </c>
      <c r="G3287" t="s">
        <v>5885</v>
      </c>
      <c r="H3287" t="s">
        <v>350</v>
      </c>
      <c r="I3287">
        <v>0</v>
      </c>
      <c r="J3287" t="s">
        <v>343</v>
      </c>
      <c r="L3287">
        <v>29500</v>
      </c>
      <c r="N3287">
        <v>29500</v>
      </c>
    </row>
    <row r="3288" spans="1:14" x14ac:dyDescent="0.35">
      <c r="A3288" t="str">
        <f t="shared" si="176"/>
        <v>VTE45730FAB250064270610010</v>
      </c>
      <c r="B3288" t="s">
        <v>131</v>
      </c>
      <c r="C3288" s="1">
        <v>45730</v>
      </c>
      <c r="D3288" t="s">
        <v>5615</v>
      </c>
      <c r="E3288" t="str">
        <f>"70610010"</f>
        <v>70610010</v>
      </c>
      <c r="F3288" t="s">
        <v>5512</v>
      </c>
      <c r="G3288" t="s">
        <v>5885</v>
      </c>
      <c r="H3288" t="s">
        <v>5972</v>
      </c>
      <c r="I3288">
        <v>0</v>
      </c>
      <c r="J3288" t="s">
        <v>343</v>
      </c>
      <c r="L3288">
        <v>134000</v>
      </c>
      <c r="N3288">
        <v>134000</v>
      </c>
    </row>
    <row r="3289" spans="1:14" x14ac:dyDescent="0.35">
      <c r="A3289" t="str">
        <f t="shared" si="176"/>
        <v>VTE45730FAB250064347310100</v>
      </c>
      <c r="B3289" t="s">
        <v>131</v>
      </c>
      <c r="C3289" s="1">
        <v>45730</v>
      </c>
      <c r="D3289" t="s">
        <v>5616</v>
      </c>
      <c r="E3289" t="str">
        <f>"47310100"</f>
        <v>47310100</v>
      </c>
      <c r="F3289" t="s">
        <v>165</v>
      </c>
      <c r="G3289" t="s">
        <v>5885</v>
      </c>
      <c r="H3289" t="s">
        <v>350</v>
      </c>
      <c r="I3289">
        <v>0</v>
      </c>
      <c r="J3289" t="s">
        <v>343</v>
      </c>
      <c r="L3289">
        <v>59000</v>
      </c>
      <c r="N3289">
        <v>59000</v>
      </c>
    </row>
    <row r="3290" spans="1:14" x14ac:dyDescent="0.35">
      <c r="A3290" t="str">
        <f t="shared" si="176"/>
        <v>VTE45730FAB250064370610010</v>
      </c>
      <c r="B3290" t="s">
        <v>131</v>
      </c>
      <c r="C3290" s="1">
        <v>45730</v>
      </c>
      <c r="D3290" t="s">
        <v>5616</v>
      </c>
      <c r="E3290" t="str">
        <f>"70610010"</f>
        <v>70610010</v>
      </c>
      <c r="F3290" t="s">
        <v>165</v>
      </c>
      <c r="G3290" t="s">
        <v>5885</v>
      </c>
      <c r="H3290" t="s">
        <v>5972</v>
      </c>
      <c r="I3290">
        <v>0</v>
      </c>
      <c r="J3290" t="s">
        <v>343</v>
      </c>
      <c r="L3290">
        <v>402000</v>
      </c>
      <c r="N3290">
        <v>402000</v>
      </c>
    </row>
    <row r="3291" spans="1:14" x14ac:dyDescent="0.35">
      <c r="A3291" t="str">
        <f t="shared" si="176"/>
        <v>VTE45730FAB250064447310100</v>
      </c>
      <c r="B3291" t="s">
        <v>131</v>
      </c>
      <c r="C3291" s="1">
        <v>45730</v>
      </c>
      <c r="D3291" t="s">
        <v>5617</v>
      </c>
      <c r="E3291" t="str">
        <f>"47310100"</f>
        <v>47310100</v>
      </c>
      <c r="F3291" t="s">
        <v>5518</v>
      </c>
      <c r="G3291" t="s">
        <v>5885</v>
      </c>
      <c r="H3291" t="s">
        <v>350</v>
      </c>
      <c r="I3291">
        <v>0</v>
      </c>
      <c r="J3291" t="s">
        <v>343</v>
      </c>
      <c r="L3291">
        <v>59000</v>
      </c>
      <c r="N3291">
        <v>59000</v>
      </c>
    </row>
    <row r="3292" spans="1:14" x14ac:dyDescent="0.35">
      <c r="A3292" t="str">
        <f t="shared" si="176"/>
        <v>VTE45730FAB250064470610010</v>
      </c>
      <c r="B3292" t="s">
        <v>131</v>
      </c>
      <c r="C3292" s="1">
        <v>45730</v>
      </c>
      <c r="D3292" t="s">
        <v>5617</v>
      </c>
      <c r="E3292" t="str">
        <f>"70610010"</f>
        <v>70610010</v>
      </c>
      <c r="F3292" t="s">
        <v>5518</v>
      </c>
      <c r="G3292" t="s">
        <v>5885</v>
      </c>
      <c r="H3292" t="s">
        <v>5972</v>
      </c>
      <c r="I3292">
        <v>0</v>
      </c>
      <c r="J3292" t="s">
        <v>343</v>
      </c>
      <c r="L3292">
        <v>150000</v>
      </c>
      <c r="N3292">
        <v>150000</v>
      </c>
    </row>
    <row r="3293" spans="1:14" x14ac:dyDescent="0.35">
      <c r="A3293" t="str">
        <f t="shared" si="176"/>
        <v>VTE45730FAB250064547310100</v>
      </c>
      <c r="B3293" t="s">
        <v>131</v>
      </c>
      <c r="C3293" s="1">
        <v>45730</v>
      </c>
      <c r="D3293" t="s">
        <v>5618</v>
      </c>
      <c r="E3293" t="str">
        <f>"47310100"</f>
        <v>47310100</v>
      </c>
      <c r="F3293" t="s">
        <v>5518</v>
      </c>
      <c r="G3293" t="s">
        <v>5885</v>
      </c>
      <c r="H3293" t="s">
        <v>350</v>
      </c>
      <c r="I3293">
        <v>0</v>
      </c>
      <c r="J3293" t="s">
        <v>343</v>
      </c>
      <c r="L3293">
        <v>59000</v>
      </c>
      <c r="N3293">
        <v>59000</v>
      </c>
    </row>
    <row r="3294" spans="1:14" x14ac:dyDescent="0.35">
      <c r="A3294" t="str">
        <f t="shared" si="176"/>
        <v>VTE45730FAB250064570610010</v>
      </c>
      <c r="B3294" t="s">
        <v>131</v>
      </c>
      <c r="C3294" s="1">
        <v>45730</v>
      </c>
      <c r="D3294" t="s">
        <v>5618</v>
      </c>
      <c r="E3294" t="str">
        <f>"70610010"</f>
        <v>70610010</v>
      </c>
      <c r="F3294" t="s">
        <v>5518</v>
      </c>
      <c r="G3294" t="s">
        <v>5885</v>
      </c>
      <c r="H3294" t="s">
        <v>5972</v>
      </c>
      <c r="I3294">
        <v>0</v>
      </c>
      <c r="J3294" t="s">
        <v>343</v>
      </c>
      <c r="L3294">
        <v>150000</v>
      </c>
      <c r="N3294">
        <v>150000</v>
      </c>
    </row>
    <row r="3295" spans="1:14" x14ac:dyDescent="0.35">
      <c r="A3295" t="str">
        <f t="shared" si="176"/>
        <v>VTE45730FAB250064670610010</v>
      </c>
      <c r="B3295" t="s">
        <v>131</v>
      </c>
      <c r="C3295" s="1">
        <v>45730</v>
      </c>
      <c r="D3295" t="s">
        <v>5619</v>
      </c>
      <c r="E3295" t="str">
        <f>"70610010"</f>
        <v>70610010</v>
      </c>
      <c r="F3295" t="s">
        <v>5551</v>
      </c>
      <c r="G3295" t="s">
        <v>5885</v>
      </c>
      <c r="H3295" t="s">
        <v>5972</v>
      </c>
      <c r="I3295">
        <v>0</v>
      </c>
      <c r="J3295" t="s">
        <v>343</v>
      </c>
      <c r="L3295">
        <v>300000</v>
      </c>
      <c r="N3295">
        <v>300000</v>
      </c>
    </row>
    <row r="3296" spans="1:14" x14ac:dyDescent="0.35">
      <c r="A3296" t="str">
        <f t="shared" si="176"/>
        <v>VTE45730FAB250071670610010</v>
      </c>
      <c r="B3296" t="s">
        <v>131</v>
      </c>
      <c r="C3296" s="1">
        <v>45730</v>
      </c>
      <c r="D3296" t="s">
        <v>5620</v>
      </c>
      <c r="E3296" t="str">
        <f>"70610010"</f>
        <v>70610010</v>
      </c>
      <c r="F3296" t="s">
        <v>5621</v>
      </c>
      <c r="G3296" t="s">
        <v>5885</v>
      </c>
      <c r="H3296" t="s">
        <v>5975</v>
      </c>
      <c r="I3296">
        <v>0</v>
      </c>
      <c r="J3296" t="s">
        <v>343</v>
      </c>
      <c r="L3296">
        <v>20598381</v>
      </c>
      <c r="N3296">
        <v>20598381</v>
      </c>
    </row>
    <row r="3297" spans="1:14" x14ac:dyDescent="0.35">
      <c r="A3297" t="str">
        <f t="shared" si="176"/>
        <v>VTE45730FAB250071670610040</v>
      </c>
      <c r="B3297" t="s">
        <v>131</v>
      </c>
      <c r="C3297" s="1">
        <v>45730</v>
      </c>
      <c r="D3297" t="s">
        <v>5620</v>
      </c>
      <c r="E3297" t="str">
        <f>"70610040"</f>
        <v>70610040</v>
      </c>
      <c r="F3297" t="s">
        <v>5621</v>
      </c>
      <c r="G3297" t="s">
        <v>5885</v>
      </c>
      <c r="H3297" t="s">
        <v>5972</v>
      </c>
      <c r="I3297">
        <v>0</v>
      </c>
      <c r="J3297" t="s">
        <v>343</v>
      </c>
      <c r="L3297">
        <v>7100000</v>
      </c>
      <c r="N3297">
        <v>16050000</v>
      </c>
    </row>
    <row r="3298" spans="1:14" x14ac:dyDescent="0.35">
      <c r="A3298" t="str">
        <f t="shared" si="176"/>
        <v>VTE45730FAB250071670610040</v>
      </c>
      <c r="B3298" t="s">
        <v>131</v>
      </c>
      <c r="C3298" s="1">
        <v>45730</v>
      </c>
      <c r="D3298" t="s">
        <v>5620</v>
      </c>
      <c r="E3298" t="str">
        <f>"70610040"</f>
        <v>70610040</v>
      </c>
      <c r="F3298" t="s">
        <v>5621</v>
      </c>
      <c r="G3298" t="s">
        <v>5885</v>
      </c>
      <c r="H3298" t="s">
        <v>5979</v>
      </c>
      <c r="I3298">
        <v>0</v>
      </c>
      <c r="J3298" t="s">
        <v>343</v>
      </c>
      <c r="L3298">
        <v>8950000</v>
      </c>
      <c r="N3298">
        <v>16050000</v>
      </c>
    </row>
    <row r="3299" spans="1:14" x14ac:dyDescent="0.35">
      <c r="A3299" t="str">
        <f t="shared" si="176"/>
        <v>VTE45730FBK250019770610010</v>
      </c>
      <c r="B3299" t="s">
        <v>131</v>
      </c>
      <c r="C3299" s="1">
        <v>45730</v>
      </c>
      <c r="D3299" t="s">
        <v>5622</v>
      </c>
      <c r="E3299" t="str">
        <f>"70610010"</f>
        <v>70610010</v>
      </c>
      <c r="F3299" t="s">
        <v>5508</v>
      </c>
      <c r="G3299" t="s">
        <v>5885</v>
      </c>
      <c r="H3299" t="s">
        <v>5977</v>
      </c>
      <c r="I3299">
        <v>0</v>
      </c>
      <c r="J3299" t="s">
        <v>343</v>
      </c>
      <c r="L3299">
        <v>931500</v>
      </c>
      <c r="N3299">
        <v>931500</v>
      </c>
    </row>
    <row r="3300" spans="1:14" x14ac:dyDescent="0.35">
      <c r="A3300" t="str">
        <f t="shared" si="176"/>
        <v>VTE45730FBK250019770610010</v>
      </c>
      <c r="B3300" t="s">
        <v>131</v>
      </c>
      <c r="C3300" s="1">
        <v>45730</v>
      </c>
      <c r="D3300" t="s">
        <v>5622</v>
      </c>
      <c r="E3300" t="str">
        <f>"70610010"</f>
        <v>70610010</v>
      </c>
      <c r="F3300" t="s">
        <v>5611</v>
      </c>
      <c r="G3300" t="s">
        <v>5885</v>
      </c>
      <c r="H3300" t="s">
        <v>5977</v>
      </c>
      <c r="I3300">
        <v>0</v>
      </c>
      <c r="J3300" t="s">
        <v>343</v>
      </c>
      <c r="L3300">
        <v>-931500</v>
      </c>
      <c r="N3300">
        <v>-931500</v>
      </c>
    </row>
    <row r="3301" spans="1:14" x14ac:dyDescent="0.35">
      <c r="A3301" t="str">
        <f t="shared" si="176"/>
        <v>VTE45730FBK250019870610010</v>
      </c>
      <c r="B3301" t="s">
        <v>131</v>
      </c>
      <c r="C3301" s="1">
        <v>45730</v>
      </c>
      <c r="D3301" t="s">
        <v>5623</v>
      </c>
      <c r="E3301" t="str">
        <f>"70610010"</f>
        <v>70610010</v>
      </c>
      <c r="F3301" t="s">
        <v>5508</v>
      </c>
      <c r="G3301" t="s">
        <v>5885</v>
      </c>
      <c r="H3301" t="s">
        <v>5977</v>
      </c>
      <c r="I3301">
        <v>0</v>
      </c>
      <c r="J3301" t="s">
        <v>343</v>
      </c>
      <c r="L3301">
        <v>931500</v>
      </c>
      <c r="N3301">
        <v>931500</v>
      </c>
    </row>
    <row r="3302" spans="1:14" x14ac:dyDescent="0.35">
      <c r="A3302" t="str">
        <f t="shared" si="176"/>
        <v>VTE45730FBK250019870610010</v>
      </c>
      <c r="B3302" t="s">
        <v>131</v>
      </c>
      <c r="C3302" s="1">
        <v>45730</v>
      </c>
      <c r="D3302" t="s">
        <v>5623</v>
      </c>
      <c r="E3302" t="str">
        <f>"70610010"</f>
        <v>70610010</v>
      </c>
      <c r="F3302" t="s">
        <v>5611</v>
      </c>
      <c r="G3302" t="s">
        <v>5885</v>
      </c>
      <c r="H3302" t="s">
        <v>5977</v>
      </c>
      <c r="I3302">
        <v>0</v>
      </c>
      <c r="J3302" t="s">
        <v>343</v>
      </c>
      <c r="L3302">
        <v>-931500</v>
      </c>
      <c r="N3302">
        <v>-931500</v>
      </c>
    </row>
    <row r="3303" spans="1:14" x14ac:dyDescent="0.35">
      <c r="A3303" t="str">
        <f t="shared" si="176"/>
        <v>VTE45730FBK250019970610012</v>
      </c>
      <c r="B3303" t="s">
        <v>131</v>
      </c>
      <c r="C3303" s="1">
        <v>45730</v>
      </c>
      <c r="D3303" t="s">
        <v>5624</v>
      </c>
      <c r="E3303" t="str">
        <f>"70610012"</f>
        <v>70610012</v>
      </c>
      <c r="F3303" t="s">
        <v>5508</v>
      </c>
      <c r="G3303" t="s">
        <v>5885</v>
      </c>
      <c r="H3303" t="s">
        <v>5977</v>
      </c>
      <c r="I3303">
        <v>0</v>
      </c>
      <c r="J3303" t="s">
        <v>343</v>
      </c>
      <c r="L3303">
        <v>479397</v>
      </c>
      <c r="N3303">
        <v>479397</v>
      </c>
    </row>
    <row r="3304" spans="1:14" x14ac:dyDescent="0.35">
      <c r="A3304" t="str">
        <f t="shared" si="176"/>
        <v>VTE45730FBK250019970610012</v>
      </c>
      <c r="B3304" t="s">
        <v>131</v>
      </c>
      <c r="C3304" s="1">
        <v>45730</v>
      </c>
      <c r="D3304" t="s">
        <v>5624</v>
      </c>
      <c r="E3304" t="str">
        <f>"70610012"</f>
        <v>70610012</v>
      </c>
      <c r="F3304" t="s">
        <v>5611</v>
      </c>
      <c r="G3304" t="s">
        <v>5885</v>
      </c>
      <c r="H3304" t="s">
        <v>5977</v>
      </c>
      <c r="I3304">
        <v>0</v>
      </c>
      <c r="J3304" t="s">
        <v>343</v>
      </c>
      <c r="L3304">
        <v>-479397</v>
      </c>
      <c r="N3304">
        <v>-479397</v>
      </c>
    </row>
    <row r="3305" spans="1:14" x14ac:dyDescent="0.35">
      <c r="A3305" t="str">
        <f t="shared" si="176"/>
        <v>VTE45731FBK250020370610010</v>
      </c>
      <c r="B3305" t="s">
        <v>131</v>
      </c>
      <c r="C3305" s="1">
        <v>45731</v>
      </c>
      <c r="D3305" t="s">
        <v>5625</v>
      </c>
      <c r="E3305" t="str">
        <f>"70610010"</f>
        <v>70610010</v>
      </c>
      <c r="F3305" t="s">
        <v>5508</v>
      </c>
      <c r="G3305" t="s">
        <v>5885</v>
      </c>
      <c r="H3305" t="s">
        <v>5977</v>
      </c>
      <c r="I3305">
        <v>0</v>
      </c>
      <c r="J3305" t="s">
        <v>343</v>
      </c>
      <c r="L3305">
        <v>931500</v>
      </c>
      <c r="N3305">
        <v>931500</v>
      </c>
    </row>
    <row r="3306" spans="1:14" x14ac:dyDescent="0.35">
      <c r="A3306" t="str">
        <f t="shared" si="176"/>
        <v>VTE45731FBK250020470610010</v>
      </c>
      <c r="B3306" t="s">
        <v>131</v>
      </c>
      <c r="C3306" s="1">
        <v>45731</v>
      </c>
      <c r="D3306" t="s">
        <v>5626</v>
      </c>
      <c r="E3306" t="str">
        <f>"70610010"</f>
        <v>70610010</v>
      </c>
      <c r="F3306" t="s">
        <v>5508</v>
      </c>
      <c r="G3306" t="s">
        <v>5885</v>
      </c>
      <c r="H3306" t="s">
        <v>5977</v>
      </c>
      <c r="I3306">
        <v>0</v>
      </c>
      <c r="J3306" t="s">
        <v>343</v>
      </c>
      <c r="L3306">
        <v>931500</v>
      </c>
      <c r="N3306">
        <v>931500</v>
      </c>
    </row>
    <row r="3307" spans="1:14" x14ac:dyDescent="0.35">
      <c r="A3307" t="str">
        <f t="shared" si="176"/>
        <v>VTE45731FBK250020570610010</v>
      </c>
      <c r="B3307" t="s">
        <v>131</v>
      </c>
      <c r="C3307" s="1">
        <v>45731</v>
      </c>
      <c r="D3307" t="s">
        <v>5627</v>
      </c>
      <c r="E3307" t="str">
        <f>"70610010"</f>
        <v>70610010</v>
      </c>
      <c r="F3307" t="s">
        <v>5508</v>
      </c>
      <c r="G3307" t="s">
        <v>5885</v>
      </c>
      <c r="H3307" t="s">
        <v>5977</v>
      </c>
      <c r="I3307">
        <v>0</v>
      </c>
      <c r="J3307" t="s">
        <v>343</v>
      </c>
      <c r="L3307">
        <v>931500</v>
      </c>
      <c r="N3307">
        <v>931500</v>
      </c>
    </row>
    <row r="3308" spans="1:14" x14ac:dyDescent="0.35">
      <c r="A3308" t="str">
        <f t="shared" si="176"/>
        <v>VTE45731FBK250020670610010</v>
      </c>
      <c r="B3308" t="s">
        <v>131</v>
      </c>
      <c r="C3308" s="1">
        <v>45731</v>
      </c>
      <c r="D3308" t="s">
        <v>5628</v>
      </c>
      <c r="E3308" t="str">
        <f>"70610010"</f>
        <v>70610010</v>
      </c>
      <c r="F3308" t="s">
        <v>5508</v>
      </c>
      <c r="G3308" t="s">
        <v>5885</v>
      </c>
      <c r="H3308" t="s">
        <v>5977</v>
      </c>
      <c r="I3308">
        <v>0</v>
      </c>
      <c r="J3308" t="s">
        <v>343</v>
      </c>
      <c r="L3308">
        <v>931500</v>
      </c>
      <c r="N3308">
        <v>931500</v>
      </c>
    </row>
    <row r="3309" spans="1:14" x14ac:dyDescent="0.35">
      <c r="A3309" t="str">
        <f t="shared" si="176"/>
        <v>VTE45732FAB250064770610010</v>
      </c>
      <c r="B3309" t="s">
        <v>131</v>
      </c>
      <c r="C3309" s="1">
        <v>45732</v>
      </c>
      <c r="D3309" t="s">
        <v>5629</v>
      </c>
      <c r="E3309" t="str">
        <f>"70610010"</f>
        <v>70610010</v>
      </c>
      <c r="F3309" t="s">
        <v>5508</v>
      </c>
      <c r="G3309" t="s">
        <v>5885</v>
      </c>
      <c r="H3309" t="s">
        <v>5975</v>
      </c>
      <c r="I3309">
        <v>0</v>
      </c>
      <c r="J3309" t="s">
        <v>343</v>
      </c>
      <c r="L3309">
        <v>7347902</v>
      </c>
      <c r="N3309">
        <v>7347902</v>
      </c>
    </row>
    <row r="3310" spans="1:14" x14ac:dyDescent="0.35">
      <c r="A3310" t="str">
        <f t="shared" si="176"/>
        <v>VTE45732FBK250020070610012</v>
      </c>
      <c r="B3310" t="s">
        <v>131</v>
      </c>
      <c r="C3310" s="1">
        <v>45732</v>
      </c>
      <c r="D3310" t="s">
        <v>5630</v>
      </c>
      <c r="E3310" t="str">
        <f>"70610012"</f>
        <v>70610012</v>
      </c>
      <c r="F3310" t="s">
        <v>5508</v>
      </c>
      <c r="G3310" t="s">
        <v>5885</v>
      </c>
      <c r="H3310" t="s">
        <v>5977</v>
      </c>
      <c r="I3310">
        <v>0</v>
      </c>
      <c r="J3310" t="s">
        <v>343</v>
      </c>
      <c r="L3310">
        <v>2412822</v>
      </c>
      <c r="N3310">
        <v>2412822</v>
      </c>
    </row>
    <row r="3311" spans="1:14" x14ac:dyDescent="0.35">
      <c r="A3311" t="str">
        <f t="shared" si="176"/>
        <v>VTE45732FBK250020170610012</v>
      </c>
      <c r="B3311" t="s">
        <v>131</v>
      </c>
      <c r="C3311" s="1">
        <v>45732</v>
      </c>
      <c r="D3311" t="s">
        <v>5631</v>
      </c>
      <c r="E3311" t="str">
        <f>"70610012"</f>
        <v>70610012</v>
      </c>
      <c r="F3311" t="s">
        <v>5508</v>
      </c>
      <c r="G3311" t="s">
        <v>5885</v>
      </c>
      <c r="H3311" t="s">
        <v>5977</v>
      </c>
      <c r="I3311">
        <v>0</v>
      </c>
      <c r="J3311" t="s">
        <v>343</v>
      </c>
      <c r="L3311">
        <v>6032055</v>
      </c>
      <c r="N3311">
        <v>6032055</v>
      </c>
    </row>
    <row r="3312" spans="1:14" x14ac:dyDescent="0.35">
      <c r="A3312" t="str">
        <f t="shared" si="176"/>
        <v>VTE45732FBK250020270610010</v>
      </c>
      <c r="B3312" t="s">
        <v>131</v>
      </c>
      <c r="C3312" s="1">
        <v>45732</v>
      </c>
      <c r="D3312" t="s">
        <v>5632</v>
      </c>
      <c r="E3312" t="str">
        <f t="shared" ref="E3312:E3319" si="177">"70610010"</f>
        <v>70610010</v>
      </c>
      <c r="F3312" t="s">
        <v>5508</v>
      </c>
      <c r="G3312" t="s">
        <v>5885</v>
      </c>
      <c r="H3312" t="s">
        <v>5975</v>
      </c>
      <c r="I3312">
        <v>0</v>
      </c>
      <c r="J3312" t="s">
        <v>343</v>
      </c>
      <c r="L3312">
        <v>7347902</v>
      </c>
      <c r="N3312">
        <v>7347902</v>
      </c>
    </row>
    <row r="3313" spans="1:14" x14ac:dyDescent="0.35">
      <c r="A3313" t="str">
        <f t="shared" si="176"/>
        <v>VTE45733FAB250064870610010</v>
      </c>
      <c r="B3313" t="s">
        <v>131</v>
      </c>
      <c r="C3313" s="1">
        <v>45733</v>
      </c>
      <c r="D3313" t="s">
        <v>5633</v>
      </c>
      <c r="E3313" t="str">
        <f t="shared" si="177"/>
        <v>70610010</v>
      </c>
      <c r="F3313" t="s">
        <v>5508</v>
      </c>
      <c r="G3313" t="s">
        <v>5885</v>
      </c>
      <c r="H3313" t="s">
        <v>5975</v>
      </c>
      <c r="I3313">
        <v>0</v>
      </c>
      <c r="J3313" t="s">
        <v>343</v>
      </c>
      <c r="L3313">
        <v>1863000</v>
      </c>
      <c r="N3313">
        <v>1863000</v>
      </c>
    </row>
    <row r="3314" spans="1:14" x14ac:dyDescent="0.35">
      <c r="A3314" t="str">
        <f t="shared" si="176"/>
        <v>VTE45733FAB250064970610010</v>
      </c>
      <c r="B3314" t="s">
        <v>131</v>
      </c>
      <c r="C3314" s="1">
        <v>45733</v>
      </c>
      <c r="D3314" t="s">
        <v>5634</v>
      </c>
      <c r="E3314" t="str">
        <f t="shared" si="177"/>
        <v>70610010</v>
      </c>
      <c r="F3314" t="s">
        <v>5508</v>
      </c>
      <c r="G3314" t="s">
        <v>5885</v>
      </c>
      <c r="H3314" t="s">
        <v>5975</v>
      </c>
      <c r="I3314">
        <v>0</v>
      </c>
      <c r="J3314" t="s">
        <v>343</v>
      </c>
      <c r="L3314">
        <v>745200</v>
      </c>
      <c r="N3314">
        <v>745200</v>
      </c>
    </row>
    <row r="3315" spans="1:14" x14ac:dyDescent="0.35">
      <c r="A3315" t="str">
        <f t="shared" si="176"/>
        <v>VTE45733FAB250065070610010</v>
      </c>
      <c r="B3315" t="s">
        <v>131</v>
      </c>
      <c r="C3315" s="1">
        <v>45733</v>
      </c>
      <c r="D3315" t="s">
        <v>5635</v>
      </c>
      <c r="E3315" t="str">
        <f t="shared" si="177"/>
        <v>70610010</v>
      </c>
      <c r="F3315" t="s">
        <v>5508</v>
      </c>
      <c r="G3315" t="s">
        <v>5885</v>
      </c>
      <c r="H3315" t="s">
        <v>5975</v>
      </c>
      <c r="I3315">
        <v>0</v>
      </c>
      <c r="J3315" t="s">
        <v>343</v>
      </c>
      <c r="L3315">
        <v>745200</v>
      </c>
      <c r="N3315">
        <v>745200</v>
      </c>
    </row>
    <row r="3316" spans="1:14" x14ac:dyDescent="0.35">
      <c r="A3316" t="str">
        <f t="shared" si="176"/>
        <v>VTE45733FAB250065170610010</v>
      </c>
      <c r="B3316" t="s">
        <v>131</v>
      </c>
      <c r="C3316" s="1">
        <v>45733</v>
      </c>
      <c r="D3316" t="s">
        <v>5636</v>
      </c>
      <c r="E3316" t="str">
        <f t="shared" si="177"/>
        <v>70610010</v>
      </c>
      <c r="F3316" t="s">
        <v>5508</v>
      </c>
      <c r="G3316" t="s">
        <v>5885</v>
      </c>
      <c r="H3316" t="s">
        <v>5975</v>
      </c>
      <c r="I3316">
        <v>0</v>
      </c>
      <c r="J3316" t="s">
        <v>343</v>
      </c>
      <c r="L3316">
        <v>4657500</v>
      </c>
      <c r="N3316">
        <v>4657500</v>
      </c>
    </row>
    <row r="3317" spans="1:14" x14ac:dyDescent="0.35">
      <c r="A3317" t="str">
        <f t="shared" si="176"/>
        <v>VTE45733FAB250065270610010</v>
      </c>
      <c r="B3317" t="s">
        <v>131</v>
      </c>
      <c r="C3317" s="1">
        <v>45733</v>
      </c>
      <c r="D3317" t="s">
        <v>5637</v>
      </c>
      <c r="E3317" t="str">
        <f t="shared" si="177"/>
        <v>70610010</v>
      </c>
      <c r="F3317" t="s">
        <v>5508</v>
      </c>
      <c r="G3317" t="s">
        <v>5885</v>
      </c>
      <c r="H3317" t="s">
        <v>5975</v>
      </c>
      <c r="I3317">
        <v>0</v>
      </c>
      <c r="J3317" t="s">
        <v>343</v>
      </c>
      <c r="L3317">
        <v>4657500</v>
      </c>
      <c r="N3317">
        <v>4657500</v>
      </c>
    </row>
    <row r="3318" spans="1:14" x14ac:dyDescent="0.35">
      <c r="A3318" t="str">
        <f t="shared" si="176"/>
        <v>VTE45733FAB250065370610010</v>
      </c>
      <c r="B3318" t="s">
        <v>131</v>
      </c>
      <c r="C3318" s="1">
        <v>45733</v>
      </c>
      <c r="D3318" t="s">
        <v>5638</v>
      </c>
      <c r="E3318" t="str">
        <f t="shared" si="177"/>
        <v>70610010</v>
      </c>
      <c r="F3318" t="s">
        <v>5508</v>
      </c>
      <c r="G3318" t="s">
        <v>5885</v>
      </c>
      <c r="H3318" t="s">
        <v>5975</v>
      </c>
      <c r="I3318">
        <v>0</v>
      </c>
      <c r="J3318" t="s">
        <v>343</v>
      </c>
      <c r="L3318">
        <v>258038</v>
      </c>
      <c r="N3318">
        <v>258038</v>
      </c>
    </row>
    <row r="3319" spans="1:14" x14ac:dyDescent="0.35">
      <c r="A3319" t="str">
        <f t="shared" si="176"/>
        <v>VTE45733FAB250065470610010</v>
      </c>
      <c r="B3319" t="s">
        <v>131</v>
      </c>
      <c r="C3319" s="1">
        <v>45733</v>
      </c>
      <c r="D3319" t="s">
        <v>5639</v>
      </c>
      <c r="E3319" t="str">
        <f t="shared" si="177"/>
        <v>70610010</v>
      </c>
      <c r="F3319" t="s">
        <v>5508</v>
      </c>
      <c r="G3319" t="s">
        <v>5885</v>
      </c>
      <c r="H3319" t="s">
        <v>5975</v>
      </c>
      <c r="I3319">
        <v>0</v>
      </c>
      <c r="J3319" t="s">
        <v>343</v>
      </c>
      <c r="L3319">
        <v>444800</v>
      </c>
      <c r="N3319">
        <v>444800</v>
      </c>
    </row>
    <row r="3320" spans="1:14" x14ac:dyDescent="0.35">
      <c r="A3320" t="str">
        <f t="shared" si="176"/>
        <v>VTE45733FAB250065547310100</v>
      </c>
      <c r="B3320" t="s">
        <v>131</v>
      </c>
      <c r="C3320" s="1">
        <v>45733</v>
      </c>
      <c r="D3320" t="s">
        <v>5640</v>
      </c>
      <c r="E3320" t="str">
        <f>"47310100"</f>
        <v>47310100</v>
      </c>
      <c r="F3320" t="s">
        <v>5518</v>
      </c>
      <c r="G3320" t="s">
        <v>5885</v>
      </c>
      <c r="H3320" t="s">
        <v>350</v>
      </c>
      <c r="I3320">
        <v>0</v>
      </c>
      <c r="J3320" t="s">
        <v>343</v>
      </c>
      <c r="L3320">
        <v>236000</v>
      </c>
      <c r="N3320">
        <v>236000</v>
      </c>
    </row>
    <row r="3321" spans="1:14" x14ac:dyDescent="0.35">
      <c r="A3321" t="str">
        <f t="shared" si="176"/>
        <v>VTE45733FAB250065570610010</v>
      </c>
      <c r="B3321" t="s">
        <v>131</v>
      </c>
      <c r="C3321" s="1">
        <v>45733</v>
      </c>
      <c r="D3321" t="s">
        <v>5640</v>
      </c>
      <c r="E3321" t="str">
        <f>"70610010"</f>
        <v>70610010</v>
      </c>
      <c r="F3321" t="s">
        <v>5518</v>
      </c>
      <c r="G3321" t="s">
        <v>5885</v>
      </c>
      <c r="H3321" t="s">
        <v>5972</v>
      </c>
      <c r="I3321">
        <v>0</v>
      </c>
      <c r="J3321" t="s">
        <v>343</v>
      </c>
      <c r="L3321">
        <v>600000</v>
      </c>
      <c r="N3321">
        <v>600000</v>
      </c>
    </row>
    <row r="3322" spans="1:14" x14ac:dyDescent="0.35">
      <c r="A3322" t="str">
        <f t="shared" si="176"/>
        <v>VTE45733FAB250065647310100</v>
      </c>
      <c r="B3322" t="s">
        <v>131</v>
      </c>
      <c r="C3322" s="1">
        <v>45733</v>
      </c>
      <c r="D3322" t="s">
        <v>5641</v>
      </c>
      <c r="E3322" t="str">
        <f>"47310100"</f>
        <v>47310100</v>
      </c>
      <c r="F3322" t="s">
        <v>5518</v>
      </c>
      <c r="G3322" t="s">
        <v>5885</v>
      </c>
      <c r="H3322" t="s">
        <v>350</v>
      </c>
      <c r="I3322">
        <v>0</v>
      </c>
      <c r="J3322" t="s">
        <v>343</v>
      </c>
      <c r="L3322">
        <v>59000</v>
      </c>
      <c r="N3322">
        <v>59000</v>
      </c>
    </row>
    <row r="3323" spans="1:14" x14ac:dyDescent="0.35">
      <c r="A3323" t="str">
        <f t="shared" si="176"/>
        <v>VTE45733FAB250065670610010</v>
      </c>
      <c r="B3323" t="s">
        <v>131</v>
      </c>
      <c r="C3323" s="1">
        <v>45733</v>
      </c>
      <c r="D3323" t="s">
        <v>5641</v>
      </c>
      <c r="E3323" t="str">
        <f>"70610010"</f>
        <v>70610010</v>
      </c>
      <c r="F3323" t="s">
        <v>5518</v>
      </c>
      <c r="G3323" t="s">
        <v>5885</v>
      </c>
      <c r="H3323" t="s">
        <v>5972</v>
      </c>
      <c r="I3323">
        <v>0</v>
      </c>
      <c r="J3323" t="s">
        <v>343</v>
      </c>
      <c r="L3323">
        <v>150000</v>
      </c>
      <c r="N3323">
        <v>150000</v>
      </c>
    </row>
    <row r="3324" spans="1:14" x14ac:dyDescent="0.35">
      <c r="A3324" t="str">
        <f t="shared" si="176"/>
        <v>VTE45733FAB250065747310100</v>
      </c>
      <c r="B3324" t="s">
        <v>131</v>
      </c>
      <c r="C3324" s="1">
        <v>45733</v>
      </c>
      <c r="D3324" t="s">
        <v>5642</v>
      </c>
      <c r="E3324" t="str">
        <f>"47310100"</f>
        <v>47310100</v>
      </c>
      <c r="F3324" t="s">
        <v>5518</v>
      </c>
      <c r="G3324" t="s">
        <v>5885</v>
      </c>
      <c r="H3324" t="s">
        <v>350</v>
      </c>
      <c r="I3324">
        <v>0</v>
      </c>
      <c r="J3324" t="s">
        <v>343</v>
      </c>
      <c r="L3324">
        <v>59000</v>
      </c>
      <c r="N3324">
        <v>59000</v>
      </c>
    </row>
    <row r="3325" spans="1:14" x14ac:dyDescent="0.35">
      <c r="A3325" t="str">
        <f t="shared" si="176"/>
        <v>VTE45733FAB250065770610010</v>
      </c>
      <c r="B3325" t="s">
        <v>131</v>
      </c>
      <c r="C3325" s="1">
        <v>45733</v>
      </c>
      <c r="D3325" t="s">
        <v>5642</v>
      </c>
      <c r="E3325" t="str">
        <f>"70610010"</f>
        <v>70610010</v>
      </c>
      <c r="F3325" t="s">
        <v>5518</v>
      </c>
      <c r="G3325" t="s">
        <v>5885</v>
      </c>
      <c r="H3325" t="s">
        <v>5972</v>
      </c>
      <c r="I3325">
        <v>0</v>
      </c>
      <c r="J3325" t="s">
        <v>343</v>
      </c>
      <c r="L3325">
        <v>150000</v>
      </c>
      <c r="N3325">
        <v>150000</v>
      </c>
    </row>
    <row r="3326" spans="1:14" x14ac:dyDescent="0.35">
      <c r="A3326" t="str">
        <f t="shared" si="176"/>
        <v>VTE45733FAB250065847310100</v>
      </c>
      <c r="B3326" t="s">
        <v>131</v>
      </c>
      <c r="C3326" s="1">
        <v>45733</v>
      </c>
      <c r="D3326" t="s">
        <v>5643</v>
      </c>
      <c r="E3326" t="str">
        <f>"47310100"</f>
        <v>47310100</v>
      </c>
      <c r="F3326" t="s">
        <v>5518</v>
      </c>
      <c r="G3326" t="s">
        <v>5885</v>
      </c>
      <c r="H3326" t="s">
        <v>350</v>
      </c>
      <c r="I3326">
        <v>0</v>
      </c>
      <c r="J3326" t="s">
        <v>343</v>
      </c>
      <c r="L3326">
        <v>29500</v>
      </c>
      <c r="N3326">
        <v>29500</v>
      </c>
    </row>
    <row r="3327" spans="1:14" x14ac:dyDescent="0.35">
      <c r="A3327" t="str">
        <f t="shared" si="176"/>
        <v>VTE45733FAB250065870610010</v>
      </c>
      <c r="B3327" t="s">
        <v>131</v>
      </c>
      <c r="C3327" s="1">
        <v>45733</v>
      </c>
      <c r="D3327" t="s">
        <v>5643</v>
      </c>
      <c r="E3327" t="str">
        <f>"70610010"</f>
        <v>70610010</v>
      </c>
      <c r="F3327" t="s">
        <v>5518</v>
      </c>
      <c r="G3327" t="s">
        <v>5885</v>
      </c>
      <c r="H3327" t="s">
        <v>5972</v>
      </c>
      <c r="I3327">
        <v>0</v>
      </c>
      <c r="J3327" t="s">
        <v>343</v>
      </c>
      <c r="L3327">
        <v>150000</v>
      </c>
      <c r="N3327">
        <v>150000</v>
      </c>
    </row>
    <row r="3328" spans="1:14" x14ac:dyDescent="0.35">
      <c r="A3328" t="str">
        <f t="shared" si="176"/>
        <v>VTE45733FAB250065947310100</v>
      </c>
      <c r="B3328" t="s">
        <v>131</v>
      </c>
      <c r="C3328" s="1">
        <v>45733</v>
      </c>
      <c r="D3328" t="s">
        <v>5644</v>
      </c>
      <c r="E3328" t="str">
        <f>"47310100"</f>
        <v>47310100</v>
      </c>
      <c r="F3328" t="s">
        <v>5518</v>
      </c>
      <c r="G3328" t="s">
        <v>5885</v>
      </c>
      <c r="H3328" t="s">
        <v>350</v>
      </c>
      <c r="I3328">
        <v>0</v>
      </c>
      <c r="J3328" t="s">
        <v>343</v>
      </c>
      <c r="L3328">
        <v>59000</v>
      </c>
      <c r="N3328">
        <v>59000</v>
      </c>
    </row>
    <row r="3329" spans="1:14" x14ac:dyDescent="0.35">
      <c r="A3329" t="str">
        <f t="shared" si="176"/>
        <v>VTE45733FAB250065970610010</v>
      </c>
      <c r="B3329" t="s">
        <v>131</v>
      </c>
      <c r="C3329" s="1">
        <v>45733</v>
      </c>
      <c r="D3329" t="s">
        <v>5644</v>
      </c>
      <c r="E3329" t="str">
        <f>"70610010"</f>
        <v>70610010</v>
      </c>
      <c r="F3329" t="s">
        <v>5518</v>
      </c>
      <c r="G3329" t="s">
        <v>5885</v>
      </c>
      <c r="H3329" t="s">
        <v>5972</v>
      </c>
      <c r="I3329">
        <v>0</v>
      </c>
      <c r="J3329" t="s">
        <v>343</v>
      </c>
      <c r="L3329">
        <v>150000</v>
      </c>
      <c r="N3329">
        <v>150000</v>
      </c>
    </row>
    <row r="3330" spans="1:14" x14ac:dyDescent="0.35">
      <c r="A3330" t="str">
        <f t="shared" si="176"/>
        <v>VTE45733FAB250066047310100</v>
      </c>
      <c r="B3330" t="s">
        <v>131</v>
      </c>
      <c r="C3330" s="1">
        <v>45733</v>
      </c>
      <c r="D3330" t="s">
        <v>5645</v>
      </c>
      <c r="E3330" t="str">
        <f>"47310100"</f>
        <v>47310100</v>
      </c>
      <c r="F3330" t="s">
        <v>5518</v>
      </c>
      <c r="G3330" t="s">
        <v>5885</v>
      </c>
      <c r="H3330" t="s">
        <v>350</v>
      </c>
      <c r="I3330">
        <v>0</v>
      </c>
      <c r="J3330" t="s">
        <v>343</v>
      </c>
      <c r="L3330">
        <v>29500</v>
      </c>
      <c r="N3330">
        <v>29500</v>
      </c>
    </row>
    <row r="3331" spans="1:14" x14ac:dyDescent="0.35">
      <c r="A3331" t="str">
        <f t="shared" ref="A3331:A3394" si="178">CONCATENATE(B3331,C3331,D3331,E3331)</f>
        <v>VTE45733FAB250066070610010</v>
      </c>
      <c r="B3331" t="s">
        <v>131</v>
      </c>
      <c r="C3331" s="1">
        <v>45733</v>
      </c>
      <c r="D3331" t="s">
        <v>5645</v>
      </c>
      <c r="E3331" t="str">
        <f>"70610010"</f>
        <v>70610010</v>
      </c>
      <c r="F3331" t="s">
        <v>5518</v>
      </c>
      <c r="G3331" t="s">
        <v>5885</v>
      </c>
      <c r="H3331" t="s">
        <v>5972</v>
      </c>
      <c r="I3331">
        <v>0</v>
      </c>
      <c r="J3331" t="s">
        <v>343</v>
      </c>
      <c r="L3331">
        <v>150000</v>
      </c>
      <c r="N3331">
        <v>150000</v>
      </c>
    </row>
    <row r="3332" spans="1:14" x14ac:dyDescent="0.35">
      <c r="A3332" t="str">
        <f t="shared" si="178"/>
        <v>VTE45733FAB250066147310100</v>
      </c>
      <c r="B3332" t="s">
        <v>131</v>
      </c>
      <c r="C3332" s="1">
        <v>45733</v>
      </c>
      <c r="D3332" t="s">
        <v>5646</v>
      </c>
      <c r="E3332" t="str">
        <f>"47310100"</f>
        <v>47310100</v>
      </c>
      <c r="F3332" t="s">
        <v>5518</v>
      </c>
      <c r="G3332" t="s">
        <v>5885</v>
      </c>
      <c r="H3332" t="s">
        <v>350</v>
      </c>
      <c r="I3332">
        <v>0</v>
      </c>
      <c r="J3332" t="s">
        <v>343</v>
      </c>
      <c r="L3332">
        <v>29500</v>
      </c>
      <c r="N3332">
        <v>29500</v>
      </c>
    </row>
    <row r="3333" spans="1:14" x14ac:dyDescent="0.35">
      <c r="A3333" t="str">
        <f t="shared" si="178"/>
        <v>VTE45733FAB250066170610010</v>
      </c>
      <c r="B3333" t="s">
        <v>131</v>
      </c>
      <c r="C3333" s="1">
        <v>45733</v>
      </c>
      <c r="D3333" t="s">
        <v>5646</v>
      </c>
      <c r="E3333" t="str">
        <f>"70610010"</f>
        <v>70610010</v>
      </c>
      <c r="F3333" t="s">
        <v>5518</v>
      </c>
      <c r="G3333" t="s">
        <v>5885</v>
      </c>
      <c r="H3333" t="s">
        <v>5972</v>
      </c>
      <c r="I3333">
        <v>0</v>
      </c>
      <c r="J3333" t="s">
        <v>343</v>
      </c>
      <c r="L3333">
        <v>150000</v>
      </c>
      <c r="N3333">
        <v>150000</v>
      </c>
    </row>
    <row r="3334" spans="1:14" x14ac:dyDescent="0.35">
      <c r="A3334" t="str">
        <f t="shared" si="178"/>
        <v>VTE45733FAB250066247310100</v>
      </c>
      <c r="B3334" t="s">
        <v>131</v>
      </c>
      <c r="C3334" s="1">
        <v>45733</v>
      </c>
      <c r="D3334" t="s">
        <v>5647</v>
      </c>
      <c r="E3334" t="str">
        <f>"47310100"</f>
        <v>47310100</v>
      </c>
      <c r="F3334" t="s">
        <v>5518</v>
      </c>
      <c r="G3334" t="s">
        <v>5885</v>
      </c>
      <c r="H3334" t="s">
        <v>350</v>
      </c>
      <c r="I3334">
        <v>0</v>
      </c>
      <c r="J3334" t="s">
        <v>343</v>
      </c>
      <c r="L3334">
        <v>29500</v>
      </c>
      <c r="N3334">
        <v>29500</v>
      </c>
    </row>
    <row r="3335" spans="1:14" x14ac:dyDescent="0.35">
      <c r="A3335" t="str">
        <f t="shared" si="178"/>
        <v>VTE45733FAB250066270610010</v>
      </c>
      <c r="B3335" t="s">
        <v>131</v>
      </c>
      <c r="C3335" s="1">
        <v>45733</v>
      </c>
      <c r="D3335" t="s">
        <v>5647</v>
      </c>
      <c r="E3335" t="str">
        <f>"70610010"</f>
        <v>70610010</v>
      </c>
      <c r="F3335" t="s">
        <v>5518</v>
      </c>
      <c r="G3335" t="s">
        <v>5885</v>
      </c>
      <c r="H3335" t="s">
        <v>5972</v>
      </c>
      <c r="I3335">
        <v>0</v>
      </c>
      <c r="J3335" t="s">
        <v>343</v>
      </c>
      <c r="L3335">
        <v>150000</v>
      </c>
      <c r="N3335">
        <v>150000</v>
      </c>
    </row>
    <row r="3336" spans="1:14" x14ac:dyDescent="0.35">
      <c r="A3336" t="str">
        <f t="shared" si="178"/>
        <v>VTE45733FAB250066347310100</v>
      </c>
      <c r="B3336" t="s">
        <v>131</v>
      </c>
      <c r="C3336" s="1">
        <v>45733</v>
      </c>
      <c r="D3336" t="s">
        <v>5648</v>
      </c>
      <c r="E3336" t="str">
        <f>"47310100"</f>
        <v>47310100</v>
      </c>
      <c r="F3336" t="s">
        <v>5518</v>
      </c>
      <c r="G3336" t="s">
        <v>5885</v>
      </c>
      <c r="H3336" t="s">
        <v>350</v>
      </c>
      <c r="I3336">
        <v>0</v>
      </c>
      <c r="J3336" t="s">
        <v>343</v>
      </c>
      <c r="L3336">
        <v>59000</v>
      </c>
      <c r="N3336">
        <v>59000</v>
      </c>
    </row>
    <row r="3337" spans="1:14" x14ac:dyDescent="0.35">
      <c r="A3337" t="str">
        <f t="shared" si="178"/>
        <v>VTE45733FAB250066370610010</v>
      </c>
      <c r="B3337" t="s">
        <v>131</v>
      </c>
      <c r="C3337" s="1">
        <v>45733</v>
      </c>
      <c r="D3337" t="s">
        <v>5648</v>
      </c>
      <c r="E3337" t="str">
        <f>"70610010"</f>
        <v>70610010</v>
      </c>
      <c r="F3337" t="s">
        <v>5518</v>
      </c>
      <c r="G3337" t="s">
        <v>5885</v>
      </c>
      <c r="H3337" t="s">
        <v>5972</v>
      </c>
      <c r="I3337">
        <v>0</v>
      </c>
      <c r="J3337" t="s">
        <v>343</v>
      </c>
      <c r="L3337">
        <v>150000</v>
      </c>
      <c r="N3337">
        <v>150000</v>
      </c>
    </row>
    <row r="3338" spans="1:14" x14ac:dyDescent="0.35">
      <c r="A3338" t="str">
        <f t="shared" si="178"/>
        <v>VTE45733FAB250066447310100</v>
      </c>
      <c r="B3338" t="s">
        <v>131</v>
      </c>
      <c r="C3338" s="1">
        <v>45733</v>
      </c>
      <c r="D3338" t="s">
        <v>5649</v>
      </c>
      <c r="E3338" t="str">
        <f>"47310100"</f>
        <v>47310100</v>
      </c>
      <c r="F3338" t="s">
        <v>5518</v>
      </c>
      <c r="G3338" t="s">
        <v>5885</v>
      </c>
      <c r="H3338" t="s">
        <v>350</v>
      </c>
      <c r="I3338">
        <v>0</v>
      </c>
      <c r="J3338" t="s">
        <v>343</v>
      </c>
      <c r="L3338">
        <v>29500</v>
      </c>
      <c r="N3338">
        <v>29500</v>
      </c>
    </row>
    <row r="3339" spans="1:14" x14ac:dyDescent="0.35">
      <c r="A3339" t="str">
        <f t="shared" si="178"/>
        <v>VTE45733FAB250066470610010</v>
      </c>
      <c r="B3339" t="s">
        <v>131</v>
      </c>
      <c r="C3339" s="1">
        <v>45733</v>
      </c>
      <c r="D3339" t="s">
        <v>5649</v>
      </c>
      <c r="E3339" t="str">
        <f>"70610010"</f>
        <v>70610010</v>
      </c>
      <c r="F3339" t="s">
        <v>5518</v>
      </c>
      <c r="G3339" t="s">
        <v>5885</v>
      </c>
      <c r="H3339" t="s">
        <v>5972</v>
      </c>
      <c r="I3339">
        <v>0</v>
      </c>
      <c r="J3339" t="s">
        <v>343</v>
      </c>
      <c r="L3339">
        <v>150000</v>
      </c>
      <c r="N3339">
        <v>150000</v>
      </c>
    </row>
    <row r="3340" spans="1:14" x14ac:dyDescent="0.35">
      <c r="A3340" t="str">
        <f t="shared" si="178"/>
        <v>VTE45733FAB250066547310100</v>
      </c>
      <c r="B3340" t="s">
        <v>131</v>
      </c>
      <c r="C3340" s="1">
        <v>45733</v>
      </c>
      <c r="D3340" t="s">
        <v>5650</v>
      </c>
      <c r="E3340" t="str">
        <f>"47310100"</f>
        <v>47310100</v>
      </c>
      <c r="F3340" t="s">
        <v>5518</v>
      </c>
      <c r="G3340" t="s">
        <v>5885</v>
      </c>
      <c r="H3340" t="s">
        <v>350</v>
      </c>
      <c r="I3340">
        <v>0</v>
      </c>
      <c r="J3340" t="s">
        <v>343</v>
      </c>
      <c r="L3340">
        <v>29500</v>
      </c>
      <c r="N3340">
        <v>29500</v>
      </c>
    </row>
    <row r="3341" spans="1:14" x14ac:dyDescent="0.35">
      <c r="A3341" t="str">
        <f t="shared" si="178"/>
        <v>VTE45733FAB250066570610010</v>
      </c>
      <c r="B3341" t="s">
        <v>131</v>
      </c>
      <c r="C3341" s="1">
        <v>45733</v>
      </c>
      <c r="D3341" t="s">
        <v>5650</v>
      </c>
      <c r="E3341" t="str">
        <f>"70610010"</f>
        <v>70610010</v>
      </c>
      <c r="F3341" t="s">
        <v>5518</v>
      </c>
      <c r="G3341" t="s">
        <v>5885</v>
      </c>
      <c r="H3341" t="s">
        <v>5972</v>
      </c>
      <c r="I3341">
        <v>0</v>
      </c>
      <c r="J3341" t="s">
        <v>343</v>
      </c>
      <c r="L3341">
        <v>150000</v>
      </c>
      <c r="N3341">
        <v>150000</v>
      </c>
    </row>
    <row r="3342" spans="1:14" x14ac:dyDescent="0.35">
      <c r="A3342" t="str">
        <f t="shared" si="178"/>
        <v>VTE45733FAB250066647310100</v>
      </c>
      <c r="B3342" t="s">
        <v>131</v>
      </c>
      <c r="C3342" s="1">
        <v>45733</v>
      </c>
      <c r="D3342" t="s">
        <v>5651</v>
      </c>
      <c r="E3342" t="str">
        <f>"47310100"</f>
        <v>47310100</v>
      </c>
      <c r="F3342" t="s">
        <v>5518</v>
      </c>
      <c r="G3342" t="s">
        <v>5885</v>
      </c>
      <c r="H3342" t="s">
        <v>350</v>
      </c>
      <c r="I3342">
        <v>0</v>
      </c>
      <c r="J3342" t="s">
        <v>343</v>
      </c>
      <c r="L3342">
        <v>29500</v>
      </c>
      <c r="N3342">
        <v>29500</v>
      </c>
    </row>
    <row r="3343" spans="1:14" x14ac:dyDescent="0.35">
      <c r="A3343" t="str">
        <f t="shared" si="178"/>
        <v>VTE45733FAB250066670610010</v>
      </c>
      <c r="B3343" t="s">
        <v>131</v>
      </c>
      <c r="C3343" s="1">
        <v>45733</v>
      </c>
      <c r="D3343" t="s">
        <v>5651</v>
      </c>
      <c r="E3343" t="str">
        <f>"70610010"</f>
        <v>70610010</v>
      </c>
      <c r="F3343" t="s">
        <v>5518</v>
      </c>
      <c r="G3343" t="s">
        <v>5885</v>
      </c>
      <c r="H3343" t="s">
        <v>5972</v>
      </c>
      <c r="I3343">
        <v>0</v>
      </c>
      <c r="J3343" t="s">
        <v>343</v>
      </c>
      <c r="L3343">
        <v>150000</v>
      </c>
      <c r="N3343">
        <v>150000</v>
      </c>
    </row>
    <row r="3344" spans="1:14" x14ac:dyDescent="0.35">
      <c r="A3344" t="str">
        <f t="shared" si="178"/>
        <v>VTE45733FAB250066747310100</v>
      </c>
      <c r="B3344" t="s">
        <v>131</v>
      </c>
      <c r="C3344" s="1">
        <v>45733</v>
      </c>
      <c r="D3344" t="s">
        <v>5652</v>
      </c>
      <c r="E3344" t="str">
        <f>"47310100"</f>
        <v>47310100</v>
      </c>
      <c r="F3344" t="s">
        <v>5518</v>
      </c>
      <c r="G3344" t="s">
        <v>5885</v>
      </c>
      <c r="H3344" t="s">
        <v>350</v>
      </c>
      <c r="I3344">
        <v>0</v>
      </c>
      <c r="J3344" t="s">
        <v>343</v>
      </c>
      <c r="L3344">
        <v>29500</v>
      </c>
      <c r="N3344">
        <v>29500</v>
      </c>
    </row>
    <row r="3345" spans="1:14" x14ac:dyDescent="0.35">
      <c r="A3345" t="str">
        <f t="shared" si="178"/>
        <v>VTE45733FAB250066770610010</v>
      </c>
      <c r="B3345" t="s">
        <v>131</v>
      </c>
      <c r="C3345" s="1">
        <v>45733</v>
      </c>
      <c r="D3345" t="s">
        <v>5652</v>
      </c>
      <c r="E3345" t="str">
        <f>"70610010"</f>
        <v>70610010</v>
      </c>
      <c r="F3345" t="s">
        <v>5518</v>
      </c>
      <c r="G3345" t="s">
        <v>5885</v>
      </c>
      <c r="H3345" t="s">
        <v>5972</v>
      </c>
      <c r="I3345">
        <v>0</v>
      </c>
      <c r="J3345" t="s">
        <v>343</v>
      </c>
      <c r="L3345">
        <v>150000</v>
      </c>
      <c r="N3345">
        <v>150000</v>
      </c>
    </row>
    <row r="3346" spans="1:14" x14ac:dyDescent="0.35">
      <c r="A3346" t="str">
        <f t="shared" si="178"/>
        <v>VTE45733FAB250066847310100</v>
      </c>
      <c r="B3346" t="s">
        <v>131</v>
      </c>
      <c r="C3346" s="1">
        <v>45733</v>
      </c>
      <c r="D3346" t="s">
        <v>5653</v>
      </c>
      <c r="E3346" t="str">
        <f>"47310100"</f>
        <v>47310100</v>
      </c>
      <c r="F3346" t="s">
        <v>5518</v>
      </c>
      <c r="G3346" t="s">
        <v>5885</v>
      </c>
      <c r="H3346" t="s">
        <v>350</v>
      </c>
      <c r="I3346">
        <v>0</v>
      </c>
      <c r="J3346" t="s">
        <v>343</v>
      </c>
      <c r="L3346">
        <v>29500</v>
      </c>
      <c r="N3346">
        <v>29500</v>
      </c>
    </row>
    <row r="3347" spans="1:14" x14ac:dyDescent="0.35">
      <c r="A3347" t="str">
        <f t="shared" si="178"/>
        <v>VTE45733FAB250066870610010</v>
      </c>
      <c r="B3347" t="s">
        <v>131</v>
      </c>
      <c r="C3347" s="1">
        <v>45733</v>
      </c>
      <c r="D3347" t="s">
        <v>5653</v>
      </c>
      <c r="E3347" t="str">
        <f>"70610010"</f>
        <v>70610010</v>
      </c>
      <c r="F3347" t="s">
        <v>5518</v>
      </c>
      <c r="G3347" t="s">
        <v>5885</v>
      </c>
      <c r="H3347" t="s">
        <v>5972</v>
      </c>
      <c r="I3347">
        <v>0</v>
      </c>
      <c r="J3347" t="s">
        <v>343</v>
      </c>
      <c r="L3347">
        <v>150000</v>
      </c>
      <c r="N3347">
        <v>150000</v>
      </c>
    </row>
    <row r="3348" spans="1:14" x14ac:dyDescent="0.35">
      <c r="A3348" t="str">
        <f t="shared" si="178"/>
        <v>VTE45733FAB250066947310100</v>
      </c>
      <c r="B3348" t="s">
        <v>131</v>
      </c>
      <c r="C3348" s="1">
        <v>45733</v>
      </c>
      <c r="D3348" t="s">
        <v>5654</v>
      </c>
      <c r="E3348" t="str">
        <f>"47310100"</f>
        <v>47310100</v>
      </c>
      <c r="F3348" t="s">
        <v>5518</v>
      </c>
      <c r="G3348" t="s">
        <v>5885</v>
      </c>
      <c r="H3348" t="s">
        <v>350</v>
      </c>
      <c r="I3348">
        <v>0</v>
      </c>
      <c r="J3348" t="s">
        <v>343</v>
      </c>
      <c r="L3348">
        <v>29500</v>
      </c>
      <c r="N3348">
        <v>29500</v>
      </c>
    </row>
    <row r="3349" spans="1:14" x14ac:dyDescent="0.35">
      <c r="A3349" t="str">
        <f t="shared" si="178"/>
        <v>VTE45733FAB250066970610010</v>
      </c>
      <c r="B3349" t="s">
        <v>131</v>
      </c>
      <c r="C3349" s="1">
        <v>45733</v>
      </c>
      <c r="D3349" t="s">
        <v>5654</v>
      </c>
      <c r="E3349" t="str">
        <f>"70610010"</f>
        <v>70610010</v>
      </c>
      <c r="F3349" t="s">
        <v>5518</v>
      </c>
      <c r="G3349" t="s">
        <v>5885</v>
      </c>
      <c r="H3349" t="s">
        <v>5972</v>
      </c>
      <c r="I3349">
        <v>0</v>
      </c>
      <c r="J3349" t="s">
        <v>343</v>
      </c>
      <c r="L3349">
        <v>150000</v>
      </c>
      <c r="N3349">
        <v>150000</v>
      </c>
    </row>
    <row r="3350" spans="1:14" x14ac:dyDescent="0.35">
      <c r="A3350" t="str">
        <f t="shared" si="178"/>
        <v>VTE45733FAB250067047310100</v>
      </c>
      <c r="B3350" t="s">
        <v>131</v>
      </c>
      <c r="C3350" s="1">
        <v>45733</v>
      </c>
      <c r="D3350" t="s">
        <v>5655</v>
      </c>
      <c r="E3350" t="str">
        <f>"47310100"</f>
        <v>47310100</v>
      </c>
      <c r="F3350" t="s">
        <v>5518</v>
      </c>
      <c r="G3350" t="s">
        <v>5885</v>
      </c>
      <c r="H3350" t="s">
        <v>350</v>
      </c>
      <c r="I3350">
        <v>0</v>
      </c>
      <c r="J3350" t="s">
        <v>343</v>
      </c>
      <c r="L3350">
        <v>29500</v>
      </c>
      <c r="N3350">
        <v>29500</v>
      </c>
    </row>
    <row r="3351" spans="1:14" x14ac:dyDescent="0.35">
      <c r="A3351" t="str">
        <f t="shared" si="178"/>
        <v>VTE45733FAB250067070610010</v>
      </c>
      <c r="B3351" t="s">
        <v>131</v>
      </c>
      <c r="C3351" s="1">
        <v>45733</v>
      </c>
      <c r="D3351" t="s">
        <v>5655</v>
      </c>
      <c r="E3351" t="str">
        <f>"70610010"</f>
        <v>70610010</v>
      </c>
      <c r="F3351" t="s">
        <v>5518</v>
      </c>
      <c r="G3351" t="s">
        <v>5885</v>
      </c>
      <c r="H3351" t="s">
        <v>5972</v>
      </c>
      <c r="I3351">
        <v>0</v>
      </c>
      <c r="J3351" t="s">
        <v>343</v>
      </c>
      <c r="L3351">
        <v>150000</v>
      </c>
      <c r="N3351">
        <v>150000</v>
      </c>
    </row>
    <row r="3352" spans="1:14" x14ac:dyDescent="0.35">
      <c r="A3352" t="str">
        <f t="shared" si="178"/>
        <v>VTE45733FAB250067147310100</v>
      </c>
      <c r="B3352" t="s">
        <v>131</v>
      </c>
      <c r="C3352" s="1">
        <v>45733</v>
      </c>
      <c r="D3352" t="s">
        <v>5656</v>
      </c>
      <c r="E3352" t="str">
        <f>"47310100"</f>
        <v>47310100</v>
      </c>
      <c r="F3352" t="s">
        <v>5518</v>
      </c>
      <c r="G3352" t="s">
        <v>5885</v>
      </c>
      <c r="H3352" t="s">
        <v>350</v>
      </c>
      <c r="I3352">
        <v>0</v>
      </c>
      <c r="J3352" t="s">
        <v>343</v>
      </c>
      <c r="L3352">
        <v>59000</v>
      </c>
      <c r="N3352">
        <v>59000</v>
      </c>
    </row>
    <row r="3353" spans="1:14" x14ac:dyDescent="0.35">
      <c r="A3353" t="str">
        <f t="shared" si="178"/>
        <v>VTE45733FAB250067170610010</v>
      </c>
      <c r="B3353" t="s">
        <v>131</v>
      </c>
      <c r="C3353" s="1">
        <v>45733</v>
      </c>
      <c r="D3353" t="s">
        <v>5656</v>
      </c>
      <c r="E3353" t="str">
        <f>"70610010"</f>
        <v>70610010</v>
      </c>
      <c r="F3353" t="s">
        <v>5518</v>
      </c>
      <c r="G3353" t="s">
        <v>5885</v>
      </c>
      <c r="H3353" t="s">
        <v>5972</v>
      </c>
      <c r="I3353">
        <v>0</v>
      </c>
      <c r="J3353" t="s">
        <v>343</v>
      </c>
      <c r="L3353">
        <v>150000</v>
      </c>
      <c r="N3353">
        <v>150000</v>
      </c>
    </row>
    <row r="3354" spans="1:14" x14ac:dyDescent="0.35">
      <c r="A3354" t="str">
        <f t="shared" si="178"/>
        <v>VTE45733FAB250067247310100</v>
      </c>
      <c r="B3354" t="s">
        <v>131</v>
      </c>
      <c r="C3354" s="1">
        <v>45733</v>
      </c>
      <c r="D3354" t="s">
        <v>5657</v>
      </c>
      <c r="E3354" t="str">
        <f>"47310100"</f>
        <v>47310100</v>
      </c>
      <c r="F3354" t="s">
        <v>5518</v>
      </c>
      <c r="G3354" t="s">
        <v>5885</v>
      </c>
      <c r="H3354" t="s">
        <v>350</v>
      </c>
      <c r="I3354">
        <v>0</v>
      </c>
      <c r="J3354" t="s">
        <v>343</v>
      </c>
      <c r="L3354">
        <v>59000</v>
      </c>
      <c r="N3354">
        <v>59000</v>
      </c>
    </row>
    <row r="3355" spans="1:14" x14ac:dyDescent="0.35">
      <c r="A3355" t="str">
        <f t="shared" si="178"/>
        <v>VTE45733FAB250067270610010</v>
      </c>
      <c r="B3355" t="s">
        <v>131</v>
      </c>
      <c r="C3355" s="1">
        <v>45733</v>
      </c>
      <c r="D3355" t="s">
        <v>5657</v>
      </c>
      <c r="E3355" t="str">
        <f>"70610010"</f>
        <v>70610010</v>
      </c>
      <c r="F3355" t="s">
        <v>5518</v>
      </c>
      <c r="G3355" t="s">
        <v>5885</v>
      </c>
      <c r="H3355" t="s">
        <v>5972</v>
      </c>
      <c r="I3355">
        <v>0</v>
      </c>
      <c r="J3355" t="s">
        <v>343</v>
      </c>
      <c r="L3355">
        <v>150000</v>
      </c>
      <c r="N3355">
        <v>150000</v>
      </c>
    </row>
    <row r="3356" spans="1:14" x14ac:dyDescent="0.35">
      <c r="A3356" t="str">
        <f t="shared" si="178"/>
        <v>VTE45733FAB250067347310100</v>
      </c>
      <c r="B3356" t="s">
        <v>131</v>
      </c>
      <c r="C3356" s="1">
        <v>45733</v>
      </c>
      <c r="D3356" t="s">
        <v>5658</v>
      </c>
      <c r="E3356" t="str">
        <f>"47310100"</f>
        <v>47310100</v>
      </c>
      <c r="F3356" t="s">
        <v>5518</v>
      </c>
      <c r="G3356" t="s">
        <v>5885</v>
      </c>
      <c r="H3356" t="s">
        <v>350</v>
      </c>
      <c r="I3356">
        <v>0</v>
      </c>
      <c r="J3356" t="s">
        <v>343</v>
      </c>
      <c r="L3356">
        <v>59000</v>
      </c>
      <c r="N3356">
        <v>59000</v>
      </c>
    </row>
    <row r="3357" spans="1:14" x14ac:dyDescent="0.35">
      <c r="A3357" t="str">
        <f t="shared" si="178"/>
        <v>VTE45733FAB250067370610010</v>
      </c>
      <c r="B3357" t="s">
        <v>131</v>
      </c>
      <c r="C3357" s="1">
        <v>45733</v>
      </c>
      <c r="D3357" t="s">
        <v>5658</v>
      </c>
      <c r="E3357" t="str">
        <f>"70610010"</f>
        <v>70610010</v>
      </c>
      <c r="F3357" t="s">
        <v>5518</v>
      </c>
      <c r="G3357" t="s">
        <v>5885</v>
      </c>
      <c r="H3357" t="s">
        <v>5972</v>
      </c>
      <c r="I3357">
        <v>0</v>
      </c>
      <c r="J3357" t="s">
        <v>343</v>
      </c>
      <c r="L3357">
        <v>150000</v>
      </c>
      <c r="N3357">
        <v>150000</v>
      </c>
    </row>
    <row r="3358" spans="1:14" x14ac:dyDescent="0.35">
      <c r="A3358" t="str">
        <f t="shared" si="178"/>
        <v>VTE45733FAB250067447310100</v>
      </c>
      <c r="B3358" t="s">
        <v>131</v>
      </c>
      <c r="C3358" s="1">
        <v>45733</v>
      </c>
      <c r="D3358" t="s">
        <v>5659</v>
      </c>
      <c r="E3358" t="str">
        <f>"47310100"</f>
        <v>47310100</v>
      </c>
      <c r="F3358" t="s">
        <v>5518</v>
      </c>
      <c r="G3358" t="s">
        <v>5885</v>
      </c>
      <c r="H3358" t="s">
        <v>350</v>
      </c>
      <c r="I3358">
        <v>0</v>
      </c>
      <c r="J3358" t="s">
        <v>343</v>
      </c>
      <c r="L3358">
        <v>59000</v>
      </c>
      <c r="N3358">
        <v>59000</v>
      </c>
    </row>
    <row r="3359" spans="1:14" x14ac:dyDescent="0.35">
      <c r="A3359" t="str">
        <f t="shared" si="178"/>
        <v>VTE45733FAB250067470610010</v>
      </c>
      <c r="B3359" t="s">
        <v>131</v>
      </c>
      <c r="C3359" s="1">
        <v>45733</v>
      </c>
      <c r="D3359" t="s">
        <v>5659</v>
      </c>
      <c r="E3359" t="str">
        <f>"70610010"</f>
        <v>70610010</v>
      </c>
      <c r="F3359" t="s">
        <v>5518</v>
      </c>
      <c r="G3359" t="s">
        <v>5885</v>
      </c>
      <c r="H3359" t="s">
        <v>5972</v>
      </c>
      <c r="I3359">
        <v>0</v>
      </c>
      <c r="J3359" t="s">
        <v>343</v>
      </c>
      <c r="L3359">
        <v>150000</v>
      </c>
      <c r="N3359">
        <v>150000</v>
      </c>
    </row>
    <row r="3360" spans="1:14" x14ac:dyDescent="0.35">
      <c r="A3360" t="str">
        <f t="shared" si="178"/>
        <v>VTE45733FAB250067547310100</v>
      </c>
      <c r="B3360" t="s">
        <v>131</v>
      </c>
      <c r="C3360" s="1">
        <v>45733</v>
      </c>
      <c r="D3360" t="s">
        <v>5660</v>
      </c>
      <c r="E3360" t="str">
        <f>"47310100"</f>
        <v>47310100</v>
      </c>
      <c r="F3360" t="s">
        <v>5518</v>
      </c>
      <c r="G3360" t="s">
        <v>5885</v>
      </c>
      <c r="H3360" t="s">
        <v>350</v>
      </c>
      <c r="I3360">
        <v>0</v>
      </c>
      <c r="J3360" t="s">
        <v>343</v>
      </c>
      <c r="L3360">
        <v>59000</v>
      </c>
      <c r="N3360">
        <v>59000</v>
      </c>
    </row>
    <row r="3361" spans="1:14" x14ac:dyDescent="0.35">
      <c r="A3361" t="str">
        <f t="shared" si="178"/>
        <v>VTE45733FAB250067570610010</v>
      </c>
      <c r="B3361" t="s">
        <v>131</v>
      </c>
      <c r="C3361" s="1">
        <v>45733</v>
      </c>
      <c r="D3361" t="s">
        <v>5660</v>
      </c>
      <c r="E3361" t="str">
        <f>"70610010"</f>
        <v>70610010</v>
      </c>
      <c r="F3361" t="s">
        <v>5518</v>
      </c>
      <c r="G3361" t="s">
        <v>5885</v>
      </c>
      <c r="H3361" t="s">
        <v>5972</v>
      </c>
      <c r="I3361">
        <v>0</v>
      </c>
      <c r="J3361" t="s">
        <v>343</v>
      </c>
      <c r="L3361">
        <v>150000</v>
      </c>
      <c r="N3361">
        <v>150000</v>
      </c>
    </row>
    <row r="3362" spans="1:14" x14ac:dyDescent="0.35">
      <c r="A3362" t="str">
        <f t="shared" si="178"/>
        <v>VTE45733FAB250067647310100</v>
      </c>
      <c r="B3362" t="s">
        <v>131</v>
      </c>
      <c r="C3362" s="1">
        <v>45733</v>
      </c>
      <c r="D3362" t="s">
        <v>5661</v>
      </c>
      <c r="E3362" t="str">
        <f>"47310100"</f>
        <v>47310100</v>
      </c>
      <c r="F3362" t="s">
        <v>5518</v>
      </c>
      <c r="G3362" t="s">
        <v>5885</v>
      </c>
      <c r="H3362" t="s">
        <v>350</v>
      </c>
      <c r="I3362">
        <v>0</v>
      </c>
      <c r="J3362" t="s">
        <v>343</v>
      </c>
      <c r="L3362">
        <v>59000</v>
      </c>
      <c r="N3362">
        <v>59000</v>
      </c>
    </row>
    <row r="3363" spans="1:14" x14ac:dyDescent="0.35">
      <c r="A3363" t="str">
        <f t="shared" si="178"/>
        <v>VTE45733FAB250067670610010</v>
      </c>
      <c r="B3363" t="s">
        <v>131</v>
      </c>
      <c r="C3363" s="1">
        <v>45733</v>
      </c>
      <c r="D3363" t="s">
        <v>5661</v>
      </c>
      <c r="E3363" t="str">
        <f>"70610010"</f>
        <v>70610010</v>
      </c>
      <c r="F3363" t="s">
        <v>5518</v>
      </c>
      <c r="G3363" t="s">
        <v>5885</v>
      </c>
      <c r="H3363" t="s">
        <v>5972</v>
      </c>
      <c r="I3363">
        <v>0</v>
      </c>
      <c r="J3363" t="s">
        <v>343</v>
      </c>
      <c r="L3363">
        <v>150000</v>
      </c>
      <c r="N3363">
        <v>150000</v>
      </c>
    </row>
    <row r="3364" spans="1:14" x14ac:dyDescent="0.35">
      <c r="A3364" t="str">
        <f t="shared" si="178"/>
        <v>VTE45733FAB250067747310100</v>
      </c>
      <c r="B3364" t="s">
        <v>131</v>
      </c>
      <c r="C3364" s="1">
        <v>45733</v>
      </c>
      <c r="D3364" t="s">
        <v>5662</v>
      </c>
      <c r="E3364" t="str">
        <f>"47310100"</f>
        <v>47310100</v>
      </c>
      <c r="F3364" t="s">
        <v>5518</v>
      </c>
      <c r="G3364" t="s">
        <v>5885</v>
      </c>
      <c r="H3364" t="s">
        <v>350</v>
      </c>
      <c r="I3364">
        <v>0</v>
      </c>
      <c r="J3364" t="s">
        <v>343</v>
      </c>
      <c r="L3364">
        <v>118000</v>
      </c>
      <c r="N3364">
        <v>118000</v>
      </c>
    </row>
    <row r="3365" spans="1:14" x14ac:dyDescent="0.35">
      <c r="A3365" t="str">
        <f t="shared" si="178"/>
        <v>VTE45733FAB250067770610010</v>
      </c>
      <c r="B3365" t="s">
        <v>131</v>
      </c>
      <c r="C3365" s="1">
        <v>45733</v>
      </c>
      <c r="D3365" t="s">
        <v>5662</v>
      </c>
      <c r="E3365" t="str">
        <f>"70610010"</f>
        <v>70610010</v>
      </c>
      <c r="F3365" t="s">
        <v>5518</v>
      </c>
      <c r="G3365" t="s">
        <v>5885</v>
      </c>
      <c r="H3365" t="s">
        <v>5972</v>
      </c>
      <c r="I3365">
        <v>0</v>
      </c>
      <c r="J3365" t="s">
        <v>343</v>
      </c>
      <c r="L3365">
        <v>300000</v>
      </c>
      <c r="N3365">
        <v>300000</v>
      </c>
    </row>
    <row r="3366" spans="1:14" x14ac:dyDescent="0.35">
      <c r="A3366" t="str">
        <f t="shared" si="178"/>
        <v>VTE45733FAB250067847310100</v>
      </c>
      <c r="B3366" t="s">
        <v>131</v>
      </c>
      <c r="C3366" s="1">
        <v>45733</v>
      </c>
      <c r="D3366" t="s">
        <v>5663</v>
      </c>
      <c r="E3366" t="str">
        <f>"47310100"</f>
        <v>47310100</v>
      </c>
      <c r="F3366" t="s">
        <v>5518</v>
      </c>
      <c r="G3366" t="s">
        <v>5885</v>
      </c>
      <c r="H3366" t="s">
        <v>350</v>
      </c>
      <c r="I3366">
        <v>0</v>
      </c>
      <c r="J3366" t="s">
        <v>343</v>
      </c>
      <c r="L3366">
        <v>59000</v>
      </c>
      <c r="N3366">
        <v>59000</v>
      </c>
    </row>
    <row r="3367" spans="1:14" x14ac:dyDescent="0.35">
      <c r="A3367" t="str">
        <f t="shared" si="178"/>
        <v>VTE45733FAB250067870610010</v>
      </c>
      <c r="B3367" t="s">
        <v>131</v>
      </c>
      <c r="C3367" s="1">
        <v>45733</v>
      </c>
      <c r="D3367" t="s">
        <v>5663</v>
      </c>
      <c r="E3367" t="str">
        <f>"70610010"</f>
        <v>70610010</v>
      </c>
      <c r="F3367" t="s">
        <v>5518</v>
      </c>
      <c r="G3367" t="s">
        <v>5885</v>
      </c>
      <c r="H3367" t="s">
        <v>5972</v>
      </c>
      <c r="I3367">
        <v>0</v>
      </c>
      <c r="J3367" t="s">
        <v>343</v>
      </c>
      <c r="L3367">
        <v>150000</v>
      </c>
      <c r="N3367">
        <v>150000</v>
      </c>
    </row>
    <row r="3368" spans="1:14" x14ac:dyDescent="0.35">
      <c r="A3368" t="str">
        <f t="shared" si="178"/>
        <v>VTE45733FAB250067947310100</v>
      </c>
      <c r="B3368" t="s">
        <v>131</v>
      </c>
      <c r="C3368" s="1">
        <v>45733</v>
      </c>
      <c r="D3368" t="s">
        <v>5664</v>
      </c>
      <c r="E3368" t="str">
        <f>"47310100"</f>
        <v>47310100</v>
      </c>
      <c r="F3368" t="s">
        <v>5518</v>
      </c>
      <c r="G3368" t="s">
        <v>5885</v>
      </c>
      <c r="H3368" t="s">
        <v>350</v>
      </c>
      <c r="I3368">
        <v>0</v>
      </c>
      <c r="J3368" t="s">
        <v>343</v>
      </c>
      <c r="L3368">
        <v>59000</v>
      </c>
      <c r="N3368">
        <v>59000</v>
      </c>
    </row>
    <row r="3369" spans="1:14" x14ac:dyDescent="0.35">
      <c r="A3369" t="str">
        <f t="shared" si="178"/>
        <v>VTE45733FAB250067970610010</v>
      </c>
      <c r="B3369" t="s">
        <v>131</v>
      </c>
      <c r="C3369" s="1">
        <v>45733</v>
      </c>
      <c r="D3369" t="s">
        <v>5664</v>
      </c>
      <c r="E3369" t="str">
        <f>"70610010"</f>
        <v>70610010</v>
      </c>
      <c r="F3369" t="s">
        <v>5518</v>
      </c>
      <c r="G3369" t="s">
        <v>5885</v>
      </c>
      <c r="H3369" t="s">
        <v>5972</v>
      </c>
      <c r="I3369">
        <v>0</v>
      </c>
      <c r="J3369" t="s">
        <v>343</v>
      </c>
      <c r="L3369">
        <v>150000</v>
      </c>
      <c r="N3369">
        <v>150000</v>
      </c>
    </row>
    <row r="3370" spans="1:14" x14ac:dyDescent="0.35">
      <c r="A3370" t="str">
        <f t="shared" si="178"/>
        <v>VTE45733FAB250083670610010</v>
      </c>
      <c r="B3370" t="s">
        <v>131</v>
      </c>
      <c r="C3370" s="1">
        <v>45733</v>
      </c>
      <c r="D3370" t="s">
        <v>5665</v>
      </c>
      <c r="E3370" t="str">
        <f>"70610010"</f>
        <v>70610010</v>
      </c>
      <c r="F3370" t="s">
        <v>5581</v>
      </c>
      <c r="G3370" t="s">
        <v>5885</v>
      </c>
      <c r="H3370" t="s">
        <v>5970</v>
      </c>
      <c r="I3370">
        <v>0</v>
      </c>
      <c r="J3370" t="s">
        <v>343</v>
      </c>
      <c r="L3370">
        <v>2423070</v>
      </c>
      <c r="N3370">
        <v>2423070</v>
      </c>
    </row>
    <row r="3371" spans="1:14" x14ac:dyDescent="0.35">
      <c r="A3371" t="str">
        <f t="shared" si="178"/>
        <v>VTE45733FAB250083670610010</v>
      </c>
      <c r="B3371" t="s">
        <v>131</v>
      </c>
      <c r="C3371" s="1">
        <v>45733</v>
      </c>
      <c r="D3371" t="s">
        <v>5665</v>
      </c>
      <c r="E3371" t="str">
        <f>"70610010"</f>
        <v>70610010</v>
      </c>
      <c r="F3371" t="s">
        <v>5666</v>
      </c>
      <c r="G3371" t="s">
        <v>5885</v>
      </c>
      <c r="H3371" t="s">
        <v>5970</v>
      </c>
      <c r="I3371">
        <v>0</v>
      </c>
      <c r="J3371" t="s">
        <v>343</v>
      </c>
      <c r="L3371">
        <v>-2423070</v>
      </c>
      <c r="N3371">
        <v>-2423070</v>
      </c>
    </row>
    <row r="3372" spans="1:14" x14ac:dyDescent="0.35">
      <c r="A3372" t="str">
        <f t="shared" si="178"/>
        <v>VTE45733FAB250083770610010</v>
      </c>
      <c r="B3372" t="s">
        <v>131</v>
      </c>
      <c r="C3372" s="1">
        <v>45733</v>
      </c>
      <c r="D3372" t="s">
        <v>5667</v>
      </c>
      <c r="E3372" t="str">
        <f>"70610010"</f>
        <v>70610010</v>
      </c>
      <c r="F3372" t="s">
        <v>5581</v>
      </c>
      <c r="G3372" t="s">
        <v>5885</v>
      </c>
      <c r="H3372" t="s">
        <v>5970</v>
      </c>
      <c r="I3372">
        <v>0</v>
      </c>
      <c r="J3372" t="s">
        <v>343</v>
      </c>
      <c r="L3372">
        <v>17720532</v>
      </c>
      <c r="N3372">
        <v>17720532</v>
      </c>
    </row>
    <row r="3373" spans="1:14" x14ac:dyDescent="0.35">
      <c r="A3373" t="str">
        <f t="shared" si="178"/>
        <v>VTE45733FAB250083770610010</v>
      </c>
      <c r="B3373" t="s">
        <v>131</v>
      </c>
      <c r="C3373" s="1">
        <v>45733</v>
      </c>
      <c r="D3373" t="s">
        <v>5667</v>
      </c>
      <c r="E3373" t="str">
        <f>"70610010"</f>
        <v>70610010</v>
      </c>
      <c r="F3373" t="s">
        <v>5666</v>
      </c>
      <c r="G3373" t="s">
        <v>5885</v>
      </c>
      <c r="H3373" t="s">
        <v>5970</v>
      </c>
      <c r="I3373">
        <v>0</v>
      </c>
      <c r="J3373" t="s">
        <v>343</v>
      </c>
      <c r="L3373">
        <v>-17720532</v>
      </c>
      <c r="N3373">
        <v>-17720532</v>
      </c>
    </row>
    <row r="3374" spans="1:14" x14ac:dyDescent="0.35">
      <c r="A3374" t="str">
        <f t="shared" si="178"/>
        <v>VTE45733FBK250020770610012</v>
      </c>
      <c r="B3374" t="s">
        <v>131</v>
      </c>
      <c r="C3374" s="1">
        <v>45733</v>
      </c>
      <c r="D3374" t="s">
        <v>5668</v>
      </c>
      <c r="E3374" t="str">
        <f>"70610012"</f>
        <v>70610012</v>
      </c>
      <c r="F3374" t="s">
        <v>5508</v>
      </c>
      <c r="G3374" t="s">
        <v>5885</v>
      </c>
      <c r="H3374" t="s">
        <v>5977</v>
      </c>
      <c r="I3374">
        <v>0</v>
      </c>
      <c r="J3374" t="s">
        <v>343</v>
      </c>
      <c r="L3374">
        <v>546959</v>
      </c>
      <c r="N3374">
        <v>546959</v>
      </c>
    </row>
    <row r="3375" spans="1:14" x14ac:dyDescent="0.35">
      <c r="A3375" t="str">
        <f t="shared" si="178"/>
        <v>VTE45733FBK250020870610012</v>
      </c>
      <c r="B3375" t="s">
        <v>131</v>
      </c>
      <c r="C3375" s="1">
        <v>45733</v>
      </c>
      <c r="D3375" t="s">
        <v>5669</v>
      </c>
      <c r="E3375" t="str">
        <f>"70610012"</f>
        <v>70610012</v>
      </c>
      <c r="F3375" t="s">
        <v>5508</v>
      </c>
      <c r="G3375" t="s">
        <v>5885</v>
      </c>
      <c r="H3375" t="s">
        <v>5977</v>
      </c>
      <c r="I3375">
        <v>0</v>
      </c>
      <c r="J3375" t="s">
        <v>343</v>
      </c>
      <c r="L3375">
        <v>546959</v>
      </c>
      <c r="N3375">
        <v>546959</v>
      </c>
    </row>
    <row r="3376" spans="1:14" x14ac:dyDescent="0.35">
      <c r="A3376" t="str">
        <f t="shared" si="178"/>
        <v>VTE45734FAB250068270610010</v>
      </c>
      <c r="B3376" t="s">
        <v>131</v>
      </c>
      <c r="C3376" s="1">
        <v>45734</v>
      </c>
      <c r="D3376" t="s">
        <v>5670</v>
      </c>
      <c r="E3376" t="str">
        <f>"70610010"</f>
        <v>70610010</v>
      </c>
      <c r="F3376" t="s">
        <v>5671</v>
      </c>
      <c r="G3376" t="s">
        <v>5885</v>
      </c>
      <c r="H3376" t="s">
        <v>5974</v>
      </c>
      <c r="I3376">
        <v>0</v>
      </c>
      <c r="J3376" t="s">
        <v>343</v>
      </c>
      <c r="L3376">
        <v>1000000</v>
      </c>
      <c r="N3376">
        <v>1000000</v>
      </c>
    </row>
    <row r="3377" spans="1:14" x14ac:dyDescent="0.35">
      <c r="A3377" t="str">
        <f t="shared" si="178"/>
        <v>VTE45734FAB250068370610010</v>
      </c>
      <c r="B3377" t="s">
        <v>131</v>
      </c>
      <c r="C3377" s="1">
        <v>45734</v>
      </c>
      <c r="D3377" t="s">
        <v>5672</v>
      </c>
      <c r="E3377" t="str">
        <f>"70610010"</f>
        <v>70610010</v>
      </c>
      <c r="F3377" t="s">
        <v>5516</v>
      </c>
      <c r="G3377" t="s">
        <v>5885</v>
      </c>
      <c r="H3377" t="s">
        <v>5974</v>
      </c>
      <c r="I3377">
        <v>0</v>
      </c>
      <c r="J3377" t="s">
        <v>343</v>
      </c>
      <c r="L3377">
        <v>130000</v>
      </c>
      <c r="N3377">
        <v>130000</v>
      </c>
    </row>
    <row r="3378" spans="1:14" x14ac:dyDescent="0.35">
      <c r="A3378" t="str">
        <f t="shared" si="178"/>
        <v>VTE45734FAB250068470610010</v>
      </c>
      <c r="B3378" t="s">
        <v>131</v>
      </c>
      <c r="C3378" s="1">
        <v>45734</v>
      </c>
      <c r="D3378" t="s">
        <v>5673</v>
      </c>
      <c r="E3378" t="str">
        <f>"70610010"</f>
        <v>70610010</v>
      </c>
      <c r="F3378" t="s">
        <v>5674</v>
      </c>
      <c r="G3378" t="s">
        <v>5885</v>
      </c>
      <c r="H3378" t="s">
        <v>5974</v>
      </c>
      <c r="I3378">
        <v>0</v>
      </c>
      <c r="J3378" t="s">
        <v>343</v>
      </c>
      <c r="L3378">
        <v>8778000</v>
      </c>
      <c r="N3378">
        <v>8778000</v>
      </c>
    </row>
    <row r="3379" spans="1:14" x14ac:dyDescent="0.35">
      <c r="A3379" t="str">
        <f t="shared" si="178"/>
        <v>VTE45734FAB250068547310100</v>
      </c>
      <c r="B3379" t="s">
        <v>131</v>
      </c>
      <c r="C3379" s="1">
        <v>45734</v>
      </c>
      <c r="D3379" t="s">
        <v>5675</v>
      </c>
      <c r="E3379" t="str">
        <f>"47310100"</f>
        <v>47310100</v>
      </c>
      <c r="F3379" t="s">
        <v>5518</v>
      </c>
      <c r="G3379" t="s">
        <v>5885</v>
      </c>
      <c r="H3379" t="s">
        <v>350</v>
      </c>
      <c r="I3379">
        <v>0</v>
      </c>
      <c r="J3379" t="s">
        <v>343</v>
      </c>
      <c r="L3379">
        <v>29500</v>
      </c>
      <c r="N3379">
        <v>29500</v>
      </c>
    </row>
    <row r="3380" spans="1:14" x14ac:dyDescent="0.35">
      <c r="A3380" t="str">
        <f t="shared" si="178"/>
        <v>VTE45734FAB250068547310100</v>
      </c>
      <c r="B3380" t="s">
        <v>131</v>
      </c>
      <c r="C3380" s="1">
        <v>45734</v>
      </c>
      <c r="D3380" t="s">
        <v>5675</v>
      </c>
      <c r="E3380" t="str">
        <f>"47310100"</f>
        <v>47310100</v>
      </c>
      <c r="F3380" t="s">
        <v>5518</v>
      </c>
      <c r="G3380" t="s">
        <v>5885</v>
      </c>
      <c r="H3380" t="s">
        <v>350</v>
      </c>
      <c r="I3380">
        <v>0</v>
      </c>
      <c r="J3380" t="s">
        <v>343</v>
      </c>
      <c r="L3380">
        <v>29500</v>
      </c>
      <c r="N3380">
        <v>29500</v>
      </c>
    </row>
    <row r="3381" spans="1:14" x14ac:dyDescent="0.35">
      <c r="A3381" t="str">
        <f t="shared" si="178"/>
        <v>VTE45734FAB250068547310100</v>
      </c>
      <c r="B3381" t="s">
        <v>131</v>
      </c>
      <c r="C3381" s="1">
        <v>45734</v>
      </c>
      <c r="D3381" t="s">
        <v>5675</v>
      </c>
      <c r="E3381" t="str">
        <f>"47310100"</f>
        <v>47310100</v>
      </c>
      <c r="F3381" t="s">
        <v>5676</v>
      </c>
      <c r="G3381" t="s">
        <v>5885</v>
      </c>
      <c r="H3381" t="s">
        <v>350</v>
      </c>
      <c r="I3381">
        <v>0</v>
      </c>
      <c r="J3381" t="s">
        <v>343</v>
      </c>
      <c r="L3381">
        <v>-29500</v>
      </c>
      <c r="N3381">
        <v>-29500</v>
      </c>
    </row>
    <row r="3382" spans="1:14" x14ac:dyDescent="0.35">
      <c r="A3382" t="str">
        <f t="shared" si="178"/>
        <v>VTE45734FAB250068570610010</v>
      </c>
      <c r="B3382" t="s">
        <v>131</v>
      </c>
      <c r="C3382" s="1">
        <v>45734</v>
      </c>
      <c r="D3382" t="s">
        <v>5675</v>
      </c>
      <c r="E3382" t="str">
        <f>"70610010"</f>
        <v>70610010</v>
      </c>
      <c r="F3382" t="s">
        <v>5518</v>
      </c>
      <c r="G3382" t="s">
        <v>5885</v>
      </c>
      <c r="H3382" t="s">
        <v>5972</v>
      </c>
      <c r="I3382">
        <v>0</v>
      </c>
      <c r="J3382" t="s">
        <v>343</v>
      </c>
      <c r="L3382">
        <v>150000</v>
      </c>
      <c r="N3382">
        <v>150000</v>
      </c>
    </row>
    <row r="3383" spans="1:14" x14ac:dyDescent="0.35">
      <c r="A3383" t="str">
        <f t="shared" si="178"/>
        <v>VTE45734FAB250068570610010</v>
      </c>
      <c r="B3383" t="s">
        <v>131</v>
      </c>
      <c r="C3383" s="1">
        <v>45734</v>
      </c>
      <c r="D3383" t="s">
        <v>5675</v>
      </c>
      <c r="E3383" t="str">
        <f>"70610010"</f>
        <v>70610010</v>
      </c>
      <c r="F3383" t="s">
        <v>5518</v>
      </c>
      <c r="G3383" t="s">
        <v>5885</v>
      </c>
      <c r="H3383" t="s">
        <v>5972</v>
      </c>
      <c r="I3383">
        <v>0</v>
      </c>
      <c r="J3383" t="s">
        <v>343</v>
      </c>
      <c r="L3383">
        <v>150000</v>
      </c>
      <c r="N3383">
        <v>150000</v>
      </c>
    </row>
    <row r="3384" spans="1:14" x14ac:dyDescent="0.35">
      <c r="A3384" t="str">
        <f t="shared" si="178"/>
        <v>VTE45734FAB250068570610010</v>
      </c>
      <c r="B3384" t="s">
        <v>131</v>
      </c>
      <c r="C3384" s="1">
        <v>45734</v>
      </c>
      <c r="D3384" t="s">
        <v>5675</v>
      </c>
      <c r="E3384" t="str">
        <f>"70610010"</f>
        <v>70610010</v>
      </c>
      <c r="F3384" t="s">
        <v>5676</v>
      </c>
      <c r="G3384" t="s">
        <v>5885</v>
      </c>
      <c r="H3384" t="s">
        <v>5972</v>
      </c>
      <c r="I3384">
        <v>0</v>
      </c>
      <c r="J3384" t="s">
        <v>343</v>
      </c>
      <c r="L3384">
        <v>-150000</v>
      </c>
      <c r="N3384">
        <v>-150000</v>
      </c>
    </row>
    <row r="3385" spans="1:14" x14ac:dyDescent="0.35">
      <c r="A3385" t="str">
        <f t="shared" si="178"/>
        <v>VTE45734FAB250068570610050</v>
      </c>
      <c r="B3385" t="s">
        <v>131</v>
      </c>
      <c r="C3385" s="1">
        <v>45734</v>
      </c>
      <c r="D3385" t="s">
        <v>5675</v>
      </c>
      <c r="E3385" t="str">
        <f>"70610050"</f>
        <v>70610050</v>
      </c>
      <c r="F3385" t="s">
        <v>5518</v>
      </c>
      <c r="G3385" t="s">
        <v>5885</v>
      </c>
      <c r="H3385" t="s">
        <v>5972</v>
      </c>
      <c r="I3385">
        <v>0</v>
      </c>
      <c r="J3385" t="s">
        <v>343</v>
      </c>
      <c r="L3385">
        <v>99000</v>
      </c>
      <c r="N3385">
        <v>99000</v>
      </c>
    </row>
    <row r="3386" spans="1:14" x14ac:dyDescent="0.35">
      <c r="A3386" t="str">
        <f t="shared" si="178"/>
        <v>VTE45734FAB250068570610050</v>
      </c>
      <c r="B3386" t="s">
        <v>131</v>
      </c>
      <c r="C3386" s="1">
        <v>45734</v>
      </c>
      <c r="D3386" t="s">
        <v>5675</v>
      </c>
      <c r="E3386" t="str">
        <f>"70610050"</f>
        <v>70610050</v>
      </c>
      <c r="F3386" t="s">
        <v>5518</v>
      </c>
      <c r="G3386" t="s">
        <v>5885</v>
      </c>
      <c r="H3386" t="s">
        <v>5972</v>
      </c>
      <c r="I3386">
        <v>0</v>
      </c>
      <c r="J3386" t="s">
        <v>343</v>
      </c>
      <c r="L3386">
        <v>99000</v>
      </c>
      <c r="N3386">
        <v>99000</v>
      </c>
    </row>
    <row r="3387" spans="1:14" x14ac:dyDescent="0.35">
      <c r="A3387" t="str">
        <f t="shared" si="178"/>
        <v>VTE45734FAB250068570610050</v>
      </c>
      <c r="B3387" t="s">
        <v>131</v>
      </c>
      <c r="C3387" s="1">
        <v>45734</v>
      </c>
      <c r="D3387" t="s">
        <v>5675</v>
      </c>
      <c r="E3387" t="str">
        <f>"70610050"</f>
        <v>70610050</v>
      </c>
      <c r="F3387" t="s">
        <v>5676</v>
      </c>
      <c r="G3387" t="s">
        <v>5885</v>
      </c>
      <c r="H3387" t="s">
        <v>5972</v>
      </c>
      <c r="I3387">
        <v>0</v>
      </c>
      <c r="J3387" t="s">
        <v>343</v>
      </c>
      <c r="L3387">
        <v>-99000</v>
      </c>
      <c r="N3387">
        <v>-99000</v>
      </c>
    </row>
    <row r="3388" spans="1:14" x14ac:dyDescent="0.35">
      <c r="A3388" t="str">
        <f t="shared" si="178"/>
        <v>VTE45734FAB250068647310100</v>
      </c>
      <c r="B3388" t="s">
        <v>131</v>
      </c>
      <c r="C3388" s="1">
        <v>45734</v>
      </c>
      <c r="D3388" t="s">
        <v>5677</v>
      </c>
      <c r="E3388" t="str">
        <f>"47310100"</f>
        <v>47310100</v>
      </c>
      <c r="F3388" t="s">
        <v>5551</v>
      </c>
      <c r="G3388" t="s">
        <v>5885</v>
      </c>
      <c r="H3388" t="s">
        <v>350</v>
      </c>
      <c r="I3388">
        <v>0</v>
      </c>
      <c r="J3388" t="s">
        <v>343</v>
      </c>
      <c r="L3388">
        <v>59000</v>
      </c>
      <c r="N3388">
        <v>59000</v>
      </c>
    </row>
    <row r="3389" spans="1:14" x14ac:dyDescent="0.35">
      <c r="A3389" t="str">
        <f t="shared" si="178"/>
        <v>VTE45734FAB250068647310100</v>
      </c>
      <c r="B3389" t="s">
        <v>131</v>
      </c>
      <c r="C3389" s="1">
        <v>45734</v>
      </c>
      <c r="D3389" t="s">
        <v>5677</v>
      </c>
      <c r="E3389" t="str">
        <f>"47310100"</f>
        <v>47310100</v>
      </c>
      <c r="F3389" t="s">
        <v>5551</v>
      </c>
      <c r="G3389" t="s">
        <v>5885</v>
      </c>
      <c r="H3389" t="s">
        <v>350</v>
      </c>
      <c r="I3389">
        <v>0</v>
      </c>
      <c r="J3389" t="s">
        <v>343</v>
      </c>
      <c r="L3389">
        <v>59000</v>
      </c>
      <c r="N3389">
        <v>59000</v>
      </c>
    </row>
    <row r="3390" spans="1:14" x14ac:dyDescent="0.35">
      <c r="A3390" t="str">
        <f t="shared" si="178"/>
        <v>VTE45734FAB250068647310100</v>
      </c>
      <c r="B3390" t="s">
        <v>131</v>
      </c>
      <c r="C3390" s="1">
        <v>45734</v>
      </c>
      <c r="D3390" t="s">
        <v>5677</v>
      </c>
      <c r="E3390" t="str">
        <f>"47310100"</f>
        <v>47310100</v>
      </c>
      <c r="F3390" t="s">
        <v>5678</v>
      </c>
      <c r="G3390" t="s">
        <v>5885</v>
      </c>
      <c r="H3390" t="s">
        <v>350</v>
      </c>
      <c r="I3390">
        <v>0</v>
      </c>
      <c r="J3390" t="s">
        <v>343</v>
      </c>
      <c r="L3390">
        <v>-59000</v>
      </c>
      <c r="N3390">
        <v>-59000</v>
      </c>
    </row>
    <row r="3391" spans="1:14" x14ac:dyDescent="0.35">
      <c r="A3391" t="str">
        <f t="shared" si="178"/>
        <v>VTE45734FAB250068670610010</v>
      </c>
      <c r="B3391" t="s">
        <v>131</v>
      </c>
      <c r="C3391" s="1">
        <v>45734</v>
      </c>
      <c r="D3391" t="s">
        <v>5677</v>
      </c>
      <c r="E3391" t="str">
        <f>"70610010"</f>
        <v>70610010</v>
      </c>
      <c r="F3391" t="s">
        <v>5551</v>
      </c>
      <c r="G3391" t="s">
        <v>5885</v>
      </c>
      <c r="H3391" t="s">
        <v>5972</v>
      </c>
      <c r="I3391">
        <v>0</v>
      </c>
      <c r="J3391" t="s">
        <v>343</v>
      </c>
      <c r="L3391">
        <v>300000</v>
      </c>
      <c r="N3391">
        <v>300000</v>
      </c>
    </row>
    <row r="3392" spans="1:14" x14ac:dyDescent="0.35">
      <c r="A3392" t="str">
        <f t="shared" si="178"/>
        <v>VTE45734FAB250068670610010</v>
      </c>
      <c r="B3392" t="s">
        <v>131</v>
      </c>
      <c r="C3392" s="1">
        <v>45734</v>
      </c>
      <c r="D3392" t="s">
        <v>5677</v>
      </c>
      <c r="E3392" t="str">
        <f>"70610010"</f>
        <v>70610010</v>
      </c>
      <c r="F3392" t="s">
        <v>5551</v>
      </c>
      <c r="G3392" t="s">
        <v>5885</v>
      </c>
      <c r="H3392" t="s">
        <v>5972</v>
      </c>
      <c r="I3392">
        <v>0</v>
      </c>
      <c r="J3392" t="s">
        <v>343</v>
      </c>
      <c r="L3392">
        <v>300000</v>
      </c>
      <c r="N3392">
        <v>300000</v>
      </c>
    </row>
    <row r="3393" spans="1:14" x14ac:dyDescent="0.35">
      <c r="A3393" t="str">
        <f t="shared" si="178"/>
        <v>VTE45734FAB250068670610010</v>
      </c>
      <c r="B3393" t="s">
        <v>131</v>
      </c>
      <c r="C3393" s="1">
        <v>45734</v>
      </c>
      <c r="D3393" t="s">
        <v>5677</v>
      </c>
      <c r="E3393" t="str">
        <f>"70610010"</f>
        <v>70610010</v>
      </c>
      <c r="F3393" t="s">
        <v>5678</v>
      </c>
      <c r="G3393" t="s">
        <v>5885</v>
      </c>
      <c r="H3393" t="s">
        <v>5972</v>
      </c>
      <c r="I3393">
        <v>0</v>
      </c>
      <c r="J3393" t="s">
        <v>343</v>
      </c>
      <c r="L3393">
        <v>-300000</v>
      </c>
      <c r="N3393">
        <v>-300000</v>
      </c>
    </row>
    <row r="3394" spans="1:14" x14ac:dyDescent="0.35">
      <c r="A3394" t="str">
        <f t="shared" si="178"/>
        <v>VTE45734FAB250068747310100</v>
      </c>
      <c r="B3394" t="s">
        <v>131</v>
      </c>
      <c r="C3394" s="1">
        <v>45734</v>
      </c>
      <c r="D3394" t="s">
        <v>5679</v>
      </c>
      <c r="E3394" t="str">
        <f>"47310100"</f>
        <v>47310100</v>
      </c>
      <c r="F3394" t="s">
        <v>5522</v>
      </c>
      <c r="G3394" t="s">
        <v>5885</v>
      </c>
      <c r="H3394" t="s">
        <v>350</v>
      </c>
      <c r="I3394">
        <v>0</v>
      </c>
      <c r="J3394" t="s">
        <v>343</v>
      </c>
      <c r="L3394">
        <v>59000</v>
      </c>
      <c r="N3394">
        <v>59000</v>
      </c>
    </row>
    <row r="3395" spans="1:14" x14ac:dyDescent="0.35">
      <c r="A3395" t="str">
        <f t="shared" ref="A3395:A3458" si="179">CONCATENATE(B3395,C3395,D3395,E3395)</f>
        <v>VTE45734FAB250068747310100</v>
      </c>
      <c r="B3395" t="s">
        <v>131</v>
      </c>
      <c r="C3395" s="1">
        <v>45734</v>
      </c>
      <c r="D3395" t="s">
        <v>5679</v>
      </c>
      <c r="E3395" t="str">
        <f>"47310100"</f>
        <v>47310100</v>
      </c>
      <c r="F3395" t="s">
        <v>5522</v>
      </c>
      <c r="G3395" t="s">
        <v>5885</v>
      </c>
      <c r="H3395" t="s">
        <v>350</v>
      </c>
      <c r="I3395">
        <v>0</v>
      </c>
      <c r="J3395" t="s">
        <v>343</v>
      </c>
      <c r="L3395">
        <v>59000</v>
      </c>
      <c r="N3395">
        <v>59000</v>
      </c>
    </row>
    <row r="3396" spans="1:14" x14ac:dyDescent="0.35">
      <c r="A3396" t="str">
        <f t="shared" si="179"/>
        <v>VTE45734FAB250068747310100</v>
      </c>
      <c r="B3396" t="s">
        <v>131</v>
      </c>
      <c r="C3396" s="1">
        <v>45734</v>
      </c>
      <c r="D3396" t="s">
        <v>5679</v>
      </c>
      <c r="E3396" t="str">
        <f>"47310100"</f>
        <v>47310100</v>
      </c>
      <c r="F3396" t="s">
        <v>5680</v>
      </c>
      <c r="G3396" t="s">
        <v>5885</v>
      </c>
      <c r="H3396" t="s">
        <v>350</v>
      </c>
      <c r="I3396">
        <v>0</v>
      </c>
      <c r="J3396" t="s">
        <v>343</v>
      </c>
      <c r="L3396">
        <v>-59000</v>
      </c>
      <c r="N3396">
        <v>-59000</v>
      </c>
    </row>
    <row r="3397" spans="1:14" x14ac:dyDescent="0.35">
      <c r="A3397" t="str">
        <f t="shared" si="179"/>
        <v>VTE45734FAB250068770610010</v>
      </c>
      <c r="B3397" t="s">
        <v>131</v>
      </c>
      <c r="C3397" s="1">
        <v>45734</v>
      </c>
      <c r="D3397" t="s">
        <v>5679</v>
      </c>
      <c r="E3397" t="str">
        <f>"70610010"</f>
        <v>70610010</v>
      </c>
      <c r="F3397" t="s">
        <v>5522</v>
      </c>
      <c r="G3397" t="s">
        <v>5885</v>
      </c>
      <c r="H3397" t="s">
        <v>5972</v>
      </c>
      <c r="I3397">
        <v>0</v>
      </c>
      <c r="J3397" t="s">
        <v>343</v>
      </c>
      <c r="L3397">
        <v>132000</v>
      </c>
      <c r="N3397">
        <v>132000</v>
      </c>
    </row>
    <row r="3398" spans="1:14" x14ac:dyDescent="0.35">
      <c r="A3398" t="str">
        <f t="shared" si="179"/>
        <v>VTE45734FAB250068770610010</v>
      </c>
      <c r="B3398" t="s">
        <v>131</v>
      </c>
      <c r="C3398" s="1">
        <v>45734</v>
      </c>
      <c r="D3398" t="s">
        <v>5679</v>
      </c>
      <c r="E3398" t="str">
        <f>"70610010"</f>
        <v>70610010</v>
      </c>
      <c r="F3398" t="s">
        <v>5522</v>
      </c>
      <c r="G3398" t="s">
        <v>5885</v>
      </c>
      <c r="H3398" t="s">
        <v>5972</v>
      </c>
      <c r="I3398">
        <v>0</v>
      </c>
      <c r="J3398" t="s">
        <v>343</v>
      </c>
      <c r="L3398">
        <v>132000</v>
      </c>
      <c r="N3398">
        <v>132000</v>
      </c>
    </row>
    <row r="3399" spans="1:14" x14ac:dyDescent="0.35">
      <c r="A3399" t="str">
        <f t="shared" si="179"/>
        <v>VTE45734FAB250068770610010</v>
      </c>
      <c r="B3399" t="s">
        <v>131</v>
      </c>
      <c r="C3399" s="1">
        <v>45734</v>
      </c>
      <c r="D3399" t="s">
        <v>5679</v>
      </c>
      <c r="E3399" t="str">
        <f>"70610010"</f>
        <v>70610010</v>
      </c>
      <c r="F3399" t="s">
        <v>5680</v>
      </c>
      <c r="G3399" t="s">
        <v>5885</v>
      </c>
      <c r="H3399" t="s">
        <v>5972</v>
      </c>
      <c r="I3399">
        <v>0</v>
      </c>
      <c r="J3399" t="s">
        <v>343</v>
      </c>
      <c r="L3399">
        <v>-132000</v>
      </c>
      <c r="N3399">
        <v>-132000</v>
      </c>
    </row>
    <row r="3400" spans="1:14" x14ac:dyDescent="0.35">
      <c r="A3400" t="str">
        <f t="shared" si="179"/>
        <v>VTE45734FAB250068847310100</v>
      </c>
      <c r="B3400" t="s">
        <v>131</v>
      </c>
      <c r="C3400" s="1">
        <v>45734</v>
      </c>
      <c r="D3400" t="s">
        <v>5681</v>
      </c>
      <c r="E3400" t="str">
        <f>"47310100"</f>
        <v>47310100</v>
      </c>
      <c r="F3400" t="s">
        <v>5522</v>
      </c>
      <c r="G3400" t="s">
        <v>5885</v>
      </c>
      <c r="H3400" t="s">
        <v>350</v>
      </c>
      <c r="I3400">
        <v>0</v>
      </c>
      <c r="J3400" t="s">
        <v>343</v>
      </c>
      <c r="L3400">
        <v>147500</v>
      </c>
      <c r="N3400">
        <v>147500</v>
      </c>
    </row>
    <row r="3401" spans="1:14" x14ac:dyDescent="0.35">
      <c r="A3401" t="str">
        <f t="shared" si="179"/>
        <v>VTE45734FAB250068870610010</v>
      </c>
      <c r="B3401" t="s">
        <v>131</v>
      </c>
      <c r="C3401" s="1">
        <v>45734</v>
      </c>
      <c r="D3401" t="s">
        <v>5681</v>
      </c>
      <c r="E3401" t="str">
        <f>"70610010"</f>
        <v>70610010</v>
      </c>
      <c r="F3401" t="s">
        <v>5522</v>
      </c>
      <c r="G3401" t="s">
        <v>5885</v>
      </c>
      <c r="H3401" t="s">
        <v>5972</v>
      </c>
      <c r="I3401">
        <v>0</v>
      </c>
      <c r="J3401" t="s">
        <v>343</v>
      </c>
      <c r="L3401">
        <v>330000</v>
      </c>
      <c r="N3401">
        <v>330000</v>
      </c>
    </row>
    <row r="3402" spans="1:14" x14ac:dyDescent="0.35">
      <c r="A3402" t="str">
        <f t="shared" si="179"/>
        <v>VTE45734FAB250068947310100</v>
      </c>
      <c r="B3402" t="s">
        <v>131</v>
      </c>
      <c r="C3402" s="1">
        <v>45734</v>
      </c>
      <c r="D3402" t="s">
        <v>5682</v>
      </c>
      <c r="E3402" t="str">
        <f>"47310100"</f>
        <v>47310100</v>
      </c>
      <c r="F3402" t="s">
        <v>5522</v>
      </c>
      <c r="G3402" t="s">
        <v>5885</v>
      </c>
      <c r="H3402" t="s">
        <v>350</v>
      </c>
      <c r="I3402">
        <v>0</v>
      </c>
      <c r="J3402" t="s">
        <v>343</v>
      </c>
      <c r="L3402">
        <v>147500</v>
      </c>
      <c r="N3402">
        <v>147500</v>
      </c>
    </row>
    <row r="3403" spans="1:14" x14ac:dyDescent="0.35">
      <c r="A3403" t="str">
        <f t="shared" si="179"/>
        <v>VTE45734FAB250068947310100</v>
      </c>
      <c r="B3403" t="s">
        <v>131</v>
      </c>
      <c r="C3403" s="1">
        <v>45734</v>
      </c>
      <c r="D3403" t="s">
        <v>5682</v>
      </c>
      <c r="E3403" t="str">
        <f>"47310100"</f>
        <v>47310100</v>
      </c>
      <c r="F3403" t="s">
        <v>5522</v>
      </c>
      <c r="G3403" t="s">
        <v>5885</v>
      </c>
      <c r="H3403" t="s">
        <v>350</v>
      </c>
      <c r="I3403">
        <v>0</v>
      </c>
      <c r="J3403" t="s">
        <v>343</v>
      </c>
      <c r="L3403">
        <v>147500</v>
      </c>
      <c r="N3403">
        <v>147500</v>
      </c>
    </row>
    <row r="3404" spans="1:14" x14ac:dyDescent="0.35">
      <c r="A3404" t="str">
        <f t="shared" si="179"/>
        <v>VTE45734FAB250068947310100</v>
      </c>
      <c r="B3404" t="s">
        <v>131</v>
      </c>
      <c r="C3404" s="1">
        <v>45734</v>
      </c>
      <c r="D3404" t="s">
        <v>5682</v>
      </c>
      <c r="E3404" t="str">
        <f>"47310100"</f>
        <v>47310100</v>
      </c>
      <c r="F3404" t="s">
        <v>5680</v>
      </c>
      <c r="G3404" t="s">
        <v>5885</v>
      </c>
      <c r="H3404" t="s">
        <v>350</v>
      </c>
      <c r="I3404">
        <v>0</v>
      </c>
      <c r="J3404" t="s">
        <v>343</v>
      </c>
      <c r="L3404">
        <v>-147500</v>
      </c>
      <c r="N3404">
        <v>-147500</v>
      </c>
    </row>
    <row r="3405" spans="1:14" x14ac:dyDescent="0.35">
      <c r="A3405" t="str">
        <f t="shared" si="179"/>
        <v>VTE45734FAB250068970610010</v>
      </c>
      <c r="B3405" t="s">
        <v>131</v>
      </c>
      <c r="C3405" s="1">
        <v>45734</v>
      </c>
      <c r="D3405" t="s">
        <v>5682</v>
      </c>
      <c r="E3405" t="str">
        <f>"70610010"</f>
        <v>70610010</v>
      </c>
      <c r="F3405" t="s">
        <v>5522</v>
      </c>
      <c r="G3405" t="s">
        <v>5885</v>
      </c>
      <c r="H3405" t="s">
        <v>5972</v>
      </c>
      <c r="I3405">
        <v>0</v>
      </c>
      <c r="J3405" t="s">
        <v>343</v>
      </c>
      <c r="L3405">
        <v>330000</v>
      </c>
      <c r="N3405">
        <v>330000</v>
      </c>
    </row>
    <row r="3406" spans="1:14" x14ac:dyDescent="0.35">
      <c r="A3406" t="str">
        <f t="shared" si="179"/>
        <v>VTE45734FAB250068970610010</v>
      </c>
      <c r="B3406" t="s">
        <v>131</v>
      </c>
      <c r="C3406" s="1">
        <v>45734</v>
      </c>
      <c r="D3406" t="s">
        <v>5682</v>
      </c>
      <c r="E3406" t="str">
        <f>"70610010"</f>
        <v>70610010</v>
      </c>
      <c r="F3406" t="s">
        <v>5522</v>
      </c>
      <c r="G3406" t="s">
        <v>5885</v>
      </c>
      <c r="H3406" t="s">
        <v>5972</v>
      </c>
      <c r="I3406">
        <v>0</v>
      </c>
      <c r="J3406" t="s">
        <v>343</v>
      </c>
      <c r="L3406">
        <v>330000</v>
      </c>
      <c r="N3406">
        <v>330000</v>
      </c>
    </row>
    <row r="3407" spans="1:14" x14ac:dyDescent="0.35">
      <c r="A3407" t="str">
        <f t="shared" si="179"/>
        <v>VTE45734FAB250068970610010</v>
      </c>
      <c r="B3407" t="s">
        <v>131</v>
      </c>
      <c r="C3407" s="1">
        <v>45734</v>
      </c>
      <c r="D3407" t="s">
        <v>5682</v>
      </c>
      <c r="E3407" t="str">
        <f>"70610010"</f>
        <v>70610010</v>
      </c>
      <c r="F3407" t="s">
        <v>5680</v>
      </c>
      <c r="G3407" t="s">
        <v>5885</v>
      </c>
      <c r="H3407" t="s">
        <v>5972</v>
      </c>
      <c r="I3407">
        <v>0</v>
      </c>
      <c r="J3407" t="s">
        <v>343</v>
      </c>
      <c r="L3407">
        <v>-330000</v>
      </c>
      <c r="N3407">
        <v>-330000</v>
      </c>
    </row>
    <row r="3408" spans="1:14" x14ac:dyDescent="0.35">
      <c r="A3408" t="str">
        <f t="shared" si="179"/>
        <v>VTE45734FAB250069047310100</v>
      </c>
      <c r="B3408" t="s">
        <v>131</v>
      </c>
      <c r="C3408" s="1">
        <v>45734</v>
      </c>
      <c r="D3408" t="s">
        <v>5683</v>
      </c>
      <c r="E3408" t="str">
        <f>"47310100"</f>
        <v>47310100</v>
      </c>
      <c r="F3408" t="s">
        <v>5522</v>
      </c>
      <c r="G3408" t="s">
        <v>5885</v>
      </c>
      <c r="H3408" t="s">
        <v>350</v>
      </c>
      <c r="I3408">
        <v>0</v>
      </c>
      <c r="J3408" t="s">
        <v>343</v>
      </c>
      <c r="L3408">
        <v>59000</v>
      </c>
      <c r="N3408">
        <v>59000</v>
      </c>
    </row>
    <row r="3409" spans="1:14" x14ac:dyDescent="0.35">
      <c r="A3409" t="str">
        <f t="shared" si="179"/>
        <v>VTE45734FAB250069047310100</v>
      </c>
      <c r="B3409" t="s">
        <v>131</v>
      </c>
      <c r="C3409" s="1">
        <v>45734</v>
      </c>
      <c r="D3409" t="s">
        <v>5683</v>
      </c>
      <c r="E3409" t="str">
        <f>"47310100"</f>
        <v>47310100</v>
      </c>
      <c r="F3409" t="s">
        <v>5522</v>
      </c>
      <c r="G3409" t="s">
        <v>5885</v>
      </c>
      <c r="H3409" t="s">
        <v>350</v>
      </c>
      <c r="I3409">
        <v>0</v>
      </c>
      <c r="J3409" t="s">
        <v>343</v>
      </c>
      <c r="L3409">
        <v>59000</v>
      </c>
      <c r="N3409">
        <v>59000</v>
      </c>
    </row>
    <row r="3410" spans="1:14" x14ac:dyDescent="0.35">
      <c r="A3410" t="str">
        <f t="shared" si="179"/>
        <v>VTE45734FAB250069047310100</v>
      </c>
      <c r="B3410" t="s">
        <v>131</v>
      </c>
      <c r="C3410" s="1">
        <v>45734</v>
      </c>
      <c r="D3410" t="s">
        <v>5683</v>
      </c>
      <c r="E3410" t="str">
        <f>"47310100"</f>
        <v>47310100</v>
      </c>
      <c r="F3410" t="s">
        <v>5680</v>
      </c>
      <c r="G3410" t="s">
        <v>5885</v>
      </c>
      <c r="H3410" t="s">
        <v>350</v>
      </c>
      <c r="I3410">
        <v>0</v>
      </c>
      <c r="J3410" t="s">
        <v>343</v>
      </c>
      <c r="L3410">
        <v>-59000</v>
      </c>
      <c r="N3410">
        <v>-59000</v>
      </c>
    </row>
    <row r="3411" spans="1:14" x14ac:dyDescent="0.35">
      <c r="A3411" t="str">
        <f t="shared" si="179"/>
        <v>VTE45734FAB250069070610010</v>
      </c>
      <c r="B3411" t="s">
        <v>131</v>
      </c>
      <c r="C3411" s="1">
        <v>45734</v>
      </c>
      <c r="D3411" t="s">
        <v>5683</v>
      </c>
      <c r="E3411" t="str">
        <f>"70610010"</f>
        <v>70610010</v>
      </c>
      <c r="F3411" t="s">
        <v>5522</v>
      </c>
      <c r="G3411" t="s">
        <v>5885</v>
      </c>
      <c r="H3411" t="s">
        <v>5972</v>
      </c>
      <c r="I3411">
        <v>0</v>
      </c>
      <c r="J3411" t="s">
        <v>343</v>
      </c>
      <c r="L3411">
        <v>132000</v>
      </c>
      <c r="N3411">
        <v>132000</v>
      </c>
    </row>
    <row r="3412" spans="1:14" x14ac:dyDescent="0.35">
      <c r="A3412" t="str">
        <f t="shared" si="179"/>
        <v>VTE45734FAB250069070610010</v>
      </c>
      <c r="B3412" t="s">
        <v>131</v>
      </c>
      <c r="C3412" s="1">
        <v>45734</v>
      </c>
      <c r="D3412" t="s">
        <v>5683</v>
      </c>
      <c r="E3412" t="str">
        <f>"70610010"</f>
        <v>70610010</v>
      </c>
      <c r="F3412" t="s">
        <v>5522</v>
      </c>
      <c r="G3412" t="s">
        <v>5885</v>
      </c>
      <c r="H3412" t="s">
        <v>5972</v>
      </c>
      <c r="I3412">
        <v>0</v>
      </c>
      <c r="J3412" t="s">
        <v>343</v>
      </c>
      <c r="L3412">
        <v>132000</v>
      </c>
      <c r="N3412">
        <v>132000</v>
      </c>
    </row>
    <row r="3413" spans="1:14" x14ac:dyDescent="0.35">
      <c r="A3413" t="str">
        <f t="shared" si="179"/>
        <v>VTE45734FAB250069070610010</v>
      </c>
      <c r="B3413" t="s">
        <v>131</v>
      </c>
      <c r="C3413" s="1">
        <v>45734</v>
      </c>
      <c r="D3413" t="s">
        <v>5683</v>
      </c>
      <c r="E3413" t="str">
        <f>"70610010"</f>
        <v>70610010</v>
      </c>
      <c r="F3413" t="s">
        <v>5680</v>
      </c>
      <c r="G3413" t="s">
        <v>5885</v>
      </c>
      <c r="H3413" t="s">
        <v>5972</v>
      </c>
      <c r="I3413">
        <v>0</v>
      </c>
      <c r="J3413" t="s">
        <v>343</v>
      </c>
      <c r="L3413">
        <v>-132000</v>
      </c>
      <c r="N3413">
        <v>-132000</v>
      </c>
    </row>
    <row r="3414" spans="1:14" x14ac:dyDescent="0.35">
      <c r="A3414" t="str">
        <f t="shared" si="179"/>
        <v>VTE45734FAB250069147310100</v>
      </c>
      <c r="B3414" t="s">
        <v>131</v>
      </c>
      <c r="C3414" s="1">
        <v>45734</v>
      </c>
      <c r="D3414" t="s">
        <v>5684</v>
      </c>
      <c r="E3414" t="str">
        <f>"47310100"</f>
        <v>47310100</v>
      </c>
      <c r="F3414" t="s">
        <v>5522</v>
      </c>
      <c r="G3414" t="s">
        <v>5885</v>
      </c>
      <c r="H3414" t="s">
        <v>350</v>
      </c>
      <c r="I3414">
        <v>0</v>
      </c>
      <c r="J3414" t="s">
        <v>343</v>
      </c>
      <c r="L3414">
        <v>147500</v>
      </c>
      <c r="N3414">
        <v>147500</v>
      </c>
    </row>
    <row r="3415" spans="1:14" x14ac:dyDescent="0.35">
      <c r="A3415" t="str">
        <f t="shared" si="179"/>
        <v>VTE45734FAB250069147310100</v>
      </c>
      <c r="B3415" t="s">
        <v>131</v>
      </c>
      <c r="C3415" s="1">
        <v>45734</v>
      </c>
      <c r="D3415" t="s">
        <v>5684</v>
      </c>
      <c r="E3415" t="str">
        <f>"47310100"</f>
        <v>47310100</v>
      </c>
      <c r="F3415" t="s">
        <v>5522</v>
      </c>
      <c r="G3415" t="s">
        <v>5885</v>
      </c>
      <c r="H3415" t="s">
        <v>350</v>
      </c>
      <c r="I3415">
        <v>0</v>
      </c>
      <c r="J3415" t="s">
        <v>343</v>
      </c>
      <c r="L3415">
        <v>147500</v>
      </c>
      <c r="N3415">
        <v>147500</v>
      </c>
    </row>
    <row r="3416" spans="1:14" x14ac:dyDescent="0.35">
      <c r="A3416" t="str">
        <f t="shared" si="179"/>
        <v>VTE45734FAB250069147310100</v>
      </c>
      <c r="B3416" t="s">
        <v>131</v>
      </c>
      <c r="C3416" s="1">
        <v>45734</v>
      </c>
      <c r="D3416" t="s">
        <v>5684</v>
      </c>
      <c r="E3416" t="str">
        <f>"47310100"</f>
        <v>47310100</v>
      </c>
      <c r="F3416" t="s">
        <v>5680</v>
      </c>
      <c r="G3416" t="s">
        <v>5885</v>
      </c>
      <c r="H3416" t="s">
        <v>350</v>
      </c>
      <c r="I3416">
        <v>0</v>
      </c>
      <c r="J3416" t="s">
        <v>343</v>
      </c>
      <c r="L3416">
        <v>-147500</v>
      </c>
      <c r="N3416">
        <v>-147500</v>
      </c>
    </row>
    <row r="3417" spans="1:14" x14ac:dyDescent="0.35">
      <c r="A3417" t="str">
        <f t="shared" si="179"/>
        <v>VTE45734FAB250069170610010</v>
      </c>
      <c r="B3417" t="s">
        <v>131</v>
      </c>
      <c r="C3417" s="1">
        <v>45734</v>
      </c>
      <c r="D3417" t="s">
        <v>5684</v>
      </c>
      <c r="E3417" t="str">
        <f t="shared" ref="E3417:E3428" si="180">"70610010"</f>
        <v>70610010</v>
      </c>
      <c r="F3417" t="s">
        <v>5522</v>
      </c>
      <c r="G3417" t="s">
        <v>5885</v>
      </c>
      <c r="H3417" t="s">
        <v>5972</v>
      </c>
      <c r="I3417">
        <v>0</v>
      </c>
      <c r="J3417" t="s">
        <v>343</v>
      </c>
      <c r="L3417">
        <v>330000</v>
      </c>
      <c r="N3417">
        <v>330000</v>
      </c>
    </row>
    <row r="3418" spans="1:14" x14ac:dyDescent="0.35">
      <c r="A3418" t="str">
        <f t="shared" si="179"/>
        <v>VTE45734FAB250069170610010</v>
      </c>
      <c r="B3418" t="s">
        <v>131</v>
      </c>
      <c r="C3418" s="1">
        <v>45734</v>
      </c>
      <c r="D3418" t="s">
        <v>5684</v>
      </c>
      <c r="E3418" t="str">
        <f t="shared" si="180"/>
        <v>70610010</v>
      </c>
      <c r="F3418" t="s">
        <v>5522</v>
      </c>
      <c r="G3418" t="s">
        <v>5885</v>
      </c>
      <c r="H3418" t="s">
        <v>5972</v>
      </c>
      <c r="I3418">
        <v>0</v>
      </c>
      <c r="J3418" t="s">
        <v>343</v>
      </c>
      <c r="L3418">
        <v>330000</v>
      </c>
      <c r="N3418">
        <v>330000</v>
      </c>
    </row>
    <row r="3419" spans="1:14" x14ac:dyDescent="0.35">
      <c r="A3419" t="str">
        <f t="shared" si="179"/>
        <v>VTE45734FAB250069170610010</v>
      </c>
      <c r="B3419" t="s">
        <v>131</v>
      </c>
      <c r="C3419" s="1">
        <v>45734</v>
      </c>
      <c r="D3419" t="s">
        <v>5684</v>
      </c>
      <c r="E3419" t="str">
        <f t="shared" si="180"/>
        <v>70610010</v>
      </c>
      <c r="F3419" t="s">
        <v>5680</v>
      </c>
      <c r="G3419" t="s">
        <v>5885</v>
      </c>
      <c r="H3419" t="s">
        <v>5972</v>
      </c>
      <c r="I3419">
        <v>0</v>
      </c>
      <c r="J3419" t="s">
        <v>343</v>
      </c>
      <c r="L3419">
        <v>-330000</v>
      </c>
      <c r="N3419">
        <v>-330000</v>
      </c>
    </row>
    <row r="3420" spans="1:14" x14ac:dyDescent="0.35">
      <c r="A3420" t="str">
        <f t="shared" si="179"/>
        <v>VTE45736FAB250070070610010</v>
      </c>
      <c r="B3420" t="s">
        <v>131</v>
      </c>
      <c r="C3420" s="1">
        <v>45736</v>
      </c>
      <c r="D3420" t="s">
        <v>5685</v>
      </c>
      <c r="E3420" t="str">
        <f t="shared" si="180"/>
        <v>70610010</v>
      </c>
      <c r="F3420" t="s">
        <v>5581</v>
      </c>
      <c r="G3420" t="s">
        <v>5885</v>
      </c>
      <c r="H3420" t="s">
        <v>5970</v>
      </c>
      <c r="I3420">
        <v>0</v>
      </c>
      <c r="J3420" t="s">
        <v>343</v>
      </c>
      <c r="L3420">
        <v>20384138</v>
      </c>
      <c r="N3420">
        <v>20384138</v>
      </c>
    </row>
    <row r="3421" spans="1:14" x14ac:dyDescent="0.35">
      <c r="A3421" t="str">
        <f t="shared" si="179"/>
        <v>VTE45736FAB250070070610010</v>
      </c>
      <c r="B3421" t="s">
        <v>131</v>
      </c>
      <c r="C3421" s="1">
        <v>45736</v>
      </c>
      <c r="D3421" t="s">
        <v>5685</v>
      </c>
      <c r="E3421" t="str">
        <f t="shared" si="180"/>
        <v>70610010</v>
      </c>
      <c r="F3421" t="s">
        <v>5581</v>
      </c>
      <c r="G3421" t="s">
        <v>5885</v>
      </c>
      <c r="H3421" t="s">
        <v>5970</v>
      </c>
      <c r="I3421">
        <v>0</v>
      </c>
      <c r="J3421" t="s">
        <v>343</v>
      </c>
      <c r="L3421">
        <v>20384138</v>
      </c>
      <c r="N3421">
        <v>20384138</v>
      </c>
    </row>
    <row r="3422" spans="1:14" x14ac:dyDescent="0.35">
      <c r="A3422" t="str">
        <f t="shared" si="179"/>
        <v>VTE45736FAB250070070610010</v>
      </c>
      <c r="B3422" t="s">
        <v>131</v>
      </c>
      <c r="C3422" s="1">
        <v>45736</v>
      </c>
      <c r="D3422" t="s">
        <v>5685</v>
      </c>
      <c r="E3422" t="str">
        <f t="shared" si="180"/>
        <v>70610010</v>
      </c>
      <c r="F3422" t="s">
        <v>5666</v>
      </c>
      <c r="G3422" t="s">
        <v>5885</v>
      </c>
      <c r="H3422" t="s">
        <v>5970</v>
      </c>
      <c r="I3422">
        <v>0</v>
      </c>
      <c r="J3422" t="s">
        <v>343</v>
      </c>
      <c r="L3422">
        <v>-20384138</v>
      </c>
      <c r="N3422">
        <v>-20384138</v>
      </c>
    </row>
    <row r="3423" spans="1:14" x14ac:dyDescent="0.35">
      <c r="A3423" t="str">
        <f t="shared" si="179"/>
        <v>VTE45736FAB250070170610010</v>
      </c>
      <c r="B3423" t="s">
        <v>131</v>
      </c>
      <c r="C3423" s="1">
        <v>45736</v>
      </c>
      <c r="D3423" t="s">
        <v>1780</v>
      </c>
      <c r="E3423" t="str">
        <f t="shared" si="180"/>
        <v>70610010</v>
      </c>
      <c r="F3423" t="s">
        <v>5686</v>
      </c>
      <c r="G3423" t="s">
        <v>5885</v>
      </c>
      <c r="H3423" t="s">
        <v>5974</v>
      </c>
      <c r="I3423">
        <v>0</v>
      </c>
      <c r="J3423" t="s">
        <v>343</v>
      </c>
      <c r="L3423">
        <v>600000</v>
      </c>
      <c r="N3423">
        <v>1200000</v>
      </c>
    </row>
    <row r="3424" spans="1:14" x14ac:dyDescent="0.35">
      <c r="A3424" t="str">
        <f t="shared" si="179"/>
        <v>VTE45736FAB250070170610010</v>
      </c>
      <c r="B3424" t="s">
        <v>131</v>
      </c>
      <c r="C3424" s="1">
        <v>45736</v>
      </c>
      <c r="D3424" t="s">
        <v>1780</v>
      </c>
      <c r="E3424" t="str">
        <f t="shared" si="180"/>
        <v>70610010</v>
      </c>
      <c r="F3424" t="s">
        <v>5686</v>
      </c>
      <c r="G3424" t="s">
        <v>5885</v>
      </c>
      <c r="H3424" t="s">
        <v>5975</v>
      </c>
      <c r="I3424">
        <v>0</v>
      </c>
      <c r="J3424" t="s">
        <v>343</v>
      </c>
      <c r="L3424">
        <v>600000</v>
      </c>
      <c r="N3424">
        <v>1200000</v>
      </c>
    </row>
    <row r="3425" spans="1:14" x14ac:dyDescent="0.35">
      <c r="A3425" t="str">
        <f t="shared" si="179"/>
        <v>VTE45736FAB250070170610010</v>
      </c>
      <c r="B3425" t="s">
        <v>131</v>
      </c>
      <c r="C3425" s="1">
        <v>45736</v>
      </c>
      <c r="D3425" t="s">
        <v>1780</v>
      </c>
      <c r="E3425" t="str">
        <f t="shared" si="180"/>
        <v>70610010</v>
      </c>
      <c r="F3425" t="s">
        <v>5686</v>
      </c>
      <c r="G3425" t="s">
        <v>5885</v>
      </c>
      <c r="H3425" t="s">
        <v>5974</v>
      </c>
      <c r="I3425">
        <v>0</v>
      </c>
      <c r="J3425" t="s">
        <v>343</v>
      </c>
      <c r="L3425">
        <v>600000</v>
      </c>
      <c r="N3425">
        <v>1200000</v>
      </c>
    </row>
    <row r="3426" spans="1:14" x14ac:dyDescent="0.35">
      <c r="A3426" t="str">
        <f t="shared" si="179"/>
        <v>VTE45736FAB250070170610010</v>
      </c>
      <c r="B3426" t="s">
        <v>131</v>
      </c>
      <c r="C3426" s="1">
        <v>45736</v>
      </c>
      <c r="D3426" t="s">
        <v>1780</v>
      </c>
      <c r="E3426" t="str">
        <f t="shared" si="180"/>
        <v>70610010</v>
      </c>
      <c r="F3426" t="s">
        <v>5686</v>
      </c>
      <c r="G3426" t="s">
        <v>5885</v>
      </c>
      <c r="H3426" t="s">
        <v>5975</v>
      </c>
      <c r="I3426">
        <v>0</v>
      </c>
      <c r="J3426" t="s">
        <v>343</v>
      </c>
      <c r="L3426">
        <v>600000</v>
      </c>
      <c r="N3426">
        <v>1200000</v>
      </c>
    </row>
    <row r="3427" spans="1:14" x14ac:dyDescent="0.35">
      <c r="A3427" t="str">
        <f t="shared" si="179"/>
        <v>VTE45736FAB250070170610010</v>
      </c>
      <c r="B3427" t="s">
        <v>131</v>
      </c>
      <c r="C3427" s="1">
        <v>45736</v>
      </c>
      <c r="D3427" t="s">
        <v>1780</v>
      </c>
      <c r="E3427" t="str">
        <f t="shared" si="180"/>
        <v>70610010</v>
      </c>
      <c r="F3427" t="s">
        <v>5687</v>
      </c>
      <c r="G3427" t="s">
        <v>5885</v>
      </c>
      <c r="H3427" t="s">
        <v>5974</v>
      </c>
      <c r="I3427">
        <v>0</v>
      </c>
      <c r="J3427" t="s">
        <v>343</v>
      </c>
      <c r="L3427">
        <v>-600000</v>
      </c>
      <c r="N3427">
        <v>-1200000</v>
      </c>
    </row>
    <row r="3428" spans="1:14" x14ac:dyDescent="0.35">
      <c r="A3428" t="str">
        <f t="shared" si="179"/>
        <v>VTE45736FAB250070170610010</v>
      </c>
      <c r="B3428" t="s">
        <v>131</v>
      </c>
      <c r="C3428" s="1">
        <v>45736</v>
      </c>
      <c r="D3428" t="s">
        <v>1780</v>
      </c>
      <c r="E3428" t="str">
        <f t="shared" si="180"/>
        <v>70610010</v>
      </c>
      <c r="F3428" t="s">
        <v>5687</v>
      </c>
      <c r="G3428" t="s">
        <v>5885</v>
      </c>
      <c r="H3428" t="s">
        <v>5975</v>
      </c>
      <c r="I3428">
        <v>0</v>
      </c>
      <c r="J3428" t="s">
        <v>343</v>
      </c>
      <c r="L3428">
        <v>-600000</v>
      </c>
      <c r="N3428">
        <v>-1200000</v>
      </c>
    </row>
    <row r="3429" spans="1:14" x14ac:dyDescent="0.35">
      <c r="A3429" t="str">
        <f t="shared" si="179"/>
        <v>VTE45736FAB250070170610030</v>
      </c>
      <c r="B3429" t="s">
        <v>131</v>
      </c>
      <c r="C3429" s="1">
        <v>45736</v>
      </c>
      <c r="D3429" t="s">
        <v>1780</v>
      </c>
      <c r="E3429" t="str">
        <f>"70610030"</f>
        <v>70610030</v>
      </c>
      <c r="F3429" t="s">
        <v>5686</v>
      </c>
      <c r="G3429" t="s">
        <v>5885</v>
      </c>
      <c r="H3429" t="s">
        <v>5976</v>
      </c>
      <c r="I3429">
        <v>0</v>
      </c>
      <c r="J3429" t="s">
        <v>343</v>
      </c>
      <c r="L3429">
        <v>1300000</v>
      </c>
      <c r="N3429">
        <v>1300000</v>
      </c>
    </row>
    <row r="3430" spans="1:14" x14ac:dyDescent="0.35">
      <c r="A3430" t="str">
        <f t="shared" si="179"/>
        <v>VTE45736FAB250070170610030</v>
      </c>
      <c r="B3430" t="s">
        <v>131</v>
      </c>
      <c r="C3430" s="1">
        <v>45736</v>
      </c>
      <c r="D3430" t="s">
        <v>1780</v>
      </c>
      <c r="E3430" t="str">
        <f>"70610030"</f>
        <v>70610030</v>
      </c>
      <c r="F3430" t="s">
        <v>5686</v>
      </c>
      <c r="G3430" t="s">
        <v>5885</v>
      </c>
      <c r="H3430" t="s">
        <v>5976</v>
      </c>
      <c r="I3430">
        <v>0</v>
      </c>
      <c r="J3430" t="s">
        <v>343</v>
      </c>
      <c r="L3430">
        <v>1300000</v>
      </c>
      <c r="N3430">
        <v>1300000</v>
      </c>
    </row>
    <row r="3431" spans="1:14" x14ac:dyDescent="0.35">
      <c r="A3431" t="str">
        <f t="shared" si="179"/>
        <v>VTE45736FAB250070170610030</v>
      </c>
      <c r="B3431" t="s">
        <v>131</v>
      </c>
      <c r="C3431" s="1">
        <v>45736</v>
      </c>
      <c r="D3431" t="s">
        <v>1780</v>
      </c>
      <c r="E3431" t="str">
        <f>"70610030"</f>
        <v>70610030</v>
      </c>
      <c r="F3431" t="s">
        <v>5687</v>
      </c>
      <c r="G3431" t="s">
        <v>5885</v>
      </c>
      <c r="H3431" t="s">
        <v>5976</v>
      </c>
      <c r="I3431">
        <v>0</v>
      </c>
      <c r="J3431" t="s">
        <v>343</v>
      </c>
      <c r="L3431">
        <v>-1300000</v>
      </c>
      <c r="N3431">
        <v>-1300000</v>
      </c>
    </row>
    <row r="3432" spans="1:14" x14ac:dyDescent="0.35">
      <c r="A3432" t="str">
        <f t="shared" si="179"/>
        <v>VTE45736FAB250070247310100</v>
      </c>
      <c r="B3432" t="s">
        <v>131</v>
      </c>
      <c r="C3432" s="1">
        <v>45736</v>
      </c>
      <c r="D3432" t="s">
        <v>5688</v>
      </c>
      <c r="E3432" t="str">
        <f>"47310100"</f>
        <v>47310100</v>
      </c>
      <c r="F3432" t="s">
        <v>5512</v>
      </c>
      <c r="G3432" t="s">
        <v>5885</v>
      </c>
      <c r="H3432" t="s">
        <v>350</v>
      </c>
      <c r="I3432">
        <v>0</v>
      </c>
      <c r="J3432" t="s">
        <v>343</v>
      </c>
      <c r="L3432">
        <v>118000</v>
      </c>
      <c r="N3432">
        <v>118000</v>
      </c>
    </row>
    <row r="3433" spans="1:14" x14ac:dyDescent="0.35">
      <c r="A3433" t="str">
        <f t="shared" si="179"/>
        <v>VTE45736FAB250070247310100</v>
      </c>
      <c r="B3433" t="s">
        <v>131</v>
      </c>
      <c r="C3433" s="1">
        <v>45736</v>
      </c>
      <c r="D3433" t="s">
        <v>5688</v>
      </c>
      <c r="E3433" t="str">
        <f>"47310100"</f>
        <v>47310100</v>
      </c>
      <c r="F3433" t="s">
        <v>5512</v>
      </c>
      <c r="G3433" t="s">
        <v>5885</v>
      </c>
      <c r="H3433" t="s">
        <v>350</v>
      </c>
      <c r="I3433">
        <v>0</v>
      </c>
      <c r="J3433" t="s">
        <v>343</v>
      </c>
      <c r="L3433">
        <v>118000</v>
      </c>
      <c r="N3433">
        <v>118000</v>
      </c>
    </row>
    <row r="3434" spans="1:14" x14ac:dyDescent="0.35">
      <c r="A3434" t="str">
        <f t="shared" si="179"/>
        <v>VTE45736FAB250070247310100</v>
      </c>
      <c r="B3434" t="s">
        <v>131</v>
      </c>
      <c r="C3434" s="1">
        <v>45736</v>
      </c>
      <c r="D3434" t="s">
        <v>5688</v>
      </c>
      <c r="E3434" t="str">
        <f>"47310100"</f>
        <v>47310100</v>
      </c>
      <c r="F3434" t="s">
        <v>5689</v>
      </c>
      <c r="G3434" t="s">
        <v>5885</v>
      </c>
      <c r="H3434" t="s">
        <v>350</v>
      </c>
      <c r="I3434">
        <v>0</v>
      </c>
      <c r="J3434" t="s">
        <v>343</v>
      </c>
      <c r="L3434">
        <v>-118000</v>
      </c>
      <c r="N3434">
        <v>-118000</v>
      </c>
    </row>
    <row r="3435" spans="1:14" x14ac:dyDescent="0.35">
      <c r="A3435" t="str">
        <f t="shared" si="179"/>
        <v>VTE45736FAB250070270610010</v>
      </c>
      <c r="B3435" t="s">
        <v>131</v>
      </c>
      <c r="C3435" s="1">
        <v>45736</v>
      </c>
      <c r="D3435" t="s">
        <v>5688</v>
      </c>
      <c r="E3435" t="str">
        <f t="shared" ref="E3435:E3443" si="181">"70610010"</f>
        <v>70610010</v>
      </c>
      <c r="F3435" t="s">
        <v>5512</v>
      </c>
      <c r="G3435" t="s">
        <v>5885</v>
      </c>
      <c r="H3435" t="s">
        <v>5972</v>
      </c>
      <c r="I3435">
        <v>0</v>
      </c>
      <c r="J3435" t="s">
        <v>343</v>
      </c>
      <c r="L3435">
        <v>536000</v>
      </c>
      <c r="N3435">
        <v>536000</v>
      </c>
    </row>
    <row r="3436" spans="1:14" x14ac:dyDescent="0.35">
      <c r="A3436" t="str">
        <f t="shared" si="179"/>
        <v>VTE45736FAB250070270610010</v>
      </c>
      <c r="B3436" t="s">
        <v>131</v>
      </c>
      <c r="C3436" s="1">
        <v>45736</v>
      </c>
      <c r="D3436" t="s">
        <v>5688</v>
      </c>
      <c r="E3436" t="str">
        <f t="shared" si="181"/>
        <v>70610010</v>
      </c>
      <c r="F3436" t="s">
        <v>5512</v>
      </c>
      <c r="G3436" t="s">
        <v>5885</v>
      </c>
      <c r="H3436" t="s">
        <v>5972</v>
      </c>
      <c r="I3436">
        <v>0</v>
      </c>
      <c r="J3436" t="s">
        <v>343</v>
      </c>
      <c r="L3436">
        <v>536000</v>
      </c>
      <c r="N3436">
        <v>536000</v>
      </c>
    </row>
    <row r="3437" spans="1:14" x14ac:dyDescent="0.35">
      <c r="A3437" t="str">
        <f t="shared" si="179"/>
        <v>VTE45736FAB250070270610010</v>
      </c>
      <c r="B3437" t="s">
        <v>131</v>
      </c>
      <c r="C3437" s="1">
        <v>45736</v>
      </c>
      <c r="D3437" t="s">
        <v>5688</v>
      </c>
      <c r="E3437" t="str">
        <f t="shared" si="181"/>
        <v>70610010</v>
      </c>
      <c r="F3437" t="s">
        <v>5689</v>
      </c>
      <c r="G3437" t="s">
        <v>5885</v>
      </c>
      <c r="H3437" t="s">
        <v>5972</v>
      </c>
      <c r="I3437">
        <v>0</v>
      </c>
      <c r="J3437" t="s">
        <v>343</v>
      </c>
      <c r="L3437">
        <v>-536000</v>
      </c>
      <c r="N3437">
        <v>-536000</v>
      </c>
    </row>
    <row r="3438" spans="1:14" x14ac:dyDescent="0.35">
      <c r="A3438" t="str">
        <f t="shared" si="179"/>
        <v>VTE45736FAB250070370610010</v>
      </c>
      <c r="B3438" t="s">
        <v>131</v>
      </c>
      <c r="C3438" s="1">
        <v>45736</v>
      </c>
      <c r="D3438" t="s">
        <v>5690</v>
      </c>
      <c r="E3438" t="str">
        <f t="shared" si="181"/>
        <v>70610010</v>
      </c>
      <c r="F3438" t="s">
        <v>5512</v>
      </c>
      <c r="G3438" t="s">
        <v>5885</v>
      </c>
      <c r="H3438" t="s">
        <v>5972</v>
      </c>
      <c r="I3438">
        <v>0</v>
      </c>
      <c r="J3438" t="s">
        <v>343</v>
      </c>
      <c r="L3438">
        <v>2010000</v>
      </c>
      <c r="N3438">
        <v>2010000</v>
      </c>
    </row>
    <row r="3439" spans="1:14" x14ac:dyDescent="0.35">
      <c r="A3439" t="str">
        <f t="shared" si="179"/>
        <v>VTE45736FAB250070370610010</v>
      </c>
      <c r="B3439" t="s">
        <v>131</v>
      </c>
      <c r="C3439" s="1">
        <v>45736</v>
      </c>
      <c r="D3439" t="s">
        <v>5690</v>
      </c>
      <c r="E3439" t="str">
        <f t="shared" si="181"/>
        <v>70610010</v>
      </c>
      <c r="F3439" t="s">
        <v>5512</v>
      </c>
      <c r="G3439" t="s">
        <v>5885</v>
      </c>
      <c r="H3439" t="s">
        <v>5972</v>
      </c>
      <c r="I3439">
        <v>0</v>
      </c>
      <c r="J3439" t="s">
        <v>343</v>
      </c>
      <c r="L3439">
        <v>2010000</v>
      </c>
      <c r="N3439">
        <v>2010000</v>
      </c>
    </row>
    <row r="3440" spans="1:14" x14ac:dyDescent="0.35">
      <c r="A3440" t="str">
        <f t="shared" si="179"/>
        <v>VTE45736FAB250070370610010</v>
      </c>
      <c r="B3440" t="s">
        <v>131</v>
      </c>
      <c r="C3440" s="1">
        <v>45736</v>
      </c>
      <c r="D3440" t="s">
        <v>5690</v>
      </c>
      <c r="E3440" t="str">
        <f t="shared" si="181"/>
        <v>70610010</v>
      </c>
      <c r="F3440" t="s">
        <v>5689</v>
      </c>
      <c r="G3440" t="s">
        <v>5885</v>
      </c>
      <c r="H3440" t="s">
        <v>5972</v>
      </c>
      <c r="I3440">
        <v>0</v>
      </c>
      <c r="J3440" t="s">
        <v>343</v>
      </c>
      <c r="L3440">
        <v>-2010000</v>
      </c>
      <c r="N3440">
        <v>-2010000</v>
      </c>
    </row>
    <row r="3441" spans="1:14" x14ac:dyDescent="0.35">
      <c r="A3441" t="str">
        <f t="shared" si="179"/>
        <v>VTE45736FAB250070470610010</v>
      </c>
      <c r="B3441" t="s">
        <v>131</v>
      </c>
      <c r="C3441" s="1">
        <v>45736</v>
      </c>
      <c r="D3441" t="s">
        <v>5691</v>
      </c>
      <c r="E3441" t="str">
        <f t="shared" si="181"/>
        <v>70610010</v>
      </c>
      <c r="F3441" t="s">
        <v>5512</v>
      </c>
      <c r="G3441" t="s">
        <v>5885</v>
      </c>
      <c r="H3441" t="s">
        <v>5972</v>
      </c>
      <c r="I3441">
        <v>0</v>
      </c>
      <c r="J3441" t="s">
        <v>343</v>
      </c>
      <c r="L3441">
        <v>402000</v>
      </c>
      <c r="N3441">
        <v>402000</v>
      </c>
    </row>
    <row r="3442" spans="1:14" x14ac:dyDescent="0.35">
      <c r="A3442" t="str">
        <f t="shared" si="179"/>
        <v>VTE45736FAB250070470610010</v>
      </c>
      <c r="B3442" t="s">
        <v>131</v>
      </c>
      <c r="C3442" s="1">
        <v>45736</v>
      </c>
      <c r="D3442" t="s">
        <v>5691</v>
      </c>
      <c r="E3442" t="str">
        <f t="shared" si="181"/>
        <v>70610010</v>
      </c>
      <c r="F3442" t="s">
        <v>5512</v>
      </c>
      <c r="G3442" t="s">
        <v>5885</v>
      </c>
      <c r="H3442" t="s">
        <v>5972</v>
      </c>
      <c r="I3442">
        <v>0</v>
      </c>
      <c r="J3442" t="s">
        <v>343</v>
      </c>
      <c r="L3442">
        <v>402000</v>
      </c>
      <c r="N3442">
        <v>402000</v>
      </c>
    </row>
    <row r="3443" spans="1:14" x14ac:dyDescent="0.35">
      <c r="A3443" t="str">
        <f t="shared" si="179"/>
        <v>VTE45736FAB250070470610010</v>
      </c>
      <c r="B3443" t="s">
        <v>131</v>
      </c>
      <c r="C3443" s="1">
        <v>45736</v>
      </c>
      <c r="D3443" t="s">
        <v>5691</v>
      </c>
      <c r="E3443" t="str">
        <f t="shared" si="181"/>
        <v>70610010</v>
      </c>
      <c r="F3443" t="s">
        <v>5689</v>
      </c>
      <c r="G3443" t="s">
        <v>5885</v>
      </c>
      <c r="H3443" t="s">
        <v>5972</v>
      </c>
      <c r="I3443">
        <v>0</v>
      </c>
      <c r="J3443" t="s">
        <v>343</v>
      </c>
      <c r="L3443">
        <v>-402000</v>
      </c>
      <c r="N3443">
        <v>-402000</v>
      </c>
    </row>
    <row r="3444" spans="1:14" x14ac:dyDescent="0.35">
      <c r="A3444" t="str">
        <f t="shared" si="179"/>
        <v>VTE45736FAB250070547310100</v>
      </c>
      <c r="B3444" t="s">
        <v>131</v>
      </c>
      <c r="C3444" s="1">
        <v>45736</v>
      </c>
      <c r="D3444" t="s">
        <v>5692</v>
      </c>
      <c r="E3444" t="str">
        <f>"47310100"</f>
        <v>47310100</v>
      </c>
      <c r="F3444" t="s">
        <v>139</v>
      </c>
      <c r="G3444" t="s">
        <v>5885</v>
      </c>
      <c r="H3444" t="s">
        <v>350</v>
      </c>
      <c r="I3444">
        <v>0</v>
      </c>
      <c r="J3444" t="s">
        <v>343</v>
      </c>
      <c r="L3444">
        <v>118000</v>
      </c>
      <c r="N3444">
        <v>118000</v>
      </c>
    </row>
    <row r="3445" spans="1:14" x14ac:dyDescent="0.35">
      <c r="A3445" t="str">
        <f t="shared" si="179"/>
        <v>VTE45736FAB250070547310100</v>
      </c>
      <c r="B3445" t="s">
        <v>131</v>
      </c>
      <c r="C3445" s="1">
        <v>45736</v>
      </c>
      <c r="D3445" t="s">
        <v>5692</v>
      </c>
      <c r="E3445" t="str">
        <f>"47310100"</f>
        <v>47310100</v>
      </c>
      <c r="F3445" t="s">
        <v>139</v>
      </c>
      <c r="G3445" t="s">
        <v>5885</v>
      </c>
      <c r="H3445" t="s">
        <v>350</v>
      </c>
      <c r="I3445">
        <v>0</v>
      </c>
      <c r="J3445" t="s">
        <v>343</v>
      </c>
      <c r="L3445">
        <v>118000</v>
      </c>
      <c r="N3445">
        <v>118000</v>
      </c>
    </row>
    <row r="3446" spans="1:14" x14ac:dyDescent="0.35">
      <c r="A3446" t="str">
        <f t="shared" si="179"/>
        <v>VTE45736FAB250070547310100</v>
      </c>
      <c r="B3446" t="s">
        <v>131</v>
      </c>
      <c r="C3446" s="1">
        <v>45736</v>
      </c>
      <c r="D3446" t="s">
        <v>5692</v>
      </c>
      <c r="E3446" t="str">
        <f>"47310100"</f>
        <v>47310100</v>
      </c>
      <c r="F3446" t="s">
        <v>254</v>
      </c>
      <c r="G3446" t="s">
        <v>5885</v>
      </c>
      <c r="H3446" t="s">
        <v>350</v>
      </c>
      <c r="I3446">
        <v>0</v>
      </c>
      <c r="J3446" t="s">
        <v>343</v>
      </c>
      <c r="L3446">
        <v>-118000</v>
      </c>
      <c r="N3446">
        <v>-118000</v>
      </c>
    </row>
    <row r="3447" spans="1:14" x14ac:dyDescent="0.35">
      <c r="A3447" t="str">
        <f t="shared" si="179"/>
        <v>VTE45736FAB250070570610010</v>
      </c>
      <c r="B3447" t="s">
        <v>131</v>
      </c>
      <c r="C3447" s="1">
        <v>45736</v>
      </c>
      <c r="D3447" t="s">
        <v>5692</v>
      </c>
      <c r="E3447" t="str">
        <f>"70610010"</f>
        <v>70610010</v>
      </c>
      <c r="F3447" t="s">
        <v>139</v>
      </c>
      <c r="G3447" t="s">
        <v>5885</v>
      </c>
      <c r="H3447" t="s">
        <v>5972</v>
      </c>
      <c r="I3447">
        <v>0</v>
      </c>
      <c r="J3447" t="s">
        <v>343</v>
      </c>
      <c r="L3447">
        <v>536000</v>
      </c>
      <c r="N3447">
        <v>536000</v>
      </c>
    </row>
    <row r="3448" spans="1:14" x14ac:dyDescent="0.35">
      <c r="A3448" t="str">
        <f t="shared" si="179"/>
        <v>VTE45736FAB250070570610010</v>
      </c>
      <c r="B3448" t="s">
        <v>131</v>
      </c>
      <c r="C3448" s="1">
        <v>45736</v>
      </c>
      <c r="D3448" t="s">
        <v>5692</v>
      </c>
      <c r="E3448" t="str">
        <f>"70610010"</f>
        <v>70610010</v>
      </c>
      <c r="F3448" t="s">
        <v>139</v>
      </c>
      <c r="G3448" t="s">
        <v>5885</v>
      </c>
      <c r="H3448" t="s">
        <v>5972</v>
      </c>
      <c r="I3448">
        <v>0</v>
      </c>
      <c r="J3448" t="s">
        <v>343</v>
      </c>
      <c r="L3448">
        <v>536000</v>
      </c>
      <c r="N3448">
        <v>536000</v>
      </c>
    </row>
    <row r="3449" spans="1:14" x14ac:dyDescent="0.35">
      <c r="A3449" t="str">
        <f t="shared" si="179"/>
        <v>VTE45736FAB250070570610010</v>
      </c>
      <c r="B3449" t="s">
        <v>131</v>
      </c>
      <c r="C3449" s="1">
        <v>45736</v>
      </c>
      <c r="D3449" t="s">
        <v>5692</v>
      </c>
      <c r="E3449" t="str">
        <f>"70610010"</f>
        <v>70610010</v>
      </c>
      <c r="F3449" t="s">
        <v>254</v>
      </c>
      <c r="G3449" t="s">
        <v>5885</v>
      </c>
      <c r="H3449" t="s">
        <v>5972</v>
      </c>
      <c r="I3449">
        <v>0</v>
      </c>
      <c r="J3449" t="s">
        <v>343</v>
      </c>
      <c r="L3449">
        <v>-536000</v>
      </c>
      <c r="N3449">
        <v>-536000</v>
      </c>
    </row>
    <row r="3450" spans="1:14" x14ac:dyDescent="0.35">
      <c r="A3450" t="str">
        <f t="shared" si="179"/>
        <v>VTE45736FAB250070647310100</v>
      </c>
      <c r="B3450" t="s">
        <v>131</v>
      </c>
      <c r="C3450" s="1">
        <v>45736</v>
      </c>
      <c r="D3450" t="s">
        <v>5693</v>
      </c>
      <c r="E3450" t="str">
        <f>"47310100"</f>
        <v>47310100</v>
      </c>
      <c r="F3450" t="s">
        <v>5518</v>
      </c>
      <c r="G3450" t="s">
        <v>5885</v>
      </c>
      <c r="H3450" t="s">
        <v>350</v>
      </c>
      <c r="I3450">
        <v>0</v>
      </c>
      <c r="J3450" t="s">
        <v>343</v>
      </c>
      <c r="L3450">
        <v>59000</v>
      </c>
      <c r="N3450">
        <v>59000</v>
      </c>
    </row>
    <row r="3451" spans="1:14" x14ac:dyDescent="0.35">
      <c r="A3451" t="str">
        <f t="shared" si="179"/>
        <v>VTE45736FAB250070647310100</v>
      </c>
      <c r="B3451" t="s">
        <v>131</v>
      </c>
      <c r="C3451" s="1">
        <v>45736</v>
      </c>
      <c r="D3451" t="s">
        <v>5693</v>
      </c>
      <c r="E3451" t="str">
        <f>"47310100"</f>
        <v>47310100</v>
      </c>
      <c r="F3451" t="s">
        <v>5518</v>
      </c>
      <c r="G3451" t="s">
        <v>5885</v>
      </c>
      <c r="H3451" t="s">
        <v>350</v>
      </c>
      <c r="I3451">
        <v>0</v>
      </c>
      <c r="J3451" t="s">
        <v>343</v>
      </c>
      <c r="L3451">
        <v>59000</v>
      </c>
      <c r="N3451">
        <v>59000</v>
      </c>
    </row>
    <row r="3452" spans="1:14" x14ac:dyDescent="0.35">
      <c r="A3452" t="str">
        <f t="shared" si="179"/>
        <v>VTE45736FAB250070647310100</v>
      </c>
      <c r="B3452" t="s">
        <v>131</v>
      </c>
      <c r="C3452" s="1">
        <v>45736</v>
      </c>
      <c r="D3452" t="s">
        <v>5693</v>
      </c>
      <c r="E3452" t="str">
        <f>"47310100"</f>
        <v>47310100</v>
      </c>
      <c r="F3452" t="s">
        <v>5676</v>
      </c>
      <c r="G3452" t="s">
        <v>5885</v>
      </c>
      <c r="H3452" t="s">
        <v>350</v>
      </c>
      <c r="I3452">
        <v>0</v>
      </c>
      <c r="J3452" t="s">
        <v>343</v>
      </c>
      <c r="L3452">
        <v>-59000</v>
      </c>
      <c r="N3452">
        <v>-59000</v>
      </c>
    </row>
    <row r="3453" spans="1:14" x14ac:dyDescent="0.35">
      <c r="A3453" t="str">
        <f t="shared" si="179"/>
        <v>VTE45736FAB250070670610010</v>
      </c>
      <c r="B3453" t="s">
        <v>131</v>
      </c>
      <c r="C3453" s="1">
        <v>45736</v>
      </c>
      <c r="D3453" t="s">
        <v>5693</v>
      </c>
      <c r="E3453" t="str">
        <f>"70610010"</f>
        <v>70610010</v>
      </c>
      <c r="F3453" t="s">
        <v>5518</v>
      </c>
      <c r="G3453" t="s">
        <v>5885</v>
      </c>
      <c r="H3453" t="s">
        <v>5972</v>
      </c>
      <c r="I3453">
        <v>0</v>
      </c>
      <c r="J3453" t="s">
        <v>343</v>
      </c>
      <c r="L3453">
        <v>150000</v>
      </c>
      <c r="N3453">
        <v>150000</v>
      </c>
    </row>
    <row r="3454" spans="1:14" x14ac:dyDescent="0.35">
      <c r="A3454" t="str">
        <f t="shared" si="179"/>
        <v>VTE45736FAB250070670610010</v>
      </c>
      <c r="B3454" t="s">
        <v>131</v>
      </c>
      <c r="C3454" s="1">
        <v>45736</v>
      </c>
      <c r="D3454" t="s">
        <v>5693</v>
      </c>
      <c r="E3454" t="str">
        <f>"70610010"</f>
        <v>70610010</v>
      </c>
      <c r="F3454" t="s">
        <v>5518</v>
      </c>
      <c r="G3454" t="s">
        <v>5885</v>
      </c>
      <c r="H3454" t="s">
        <v>5972</v>
      </c>
      <c r="I3454">
        <v>0</v>
      </c>
      <c r="J3454" t="s">
        <v>343</v>
      </c>
      <c r="L3454">
        <v>150000</v>
      </c>
      <c r="N3454">
        <v>150000</v>
      </c>
    </row>
    <row r="3455" spans="1:14" x14ac:dyDescent="0.35">
      <c r="A3455" t="str">
        <f t="shared" si="179"/>
        <v>VTE45736FAB250070670610010</v>
      </c>
      <c r="B3455" t="s">
        <v>131</v>
      </c>
      <c r="C3455" s="1">
        <v>45736</v>
      </c>
      <c r="D3455" t="s">
        <v>5693</v>
      </c>
      <c r="E3455" t="str">
        <f>"70610010"</f>
        <v>70610010</v>
      </c>
      <c r="F3455" t="s">
        <v>5676</v>
      </c>
      <c r="G3455" t="s">
        <v>5885</v>
      </c>
      <c r="H3455" t="s">
        <v>5972</v>
      </c>
      <c r="I3455">
        <v>0</v>
      </c>
      <c r="J3455" t="s">
        <v>343</v>
      </c>
      <c r="L3455">
        <v>-150000</v>
      </c>
      <c r="N3455">
        <v>-150000</v>
      </c>
    </row>
    <row r="3456" spans="1:14" x14ac:dyDescent="0.35">
      <c r="A3456" t="str">
        <f t="shared" si="179"/>
        <v>VTE45736FAB250070747310100</v>
      </c>
      <c r="B3456" t="s">
        <v>131</v>
      </c>
      <c r="C3456" s="1">
        <v>45736</v>
      </c>
      <c r="D3456" t="s">
        <v>5694</v>
      </c>
      <c r="E3456" t="str">
        <f>"47310100"</f>
        <v>47310100</v>
      </c>
      <c r="F3456" t="s">
        <v>180</v>
      </c>
      <c r="G3456" t="s">
        <v>5885</v>
      </c>
      <c r="H3456" t="s">
        <v>350</v>
      </c>
      <c r="I3456">
        <v>0</v>
      </c>
      <c r="J3456" t="s">
        <v>343</v>
      </c>
      <c r="L3456">
        <v>59000</v>
      </c>
      <c r="N3456">
        <v>59000</v>
      </c>
    </row>
    <row r="3457" spans="1:14" x14ac:dyDescent="0.35">
      <c r="A3457" t="str">
        <f t="shared" si="179"/>
        <v>VTE45736FAB250070747310100</v>
      </c>
      <c r="B3457" t="s">
        <v>131</v>
      </c>
      <c r="C3457" s="1">
        <v>45736</v>
      </c>
      <c r="D3457" t="s">
        <v>5694</v>
      </c>
      <c r="E3457" t="str">
        <f>"47310100"</f>
        <v>47310100</v>
      </c>
      <c r="F3457" t="s">
        <v>180</v>
      </c>
      <c r="G3457" t="s">
        <v>5885</v>
      </c>
      <c r="H3457" t="s">
        <v>350</v>
      </c>
      <c r="I3457">
        <v>0</v>
      </c>
      <c r="J3457" t="s">
        <v>343</v>
      </c>
      <c r="L3457">
        <v>59000</v>
      </c>
      <c r="N3457">
        <v>59000</v>
      </c>
    </row>
    <row r="3458" spans="1:14" x14ac:dyDescent="0.35">
      <c r="A3458" t="str">
        <f t="shared" si="179"/>
        <v>VTE45736FAB250070747310100</v>
      </c>
      <c r="B3458" t="s">
        <v>131</v>
      </c>
      <c r="C3458" s="1">
        <v>45736</v>
      </c>
      <c r="D3458" t="s">
        <v>5694</v>
      </c>
      <c r="E3458" t="str">
        <f>"47310100"</f>
        <v>47310100</v>
      </c>
      <c r="F3458" t="s">
        <v>257</v>
      </c>
      <c r="G3458" t="s">
        <v>5885</v>
      </c>
      <c r="H3458" t="s">
        <v>350</v>
      </c>
      <c r="I3458">
        <v>0</v>
      </c>
      <c r="J3458" t="s">
        <v>343</v>
      </c>
      <c r="L3458">
        <v>-59000</v>
      </c>
      <c r="N3458">
        <v>-59000</v>
      </c>
    </row>
    <row r="3459" spans="1:14" x14ac:dyDescent="0.35">
      <c r="A3459" t="str">
        <f t="shared" ref="A3459:A3522" si="182">CONCATENATE(B3459,C3459,D3459,E3459)</f>
        <v>VTE45736FAB250070770610010</v>
      </c>
      <c r="B3459" t="s">
        <v>131</v>
      </c>
      <c r="C3459" s="1">
        <v>45736</v>
      </c>
      <c r="D3459" t="s">
        <v>5694</v>
      </c>
      <c r="E3459" t="str">
        <f>"70610010"</f>
        <v>70610010</v>
      </c>
      <c r="F3459" t="s">
        <v>180</v>
      </c>
      <c r="G3459" t="s">
        <v>5885</v>
      </c>
      <c r="H3459" t="s">
        <v>5972</v>
      </c>
      <c r="I3459">
        <v>0</v>
      </c>
      <c r="J3459" t="s">
        <v>343</v>
      </c>
      <c r="L3459">
        <v>297000</v>
      </c>
      <c r="N3459">
        <v>297000</v>
      </c>
    </row>
    <row r="3460" spans="1:14" x14ac:dyDescent="0.35">
      <c r="A3460" t="str">
        <f t="shared" si="182"/>
        <v>VTE45736FAB250070770610010</v>
      </c>
      <c r="B3460" t="s">
        <v>131</v>
      </c>
      <c r="C3460" s="1">
        <v>45736</v>
      </c>
      <c r="D3460" t="s">
        <v>5694</v>
      </c>
      <c r="E3460" t="str">
        <f>"70610010"</f>
        <v>70610010</v>
      </c>
      <c r="F3460" t="s">
        <v>180</v>
      </c>
      <c r="G3460" t="s">
        <v>5885</v>
      </c>
      <c r="H3460" t="s">
        <v>5972</v>
      </c>
      <c r="I3460">
        <v>0</v>
      </c>
      <c r="J3460" t="s">
        <v>343</v>
      </c>
      <c r="L3460">
        <v>297000</v>
      </c>
      <c r="N3460">
        <v>297000</v>
      </c>
    </row>
    <row r="3461" spans="1:14" x14ac:dyDescent="0.35">
      <c r="A3461" t="str">
        <f t="shared" si="182"/>
        <v>VTE45736FAB250070770610010</v>
      </c>
      <c r="B3461" t="s">
        <v>131</v>
      </c>
      <c r="C3461" s="1">
        <v>45736</v>
      </c>
      <c r="D3461" t="s">
        <v>5694</v>
      </c>
      <c r="E3461" t="str">
        <f>"70610010"</f>
        <v>70610010</v>
      </c>
      <c r="F3461" t="s">
        <v>257</v>
      </c>
      <c r="G3461" t="s">
        <v>5885</v>
      </c>
      <c r="H3461" t="s">
        <v>5972</v>
      </c>
      <c r="I3461">
        <v>0</v>
      </c>
      <c r="J3461" t="s">
        <v>343</v>
      </c>
      <c r="L3461">
        <v>-297000</v>
      </c>
      <c r="N3461">
        <v>-297000</v>
      </c>
    </row>
    <row r="3462" spans="1:14" x14ac:dyDescent="0.35">
      <c r="A3462" t="str">
        <f t="shared" si="182"/>
        <v>VTE45736FBK250020970610012</v>
      </c>
      <c r="B3462" t="s">
        <v>131</v>
      </c>
      <c r="C3462" s="1">
        <v>45736</v>
      </c>
      <c r="D3462" t="s">
        <v>5695</v>
      </c>
      <c r="E3462" t="str">
        <f>"70610012"</f>
        <v>70610012</v>
      </c>
      <c r="F3462" t="s">
        <v>5508</v>
      </c>
      <c r="G3462" t="s">
        <v>5885</v>
      </c>
      <c r="H3462" t="s">
        <v>5977</v>
      </c>
      <c r="I3462">
        <v>0</v>
      </c>
      <c r="J3462" t="s">
        <v>343</v>
      </c>
      <c r="L3462">
        <v>6032055</v>
      </c>
      <c r="N3462">
        <v>6032055</v>
      </c>
    </row>
    <row r="3463" spans="1:14" x14ac:dyDescent="0.35">
      <c r="A3463" t="str">
        <f t="shared" si="182"/>
        <v>VTE45736FBK250020970610012</v>
      </c>
      <c r="B3463" t="s">
        <v>131</v>
      </c>
      <c r="C3463" s="1">
        <v>45736</v>
      </c>
      <c r="D3463" t="s">
        <v>5695</v>
      </c>
      <c r="E3463" t="str">
        <f>"70610012"</f>
        <v>70610012</v>
      </c>
      <c r="F3463" t="s">
        <v>5508</v>
      </c>
      <c r="G3463" t="s">
        <v>5885</v>
      </c>
      <c r="H3463" t="s">
        <v>5977</v>
      </c>
      <c r="I3463">
        <v>0</v>
      </c>
      <c r="J3463" t="s">
        <v>343</v>
      </c>
      <c r="L3463">
        <v>6032055</v>
      </c>
      <c r="N3463">
        <v>6032055</v>
      </c>
    </row>
    <row r="3464" spans="1:14" x14ac:dyDescent="0.35">
      <c r="A3464" t="str">
        <f t="shared" si="182"/>
        <v>VTE45736FBK250020970610012</v>
      </c>
      <c r="B3464" t="s">
        <v>131</v>
      </c>
      <c r="C3464" s="1">
        <v>45736</v>
      </c>
      <c r="D3464" t="s">
        <v>5695</v>
      </c>
      <c r="E3464" t="str">
        <f>"70610012"</f>
        <v>70610012</v>
      </c>
      <c r="F3464" t="s">
        <v>5611</v>
      </c>
      <c r="G3464" t="s">
        <v>5885</v>
      </c>
      <c r="H3464" t="s">
        <v>5977</v>
      </c>
      <c r="I3464">
        <v>0</v>
      </c>
      <c r="J3464" t="s">
        <v>343</v>
      </c>
      <c r="L3464">
        <v>-6032055</v>
      </c>
      <c r="N3464">
        <v>-6032055</v>
      </c>
    </row>
    <row r="3465" spans="1:14" x14ac:dyDescent="0.35">
      <c r="A3465" t="str">
        <f t="shared" si="182"/>
        <v>VTE45736FBK250021070610010</v>
      </c>
      <c r="B3465" t="s">
        <v>131</v>
      </c>
      <c r="C3465" s="1">
        <v>45736</v>
      </c>
      <c r="D3465" t="s">
        <v>5696</v>
      </c>
      <c r="E3465" t="str">
        <f>"70610010"</f>
        <v>70610010</v>
      </c>
      <c r="F3465" t="s">
        <v>5508</v>
      </c>
      <c r="G3465" t="s">
        <v>5885</v>
      </c>
      <c r="H3465" t="s">
        <v>5977</v>
      </c>
      <c r="I3465">
        <v>0</v>
      </c>
      <c r="J3465" t="s">
        <v>343</v>
      </c>
      <c r="L3465">
        <v>931500</v>
      </c>
      <c r="N3465">
        <v>931500</v>
      </c>
    </row>
    <row r="3466" spans="1:14" x14ac:dyDescent="0.35">
      <c r="A3466" t="str">
        <f t="shared" si="182"/>
        <v>VTE45736FBK250021070610010</v>
      </c>
      <c r="B3466" t="s">
        <v>131</v>
      </c>
      <c r="C3466" s="1">
        <v>45736</v>
      </c>
      <c r="D3466" t="s">
        <v>5696</v>
      </c>
      <c r="E3466" t="str">
        <f>"70610010"</f>
        <v>70610010</v>
      </c>
      <c r="F3466" t="s">
        <v>5508</v>
      </c>
      <c r="G3466" t="s">
        <v>5885</v>
      </c>
      <c r="H3466" t="s">
        <v>5977</v>
      </c>
      <c r="I3466">
        <v>0</v>
      </c>
      <c r="J3466" t="s">
        <v>343</v>
      </c>
      <c r="L3466">
        <v>931500</v>
      </c>
      <c r="N3466">
        <v>931500</v>
      </c>
    </row>
    <row r="3467" spans="1:14" x14ac:dyDescent="0.35">
      <c r="A3467" t="str">
        <f t="shared" si="182"/>
        <v>VTE45736FBK250021070610010</v>
      </c>
      <c r="B3467" t="s">
        <v>131</v>
      </c>
      <c r="C3467" s="1">
        <v>45736</v>
      </c>
      <c r="D3467" t="s">
        <v>5696</v>
      </c>
      <c r="E3467" t="str">
        <f>"70610010"</f>
        <v>70610010</v>
      </c>
      <c r="F3467" t="s">
        <v>5611</v>
      </c>
      <c r="G3467" t="s">
        <v>5885</v>
      </c>
      <c r="H3467" t="s">
        <v>5977</v>
      </c>
      <c r="I3467">
        <v>0</v>
      </c>
      <c r="J3467" t="s">
        <v>343</v>
      </c>
      <c r="L3467">
        <v>-931500</v>
      </c>
      <c r="N3467">
        <v>-931500</v>
      </c>
    </row>
    <row r="3468" spans="1:14" x14ac:dyDescent="0.35">
      <c r="A3468" t="str">
        <f t="shared" si="182"/>
        <v>VTE45736FBK250021170610012</v>
      </c>
      <c r="B3468" t="s">
        <v>131</v>
      </c>
      <c r="C3468" s="1">
        <v>45736</v>
      </c>
      <c r="D3468" t="s">
        <v>5697</v>
      </c>
      <c r="E3468" t="str">
        <f>"70610012"</f>
        <v>70610012</v>
      </c>
      <c r="F3468" t="s">
        <v>5508</v>
      </c>
      <c r="G3468" t="s">
        <v>5885</v>
      </c>
      <c r="H3468" t="s">
        <v>5977</v>
      </c>
      <c r="I3468">
        <v>0</v>
      </c>
      <c r="J3468" t="s">
        <v>343</v>
      </c>
      <c r="L3468">
        <v>1966502</v>
      </c>
      <c r="N3468">
        <v>1966502</v>
      </c>
    </row>
    <row r="3469" spans="1:14" x14ac:dyDescent="0.35">
      <c r="A3469" t="str">
        <f t="shared" si="182"/>
        <v>VTE45736FBK250021170610012</v>
      </c>
      <c r="B3469" t="s">
        <v>131</v>
      </c>
      <c r="C3469" s="1">
        <v>45736</v>
      </c>
      <c r="D3469" t="s">
        <v>5697</v>
      </c>
      <c r="E3469" t="str">
        <f>"70610012"</f>
        <v>70610012</v>
      </c>
      <c r="F3469" t="s">
        <v>5508</v>
      </c>
      <c r="G3469" t="s">
        <v>5885</v>
      </c>
      <c r="H3469" t="s">
        <v>5977</v>
      </c>
      <c r="I3469">
        <v>0</v>
      </c>
      <c r="J3469" t="s">
        <v>343</v>
      </c>
      <c r="L3469">
        <v>1966502</v>
      </c>
      <c r="N3469">
        <v>1966502</v>
      </c>
    </row>
    <row r="3470" spans="1:14" x14ac:dyDescent="0.35">
      <c r="A3470" t="str">
        <f t="shared" si="182"/>
        <v>VTE45736FBK250021170610012</v>
      </c>
      <c r="B3470" t="s">
        <v>131</v>
      </c>
      <c r="C3470" s="1">
        <v>45736</v>
      </c>
      <c r="D3470" t="s">
        <v>5697</v>
      </c>
      <c r="E3470" t="str">
        <f>"70610012"</f>
        <v>70610012</v>
      </c>
      <c r="F3470" t="s">
        <v>5611</v>
      </c>
      <c r="G3470" t="s">
        <v>5885</v>
      </c>
      <c r="H3470" t="s">
        <v>5977</v>
      </c>
      <c r="I3470">
        <v>0</v>
      </c>
      <c r="J3470" t="s">
        <v>343</v>
      </c>
      <c r="L3470">
        <v>-1966502</v>
      </c>
      <c r="N3470">
        <v>-1966502</v>
      </c>
    </row>
    <row r="3471" spans="1:14" x14ac:dyDescent="0.35">
      <c r="A3471" t="str">
        <f t="shared" si="182"/>
        <v>VTE45736FBK250021270610010</v>
      </c>
      <c r="B3471" t="s">
        <v>131</v>
      </c>
      <c r="C3471" s="1">
        <v>45736</v>
      </c>
      <c r="D3471" t="s">
        <v>5698</v>
      </c>
      <c r="E3471" t="str">
        <f>"70610010"</f>
        <v>70610010</v>
      </c>
      <c r="F3471" t="s">
        <v>5508</v>
      </c>
      <c r="G3471" t="s">
        <v>5885</v>
      </c>
      <c r="H3471" t="s">
        <v>5975</v>
      </c>
      <c r="I3471">
        <v>0</v>
      </c>
      <c r="J3471" t="s">
        <v>343</v>
      </c>
      <c r="L3471">
        <v>7347902</v>
      </c>
      <c r="N3471">
        <v>7347902</v>
      </c>
    </row>
    <row r="3472" spans="1:14" x14ac:dyDescent="0.35">
      <c r="A3472" t="str">
        <f t="shared" si="182"/>
        <v>VTE45736FBK250021270610010</v>
      </c>
      <c r="B3472" t="s">
        <v>131</v>
      </c>
      <c r="C3472" s="1">
        <v>45736</v>
      </c>
      <c r="D3472" t="s">
        <v>5698</v>
      </c>
      <c r="E3472" t="str">
        <f>"70610010"</f>
        <v>70610010</v>
      </c>
      <c r="F3472" t="s">
        <v>5508</v>
      </c>
      <c r="G3472" t="s">
        <v>5885</v>
      </c>
      <c r="H3472" t="s">
        <v>5975</v>
      </c>
      <c r="I3472">
        <v>0</v>
      </c>
      <c r="J3472" t="s">
        <v>343</v>
      </c>
      <c r="L3472">
        <v>7347902</v>
      </c>
      <c r="N3472">
        <v>7347902</v>
      </c>
    </row>
    <row r="3473" spans="1:14" x14ac:dyDescent="0.35">
      <c r="A3473" t="str">
        <f t="shared" si="182"/>
        <v>VTE45736FBK250021270610010</v>
      </c>
      <c r="B3473" t="s">
        <v>131</v>
      </c>
      <c r="C3473" s="1">
        <v>45736</v>
      </c>
      <c r="D3473" t="s">
        <v>5698</v>
      </c>
      <c r="E3473" t="str">
        <f>"70610010"</f>
        <v>70610010</v>
      </c>
      <c r="F3473" t="s">
        <v>5611</v>
      </c>
      <c r="G3473" t="s">
        <v>5885</v>
      </c>
      <c r="H3473" t="s">
        <v>5975</v>
      </c>
      <c r="I3473">
        <v>0</v>
      </c>
      <c r="J3473" t="s">
        <v>343</v>
      </c>
      <c r="L3473">
        <v>-7347902</v>
      </c>
      <c r="N3473">
        <v>-7347902</v>
      </c>
    </row>
    <row r="3474" spans="1:14" x14ac:dyDescent="0.35">
      <c r="A3474" t="str">
        <f t="shared" si="182"/>
        <v>VTE45736FBK250021370610012</v>
      </c>
      <c r="B3474" t="s">
        <v>131</v>
      </c>
      <c r="C3474" s="1">
        <v>45736</v>
      </c>
      <c r="D3474" t="s">
        <v>5699</v>
      </c>
      <c r="E3474" t="str">
        <f>"70610012"</f>
        <v>70610012</v>
      </c>
      <c r="F3474" t="s">
        <v>5508</v>
      </c>
      <c r="G3474" t="s">
        <v>5885</v>
      </c>
      <c r="H3474" t="s">
        <v>5977</v>
      </c>
      <c r="I3474">
        <v>0</v>
      </c>
      <c r="J3474" t="s">
        <v>343</v>
      </c>
      <c r="L3474">
        <v>6032055</v>
      </c>
      <c r="N3474">
        <v>6032055</v>
      </c>
    </row>
    <row r="3475" spans="1:14" x14ac:dyDescent="0.35">
      <c r="A3475" t="str">
        <f t="shared" si="182"/>
        <v>VTE45736FBK250021370610012</v>
      </c>
      <c r="B3475" t="s">
        <v>131</v>
      </c>
      <c r="C3475" s="1">
        <v>45736</v>
      </c>
      <c r="D3475" t="s">
        <v>5699</v>
      </c>
      <c r="E3475" t="str">
        <f>"70610012"</f>
        <v>70610012</v>
      </c>
      <c r="F3475" t="s">
        <v>5508</v>
      </c>
      <c r="G3475" t="s">
        <v>5885</v>
      </c>
      <c r="H3475" t="s">
        <v>5977</v>
      </c>
      <c r="I3475">
        <v>0</v>
      </c>
      <c r="J3475" t="s">
        <v>343</v>
      </c>
      <c r="L3475">
        <v>6032055</v>
      </c>
      <c r="N3475">
        <v>6032055</v>
      </c>
    </row>
    <row r="3476" spans="1:14" x14ac:dyDescent="0.35">
      <c r="A3476" t="str">
        <f t="shared" si="182"/>
        <v>VTE45736FBK250021370610012</v>
      </c>
      <c r="B3476" t="s">
        <v>131</v>
      </c>
      <c r="C3476" s="1">
        <v>45736</v>
      </c>
      <c r="D3476" t="s">
        <v>5699</v>
      </c>
      <c r="E3476" t="str">
        <f>"70610012"</f>
        <v>70610012</v>
      </c>
      <c r="F3476" t="s">
        <v>5611</v>
      </c>
      <c r="G3476" t="s">
        <v>5885</v>
      </c>
      <c r="H3476" t="s">
        <v>5977</v>
      </c>
      <c r="I3476">
        <v>0</v>
      </c>
      <c r="J3476" t="s">
        <v>343</v>
      </c>
      <c r="L3476">
        <v>-6032055</v>
      </c>
      <c r="N3476">
        <v>-6032055</v>
      </c>
    </row>
    <row r="3477" spans="1:14" x14ac:dyDescent="0.35">
      <c r="A3477" t="str">
        <f t="shared" si="182"/>
        <v>VTE45737FAB250070870610010</v>
      </c>
      <c r="B3477" t="s">
        <v>131</v>
      </c>
      <c r="C3477" s="1">
        <v>45737</v>
      </c>
      <c r="D3477" t="s">
        <v>5700</v>
      </c>
      <c r="E3477" t="str">
        <f t="shared" ref="E3477:E3488" si="183">"70610010"</f>
        <v>70610010</v>
      </c>
      <c r="F3477" t="s">
        <v>5508</v>
      </c>
      <c r="G3477" t="s">
        <v>5885</v>
      </c>
      <c r="H3477" t="s">
        <v>5975</v>
      </c>
      <c r="I3477">
        <v>0</v>
      </c>
      <c r="J3477" t="s">
        <v>343</v>
      </c>
      <c r="L3477">
        <v>258038</v>
      </c>
      <c r="N3477">
        <v>258038</v>
      </c>
    </row>
    <row r="3478" spans="1:14" x14ac:dyDescent="0.35">
      <c r="A3478" t="str">
        <f t="shared" si="182"/>
        <v>VTE45737FAB250070870610010</v>
      </c>
      <c r="B3478" t="s">
        <v>131</v>
      </c>
      <c r="C3478" s="1">
        <v>45737</v>
      </c>
      <c r="D3478" t="s">
        <v>5700</v>
      </c>
      <c r="E3478" t="str">
        <f t="shared" si="183"/>
        <v>70610010</v>
      </c>
      <c r="F3478" t="s">
        <v>5508</v>
      </c>
      <c r="G3478" t="s">
        <v>5885</v>
      </c>
      <c r="H3478" t="s">
        <v>5975</v>
      </c>
      <c r="I3478">
        <v>0</v>
      </c>
      <c r="J3478" t="s">
        <v>343</v>
      </c>
      <c r="L3478">
        <v>258038</v>
      </c>
      <c r="N3478">
        <v>258038</v>
      </c>
    </row>
    <row r="3479" spans="1:14" x14ac:dyDescent="0.35">
      <c r="A3479" t="str">
        <f t="shared" si="182"/>
        <v>VTE45737FAB250070870610010</v>
      </c>
      <c r="B3479" t="s">
        <v>131</v>
      </c>
      <c r="C3479" s="1">
        <v>45737</v>
      </c>
      <c r="D3479" t="s">
        <v>5700</v>
      </c>
      <c r="E3479" t="str">
        <f t="shared" si="183"/>
        <v>70610010</v>
      </c>
      <c r="F3479" t="s">
        <v>5611</v>
      </c>
      <c r="G3479" t="s">
        <v>5885</v>
      </c>
      <c r="H3479" t="s">
        <v>5975</v>
      </c>
      <c r="I3479">
        <v>0</v>
      </c>
      <c r="J3479" t="s">
        <v>343</v>
      </c>
      <c r="L3479">
        <v>-258038</v>
      </c>
      <c r="N3479">
        <v>-258038</v>
      </c>
    </row>
    <row r="3480" spans="1:14" x14ac:dyDescent="0.35">
      <c r="A3480" t="str">
        <f t="shared" si="182"/>
        <v>VTE45737FAB250070970610010</v>
      </c>
      <c r="B3480" t="s">
        <v>131</v>
      </c>
      <c r="C3480" s="1">
        <v>45737</v>
      </c>
      <c r="D3480" t="s">
        <v>5701</v>
      </c>
      <c r="E3480" t="str">
        <f t="shared" si="183"/>
        <v>70610010</v>
      </c>
      <c r="F3480" t="s">
        <v>5508</v>
      </c>
      <c r="G3480" t="s">
        <v>5885</v>
      </c>
      <c r="H3480" t="s">
        <v>5975</v>
      </c>
      <c r="I3480">
        <v>0</v>
      </c>
      <c r="J3480" t="s">
        <v>343</v>
      </c>
      <c r="L3480">
        <v>258038</v>
      </c>
      <c r="N3480">
        <v>258038</v>
      </c>
    </row>
    <row r="3481" spans="1:14" x14ac:dyDescent="0.35">
      <c r="A3481" t="str">
        <f t="shared" si="182"/>
        <v>VTE45737FAB250070970610010</v>
      </c>
      <c r="B3481" t="s">
        <v>131</v>
      </c>
      <c r="C3481" s="1">
        <v>45737</v>
      </c>
      <c r="D3481" t="s">
        <v>5701</v>
      </c>
      <c r="E3481" t="str">
        <f t="shared" si="183"/>
        <v>70610010</v>
      </c>
      <c r="F3481" t="s">
        <v>5508</v>
      </c>
      <c r="G3481" t="s">
        <v>5885</v>
      </c>
      <c r="H3481" t="s">
        <v>5975</v>
      </c>
      <c r="I3481">
        <v>0</v>
      </c>
      <c r="J3481" t="s">
        <v>343</v>
      </c>
      <c r="L3481">
        <v>258038</v>
      </c>
      <c r="N3481">
        <v>258038</v>
      </c>
    </row>
    <row r="3482" spans="1:14" x14ac:dyDescent="0.35">
      <c r="A3482" t="str">
        <f t="shared" si="182"/>
        <v>VTE45737FAB250070970610010</v>
      </c>
      <c r="B3482" t="s">
        <v>131</v>
      </c>
      <c r="C3482" s="1">
        <v>45737</v>
      </c>
      <c r="D3482" t="s">
        <v>5701</v>
      </c>
      <c r="E3482" t="str">
        <f t="shared" si="183"/>
        <v>70610010</v>
      </c>
      <c r="F3482" t="s">
        <v>5611</v>
      </c>
      <c r="G3482" t="s">
        <v>5885</v>
      </c>
      <c r="H3482" t="s">
        <v>5975</v>
      </c>
      <c r="I3482">
        <v>0</v>
      </c>
      <c r="J3482" t="s">
        <v>343</v>
      </c>
      <c r="L3482">
        <v>-258038</v>
      </c>
      <c r="N3482">
        <v>-258038</v>
      </c>
    </row>
    <row r="3483" spans="1:14" x14ac:dyDescent="0.35">
      <c r="A3483" t="str">
        <f t="shared" si="182"/>
        <v>VTE45737FAB250071070610010</v>
      </c>
      <c r="B3483" t="s">
        <v>131</v>
      </c>
      <c r="C3483" s="1">
        <v>45737</v>
      </c>
      <c r="D3483" t="s">
        <v>1782</v>
      </c>
      <c r="E3483" t="str">
        <f t="shared" si="183"/>
        <v>70610010</v>
      </c>
      <c r="F3483" t="s">
        <v>5686</v>
      </c>
      <c r="G3483" t="s">
        <v>5885</v>
      </c>
      <c r="H3483" t="s">
        <v>5975</v>
      </c>
      <c r="I3483">
        <v>0</v>
      </c>
      <c r="J3483" t="s">
        <v>343</v>
      </c>
      <c r="L3483">
        <v>1230000</v>
      </c>
      <c r="N3483">
        <v>1230000</v>
      </c>
    </row>
    <row r="3484" spans="1:14" x14ac:dyDescent="0.35">
      <c r="A3484" t="str">
        <f t="shared" si="182"/>
        <v>VTE45737FAB250071070610010</v>
      </c>
      <c r="B3484" t="s">
        <v>131</v>
      </c>
      <c r="C3484" s="1">
        <v>45737</v>
      </c>
      <c r="D3484" t="s">
        <v>1782</v>
      </c>
      <c r="E3484" t="str">
        <f t="shared" si="183"/>
        <v>70610010</v>
      </c>
      <c r="F3484" t="s">
        <v>5686</v>
      </c>
      <c r="G3484" t="s">
        <v>5885</v>
      </c>
      <c r="H3484" t="s">
        <v>5975</v>
      </c>
      <c r="I3484">
        <v>0</v>
      </c>
      <c r="J3484" t="s">
        <v>343</v>
      </c>
      <c r="L3484">
        <v>1230000</v>
      </c>
      <c r="N3484">
        <v>1230000</v>
      </c>
    </row>
    <row r="3485" spans="1:14" x14ac:dyDescent="0.35">
      <c r="A3485" t="str">
        <f t="shared" si="182"/>
        <v>VTE45737FAB250071070610010</v>
      </c>
      <c r="B3485" t="s">
        <v>131</v>
      </c>
      <c r="C3485" s="1">
        <v>45737</v>
      </c>
      <c r="D3485" t="s">
        <v>1782</v>
      </c>
      <c r="E3485" t="str">
        <f t="shared" si="183"/>
        <v>70610010</v>
      </c>
      <c r="F3485" t="s">
        <v>5687</v>
      </c>
      <c r="G3485" t="s">
        <v>5885</v>
      </c>
      <c r="H3485" t="s">
        <v>5975</v>
      </c>
      <c r="I3485">
        <v>0</v>
      </c>
      <c r="J3485" t="s">
        <v>343</v>
      </c>
      <c r="L3485">
        <v>-1230000</v>
      </c>
      <c r="N3485">
        <v>-1230000</v>
      </c>
    </row>
    <row r="3486" spans="1:14" x14ac:dyDescent="0.35">
      <c r="A3486" t="str">
        <f t="shared" si="182"/>
        <v>VTE45737FAB250071170610010</v>
      </c>
      <c r="B3486" t="s">
        <v>131</v>
      </c>
      <c r="C3486" s="1">
        <v>45737</v>
      </c>
      <c r="D3486" t="s">
        <v>1784</v>
      </c>
      <c r="E3486" t="str">
        <f t="shared" si="183"/>
        <v>70610010</v>
      </c>
      <c r="F3486" t="s">
        <v>5686</v>
      </c>
      <c r="G3486" t="s">
        <v>5885</v>
      </c>
      <c r="H3486" t="s">
        <v>5975</v>
      </c>
      <c r="I3486">
        <v>0</v>
      </c>
      <c r="J3486" t="s">
        <v>343</v>
      </c>
      <c r="L3486">
        <v>1230000</v>
      </c>
      <c r="N3486">
        <v>1230000</v>
      </c>
    </row>
    <row r="3487" spans="1:14" x14ac:dyDescent="0.35">
      <c r="A3487" t="str">
        <f t="shared" si="182"/>
        <v>VTE45737FAB250071170610010</v>
      </c>
      <c r="B3487" t="s">
        <v>131</v>
      </c>
      <c r="C3487" s="1">
        <v>45737</v>
      </c>
      <c r="D3487" t="s">
        <v>1784</v>
      </c>
      <c r="E3487" t="str">
        <f t="shared" si="183"/>
        <v>70610010</v>
      </c>
      <c r="F3487" t="s">
        <v>5686</v>
      </c>
      <c r="G3487" t="s">
        <v>5885</v>
      </c>
      <c r="H3487" t="s">
        <v>5975</v>
      </c>
      <c r="I3487">
        <v>0</v>
      </c>
      <c r="J3487" t="s">
        <v>343</v>
      </c>
      <c r="L3487">
        <v>1230000</v>
      </c>
      <c r="N3487">
        <v>1230000</v>
      </c>
    </row>
    <row r="3488" spans="1:14" x14ac:dyDescent="0.35">
      <c r="A3488" t="str">
        <f t="shared" si="182"/>
        <v>VTE45737FAB250071170610010</v>
      </c>
      <c r="B3488" t="s">
        <v>131</v>
      </c>
      <c r="C3488" s="1">
        <v>45737</v>
      </c>
      <c r="D3488" t="s">
        <v>1784</v>
      </c>
      <c r="E3488" t="str">
        <f t="shared" si="183"/>
        <v>70610010</v>
      </c>
      <c r="F3488" t="s">
        <v>5687</v>
      </c>
      <c r="G3488" t="s">
        <v>5885</v>
      </c>
      <c r="H3488" t="s">
        <v>5975</v>
      </c>
      <c r="I3488">
        <v>0</v>
      </c>
      <c r="J3488" t="s">
        <v>343</v>
      </c>
      <c r="L3488">
        <v>-1230000</v>
      </c>
      <c r="N3488">
        <v>-1230000</v>
      </c>
    </row>
    <row r="3489" spans="1:14" x14ac:dyDescent="0.35">
      <c r="A3489" t="str">
        <f t="shared" si="182"/>
        <v>VTE45737FAB250071447310100</v>
      </c>
      <c r="B3489" t="s">
        <v>131</v>
      </c>
      <c r="C3489" s="1">
        <v>45737</v>
      </c>
      <c r="D3489" t="s">
        <v>5702</v>
      </c>
      <c r="E3489" t="str">
        <f>"47310100"</f>
        <v>47310100</v>
      </c>
      <c r="F3489" t="s">
        <v>5518</v>
      </c>
      <c r="G3489" t="s">
        <v>5885</v>
      </c>
      <c r="H3489" t="s">
        <v>350</v>
      </c>
      <c r="I3489">
        <v>0</v>
      </c>
      <c r="J3489" t="s">
        <v>343</v>
      </c>
      <c r="L3489">
        <v>59000</v>
      </c>
      <c r="N3489">
        <v>59000</v>
      </c>
    </row>
    <row r="3490" spans="1:14" x14ac:dyDescent="0.35">
      <c r="A3490" t="str">
        <f t="shared" si="182"/>
        <v>VTE45737FAB250071470610010</v>
      </c>
      <c r="B3490" t="s">
        <v>131</v>
      </c>
      <c r="C3490" s="1">
        <v>45737</v>
      </c>
      <c r="D3490" t="s">
        <v>5702</v>
      </c>
      <c r="E3490" t="str">
        <f>"70610010"</f>
        <v>70610010</v>
      </c>
      <c r="F3490" t="s">
        <v>5518</v>
      </c>
      <c r="G3490" t="s">
        <v>5885</v>
      </c>
      <c r="H3490" t="s">
        <v>5972</v>
      </c>
      <c r="I3490">
        <v>0</v>
      </c>
      <c r="J3490" t="s">
        <v>343</v>
      </c>
      <c r="L3490">
        <v>150000</v>
      </c>
      <c r="N3490">
        <v>150000</v>
      </c>
    </row>
    <row r="3491" spans="1:14" x14ac:dyDescent="0.35">
      <c r="A3491" t="str">
        <f t="shared" si="182"/>
        <v>VTE45737FAB250073447310100</v>
      </c>
      <c r="B3491" t="s">
        <v>131</v>
      </c>
      <c r="C3491" s="1">
        <v>45737</v>
      </c>
      <c r="D3491" t="s">
        <v>5703</v>
      </c>
      <c r="E3491" t="str">
        <f>"47310100"</f>
        <v>47310100</v>
      </c>
      <c r="F3491" t="s">
        <v>5518</v>
      </c>
      <c r="G3491" t="s">
        <v>5885</v>
      </c>
      <c r="H3491" t="s">
        <v>350</v>
      </c>
      <c r="I3491">
        <v>0</v>
      </c>
      <c r="J3491" t="s">
        <v>343</v>
      </c>
      <c r="L3491">
        <v>59000</v>
      </c>
      <c r="N3491">
        <v>59000</v>
      </c>
    </row>
    <row r="3492" spans="1:14" x14ac:dyDescent="0.35">
      <c r="A3492" t="str">
        <f t="shared" si="182"/>
        <v>VTE45737FAB250073470610010</v>
      </c>
      <c r="B3492" t="s">
        <v>131</v>
      </c>
      <c r="C3492" s="1">
        <v>45737</v>
      </c>
      <c r="D3492" t="s">
        <v>5703</v>
      </c>
      <c r="E3492" t="str">
        <f t="shared" ref="E3492:E3507" si="184">"70610010"</f>
        <v>70610010</v>
      </c>
      <c r="F3492" t="s">
        <v>5518</v>
      </c>
      <c r="G3492" t="s">
        <v>5885</v>
      </c>
      <c r="H3492" t="s">
        <v>5972</v>
      </c>
      <c r="I3492">
        <v>0</v>
      </c>
      <c r="J3492" t="s">
        <v>343</v>
      </c>
      <c r="L3492">
        <v>150000</v>
      </c>
      <c r="N3492">
        <v>150000</v>
      </c>
    </row>
    <row r="3493" spans="1:14" x14ac:dyDescent="0.35">
      <c r="A3493" t="str">
        <f t="shared" si="182"/>
        <v>VTE45737FBK250021470610010</v>
      </c>
      <c r="B3493" t="s">
        <v>131</v>
      </c>
      <c r="C3493" s="1">
        <v>45737</v>
      </c>
      <c r="D3493" t="s">
        <v>5704</v>
      </c>
      <c r="E3493" t="str">
        <f t="shared" si="184"/>
        <v>70610010</v>
      </c>
      <c r="F3493" t="s">
        <v>5508</v>
      </c>
      <c r="G3493" t="s">
        <v>5885</v>
      </c>
      <c r="H3493" t="s">
        <v>5977</v>
      </c>
      <c r="I3493">
        <v>0</v>
      </c>
      <c r="J3493" t="s">
        <v>343</v>
      </c>
      <c r="L3493">
        <v>931500</v>
      </c>
      <c r="N3493">
        <v>931500</v>
      </c>
    </row>
    <row r="3494" spans="1:14" x14ac:dyDescent="0.35">
      <c r="A3494" t="str">
        <f t="shared" si="182"/>
        <v>VTE45737FBK250021470610010</v>
      </c>
      <c r="B3494" t="s">
        <v>131</v>
      </c>
      <c r="C3494" s="1">
        <v>45737</v>
      </c>
      <c r="D3494" t="s">
        <v>5704</v>
      </c>
      <c r="E3494" t="str">
        <f t="shared" si="184"/>
        <v>70610010</v>
      </c>
      <c r="F3494" t="s">
        <v>5508</v>
      </c>
      <c r="G3494" t="s">
        <v>5885</v>
      </c>
      <c r="H3494" t="s">
        <v>5977</v>
      </c>
      <c r="I3494">
        <v>0</v>
      </c>
      <c r="J3494" t="s">
        <v>343</v>
      </c>
      <c r="L3494">
        <v>931500</v>
      </c>
      <c r="N3494">
        <v>931500</v>
      </c>
    </row>
    <row r="3495" spans="1:14" x14ac:dyDescent="0.35">
      <c r="A3495" t="str">
        <f t="shared" si="182"/>
        <v>VTE45737FBK250021470610010</v>
      </c>
      <c r="B3495" t="s">
        <v>131</v>
      </c>
      <c r="C3495" s="1">
        <v>45737</v>
      </c>
      <c r="D3495" t="s">
        <v>5704</v>
      </c>
      <c r="E3495" t="str">
        <f t="shared" si="184"/>
        <v>70610010</v>
      </c>
      <c r="F3495" t="s">
        <v>5611</v>
      </c>
      <c r="G3495" t="s">
        <v>5885</v>
      </c>
      <c r="H3495" t="s">
        <v>5977</v>
      </c>
      <c r="I3495">
        <v>0</v>
      </c>
      <c r="J3495" t="s">
        <v>343</v>
      </c>
      <c r="L3495">
        <v>-931500</v>
      </c>
      <c r="N3495">
        <v>-931500</v>
      </c>
    </row>
    <row r="3496" spans="1:14" x14ac:dyDescent="0.35">
      <c r="A3496" t="str">
        <f t="shared" si="182"/>
        <v>VTE45737FBK250021570610010</v>
      </c>
      <c r="B3496" t="s">
        <v>131</v>
      </c>
      <c r="C3496" s="1">
        <v>45737</v>
      </c>
      <c r="D3496" t="s">
        <v>5705</v>
      </c>
      <c r="E3496" t="str">
        <f t="shared" si="184"/>
        <v>70610010</v>
      </c>
      <c r="F3496" t="s">
        <v>5508</v>
      </c>
      <c r="G3496" t="s">
        <v>5885</v>
      </c>
      <c r="H3496" t="s">
        <v>5977</v>
      </c>
      <c r="I3496">
        <v>0</v>
      </c>
      <c r="J3496" t="s">
        <v>343</v>
      </c>
      <c r="L3496">
        <v>931500</v>
      </c>
      <c r="N3496">
        <v>931500</v>
      </c>
    </row>
    <row r="3497" spans="1:14" x14ac:dyDescent="0.35">
      <c r="A3497" t="str">
        <f t="shared" si="182"/>
        <v>VTE45737FBK250021570610010</v>
      </c>
      <c r="B3497" t="s">
        <v>131</v>
      </c>
      <c r="C3497" s="1">
        <v>45737</v>
      </c>
      <c r="D3497" t="s">
        <v>5705</v>
      </c>
      <c r="E3497" t="str">
        <f t="shared" si="184"/>
        <v>70610010</v>
      </c>
      <c r="F3497" t="s">
        <v>5508</v>
      </c>
      <c r="G3497" t="s">
        <v>5885</v>
      </c>
      <c r="H3497" t="s">
        <v>5977</v>
      </c>
      <c r="I3497">
        <v>0</v>
      </c>
      <c r="J3497" t="s">
        <v>343</v>
      </c>
      <c r="L3497">
        <v>931500</v>
      </c>
      <c r="N3497">
        <v>931500</v>
      </c>
    </row>
    <row r="3498" spans="1:14" x14ac:dyDescent="0.35">
      <c r="A3498" t="str">
        <f t="shared" si="182"/>
        <v>VTE45737FBK250021570610010</v>
      </c>
      <c r="B3498" t="s">
        <v>131</v>
      </c>
      <c r="C3498" s="1">
        <v>45737</v>
      </c>
      <c r="D3498" t="s">
        <v>5705</v>
      </c>
      <c r="E3498" t="str">
        <f t="shared" si="184"/>
        <v>70610010</v>
      </c>
      <c r="F3498" t="s">
        <v>5611</v>
      </c>
      <c r="G3498" t="s">
        <v>5885</v>
      </c>
      <c r="H3498" t="s">
        <v>5977</v>
      </c>
      <c r="I3498">
        <v>0</v>
      </c>
      <c r="J3498" t="s">
        <v>343</v>
      </c>
      <c r="L3498">
        <v>-931500</v>
      </c>
      <c r="N3498">
        <v>-931500</v>
      </c>
    </row>
    <row r="3499" spans="1:14" x14ac:dyDescent="0.35">
      <c r="A3499" t="str">
        <f t="shared" si="182"/>
        <v>VTE45738FAB250071270610010</v>
      </c>
      <c r="B3499" t="s">
        <v>131</v>
      </c>
      <c r="C3499" s="1">
        <v>45738</v>
      </c>
      <c r="D3499" t="s">
        <v>5706</v>
      </c>
      <c r="E3499" t="str">
        <f t="shared" si="184"/>
        <v>70610010</v>
      </c>
      <c r="F3499" t="s">
        <v>5508</v>
      </c>
      <c r="G3499" t="s">
        <v>5885</v>
      </c>
      <c r="H3499" t="s">
        <v>5975</v>
      </c>
      <c r="I3499">
        <v>0</v>
      </c>
      <c r="J3499" t="s">
        <v>343</v>
      </c>
      <c r="L3499">
        <v>4657500</v>
      </c>
      <c r="N3499">
        <v>4657500</v>
      </c>
    </row>
    <row r="3500" spans="1:14" x14ac:dyDescent="0.35">
      <c r="A3500" t="str">
        <f t="shared" si="182"/>
        <v>VTE45738FAB250071270610010</v>
      </c>
      <c r="B3500" t="s">
        <v>131</v>
      </c>
      <c r="C3500" s="1">
        <v>45738</v>
      </c>
      <c r="D3500" t="s">
        <v>5706</v>
      </c>
      <c r="E3500" t="str">
        <f t="shared" si="184"/>
        <v>70610010</v>
      </c>
      <c r="F3500" t="s">
        <v>5508</v>
      </c>
      <c r="G3500" t="s">
        <v>5885</v>
      </c>
      <c r="H3500" t="s">
        <v>5975</v>
      </c>
      <c r="I3500">
        <v>0</v>
      </c>
      <c r="J3500" t="s">
        <v>343</v>
      </c>
      <c r="L3500">
        <v>4657500</v>
      </c>
      <c r="N3500">
        <v>4657500</v>
      </c>
    </row>
    <row r="3501" spans="1:14" x14ac:dyDescent="0.35">
      <c r="A3501" t="str">
        <f t="shared" si="182"/>
        <v>VTE45738FAB250071270610010</v>
      </c>
      <c r="B3501" t="s">
        <v>131</v>
      </c>
      <c r="C3501" s="1">
        <v>45738</v>
      </c>
      <c r="D3501" t="s">
        <v>5706</v>
      </c>
      <c r="E3501" t="str">
        <f t="shared" si="184"/>
        <v>70610010</v>
      </c>
      <c r="F3501" t="s">
        <v>5611</v>
      </c>
      <c r="G3501" t="s">
        <v>5885</v>
      </c>
      <c r="H3501" t="s">
        <v>5975</v>
      </c>
      <c r="I3501">
        <v>0</v>
      </c>
      <c r="J3501" t="s">
        <v>343</v>
      </c>
      <c r="L3501">
        <v>-4657500</v>
      </c>
      <c r="N3501">
        <v>-4657500</v>
      </c>
    </row>
    <row r="3502" spans="1:14" x14ac:dyDescent="0.35">
      <c r="A3502" t="str">
        <f t="shared" si="182"/>
        <v>VTE45738FAB250071370610010</v>
      </c>
      <c r="B3502" t="s">
        <v>131</v>
      </c>
      <c r="C3502" s="1">
        <v>45738</v>
      </c>
      <c r="D3502" t="s">
        <v>5707</v>
      </c>
      <c r="E3502" t="str">
        <f t="shared" si="184"/>
        <v>70610010</v>
      </c>
      <c r="F3502" t="s">
        <v>5508</v>
      </c>
      <c r="G3502" t="s">
        <v>5885</v>
      </c>
      <c r="H3502" t="s">
        <v>5975</v>
      </c>
      <c r="I3502">
        <v>0</v>
      </c>
      <c r="J3502" t="s">
        <v>343</v>
      </c>
      <c r="L3502">
        <v>4657500</v>
      </c>
      <c r="N3502">
        <v>4657500</v>
      </c>
    </row>
    <row r="3503" spans="1:14" x14ac:dyDescent="0.35">
      <c r="A3503" t="str">
        <f t="shared" si="182"/>
        <v>VTE45738FAB250071370610010</v>
      </c>
      <c r="B3503" t="s">
        <v>131</v>
      </c>
      <c r="C3503" s="1">
        <v>45738</v>
      </c>
      <c r="D3503" t="s">
        <v>5707</v>
      </c>
      <c r="E3503" t="str">
        <f t="shared" si="184"/>
        <v>70610010</v>
      </c>
      <c r="F3503" t="s">
        <v>5508</v>
      </c>
      <c r="G3503" t="s">
        <v>5885</v>
      </c>
      <c r="H3503" t="s">
        <v>5975</v>
      </c>
      <c r="I3503">
        <v>0</v>
      </c>
      <c r="J3503" t="s">
        <v>343</v>
      </c>
      <c r="L3503">
        <v>4657500</v>
      </c>
      <c r="N3503">
        <v>4657500</v>
      </c>
    </row>
    <row r="3504" spans="1:14" x14ac:dyDescent="0.35">
      <c r="A3504" t="str">
        <f t="shared" si="182"/>
        <v>VTE45738FAB250071370610010</v>
      </c>
      <c r="B3504" t="s">
        <v>131</v>
      </c>
      <c r="C3504" s="1">
        <v>45738</v>
      </c>
      <c r="D3504" t="s">
        <v>5707</v>
      </c>
      <c r="E3504" t="str">
        <f t="shared" si="184"/>
        <v>70610010</v>
      </c>
      <c r="F3504" t="s">
        <v>5611</v>
      </c>
      <c r="G3504" t="s">
        <v>5885</v>
      </c>
      <c r="H3504" t="s">
        <v>5975</v>
      </c>
      <c r="I3504">
        <v>0</v>
      </c>
      <c r="J3504" t="s">
        <v>343</v>
      </c>
      <c r="L3504">
        <v>-4657500</v>
      </c>
      <c r="N3504">
        <v>-4657500</v>
      </c>
    </row>
    <row r="3505" spans="1:14" x14ac:dyDescent="0.35">
      <c r="A3505" t="str">
        <f t="shared" si="182"/>
        <v>VTE45740FAB250071570610010</v>
      </c>
      <c r="B3505" t="s">
        <v>131</v>
      </c>
      <c r="C3505" s="1">
        <v>45740</v>
      </c>
      <c r="D3505" t="s">
        <v>5708</v>
      </c>
      <c r="E3505" t="str">
        <f t="shared" si="184"/>
        <v>70610010</v>
      </c>
      <c r="F3505" t="s">
        <v>5508</v>
      </c>
      <c r="G3505" t="s">
        <v>5885</v>
      </c>
      <c r="H3505" t="s">
        <v>5975</v>
      </c>
      <c r="I3505">
        <v>0</v>
      </c>
      <c r="J3505" t="s">
        <v>343</v>
      </c>
      <c r="L3505">
        <v>931500</v>
      </c>
      <c r="N3505">
        <v>931500</v>
      </c>
    </row>
    <row r="3506" spans="1:14" x14ac:dyDescent="0.35">
      <c r="A3506" t="str">
        <f t="shared" si="182"/>
        <v>VTE45740FAB250071770610010</v>
      </c>
      <c r="B3506" t="s">
        <v>131</v>
      </c>
      <c r="C3506" s="1">
        <v>45740</v>
      </c>
      <c r="D3506" t="s">
        <v>5709</v>
      </c>
      <c r="E3506" t="str">
        <f t="shared" si="184"/>
        <v>70610010</v>
      </c>
      <c r="F3506" t="s">
        <v>5508</v>
      </c>
      <c r="G3506" t="s">
        <v>5885</v>
      </c>
      <c r="H3506" t="s">
        <v>5975</v>
      </c>
      <c r="I3506">
        <v>0</v>
      </c>
      <c r="J3506" t="s">
        <v>343</v>
      </c>
      <c r="L3506">
        <v>931500</v>
      </c>
      <c r="N3506">
        <v>931500</v>
      </c>
    </row>
    <row r="3507" spans="1:14" x14ac:dyDescent="0.35">
      <c r="A3507" t="str">
        <f t="shared" si="182"/>
        <v>VTE45740FAB250071870610010</v>
      </c>
      <c r="B3507" t="s">
        <v>131</v>
      </c>
      <c r="C3507" s="1">
        <v>45740</v>
      </c>
      <c r="D3507" t="s">
        <v>5710</v>
      </c>
      <c r="E3507" t="str">
        <f t="shared" si="184"/>
        <v>70610010</v>
      </c>
      <c r="F3507" t="s">
        <v>5508</v>
      </c>
      <c r="G3507" t="s">
        <v>5885</v>
      </c>
      <c r="H3507" t="s">
        <v>5975</v>
      </c>
      <c r="I3507">
        <v>0</v>
      </c>
      <c r="J3507" t="s">
        <v>343</v>
      </c>
      <c r="L3507">
        <v>931500</v>
      </c>
      <c r="N3507">
        <v>931500</v>
      </c>
    </row>
    <row r="3508" spans="1:14" x14ac:dyDescent="0.35">
      <c r="A3508" t="str">
        <f t="shared" si="182"/>
        <v>VTE45740FAB250071947310100</v>
      </c>
      <c r="B3508" t="s">
        <v>131</v>
      </c>
      <c r="C3508" s="1">
        <v>45740</v>
      </c>
      <c r="D3508" t="s">
        <v>5711</v>
      </c>
      <c r="E3508" t="str">
        <f>"47310100"</f>
        <v>47310100</v>
      </c>
      <c r="F3508" t="s">
        <v>139</v>
      </c>
      <c r="G3508" t="s">
        <v>5885</v>
      </c>
      <c r="H3508" t="s">
        <v>350</v>
      </c>
      <c r="I3508">
        <v>0</v>
      </c>
      <c r="J3508" t="s">
        <v>343</v>
      </c>
      <c r="L3508">
        <v>118000</v>
      </c>
      <c r="N3508">
        <v>118000</v>
      </c>
    </row>
    <row r="3509" spans="1:14" x14ac:dyDescent="0.35">
      <c r="A3509" t="str">
        <f t="shared" si="182"/>
        <v>VTE45740FAB250071970610010</v>
      </c>
      <c r="B3509" t="s">
        <v>131</v>
      </c>
      <c r="C3509" s="1">
        <v>45740</v>
      </c>
      <c r="D3509" t="s">
        <v>5711</v>
      </c>
      <c r="E3509" t="str">
        <f>"70610010"</f>
        <v>70610010</v>
      </c>
      <c r="F3509" t="s">
        <v>139</v>
      </c>
      <c r="G3509" t="s">
        <v>5885</v>
      </c>
      <c r="H3509" t="s">
        <v>5972</v>
      </c>
      <c r="I3509">
        <v>0</v>
      </c>
      <c r="J3509" t="s">
        <v>343</v>
      </c>
      <c r="L3509">
        <v>800000</v>
      </c>
      <c r="N3509">
        <v>800000</v>
      </c>
    </row>
    <row r="3510" spans="1:14" x14ac:dyDescent="0.35">
      <c r="A3510" t="str">
        <f t="shared" si="182"/>
        <v>VTE45740FAB250071970610050</v>
      </c>
      <c r="B3510" t="s">
        <v>131</v>
      </c>
      <c r="C3510" s="1">
        <v>45740</v>
      </c>
      <c r="D3510" t="s">
        <v>5711</v>
      </c>
      <c r="E3510" t="str">
        <f>"70610050"</f>
        <v>70610050</v>
      </c>
      <c r="F3510" t="s">
        <v>139</v>
      </c>
      <c r="G3510" t="s">
        <v>5885</v>
      </c>
      <c r="H3510" t="s">
        <v>5972</v>
      </c>
      <c r="I3510">
        <v>0</v>
      </c>
      <c r="J3510" t="s">
        <v>343</v>
      </c>
      <c r="L3510">
        <v>396000</v>
      </c>
      <c r="N3510">
        <v>396000</v>
      </c>
    </row>
    <row r="3511" spans="1:14" x14ac:dyDescent="0.35">
      <c r="A3511" t="str">
        <f t="shared" si="182"/>
        <v>VTE45740FAB250072047310100</v>
      </c>
      <c r="B3511" t="s">
        <v>131</v>
      </c>
      <c r="C3511" s="1">
        <v>45740</v>
      </c>
      <c r="D3511" t="s">
        <v>5712</v>
      </c>
      <c r="E3511" t="str">
        <f>"47310100"</f>
        <v>47310100</v>
      </c>
      <c r="F3511" t="s">
        <v>5518</v>
      </c>
      <c r="G3511" t="s">
        <v>5885</v>
      </c>
      <c r="H3511" t="s">
        <v>350</v>
      </c>
      <c r="I3511">
        <v>0</v>
      </c>
      <c r="J3511" t="s">
        <v>343</v>
      </c>
      <c r="L3511">
        <v>29500</v>
      </c>
      <c r="N3511">
        <v>29500</v>
      </c>
    </row>
    <row r="3512" spans="1:14" x14ac:dyDescent="0.35">
      <c r="A3512" t="str">
        <f t="shared" si="182"/>
        <v>VTE45740FAB250072070610010</v>
      </c>
      <c r="B3512" t="s">
        <v>131</v>
      </c>
      <c r="C3512" s="1">
        <v>45740</v>
      </c>
      <c r="D3512" t="s">
        <v>5712</v>
      </c>
      <c r="E3512" t="str">
        <f>"70610010"</f>
        <v>70610010</v>
      </c>
      <c r="F3512" t="s">
        <v>5518</v>
      </c>
      <c r="G3512" t="s">
        <v>5885</v>
      </c>
      <c r="H3512" t="s">
        <v>5972</v>
      </c>
      <c r="I3512">
        <v>0</v>
      </c>
      <c r="J3512" t="s">
        <v>343</v>
      </c>
      <c r="L3512">
        <v>150000</v>
      </c>
      <c r="N3512">
        <v>150000</v>
      </c>
    </row>
    <row r="3513" spans="1:14" x14ac:dyDescent="0.35">
      <c r="A3513" t="str">
        <f t="shared" si="182"/>
        <v>VTE45740FAB250072147310100</v>
      </c>
      <c r="B3513" t="s">
        <v>131</v>
      </c>
      <c r="C3513" s="1">
        <v>45740</v>
      </c>
      <c r="D3513" t="s">
        <v>5713</v>
      </c>
      <c r="E3513" t="str">
        <f>"47310100"</f>
        <v>47310100</v>
      </c>
      <c r="F3513" t="s">
        <v>5518</v>
      </c>
      <c r="G3513" t="s">
        <v>5885</v>
      </c>
      <c r="H3513" t="s">
        <v>350</v>
      </c>
      <c r="I3513">
        <v>0</v>
      </c>
      <c r="J3513" t="s">
        <v>343</v>
      </c>
      <c r="L3513">
        <v>29500</v>
      </c>
      <c r="N3513">
        <v>29500</v>
      </c>
    </row>
    <row r="3514" spans="1:14" x14ac:dyDescent="0.35">
      <c r="A3514" t="str">
        <f t="shared" si="182"/>
        <v>VTE45740FAB250072170610010</v>
      </c>
      <c r="B3514" t="s">
        <v>131</v>
      </c>
      <c r="C3514" s="1">
        <v>45740</v>
      </c>
      <c r="D3514" t="s">
        <v>5713</v>
      </c>
      <c r="E3514" t="str">
        <f>"70610010"</f>
        <v>70610010</v>
      </c>
      <c r="F3514" t="s">
        <v>5518</v>
      </c>
      <c r="G3514" t="s">
        <v>5885</v>
      </c>
      <c r="H3514" t="s">
        <v>5972</v>
      </c>
      <c r="I3514">
        <v>0</v>
      </c>
      <c r="J3514" t="s">
        <v>343</v>
      </c>
      <c r="L3514">
        <v>150000</v>
      </c>
      <c r="N3514">
        <v>150000</v>
      </c>
    </row>
    <row r="3515" spans="1:14" x14ac:dyDescent="0.35">
      <c r="A3515" t="str">
        <f t="shared" si="182"/>
        <v>VTE45740FAB250072247310100</v>
      </c>
      <c r="B3515" t="s">
        <v>131</v>
      </c>
      <c r="C3515" s="1">
        <v>45740</v>
      </c>
      <c r="D3515" t="s">
        <v>5714</v>
      </c>
      <c r="E3515" t="str">
        <f>"47310100"</f>
        <v>47310100</v>
      </c>
      <c r="F3515" t="s">
        <v>5518</v>
      </c>
      <c r="G3515" t="s">
        <v>5885</v>
      </c>
      <c r="H3515" t="s">
        <v>350</v>
      </c>
      <c r="I3515">
        <v>0</v>
      </c>
      <c r="J3515" t="s">
        <v>343</v>
      </c>
      <c r="L3515">
        <v>29500</v>
      </c>
      <c r="N3515">
        <v>29500</v>
      </c>
    </row>
    <row r="3516" spans="1:14" x14ac:dyDescent="0.35">
      <c r="A3516" t="str">
        <f t="shared" si="182"/>
        <v>VTE45740FAB250072270610010</v>
      </c>
      <c r="B3516" t="s">
        <v>131</v>
      </c>
      <c r="C3516" s="1">
        <v>45740</v>
      </c>
      <c r="D3516" t="s">
        <v>5714</v>
      </c>
      <c r="E3516" t="str">
        <f>"70610010"</f>
        <v>70610010</v>
      </c>
      <c r="F3516" t="s">
        <v>5518</v>
      </c>
      <c r="G3516" t="s">
        <v>5885</v>
      </c>
      <c r="H3516" t="s">
        <v>5972</v>
      </c>
      <c r="I3516">
        <v>0</v>
      </c>
      <c r="J3516" t="s">
        <v>343</v>
      </c>
      <c r="L3516">
        <v>150000</v>
      </c>
      <c r="N3516">
        <v>150000</v>
      </c>
    </row>
    <row r="3517" spans="1:14" x14ac:dyDescent="0.35">
      <c r="A3517" t="str">
        <f t="shared" si="182"/>
        <v>VTE45740FAB250072347310100</v>
      </c>
      <c r="B3517" t="s">
        <v>131</v>
      </c>
      <c r="C3517" s="1">
        <v>45740</v>
      </c>
      <c r="D3517" t="s">
        <v>5715</v>
      </c>
      <c r="E3517" t="str">
        <f>"47310100"</f>
        <v>47310100</v>
      </c>
      <c r="F3517" t="s">
        <v>5518</v>
      </c>
      <c r="G3517" t="s">
        <v>5885</v>
      </c>
      <c r="H3517" t="s">
        <v>350</v>
      </c>
      <c r="I3517">
        <v>0</v>
      </c>
      <c r="J3517" t="s">
        <v>343</v>
      </c>
      <c r="L3517">
        <v>29500</v>
      </c>
      <c r="N3517">
        <v>29500</v>
      </c>
    </row>
    <row r="3518" spans="1:14" x14ac:dyDescent="0.35">
      <c r="A3518" t="str">
        <f t="shared" si="182"/>
        <v>VTE45740FAB250072370610010</v>
      </c>
      <c r="B3518" t="s">
        <v>131</v>
      </c>
      <c r="C3518" s="1">
        <v>45740</v>
      </c>
      <c r="D3518" t="s">
        <v>5715</v>
      </c>
      <c r="E3518" t="str">
        <f>"70610010"</f>
        <v>70610010</v>
      </c>
      <c r="F3518" t="s">
        <v>5518</v>
      </c>
      <c r="G3518" t="s">
        <v>5885</v>
      </c>
      <c r="H3518" t="s">
        <v>5972</v>
      </c>
      <c r="I3518">
        <v>0</v>
      </c>
      <c r="J3518" t="s">
        <v>343</v>
      </c>
      <c r="L3518">
        <v>150000</v>
      </c>
      <c r="N3518">
        <v>150000</v>
      </c>
    </row>
    <row r="3519" spans="1:14" x14ac:dyDescent="0.35">
      <c r="A3519" t="str">
        <f t="shared" si="182"/>
        <v>VTE45740FAB250072447310100</v>
      </c>
      <c r="B3519" t="s">
        <v>131</v>
      </c>
      <c r="C3519" s="1">
        <v>45740</v>
      </c>
      <c r="D3519" t="s">
        <v>5716</v>
      </c>
      <c r="E3519" t="str">
        <f>"47310100"</f>
        <v>47310100</v>
      </c>
      <c r="F3519" t="s">
        <v>5518</v>
      </c>
      <c r="G3519" t="s">
        <v>5885</v>
      </c>
      <c r="H3519" t="s">
        <v>350</v>
      </c>
      <c r="I3519">
        <v>0</v>
      </c>
      <c r="J3519" t="s">
        <v>343</v>
      </c>
      <c r="L3519">
        <v>29500</v>
      </c>
      <c r="N3519">
        <v>29500</v>
      </c>
    </row>
    <row r="3520" spans="1:14" x14ac:dyDescent="0.35">
      <c r="A3520" t="str">
        <f t="shared" si="182"/>
        <v>VTE45740FAB250072470610010</v>
      </c>
      <c r="B3520" t="s">
        <v>131</v>
      </c>
      <c r="C3520" s="1">
        <v>45740</v>
      </c>
      <c r="D3520" t="s">
        <v>5716</v>
      </c>
      <c r="E3520" t="str">
        <f>"70610010"</f>
        <v>70610010</v>
      </c>
      <c r="F3520" t="s">
        <v>5518</v>
      </c>
      <c r="G3520" t="s">
        <v>5885</v>
      </c>
      <c r="H3520" t="s">
        <v>5972</v>
      </c>
      <c r="I3520">
        <v>0</v>
      </c>
      <c r="J3520" t="s">
        <v>343</v>
      </c>
      <c r="L3520">
        <v>150000</v>
      </c>
      <c r="N3520">
        <v>150000</v>
      </c>
    </row>
    <row r="3521" spans="1:14" x14ac:dyDescent="0.35">
      <c r="A3521" t="str">
        <f t="shared" si="182"/>
        <v>VTE45740FAB250072547310100</v>
      </c>
      <c r="B3521" t="s">
        <v>131</v>
      </c>
      <c r="C3521" s="1">
        <v>45740</v>
      </c>
      <c r="D3521" t="s">
        <v>5717</v>
      </c>
      <c r="E3521" t="str">
        <f>"47310100"</f>
        <v>47310100</v>
      </c>
      <c r="F3521" t="s">
        <v>5518</v>
      </c>
      <c r="G3521" t="s">
        <v>5885</v>
      </c>
      <c r="H3521" t="s">
        <v>350</v>
      </c>
      <c r="I3521">
        <v>0</v>
      </c>
      <c r="J3521" t="s">
        <v>343</v>
      </c>
      <c r="L3521">
        <v>29500</v>
      </c>
      <c r="N3521">
        <v>29500</v>
      </c>
    </row>
    <row r="3522" spans="1:14" x14ac:dyDescent="0.35">
      <c r="A3522" t="str">
        <f t="shared" si="182"/>
        <v>VTE45740FAB250072570610010</v>
      </c>
      <c r="B3522" t="s">
        <v>131</v>
      </c>
      <c r="C3522" s="1">
        <v>45740</v>
      </c>
      <c r="D3522" t="s">
        <v>5717</v>
      </c>
      <c r="E3522" t="str">
        <f>"70610010"</f>
        <v>70610010</v>
      </c>
      <c r="F3522" t="s">
        <v>5518</v>
      </c>
      <c r="G3522" t="s">
        <v>5885</v>
      </c>
      <c r="H3522" t="s">
        <v>5972</v>
      </c>
      <c r="I3522">
        <v>0</v>
      </c>
      <c r="J3522" t="s">
        <v>343</v>
      </c>
      <c r="L3522">
        <v>150000</v>
      </c>
      <c r="N3522">
        <v>150000</v>
      </c>
    </row>
    <row r="3523" spans="1:14" x14ac:dyDescent="0.35">
      <c r="A3523" t="str">
        <f t="shared" ref="A3523:A3586" si="185">CONCATENATE(B3523,C3523,D3523,E3523)</f>
        <v>VTE45740FAB250072647310100</v>
      </c>
      <c r="B3523" t="s">
        <v>131</v>
      </c>
      <c r="C3523" s="1">
        <v>45740</v>
      </c>
      <c r="D3523" t="s">
        <v>5718</v>
      </c>
      <c r="E3523" t="str">
        <f>"47310100"</f>
        <v>47310100</v>
      </c>
      <c r="F3523" t="s">
        <v>5518</v>
      </c>
      <c r="G3523" t="s">
        <v>5885</v>
      </c>
      <c r="H3523" t="s">
        <v>350</v>
      </c>
      <c r="I3523">
        <v>0</v>
      </c>
      <c r="J3523" t="s">
        <v>343</v>
      </c>
      <c r="L3523">
        <v>29500</v>
      </c>
      <c r="N3523">
        <v>29500</v>
      </c>
    </row>
    <row r="3524" spans="1:14" x14ac:dyDescent="0.35">
      <c r="A3524" t="str">
        <f t="shared" si="185"/>
        <v>VTE45740FAB250072670610010</v>
      </c>
      <c r="B3524" t="s">
        <v>131</v>
      </c>
      <c r="C3524" s="1">
        <v>45740</v>
      </c>
      <c r="D3524" t="s">
        <v>5718</v>
      </c>
      <c r="E3524" t="str">
        <f>"70610010"</f>
        <v>70610010</v>
      </c>
      <c r="F3524" t="s">
        <v>5518</v>
      </c>
      <c r="G3524" t="s">
        <v>5885</v>
      </c>
      <c r="H3524" t="s">
        <v>5972</v>
      </c>
      <c r="I3524">
        <v>0</v>
      </c>
      <c r="J3524" t="s">
        <v>343</v>
      </c>
      <c r="L3524">
        <v>150000</v>
      </c>
      <c r="N3524">
        <v>150000</v>
      </c>
    </row>
    <row r="3525" spans="1:14" x14ac:dyDescent="0.35">
      <c r="A3525" t="str">
        <f t="shared" si="185"/>
        <v>VTE45740FAB250072747310100</v>
      </c>
      <c r="B3525" t="s">
        <v>131</v>
      </c>
      <c r="C3525" s="1">
        <v>45740</v>
      </c>
      <c r="D3525" t="s">
        <v>5719</v>
      </c>
      <c r="E3525" t="str">
        <f>"47310100"</f>
        <v>47310100</v>
      </c>
      <c r="F3525" t="s">
        <v>5518</v>
      </c>
      <c r="G3525" t="s">
        <v>5885</v>
      </c>
      <c r="H3525" t="s">
        <v>350</v>
      </c>
      <c r="I3525">
        <v>0</v>
      </c>
      <c r="J3525" t="s">
        <v>343</v>
      </c>
      <c r="L3525">
        <v>29500</v>
      </c>
      <c r="N3525">
        <v>29500</v>
      </c>
    </row>
    <row r="3526" spans="1:14" x14ac:dyDescent="0.35">
      <c r="A3526" t="str">
        <f t="shared" si="185"/>
        <v>VTE45740FAB250072770610010</v>
      </c>
      <c r="B3526" t="s">
        <v>131</v>
      </c>
      <c r="C3526" s="1">
        <v>45740</v>
      </c>
      <c r="D3526" t="s">
        <v>5719</v>
      </c>
      <c r="E3526" t="str">
        <f>"70610010"</f>
        <v>70610010</v>
      </c>
      <c r="F3526" t="s">
        <v>5518</v>
      </c>
      <c r="G3526" t="s">
        <v>5885</v>
      </c>
      <c r="H3526" t="s">
        <v>5972</v>
      </c>
      <c r="I3526">
        <v>0</v>
      </c>
      <c r="J3526" t="s">
        <v>343</v>
      </c>
      <c r="L3526">
        <v>150000</v>
      </c>
      <c r="N3526">
        <v>150000</v>
      </c>
    </row>
    <row r="3527" spans="1:14" x14ac:dyDescent="0.35">
      <c r="A3527" t="str">
        <f t="shared" si="185"/>
        <v>VTE45740FAB250072847310100</v>
      </c>
      <c r="B3527" t="s">
        <v>131</v>
      </c>
      <c r="C3527" s="1">
        <v>45740</v>
      </c>
      <c r="D3527" t="s">
        <v>5720</v>
      </c>
      <c r="E3527" t="str">
        <f>"47310100"</f>
        <v>47310100</v>
      </c>
      <c r="F3527" t="s">
        <v>5518</v>
      </c>
      <c r="G3527" t="s">
        <v>5885</v>
      </c>
      <c r="H3527" t="s">
        <v>350</v>
      </c>
      <c r="I3527">
        <v>0</v>
      </c>
      <c r="J3527" t="s">
        <v>343</v>
      </c>
      <c r="L3527">
        <v>59000</v>
      </c>
      <c r="N3527">
        <v>59000</v>
      </c>
    </row>
    <row r="3528" spans="1:14" x14ac:dyDescent="0.35">
      <c r="A3528" t="str">
        <f t="shared" si="185"/>
        <v>VTE45740FAB250072870610010</v>
      </c>
      <c r="B3528" t="s">
        <v>131</v>
      </c>
      <c r="C3528" s="1">
        <v>45740</v>
      </c>
      <c r="D3528" t="s">
        <v>5720</v>
      </c>
      <c r="E3528" t="str">
        <f>"70610010"</f>
        <v>70610010</v>
      </c>
      <c r="F3528" t="s">
        <v>5518</v>
      </c>
      <c r="G3528" t="s">
        <v>5885</v>
      </c>
      <c r="H3528" t="s">
        <v>5972</v>
      </c>
      <c r="I3528">
        <v>0</v>
      </c>
      <c r="J3528" t="s">
        <v>343</v>
      </c>
      <c r="L3528">
        <v>150000</v>
      </c>
      <c r="N3528">
        <v>150000</v>
      </c>
    </row>
    <row r="3529" spans="1:14" x14ac:dyDescent="0.35">
      <c r="A3529" t="str">
        <f t="shared" si="185"/>
        <v>VTE45740FAB250072947310100</v>
      </c>
      <c r="B3529" t="s">
        <v>131</v>
      </c>
      <c r="C3529" s="1">
        <v>45740</v>
      </c>
      <c r="D3529" t="s">
        <v>5721</v>
      </c>
      <c r="E3529" t="str">
        <f>"47310100"</f>
        <v>47310100</v>
      </c>
      <c r="F3529" t="s">
        <v>5518</v>
      </c>
      <c r="G3529" t="s">
        <v>5885</v>
      </c>
      <c r="H3529" t="s">
        <v>350</v>
      </c>
      <c r="I3529">
        <v>0</v>
      </c>
      <c r="J3529" t="s">
        <v>343</v>
      </c>
      <c r="L3529">
        <v>59000</v>
      </c>
      <c r="N3529">
        <v>59000</v>
      </c>
    </row>
    <row r="3530" spans="1:14" x14ac:dyDescent="0.35">
      <c r="A3530" t="str">
        <f t="shared" si="185"/>
        <v>VTE45740FAB250072970610010</v>
      </c>
      <c r="B3530" t="s">
        <v>131</v>
      </c>
      <c r="C3530" s="1">
        <v>45740</v>
      </c>
      <c r="D3530" t="s">
        <v>5721</v>
      </c>
      <c r="E3530" t="str">
        <f>"70610010"</f>
        <v>70610010</v>
      </c>
      <c r="F3530" t="s">
        <v>5518</v>
      </c>
      <c r="G3530" t="s">
        <v>5885</v>
      </c>
      <c r="H3530" t="s">
        <v>5972</v>
      </c>
      <c r="I3530">
        <v>0</v>
      </c>
      <c r="J3530" t="s">
        <v>343</v>
      </c>
      <c r="L3530">
        <v>150000</v>
      </c>
      <c r="N3530">
        <v>150000</v>
      </c>
    </row>
    <row r="3531" spans="1:14" x14ac:dyDescent="0.35">
      <c r="A3531" t="str">
        <f t="shared" si="185"/>
        <v>VTE45740FAB250073047310100</v>
      </c>
      <c r="B3531" t="s">
        <v>131</v>
      </c>
      <c r="C3531" s="1">
        <v>45740</v>
      </c>
      <c r="D3531" t="s">
        <v>5722</v>
      </c>
      <c r="E3531" t="str">
        <f>"47310100"</f>
        <v>47310100</v>
      </c>
      <c r="F3531" t="s">
        <v>5518</v>
      </c>
      <c r="G3531" t="s">
        <v>5885</v>
      </c>
      <c r="H3531" t="s">
        <v>350</v>
      </c>
      <c r="I3531">
        <v>0</v>
      </c>
      <c r="J3531" t="s">
        <v>343</v>
      </c>
      <c r="L3531">
        <v>118000</v>
      </c>
      <c r="N3531">
        <v>118000</v>
      </c>
    </row>
    <row r="3532" spans="1:14" x14ac:dyDescent="0.35">
      <c r="A3532" t="str">
        <f t="shared" si="185"/>
        <v>VTE45740FAB250073070610010</v>
      </c>
      <c r="B3532" t="s">
        <v>131</v>
      </c>
      <c r="C3532" s="1">
        <v>45740</v>
      </c>
      <c r="D3532" t="s">
        <v>5722</v>
      </c>
      <c r="E3532" t="str">
        <f>"70610010"</f>
        <v>70610010</v>
      </c>
      <c r="F3532" t="s">
        <v>5518</v>
      </c>
      <c r="G3532" t="s">
        <v>5885</v>
      </c>
      <c r="H3532" t="s">
        <v>5972</v>
      </c>
      <c r="I3532">
        <v>0</v>
      </c>
      <c r="J3532" t="s">
        <v>343</v>
      </c>
      <c r="L3532">
        <v>300000</v>
      </c>
      <c r="N3532">
        <v>300000</v>
      </c>
    </row>
    <row r="3533" spans="1:14" x14ac:dyDescent="0.35">
      <c r="A3533" t="str">
        <f t="shared" si="185"/>
        <v>VTE45740FAB250073147310100</v>
      </c>
      <c r="B3533" t="s">
        <v>131</v>
      </c>
      <c r="C3533" s="1">
        <v>45740</v>
      </c>
      <c r="D3533" t="s">
        <v>5723</v>
      </c>
      <c r="E3533" t="str">
        <f>"47310100"</f>
        <v>47310100</v>
      </c>
      <c r="F3533" t="s">
        <v>5518</v>
      </c>
      <c r="G3533" t="s">
        <v>5885</v>
      </c>
      <c r="H3533" t="s">
        <v>350</v>
      </c>
      <c r="I3533">
        <v>0</v>
      </c>
      <c r="J3533" t="s">
        <v>343</v>
      </c>
      <c r="L3533">
        <v>59000</v>
      </c>
      <c r="N3533">
        <v>59000</v>
      </c>
    </row>
    <row r="3534" spans="1:14" x14ac:dyDescent="0.35">
      <c r="A3534" t="str">
        <f t="shared" si="185"/>
        <v>VTE45740FAB250073170610010</v>
      </c>
      <c r="B3534" t="s">
        <v>131</v>
      </c>
      <c r="C3534" s="1">
        <v>45740</v>
      </c>
      <c r="D3534" t="s">
        <v>5723</v>
      </c>
      <c r="E3534" t="str">
        <f>"70610010"</f>
        <v>70610010</v>
      </c>
      <c r="F3534" t="s">
        <v>5518</v>
      </c>
      <c r="G3534" t="s">
        <v>5885</v>
      </c>
      <c r="H3534" t="s">
        <v>5972</v>
      </c>
      <c r="I3534">
        <v>0</v>
      </c>
      <c r="J3534" t="s">
        <v>343</v>
      </c>
      <c r="L3534">
        <v>150000</v>
      </c>
      <c r="N3534">
        <v>150000</v>
      </c>
    </row>
    <row r="3535" spans="1:14" x14ac:dyDescent="0.35">
      <c r="A3535" t="str">
        <f t="shared" si="185"/>
        <v>VTE45740FAB250073247310100</v>
      </c>
      <c r="B3535" t="s">
        <v>131</v>
      </c>
      <c r="C3535" s="1">
        <v>45740</v>
      </c>
      <c r="D3535" t="s">
        <v>5724</v>
      </c>
      <c r="E3535" t="str">
        <f>"47310100"</f>
        <v>47310100</v>
      </c>
      <c r="F3535" t="s">
        <v>5518</v>
      </c>
      <c r="G3535" t="s">
        <v>5885</v>
      </c>
      <c r="H3535" t="s">
        <v>350</v>
      </c>
      <c r="I3535">
        <v>0</v>
      </c>
      <c r="J3535" t="s">
        <v>343</v>
      </c>
      <c r="L3535">
        <v>59000</v>
      </c>
      <c r="N3535">
        <v>59000</v>
      </c>
    </row>
    <row r="3536" spans="1:14" x14ac:dyDescent="0.35">
      <c r="A3536" t="str">
        <f t="shared" si="185"/>
        <v>VTE45740FAB250073270610010</v>
      </c>
      <c r="B3536" t="s">
        <v>131</v>
      </c>
      <c r="C3536" s="1">
        <v>45740</v>
      </c>
      <c r="D3536" t="s">
        <v>5724</v>
      </c>
      <c r="E3536" t="str">
        <f>"70610010"</f>
        <v>70610010</v>
      </c>
      <c r="F3536" t="s">
        <v>5518</v>
      </c>
      <c r="G3536" t="s">
        <v>5885</v>
      </c>
      <c r="H3536" t="s">
        <v>5972</v>
      </c>
      <c r="I3536">
        <v>0</v>
      </c>
      <c r="J3536" t="s">
        <v>343</v>
      </c>
      <c r="L3536">
        <v>150000</v>
      </c>
      <c r="N3536">
        <v>150000</v>
      </c>
    </row>
    <row r="3537" spans="1:14" x14ac:dyDescent="0.35">
      <c r="A3537" t="str">
        <f t="shared" si="185"/>
        <v>VTE45740FAB250073347310100</v>
      </c>
      <c r="B3537" t="s">
        <v>131</v>
      </c>
      <c r="C3537" s="1">
        <v>45740</v>
      </c>
      <c r="D3537" t="s">
        <v>5725</v>
      </c>
      <c r="E3537" t="str">
        <f>"47310100"</f>
        <v>47310100</v>
      </c>
      <c r="F3537" t="s">
        <v>5518</v>
      </c>
      <c r="G3537" t="s">
        <v>5885</v>
      </c>
      <c r="H3537" t="s">
        <v>350</v>
      </c>
      <c r="I3537">
        <v>0</v>
      </c>
      <c r="J3537" t="s">
        <v>343</v>
      </c>
      <c r="L3537">
        <v>59000</v>
      </c>
      <c r="N3537">
        <v>59000</v>
      </c>
    </row>
    <row r="3538" spans="1:14" x14ac:dyDescent="0.35">
      <c r="A3538" t="str">
        <f t="shared" si="185"/>
        <v>VTE45740FAB250073370610010</v>
      </c>
      <c r="B3538" t="s">
        <v>131</v>
      </c>
      <c r="C3538" s="1">
        <v>45740</v>
      </c>
      <c r="D3538" t="s">
        <v>5725</v>
      </c>
      <c r="E3538" t="str">
        <f>"70610010"</f>
        <v>70610010</v>
      </c>
      <c r="F3538" t="s">
        <v>5518</v>
      </c>
      <c r="G3538" t="s">
        <v>5885</v>
      </c>
      <c r="H3538" t="s">
        <v>5972</v>
      </c>
      <c r="I3538">
        <v>0</v>
      </c>
      <c r="J3538" t="s">
        <v>343</v>
      </c>
      <c r="L3538">
        <v>150000</v>
      </c>
      <c r="N3538">
        <v>150000</v>
      </c>
    </row>
    <row r="3539" spans="1:14" x14ac:dyDescent="0.35">
      <c r="A3539" t="str">
        <f t="shared" si="185"/>
        <v>VTE45740FAB250073447310100</v>
      </c>
      <c r="B3539" t="s">
        <v>131</v>
      </c>
      <c r="C3539" s="1">
        <v>45740</v>
      </c>
      <c r="D3539" t="s">
        <v>5703</v>
      </c>
      <c r="E3539" t="str">
        <f>"47310100"</f>
        <v>47310100</v>
      </c>
      <c r="F3539" t="s">
        <v>5518</v>
      </c>
      <c r="G3539" t="s">
        <v>5885</v>
      </c>
      <c r="H3539" t="s">
        <v>350</v>
      </c>
      <c r="I3539">
        <v>0</v>
      </c>
      <c r="J3539" t="s">
        <v>343</v>
      </c>
      <c r="L3539">
        <v>59000</v>
      </c>
      <c r="N3539">
        <v>59000</v>
      </c>
    </row>
    <row r="3540" spans="1:14" x14ac:dyDescent="0.35">
      <c r="A3540" t="str">
        <f t="shared" si="185"/>
        <v>VTE45740FAB250073447310100</v>
      </c>
      <c r="B3540" t="s">
        <v>131</v>
      </c>
      <c r="C3540" s="1">
        <v>45740</v>
      </c>
      <c r="D3540" t="s">
        <v>5703</v>
      </c>
      <c r="E3540" t="str">
        <f>"47310100"</f>
        <v>47310100</v>
      </c>
      <c r="F3540" t="s">
        <v>5676</v>
      </c>
      <c r="G3540" t="s">
        <v>5885</v>
      </c>
      <c r="H3540" t="s">
        <v>350</v>
      </c>
      <c r="I3540">
        <v>0</v>
      </c>
      <c r="J3540" t="s">
        <v>343</v>
      </c>
      <c r="L3540">
        <v>-59000</v>
      </c>
      <c r="N3540">
        <v>-59000</v>
      </c>
    </row>
    <row r="3541" spans="1:14" x14ac:dyDescent="0.35">
      <c r="A3541" t="str">
        <f t="shared" si="185"/>
        <v>VTE45740FAB250073470610010</v>
      </c>
      <c r="B3541" t="s">
        <v>131</v>
      </c>
      <c r="C3541" s="1">
        <v>45740</v>
      </c>
      <c r="D3541" t="s">
        <v>5703</v>
      </c>
      <c r="E3541" t="str">
        <f>"70610010"</f>
        <v>70610010</v>
      </c>
      <c r="F3541" t="s">
        <v>5518</v>
      </c>
      <c r="G3541" t="s">
        <v>5885</v>
      </c>
      <c r="H3541" t="s">
        <v>5972</v>
      </c>
      <c r="I3541">
        <v>0</v>
      </c>
      <c r="J3541" t="s">
        <v>343</v>
      </c>
      <c r="L3541">
        <v>150000</v>
      </c>
      <c r="N3541">
        <v>150000</v>
      </c>
    </row>
    <row r="3542" spans="1:14" x14ac:dyDescent="0.35">
      <c r="A3542" t="str">
        <f t="shared" si="185"/>
        <v>VTE45740FAB250073470610010</v>
      </c>
      <c r="B3542" t="s">
        <v>131</v>
      </c>
      <c r="C3542" s="1">
        <v>45740</v>
      </c>
      <c r="D3542" t="s">
        <v>5703</v>
      </c>
      <c r="E3542" t="str">
        <f>"70610010"</f>
        <v>70610010</v>
      </c>
      <c r="F3542" t="s">
        <v>5676</v>
      </c>
      <c r="G3542" t="s">
        <v>5885</v>
      </c>
      <c r="H3542" t="s">
        <v>5972</v>
      </c>
      <c r="I3542">
        <v>0</v>
      </c>
      <c r="J3542" t="s">
        <v>343</v>
      </c>
      <c r="L3542">
        <v>-150000</v>
      </c>
      <c r="N3542">
        <v>-150000</v>
      </c>
    </row>
    <row r="3543" spans="1:14" x14ac:dyDescent="0.35">
      <c r="A3543" t="str">
        <f t="shared" si="185"/>
        <v>VTE45740FAB250073547310100</v>
      </c>
      <c r="B3543" t="s">
        <v>131</v>
      </c>
      <c r="C3543" s="1">
        <v>45740</v>
      </c>
      <c r="D3543" t="s">
        <v>5726</v>
      </c>
      <c r="E3543" t="str">
        <f>"47310100"</f>
        <v>47310100</v>
      </c>
      <c r="F3543" t="s">
        <v>5518</v>
      </c>
      <c r="G3543" t="s">
        <v>5885</v>
      </c>
      <c r="H3543" t="s">
        <v>350</v>
      </c>
      <c r="I3543">
        <v>0</v>
      </c>
      <c r="J3543" t="s">
        <v>343</v>
      </c>
      <c r="L3543">
        <v>118000</v>
      </c>
      <c r="N3543">
        <v>118000</v>
      </c>
    </row>
    <row r="3544" spans="1:14" x14ac:dyDescent="0.35">
      <c r="A3544" t="str">
        <f t="shared" si="185"/>
        <v>VTE45740FAB250073570610010</v>
      </c>
      <c r="B3544" t="s">
        <v>131</v>
      </c>
      <c r="C3544" s="1">
        <v>45740</v>
      </c>
      <c r="D3544" t="s">
        <v>5726</v>
      </c>
      <c r="E3544" t="str">
        <f>"70610010"</f>
        <v>70610010</v>
      </c>
      <c r="F3544" t="s">
        <v>5518</v>
      </c>
      <c r="G3544" t="s">
        <v>5885</v>
      </c>
      <c r="H3544" t="s">
        <v>5972</v>
      </c>
      <c r="I3544">
        <v>0</v>
      </c>
      <c r="J3544" t="s">
        <v>343</v>
      </c>
      <c r="L3544">
        <v>300000</v>
      </c>
      <c r="N3544">
        <v>300000</v>
      </c>
    </row>
    <row r="3545" spans="1:14" x14ac:dyDescent="0.35">
      <c r="A3545" t="str">
        <f t="shared" si="185"/>
        <v>VTE45740FAB250073647310100</v>
      </c>
      <c r="B3545" t="s">
        <v>131</v>
      </c>
      <c r="C3545" s="1">
        <v>45740</v>
      </c>
      <c r="D3545" t="s">
        <v>5727</v>
      </c>
      <c r="E3545" t="str">
        <f>"47310100"</f>
        <v>47310100</v>
      </c>
      <c r="F3545" t="s">
        <v>180</v>
      </c>
      <c r="G3545" t="s">
        <v>5885</v>
      </c>
      <c r="H3545" t="s">
        <v>350</v>
      </c>
      <c r="I3545">
        <v>0</v>
      </c>
      <c r="J3545" t="s">
        <v>343</v>
      </c>
      <c r="L3545">
        <v>118000</v>
      </c>
      <c r="N3545">
        <v>118000</v>
      </c>
    </row>
    <row r="3546" spans="1:14" x14ac:dyDescent="0.35">
      <c r="A3546" t="str">
        <f t="shared" si="185"/>
        <v>VTE45740FAB250073670610010</v>
      </c>
      <c r="B3546" t="s">
        <v>131</v>
      </c>
      <c r="C3546" s="1">
        <v>45740</v>
      </c>
      <c r="D3546" t="s">
        <v>5727</v>
      </c>
      <c r="E3546" t="str">
        <f>"70610010"</f>
        <v>70610010</v>
      </c>
      <c r="F3546" t="s">
        <v>180</v>
      </c>
      <c r="G3546" t="s">
        <v>5885</v>
      </c>
      <c r="H3546" t="s">
        <v>5972</v>
      </c>
      <c r="I3546">
        <v>0</v>
      </c>
      <c r="J3546" t="s">
        <v>343</v>
      </c>
      <c r="L3546">
        <v>396000</v>
      </c>
      <c r="N3546">
        <v>396000</v>
      </c>
    </row>
    <row r="3547" spans="1:14" x14ac:dyDescent="0.35">
      <c r="A3547" t="str">
        <f t="shared" si="185"/>
        <v>VTE45740FAB250073670610050</v>
      </c>
      <c r="B3547" t="s">
        <v>131</v>
      </c>
      <c r="C3547" s="1">
        <v>45740</v>
      </c>
      <c r="D3547" t="s">
        <v>5727</v>
      </c>
      <c r="E3547" t="str">
        <f>"70610050"</f>
        <v>70610050</v>
      </c>
      <c r="F3547" t="s">
        <v>180</v>
      </c>
      <c r="G3547" t="s">
        <v>5885</v>
      </c>
      <c r="H3547" t="s">
        <v>5972</v>
      </c>
      <c r="I3547">
        <v>0</v>
      </c>
      <c r="J3547" t="s">
        <v>343</v>
      </c>
      <c r="L3547">
        <v>396000</v>
      </c>
      <c r="N3547">
        <v>396000</v>
      </c>
    </row>
    <row r="3548" spans="1:14" x14ac:dyDescent="0.35">
      <c r="A3548" t="str">
        <f t="shared" si="185"/>
        <v>VTE45740FBK250021670610010</v>
      </c>
      <c r="B3548" t="s">
        <v>131</v>
      </c>
      <c r="C3548" s="1">
        <v>45740</v>
      </c>
      <c r="D3548" t="s">
        <v>5728</v>
      </c>
      <c r="E3548" t="str">
        <f>"70610010"</f>
        <v>70610010</v>
      </c>
      <c r="F3548" t="s">
        <v>5508</v>
      </c>
      <c r="G3548" t="s">
        <v>5885</v>
      </c>
      <c r="H3548" t="s">
        <v>5977</v>
      </c>
      <c r="I3548">
        <v>0</v>
      </c>
      <c r="J3548" t="s">
        <v>343</v>
      </c>
      <c r="L3548">
        <v>21735</v>
      </c>
      <c r="N3548">
        <v>21735</v>
      </c>
    </row>
    <row r="3549" spans="1:14" x14ac:dyDescent="0.35">
      <c r="A3549" t="str">
        <f t="shared" si="185"/>
        <v>VTE45740FBK250021770610012</v>
      </c>
      <c r="B3549" t="s">
        <v>131</v>
      </c>
      <c r="C3549" s="1">
        <v>45740</v>
      </c>
      <c r="D3549" t="s">
        <v>5729</v>
      </c>
      <c r="E3549" t="str">
        <f>"70610012"</f>
        <v>70610012</v>
      </c>
      <c r="F3549" t="s">
        <v>5508</v>
      </c>
      <c r="G3549" t="s">
        <v>5885</v>
      </c>
      <c r="H3549" t="s">
        <v>5977</v>
      </c>
      <c r="I3549">
        <v>0</v>
      </c>
      <c r="J3549" t="s">
        <v>343</v>
      </c>
      <c r="L3549">
        <v>546959</v>
      </c>
      <c r="N3549">
        <v>546959</v>
      </c>
    </row>
    <row r="3550" spans="1:14" x14ac:dyDescent="0.35">
      <c r="A3550" t="str">
        <f t="shared" si="185"/>
        <v>VTE45740FBK250021870610012</v>
      </c>
      <c r="B3550" t="s">
        <v>131</v>
      </c>
      <c r="C3550" s="1">
        <v>45740</v>
      </c>
      <c r="D3550" t="s">
        <v>5730</v>
      </c>
      <c r="E3550" t="str">
        <f>"70610012"</f>
        <v>70610012</v>
      </c>
      <c r="F3550" t="s">
        <v>5508</v>
      </c>
      <c r="G3550" t="s">
        <v>5885</v>
      </c>
      <c r="H3550" t="s">
        <v>5977</v>
      </c>
      <c r="I3550">
        <v>0</v>
      </c>
      <c r="J3550" t="s">
        <v>343</v>
      </c>
      <c r="L3550">
        <v>250828</v>
      </c>
      <c r="N3550">
        <v>250828</v>
      </c>
    </row>
    <row r="3551" spans="1:14" x14ac:dyDescent="0.35">
      <c r="A3551" t="str">
        <f t="shared" si="185"/>
        <v>VTE45741FAB250073747310100</v>
      </c>
      <c r="B3551" t="s">
        <v>131</v>
      </c>
      <c r="C3551" s="1">
        <v>45741</v>
      </c>
      <c r="D3551" t="s">
        <v>5731</v>
      </c>
      <c r="E3551" t="str">
        <f>"47310100"</f>
        <v>47310100</v>
      </c>
      <c r="F3551" t="s">
        <v>5518</v>
      </c>
      <c r="G3551" t="s">
        <v>5885</v>
      </c>
      <c r="H3551" t="s">
        <v>350</v>
      </c>
      <c r="I3551">
        <v>0</v>
      </c>
      <c r="J3551" t="s">
        <v>343</v>
      </c>
      <c r="L3551">
        <v>29500</v>
      </c>
      <c r="N3551">
        <v>29500</v>
      </c>
    </row>
    <row r="3552" spans="1:14" x14ac:dyDescent="0.35">
      <c r="A3552" t="str">
        <f t="shared" si="185"/>
        <v>VTE45741FAB250073770610010</v>
      </c>
      <c r="B3552" t="s">
        <v>131</v>
      </c>
      <c r="C3552" s="1">
        <v>45741</v>
      </c>
      <c r="D3552" t="s">
        <v>5731</v>
      </c>
      <c r="E3552" t="str">
        <f>"70610010"</f>
        <v>70610010</v>
      </c>
      <c r="F3552" t="s">
        <v>5518</v>
      </c>
      <c r="G3552" t="s">
        <v>5885</v>
      </c>
      <c r="H3552" t="s">
        <v>5972</v>
      </c>
      <c r="I3552">
        <v>0</v>
      </c>
      <c r="J3552" t="s">
        <v>343</v>
      </c>
      <c r="L3552">
        <v>150000</v>
      </c>
      <c r="N3552">
        <v>150000</v>
      </c>
    </row>
    <row r="3553" spans="1:14" x14ac:dyDescent="0.35">
      <c r="A3553" t="str">
        <f t="shared" si="185"/>
        <v>VTE45741FAB250073847310100</v>
      </c>
      <c r="B3553" t="s">
        <v>131</v>
      </c>
      <c r="C3553" s="1">
        <v>45741</v>
      </c>
      <c r="D3553" t="s">
        <v>5732</v>
      </c>
      <c r="E3553" t="str">
        <f>"47310100"</f>
        <v>47310100</v>
      </c>
      <c r="F3553" t="s">
        <v>5518</v>
      </c>
      <c r="G3553" t="s">
        <v>5885</v>
      </c>
      <c r="H3553" t="s">
        <v>350</v>
      </c>
      <c r="I3553">
        <v>0</v>
      </c>
      <c r="J3553" t="s">
        <v>343</v>
      </c>
      <c r="L3553">
        <v>59000</v>
      </c>
      <c r="N3553">
        <v>59000</v>
      </c>
    </row>
    <row r="3554" spans="1:14" x14ac:dyDescent="0.35">
      <c r="A3554" t="str">
        <f t="shared" si="185"/>
        <v>VTE45741FAB250073870610010</v>
      </c>
      <c r="B3554" t="s">
        <v>131</v>
      </c>
      <c r="C3554" s="1">
        <v>45741</v>
      </c>
      <c r="D3554" t="s">
        <v>5732</v>
      </c>
      <c r="E3554" t="str">
        <f>"70610010"</f>
        <v>70610010</v>
      </c>
      <c r="F3554" t="s">
        <v>5518</v>
      </c>
      <c r="G3554" t="s">
        <v>5885</v>
      </c>
      <c r="H3554" t="s">
        <v>5972</v>
      </c>
      <c r="I3554">
        <v>0</v>
      </c>
      <c r="J3554" t="s">
        <v>343</v>
      </c>
      <c r="L3554">
        <v>150000</v>
      </c>
      <c r="N3554">
        <v>150000</v>
      </c>
    </row>
    <row r="3555" spans="1:14" x14ac:dyDescent="0.35">
      <c r="A3555" t="str">
        <f t="shared" si="185"/>
        <v>VTE45741FAB250073947310100</v>
      </c>
      <c r="B3555" t="s">
        <v>131</v>
      </c>
      <c r="C3555" s="1">
        <v>45741</v>
      </c>
      <c r="D3555" t="s">
        <v>5733</v>
      </c>
      <c r="E3555" t="str">
        <f>"47310100"</f>
        <v>47310100</v>
      </c>
      <c r="F3555" t="s">
        <v>180</v>
      </c>
      <c r="G3555" t="s">
        <v>5885</v>
      </c>
      <c r="H3555" t="s">
        <v>350</v>
      </c>
      <c r="I3555">
        <v>0</v>
      </c>
      <c r="J3555" t="s">
        <v>343</v>
      </c>
      <c r="L3555">
        <v>59000</v>
      </c>
      <c r="N3555">
        <v>59000</v>
      </c>
    </row>
    <row r="3556" spans="1:14" x14ac:dyDescent="0.35">
      <c r="A3556" t="str">
        <f t="shared" si="185"/>
        <v>VTE45741FAB250073970610010</v>
      </c>
      <c r="B3556" t="s">
        <v>131</v>
      </c>
      <c r="C3556" s="1">
        <v>45741</v>
      </c>
      <c r="D3556" t="s">
        <v>5733</v>
      </c>
      <c r="E3556" t="str">
        <f>"70610010"</f>
        <v>70610010</v>
      </c>
      <c r="F3556" t="s">
        <v>180</v>
      </c>
      <c r="G3556" t="s">
        <v>5885</v>
      </c>
      <c r="H3556" t="s">
        <v>5972</v>
      </c>
      <c r="I3556">
        <v>0</v>
      </c>
      <c r="J3556" t="s">
        <v>343</v>
      </c>
      <c r="L3556">
        <v>297000</v>
      </c>
      <c r="N3556">
        <v>297000</v>
      </c>
    </row>
    <row r="3557" spans="1:14" x14ac:dyDescent="0.35">
      <c r="A3557" t="str">
        <f t="shared" si="185"/>
        <v>VTE45741FAB250074047310100</v>
      </c>
      <c r="B3557" t="s">
        <v>131</v>
      </c>
      <c r="C3557" s="1">
        <v>45741</v>
      </c>
      <c r="D3557" t="s">
        <v>5734</v>
      </c>
      <c r="E3557" t="str">
        <f>"47310100"</f>
        <v>47310100</v>
      </c>
      <c r="F3557" t="s">
        <v>5551</v>
      </c>
      <c r="G3557" t="s">
        <v>5885</v>
      </c>
      <c r="H3557" t="s">
        <v>350</v>
      </c>
      <c r="I3557">
        <v>0</v>
      </c>
      <c r="J3557" t="s">
        <v>343</v>
      </c>
      <c r="L3557">
        <v>59000</v>
      </c>
      <c r="N3557">
        <v>59000</v>
      </c>
    </row>
    <row r="3558" spans="1:14" x14ac:dyDescent="0.35">
      <c r="A3558" t="str">
        <f t="shared" si="185"/>
        <v>VTE45741FAB250074070610010</v>
      </c>
      <c r="B3558" t="s">
        <v>131</v>
      </c>
      <c r="C3558" s="1">
        <v>45741</v>
      </c>
      <c r="D3558" t="s">
        <v>5734</v>
      </c>
      <c r="E3558" t="str">
        <f>"70610010"</f>
        <v>70610010</v>
      </c>
      <c r="F3558" t="s">
        <v>5551</v>
      </c>
      <c r="G3558" t="s">
        <v>5885</v>
      </c>
      <c r="H3558" t="s">
        <v>5972</v>
      </c>
      <c r="I3558">
        <v>0</v>
      </c>
      <c r="J3558" t="s">
        <v>343</v>
      </c>
      <c r="L3558">
        <v>300000</v>
      </c>
      <c r="N3558">
        <v>300000</v>
      </c>
    </row>
    <row r="3559" spans="1:14" x14ac:dyDescent="0.35">
      <c r="A3559" t="str">
        <f t="shared" si="185"/>
        <v>VTE45741FAB250074147310100</v>
      </c>
      <c r="B3559" t="s">
        <v>131</v>
      </c>
      <c r="C3559" s="1">
        <v>45741</v>
      </c>
      <c r="D3559" t="s">
        <v>5735</v>
      </c>
      <c r="E3559" t="str">
        <f>"47310100"</f>
        <v>47310100</v>
      </c>
      <c r="F3559" t="s">
        <v>180</v>
      </c>
      <c r="G3559" t="s">
        <v>5885</v>
      </c>
      <c r="H3559" t="s">
        <v>350</v>
      </c>
      <c r="I3559">
        <v>0</v>
      </c>
      <c r="J3559" t="s">
        <v>343</v>
      </c>
      <c r="L3559">
        <v>29500</v>
      </c>
      <c r="N3559">
        <v>29500</v>
      </c>
    </row>
    <row r="3560" spans="1:14" x14ac:dyDescent="0.35">
      <c r="A3560" t="str">
        <f t="shared" si="185"/>
        <v>VTE45741FAB250074170610010</v>
      </c>
      <c r="B3560" t="s">
        <v>131</v>
      </c>
      <c r="C3560" s="1">
        <v>45741</v>
      </c>
      <c r="D3560" t="s">
        <v>5735</v>
      </c>
      <c r="E3560" t="str">
        <f>"70610010"</f>
        <v>70610010</v>
      </c>
      <c r="F3560" t="s">
        <v>180</v>
      </c>
      <c r="G3560" t="s">
        <v>5885</v>
      </c>
      <c r="H3560" t="s">
        <v>5972</v>
      </c>
      <c r="I3560">
        <v>0</v>
      </c>
      <c r="J3560" t="s">
        <v>343</v>
      </c>
      <c r="L3560">
        <v>99000</v>
      </c>
      <c r="N3560">
        <v>99000</v>
      </c>
    </row>
    <row r="3561" spans="1:14" x14ac:dyDescent="0.35">
      <c r="A3561" t="str">
        <f t="shared" si="185"/>
        <v>VTE45741FAB250074247310100</v>
      </c>
      <c r="B3561" t="s">
        <v>131</v>
      </c>
      <c r="C3561" s="1">
        <v>45741</v>
      </c>
      <c r="D3561" t="s">
        <v>5736</v>
      </c>
      <c r="E3561" t="str">
        <f>"47310100"</f>
        <v>47310100</v>
      </c>
      <c r="F3561" t="s">
        <v>180</v>
      </c>
      <c r="G3561" t="s">
        <v>5885</v>
      </c>
      <c r="H3561" t="s">
        <v>350</v>
      </c>
      <c r="I3561">
        <v>0</v>
      </c>
      <c r="J3561" t="s">
        <v>343</v>
      </c>
      <c r="L3561">
        <v>29500</v>
      </c>
      <c r="N3561">
        <v>29500</v>
      </c>
    </row>
    <row r="3562" spans="1:14" x14ac:dyDescent="0.35">
      <c r="A3562" t="str">
        <f t="shared" si="185"/>
        <v>VTE45741FAB250074270610010</v>
      </c>
      <c r="B3562" t="s">
        <v>131</v>
      </c>
      <c r="C3562" s="1">
        <v>45741</v>
      </c>
      <c r="D3562" t="s">
        <v>5736</v>
      </c>
      <c r="E3562" t="str">
        <f>"70610010"</f>
        <v>70610010</v>
      </c>
      <c r="F3562" t="s">
        <v>180</v>
      </c>
      <c r="G3562" t="s">
        <v>5885</v>
      </c>
      <c r="H3562" t="s">
        <v>5972</v>
      </c>
      <c r="I3562">
        <v>0</v>
      </c>
      <c r="J3562" t="s">
        <v>343</v>
      </c>
      <c r="L3562">
        <v>99000</v>
      </c>
      <c r="N3562">
        <v>99000</v>
      </c>
    </row>
    <row r="3563" spans="1:14" x14ac:dyDescent="0.35">
      <c r="A3563" t="str">
        <f t="shared" si="185"/>
        <v>VTE45741FAB250074347310100</v>
      </c>
      <c r="B3563" t="s">
        <v>131</v>
      </c>
      <c r="C3563" s="1">
        <v>45741</v>
      </c>
      <c r="D3563" t="s">
        <v>5737</v>
      </c>
      <c r="E3563" t="str">
        <f>"47310100"</f>
        <v>47310100</v>
      </c>
      <c r="F3563" t="s">
        <v>180</v>
      </c>
      <c r="G3563" t="s">
        <v>5885</v>
      </c>
      <c r="H3563" t="s">
        <v>350</v>
      </c>
      <c r="I3563">
        <v>0</v>
      </c>
      <c r="J3563" t="s">
        <v>343</v>
      </c>
      <c r="L3563">
        <v>29500</v>
      </c>
      <c r="N3563">
        <v>29500</v>
      </c>
    </row>
    <row r="3564" spans="1:14" x14ac:dyDescent="0.35">
      <c r="A3564" t="str">
        <f t="shared" si="185"/>
        <v>VTE45741FAB250074370610010</v>
      </c>
      <c r="B3564" t="s">
        <v>131</v>
      </c>
      <c r="C3564" s="1">
        <v>45741</v>
      </c>
      <c r="D3564" t="s">
        <v>5737</v>
      </c>
      <c r="E3564" t="str">
        <f>"70610010"</f>
        <v>70610010</v>
      </c>
      <c r="F3564" t="s">
        <v>180</v>
      </c>
      <c r="G3564" t="s">
        <v>5885</v>
      </c>
      <c r="H3564" t="s">
        <v>5972</v>
      </c>
      <c r="I3564">
        <v>0</v>
      </c>
      <c r="J3564" t="s">
        <v>343</v>
      </c>
      <c r="L3564">
        <v>99000</v>
      </c>
      <c r="N3564">
        <v>99000</v>
      </c>
    </row>
    <row r="3565" spans="1:14" x14ac:dyDescent="0.35">
      <c r="A3565" t="str">
        <f t="shared" si="185"/>
        <v>VTE45741FAB250074447310100</v>
      </c>
      <c r="B3565" t="s">
        <v>131</v>
      </c>
      <c r="C3565" s="1">
        <v>45741</v>
      </c>
      <c r="D3565" t="s">
        <v>5738</v>
      </c>
      <c r="E3565" t="str">
        <f>"47310100"</f>
        <v>47310100</v>
      </c>
      <c r="F3565" t="s">
        <v>180</v>
      </c>
      <c r="G3565" t="s">
        <v>5885</v>
      </c>
      <c r="H3565" t="s">
        <v>350</v>
      </c>
      <c r="I3565">
        <v>0</v>
      </c>
      <c r="J3565" t="s">
        <v>343</v>
      </c>
      <c r="L3565">
        <v>29500</v>
      </c>
      <c r="N3565">
        <v>29500</v>
      </c>
    </row>
    <row r="3566" spans="1:14" x14ac:dyDescent="0.35">
      <c r="A3566" t="str">
        <f t="shared" si="185"/>
        <v>VTE45741FAB250074470610010</v>
      </c>
      <c r="B3566" t="s">
        <v>131</v>
      </c>
      <c r="C3566" s="1">
        <v>45741</v>
      </c>
      <c r="D3566" t="s">
        <v>5738</v>
      </c>
      <c r="E3566" t="str">
        <f>"70610010"</f>
        <v>70610010</v>
      </c>
      <c r="F3566" t="s">
        <v>180</v>
      </c>
      <c r="G3566" t="s">
        <v>5885</v>
      </c>
      <c r="H3566" t="s">
        <v>5972</v>
      </c>
      <c r="I3566">
        <v>0</v>
      </c>
      <c r="J3566" t="s">
        <v>343</v>
      </c>
      <c r="L3566">
        <v>99000</v>
      </c>
      <c r="N3566">
        <v>99000</v>
      </c>
    </row>
    <row r="3567" spans="1:14" x14ac:dyDescent="0.35">
      <c r="A3567" t="str">
        <f t="shared" si="185"/>
        <v>VTE45741FAB250074570610010</v>
      </c>
      <c r="B3567" t="s">
        <v>131</v>
      </c>
      <c r="C3567" s="1">
        <v>45741</v>
      </c>
      <c r="D3567" t="s">
        <v>5739</v>
      </c>
      <c r="E3567" t="str">
        <f>"70610010"</f>
        <v>70610010</v>
      </c>
      <c r="F3567" t="s">
        <v>5740</v>
      </c>
      <c r="G3567" t="s">
        <v>5885</v>
      </c>
      <c r="H3567" t="s">
        <v>5975</v>
      </c>
      <c r="I3567">
        <v>0</v>
      </c>
      <c r="J3567" t="s">
        <v>343</v>
      </c>
      <c r="L3567">
        <v>1680000</v>
      </c>
      <c r="N3567">
        <v>1680000</v>
      </c>
    </row>
    <row r="3568" spans="1:14" x14ac:dyDescent="0.35">
      <c r="A3568" t="str">
        <f t="shared" si="185"/>
        <v>VTE45741FAB250074647310100</v>
      </c>
      <c r="B3568" t="s">
        <v>131</v>
      </c>
      <c r="C3568" s="1">
        <v>45741</v>
      </c>
      <c r="D3568" t="s">
        <v>5741</v>
      </c>
      <c r="E3568" t="str">
        <f>"47310100"</f>
        <v>47310100</v>
      </c>
      <c r="F3568" t="s">
        <v>5512</v>
      </c>
      <c r="G3568" t="s">
        <v>5885</v>
      </c>
      <c r="H3568" t="s">
        <v>350</v>
      </c>
      <c r="I3568">
        <v>0</v>
      </c>
      <c r="J3568" t="s">
        <v>343</v>
      </c>
      <c r="L3568">
        <v>29500</v>
      </c>
      <c r="N3568">
        <v>29500</v>
      </c>
    </row>
    <row r="3569" spans="1:14" x14ac:dyDescent="0.35">
      <c r="A3569" t="str">
        <f t="shared" si="185"/>
        <v>VTE45741FAB250074670610010</v>
      </c>
      <c r="B3569" t="s">
        <v>131</v>
      </c>
      <c r="C3569" s="1">
        <v>45741</v>
      </c>
      <c r="D3569" t="s">
        <v>5741</v>
      </c>
      <c r="E3569" t="str">
        <f>"70610010"</f>
        <v>70610010</v>
      </c>
      <c r="F3569" t="s">
        <v>5512</v>
      </c>
      <c r="G3569" t="s">
        <v>5885</v>
      </c>
      <c r="H3569" t="s">
        <v>5972</v>
      </c>
      <c r="I3569">
        <v>0</v>
      </c>
      <c r="J3569" t="s">
        <v>343</v>
      </c>
      <c r="L3569">
        <v>201000</v>
      </c>
      <c r="N3569">
        <v>201000</v>
      </c>
    </row>
    <row r="3570" spans="1:14" x14ac:dyDescent="0.35">
      <c r="A3570" t="str">
        <f t="shared" si="185"/>
        <v>VTE45741FBK250021970610012</v>
      </c>
      <c r="B3570" t="s">
        <v>131</v>
      </c>
      <c r="C3570" s="1">
        <v>45741</v>
      </c>
      <c r="D3570" t="s">
        <v>5742</v>
      </c>
      <c r="E3570" t="str">
        <f>"70610012"</f>
        <v>70610012</v>
      </c>
      <c r="F3570" t="s">
        <v>5526</v>
      </c>
      <c r="G3570" t="s">
        <v>5885</v>
      </c>
      <c r="H3570" t="s">
        <v>5977</v>
      </c>
      <c r="I3570">
        <v>0</v>
      </c>
      <c r="J3570" t="s">
        <v>343</v>
      </c>
      <c r="L3570">
        <v>3342072</v>
      </c>
      <c r="N3570">
        <v>3342072</v>
      </c>
    </row>
    <row r="3571" spans="1:14" x14ac:dyDescent="0.35">
      <c r="A3571" t="str">
        <f t="shared" si="185"/>
        <v>VTE45741FBK250022070610010</v>
      </c>
      <c r="B3571" t="s">
        <v>131</v>
      </c>
      <c r="C3571" s="1">
        <v>45741</v>
      </c>
      <c r="D3571" t="s">
        <v>5743</v>
      </c>
      <c r="E3571" t="str">
        <f>"70610010"</f>
        <v>70610010</v>
      </c>
      <c r="F3571" t="s">
        <v>5508</v>
      </c>
      <c r="G3571" t="s">
        <v>5885</v>
      </c>
      <c r="H3571" t="s">
        <v>5975</v>
      </c>
      <c r="I3571">
        <v>0</v>
      </c>
      <c r="J3571" t="s">
        <v>343</v>
      </c>
      <c r="L3571">
        <v>7347902</v>
      </c>
      <c r="N3571">
        <v>7347902</v>
      </c>
    </row>
    <row r="3572" spans="1:14" x14ac:dyDescent="0.35">
      <c r="A3572" t="str">
        <f t="shared" si="185"/>
        <v>VTE45741FBK250022170610010</v>
      </c>
      <c r="B3572" t="s">
        <v>131</v>
      </c>
      <c r="C3572" s="1">
        <v>45741</v>
      </c>
      <c r="D3572" t="s">
        <v>5744</v>
      </c>
      <c r="E3572" t="str">
        <f>"70610010"</f>
        <v>70610010</v>
      </c>
      <c r="F3572" t="s">
        <v>5508</v>
      </c>
      <c r="G3572" t="s">
        <v>5885</v>
      </c>
      <c r="H3572" t="s">
        <v>5977</v>
      </c>
      <c r="I3572">
        <v>0</v>
      </c>
      <c r="J3572" t="s">
        <v>343</v>
      </c>
      <c r="L3572">
        <v>258038</v>
      </c>
      <c r="N3572">
        <v>258038</v>
      </c>
    </row>
    <row r="3573" spans="1:14" x14ac:dyDescent="0.35">
      <c r="A3573" t="str">
        <f t="shared" si="185"/>
        <v>VTE45741FBK250022270610010</v>
      </c>
      <c r="B3573" t="s">
        <v>131</v>
      </c>
      <c r="C3573" s="1">
        <v>45741</v>
      </c>
      <c r="D3573" t="s">
        <v>5745</v>
      </c>
      <c r="E3573" t="str">
        <f>"70610010"</f>
        <v>70610010</v>
      </c>
      <c r="F3573" t="s">
        <v>5508</v>
      </c>
      <c r="G3573" t="s">
        <v>5885</v>
      </c>
      <c r="H3573" t="s">
        <v>5977</v>
      </c>
      <c r="I3573">
        <v>0</v>
      </c>
      <c r="J3573" t="s">
        <v>343</v>
      </c>
      <c r="L3573">
        <v>258038</v>
      </c>
      <c r="N3573">
        <v>258038</v>
      </c>
    </row>
    <row r="3574" spans="1:14" x14ac:dyDescent="0.35">
      <c r="A3574" t="str">
        <f t="shared" si="185"/>
        <v>VTE45742FAB250074770610010</v>
      </c>
      <c r="B3574" t="s">
        <v>131</v>
      </c>
      <c r="C3574" s="1">
        <v>45742</v>
      </c>
      <c r="D3574" t="s">
        <v>5746</v>
      </c>
      <c r="E3574" t="str">
        <f>"70610010"</f>
        <v>70610010</v>
      </c>
      <c r="F3574" t="s">
        <v>165</v>
      </c>
      <c r="G3574" t="s">
        <v>5885</v>
      </c>
      <c r="H3574" t="s">
        <v>5972</v>
      </c>
      <c r="I3574">
        <v>0</v>
      </c>
      <c r="J3574" t="s">
        <v>343</v>
      </c>
      <c r="L3574">
        <v>904500</v>
      </c>
      <c r="N3574">
        <v>904500</v>
      </c>
    </row>
    <row r="3575" spans="1:14" x14ac:dyDescent="0.35">
      <c r="A3575" t="str">
        <f t="shared" si="185"/>
        <v>VTE45742FAB250074847310100</v>
      </c>
      <c r="B3575" t="s">
        <v>131</v>
      </c>
      <c r="C3575" s="1">
        <v>45742</v>
      </c>
      <c r="D3575" t="s">
        <v>5747</v>
      </c>
      <c r="E3575" t="str">
        <f>"47310100"</f>
        <v>47310100</v>
      </c>
      <c r="F3575" t="s">
        <v>5748</v>
      </c>
      <c r="G3575" t="s">
        <v>5885</v>
      </c>
      <c r="H3575" t="s">
        <v>350</v>
      </c>
      <c r="I3575">
        <v>0</v>
      </c>
      <c r="J3575" t="s">
        <v>343</v>
      </c>
      <c r="L3575">
        <v>300000</v>
      </c>
      <c r="N3575">
        <v>300000</v>
      </c>
    </row>
    <row r="3576" spans="1:14" x14ac:dyDescent="0.35">
      <c r="A3576" t="str">
        <f t="shared" si="185"/>
        <v>VTE45742FAB250074870610010</v>
      </c>
      <c r="B3576" t="s">
        <v>131</v>
      </c>
      <c r="C3576" s="1">
        <v>45742</v>
      </c>
      <c r="D3576" t="s">
        <v>5747</v>
      </c>
      <c r="E3576" t="str">
        <f>"70610010"</f>
        <v>70610010</v>
      </c>
      <c r="F3576" t="s">
        <v>5748</v>
      </c>
      <c r="G3576" t="s">
        <v>5885</v>
      </c>
      <c r="H3576" t="s">
        <v>5975</v>
      </c>
      <c r="I3576">
        <v>0</v>
      </c>
      <c r="J3576" t="s">
        <v>343</v>
      </c>
      <c r="L3576">
        <v>1008000</v>
      </c>
      <c r="N3576">
        <v>1248000</v>
      </c>
    </row>
    <row r="3577" spans="1:14" x14ac:dyDescent="0.35">
      <c r="A3577" t="str">
        <f t="shared" si="185"/>
        <v>VTE45742FAB250074870610010</v>
      </c>
      <c r="B3577" t="s">
        <v>131</v>
      </c>
      <c r="C3577" s="1">
        <v>45742</v>
      </c>
      <c r="D3577" t="s">
        <v>5747</v>
      </c>
      <c r="E3577" t="str">
        <f>"70610010"</f>
        <v>70610010</v>
      </c>
      <c r="F3577" t="s">
        <v>5748</v>
      </c>
      <c r="G3577" t="s">
        <v>5885</v>
      </c>
      <c r="H3577" t="s">
        <v>5972</v>
      </c>
      <c r="I3577">
        <v>0</v>
      </c>
      <c r="J3577" t="s">
        <v>343</v>
      </c>
      <c r="L3577">
        <v>240000</v>
      </c>
      <c r="N3577">
        <v>1248000</v>
      </c>
    </row>
    <row r="3578" spans="1:14" x14ac:dyDescent="0.35">
      <c r="A3578" t="str">
        <f t="shared" si="185"/>
        <v>VTE45742FAB250074947310100</v>
      </c>
      <c r="B3578" t="s">
        <v>131</v>
      </c>
      <c r="C3578" s="1">
        <v>45742</v>
      </c>
      <c r="D3578" t="s">
        <v>5749</v>
      </c>
      <c r="E3578" t="str">
        <f>"47310100"</f>
        <v>47310100</v>
      </c>
      <c r="F3578" t="s">
        <v>5748</v>
      </c>
      <c r="G3578" t="s">
        <v>5885</v>
      </c>
      <c r="H3578" t="s">
        <v>350</v>
      </c>
      <c r="I3578">
        <v>0</v>
      </c>
      <c r="J3578" t="s">
        <v>343</v>
      </c>
      <c r="L3578">
        <v>250000</v>
      </c>
      <c r="N3578">
        <v>250000</v>
      </c>
    </row>
    <row r="3579" spans="1:14" x14ac:dyDescent="0.35">
      <c r="A3579" t="str">
        <f t="shared" si="185"/>
        <v>VTE45742FAB250074970610010</v>
      </c>
      <c r="B3579" t="s">
        <v>131</v>
      </c>
      <c r="C3579" s="1">
        <v>45742</v>
      </c>
      <c r="D3579" t="s">
        <v>5749</v>
      </c>
      <c r="E3579" t="str">
        <f>"70610010"</f>
        <v>70610010</v>
      </c>
      <c r="F3579" t="s">
        <v>5748</v>
      </c>
      <c r="G3579" t="s">
        <v>5885</v>
      </c>
      <c r="H3579" t="s">
        <v>5975</v>
      </c>
      <c r="I3579">
        <v>0</v>
      </c>
      <c r="J3579" t="s">
        <v>343</v>
      </c>
      <c r="L3579">
        <v>840000</v>
      </c>
      <c r="N3579">
        <v>1040000</v>
      </c>
    </row>
    <row r="3580" spans="1:14" x14ac:dyDescent="0.35">
      <c r="A3580" t="str">
        <f t="shared" si="185"/>
        <v>VTE45742FAB250074970610010</v>
      </c>
      <c r="B3580" t="s">
        <v>131</v>
      </c>
      <c r="C3580" s="1">
        <v>45742</v>
      </c>
      <c r="D3580" t="s">
        <v>5749</v>
      </c>
      <c r="E3580" t="str">
        <f>"70610010"</f>
        <v>70610010</v>
      </c>
      <c r="F3580" t="s">
        <v>5748</v>
      </c>
      <c r="G3580" t="s">
        <v>5885</v>
      </c>
      <c r="H3580" t="s">
        <v>5972</v>
      </c>
      <c r="I3580">
        <v>0</v>
      </c>
      <c r="J3580" t="s">
        <v>343</v>
      </c>
      <c r="L3580">
        <v>200000</v>
      </c>
      <c r="N3580">
        <v>1040000</v>
      </c>
    </row>
    <row r="3581" spans="1:14" x14ac:dyDescent="0.35">
      <c r="A3581" t="str">
        <f t="shared" si="185"/>
        <v>VTE45742FAB250075047310100</v>
      </c>
      <c r="B3581" t="s">
        <v>131</v>
      </c>
      <c r="C3581" s="1">
        <v>45742</v>
      </c>
      <c r="D3581" t="s">
        <v>5750</v>
      </c>
      <c r="E3581" t="str">
        <f>"47310100"</f>
        <v>47310100</v>
      </c>
      <c r="F3581" t="s">
        <v>5748</v>
      </c>
      <c r="G3581" t="s">
        <v>5885</v>
      </c>
      <c r="H3581" t="s">
        <v>350</v>
      </c>
      <c r="I3581">
        <v>0</v>
      </c>
      <c r="J3581" t="s">
        <v>343</v>
      </c>
      <c r="L3581">
        <v>600000</v>
      </c>
      <c r="N3581">
        <v>600000</v>
      </c>
    </row>
    <row r="3582" spans="1:14" x14ac:dyDescent="0.35">
      <c r="A3582" t="str">
        <f t="shared" si="185"/>
        <v>VTE45742FAB250075070610010</v>
      </c>
      <c r="B3582" t="s">
        <v>131</v>
      </c>
      <c r="C3582" s="1">
        <v>45742</v>
      </c>
      <c r="D3582" t="s">
        <v>5750</v>
      </c>
      <c r="E3582" t="str">
        <f>"70610010"</f>
        <v>70610010</v>
      </c>
      <c r="F3582" t="s">
        <v>5748</v>
      </c>
      <c r="G3582" t="s">
        <v>5885</v>
      </c>
      <c r="H3582" t="s">
        <v>5975</v>
      </c>
      <c r="I3582">
        <v>0</v>
      </c>
      <c r="J3582" t="s">
        <v>343</v>
      </c>
      <c r="L3582">
        <v>2016000</v>
      </c>
      <c r="N3582">
        <v>2496000</v>
      </c>
    </row>
    <row r="3583" spans="1:14" x14ac:dyDescent="0.35">
      <c r="A3583" t="str">
        <f t="shared" si="185"/>
        <v>VTE45742FAB250075070610010</v>
      </c>
      <c r="B3583" t="s">
        <v>131</v>
      </c>
      <c r="C3583" s="1">
        <v>45742</v>
      </c>
      <c r="D3583" t="s">
        <v>5750</v>
      </c>
      <c r="E3583" t="str">
        <f>"70610010"</f>
        <v>70610010</v>
      </c>
      <c r="F3583" t="s">
        <v>5748</v>
      </c>
      <c r="G3583" t="s">
        <v>5885</v>
      </c>
      <c r="H3583" t="s">
        <v>5972</v>
      </c>
      <c r="I3583">
        <v>0</v>
      </c>
      <c r="J3583" t="s">
        <v>343</v>
      </c>
      <c r="L3583">
        <v>480000</v>
      </c>
      <c r="N3583">
        <v>2496000</v>
      </c>
    </row>
    <row r="3584" spans="1:14" x14ac:dyDescent="0.35">
      <c r="A3584" t="str">
        <f t="shared" si="185"/>
        <v>VTE45742FAB250075147310100</v>
      </c>
      <c r="B3584" t="s">
        <v>131</v>
      </c>
      <c r="C3584" s="1">
        <v>45742</v>
      </c>
      <c r="D3584" t="s">
        <v>5751</v>
      </c>
      <c r="E3584" t="str">
        <f>"47310100"</f>
        <v>47310100</v>
      </c>
      <c r="F3584" t="s">
        <v>5748</v>
      </c>
      <c r="G3584" t="s">
        <v>5885</v>
      </c>
      <c r="H3584" t="s">
        <v>350</v>
      </c>
      <c r="I3584">
        <v>0</v>
      </c>
      <c r="J3584" t="s">
        <v>343</v>
      </c>
      <c r="L3584">
        <v>300000</v>
      </c>
      <c r="N3584">
        <v>300000</v>
      </c>
    </row>
    <row r="3585" spans="1:14" x14ac:dyDescent="0.35">
      <c r="A3585" t="str">
        <f t="shared" si="185"/>
        <v>VTE45742FAB250075170610010</v>
      </c>
      <c r="B3585" t="s">
        <v>131</v>
      </c>
      <c r="C3585" s="1">
        <v>45742</v>
      </c>
      <c r="D3585" t="s">
        <v>5751</v>
      </c>
      <c r="E3585" t="str">
        <f>"70610010"</f>
        <v>70610010</v>
      </c>
      <c r="F3585" t="s">
        <v>5748</v>
      </c>
      <c r="G3585" t="s">
        <v>5885</v>
      </c>
      <c r="H3585" t="s">
        <v>5975</v>
      </c>
      <c r="I3585">
        <v>0</v>
      </c>
      <c r="J3585" t="s">
        <v>343</v>
      </c>
      <c r="L3585">
        <v>1008000</v>
      </c>
      <c r="N3585">
        <v>1248000</v>
      </c>
    </row>
    <row r="3586" spans="1:14" x14ac:dyDescent="0.35">
      <c r="A3586" t="str">
        <f t="shared" si="185"/>
        <v>VTE45742FAB250075170610010</v>
      </c>
      <c r="B3586" t="s">
        <v>131</v>
      </c>
      <c r="C3586" s="1">
        <v>45742</v>
      </c>
      <c r="D3586" t="s">
        <v>5751</v>
      </c>
      <c r="E3586" t="str">
        <f>"70610010"</f>
        <v>70610010</v>
      </c>
      <c r="F3586" t="s">
        <v>5748</v>
      </c>
      <c r="G3586" t="s">
        <v>5885</v>
      </c>
      <c r="H3586" t="s">
        <v>5972</v>
      </c>
      <c r="I3586">
        <v>0</v>
      </c>
      <c r="J3586" t="s">
        <v>343</v>
      </c>
      <c r="L3586">
        <v>240000</v>
      </c>
      <c r="N3586">
        <v>1248000</v>
      </c>
    </row>
    <row r="3587" spans="1:14" x14ac:dyDescent="0.35">
      <c r="A3587" t="str">
        <f t="shared" ref="A3587:A3650" si="186">CONCATENATE(B3587,C3587,D3587,E3587)</f>
        <v>VTE45742FAB250075247310100</v>
      </c>
      <c r="B3587" t="s">
        <v>131</v>
      </c>
      <c r="C3587" s="1">
        <v>45742</v>
      </c>
      <c r="D3587" t="s">
        <v>5752</v>
      </c>
      <c r="E3587" t="str">
        <f>"47310100"</f>
        <v>47310100</v>
      </c>
      <c r="F3587" t="s">
        <v>5748</v>
      </c>
      <c r="G3587" t="s">
        <v>5885</v>
      </c>
      <c r="H3587" t="s">
        <v>350</v>
      </c>
      <c r="I3587">
        <v>0</v>
      </c>
      <c r="J3587" t="s">
        <v>343</v>
      </c>
      <c r="L3587">
        <v>250000</v>
      </c>
      <c r="N3587">
        <v>250000</v>
      </c>
    </row>
    <row r="3588" spans="1:14" x14ac:dyDescent="0.35">
      <c r="A3588" t="str">
        <f t="shared" si="186"/>
        <v>VTE45742FAB250075270610010</v>
      </c>
      <c r="B3588" t="s">
        <v>131</v>
      </c>
      <c r="C3588" s="1">
        <v>45742</v>
      </c>
      <c r="D3588" t="s">
        <v>5752</v>
      </c>
      <c r="E3588" t="str">
        <f>"70610010"</f>
        <v>70610010</v>
      </c>
      <c r="F3588" t="s">
        <v>5748</v>
      </c>
      <c r="G3588" t="s">
        <v>5885</v>
      </c>
      <c r="H3588" t="s">
        <v>5975</v>
      </c>
      <c r="I3588">
        <v>0</v>
      </c>
      <c r="J3588" t="s">
        <v>343</v>
      </c>
      <c r="L3588">
        <v>840000</v>
      </c>
      <c r="N3588">
        <v>1040000</v>
      </c>
    </row>
    <row r="3589" spans="1:14" x14ac:dyDescent="0.35">
      <c r="A3589" t="str">
        <f t="shared" si="186"/>
        <v>VTE45742FAB250075270610010</v>
      </c>
      <c r="B3589" t="s">
        <v>131</v>
      </c>
      <c r="C3589" s="1">
        <v>45742</v>
      </c>
      <c r="D3589" t="s">
        <v>5752</v>
      </c>
      <c r="E3589" t="str">
        <f>"70610010"</f>
        <v>70610010</v>
      </c>
      <c r="F3589" t="s">
        <v>5748</v>
      </c>
      <c r="G3589" t="s">
        <v>5885</v>
      </c>
      <c r="H3589" t="s">
        <v>5972</v>
      </c>
      <c r="I3589">
        <v>0</v>
      </c>
      <c r="J3589" t="s">
        <v>343</v>
      </c>
      <c r="L3589">
        <v>200000</v>
      </c>
      <c r="N3589">
        <v>1040000</v>
      </c>
    </row>
    <row r="3590" spans="1:14" x14ac:dyDescent="0.35">
      <c r="A3590" t="str">
        <f t="shared" si="186"/>
        <v>VTE45742FAB250075347310100</v>
      </c>
      <c r="B3590" t="s">
        <v>131</v>
      </c>
      <c r="C3590" s="1">
        <v>45742</v>
      </c>
      <c r="D3590" t="s">
        <v>5753</v>
      </c>
      <c r="E3590" t="str">
        <f>"47310100"</f>
        <v>47310100</v>
      </c>
      <c r="F3590" t="s">
        <v>5748</v>
      </c>
      <c r="G3590" t="s">
        <v>5885</v>
      </c>
      <c r="H3590" t="s">
        <v>350</v>
      </c>
      <c r="I3590">
        <v>0</v>
      </c>
      <c r="J3590" t="s">
        <v>343</v>
      </c>
      <c r="L3590">
        <v>250000</v>
      </c>
      <c r="N3590">
        <v>250000</v>
      </c>
    </row>
    <row r="3591" spans="1:14" x14ac:dyDescent="0.35">
      <c r="A3591" t="str">
        <f t="shared" si="186"/>
        <v>VTE45742FAB250075370610010</v>
      </c>
      <c r="B3591" t="s">
        <v>131</v>
      </c>
      <c r="C3591" s="1">
        <v>45742</v>
      </c>
      <c r="D3591" t="s">
        <v>5753</v>
      </c>
      <c r="E3591" t="str">
        <f>"70610010"</f>
        <v>70610010</v>
      </c>
      <c r="F3591" t="s">
        <v>5748</v>
      </c>
      <c r="G3591" t="s">
        <v>5885</v>
      </c>
      <c r="H3591" t="s">
        <v>5975</v>
      </c>
      <c r="I3591">
        <v>0</v>
      </c>
      <c r="J3591" t="s">
        <v>343</v>
      </c>
      <c r="L3591">
        <v>840000</v>
      </c>
      <c r="N3591">
        <v>1040000</v>
      </c>
    </row>
    <row r="3592" spans="1:14" x14ac:dyDescent="0.35">
      <c r="A3592" t="str">
        <f t="shared" si="186"/>
        <v>VTE45742FAB250075370610010</v>
      </c>
      <c r="B3592" t="s">
        <v>131</v>
      </c>
      <c r="C3592" s="1">
        <v>45742</v>
      </c>
      <c r="D3592" t="s">
        <v>5753</v>
      </c>
      <c r="E3592" t="str">
        <f>"70610010"</f>
        <v>70610010</v>
      </c>
      <c r="F3592" t="s">
        <v>5748</v>
      </c>
      <c r="G3592" t="s">
        <v>5885</v>
      </c>
      <c r="H3592" t="s">
        <v>5972</v>
      </c>
      <c r="I3592">
        <v>0</v>
      </c>
      <c r="J3592" t="s">
        <v>343</v>
      </c>
      <c r="L3592">
        <v>200000</v>
      </c>
      <c r="N3592">
        <v>1040000</v>
      </c>
    </row>
    <row r="3593" spans="1:14" x14ac:dyDescent="0.35">
      <c r="A3593" t="str">
        <f t="shared" si="186"/>
        <v>VTE45742FAB250075447310100</v>
      </c>
      <c r="B3593" t="s">
        <v>131</v>
      </c>
      <c r="C3593" s="1">
        <v>45742</v>
      </c>
      <c r="D3593" t="s">
        <v>5754</v>
      </c>
      <c r="E3593" t="str">
        <f>"47310100"</f>
        <v>47310100</v>
      </c>
      <c r="F3593" t="s">
        <v>5748</v>
      </c>
      <c r="G3593" t="s">
        <v>5885</v>
      </c>
      <c r="H3593" t="s">
        <v>350</v>
      </c>
      <c r="I3593">
        <v>0</v>
      </c>
      <c r="J3593" t="s">
        <v>343</v>
      </c>
      <c r="L3593">
        <v>250000</v>
      </c>
      <c r="N3593">
        <v>250000</v>
      </c>
    </row>
    <row r="3594" spans="1:14" x14ac:dyDescent="0.35">
      <c r="A3594" t="str">
        <f t="shared" si="186"/>
        <v>VTE45742FAB250075470610010</v>
      </c>
      <c r="B3594" t="s">
        <v>131</v>
      </c>
      <c r="C3594" s="1">
        <v>45742</v>
      </c>
      <c r="D3594" t="s">
        <v>5754</v>
      </c>
      <c r="E3594" t="str">
        <f>"70610010"</f>
        <v>70610010</v>
      </c>
      <c r="F3594" t="s">
        <v>5748</v>
      </c>
      <c r="G3594" t="s">
        <v>5885</v>
      </c>
      <c r="H3594" t="s">
        <v>5975</v>
      </c>
      <c r="I3594">
        <v>0</v>
      </c>
      <c r="J3594" t="s">
        <v>343</v>
      </c>
      <c r="L3594">
        <v>840000</v>
      </c>
      <c r="N3594">
        <v>1040000</v>
      </c>
    </row>
    <row r="3595" spans="1:14" x14ac:dyDescent="0.35">
      <c r="A3595" t="str">
        <f t="shared" si="186"/>
        <v>VTE45742FAB250075470610010</v>
      </c>
      <c r="B3595" t="s">
        <v>131</v>
      </c>
      <c r="C3595" s="1">
        <v>45742</v>
      </c>
      <c r="D3595" t="s">
        <v>5754</v>
      </c>
      <c r="E3595" t="str">
        <f>"70610010"</f>
        <v>70610010</v>
      </c>
      <c r="F3595" t="s">
        <v>5748</v>
      </c>
      <c r="G3595" t="s">
        <v>5885</v>
      </c>
      <c r="H3595" t="s">
        <v>5972</v>
      </c>
      <c r="I3595">
        <v>0</v>
      </c>
      <c r="J3595" t="s">
        <v>343</v>
      </c>
      <c r="L3595">
        <v>200000</v>
      </c>
      <c r="N3595">
        <v>1040000</v>
      </c>
    </row>
    <row r="3596" spans="1:14" x14ac:dyDescent="0.35">
      <c r="A3596" t="str">
        <f t="shared" si="186"/>
        <v>VTE45742FAB250075547310100</v>
      </c>
      <c r="B3596" t="s">
        <v>131</v>
      </c>
      <c r="C3596" s="1">
        <v>45742</v>
      </c>
      <c r="D3596" t="s">
        <v>5755</v>
      </c>
      <c r="E3596" t="str">
        <f>"47310100"</f>
        <v>47310100</v>
      </c>
      <c r="F3596" t="s">
        <v>5748</v>
      </c>
      <c r="G3596" t="s">
        <v>5885</v>
      </c>
      <c r="H3596" t="s">
        <v>350</v>
      </c>
      <c r="I3596">
        <v>0</v>
      </c>
      <c r="J3596" t="s">
        <v>343</v>
      </c>
      <c r="L3596">
        <v>250000</v>
      </c>
      <c r="N3596">
        <v>250000</v>
      </c>
    </row>
    <row r="3597" spans="1:14" x14ac:dyDescent="0.35">
      <c r="A3597" t="str">
        <f t="shared" si="186"/>
        <v>VTE45742FAB250075570610010</v>
      </c>
      <c r="B3597" t="s">
        <v>131</v>
      </c>
      <c r="C3597" s="1">
        <v>45742</v>
      </c>
      <c r="D3597" t="s">
        <v>5755</v>
      </c>
      <c r="E3597" t="str">
        <f>"70610010"</f>
        <v>70610010</v>
      </c>
      <c r="F3597" t="s">
        <v>5748</v>
      </c>
      <c r="G3597" t="s">
        <v>5885</v>
      </c>
      <c r="H3597" t="s">
        <v>5975</v>
      </c>
      <c r="I3597">
        <v>0</v>
      </c>
      <c r="J3597" t="s">
        <v>343</v>
      </c>
      <c r="L3597">
        <v>840000</v>
      </c>
      <c r="N3597">
        <v>1040000</v>
      </c>
    </row>
    <row r="3598" spans="1:14" x14ac:dyDescent="0.35">
      <c r="A3598" t="str">
        <f t="shared" si="186"/>
        <v>VTE45742FAB250075570610010</v>
      </c>
      <c r="B3598" t="s">
        <v>131</v>
      </c>
      <c r="C3598" s="1">
        <v>45742</v>
      </c>
      <c r="D3598" t="s">
        <v>5755</v>
      </c>
      <c r="E3598" t="str">
        <f>"70610010"</f>
        <v>70610010</v>
      </c>
      <c r="F3598" t="s">
        <v>5748</v>
      </c>
      <c r="G3598" t="s">
        <v>5885</v>
      </c>
      <c r="H3598" t="s">
        <v>5972</v>
      </c>
      <c r="I3598">
        <v>0</v>
      </c>
      <c r="J3598" t="s">
        <v>343</v>
      </c>
      <c r="L3598">
        <v>200000</v>
      </c>
      <c r="N3598">
        <v>1040000</v>
      </c>
    </row>
    <row r="3599" spans="1:14" x14ac:dyDescent="0.35">
      <c r="A3599" t="str">
        <f t="shared" si="186"/>
        <v>VTE45742FAB250075647310100</v>
      </c>
      <c r="B3599" t="s">
        <v>131</v>
      </c>
      <c r="C3599" s="1">
        <v>45742</v>
      </c>
      <c r="D3599" t="s">
        <v>5756</v>
      </c>
      <c r="E3599" t="str">
        <f>"47310100"</f>
        <v>47310100</v>
      </c>
      <c r="F3599" t="s">
        <v>5748</v>
      </c>
      <c r="G3599" t="s">
        <v>5885</v>
      </c>
      <c r="H3599" t="s">
        <v>350</v>
      </c>
      <c r="I3599">
        <v>0</v>
      </c>
      <c r="J3599" t="s">
        <v>343</v>
      </c>
      <c r="L3599">
        <v>100000</v>
      </c>
      <c r="N3599">
        <v>100000</v>
      </c>
    </row>
    <row r="3600" spans="1:14" x14ac:dyDescent="0.35">
      <c r="A3600" t="str">
        <f t="shared" si="186"/>
        <v>VTE45742FAB250075670610010</v>
      </c>
      <c r="B3600" t="s">
        <v>131</v>
      </c>
      <c r="C3600" s="1">
        <v>45742</v>
      </c>
      <c r="D3600" t="s">
        <v>5756</v>
      </c>
      <c r="E3600" t="str">
        <f>"70610010"</f>
        <v>70610010</v>
      </c>
      <c r="F3600" t="s">
        <v>5748</v>
      </c>
      <c r="G3600" t="s">
        <v>5885</v>
      </c>
      <c r="H3600" t="s">
        <v>5975</v>
      </c>
      <c r="I3600">
        <v>0</v>
      </c>
      <c r="J3600" t="s">
        <v>343</v>
      </c>
      <c r="L3600">
        <v>336000</v>
      </c>
      <c r="N3600">
        <v>416000</v>
      </c>
    </row>
    <row r="3601" spans="1:14" x14ac:dyDescent="0.35">
      <c r="A3601" t="str">
        <f t="shared" si="186"/>
        <v>VTE45742FAB250075670610010</v>
      </c>
      <c r="B3601" t="s">
        <v>131</v>
      </c>
      <c r="C3601" s="1">
        <v>45742</v>
      </c>
      <c r="D3601" t="s">
        <v>5756</v>
      </c>
      <c r="E3601" t="str">
        <f>"70610010"</f>
        <v>70610010</v>
      </c>
      <c r="F3601" t="s">
        <v>5748</v>
      </c>
      <c r="G3601" t="s">
        <v>5885</v>
      </c>
      <c r="H3601" t="s">
        <v>5972</v>
      </c>
      <c r="I3601">
        <v>0</v>
      </c>
      <c r="J3601" t="s">
        <v>343</v>
      </c>
      <c r="L3601">
        <v>80000</v>
      </c>
      <c r="N3601">
        <v>416000</v>
      </c>
    </row>
    <row r="3602" spans="1:14" x14ac:dyDescent="0.35">
      <c r="A3602" t="str">
        <f t="shared" si="186"/>
        <v>VTE45742FAB250075747310100</v>
      </c>
      <c r="B3602" t="s">
        <v>131</v>
      </c>
      <c r="C3602" s="1">
        <v>45742</v>
      </c>
      <c r="D3602" t="s">
        <v>5757</v>
      </c>
      <c r="E3602" t="str">
        <f>"47310100"</f>
        <v>47310100</v>
      </c>
      <c r="F3602" t="s">
        <v>5748</v>
      </c>
      <c r="G3602" t="s">
        <v>5885</v>
      </c>
      <c r="H3602" t="s">
        <v>350</v>
      </c>
      <c r="I3602">
        <v>0</v>
      </c>
      <c r="J3602" t="s">
        <v>343</v>
      </c>
      <c r="L3602">
        <v>300000</v>
      </c>
      <c r="N3602">
        <v>300000</v>
      </c>
    </row>
    <row r="3603" spans="1:14" x14ac:dyDescent="0.35">
      <c r="A3603" t="str">
        <f t="shared" si="186"/>
        <v>VTE45742FAB250075770610010</v>
      </c>
      <c r="B3603" t="s">
        <v>131</v>
      </c>
      <c r="C3603" s="1">
        <v>45742</v>
      </c>
      <c r="D3603" t="s">
        <v>5757</v>
      </c>
      <c r="E3603" t="str">
        <f t="shared" ref="E3603:E3614" si="187">"70610010"</f>
        <v>70610010</v>
      </c>
      <c r="F3603" t="s">
        <v>5748</v>
      </c>
      <c r="G3603" t="s">
        <v>5885</v>
      </c>
      <c r="H3603" t="s">
        <v>5975</v>
      </c>
      <c r="I3603">
        <v>0</v>
      </c>
      <c r="J3603" t="s">
        <v>343</v>
      </c>
      <c r="L3603">
        <v>1008000</v>
      </c>
      <c r="N3603">
        <v>1248000</v>
      </c>
    </row>
    <row r="3604" spans="1:14" x14ac:dyDescent="0.35">
      <c r="A3604" t="str">
        <f t="shared" si="186"/>
        <v>VTE45742FAB250075770610010</v>
      </c>
      <c r="B3604" t="s">
        <v>131</v>
      </c>
      <c r="C3604" s="1">
        <v>45742</v>
      </c>
      <c r="D3604" t="s">
        <v>5757</v>
      </c>
      <c r="E3604" t="str">
        <f t="shared" si="187"/>
        <v>70610010</v>
      </c>
      <c r="F3604" t="s">
        <v>5748</v>
      </c>
      <c r="G3604" t="s">
        <v>5885</v>
      </c>
      <c r="H3604" t="s">
        <v>5972</v>
      </c>
      <c r="I3604">
        <v>0</v>
      </c>
      <c r="J3604" t="s">
        <v>343</v>
      </c>
      <c r="L3604">
        <v>240000</v>
      </c>
      <c r="N3604">
        <v>1248000</v>
      </c>
    </row>
    <row r="3605" spans="1:14" x14ac:dyDescent="0.35">
      <c r="A3605" t="str">
        <f t="shared" si="186"/>
        <v>VTE45742FBK250016170610010</v>
      </c>
      <c r="B3605" t="s">
        <v>131</v>
      </c>
      <c r="C3605" s="1">
        <v>45742</v>
      </c>
      <c r="D3605" t="s">
        <v>5758</v>
      </c>
      <c r="E3605" t="str">
        <f t="shared" si="187"/>
        <v>70610010</v>
      </c>
      <c r="F3605" t="s">
        <v>5508</v>
      </c>
      <c r="G3605" t="s">
        <v>5885</v>
      </c>
      <c r="H3605" t="s">
        <v>5977</v>
      </c>
      <c r="I3605">
        <v>0</v>
      </c>
      <c r="J3605" t="s">
        <v>343</v>
      </c>
      <c r="L3605">
        <v>931500</v>
      </c>
      <c r="N3605">
        <v>931500</v>
      </c>
    </row>
    <row r="3606" spans="1:14" x14ac:dyDescent="0.35">
      <c r="A3606" t="str">
        <f t="shared" si="186"/>
        <v>VTE45742FBK250022370610010</v>
      </c>
      <c r="B3606" t="s">
        <v>131</v>
      </c>
      <c r="C3606" s="1">
        <v>45742</v>
      </c>
      <c r="D3606" t="s">
        <v>5759</v>
      </c>
      <c r="E3606" t="str">
        <f t="shared" si="187"/>
        <v>70610010</v>
      </c>
      <c r="F3606" t="s">
        <v>5508</v>
      </c>
      <c r="G3606" t="s">
        <v>5885</v>
      </c>
      <c r="H3606" t="s">
        <v>5977</v>
      </c>
      <c r="I3606">
        <v>0</v>
      </c>
      <c r="J3606" t="s">
        <v>343</v>
      </c>
      <c r="L3606">
        <v>21725</v>
      </c>
      <c r="N3606">
        <v>21725</v>
      </c>
    </row>
    <row r="3607" spans="1:14" x14ac:dyDescent="0.35">
      <c r="A3607" t="str">
        <f t="shared" si="186"/>
        <v>VTE45742FBK250022470610010</v>
      </c>
      <c r="B3607" t="s">
        <v>131</v>
      </c>
      <c r="C3607" s="1">
        <v>45742</v>
      </c>
      <c r="D3607" t="s">
        <v>5760</v>
      </c>
      <c r="E3607" t="str">
        <f t="shared" si="187"/>
        <v>70610010</v>
      </c>
      <c r="F3607" t="s">
        <v>5508</v>
      </c>
      <c r="G3607" t="s">
        <v>5885</v>
      </c>
      <c r="H3607" t="s">
        <v>5977</v>
      </c>
      <c r="I3607">
        <v>0</v>
      </c>
      <c r="J3607" t="s">
        <v>343</v>
      </c>
      <c r="L3607">
        <v>108675</v>
      </c>
      <c r="N3607">
        <v>108675</v>
      </c>
    </row>
    <row r="3608" spans="1:14" x14ac:dyDescent="0.35">
      <c r="A3608" t="str">
        <f t="shared" si="186"/>
        <v>VTE45742FBK250022570610010</v>
      </c>
      <c r="B3608" t="s">
        <v>131</v>
      </c>
      <c r="C3608" s="1">
        <v>45742</v>
      </c>
      <c r="D3608" t="s">
        <v>5761</v>
      </c>
      <c r="E3608" t="str">
        <f t="shared" si="187"/>
        <v>70610010</v>
      </c>
      <c r="F3608" t="s">
        <v>5508</v>
      </c>
      <c r="G3608" t="s">
        <v>5885</v>
      </c>
      <c r="H3608" t="s">
        <v>5977</v>
      </c>
      <c r="I3608">
        <v>0</v>
      </c>
      <c r="J3608" t="s">
        <v>343</v>
      </c>
      <c r="L3608">
        <v>43470</v>
      </c>
      <c r="N3608">
        <v>43470</v>
      </c>
    </row>
    <row r="3609" spans="1:14" x14ac:dyDescent="0.35">
      <c r="A3609" t="str">
        <f t="shared" si="186"/>
        <v>VTE45742FBK250022670610010</v>
      </c>
      <c r="B3609" t="s">
        <v>131</v>
      </c>
      <c r="C3609" s="1">
        <v>45742</v>
      </c>
      <c r="D3609" t="s">
        <v>5762</v>
      </c>
      <c r="E3609" t="str">
        <f t="shared" si="187"/>
        <v>70610010</v>
      </c>
      <c r="F3609" t="s">
        <v>5508</v>
      </c>
      <c r="G3609" t="s">
        <v>5885</v>
      </c>
      <c r="H3609" t="s">
        <v>5977</v>
      </c>
      <c r="I3609">
        <v>0</v>
      </c>
      <c r="J3609" t="s">
        <v>343</v>
      </c>
      <c r="L3609">
        <v>21735</v>
      </c>
      <c r="N3609">
        <v>21735</v>
      </c>
    </row>
    <row r="3610" spans="1:14" x14ac:dyDescent="0.35">
      <c r="A3610" t="str">
        <f t="shared" si="186"/>
        <v>VTE45742FBK250022770610010</v>
      </c>
      <c r="B3610" t="s">
        <v>131</v>
      </c>
      <c r="C3610" s="1">
        <v>45742</v>
      </c>
      <c r="D3610" t="s">
        <v>5763</v>
      </c>
      <c r="E3610" t="str">
        <f t="shared" si="187"/>
        <v>70610010</v>
      </c>
      <c r="F3610" t="s">
        <v>5508</v>
      </c>
      <c r="G3610" t="s">
        <v>5885</v>
      </c>
      <c r="H3610" t="s">
        <v>5977</v>
      </c>
      <c r="I3610">
        <v>0</v>
      </c>
      <c r="J3610" t="s">
        <v>343</v>
      </c>
      <c r="L3610">
        <v>43470</v>
      </c>
      <c r="N3610">
        <v>43470</v>
      </c>
    </row>
    <row r="3611" spans="1:14" x14ac:dyDescent="0.35">
      <c r="A3611" t="str">
        <f t="shared" si="186"/>
        <v>VTE45742FBK250022870610010</v>
      </c>
      <c r="B3611" t="s">
        <v>131</v>
      </c>
      <c r="C3611" s="1">
        <v>45742</v>
      </c>
      <c r="D3611" t="s">
        <v>5764</v>
      </c>
      <c r="E3611" t="str">
        <f t="shared" si="187"/>
        <v>70610010</v>
      </c>
      <c r="F3611" t="s">
        <v>5508</v>
      </c>
      <c r="G3611" t="s">
        <v>5885</v>
      </c>
      <c r="H3611" t="s">
        <v>5977</v>
      </c>
      <c r="I3611">
        <v>0</v>
      </c>
      <c r="J3611" t="s">
        <v>343</v>
      </c>
      <c r="L3611">
        <v>931500</v>
      </c>
      <c r="N3611">
        <v>931500</v>
      </c>
    </row>
    <row r="3612" spans="1:14" x14ac:dyDescent="0.35">
      <c r="A3612" t="str">
        <f t="shared" si="186"/>
        <v>VTE45742FBK250022970610010</v>
      </c>
      <c r="B3612" t="s">
        <v>131</v>
      </c>
      <c r="C3612" s="1">
        <v>45742</v>
      </c>
      <c r="D3612" t="s">
        <v>5765</v>
      </c>
      <c r="E3612" t="str">
        <f t="shared" si="187"/>
        <v>70610010</v>
      </c>
      <c r="F3612" t="s">
        <v>5508</v>
      </c>
      <c r="G3612" t="s">
        <v>5885</v>
      </c>
      <c r="H3612" t="s">
        <v>5977</v>
      </c>
      <c r="I3612">
        <v>0</v>
      </c>
      <c r="J3612" t="s">
        <v>343</v>
      </c>
      <c r="L3612">
        <v>931500</v>
      </c>
      <c r="N3612">
        <v>931500</v>
      </c>
    </row>
    <row r="3613" spans="1:14" x14ac:dyDescent="0.35">
      <c r="A3613" t="str">
        <f t="shared" si="186"/>
        <v>VTE45742FBK250023070610010</v>
      </c>
      <c r="B3613" t="s">
        <v>131</v>
      </c>
      <c r="C3613" s="1">
        <v>45742</v>
      </c>
      <c r="D3613" t="s">
        <v>5766</v>
      </c>
      <c r="E3613" t="str">
        <f t="shared" si="187"/>
        <v>70610010</v>
      </c>
      <c r="F3613" t="s">
        <v>5508</v>
      </c>
      <c r="G3613" t="s">
        <v>5885</v>
      </c>
      <c r="H3613" t="s">
        <v>5977</v>
      </c>
      <c r="I3613">
        <v>0</v>
      </c>
      <c r="J3613" t="s">
        <v>343</v>
      </c>
      <c r="L3613">
        <v>931500</v>
      </c>
      <c r="N3613">
        <v>931500</v>
      </c>
    </row>
    <row r="3614" spans="1:14" x14ac:dyDescent="0.35">
      <c r="A3614" t="str">
        <f t="shared" si="186"/>
        <v>VTE45742FBK250023170610010</v>
      </c>
      <c r="B3614" t="s">
        <v>131</v>
      </c>
      <c r="C3614" s="1">
        <v>45742</v>
      </c>
      <c r="D3614" t="s">
        <v>5767</v>
      </c>
      <c r="E3614" t="str">
        <f t="shared" si="187"/>
        <v>70610010</v>
      </c>
      <c r="F3614" t="s">
        <v>5508</v>
      </c>
      <c r="G3614" t="s">
        <v>5885</v>
      </c>
      <c r="H3614" t="s">
        <v>5977</v>
      </c>
      <c r="I3614">
        <v>0</v>
      </c>
      <c r="J3614" t="s">
        <v>343</v>
      </c>
      <c r="L3614">
        <v>931500</v>
      </c>
      <c r="N3614">
        <v>931500</v>
      </c>
    </row>
    <row r="3615" spans="1:14" x14ac:dyDescent="0.35">
      <c r="A3615" t="str">
        <f t="shared" si="186"/>
        <v>VTE45742FBK250023270610012</v>
      </c>
      <c r="B3615" t="s">
        <v>131</v>
      </c>
      <c r="C3615" s="1">
        <v>45742</v>
      </c>
      <c r="D3615" t="s">
        <v>5768</v>
      </c>
      <c r="E3615" t="str">
        <f>"70610012"</f>
        <v>70610012</v>
      </c>
      <c r="F3615" t="s">
        <v>5508</v>
      </c>
      <c r="G3615" t="s">
        <v>5885</v>
      </c>
      <c r="H3615" t="s">
        <v>5977</v>
      </c>
      <c r="I3615">
        <v>0</v>
      </c>
      <c r="J3615" t="s">
        <v>343</v>
      </c>
      <c r="L3615">
        <v>546959</v>
      </c>
      <c r="N3615">
        <v>546959</v>
      </c>
    </row>
    <row r="3616" spans="1:14" x14ac:dyDescent="0.35">
      <c r="A3616" t="str">
        <f t="shared" si="186"/>
        <v>VTE45744FAB250075870610010</v>
      </c>
      <c r="B3616" t="s">
        <v>131</v>
      </c>
      <c r="C3616" s="1">
        <v>45744</v>
      </c>
      <c r="D3616" t="s">
        <v>5769</v>
      </c>
      <c r="E3616" t="str">
        <f>"70610010"</f>
        <v>70610010</v>
      </c>
      <c r="F3616" t="s">
        <v>5770</v>
      </c>
      <c r="G3616" t="s">
        <v>5885</v>
      </c>
      <c r="H3616" t="s">
        <v>5975</v>
      </c>
      <c r="I3616">
        <v>0</v>
      </c>
      <c r="J3616" t="s">
        <v>343</v>
      </c>
      <c r="L3616">
        <v>80000</v>
      </c>
      <c r="N3616">
        <v>80000</v>
      </c>
    </row>
    <row r="3617" spans="1:14" x14ac:dyDescent="0.35">
      <c r="A3617" t="str">
        <f t="shared" si="186"/>
        <v>VTE45744FAB250075970610010</v>
      </c>
      <c r="B3617" t="s">
        <v>131</v>
      </c>
      <c r="C3617" s="1">
        <v>45744</v>
      </c>
      <c r="D3617" t="s">
        <v>5771</v>
      </c>
      <c r="E3617" t="str">
        <f>"70610010"</f>
        <v>70610010</v>
      </c>
      <c r="F3617" t="s">
        <v>5516</v>
      </c>
      <c r="G3617" t="s">
        <v>5885</v>
      </c>
      <c r="H3617" t="s">
        <v>5975</v>
      </c>
      <c r="I3617">
        <v>0</v>
      </c>
      <c r="J3617" t="s">
        <v>343</v>
      </c>
      <c r="L3617">
        <v>1612000</v>
      </c>
      <c r="N3617">
        <v>1612000</v>
      </c>
    </row>
    <row r="3618" spans="1:14" x14ac:dyDescent="0.35">
      <c r="A3618" t="str">
        <f t="shared" si="186"/>
        <v>VTE45744FAB250076070610010</v>
      </c>
      <c r="B3618" t="s">
        <v>131</v>
      </c>
      <c r="C3618" s="1">
        <v>45744</v>
      </c>
      <c r="D3618" t="s">
        <v>5772</v>
      </c>
      <c r="E3618" t="str">
        <f>"70610010"</f>
        <v>70610010</v>
      </c>
      <c r="F3618" t="s">
        <v>5686</v>
      </c>
      <c r="G3618" t="s">
        <v>5885</v>
      </c>
      <c r="H3618" t="s">
        <v>5969</v>
      </c>
      <c r="I3618">
        <v>0</v>
      </c>
      <c r="J3618" t="s">
        <v>343</v>
      </c>
      <c r="L3618">
        <v>1750000</v>
      </c>
      <c r="N3618">
        <v>1750000</v>
      </c>
    </row>
    <row r="3619" spans="1:14" x14ac:dyDescent="0.35">
      <c r="A3619" t="str">
        <f t="shared" si="186"/>
        <v>VTE45744FAB250076170610010</v>
      </c>
      <c r="B3619" t="s">
        <v>131</v>
      </c>
      <c r="C3619" s="1">
        <v>45744</v>
      </c>
      <c r="D3619" t="s">
        <v>5773</v>
      </c>
      <c r="E3619" t="str">
        <f>"70610010"</f>
        <v>70610010</v>
      </c>
      <c r="F3619" t="s">
        <v>5508</v>
      </c>
      <c r="G3619" t="s">
        <v>5885</v>
      </c>
      <c r="H3619" t="s">
        <v>5975</v>
      </c>
      <c r="I3619">
        <v>0</v>
      </c>
      <c r="J3619" t="s">
        <v>343</v>
      </c>
      <c r="L3619">
        <v>7347902</v>
      </c>
      <c r="N3619">
        <v>7347902</v>
      </c>
    </row>
    <row r="3620" spans="1:14" x14ac:dyDescent="0.35">
      <c r="A3620" t="str">
        <f t="shared" si="186"/>
        <v>VTE45744FAB250076347310100</v>
      </c>
      <c r="B3620" t="s">
        <v>131</v>
      </c>
      <c r="C3620" s="1">
        <v>45744</v>
      </c>
      <c r="D3620" t="s">
        <v>5774</v>
      </c>
      <c r="E3620" t="str">
        <f>"47310100"</f>
        <v>47310100</v>
      </c>
      <c r="F3620" t="s">
        <v>139</v>
      </c>
      <c r="G3620" t="s">
        <v>5885</v>
      </c>
      <c r="H3620" t="s">
        <v>350</v>
      </c>
      <c r="I3620">
        <v>0</v>
      </c>
      <c r="J3620" t="s">
        <v>343</v>
      </c>
      <c r="L3620">
        <v>177000</v>
      </c>
      <c r="N3620">
        <v>177000</v>
      </c>
    </row>
    <row r="3621" spans="1:14" x14ac:dyDescent="0.35">
      <c r="A3621" t="str">
        <f t="shared" si="186"/>
        <v>VTE45744FAB250076370610010</v>
      </c>
      <c r="B3621" t="s">
        <v>131</v>
      </c>
      <c r="C3621" s="1">
        <v>45744</v>
      </c>
      <c r="D3621" t="s">
        <v>5774</v>
      </c>
      <c r="E3621" t="str">
        <f>"70610010"</f>
        <v>70610010</v>
      </c>
      <c r="F3621" t="s">
        <v>139</v>
      </c>
      <c r="G3621" t="s">
        <v>5885</v>
      </c>
      <c r="H3621" t="s">
        <v>5972</v>
      </c>
      <c r="I3621">
        <v>0</v>
      </c>
      <c r="J3621" t="s">
        <v>343</v>
      </c>
      <c r="L3621">
        <v>600000</v>
      </c>
      <c r="N3621">
        <v>600000</v>
      </c>
    </row>
    <row r="3622" spans="1:14" x14ac:dyDescent="0.35">
      <c r="A3622" t="str">
        <f t="shared" si="186"/>
        <v>VTE45744FAB250076447310100</v>
      </c>
      <c r="B3622" t="s">
        <v>131</v>
      </c>
      <c r="C3622" s="1">
        <v>45744</v>
      </c>
      <c r="D3622" t="s">
        <v>5775</v>
      </c>
      <c r="E3622" t="str">
        <f>"47310100"</f>
        <v>47310100</v>
      </c>
      <c r="F3622" t="s">
        <v>139</v>
      </c>
      <c r="G3622" t="s">
        <v>5885</v>
      </c>
      <c r="H3622" t="s">
        <v>350</v>
      </c>
      <c r="I3622">
        <v>0</v>
      </c>
      <c r="J3622" t="s">
        <v>343</v>
      </c>
      <c r="L3622">
        <v>118000</v>
      </c>
      <c r="N3622">
        <v>118000</v>
      </c>
    </row>
    <row r="3623" spans="1:14" x14ac:dyDescent="0.35">
      <c r="A3623" t="str">
        <f t="shared" si="186"/>
        <v>VTE45744FAB250076470610010</v>
      </c>
      <c r="B3623" t="s">
        <v>131</v>
      </c>
      <c r="C3623" s="1">
        <v>45744</v>
      </c>
      <c r="D3623" t="s">
        <v>5775</v>
      </c>
      <c r="E3623" t="str">
        <f>"70610010"</f>
        <v>70610010</v>
      </c>
      <c r="F3623" t="s">
        <v>139</v>
      </c>
      <c r="G3623" t="s">
        <v>5885</v>
      </c>
      <c r="H3623" t="s">
        <v>5972</v>
      </c>
      <c r="I3623">
        <v>0</v>
      </c>
      <c r="J3623" t="s">
        <v>343</v>
      </c>
      <c r="L3623">
        <v>400000</v>
      </c>
      <c r="N3623">
        <v>400000</v>
      </c>
    </row>
    <row r="3624" spans="1:14" x14ac:dyDescent="0.35">
      <c r="A3624" t="str">
        <f t="shared" si="186"/>
        <v>VTE45744FAB250076547310100</v>
      </c>
      <c r="B3624" t="s">
        <v>131</v>
      </c>
      <c r="C3624" s="1">
        <v>45744</v>
      </c>
      <c r="D3624" t="s">
        <v>5776</v>
      </c>
      <c r="E3624" t="str">
        <f>"47310100"</f>
        <v>47310100</v>
      </c>
      <c r="F3624" t="s">
        <v>139</v>
      </c>
      <c r="G3624" t="s">
        <v>5885</v>
      </c>
      <c r="H3624" t="s">
        <v>350</v>
      </c>
      <c r="I3624">
        <v>0</v>
      </c>
      <c r="J3624" t="s">
        <v>343</v>
      </c>
      <c r="L3624">
        <v>88500</v>
      </c>
      <c r="N3624">
        <v>88500</v>
      </c>
    </row>
    <row r="3625" spans="1:14" x14ac:dyDescent="0.35">
      <c r="A3625" t="str">
        <f t="shared" si="186"/>
        <v>VTE45744FAB250076570610010</v>
      </c>
      <c r="B3625" t="s">
        <v>131</v>
      </c>
      <c r="C3625" s="1">
        <v>45744</v>
      </c>
      <c r="D3625" t="s">
        <v>5776</v>
      </c>
      <c r="E3625" t="str">
        <f>"70610010"</f>
        <v>70610010</v>
      </c>
      <c r="F3625" t="s">
        <v>139</v>
      </c>
      <c r="G3625" t="s">
        <v>5885</v>
      </c>
      <c r="H3625" t="s">
        <v>5972</v>
      </c>
      <c r="I3625">
        <v>0</v>
      </c>
      <c r="J3625" t="s">
        <v>343</v>
      </c>
      <c r="L3625">
        <v>300000</v>
      </c>
      <c r="N3625">
        <v>300000</v>
      </c>
    </row>
    <row r="3626" spans="1:14" x14ac:dyDescent="0.35">
      <c r="A3626" t="str">
        <f t="shared" si="186"/>
        <v>VTE45744FAB250076647310100</v>
      </c>
      <c r="B3626" t="s">
        <v>131</v>
      </c>
      <c r="C3626" s="1">
        <v>45744</v>
      </c>
      <c r="D3626" t="s">
        <v>5777</v>
      </c>
      <c r="E3626" t="str">
        <f>"47310100"</f>
        <v>47310100</v>
      </c>
      <c r="F3626" t="s">
        <v>139</v>
      </c>
      <c r="G3626" t="s">
        <v>5885</v>
      </c>
      <c r="H3626" t="s">
        <v>350</v>
      </c>
      <c r="I3626">
        <v>0</v>
      </c>
      <c r="J3626" t="s">
        <v>343</v>
      </c>
      <c r="L3626">
        <v>118000</v>
      </c>
      <c r="N3626">
        <v>118000</v>
      </c>
    </row>
    <row r="3627" spans="1:14" x14ac:dyDescent="0.35">
      <c r="A3627" t="str">
        <f t="shared" si="186"/>
        <v>VTE45744FAB250076670610010</v>
      </c>
      <c r="B3627" t="s">
        <v>131</v>
      </c>
      <c r="C3627" s="1">
        <v>45744</v>
      </c>
      <c r="D3627" t="s">
        <v>5777</v>
      </c>
      <c r="E3627" t="str">
        <f>"70610010"</f>
        <v>70610010</v>
      </c>
      <c r="F3627" t="s">
        <v>139</v>
      </c>
      <c r="G3627" t="s">
        <v>5885</v>
      </c>
      <c r="H3627" t="s">
        <v>5972</v>
      </c>
      <c r="I3627">
        <v>0</v>
      </c>
      <c r="J3627" t="s">
        <v>343</v>
      </c>
      <c r="L3627">
        <v>536000</v>
      </c>
      <c r="N3627">
        <v>536000</v>
      </c>
    </row>
    <row r="3628" spans="1:14" x14ac:dyDescent="0.35">
      <c r="A3628" t="str">
        <f t="shared" si="186"/>
        <v>VTE45744FAB250076670610050</v>
      </c>
      <c r="B3628" t="s">
        <v>131</v>
      </c>
      <c r="C3628" s="1">
        <v>45744</v>
      </c>
      <c r="D3628" t="s">
        <v>5777</v>
      </c>
      <c r="E3628" t="str">
        <f>"70610050"</f>
        <v>70610050</v>
      </c>
      <c r="F3628" t="s">
        <v>139</v>
      </c>
      <c r="G3628" t="s">
        <v>5885</v>
      </c>
      <c r="H3628" t="s">
        <v>5972</v>
      </c>
      <c r="I3628">
        <v>0</v>
      </c>
      <c r="J3628" t="s">
        <v>343</v>
      </c>
      <c r="L3628">
        <v>396000</v>
      </c>
      <c r="N3628">
        <v>396000</v>
      </c>
    </row>
    <row r="3629" spans="1:14" x14ac:dyDescent="0.35">
      <c r="A3629" t="str">
        <f t="shared" si="186"/>
        <v>VTE45744FAB250076747310100</v>
      </c>
      <c r="B3629" t="s">
        <v>131</v>
      </c>
      <c r="C3629" s="1">
        <v>45744</v>
      </c>
      <c r="D3629" t="s">
        <v>5778</v>
      </c>
      <c r="E3629" t="str">
        <f>"47310100"</f>
        <v>47310100</v>
      </c>
      <c r="F3629" t="s">
        <v>5512</v>
      </c>
      <c r="G3629" t="s">
        <v>5885</v>
      </c>
      <c r="H3629" t="s">
        <v>350</v>
      </c>
      <c r="I3629">
        <v>0</v>
      </c>
      <c r="J3629" t="s">
        <v>343</v>
      </c>
      <c r="L3629">
        <v>118000</v>
      </c>
      <c r="N3629">
        <v>118000</v>
      </c>
    </row>
    <row r="3630" spans="1:14" x14ac:dyDescent="0.35">
      <c r="A3630" t="str">
        <f t="shared" si="186"/>
        <v>VTE45744FAB250076770610010</v>
      </c>
      <c r="B3630" t="s">
        <v>131</v>
      </c>
      <c r="C3630" s="1">
        <v>45744</v>
      </c>
      <c r="D3630" t="s">
        <v>5778</v>
      </c>
      <c r="E3630" t="str">
        <f>"70610010"</f>
        <v>70610010</v>
      </c>
      <c r="F3630" t="s">
        <v>5512</v>
      </c>
      <c r="G3630" t="s">
        <v>5885</v>
      </c>
      <c r="H3630" t="s">
        <v>5972</v>
      </c>
      <c r="I3630">
        <v>0</v>
      </c>
      <c r="J3630" t="s">
        <v>343</v>
      </c>
      <c r="L3630">
        <v>536000</v>
      </c>
      <c r="N3630">
        <v>536000</v>
      </c>
    </row>
    <row r="3631" spans="1:14" x14ac:dyDescent="0.35">
      <c r="A3631" t="str">
        <f t="shared" si="186"/>
        <v>VTE45744FAB250076847310100</v>
      </c>
      <c r="B3631" t="s">
        <v>131</v>
      </c>
      <c r="C3631" s="1">
        <v>45744</v>
      </c>
      <c r="D3631" t="s">
        <v>5779</v>
      </c>
      <c r="E3631" t="str">
        <f>"47310100"</f>
        <v>47310100</v>
      </c>
      <c r="F3631" t="s">
        <v>5512</v>
      </c>
      <c r="G3631" t="s">
        <v>5885</v>
      </c>
      <c r="H3631" t="s">
        <v>350</v>
      </c>
      <c r="I3631">
        <v>0</v>
      </c>
      <c r="J3631" t="s">
        <v>343</v>
      </c>
      <c r="L3631">
        <v>59000</v>
      </c>
      <c r="N3631">
        <v>59000</v>
      </c>
    </row>
    <row r="3632" spans="1:14" x14ac:dyDescent="0.35">
      <c r="A3632" t="str">
        <f t="shared" si="186"/>
        <v>VTE45744FAB250076870610010</v>
      </c>
      <c r="B3632" t="s">
        <v>131</v>
      </c>
      <c r="C3632" s="1">
        <v>45744</v>
      </c>
      <c r="D3632" t="s">
        <v>5779</v>
      </c>
      <c r="E3632" t="str">
        <f>"70610010"</f>
        <v>70610010</v>
      </c>
      <c r="F3632" t="s">
        <v>5512</v>
      </c>
      <c r="G3632" t="s">
        <v>5885</v>
      </c>
      <c r="H3632" t="s">
        <v>5972</v>
      </c>
      <c r="I3632">
        <v>0</v>
      </c>
      <c r="J3632" t="s">
        <v>343</v>
      </c>
      <c r="L3632">
        <v>268000</v>
      </c>
      <c r="N3632">
        <v>268000</v>
      </c>
    </row>
    <row r="3633" spans="1:14" x14ac:dyDescent="0.35">
      <c r="A3633" t="str">
        <f t="shared" si="186"/>
        <v>VTE45744FAB250076947310100</v>
      </c>
      <c r="B3633" t="s">
        <v>131</v>
      </c>
      <c r="C3633" s="1">
        <v>45744</v>
      </c>
      <c r="D3633" t="s">
        <v>5780</v>
      </c>
      <c r="E3633" t="str">
        <f>"47310100"</f>
        <v>47310100</v>
      </c>
      <c r="F3633" t="s">
        <v>5518</v>
      </c>
      <c r="G3633" t="s">
        <v>5885</v>
      </c>
      <c r="H3633" t="s">
        <v>350</v>
      </c>
      <c r="I3633">
        <v>0</v>
      </c>
      <c r="J3633" t="s">
        <v>343</v>
      </c>
      <c r="L3633">
        <v>59000</v>
      </c>
      <c r="N3633">
        <v>59000</v>
      </c>
    </row>
    <row r="3634" spans="1:14" x14ac:dyDescent="0.35">
      <c r="A3634" t="str">
        <f t="shared" si="186"/>
        <v>VTE45744FAB250076970610010</v>
      </c>
      <c r="B3634" t="s">
        <v>131</v>
      </c>
      <c r="C3634" s="1">
        <v>45744</v>
      </c>
      <c r="D3634" t="s">
        <v>5780</v>
      </c>
      <c r="E3634" t="str">
        <f>"70610010"</f>
        <v>70610010</v>
      </c>
      <c r="F3634" t="s">
        <v>5518</v>
      </c>
      <c r="G3634" t="s">
        <v>5885</v>
      </c>
      <c r="H3634" t="s">
        <v>5972</v>
      </c>
      <c r="I3634">
        <v>0</v>
      </c>
      <c r="J3634" t="s">
        <v>343</v>
      </c>
      <c r="L3634">
        <v>150000</v>
      </c>
      <c r="N3634">
        <v>150000</v>
      </c>
    </row>
    <row r="3635" spans="1:14" x14ac:dyDescent="0.35">
      <c r="A3635" t="str">
        <f t="shared" si="186"/>
        <v>VTE45744FAB250077047310100</v>
      </c>
      <c r="B3635" t="s">
        <v>131</v>
      </c>
      <c r="C3635" s="1">
        <v>45744</v>
      </c>
      <c r="D3635" t="s">
        <v>5781</v>
      </c>
      <c r="E3635" t="str">
        <f>"47310100"</f>
        <v>47310100</v>
      </c>
      <c r="F3635" t="s">
        <v>5518</v>
      </c>
      <c r="G3635" t="s">
        <v>5885</v>
      </c>
      <c r="H3635" t="s">
        <v>350</v>
      </c>
      <c r="I3635">
        <v>0</v>
      </c>
      <c r="J3635" t="s">
        <v>343</v>
      </c>
      <c r="L3635">
        <v>59000</v>
      </c>
      <c r="N3635">
        <v>59000</v>
      </c>
    </row>
    <row r="3636" spans="1:14" x14ac:dyDescent="0.35">
      <c r="A3636" t="str">
        <f t="shared" si="186"/>
        <v>VTE45744FAB250077070610010</v>
      </c>
      <c r="B3636" t="s">
        <v>131</v>
      </c>
      <c r="C3636" s="1">
        <v>45744</v>
      </c>
      <c r="D3636" t="s">
        <v>5781</v>
      </c>
      <c r="E3636" t="str">
        <f>"70610010"</f>
        <v>70610010</v>
      </c>
      <c r="F3636" t="s">
        <v>5518</v>
      </c>
      <c r="G3636" t="s">
        <v>5885</v>
      </c>
      <c r="H3636" t="s">
        <v>5972</v>
      </c>
      <c r="I3636">
        <v>0</v>
      </c>
      <c r="J3636" t="s">
        <v>343</v>
      </c>
      <c r="L3636">
        <v>150000</v>
      </c>
      <c r="N3636">
        <v>150000</v>
      </c>
    </row>
    <row r="3637" spans="1:14" x14ac:dyDescent="0.35">
      <c r="A3637" t="str">
        <f t="shared" si="186"/>
        <v>VTE45744FAB250077147310100</v>
      </c>
      <c r="B3637" t="s">
        <v>131</v>
      </c>
      <c r="C3637" s="1">
        <v>45744</v>
      </c>
      <c r="D3637" t="s">
        <v>5782</v>
      </c>
      <c r="E3637" t="str">
        <f>"47310100"</f>
        <v>47310100</v>
      </c>
      <c r="F3637" t="s">
        <v>5518</v>
      </c>
      <c r="G3637" t="s">
        <v>5885</v>
      </c>
      <c r="H3637" t="s">
        <v>350</v>
      </c>
      <c r="I3637">
        <v>0</v>
      </c>
      <c r="J3637" t="s">
        <v>343</v>
      </c>
      <c r="L3637">
        <v>59000</v>
      </c>
      <c r="N3637">
        <v>59000</v>
      </c>
    </row>
    <row r="3638" spans="1:14" x14ac:dyDescent="0.35">
      <c r="A3638" t="str">
        <f t="shared" si="186"/>
        <v>VTE45744FAB250077170610010</v>
      </c>
      <c r="B3638" t="s">
        <v>131</v>
      </c>
      <c r="C3638" s="1">
        <v>45744</v>
      </c>
      <c r="D3638" t="s">
        <v>5782</v>
      </c>
      <c r="E3638" t="str">
        <f>"70610010"</f>
        <v>70610010</v>
      </c>
      <c r="F3638" t="s">
        <v>5518</v>
      </c>
      <c r="G3638" t="s">
        <v>5885</v>
      </c>
      <c r="H3638" t="s">
        <v>5972</v>
      </c>
      <c r="I3638">
        <v>0</v>
      </c>
      <c r="J3638" t="s">
        <v>343</v>
      </c>
      <c r="L3638">
        <v>150000</v>
      </c>
      <c r="N3638">
        <v>150000</v>
      </c>
    </row>
    <row r="3639" spans="1:14" x14ac:dyDescent="0.35">
      <c r="A3639" t="str">
        <f t="shared" si="186"/>
        <v>VTE45744FAB250077247310100</v>
      </c>
      <c r="B3639" t="s">
        <v>131</v>
      </c>
      <c r="C3639" s="1">
        <v>45744</v>
      </c>
      <c r="D3639" t="s">
        <v>5783</v>
      </c>
      <c r="E3639" t="str">
        <f>"47310100"</f>
        <v>47310100</v>
      </c>
      <c r="F3639" t="s">
        <v>5518</v>
      </c>
      <c r="G3639" t="s">
        <v>5885</v>
      </c>
      <c r="H3639" t="s">
        <v>350</v>
      </c>
      <c r="I3639">
        <v>0</v>
      </c>
      <c r="J3639" t="s">
        <v>343</v>
      </c>
      <c r="L3639">
        <v>59000</v>
      </c>
      <c r="N3639">
        <v>59000</v>
      </c>
    </row>
    <row r="3640" spans="1:14" x14ac:dyDescent="0.35">
      <c r="A3640" t="str">
        <f t="shared" si="186"/>
        <v>VTE45744FAB250077270610010</v>
      </c>
      <c r="B3640" t="s">
        <v>131</v>
      </c>
      <c r="C3640" s="1">
        <v>45744</v>
      </c>
      <c r="D3640" t="s">
        <v>5783</v>
      </c>
      <c r="E3640" t="str">
        <f>"70610010"</f>
        <v>70610010</v>
      </c>
      <c r="F3640" t="s">
        <v>5518</v>
      </c>
      <c r="G3640" t="s">
        <v>5885</v>
      </c>
      <c r="H3640" t="s">
        <v>5972</v>
      </c>
      <c r="I3640">
        <v>0</v>
      </c>
      <c r="J3640" t="s">
        <v>343</v>
      </c>
      <c r="L3640">
        <v>150000</v>
      </c>
      <c r="N3640">
        <v>150000</v>
      </c>
    </row>
    <row r="3641" spans="1:14" x14ac:dyDescent="0.35">
      <c r="A3641" t="str">
        <f t="shared" si="186"/>
        <v>VTE45744FAB250077347310100</v>
      </c>
      <c r="B3641" t="s">
        <v>131</v>
      </c>
      <c r="C3641" s="1">
        <v>45744</v>
      </c>
      <c r="D3641" t="s">
        <v>5784</v>
      </c>
      <c r="E3641" t="str">
        <f>"47310100"</f>
        <v>47310100</v>
      </c>
      <c r="F3641" t="s">
        <v>5518</v>
      </c>
      <c r="G3641" t="s">
        <v>5885</v>
      </c>
      <c r="H3641" t="s">
        <v>350</v>
      </c>
      <c r="I3641">
        <v>0</v>
      </c>
      <c r="J3641" t="s">
        <v>343</v>
      </c>
      <c r="L3641">
        <v>59000</v>
      </c>
      <c r="N3641">
        <v>59000</v>
      </c>
    </row>
    <row r="3642" spans="1:14" x14ac:dyDescent="0.35">
      <c r="A3642" t="str">
        <f t="shared" si="186"/>
        <v>VTE45744FAB250077370610010</v>
      </c>
      <c r="B3642" t="s">
        <v>131</v>
      </c>
      <c r="C3642" s="1">
        <v>45744</v>
      </c>
      <c r="D3642" t="s">
        <v>5784</v>
      </c>
      <c r="E3642" t="str">
        <f>"70610010"</f>
        <v>70610010</v>
      </c>
      <c r="F3642" t="s">
        <v>5518</v>
      </c>
      <c r="G3642" t="s">
        <v>5885</v>
      </c>
      <c r="H3642" t="s">
        <v>5972</v>
      </c>
      <c r="I3642">
        <v>0</v>
      </c>
      <c r="J3642" t="s">
        <v>343</v>
      </c>
      <c r="L3642">
        <v>150000</v>
      </c>
      <c r="N3642">
        <v>150000</v>
      </c>
    </row>
    <row r="3643" spans="1:14" x14ac:dyDescent="0.35">
      <c r="A3643" t="str">
        <f t="shared" si="186"/>
        <v>VTE45744FAB250077447310100</v>
      </c>
      <c r="B3643" t="s">
        <v>131</v>
      </c>
      <c r="C3643" s="1">
        <v>45744</v>
      </c>
      <c r="D3643" t="s">
        <v>5785</v>
      </c>
      <c r="E3643" t="str">
        <f>"47310100"</f>
        <v>47310100</v>
      </c>
      <c r="F3643" t="s">
        <v>5518</v>
      </c>
      <c r="G3643" t="s">
        <v>5885</v>
      </c>
      <c r="H3643" t="s">
        <v>350</v>
      </c>
      <c r="I3643">
        <v>0</v>
      </c>
      <c r="J3643" t="s">
        <v>343</v>
      </c>
      <c r="L3643">
        <v>59000</v>
      </c>
      <c r="N3643">
        <v>59000</v>
      </c>
    </row>
    <row r="3644" spans="1:14" x14ac:dyDescent="0.35">
      <c r="A3644" t="str">
        <f t="shared" si="186"/>
        <v>VTE45744FAB250077470610010</v>
      </c>
      <c r="B3644" t="s">
        <v>131</v>
      </c>
      <c r="C3644" s="1">
        <v>45744</v>
      </c>
      <c r="D3644" t="s">
        <v>5785</v>
      </c>
      <c r="E3644" t="str">
        <f>"70610010"</f>
        <v>70610010</v>
      </c>
      <c r="F3644" t="s">
        <v>5518</v>
      </c>
      <c r="G3644" t="s">
        <v>5885</v>
      </c>
      <c r="H3644" t="s">
        <v>5972</v>
      </c>
      <c r="I3644">
        <v>0</v>
      </c>
      <c r="J3644" t="s">
        <v>343</v>
      </c>
      <c r="L3644">
        <v>150000</v>
      </c>
      <c r="N3644">
        <v>150000</v>
      </c>
    </row>
    <row r="3645" spans="1:14" x14ac:dyDescent="0.35">
      <c r="A3645" t="str">
        <f t="shared" si="186"/>
        <v>VTE45744FAB250077547310100</v>
      </c>
      <c r="B3645" t="s">
        <v>131</v>
      </c>
      <c r="C3645" s="1">
        <v>45744</v>
      </c>
      <c r="D3645" t="s">
        <v>5786</v>
      </c>
      <c r="E3645" t="str">
        <f>"47310100"</f>
        <v>47310100</v>
      </c>
      <c r="F3645" t="s">
        <v>180</v>
      </c>
      <c r="G3645" t="s">
        <v>5885</v>
      </c>
      <c r="H3645" t="s">
        <v>350</v>
      </c>
      <c r="I3645">
        <v>0</v>
      </c>
      <c r="J3645" t="s">
        <v>343</v>
      </c>
      <c r="L3645">
        <v>29500</v>
      </c>
      <c r="N3645">
        <v>29500</v>
      </c>
    </row>
    <row r="3646" spans="1:14" x14ac:dyDescent="0.35">
      <c r="A3646" t="str">
        <f t="shared" si="186"/>
        <v>VTE45744FAB250077570610010</v>
      </c>
      <c r="B3646" t="s">
        <v>131</v>
      </c>
      <c r="C3646" s="1">
        <v>45744</v>
      </c>
      <c r="D3646" t="s">
        <v>5786</v>
      </c>
      <c r="E3646" t="str">
        <f>"70610010"</f>
        <v>70610010</v>
      </c>
      <c r="F3646" t="s">
        <v>180</v>
      </c>
      <c r="G3646" t="s">
        <v>5885</v>
      </c>
      <c r="H3646" t="s">
        <v>5972</v>
      </c>
      <c r="I3646">
        <v>0</v>
      </c>
      <c r="J3646" t="s">
        <v>343</v>
      </c>
      <c r="L3646">
        <v>99000</v>
      </c>
      <c r="N3646">
        <v>99000</v>
      </c>
    </row>
    <row r="3647" spans="1:14" x14ac:dyDescent="0.35">
      <c r="A3647" t="str">
        <f t="shared" si="186"/>
        <v>VTE45744FAB250077570610050</v>
      </c>
      <c r="B3647" t="s">
        <v>131</v>
      </c>
      <c r="C3647" s="1">
        <v>45744</v>
      </c>
      <c r="D3647" t="s">
        <v>5786</v>
      </c>
      <c r="E3647" t="str">
        <f>"70610050"</f>
        <v>70610050</v>
      </c>
      <c r="F3647" t="s">
        <v>180</v>
      </c>
      <c r="G3647" t="s">
        <v>5885</v>
      </c>
      <c r="H3647" t="s">
        <v>5972</v>
      </c>
      <c r="I3647">
        <v>0</v>
      </c>
      <c r="J3647" t="s">
        <v>343</v>
      </c>
      <c r="L3647">
        <v>99000</v>
      </c>
      <c r="N3647">
        <v>99000</v>
      </c>
    </row>
    <row r="3648" spans="1:14" x14ac:dyDescent="0.35">
      <c r="A3648" t="str">
        <f t="shared" si="186"/>
        <v>VTE45744FAB250077670610030</v>
      </c>
      <c r="B3648" t="s">
        <v>131</v>
      </c>
      <c r="C3648" s="1">
        <v>45744</v>
      </c>
      <c r="D3648" t="s">
        <v>5787</v>
      </c>
      <c r="E3648" t="str">
        <f>"70610030"</f>
        <v>70610030</v>
      </c>
      <c r="F3648" t="s">
        <v>5578</v>
      </c>
      <c r="G3648" t="s">
        <v>5885</v>
      </c>
      <c r="H3648" t="s">
        <v>5976</v>
      </c>
      <c r="I3648">
        <v>0</v>
      </c>
      <c r="J3648" t="s">
        <v>343</v>
      </c>
      <c r="L3648">
        <v>500000</v>
      </c>
      <c r="N3648">
        <v>500000</v>
      </c>
    </row>
    <row r="3649" spans="1:14" x14ac:dyDescent="0.35">
      <c r="A3649" t="str">
        <f t="shared" si="186"/>
        <v>VTE45744FAB250077770610010</v>
      </c>
      <c r="B3649" t="s">
        <v>131</v>
      </c>
      <c r="C3649" s="1">
        <v>45744</v>
      </c>
      <c r="D3649" t="s">
        <v>5788</v>
      </c>
      <c r="E3649" t="str">
        <f>"70610010"</f>
        <v>70610010</v>
      </c>
      <c r="F3649" t="s">
        <v>5789</v>
      </c>
      <c r="G3649" t="s">
        <v>5885</v>
      </c>
      <c r="H3649" t="s">
        <v>5974</v>
      </c>
      <c r="I3649">
        <v>0</v>
      </c>
      <c r="J3649" t="s">
        <v>343</v>
      </c>
      <c r="L3649">
        <v>150000</v>
      </c>
      <c r="N3649">
        <v>150000</v>
      </c>
    </row>
    <row r="3650" spans="1:14" x14ac:dyDescent="0.35">
      <c r="A3650" t="str">
        <f t="shared" si="186"/>
        <v>VTE45744FAB250077770610030</v>
      </c>
      <c r="B3650" t="s">
        <v>131</v>
      </c>
      <c r="C3650" s="1">
        <v>45744</v>
      </c>
      <c r="D3650" t="s">
        <v>5788</v>
      </c>
      <c r="E3650" t="str">
        <f>"70610030"</f>
        <v>70610030</v>
      </c>
      <c r="F3650" t="s">
        <v>5789</v>
      </c>
      <c r="G3650" t="s">
        <v>5885</v>
      </c>
      <c r="H3650" t="s">
        <v>5976</v>
      </c>
      <c r="I3650">
        <v>0</v>
      </c>
      <c r="J3650" t="s">
        <v>343</v>
      </c>
      <c r="L3650">
        <v>750000</v>
      </c>
      <c r="N3650">
        <v>750000</v>
      </c>
    </row>
    <row r="3651" spans="1:14" x14ac:dyDescent="0.35">
      <c r="A3651" t="str">
        <f t="shared" ref="A3651:A3714" si="188">CONCATENATE(B3651,C3651,D3651,E3651)</f>
        <v>VTE45744FAB250077870610010</v>
      </c>
      <c r="B3651" t="s">
        <v>131</v>
      </c>
      <c r="C3651" s="1">
        <v>45744</v>
      </c>
      <c r="D3651" t="s">
        <v>5790</v>
      </c>
      <c r="E3651" t="str">
        <f>"70610010"</f>
        <v>70610010</v>
      </c>
      <c r="F3651" t="s">
        <v>5671</v>
      </c>
      <c r="G3651" t="s">
        <v>5885</v>
      </c>
      <c r="H3651" t="s">
        <v>5974</v>
      </c>
      <c r="I3651">
        <v>0</v>
      </c>
      <c r="J3651" t="s">
        <v>343</v>
      </c>
      <c r="L3651">
        <v>1900000</v>
      </c>
      <c r="N3651">
        <v>1900000</v>
      </c>
    </row>
    <row r="3652" spans="1:14" x14ac:dyDescent="0.35">
      <c r="A3652" t="str">
        <f t="shared" si="188"/>
        <v>VTE45744FAB250077970610010</v>
      </c>
      <c r="B3652" t="s">
        <v>131</v>
      </c>
      <c r="C3652" s="1">
        <v>45744</v>
      </c>
      <c r="D3652" t="s">
        <v>5791</v>
      </c>
      <c r="E3652" t="str">
        <f>"70610010"</f>
        <v>70610010</v>
      </c>
      <c r="F3652" t="s">
        <v>5792</v>
      </c>
      <c r="G3652" t="s">
        <v>5885</v>
      </c>
      <c r="H3652" t="s">
        <v>5974</v>
      </c>
      <c r="I3652">
        <v>0</v>
      </c>
      <c r="J3652" t="s">
        <v>343</v>
      </c>
      <c r="L3652">
        <v>250000</v>
      </c>
      <c r="N3652">
        <v>250000</v>
      </c>
    </row>
    <row r="3653" spans="1:14" x14ac:dyDescent="0.35">
      <c r="A3653" t="str">
        <f t="shared" si="188"/>
        <v>VTE45744FBK250023370610012</v>
      </c>
      <c r="B3653" t="s">
        <v>131</v>
      </c>
      <c r="C3653" s="1">
        <v>45744</v>
      </c>
      <c r="D3653" t="s">
        <v>5793</v>
      </c>
      <c r="E3653" t="str">
        <f>"70610012"</f>
        <v>70610012</v>
      </c>
      <c r="F3653" t="s">
        <v>5794</v>
      </c>
      <c r="G3653" t="s">
        <v>5885</v>
      </c>
      <c r="H3653" t="s">
        <v>5977</v>
      </c>
      <c r="I3653">
        <v>0</v>
      </c>
      <c r="J3653" t="s">
        <v>343</v>
      </c>
      <c r="L3653">
        <v>2438522</v>
      </c>
      <c r="N3653">
        <v>2438522</v>
      </c>
    </row>
    <row r="3654" spans="1:14" x14ac:dyDescent="0.35">
      <c r="A3654" t="str">
        <f t="shared" si="188"/>
        <v>VTE45744FBK250023470610012</v>
      </c>
      <c r="B3654" t="s">
        <v>131</v>
      </c>
      <c r="C3654" s="1">
        <v>45744</v>
      </c>
      <c r="D3654" t="s">
        <v>5795</v>
      </c>
      <c r="E3654" t="str">
        <f>"70610012"</f>
        <v>70610012</v>
      </c>
      <c r="F3654" t="s">
        <v>5508</v>
      </c>
      <c r="G3654" t="s">
        <v>5885</v>
      </c>
      <c r="H3654" t="s">
        <v>5977</v>
      </c>
      <c r="I3654">
        <v>0</v>
      </c>
      <c r="J3654" t="s">
        <v>343</v>
      </c>
      <c r="L3654">
        <v>6032055</v>
      </c>
      <c r="N3654">
        <v>6032055</v>
      </c>
    </row>
    <row r="3655" spans="1:14" x14ac:dyDescent="0.35">
      <c r="A3655" t="str">
        <f t="shared" si="188"/>
        <v>VTE45744FBK250023570610010</v>
      </c>
      <c r="B3655" t="s">
        <v>131</v>
      </c>
      <c r="C3655" s="1">
        <v>45744</v>
      </c>
      <c r="D3655" t="s">
        <v>5796</v>
      </c>
      <c r="E3655" t="str">
        <f t="shared" ref="E3655:E3671" si="189">"70610010"</f>
        <v>70610010</v>
      </c>
      <c r="F3655" t="s">
        <v>5508</v>
      </c>
      <c r="G3655" t="s">
        <v>5885</v>
      </c>
      <c r="H3655" t="s">
        <v>5977</v>
      </c>
      <c r="I3655">
        <v>0</v>
      </c>
      <c r="J3655" t="s">
        <v>343</v>
      </c>
      <c r="L3655">
        <v>258038</v>
      </c>
      <c r="N3655">
        <v>258038</v>
      </c>
    </row>
    <row r="3656" spans="1:14" x14ac:dyDescent="0.35">
      <c r="A3656" t="str">
        <f t="shared" si="188"/>
        <v>VTE45744FBK250023670610010</v>
      </c>
      <c r="B3656" t="s">
        <v>131</v>
      </c>
      <c r="C3656" s="1">
        <v>45744</v>
      </c>
      <c r="D3656" t="s">
        <v>5797</v>
      </c>
      <c r="E3656" t="str">
        <f t="shared" si="189"/>
        <v>70610010</v>
      </c>
      <c r="F3656" t="s">
        <v>5508</v>
      </c>
      <c r="G3656" t="s">
        <v>5885</v>
      </c>
      <c r="H3656" t="s">
        <v>5977</v>
      </c>
      <c r="I3656">
        <v>0</v>
      </c>
      <c r="J3656" t="s">
        <v>343</v>
      </c>
      <c r="L3656">
        <v>258038</v>
      </c>
      <c r="N3656">
        <v>258038</v>
      </c>
    </row>
    <row r="3657" spans="1:14" x14ac:dyDescent="0.35">
      <c r="A3657" t="str">
        <f t="shared" si="188"/>
        <v>VTE45744FBK250023770610010</v>
      </c>
      <c r="B3657" t="s">
        <v>131</v>
      </c>
      <c r="C3657" s="1">
        <v>45744</v>
      </c>
      <c r="D3657" t="s">
        <v>5798</v>
      </c>
      <c r="E3657" t="str">
        <f t="shared" si="189"/>
        <v>70610010</v>
      </c>
      <c r="F3657" t="s">
        <v>5508</v>
      </c>
      <c r="G3657" t="s">
        <v>5885</v>
      </c>
      <c r="H3657" t="s">
        <v>5977</v>
      </c>
      <c r="I3657">
        <v>0</v>
      </c>
      <c r="J3657" t="s">
        <v>343</v>
      </c>
      <c r="L3657">
        <v>258038</v>
      </c>
      <c r="N3657">
        <v>258038</v>
      </c>
    </row>
    <row r="3658" spans="1:14" x14ac:dyDescent="0.35">
      <c r="A3658" t="str">
        <f t="shared" si="188"/>
        <v>VTE45744FBK250023870610010</v>
      </c>
      <c r="B3658" t="s">
        <v>131</v>
      </c>
      <c r="C3658" s="1">
        <v>45744</v>
      </c>
      <c r="D3658" t="s">
        <v>5799</v>
      </c>
      <c r="E3658" t="str">
        <f t="shared" si="189"/>
        <v>70610010</v>
      </c>
      <c r="F3658" t="s">
        <v>5508</v>
      </c>
      <c r="G3658" t="s">
        <v>5885</v>
      </c>
      <c r="H3658" t="s">
        <v>5977</v>
      </c>
      <c r="I3658">
        <v>0</v>
      </c>
      <c r="J3658" t="s">
        <v>343</v>
      </c>
      <c r="L3658">
        <v>258038</v>
      </c>
      <c r="N3658">
        <v>258038</v>
      </c>
    </row>
    <row r="3659" spans="1:14" x14ac:dyDescent="0.35">
      <c r="A3659" t="str">
        <f t="shared" si="188"/>
        <v>VTE45744FBK250023970610010</v>
      </c>
      <c r="B3659" t="s">
        <v>131</v>
      </c>
      <c r="C3659" s="1">
        <v>45744</v>
      </c>
      <c r="D3659" t="s">
        <v>5800</v>
      </c>
      <c r="E3659" t="str">
        <f t="shared" si="189"/>
        <v>70610010</v>
      </c>
      <c r="F3659" t="s">
        <v>5508</v>
      </c>
      <c r="G3659" t="s">
        <v>5885</v>
      </c>
      <c r="H3659" t="s">
        <v>5977</v>
      </c>
      <c r="I3659">
        <v>0</v>
      </c>
      <c r="J3659" t="s">
        <v>343</v>
      </c>
      <c r="L3659">
        <v>258038</v>
      </c>
      <c r="N3659">
        <v>258038</v>
      </c>
    </row>
    <row r="3660" spans="1:14" x14ac:dyDescent="0.35">
      <c r="A3660" t="str">
        <f t="shared" si="188"/>
        <v>VTE45744FBK250024070610010</v>
      </c>
      <c r="B3660" t="s">
        <v>131</v>
      </c>
      <c r="C3660" s="1">
        <v>45744</v>
      </c>
      <c r="D3660" t="s">
        <v>5801</v>
      </c>
      <c r="E3660" t="str">
        <f t="shared" si="189"/>
        <v>70610010</v>
      </c>
      <c r="F3660" t="s">
        <v>5508</v>
      </c>
      <c r="G3660" t="s">
        <v>5885</v>
      </c>
      <c r="H3660" t="s">
        <v>5977</v>
      </c>
      <c r="I3660">
        <v>0</v>
      </c>
      <c r="J3660" t="s">
        <v>343</v>
      </c>
      <c r="L3660">
        <v>258038</v>
      </c>
      <c r="N3660">
        <v>258038</v>
      </c>
    </row>
    <row r="3661" spans="1:14" x14ac:dyDescent="0.35">
      <c r="A3661" t="str">
        <f t="shared" si="188"/>
        <v>VTE45744FBK250024170610010</v>
      </c>
      <c r="B3661" t="s">
        <v>131</v>
      </c>
      <c r="C3661" s="1">
        <v>45744</v>
      </c>
      <c r="D3661" t="s">
        <v>5802</v>
      </c>
      <c r="E3661" t="str">
        <f t="shared" si="189"/>
        <v>70610010</v>
      </c>
      <c r="F3661" t="s">
        <v>5508</v>
      </c>
      <c r="G3661" t="s">
        <v>5885</v>
      </c>
      <c r="H3661" t="s">
        <v>5977</v>
      </c>
      <c r="I3661">
        <v>0</v>
      </c>
      <c r="J3661" t="s">
        <v>343</v>
      </c>
      <c r="L3661">
        <v>258038</v>
      </c>
      <c r="N3661">
        <v>258038</v>
      </c>
    </row>
    <row r="3662" spans="1:14" x14ac:dyDescent="0.35">
      <c r="A3662" t="str">
        <f t="shared" si="188"/>
        <v>VTE45744FBK250024270610010</v>
      </c>
      <c r="B3662" t="s">
        <v>131</v>
      </c>
      <c r="C3662" s="1">
        <v>45744</v>
      </c>
      <c r="D3662" t="s">
        <v>5803</v>
      </c>
      <c r="E3662" t="str">
        <f t="shared" si="189"/>
        <v>70610010</v>
      </c>
      <c r="F3662" t="s">
        <v>5508</v>
      </c>
      <c r="G3662" t="s">
        <v>5885</v>
      </c>
      <c r="H3662" t="s">
        <v>5977</v>
      </c>
      <c r="I3662">
        <v>0</v>
      </c>
      <c r="J3662" t="s">
        <v>343</v>
      </c>
      <c r="L3662">
        <v>931500</v>
      </c>
      <c r="N3662">
        <v>931500</v>
      </c>
    </row>
    <row r="3663" spans="1:14" x14ac:dyDescent="0.35">
      <c r="A3663" t="str">
        <f t="shared" si="188"/>
        <v>VTE45744FBK250024370610010</v>
      </c>
      <c r="B3663" t="s">
        <v>131</v>
      </c>
      <c r="C3663" s="1">
        <v>45744</v>
      </c>
      <c r="D3663" t="s">
        <v>5804</v>
      </c>
      <c r="E3663" t="str">
        <f t="shared" si="189"/>
        <v>70610010</v>
      </c>
      <c r="F3663" t="s">
        <v>5508</v>
      </c>
      <c r="G3663" t="s">
        <v>5885</v>
      </c>
      <c r="H3663" t="s">
        <v>5977</v>
      </c>
      <c r="I3663">
        <v>0</v>
      </c>
      <c r="J3663" t="s">
        <v>343</v>
      </c>
      <c r="L3663">
        <v>931500</v>
      </c>
      <c r="N3663">
        <v>931500</v>
      </c>
    </row>
    <row r="3664" spans="1:14" x14ac:dyDescent="0.35">
      <c r="A3664" t="str">
        <f t="shared" si="188"/>
        <v>VTE45744FBK250024470610010</v>
      </c>
      <c r="B3664" t="s">
        <v>131</v>
      </c>
      <c r="C3664" s="1">
        <v>45744</v>
      </c>
      <c r="D3664" t="s">
        <v>5805</v>
      </c>
      <c r="E3664" t="str">
        <f t="shared" si="189"/>
        <v>70610010</v>
      </c>
      <c r="F3664" t="s">
        <v>5508</v>
      </c>
      <c r="G3664" t="s">
        <v>5885</v>
      </c>
      <c r="H3664" t="s">
        <v>5977</v>
      </c>
      <c r="I3664">
        <v>0</v>
      </c>
      <c r="J3664" t="s">
        <v>343</v>
      </c>
      <c r="L3664">
        <v>931500</v>
      </c>
      <c r="N3664">
        <v>931500</v>
      </c>
    </row>
    <row r="3665" spans="1:14" x14ac:dyDescent="0.35">
      <c r="A3665" t="str">
        <f t="shared" si="188"/>
        <v>VTE45744FBK250026070610010</v>
      </c>
      <c r="B3665" t="s">
        <v>131</v>
      </c>
      <c r="C3665" s="1">
        <v>45744</v>
      </c>
      <c r="D3665" t="s">
        <v>5806</v>
      </c>
      <c r="E3665" t="str">
        <f t="shared" si="189"/>
        <v>70610010</v>
      </c>
      <c r="F3665" t="s">
        <v>5508</v>
      </c>
      <c r="G3665" t="s">
        <v>5885</v>
      </c>
      <c r="H3665" t="s">
        <v>5977</v>
      </c>
      <c r="I3665">
        <v>0</v>
      </c>
      <c r="J3665" t="s">
        <v>343</v>
      </c>
      <c r="L3665">
        <v>931500</v>
      </c>
      <c r="N3665">
        <v>931500</v>
      </c>
    </row>
    <row r="3666" spans="1:14" x14ac:dyDescent="0.35">
      <c r="A3666" t="str">
        <f t="shared" si="188"/>
        <v>VTE45744FBK250026070610010</v>
      </c>
      <c r="B3666" t="s">
        <v>131</v>
      </c>
      <c r="C3666" s="1">
        <v>45744</v>
      </c>
      <c r="D3666" t="s">
        <v>5806</v>
      </c>
      <c r="E3666" t="str">
        <f t="shared" si="189"/>
        <v>70610010</v>
      </c>
      <c r="F3666" t="s">
        <v>5611</v>
      </c>
      <c r="G3666" t="s">
        <v>5885</v>
      </c>
      <c r="H3666" t="s">
        <v>5977</v>
      </c>
      <c r="I3666">
        <v>0</v>
      </c>
      <c r="J3666" t="s">
        <v>343</v>
      </c>
      <c r="L3666">
        <v>-931500</v>
      </c>
      <c r="N3666">
        <v>-931500</v>
      </c>
    </row>
    <row r="3667" spans="1:14" x14ac:dyDescent="0.35">
      <c r="A3667" t="str">
        <f t="shared" si="188"/>
        <v>VTE45744FYK250000770610010</v>
      </c>
      <c r="B3667" t="s">
        <v>131</v>
      </c>
      <c r="C3667" s="1">
        <v>45744</v>
      </c>
      <c r="D3667" t="s">
        <v>5807</v>
      </c>
      <c r="E3667" t="str">
        <f t="shared" si="189"/>
        <v>70610010</v>
      </c>
      <c r="F3667" t="s">
        <v>5686</v>
      </c>
      <c r="G3667" t="s">
        <v>5885</v>
      </c>
      <c r="H3667" t="s">
        <v>5969</v>
      </c>
      <c r="I3667">
        <v>0</v>
      </c>
      <c r="J3667" t="s">
        <v>343</v>
      </c>
      <c r="L3667">
        <v>750000</v>
      </c>
      <c r="N3667">
        <v>750000</v>
      </c>
    </row>
    <row r="3668" spans="1:14" x14ac:dyDescent="0.35">
      <c r="A3668" t="str">
        <f t="shared" si="188"/>
        <v>VTE45744FYK250000870610010</v>
      </c>
      <c r="B3668" t="s">
        <v>131</v>
      </c>
      <c r="C3668" s="1">
        <v>45744</v>
      </c>
      <c r="D3668" t="s">
        <v>5808</v>
      </c>
      <c r="E3668" t="str">
        <f t="shared" si="189"/>
        <v>70610010</v>
      </c>
      <c r="F3668" t="s">
        <v>5686</v>
      </c>
      <c r="G3668" t="s">
        <v>5885</v>
      </c>
      <c r="H3668" t="s">
        <v>5969</v>
      </c>
      <c r="I3668">
        <v>0</v>
      </c>
      <c r="J3668" t="s">
        <v>343</v>
      </c>
      <c r="L3668">
        <v>500000</v>
      </c>
      <c r="N3668">
        <v>500000</v>
      </c>
    </row>
    <row r="3669" spans="1:14" x14ac:dyDescent="0.35">
      <c r="A3669" t="str">
        <f t="shared" si="188"/>
        <v>VTE45745FAB250078070610010</v>
      </c>
      <c r="B3669" t="s">
        <v>131</v>
      </c>
      <c r="C3669" s="1">
        <v>45745</v>
      </c>
      <c r="D3669" t="s">
        <v>5809</v>
      </c>
      <c r="E3669" t="str">
        <f t="shared" si="189"/>
        <v>70610010</v>
      </c>
      <c r="F3669" t="s">
        <v>5508</v>
      </c>
      <c r="G3669" t="s">
        <v>5885</v>
      </c>
      <c r="H3669" t="s">
        <v>5975</v>
      </c>
      <c r="I3669">
        <v>0</v>
      </c>
      <c r="J3669" t="s">
        <v>343</v>
      </c>
      <c r="L3669">
        <v>3726000</v>
      </c>
      <c r="N3669">
        <v>3726000</v>
      </c>
    </row>
    <row r="3670" spans="1:14" x14ac:dyDescent="0.35">
      <c r="A3670" t="str">
        <f t="shared" si="188"/>
        <v>VTE45745FAB250078170610010</v>
      </c>
      <c r="B3670" t="s">
        <v>131</v>
      </c>
      <c r="C3670" s="1">
        <v>45745</v>
      </c>
      <c r="D3670" t="s">
        <v>5810</v>
      </c>
      <c r="E3670" t="str">
        <f t="shared" si="189"/>
        <v>70610010</v>
      </c>
      <c r="F3670" t="s">
        <v>5508</v>
      </c>
      <c r="G3670" t="s">
        <v>5885</v>
      </c>
      <c r="H3670" t="s">
        <v>5975</v>
      </c>
      <c r="I3670">
        <v>0</v>
      </c>
      <c r="J3670" t="s">
        <v>343</v>
      </c>
      <c r="L3670">
        <v>1863000</v>
      </c>
      <c r="N3670">
        <v>1863000</v>
      </c>
    </row>
    <row r="3671" spans="1:14" x14ac:dyDescent="0.35">
      <c r="A3671" t="str">
        <f t="shared" si="188"/>
        <v>VTE45745FAB250078270610010</v>
      </c>
      <c r="B3671" t="s">
        <v>131</v>
      </c>
      <c r="C3671" s="1">
        <v>45745</v>
      </c>
      <c r="D3671" t="s">
        <v>5811</v>
      </c>
      <c r="E3671" t="str">
        <f t="shared" si="189"/>
        <v>70610010</v>
      </c>
      <c r="F3671" t="s">
        <v>5508</v>
      </c>
      <c r="G3671" t="s">
        <v>5885</v>
      </c>
      <c r="H3671" t="s">
        <v>5975</v>
      </c>
      <c r="I3671">
        <v>0</v>
      </c>
      <c r="J3671" t="s">
        <v>343</v>
      </c>
      <c r="L3671">
        <v>5589000</v>
      </c>
      <c r="N3671">
        <v>5589000</v>
      </c>
    </row>
    <row r="3672" spans="1:14" x14ac:dyDescent="0.35">
      <c r="A3672" t="str">
        <f t="shared" si="188"/>
        <v>VTE45745FBK250024570610012</v>
      </c>
      <c r="B3672" t="s">
        <v>131</v>
      </c>
      <c r="C3672" s="1">
        <v>45745</v>
      </c>
      <c r="D3672" t="s">
        <v>5812</v>
      </c>
      <c r="E3672" t="str">
        <f>"70610012"</f>
        <v>70610012</v>
      </c>
      <c r="F3672" t="s">
        <v>5526</v>
      </c>
      <c r="G3672" t="s">
        <v>5885</v>
      </c>
      <c r="H3672" t="s">
        <v>5977</v>
      </c>
      <c r="I3672">
        <v>0</v>
      </c>
      <c r="J3672" t="s">
        <v>343</v>
      </c>
      <c r="L3672">
        <v>241153</v>
      </c>
      <c r="N3672">
        <v>241153</v>
      </c>
    </row>
    <row r="3673" spans="1:14" x14ac:dyDescent="0.35">
      <c r="A3673" t="str">
        <f t="shared" si="188"/>
        <v>VTE45745FBK250024670610012</v>
      </c>
      <c r="B3673" t="s">
        <v>131</v>
      </c>
      <c r="C3673" s="1">
        <v>45745</v>
      </c>
      <c r="D3673" t="s">
        <v>5813</v>
      </c>
      <c r="E3673" t="str">
        <f>"70610012"</f>
        <v>70610012</v>
      </c>
      <c r="F3673" t="s">
        <v>5508</v>
      </c>
      <c r="G3673" t="s">
        <v>5885</v>
      </c>
      <c r="H3673" t="s">
        <v>5977</v>
      </c>
      <c r="I3673">
        <v>0</v>
      </c>
      <c r="J3673" t="s">
        <v>343</v>
      </c>
      <c r="L3673">
        <v>546959</v>
      </c>
      <c r="N3673">
        <v>546959</v>
      </c>
    </row>
    <row r="3674" spans="1:14" x14ac:dyDescent="0.35">
      <c r="A3674" t="str">
        <f t="shared" si="188"/>
        <v>VTE45747FAB250076270610010</v>
      </c>
      <c r="B3674" t="s">
        <v>131</v>
      </c>
      <c r="C3674" s="1">
        <v>45747</v>
      </c>
      <c r="D3674" t="s">
        <v>5814</v>
      </c>
      <c r="E3674" t="str">
        <f>"70610010"</f>
        <v>70610010</v>
      </c>
      <c r="F3674" t="s">
        <v>5686</v>
      </c>
      <c r="G3674" t="s">
        <v>5885</v>
      </c>
      <c r="H3674" t="s">
        <v>5969</v>
      </c>
      <c r="I3674">
        <v>0</v>
      </c>
      <c r="J3674" t="s">
        <v>343</v>
      </c>
      <c r="L3674">
        <v>3600000</v>
      </c>
      <c r="N3674">
        <v>3600000</v>
      </c>
    </row>
    <row r="3675" spans="1:14" x14ac:dyDescent="0.35">
      <c r="A3675" t="str">
        <f t="shared" si="188"/>
        <v>VTE45747FAB250078370610010</v>
      </c>
      <c r="B3675" t="s">
        <v>131</v>
      </c>
      <c r="C3675" s="1">
        <v>45747</v>
      </c>
      <c r="D3675" t="s">
        <v>5815</v>
      </c>
      <c r="E3675" t="str">
        <f>"70610010"</f>
        <v>70610010</v>
      </c>
      <c r="F3675" t="s">
        <v>5816</v>
      </c>
      <c r="G3675" t="s">
        <v>5885</v>
      </c>
      <c r="H3675" t="s">
        <v>5975</v>
      </c>
      <c r="I3675">
        <v>0</v>
      </c>
      <c r="J3675" t="s">
        <v>343</v>
      </c>
      <c r="L3675">
        <v>900000</v>
      </c>
      <c r="N3675">
        <v>900000</v>
      </c>
    </row>
    <row r="3676" spans="1:14" x14ac:dyDescent="0.35">
      <c r="A3676" t="str">
        <f t="shared" si="188"/>
        <v>VTE45747FAB250078470610010</v>
      </c>
      <c r="B3676" t="s">
        <v>131</v>
      </c>
      <c r="C3676" s="1">
        <v>45747</v>
      </c>
      <c r="D3676" t="s">
        <v>5817</v>
      </c>
      <c r="E3676" t="str">
        <f>"70610010"</f>
        <v>70610010</v>
      </c>
      <c r="F3676" t="s">
        <v>5576</v>
      </c>
      <c r="G3676" t="s">
        <v>5885</v>
      </c>
      <c r="H3676" t="s">
        <v>5975</v>
      </c>
      <c r="I3676">
        <v>0</v>
      </c>
      <c r="J3676" t="s">
        <v>343</v>
      </c>
      <c r="L3676">
        <v>8010000</v>
      </c>
      <c r="N3676">
        <v>8010000</v>
      </c>
    </row>
    <row r="3677" spans="1:14" x14ac:dyDescent="0.35">
      <c r="A3677" t="str">
        <f t="shared" si="188"/>
        <v>VTE45747FAB250078547310100</v>
      </c>
      <c r="B3677" t="s">
        <v>131</v>
      </c>
      <c r="C3677" s="1">
        <v>45747</v>
      </c>
      <c r="D3677" t="s">
        <v>5818</v>
      </c>
      <c r="E3677" t="str">
        <f>"47310100"</f>
        <v>47310100</v>
      </c>
      <c r="F3677" t="s">
        <v>5819</v>
      </c>
      <c r="G3677" t="s">
        <v>5885</v>
      </c>
      <c r="H3677" t="s">
        <v>350</v>
      </c>
      <c r="I3677">
        <v>0</v>
      </c>
      <c r="J3677" t="s">
        <v>343</v>
      </c>
      <c r="K3677">
        <v>118000</v>
      </c>
      <c r="M3677">
        <v>118000</v>
      </c>
    </row>
    <row r="3678" spans="1:14" x14ac:dyDescent="0.35">
      <c r="A3678" t="str">
        <f t="shared" si="188"/>
        <v>VTE45747FAB250078570610010</v>
      </c>
      <c r="B3678" t="s">
        <v>131</v>
      </c>
      <c r="C3678" s="1">
        <v>45747</v>
      </c>
      <c r="D3678" t="s">
        <v>5818</v>
      </c>
      <c r="E3678" t="str">
        <f>"70610010"</f>
        <v>70610010</v>
      </c>
      <c r="F3678" t="s">
        <v>5819</v>
      </c>
      <c r="G3678" t="s">
        <v>5885</v>
      </c>
      <c r="H3678" t="s">
        <v>5972</v>
      </c>
      <c r="I3678">
        <v>0</v>
      </c>
      <c r="J3678" t="s">
        <v>343</v>
      </c>
      <c r="K3678">
        <v>800000</v>
      </c>
      <c r="M3678">
        <v>800000</v>
      </c>
    </row>
    <row r="3679" spans="1:14" x14ac:dyDescent="0.35">
      <c r="A3679" t="str">
        <f t="shared" si="188"/>
        <v>VTE45747FAB250078570610050</v>
      </c>
      <c r="B3679" t="s">
        <v>131</v>
      </c>
      <c r="C3679" s="1">
        <v>45747</v>
      </c>
      <c r="D3679" t="s">
        <v>5818</v>
      </c>
      <c r="E3679" t="str">
        <f>"70610050"</f>
        <v>70610050</v>
      </c>
      <c r="F3679" t="s">
        <v>5819</v>
      </c>
      <c r="G3679" t="s">
        <v>5885</v>
      </c>
      <c r="H3679" t="s">
        <v>5972</v>
      </c>
      <c r="I3679">
        <v>0</v>
      </c>
      <c r="J3679" t="s">
        <v>343</v>
      </c>
      <c r="K3679">
        <v>396000</v>
      </c>
      <c r="M3679">
        <v>396000</v>
      </c>
    </row>
    <row r="3680" spans="1:14" x14ac:dyDescent="0.35">
      <c r="A3680" t="str">
        <f t="shared" si="188"/>
        <v>VTE45747FAB250078670610010</v>
      </c>
      <c r="B3680" t="s">
        <v>131</v>
      </c>
      <c r="C3680" s="1">
        <v>45747</v>
      </c>
      <c r="D3680" t="s">
        <v>5820</v>
      </c>
      <c r="E3680" t="str">
        <f>"70610010"</f>
        <v>70610010</v>
      </c>
      <c r="F3680" t="s">
        <v>5686</v>
      </c>
      <c r="G3680" t="s">
        <v>5885</v>
      </c>
      <c r="H3680" t="s">
        <v>5969</v>
      </c>
      <c r="I3680">
        <v>0</v>
      </c>
      <c r="J3680" t="s">
        <v>343</v>
      </c>
      <c r="L3680">
        <v>39625350</v>
      </c>
      <c r="N3680">
        <v>39625350</v>
      </c>
    </row>
    <row r="3681" spans="1:14" x14ac:dyDescent="0.35">
      <c r="A3681" t="str">
        <f t="shared" si="188"/>
        <v>VTE45747FAB250078770610010</v>
      </c>
      <c r="B3681" t="s">
        <v>131</v>
      </c>
      <c r="C3681" s="1">
        <v>45747</v>
      </c>
      <c r="D3681" t="s">
        <v>5821</v>
      </c>
      <c r="E3681" t="str">
        <f>"70610010"</f>
        <v>70610010</v>
      </c>
      <c r="F3681" t="s">
        <v>139</v>
      </c>
      <c r="G3681" t="s">
        <v>5885</v>
      </c>
      <c r="H3681" t="s">
        <v>5975</v>
      </c>
      <c r="I3681">
        <v>0</v>
      </c>
      <c r="J3681" t="s">
        <v>343</v>
      </c>
      <c r="L3681">
        <v>4741200</v>
      </c>
      <c r="N3681">
        <v>4741200</v>
      </c>
    </row>
    <row r="3682" spans="1:14" x14ac:dyDescent="0.35">
      <c r="A3682" t="str">
        <f t="shared" si="188"/>
        <v>VTE45747FAB250078870610010</v>
      </c>
      <c r="B3682" t="s">
        <v>131</v>
      </c>
      <c r="C3682" s="1">
        <v>45747</v>
      </c>
      <c r="D3682" t="s">
        <v>5822</v>
      </c>
      <c r="E3682" t="str">
        <f>"70610010"</f>
        <v>70610010</v>
      </c>
      <c r="F3682" t="s">
        <v>139</v>
      </c>
      <c r="G3682" t="s">
        <v>5885</v>
      </c>
      <c r="H3682" t="s">
        <v>5975</v>
      </c>
      <c r="I3682">
        <v>0</v>
      </c>
      <c r="J3682" t="s">
        <v>343</v>
      </c>
      <c r="L3682">
        <v>864000</v>
      </c>
      <c r="N3682">
        <v>864000</v>
      </c>
    </row>
    <row r="3683" spans="1:14" x14ac:dyDescent="0.35">
      <c r="A3683" t="str">
        <f t="shared" si="188"/>
        <v>VTE45747FAB250078947310100</v>
      </c>
      <c r="B3683" t="s">
        <v>131</v>
      </c>
      <c r="C3683" s="1">
        <v>45747</v>
      </c>
      <c r="D3683" t="s">
        <v>5823</v>
      </c>
      <c r="E3683" t="str">
        <f>"47310100"</f>
        <v>47310100</v>
      </c>
      <c r="F3683" t="s">
        <v>139</v>
      </c>
      <c r="G3683" t="s">
        <v>5885</v>
      </c>
      <c r="H3683" t="s">
        <v>350</v>
      </c>
      <c r="I3683">
        <v>0</v>
      </c>
      <c r="J3683" t="s">
        <v>343</v>
      </c>
      <c r="L3683">
        <v>324500</v>
      </c>
      <c r="N3683">
        <v>324500</v>
      </c>
    </row>
    <row r="3684" spans="1:14" x14ac:dyDescent="0.35">
      <c r="A3684" t="str">
        <f t="shared" si="188"/>
        <v>VTE45747FAB250078970610010</v>
      </c>
      <c r="B3684" t="s">
        <v>131</v>
      </c>
      <c r="C3684" s="1">
        <v>45747</v>
      </c>
      <c r="D3684" t="s">
        <v>5823</v>
      </c>
      <c r="E3684" t="str">
        <f>"70610010"</f>
        <v>70610010</v>
      </c>
      <c r="F3684" t="s">
        <v>139</v>
      </c>
      <c r="G3684" t="s">
        <v>5885</v>
      </c>
      <c r="H3684" t="s">
        <v>5972</v>
      </c>
      <c r="I3684">
        <v>0</v>
      </c>
      <c r="J3684" t="s">
        <v>343</v>
      </c>
      <c r="L3684">
        <v>2211000</v>
      </c>
      <c r="N3684">
        <v>2211000</v>
      </c>
    </row>
    <row r="3685" spans="1:14" x14ac:dyDescent="0.35">
      <c r="A3685" t="str">
        <f t="shared" si="188"/>
        <v>VTE45747FAB250079047310100</v>
      </c>
      <c r="B3685" t="s">
        <v>131</v>
      </c>
      <c r="C3685" s="1">
        <v>45747</v>
      </c>
      <c r="D3685" t="s">
        <v>5824</v>
      </c>
      <c r="E3685" t="str">
        <f>"47310100"</f>
        <v>47310100</v>
      </c>
      <c r="F3685" t="s">
        <v>5825</v>
      </c>
      <c r="G3685" t="s">
        <v>5885</v>
      </c>
      <c r="H3685" t="s">
        <v>350</v>
      </c>
      <c r="I3685">
        <v>0</v>
      </c>
      <c r="J3685" t="s">
        <v>343</v>
      </c>
      <c r="L3685">
        <v>118000</v>
      </c>
      <c r="N3685">
        <v>118000</v>
      </c>
    </row>
    <row r="3686" spans="1:14" x14ac:dyDescent="0.35">
      <c r="A3686" t="str">
        <f t="shared" si="188"/>
        <v>VTE45747FAB250079070610010</v>
      </c>
      <c r="B3686" t="s">
        <v>131</v>
      </c>
      <c r="C3686" s="1">
        <v>45747</v>
      </c>
      <c r="D3686" t="s">
        <v>5824</v>
      </c>
      <c r="E3686" t="str">
        <f>"70610010"</f>
        <v>70610010</v>
      </c>
      <c r="F3686" t="s">
        <v>5825</v>
      </c>
      <c r="G3686" t="s">
        <v>5885</v>
      </c>
      <c r="H3686" t="s">
        <v>5972</v>
      </c>
      <c r="I3686">
        <v>0</v>
      </c>
      <c r="J3686" t="s">
        <v>343</v>
      </c>
      <c r="L3686">
        <v>396000</v>
      </c>
      <c r="N3686">
        <v>396000</v>
      </c>
    </row>
    <row r="3687" spans="1:14" x14ac:dyDescent="0.35">
      <c r="A3687" t="str">
        <f t="shared" si="188"/>
        <v>VTE45747FAB250079147310100</v>
      </c>
      <c r="B3687" t="s">
        <v>131</v>
      </c>
      <c r="C3687" s="1">
        <v>45747</v>
      </c>
      <c r="D3687" t="s">
        <v>5826</v>
      </c>
      <c r="E3687" t="str">
        <f>"47310100"</f>
        <v>47310100</v>
      </c>
      <c r="F3687" t="s">
        <v>5518</v>
      </c>
      <c r="G3687" t="s">
        <v>5885</v>
      </c>
      <c r="H3687" t="s">
        <v>350</v>
      </c>
      <c r="I3687">
        <v>0</v>
      </c>
      <c r="J3687" t="s">
        <v>343</v>
      </c>
      <c r="L3687">
        <v>59000</v>
      </c>
      <c r="N3687">
        <v>59000</v>
      </c>
    </row>
    <row r="3688" spans="1:14" x14ac:dyDescent="0.35">
      <c r="A3688" t="str">
        <f t="shared" si="188"/>
        <v>VTE45747FAB250079170610010</v>
      </c>
      <c r="B3688" t="s">
        <v>131</v>
      </c>
      <c r="C3688" s="1">
        <v>45747</v>
      </c>
      <c r="D3688" t="s">
        <v>5826</v>
      </c>
      <c r="E3688" t="str">
        <f>"70610010"</f>
        <v>70610010</v>
      </c>
      <c r="F3688" t="s">
        <v>5518</v>
      </c>
      <c r="G3688" t="s">
        <v>5885</v>
      </c>
      <c r="H3688" t="s">
        <v>5972</v>
      </c>
      <c r="I3688">
        <v>0</v>
      </c>
      <c r="J3688" t="s">
        <v>343</v>
      </c>
      <c r="L3688">
        <v>150000</v>
      </c>
      <c r="N3688">
        <v>150000</v>
      </c>
    </row>
    <row r="3689" spans="1:14" x14ac:dyDescent="0.35">
      <c r="A3689" t="str">
        <f t="shared" si="188"/>
        <v>VTE45747FAB250079247310100</v>
      </c>
      <c r="B3689" t="s">
        <v>131</v>
      </c>
      <c r="C3689" s="1">
        <v>45747</v>
      </c>
      <c r="D3689" t="s">
        <v>5827</v>
      </c>
      <c r="E3689" t="str">
        <f>"47310100"</f>
        <v>47310100</v>
      </c>
      <c r="F3689" t="s">
        <v>5518</v>
      </c>
      <c r="G3689" t="s">
        <v>5885</v>
      </c>
      <c r="H3689" t="s">
        <v>350</v>
      </c>
      <c r="I3689">
        <v>0</v>
      </c>
      <c r="J3689" t="s">
        <v>343</v>
      </c>
      <c r="L3689">
        <v>59000</v>
      </c>
      <c r="N3689">
        <v>59000</v>
      </c>
    </row>
    <row r="3690" spans="1:14" x14ac:dyDescent="0.35">
      <c r="A3690" t="str">
        <f t="shared" si="188"/>
        <v>VTE45747FAB250079270610010</v>
      </c>
      <c r="B3690" t="s">
        <v>131</v>
      </c>
      <c r="C3690" s="1">
        <v>45747</v>
      </c>
      <c r="D3690" t="s">
        <v>5827</v>
      </c>
      <c r="E3690" t="str">
        <f>"70610010"</f>
        <v>70610010</v>
      </c>
      <c r="F3690" t="s">
        <v>5518</v>
      </c>
      <c r="G3690" t="s">
        <v>5885</v>
      </c>
      <c r="H3690" t="s">
        <v>5972</v>
      </c>
      <c r="I3690">
        <v>0</v>
      </c>
      <c r="J3690" t="s">
        <v>343</v>
      </c>
      <c r="L3690">
        <v>150000</v>
      </c>
      <c r="N3690">
        <v>150000</v>
      </c>
    </row>
    <row r="3691" spans="1:14" x14ac:dyDescent="0.35">
      <c r="A3691" t="str">
        <f t="shared" si="188"/>
        <v>VTE45747FAB250079347310100</v>
      </c>
      <c r="B3691" t="s">
        <v>131</v>
      </c>
      <c r="C3691" s="1">
        <v>45747</v>
      </c>
      <c r="D3691" t="s">
        <v>5828</v>
      </c>
      <c r="E3691" t="str">
        <f>"47310100"</f>
        <v>47310100</v>
      </c>
      <c r="F3691" t="s">
        <v>5518</v>
      </c>
      <c r="G3691" t="s">
        <v>5885</v>
      </c>
      <c r="H3691" t="s">
        <v>350</v>
      </c>
      <c r="I3691">
        <v>0</v>
      </c>
      <c r="J3691" t="s">
        <v>343</v>
      </c>
      <c r="L3691">
        <v>29500</v>
      </c>
      <c r="N3691">
        <v>29500</v>
      </c>
    </row>
    <row r="3692" spans="1:14" x14ac:dyDescent="0.35">
      <c r="A3692" t="str">
        <f t="shared" si="188"/>
        <v>VTE45747FAB250079370610010</v>
      </c>
      <c r="B3692" t="s">
        <v>131</v>
      </c>
      <c r="C3692" s="1">
        <v>45747</v>
      </c>
      <c r="D3692" t="s">
        <v>5828</v>
      </c>
      <c r="E3692" t="str">
        <f>"70610010"</f>
        <v>70610010</v>
      </c>
      <c r="F3692" t="s">
        <v>5518</v>
      </c>
      <c r="G3692" t="s">
        <v>5885</v>
      </c>
      <c r="H3692" t="s">
        <v>5972</v>
      </c>
      <c r="I3692">
        <v>0</v>
      </c>
      <c r="J3692" t="s">
        <v>343</v>
      </c>
      <c r="L3692">
        <v>150000</v>
      </c>
      <c r="N3692">
        <v>150000</v>
      </c>
    </row>
    <row r="3693" spans="1:14" x14ac:dyDescent="0.35">
      <c r="A3693" t="str">
        <f t="shared" si="188"/>
        <v>VTE45747FAB250079447310100</v>
      </c>
      <c r="B3693" t="s">
        <v>131</v>
      </c>
      <c r="C3693" s="1">
        <v>45747</v>
      </c>
      <c r="D3693" t="s">
        <v>5829</v>
      </c>
      <c r="E3693" t="str">
        <f>"47310100"</f>
        <v>47310100</v>
      </c>
      <c r="F3693" t="s">
        <v>5518</v>
      </c>
      <c r="G3693" t="s">
        <v>5885</v>
      </c>
      <c r="H3693" t="s">
        <v>350</v>
      </c>
      <c r="I3693">
        <v>0</v>
      </c>
      <c r="J3693" t="s">
        <v>343</v>
      </c>
      <c r="L3693">
        <v>29500</v>
      </c>
      <c r="N3693">
        <v>29500</v>
      </c>
    </row>
    <row r="3694" spans="1:14" x14ac:dyDescent="0.35">
      <c r="A3694" t="str">
        <f t="shared" si="188"/>
        <v>VTE45747FAB250079470610010</v>
      </c>
      <c r="B3694" t="s">
        <v>131</v>
      </c>
      <c r="C3694" s="1">
        <v>45747</v>
      </c>
      <c r="D3694" t="s">
        <v>5829</v>
      </c>
      <c r="E3694" t="str">
        <f>"70610010"</f>
        <v>70610010</v>
      </c>
      <c r="F3694" t="s">
        <v>5518</v>
      </c>
      <c r="G3694" t="s">
        <v>5885</v>
      </c>
      <c r="H3694" t="s">
        <v>5972</v>
      </c>
      <c r="I3694">
        <v>0</v>
      </c>
      <c r="J3694" t="s">
        <v>343</v>
      </c>
      <c r="L3694">
        <v>150000</v>
      </c>
      <c r="N3694">
        <v>150000</v>
      </c>
    </row>
    <row r="3695" spans="1:14" x14ac:dyDescent="0.35">
      <c r="A3695" t="str">
        <f t="shared" si="188"/>
        <v>VTE45747FAB250079547310100</v>
      </c>
      <c r="B3695" t="s">
        <v>131</v>
      </c>
      <c r="C3695" s="1">
        <v>45747</v>
      </c>
      <c r="D3695" t="s">
        <v>5830</v>
      </c>
      <c r="E3695" t="str">
        <f>"47310100"</f>
        <v>47310100</v>
      </c>
      <c r="F3695" t="s">
        <v>5518</v>
      </c>
      <c r="G3695" t="s">
        <v>5885</v>
      </c>
      <c r="H3695" t="s">
        <v>350</v>
      </c>
      <c r="I3695">
        <v>0</v>
      </c>
      <c r="J3695" t="s">
        <v>343</v>
      </c>
      <c r="L3695">
        <v>59000</v>
      </c>
      <c r="N3695">
        <v>59000</v>
      </c>
    </row>
    <row r="3696" spans="1:14" x14ac:dyDescent="0.35">
      <c r="A3696" t="str">
        <f t="shared" si="188"/>
        <v>VTE45747FAB250079570610010</v>
      </c>
      <c r="B3696" t="s">
        <v>131</v>
      </c>
      <c r="C3696" s="1">
        <v>45747</v>
      </c>
      <c r="D3696" t="s">
        <v>5830</v>
      </c>
      <c r="E3696" t="str">
        <f>"70610010"</f>
        <v>70610010</v>
      </c>
      <c r="F3696" t="s">
        <v>5518</v>
      </c>
      <c r="G3696" t="s">
        <v>5885</v>
      </c>
      <c r="H3696" t="s">
        <v>5972</v>
      </c>
      <c r="I3696">
        <v>0</v>
      </c>
      <c r="J3696" t="s">
        <v>343</v>
      </c>
      <c r="L3696">
        <v>150000</v>
      </c>
      <c r="N3696">
        <v>150000</v>
      </c>
    </row>
    <row r="3697" spans="1:14" x14ac:dyDescent="0.35">
      <c r="A3697" t="str">
        <f t="shared" si="188"/>
        <v>VTE45747FAB250079647310100</v>
      </c>
      <c r="B3697" t="s">
        <v>131</v>
      </c>
      <c r="C3697" s="1">
        <v>45747</v>
      </c>
      <c r="D3697" t="s">
        <v>5831</v>
      </c>
      <c r="E3697" t="str">
        <f>"47310100"</f>
        <v>47310100</v>
      </c>
      <c r="F3697" t="s">
        <v>5518</v>
      </c>
      <c r="G3697" t="s">
        <v>5885</v>
      </c>
      <c r="H3697" t="s">
        <v>350</v>
      </c>
      <c r="I3697">
        <v>0</v>
      </c>
      <c r="J3697" t="s">
        <v>343</v>
      </c>
      <c r="L3697">
        <v>59000</v>
      </c>
      <c r="N3697">
        <v>59000</v>
      </c>
    </row>
    <row r="3698" spans="1:14" x14ac:dyDescent="0.35">
      <c r="A3698" t="str">
        <f t="shared" si="188"/>
        <v>VTE45747FAB250079670610010</v>
      </c>
      <c r="B3698" t="s">
        <v>131</v>
      </c>
      <c r="C3698" s="1">
        <v>45747</v>
      </c>
      <c r="D3698" t="s">
        <v>5831</v>
      </c>
      <c r="E3698" t="str">
        <f>"70610010"</f>
        <v>70610010</v>
      </c>
      <c r="F3698" t="s">
        <v>5518</v>
      </c>
      <c r="G3698" t="s">
        <v>5885</v>
      </c>
      <c r="H3698" t="s">
        <v>5972</v>
      </c>
      <c r="I3698">
        <v>0</v>
      </c>
      <c r="J3698" t="s">
        <v>343</v>
      </c>
      <c r="L3698">
        <v>150000</v>
      </c>
      <c r="N3698">
        <v>150000</v>
      </c>
    </row>
    <row r="3699" spans="1:14" x14ac:dyDescent="0.35">
      <c r="A3699" t="str">
        <f t="shared" si="188"/>
        <v>VTE45747FAB250079747310100</v>
      </c>
      <c r="B3699" t="s">
        <v>131</v>
      </c>
      <c r="C3699" s="1">
        <v>45747</v>
      </c>
      <c r="D3699" t="s">
        <v>5832</v>
      </c>
      <c r="E3699" t="str">
        <f>"47310100"</f>
        <v>47310100</v>
      </c>
      <c r="F3699" t="s">
        <v>5518</v>
      </c>
      <c r="G3699" t="s">
        <v>5885</v>
      </c>
      <c r="H3699" t="s">
        <v>350</v>
      </c>
      <c r="I3699">
        <v>0</v>
      </c>
      <c r="J3699" t="s">
        <v>343</v>
      </c>
      <c r="L3699">
        <v>59000</v>
      </c>
      <c r="N3699">
        <v>59000</v>
      </c>
    </row>
    <row r="3700" spans="1:14" x14ac:dyDescent="0.35">
      <c r="A3700" t="str">
        <f t="shared" si="188"/>
        <v>VTE45747FAB250079770610010</v>
      </c>
      <c r="B3700" t="s">
        <v>131</v>
      </c>
      <c r="C3700" s="1">
        <v>45747</v>
      </c>
      <c r="D3700" t="s">
        <v>5832</v>
      </c>
      <c r="E3700" t="str">
        <f>"70610010"</f>
        <v>70610010</v>
      </c>
      <c r="F3700" t="s">
        <v>5518</v>
      </c>
      <c r="G3700" t="s">
        <v>5885</v>
      </c>
      <c r="H3700" t="s">
        <v>5972</v>
      </c>
      <c r="I3700">
        <v>0</v>
      </c>
      <c r="J3700" t="s">
        <v>343</v>
      </c>
      <c r="L3700">
        <v>150000</v>
      </c>
      <c r="N3700">
        <v>150000</v>
      </c>
    </row>
    <row r="3701" spans="1:14" x14ac:dyDescent="0.35">
      <c r="A3701" t="str">
        <f t="shared" si="188"/>
        <v>VTE45747FAB250079847310100</v>
      </c>
      <c r="B3701" t="s">
        <v>131</v>
      </c>
      <c r="C3701" s="1">
        <v>45747</v>
      </c>
      <c r="D3701" t="s">
        <v>5833</v>
      </c>
      <c r="E3701" t="str">
        <f>"47310100"</f>
        <v>47310100</v>
      </c>
      <c r="F3701" t="s">
        <v>5518</v>
      </c>
      <c r="G3701" t="s">
        <v>5885</v>
      </c>
      <c r="H3701" t="s">
        <v>350</v>
      </c>
      <c r="I3701">
        <v>0</v>
      </c>
      <c r="J3701" t="s">
        <v>343</v>
      </c>
      <c r="L3701">
        <v>29500</v>
      </c>
      <c r="N3701">
        <v>29500</v>
      </c>
    </row>
    <row r="3702" spans="1:14" x14ac:dyDescent="0.35">
      <c r="A3702" t="str">
        <f t="shared" si="188"/>
        <v>VTE45747FAB250079870610010</v>
      </c>
      <c r="B3702" t="s">
        <v>131</v>
      </c>
      <c r="C3702" s="1">
        <v>45747</v>
      </c>
      <c r="D3702" t="s">
        <v>5833</v>
      </c>
      <c r="E3702" t="str">
        <f>"70610010"</f>
        <v>70610010</v>
      </c>
      <c r="F3702" t="s">
        <v>5518</v>
      </c>
      <c r="G3702" t="s">
        <v>5885</v>
      </c>
      <c r="H3702" t="s">
        <v>5972</v>
      </c>
      <c r="I3702">
        <v>0</v>
      </c>
      <c r="J3702" t="s">
        <v>343</v>
      </c>
      <c r="L3702">
        <v>150000</v>
      </c>
      <c r="N3702">
        <v>150000</v>
      </c>
    </row>
    <row r="3703" spans="1:14" x14ac:dyDescent="0.35">
      <c r="A3703" t="str">
        <f t="shared" si="188"/>
        <v>VTE45747FAB250079947310100</v>
      </c>
      <c r="B3703" t="s">
        <v>131</v>
      </c>
      <c r="C3703" s="1">
        <v>45747</v>
      </c>
      <c r="D3703" t="s">
        <v>5834</v>
      </c>
      <c r="E3703" t="str">
        <f>"47310100"</f>
        <v>47310100</v>
      </c>
      <c r="F3703" t="s">
        <v>5518</v>
      </c>
      <c r="G3703" t="s">
        <v>5885</v>
      </c>
      <c r="H3703" t="s">
        <v>350</v>
      </c>
      <c r="I3703">
        <v>0</v>
      </c>
      <c r="J3703" t="s">
        <v>343</v>
      </c>
      <c r="L3703">
        <v>29500</v>
      </c>
      <c r="N3703">
        <v>29500</v>
      </c>
    </row>
    <row r="3704" spans="1:14" x14ac:dyDescent="0.35">
      <c r="A3704" t="str">
        <f t="shared" si="188"/>
        <v>VTE45747FAB250079970610010</v>
      </c>
      <c r="B3704" t="s">
        <v>131</v>
      </c>
      <c r="C3704" s="1">
        <v>45747</v>
      </c>
      <c r="D3704" t="s">
        <v>5834</v>
      </c>
      <c r="E3704" t="str">
        <f>"70610010"</f>
        <v>70610010</v>
      </c>
      <c r="F3704" t="s">
        <v>5518</v>
      </c>
      <c r="G3704" t="s">
        <v>5885</v>
      </c>
      <c r="H3704" t="s">
        <v>5972</v>
      </c>
      <c r="I3704">
        <v>0</v>
      </c>
      <c r="J3704" t="s">
        <v>343</v>
      </c>
      <c r="L3704">
        <v>150000</v>
      </c>
      <c r="N3704">
        <v>150000</v>
      </c>
    </row>
    <row r="3705" spans="1:14" x14ac:dyDescent="0.35">
      <c r="A3705" t="str">
        <f t="shared" si="188"/>
        <v>VTE45747FAB250080047310100</v>
      </c>
      <c r="B3705" t="s">
        <v>131</v>
      </c>
      <c r="C3705" s="1">
        <v>45747</v>
      </c>
      <c r="D3705" t="s">
        <v>5835</v>
      </c>
      <c r="E3705" t="str">
        <f>"47310100"</f>
        <v>47310100</v>
      </c>
      <c r="F3705" t="s">
        <v>5518</v>
      </c>
      <c r="G3705" t="s">
        <v>5885</v>
      </c>
      <c r="H3705" t="s">
        <v>350</v>
      </c>
      <c r="I3705">
        <v>0</v>
      </c>
      <c r="J3705" t="s">
        <v>343</v>
      </c>
      <c r="L3705">
        <v>59000</v>
      </c>
      <c r="N3705">
        <v>59000</v>
      </c>
    </row>
    <row r="3706" spans="1:14" x14ac:dyDescent="0.35">
      <c r="A3706" t="str">
        <f t="shared" si="188"/>
        <v>VTE45747FAB250080070610010</v>
      </c>
      <c r="B3706" t="s">
        <v>131</v>
      </c>
      <c r="C3706" s="1">
        <v>45747</v>
      </c>
      <c r="D3706" t="s">
        <v>5835</v>
      </c>
      <c r="E3706" t="str">
        <f>"70610010"</f>
        <v>70610010</v>
      </c>
      <c r="F3706" t="s">
        <v>5518</v>
      </c>
      <c r="G3706" t="s">
        <v>5885</v>
      </c>
      <c r="H3706" t="s">
        <v>5972</v>
      </c>
      <c r="I3706">
        <v>0</v>
      </c>
      <c r="J3706" t="s">
        <v>343</v>
      </c>
      <c r="L3706">
        <v>150000</v>
      </c>
      <c r="N3706">
        <v>150000</v>
      </c>
    </row>
    <row r="3707" spans="1:14" x14ac:dyDescent="0.35">
      <c r="A3707" t="str">
        <f t="shared" si="188"/>
        <v>VTE45747FAB250080147310100</v>
      </c>
      <c r="B3707" t="s">
        <v>131</v>
      </c>
      <c r="C3707" s="1">
        <v>45747</v>
      </c>
      <c r="D3707" t="s">
        <v>5836</v>
      </c>
      <c r="E3707" t="str">
        <f>"47310100"</f>
        <v>47310100</v>
      </c>
      <c r="F3707" t="s">
        <v>5518</v>
      </c>
      <c r="G3707" t="s">
        <v>5885</v>
      </c>
      <c r="H3707" t="s">
        <v>350</v>
      </c>
      <c r="I3707">
        <v>0</v>
      </c>
      <c r="J3707" t="s">
        <v>343</v>
      </c>
      <c r="L3707">
        <v>59000</v>
      </c>
      <c r="N3707">
        <v>59000</v>
      </c>
    </row>
    <row r="3708" spans="1:14" x14ac:dyDescent="0.35">
      <c r="A3708" t="str">
        <f t="shared" si="188"/>
        <v>VTE45747FAB250080170610010</v>
      </c>
      <c r="B3708" t="s">
        <v>131</v>
      </c>
      <c r="C3708" s="1">
        <v>45747</v>
      </c>
      <c r="D3708" t="s">
        <v>5836</v>
      </c>
      <c r="E3708" t="str">
        <f>"70610010"</f>
        <v>70610010</v>
      </c>
      <c r="F3708" t="s">
        <v>5518</v>
      </c>
      <c r="G3708" t="s">
        <v>5885</v>
      </c>
      <c r="H3708" t="s">
        <v>5972</v>
      </c>
      <c r="I3708">
        <v>0</v>
      </c>
      <c r="J3708" t="s">
        <v>343</v>
      </c>
      <c r="L3708">
        <v>150000</v>
      </c>
      <c r="N3708">
        <v>150000</v>
      </c>
    </row>
    <row r="3709" spans="1:14" x14ac:dyDescent="0.35">
      <c r="A3709" t="str">
        <f t="shared" si="188"/>
        <v>VTE45747FAB250080247310100</v>
      </c>
      <c r="B3709" t="s">
        <v>131</v>
      </c>
      <c r="C3709" s="1">
        <v>45747</v>
      </c>
      <c r="D3709" t="s">
        <v>5837</v>
      </c>
      <c r="E3709" t="str">
        <f>"47310100"</f>
        <v>47310100</v>
      </c>
      <c r="F3709" t="s">
        <v>5518</v>
      </c>
      <c r="G3709" t="s">
        <v>5885</v>
      </c>
      <c r="H3709" t="s">
        <v>350</v>
      </c>
      <c r="I3709">
        <v>0</v>
      </c>
      <c r="J3709" t="s">
        <v>343</v>
      </c>
      <c r="L3709">
        <v>59000</v>
      </c>
      <c r="N3709">
        <v>59000</v>
      </c>
    </row>
    <row r="3710" spans="1:14" x14ac:dyDescent="0.35">
      <c r="A3710" t="str">
        <f t="shared" si="188"/>
        <v>VTE45747FAB250080270610010</v>
      </c>
      <c r="B3710" t="s">
        <v>131</v>
      </c>
      <c r="C3710" s="1">
        <v>45747</v>
      </c>
      <c r="D3710" t="s">
        <v>5837</v>
      </c>
      <c r="E3710" t="str">
        <f>"70610010"</f>
        <v>70610010</v>
      </c>
      <c r="F3710" t="s">
        <v>5518</v>
      </c>
      <c r="G3710" t="s">
        <v>5885</v>
      </c>
      <c r="H3710" t="s">
        <v>5972</v>
      </c>
      <c r="I3710">
        <v>0</v>
      </c>
      <c r="J3710" t="s">
        <v>343</v>
      </c>
      <c r="L3710">
        <v>150000</v>
      </c>
      <c r="N3710">
        <v>150000</v>
      </c>
    </row>
    <row r="3711" spans="1:14" x14ac:dyDescent="0.35">
      <c r="A3711" t="str">
        <f t="shared" si="188"/>
        <v>VTE45747FAB250080347310100</v>
      </c>
      <c r="B3711" t="s">
        <v>131</v>
      </c>
      <c r="C3711" s="1">
        <v>45747</v>
      </c>
      <c r="D3711" t="s">
        <v>5838</v>
      </c>
      <c r="E3711" t="str">
        <f>"47310100"</f>
        <v>47310100</v>
      </c>
      <c r="F3711" t="s">
        <v>5518</v>
      </c>
      <c r="G3711" t="s">
        <v>5885</v>
      </c>
      <c r="H3711" t="s">
        <v>350</v>
      </c>
      <c r="I3711">
        <v>0</v>
      </c>
      <c r="J3711" t="s">
        <v>343</v>
      </c>
      <c r="L3711">
        <v>29500</v>
      </c>
      <c r="N3711">
        <v>29500</v>
      </c>
    </row>
    <row r="3712" spans="1:14" x14ac:dyDescent="0.35">
      <c r="A3712" t="str">
        <f t="shared" si="188"/>
        <v>VTE45747FAB250080370610010</v>
      </c>
      <c r="B3712" t="s">
        <v>131</v>
      </c>
      <c r="C3712" s="1">
        <v>45747</v>
      </c>
      <c r="D3712" t="s">
        <v>5838</v>
      </c>
      <c r="E3712" t="str">
        <f>"70610010"</f>
        <v>70610010</v>
      </c>
      <c r="F3712" t="s">
        <v>5518</v>
      </c>
      <c r="G3712" t="s">
        <v>5885</v>
      </c>
      <c r="H3712" t="s">
        <v>5972</v>
      </c>
      <c r="I3712">
        <v>0</v>
      </c>
      <c r="J3712" t="s">
        <v>343</v>
      </c>
      <c r="L3712">
        <v>150000</v>
      </c>
      <c r="N3712">
        <v>150000</v>
      </c>
    </row>
    <row r="3713" spans="1:14" x14ac:dyDescent="0.35">
      <c r="A3713" t="str">
        <f t="shared" si="188"/>
        <v>VTE45747FAB250080447310100</v>
      </c>
      <c r="B3713" t="s">
        <v>131</v>
      </c>
      <c r="C3713" s="1">
        <v>45747</v>
      </c>
      <c r="D3713" t="s">
        <v>5839</v>
      </c>
      <c r="E3713" t="str">
        <f>"47310100"</f>
        <v>47310100</v>
      </c>
      <c r="F3713" t="s">
        <v>5518</v>
      </c>
      <c r="G3713" t="s">
        <v>5885</v>
      </c>
      <c r="H3713" t="s">
        <v>350</v>
      </c>
      <c r="I3713">
        <v>0</v>
      </c>
      <c r="J3713" t="s">
        <v>343</v>
      </c>
      <c r="L3713">
        <v>118000</v>
      </c>
      <c r="N3713">
        <v>118000</v>
      </c>
    </row>
    <row r="3714" spans="1:14" x14ac:dyDescent="0.35">
      <c r="A3714" t="str">
        <f t="shared" si="188"/>
        <v>VTE45747FAB250080470610010</v>
      </c>
      <c r="B3714" t="s">
        <v>131</v>
      </c>
      <c r="C3714" s="1">
        <v>45747</v>
      </c>
      <c r="D3714" t="s">
        <v>5839</v>
      </c>
      <c r="E3714" t="str">
        <f>"70610010"</f>
        <v>70610010</v>
      </c>
      <c r="F3714" t="s">
        <v>5518</v>
      </c>
      <c r="G3714" t="s">
        <v>5885</v>
      </c>
      <c r="H3714" t="s">
        <v>5972</v>
      </c>
      <c r="I3714">
        <v>0</v>
      </c>
      <c r="J3714" t="s">
        <v>343</v>
      </c>
      <c r="L3714">
        <v>300000</v>
      </c>
      <c r="N3714">
        <v>300000</v>
      </c>
    </row>
    <row r="3715" spans="1:14" x14ac:dyDescent="0.35">
      <c r="A3715" t="str">
        <f t="shared" ref="A3715:A3753" si="190">CONCATENATE(B3715,C3715,D3715,E3715)</f>
        <v>VTE45747FAB250080547310100</v>
      </c>
      <c r="B3715" t="s">
        <v>131</v>
      </c>
      <c r="C3715" s="1">
        <v>45747</v>
      </c>
      <c r="D3715" t="s">
        <v>5840</v>
      </c>
      <c r="E3715" t="str">
        <f>"47310100"</f>
        <v>47310100</v>
      </c>
      <c r="F3715" t="s">
        <v>5518</v>
      </c>
      <c r="G3715" t="s">
        <v>5885</v>
      </c>
      <c r="H3715" t="s">
        <v>350</v>
      </c>
      <c r="I3715">
        <v>0</v>
      </c>
      <c r="J3715" t="s">
        <v>343</v>
      </c>
      <c r="L3715">
        <v>88500</v>
      </c>
      <c r="N3715">
        <v>88500</v>
      </c>
    </row>
    <row r="3716" spans="1:14" x14ac:dyDescent="0.35">
      <c r="A3716" t="str">
        <f t="shared" si="190"/>
        <v>VTE45747FAB250080570610010</v>
      </c>
      <c r="B3716" t="s">
        <v>131</v>
      </c>
      <c r="C3716" s="1">
        <v>45747</v>
      </c>
      <c r="D3716" t="s">
        <v>5840</v>
      </c>
      <c r="E3716" t="str">
        <f>"70610010"</f>
        <v>70610010</v>
      </c>
      <c r="F3716" t="s">
        <v>5518</v>
      </c>
      <c r="G3716" t="s">
        <v>5885</v>
      </c>
      <c r="H3716" t="s">
        <v>5972</v>
      </c>
      <c r="I3716">
        <v>0</v>
      </c>
      <c r="J3716" t="s">
        <v>343</v>
      </c>
      <c r="L3716">
        <v>300000</v>
      </c>
      <c r="N3716">
        <v>300000</v>
      </c>
    </row>
    <row r="3717" spans="1:14" x14ac:dyDescent="0.35">
      <c r="A3717" t="str">
        <f t="shared" si="190"/>
        <v>VTE45747FAB250080647310100</v>
      </c>
      <c r="B3717" t="s">
        <v>131</v>
      </c>
      <c r="C3717" s="1">
        <v>45747</v>
      </c>
      <c r="D3717" t="s">
        <v>5841</v>
      </c>
      <c r="E3717" t="str">
        <f>"47310100"</f>
        <v>47310100</v>
      </c>
      <c r="F3717" t="s">
        <v>5551</v>
      </c>
      <c r="G3717" t="s">
        <v>5885</v>
      </c>
      <c r="H3717" t="s">
        <v>350</v>
      </c>
      <c r="I3717">
        <v>0</v>
      </c>
      <c r="J3717" t="s">
        <v>343</v>
      </c>
      <c r="L3717">
        <v>59000</v>
      </c>
      <c r="N3717">
        <v>59000</v>
      </c>
    </row>
    <row r="3718" spans="1:14" x14ac:dyDescent="0.35">
      <c r="A3718" t="str">
        <f t="shared" si="190"/>
        <v>VTE45747FAB250080670610010</v>
      </c>
      <c r="B3718" t="s">
        <v>131</v>
      </c>
      <c r="C3718" s="1">
        <v>45747</v>
      </c>
      <c r="D3718" t="s">
        <v>5841</v>
      </c>
      <c r="E3718" t="str">
        <f>"70610010"</f>
        <v>70610010</v>
      </c>
      <c r="F3718" t="s">
        <v>5551</v>
      </c>
      <c r="G3718" t="s">
        <v>5885</v>
      </c>
      <c r="H3718" t="s">
        <v>5972</v>
      </c>
      <c r="I3718">
        <v>0</v>
      </c>
      <c r="J3718" t="s">
        <v>343</v>
      </c>
      <c r="L3718">
        <v>297000</v>
      </c>
      <c r="N3718">
        <v>297000</v>
      </c>
    </row>
    <row r="3719" spans="1:14" x14ac:dyDescent="0.35">
      <c r="A3719" t="str">
        <f t="shared" si="190"/>
        <v>VTE45747FAB250080747310100</v>
      </c>
      <c r="B3719" t="s">
        <v>131</v>
      </c>
      <c r="C3719" s="1">
        <v>45747</v>
      </c>
      <c r="D3719" t="s">
        <v>5842</v>
      </c>
      <c r="E3719" t="str">
        <f>"47310100"</f>
        <v>47310100</v>
      </c>
      <c r="F3719" t="s">
        <v>5551</v>
      </c>
      <c r="G3719" t="s">
        <v>5885</v>
      </c>
      <c r="H3719" t="s">
        <v>350</v>
      </c>
      <c r="I3719">
        <v>0</v>
      </c>
      <c r="J3719" t="s">
        <v>343</v>
      </c>
      <c r="L3719">
        <v>59000</v>
      </c>
      <c r="N3719">
        <v>59000</v>
      </c>
    </row>
    <row r="3720" spans="1:14" x14ac:dyDescent="0.35">
      <c r="A3720" t="str">
        <f t="shared" si="190"/>
        <v>VTE45747FAB250080770610010</v>
      </c>
      <c r="B3720" t="s">
        <v>131</v>
      </c>
      <c r="C3720" s="1">
        <v>45747</v>
      </c>
      <c r="D3720" t="s">
        <v>5842</v>
      </c>
      <c r="E3720" t="str">
        <f>"70610010"</f>
        <v>70610010</v>
      </c>
      <c r="F3720" t="s">
        <v>5551</v>
      </c>
      <c r="G3720" t="s">
        <v>5885</v>
      </c>
      <c r="H3720" t="s">
        <v>5972</v>
      </c>
      <c r="I3720">
        <v>0</v>
      </c>
      <c r="J3720" t="s">
        <v>343</v>
      </c>
      <c r="L3720">
        <v>297000</v>
      </c>
      <c r="N3720">
        <v>297000</v>
      </c>
    </row>
    <row r="3721" spans="1:14" x14ac:dyDescent="0.35">
      <c r="A3721" t="str">
        <f t="shared" si="190"/>
        <v>VTE45747FAB250080847310100</v>
      </c>
      <c r="B3721" t="s">
        <v>131</v>
      </c>
      <c r="C3721" s="1">
        <v>45747</v>
      </c>
      <c r="D3721" t="s">
        <v>5843</v>
      </c>
      <c r="E3721" t="str">
        <f>"47310100"</f>
        <v>47310100</v>
      </c>
      <c r="F3721" t="s">
        <v>180</v>
      </c>
      <c r="G3721" t="s">
        <v>5885</v>
      </c>
      <c r="H3721" t="s">
        <v>350</v>
      </c>
      <c r="I3721">
        <v>0</v>
      </c>
      <c r="J3721" t="s">
        <v>343</v>
      </c>
      <c r="L3721">
        <v>59000</v>
      </c>
      <c r="N3721">
        <v>59000</v>
      </c>
    </row>
    <row r="3722" spans="1:14" x14ac:dyDescent="0.35">
      <c r="A3722" t="str">
        <f t="shared" si="190"/>
        <v>VTE45747FAB250080870610010</v>
      </c>
      <c r="B3722" t="s">
        <v>131</v>
      </c>
      <c r="C3722" s="1">
        <v>45747</v>
      </c>
      <c r="D3722" t="s">
        <v>5843</v>
      </c>
      <c r="E3722" t="str">
        <f>"70610010"</f>
        <v>70610010</v>
      </c>
      <c r="F3722" t="s">
        <v>180</v>
      </c>
      <c r="G3722" t="s">
        <v>5885</v>
      </c>
      <c r="H3722" t="s">
        <v>5972</v>
      </c>
      <c r="I3722">
        <v>0</v>
      </c>
      <c r="J3722" t="s">
        <v>343</v>
      </c>
      <c r="L3722">
        <v>297000</v>
      </c>
      <c r="N3722">
        <v>297000</v>
      </c>
    </row>
    <row r="3723" spans="1:14" x14ac:dyDescent="0.35">
      <c r="A3723" t="str">
        <f t="shared" si="190"/>
        <v>VTE45747FAB250080947310100</v>
      </c>
      <c r="B3723" t="s">
        <v>131</v>
      </c>
      <c r="C3723" s="1">
        <v>45747</v>
      </c>
      <c r="D3723" t="s">
        <v>5844</v>
      </c>
      <c r="E3723" t="str">
        <f>"47310100"</f>
        <v>47310100</v>
      </c>
      <c r="F3723" t="s">
        <v>180</v>
      </c>
      <c r="G3723" t="s">
        <v>5885</v>
      </c>
      <c r="H3723" t="s">
        <v>350</v>
      </c>
      <c r="I3723">
        <v>0</v>
      </c>
      <c r="J3723" t="s">
        <v>343</v>
      </c>
      <c r="L3723">
        <v>29500</v>
      </c>
      <c r="N3723">
        <v>29500</v>
      </c>
    </row>
    <row r="3724" spans="1:14" x14ac:dyDescent="0.35">
      <c r="A3724" t="str">
        <f t="shared" si="190"/>
        <v>VTE45747FAB250080970610010</v>
      </c>
      <c r="B3724" t="s">
        <v>131</v>
      </c>
      <c r="C3724" s="1">
        <v>45747</v>
      </c>
      <c r="D3724" t="s">
        <v>5844</v>
      </c>
      <c r="E3724" t="str">
        <f>"70610010"</f>
        <v>70610010</v>
      </c>
      <c r="F3724" t="s">
        <v>180</v>
      </c>
      <c r="G3724" t="s">
        <v>5885</v>
      </c>
      <c r="H3724" t="s">
        <v>5972</v>
      </c>
      <c r="I3724">
        <v>0</v>
      </c>
      <c r="J3724" t="s">
        <v>343</v>
      </c>
      <c r="L3724">
        <v>99000</v>
      </c>
      <c r="N3724">
        <v>99000</v>
      </c>
    </row>
    <row r="3725" spans="1:14" x14ac:dyDescent="0.35">
      <c r="A3725" t="str">
        <f t="shared" si="190"/>
        <v>VTE45747FAB250081047310100</v>
      </c>
      <c r="B3725" t="s">
        <v>131</v>
      </c>
      <c r="C3725" s="1">
        <v>45747</v>
      </c>
      <c r="D3725" t="s">
        <v>5845</v>
      </c>
      <c r="E3725" t="str">
        <f>"47310100"</f>
        <v>47310100</v>
      </c>
      <c r="F3725" t="s">
        <v>5522</v>
      </c>
      <c r="G3725" t="s">
        <v>5885</v>
      </c>
      <c r="H3725" t="s">
        <v>350</v>
      </c>
      <c r="I3725">
        <v>0</v>
      </c>
      <c r="J3725" t="s">
        <v>343</v>
      </c>
      <c r="L3725">
        <v>88500</v>
      </c>
      <c r="N3725">
        <v>88500</v>
      </c>
    </row>
    <row r="3726" spans="1:14" x14ac:dyDescent="0.35">
      <c r="A3726" t="str">
        <f t="shared" si="190"/>
        <v>VTE45747FAB250081070610010</v>
      </c>
      <c r="B3726" t="s">
        <v>131</v>
      </c>
      <c r="C3726" s="1">
        <v>45747</v>
      </c>
      <c r="D3726" t="s">
        <v>5845</v>
      </c>
      <c r="E3726" t="str">
        <f t="shared" ref="E3726:E3733" si="191">"70610010"</f>
        <v>70610010</v>
      </c>
      <c r="F3726" t="s">
        <v>5522</v>
      </c>
      <c r="G3726" t="s">
        <v>5885</v>
      </c>
      <c r="H3726" t="s">
        <v>5972</v>
      </c>
      <c r="I3726">
        <v>0</v>
      </c>
      <c r="J3726" t="s">
        <v>343</v>
      </c>
      <c r="L3726">
        <v>198000</v>
      </c>
      <c r="N3726">
        <v>198000</v>
      </c>
    </row>
    <row r="3727" spans="1:14" x14ac:dyDescent="0.35">
      <c r="A3727" t="str">
        <f t="shared" si="190"/>
        <v>VTE45747FAB250081170610010</v>
      </c>
      <c r="B3727" t="s">
        <v>131</v>
      </c>
      <c r="C3727" s="1">
        <v>45747</v>
      </c>
      <c r="D3727" t="s">
        <v>5846</v>
      </c>
      <c r="E3727" t="str">
        <f t="shared" si="191"/>
        <v>70610010</v>
      </c>
      <c r="F3727" t="s">
        <v>5508</v>
      </c>
      <c r="G3727" t="s">
        <v>5885</v>
      </c>
      <c r="H3727" t="s">
        <v>5975</v>
      </c>
      <c r="I3727">
        <v>0</v>
      </c>
      <c r="J3727" t="s">
        <v>343</v>
      </c>
      <c r="L3727">
        <v>556000</v>
      </c>
      <c r="N3727">
        <v>556000</v>
      </c>
    </row>
    <row r="3728" spans="1:14" x14ac:dyDescent="0.35">
      <c r="A3728" t="str">
        <f t="shared" si="190"/>
        <v>VTE45747FAB250081270610010</v>
      </c>
      <c r="B3728" t="s">
        <v>131</v>
      </c>
      <c r="C3728" s="1">
        <v>45747</v>
      </c>
      <c r="D3728" t="s">
        <v>5847</v>
      </c>
      <c r="E3728" t="str">
        <f t="shared" si="191"/>
        <v>70610010</v>
      </c>
      <c r="F3728" t="s">
        <v>5508</v>
      </c>
      <c r="G3728" t="s">
        <v>5885</v>
      </c>
      <c r="H3728" t="s">
        <v>5975</v>
      </c>
      <c r="I3728">
        <v>0</v>
      </c>
      <c r="J3728" t="s">
        <v>343</v>
      </c>
      <c r="L3728">
        <v>556000</v>
      </c>
      <c r="N3728">
        <v>556000</v>
      </c>
    </row>
    <row r="3729" spans="1:14" x14ac:dyDescent="0.35">
      <c r="A3729" t="str">
        <f t="shared" si="190"/>
        <v>VTE45747FAB250081370610010</v>
      </c>
      <c r="B3729" t="s">
        <v>131</v>
      </c>
      <c r="C3729" s="1">
        <v>45747</v>
      </c>
      <c r="D3729" t="s">
        <v>5848</v>
      </c>
      <c r="E3729" t="str">
        <f t="shared" si="191"/>
        <v>70610010</v>
      </c>
      <c r="F3729" t="s">
        <v>5508</v>
      </c>
      <c r="G3729" t="s">
        <v>5885</v>
      </c>
      <c r="H3729" t="s">
        <v>5975</v>
      </c>
      <c r="I3729">
        <v>0</v>
      </c>
      <c r="J3729" t="s">
        <v>343</v>
      </c>
      <c r="L3729">
        <v>3726000</v>
      </c>
      <c r="N3729">
        <v>3726000</v>
      </c>
    </row>
    <row r="3730" spans="1:14" x14ac:dyDescent="0.35">
      <c r="A3730" t="str">
        <f t="shared" si="190"/>
        <v>VTE45747FAB250081470610010</v>
      </c>
      <c r="B3730" t="s">
        <v>131</v>
      </c>
      <c r="C3730" s="1">
        <v>45747</v>
      </c>
      <c r="D3730" t="s">
        <v>5849</v>
      </c>
      <c r="E3730" t="str">
        <f t="shared" si="191"/>
        <v>70610010</v>
      </c>
      <c r="F3730" t="s">
        <v>139</v>
      </c>
      <c r="G3730" t="s">
        <v>5885</v>
      </c>
      <c r="H3730" t="s">
        <v>5975</v>
      </c>
      <c r="I3730">
        <v>0</v>
      </c>
      <c r="J3730" t="s">
        <v>343</v>
      </c>
      <c r="L3730">
        <v>1115600</v>
      </c>
      <c r="N3730">
        <v>1115600</v>
      </c>
    </row>
    <row r="3731" spans="1:14" x14ac:dyDescent="0.35">
      <c r="A3731" t="str">
        <f t="shared" si="190"/>
        <v>VTE45747FAB250081570610010</v>
      </c>
      <c r="B3731" t="s">
        <v>131</v>
      </c>
      <c r="C3731" s="1">
        <v>45747</v>
      </c>
      <c r="D3731" t="s">
        <v>5850</v>
      </c>
      <c r="E3731" t="str">
        <f t="shared" si="191"/>
        <v>70610010</v>
      </c>
      <c r="F3731" t="s">
        <v>139</v>
      </c>
      <c r="G3731" t="s">
        <v>5885</v>
      </c>
      <c r="H3731" t="s">
        <v>5975</v>
      </c>
      <c r="I3731">
        <v>0</v>
      </c>
      <c r="J3731" t="s">
        <v>343</v>
      </c>
      <c r="L3731">
        <v>683600</v>
      </c>
      <c r="N3731">
        <v>683600</v>
      </c>
    </row>
    <row r="3732" spans="1:14" x14ac:dyDescent="0.35">
      <c r="A3732" t="str">
        <f t="shared" si="190"/>
        <v>VTE45747FAB250081670610010</v>
      </c>
      <c r="B3732" t="s">
        <v>131</v>
      </c>
      <c r="C3732" s="1">
        <v>45747</v>
      </c>
      <c r="D3732" t="s">
        <v>5851</v>
      </c>
      <c r="E3732" t="str">
        <f t="shared" si="191"/>
        <v>70610010</v>
      </c>
      <c r="F3732" t="s">
        <v>139</v>
      </c>
      <c r="G3732" t="s">
        <v>5885</v>
      </c>
      <c r="H3732" t="s">
        <v>5975</v>
      </c>
      <c r="I3732">
        <v>0</v>
      </c>
      <c r="J3732" t="s">
        <v>343</v>
      </c>
      <c r="L3732">
        <v>432000</v>
      </c>
      <c r="N3732">
        <v>432000</v>
      </c>
    </row>
    <row r="3733" spans="1:14" x14ac:dyDescent="0.35">
      <c r="A3733" t="str">
        <f t="shared" si="190"/>
        <v>VTE45747FAB250081970610010</v>
      </c>
      <c r="B3733" t="s">
        <v>131</v>
      </c>
      <c r="C3733" s="1">
        <v>45747</v>
      </c>
      <c r="D3733" t="s">
        <v>5852</v>
      </c>
      <c r="E3733" t="str">
        <f t="shared" si="191"/>
        <v>70610010</v>
      </c>
      <c r="F3733" t="s">
        <v>139</v>
      </c>
      <c r="G3733" t="s">
        <v>5885</v>
      </c>
      <c r="H3733" t="s">
        <v>5975</v>
      </c>
      <c r="I3733">
        <v>0</v>
      </c>
      <c r="J3733" t="s">
        <v>343</v>
      </c>
      <c r="L3733">
        <v>1115600</v>
      </c>
      <c r="N3733">
        <v>1115600</v>
      </c>
    </row>
    <row r="3734" spans="1:14" x14ac:dyDescent="0.35">
      <c r="A3734" t="str">
        <f t="shared" si="190"/>
        <v>VTE45747FAB250082270610020</v>
      </c>
      <c r="B3734" t="s">
        <v>131</v>
      </c>
      <c r="C3734" s="1">
        <v>45747</v>
      </c>
      <c r="D3734" t="s">
        <v>5853</v>
      </c>
      <c r="E3734" t="str">
        <f>"70610020"</f>
        <v>70610020</v>
      </c>
      <c r="F3734" t="s">
        <v>5792</v>
      </c>
      <c r="G3734" t="s">
        <v>5885</v>
      </c>
      <c r="H3734" t="s">
        <v>5978</v>
      </c>
      <c r="I3734">
        <v>0</v>
      </c>
      <c r="J3734" t="s">
        <v>343</v>
      </c>
      <c r="L3734">
        <v>2000000</v>
      </c>
      <c r="N3734">
        <v>2000000</v>
      </c>
    </row>
    <row r="3735" spans="1:14" x14ac:dyDescent="0.35">
      <c r="A3735" t="str">
        <f t="shared" si="190"/>
        <v>VTE45747FAB250082370610020</v>
      </c>
      <c r="B3735" t="s">
        <v>131</v>
      </c>
      <c r="C3735" s="1">
        <v>45747</v>
      </c>
      <c r="D3735" t="s">
        <v>5854</v>
      </c>
      <c r="E3735" t="str">
        <f>"70610020"</f>
        <v>70610020</v>
      </c>
      <c r="F3735" t="s">
        <v>5792</v>
      </c>
      <c r="G3735" t="s">
        <v>5885</v>
      </c>
      <c r="H3735" t="s">
        <v>5978</v>
      </c>
      <c r="I3735">
        <v>0</v>
      </c>
      <c r="J3735" t="s">
        <v>343</v>
      </c>
      <c r="L3735">
        <v>1000000</v>
      </c>
      <c r="N3735">
        <v>1000000</v>
      </c>
    </row>
    <row r="3736" spans="1:14" x14ac:dyDescent="0.35">
      <c r="A3736" t="str">
        <f t="shared" si="190"/>
        <v>VTE45747FAB250083570610030</v>
      </c>
      <c r="B3736" t="s">
        <v>131</v>
      </c>
      <c r="C3736" s="1">
        <v>45747</v>
      </c>
      <c r="D3736" t="s">
        <v>5855</v>
      </c>
      <c r="E3736" t="str">
        <f>"70610030"</f>
        <v>70610030</v>
      </c>
      <c r="F3736" t="s">
        <v>5856</v>
      </c>
      <c r="G3736" t="s">
        <v>5885</v>
      </c>
      <c r="H3736" t="s">
        <v>5976</v>
      </c>
      <c r="I3736">
        <v>0</v>
      </c>
      <c r="J3736" t="s">
        <v>343</v>
      </c>
      <c r="L3736">
        <v>2450000</v>
      </c>
      <c r="N3736">
        <v>2450000</v>
      </c>
    </row>
    <row r="3737" spans="1:14" x14ac:dyDescent="0.35">
      <c r="A3737" t="str">
        <f t="shared" si="190"/>
        <v>VTE45747FBK250024770610012</v>
      </c>
      <c r="B3737" t="s">
        <v>131</v>
      </c>
      <c r="C3737" s="1">
        <v>45747</v>
      </c>
      <c r="D3737" t="s">
        <v>5857</v>
      </c>
      <c r="E3737" t="str">
        <f>"70610012"</f>
        <v>70610012</v>
      </c>
      <c r="F3737" t="s">
        <v>5508</v>
      </c>
      <c r="G3737" t="s">
        <v>5885</v>
      </c>
      <c r="H3737" t="s">
        <v>5977</v>
      </c>
      <c r="I3737">
        <v>0</v>
      </c>
      <c r="J3737" t="s">
        <v>343</v>
      </c>
      <c r="L3737">
        <v>9832510</v>
      </c>
      <c r="N3737">
        <v>9832510</v>
      </c>
    </row>
    <row r="3738" spans="1:14" x14ac:dyDescent="0.35">
      <c r="A3738" t="str">
        <f t="shared" si="190"/>
        <v>VTE45747FBK250024870610012</v>
      </c>
      <c r="B3738" t="s">
        <v>131</v>
      </c>
      <c r="C3738" s="1">
        <v>45747</v>
      </c>
      <c r="D3738" t="s">
        <v>5858</v>
      </c>
      <c r="E3738" t="str">
        <f>"70610012"</f>
        <v>70610012</v>
      </c>
      <c r="F3738" t="s">
        <v>5508</v>
      </c>
      <c r="G3738" t="s">
        <v>5885</v>
      </c>
      <c r="H3738" t="s">
        <v>5977</v>
      </c>
      <c r="I3738">
        <v>0</v>
      </c>
      <c r="J3738" t="s">
        <v>343</v>
      </c>
      <c r="L3738">
        <v>9832510</v>
      </c>
      <c r="N3738">
        <v>9832510</v>
      </c>
    </row>
    <row r="3739" spans="1:14" x14ac:dyDescent="0.35">
      <c r="A3739" t="str">
        <f t="shared" si="190"/>
        <v>VTE45747FBK250024970610012</v>
      </c>
      <c r="B3739" t="s">
        <v>131</v>
      </c>
      <c r="C3739" s="1">
        <v>45747</v>
      </c>
      <c r="D3739" t="s">
        <v>5859</v>
      </c>
      <c r="E3739" t="str">
        <f>"70610012"</f>
        <v>70610012</v>
      </c>
      <c r="F3739" t="s">
        <v>5508</v>
      </c>
      <c r="G3739" t="s">
        <v>5885</v>
      </c>
      <c r="H3739" t="s">
        <v>5977</v>
      </c>
      <c r="I3739">
        <v>0</v>
      </c>
      <c r="J3739" t="s">
        <v>343</v>
      </c>
      <c r="L3739">
        <v>9832510</v>
      </c>
      <c r="N3739">
        <v>9832510</v>
      </c>
    </row>
    <row r="3740" spans="1:14" x14ac:dyDescent="0.35">
      <c r="A3740" t="str">
        <f t="shared" si="190"/>
        <v>VTE45747FBK250025070610012</v>
      </c>
      <c r="B3740" t="s">
        <v>131</v>
      </c>
      <c r="C3740" s="1">
        <v>45747</v>
      </c>
      <c r="D3740" t="s">
        <v>5860</v>
      </c>
      <c r="E3740" t="str">
        <f>"70610012"</f>
        <v>70610012</v>
      </c>
      <c r="F3740" t="s">
        <v>5508</v>
      </c>
      <c r="G3740" t="s">
        <v>5885</v>
      </c>
      <c r="H3740" t="s">
        <v>5977</v>
      </c>
      <c r="I3740">
        <v>0</v>
      </c>
      <c r="J3740" t="s">
        <v>343</v>
      </c>
      <c r="L3740">
        <v>1206411</v>
      </c>
      <c r="N3740">
        <v>1206411</v>
      </c>
    </row>
    <row r="3741" spans="1:14" x14ac:dyDescent="0.35">
      <c r="A3741" t="str">
        <f t="shared" si="190"/>
        <v>VTE45747FBK250025170610010</v>
      </c>
      <c r="B3741" t="s">
        <v>131</v>
      </c>
      <c r="C3741" s="1">
        <v>45747</v>
      </c>
      <c r="D3741" t="s">
        <v>5861</v>
      </c>
      <c r="E3741" t="str">
        <f>"70610010"</f>
        <v>70610010</v>
      </c>
      <c r="F3741" t="s">
        <v>5508</v>
      </c>
      <c r="G3741" t="s">
        <v>5885</v>
      </c>
      <c r="H3741" t="s">
        <v>5975</v>
      </c>
      <c r="I3741">
        <v>0</v>
      </c>
      <c r="J3741" t="s">
        <v>343</v>
      </c>
      <c r="L3741">
        <v>7347902</v>
      </c>
      <c r="N3741">
        <v>7347902</v>
      </c>
    </row>
    <row r="3742" spans="1:14" x14ac:dyDescent="0.35">
      <c r="A3742" t="str">
        <f t="shared" si="190"/>
        <v>VTE45747FBK250025270610010</v>
      </c>
      <c r="B3742" t="s">
        <v>131</v>
      </c>
      <c r="C3742" s="1">
        <v>45747</v>
      </c>
      <c r="D3742" t="s">
        <v>5862</v>
      </c>
      <c r="E3742" t="str">
        <f>"70610010"</f>
        <v>70610010</v>
      </c>
      <c r="F3742" t="s">
        <v>5508</v>
      </c>
      <c r="G3742" t="s">
        <v>5885</v>
      </c>
      <c r="H3742" t="s">
        <v>5975</v>
      </c>
      <c r="I3742">
        <v>0</v>
      </c>
      <c r="J3742" t="s">
        <v>343</v>
      </c>
      <c r="L3742">
        <v>1966502</v>
      </c>
      <c r="N3742">
        <v>1966502</v>
      </c>
    </row>
    <row r="3743" spans="1:14" x14ac:dyDescent="0.35">
      <c r="A3743" t="str">
        <f t="shared" si="190"/>
        <v>VTE45747FBK250025270610012</v>
      </c>
      <c r="B3743" t="s">
        <v>131</v>
      </c>
      <c r="C3743" s="1">
        <v>45747</v>
      </c>
      <c r="D3743" t="s">
        <v>5862</v>
      </c>
      <c r="E3743" t="str">
        <f>"70610012"</f>
        <v>70610012</v>
      </c>
      <c r="F3743" t="s">
        <v>5508</v>
      </c>
      <c r="G3743" t="s">
        <v>5885</v>
      </c>
      <c r="H3743" t="s">
        <v>5977</v>
      </c>
      <c r="I3743">
        <v>0</v>
      </c>
      <c r="J3743" t="s">
        <v>343</v>
      </c>
      <c r="L3743">
        <v>7866008</v>
      </c>
      <c r="N3743">
        <v>7866008</v>
      </c>
    </row>
    <row r="3744" spans="1:14" x14ac:dyDescent="0.35">
      <c r="A3744" t="str">
        <f t="shared" si="190"/>
        <v>VTE45747FBK250025370610010</v>
      </c>
      <c r="B3744" t="s">
        <v>131</v>
      </c>
      <c r="C3744" s="1">
        <v>45747</v>
      </c>
      <c r="D3744" t="s">
        <v>5863</v>
      </c>
      <c r="E3744" t="str">
        <f t="shared" ref="E3744:E3753" si="192">"70610010"</f>
        <v>70610010</v>
      </c>
      <c r="F3744" t="s">
        <v>5508</v>
      </c>
      <c r="G3744" t="s">
        <v>5885</v>
      </c>
      <c r="H3744" t="s">
        <v>5977</v>
      </c>
      <c r="I3744">
        <v>0</v>
      </c>
      <c r="J3744" t="s">
        <v>343</v>
      </c>
      <c r="L3744">
        <v>931500</v>
      </c>
      <c r="N3744">
        <v>931500</v>
      </c>
    </row>
    <row r="3745" spans="1:14" x14ac:dyDescent="0.35">
      <c r="A3745" t="str">
        <f t="shared" si="190"/>
        <v>VTE45747FBK250025470610010</v>
      </c>
      <c r="B3745" t="s">
        <v>131</v>
      </c>
      <c r="C3745" s="1">
        <v>45747</v>
      </c>
      <c r="D3745" t="s">
        <v>5864</v>
      </c>
      <c r="E3745" t="str">
        <f t="shared" si="192"/>
        <v>70610010</v>
      </c>
      <c r="F3745" t="s">
        <v>5508</v>
      </c>
      <c r="G3745" t="s">
        <v>5885</v>
      </c>
      <c r="H3745" t="s">
        <v>5977</v>
      </c>
      <c r="I3745">
        <v>0</v>
      </c>
      <c r="J3745" t="s">
        <v>343</v>
      </c>
      <c r="L3745">
        <v>931500</v>
      </c>
      <c r="N3745">
        <v>931500</v>
      </c>
    </row>
    <row r="3746" spans="1:14" x14ac:dyDescent="0.35">
      <c r="A3746" t="str">
        <f t="shared" si="190"/>
        <v>VTE45747FBK250025570610010</v>
      </c>
      <c r="B3746" t="s">
        <v>131</v>
      </c>
      <c r="C3746" s="1">
        <v>45747</v>
      </c>
      <c r="D3746" t="s">
        <v>5865</v>
      </c>
      <c r="E3746" t="str">
        <f t="shared" si="192"/>
        <v>70610010</v>
      </c>
      <c r="F3746" t="s">
        <v>5506</v>
      </c>
      <c r="G3746" t="s">
        <v>5885</v>
      </c>
      <c r="H3746" t="s">
        <v>5977</v>
      </c>
      <c r="I3746">
        <v>0</v>
      </c>
      <c r="J3746" t="s">
        <v>343</v>
      </c>
      <c r="L3746">
        <v>5584462</v>
      </c>
      <c r="N3746">
        <v>5584462</v>
      </c>
    </row>
    <row r="3747" spans="1:14" x14ac:dyDescent="0.35">
      <c r="A3747" t="str">
        <f t="shared" si="190"/>
        <v>VTE45747FBK250025670610010</v>
      </c>
      <c r="B3747" t="s">
        <v>131</v>
      </c>
      <c r="C3747" s="1">
        <v>45747</v>
      </c>
      <c r="D3747" t="s">
        <v>5866</v>
      </c>
      <c r="E3747" t="str">
        <f t="shared" si="192"/>
        <v>70610010</v>
      </c>
      <c r="F3747" t="s">
        <v>5506</v>
      </c>
      <c r="G3747" t="s">
        <v>5885</v>
      </c>
      <c r="H3747" t="s">
        <v>5977</v>
      </c>
      <c r="I3747">
        <v>0</v>
      </c>
      <c r="J3747" t="s">
        <v>343</v>
      </c>
      <c r="L3747">
        <v>5403049</v>
      </c>
      <c r="N3747">
        <v>5403049</v>
      </c>
    </row>
    <row r="3748" spans="1:14" x14ac:dyDescent="0.35">
      <c r="A3748" t="str">
        <f t="shared" si="190"/>
        <v>VTE45747FBK250025770610010</v>
      </c>
      <c r="B3748" t="s">
        <v>131</v>
      </c>
      <c r="C3748" s="1">
        <v>45747</v>
      </c>
      <c r="D3748" t="s">
        <v>5867</v>
      </c>
      <c r="E3748" t="str">
        <f t="shared" si="192"/>
        <v>70610010</v>
      </c>
      <c r="F3748" t="s">
        <v>5506</v>
      </c>
      <c r="G3748" t="s">
        <v>5885</v>
      </c>
      <c r="H3748" t="s">
        <v>5977</v>
      </c>
      <c r="I3748">
        <v>0</v>
      </c>
      <c r="J3748" t="s">
        <v>343</v>
      </c>
      <c r="L3748">
        <v>12774684</v>
      </c>
      <c r="N3748">
        <v>12774684</v>
      </c>
    </row>
    <row r="3749" spans="1:14" x14ac:dyDescent="0.35">
      <c r="A3749" t="str">
        <f t="shared" si="190"/>
        <v>VTE45747FBK250025870610010</v>
      </c>
      <c r="B3749" t="s">
        <v>131</v>
      </c>
      <c r="C3749" s="1">
        <v>45747</v>
      </c>
      <c r="D3749" t="s">
        <v>5868</v>
      </c>
      <c r="E3749" t="str">
        <f t="shared" si="192"/>
        <v>70610010</v>
      </c>
      <c r="F3749" t="s">
        <v>5506</v>
      </c>
      <c r="G3749" t="s">
        <v>5885</v>
      </c>
      <c r="H3749" t="s">
        <v>5977</v>
      </c>
      <c r="I3749">
        <v>0</v>
      </c>
      <c r="J3749" t="s">
        <v>343</v>
      </c>
      <c r="L3749">
        <v>12334984</v>
      </c>
      <c r="N3749">
        <v>12334984</v>
      </c>
    </row>
    <row r="3750" spans="1:14" x14ac:dyDescent="0.35">
      <c r="A3750" t="str">
        <f t="shared" si="190"/>
        <v>VTE45747FBK250025970610010</v>
      </c>
      <c r="B3750" t="s">
        <v>131</v>
      </c>
      <c r="C3750" s="1">
        <v>45747</v>
      </c>
      <c r="D3750" t="s">
        <v>5869</v>
      </c>
      <c r="E3750" t="str">
        <f t="shared" si="192"/>
        <v>70610010</v>
      </c>
      <c r="F3750" t="s">
        <v>5508</v>
      </c>
      <c r="G3750" t="s">
        <v>5885</v>
      </c>
      <c r="H3750" t="s">
        <v>5977</v>
      </c>
      <c r="I3750">
        <v>0</v>
      </c>
      <c r="J3750" t="s">
        <v>343</v>
      </c>
      <c r="L3750">
        <v>931500</v>
      </c>
      <c r="N3750">
        <v>931500</v>
      </c>
    </row>
    <row r="3751" spans="1:14" x14ac:dyDescent="0.35">
      <c r="A3751" t="str">
        <f t="shared" si="190"/>
        <v>VTE45747FFE250000770610010</v>
      </c>
      <c r="B3751" t="s">
        <v>131</v>
      </c>
      <c r="C3751" s="1">
        <v>45747</v>
      </c>
      <c r="D3751" t="s">
        <v>5870</v>
      </c>
      <c r="E3751" t="str">
        <f t="shared" si="192"/>
        <v>70610010</v>
      </c>
      <c r="F3751" t="s">
        <v>5585</v>
      </c>
      <c r="G3751" t="s">
        <v>5885</v>
      </c>
      <c r="H3751" t="s">
        <v>5971</v>
      </c>
      <c r="I3751">
        <v>0</v>
      </c>
      <c r="J3751" t="s">
        <v>343</v>
      </c>
      <c r="L3751">
        <v>146881292</v>
      </c>
      <c r="N3751">
        <v>146881292</v>
      </c>
    </row>
    <row r="3752" spans="1:14" x14ac:dyDescent="0.35">
      <c r="A3752" t="str">
        <f t="shared" si="190"/>
        <v>VTE45747FFE250000870610010</v>
      </c>
      <c r="B3752" t="s">
        <v>131</v>
      </c>
      <c r="C3752" s="1">
        <v>45747</v>
      </c>
      <c r="D3752" t="s">
        <v>5871</v>
      </c>
      <c r="E3752" t="str">
        <f t="shared" si="192"/>
        <v>70610010</v>
      </c>
      <c r="F3752" t="s">
        <v>5585</v>
      </c>
      <c r="G3752" t="s">
        <v>5885</v>
      </c>
      <c r="H3752" t="s">
        <v>5971</v>
      </c>
      <c r="I3752">
        <v>0</v>
      </c>
      <c r="J3752" t="s">
        <v>343</v>
      </c>
      <c r="L3752">
        <v>6370000</v>
      </c>
      <c r="N3752">
        <v>6370000</v>
      </c>
    </row>
    <row r="3753" spans="1:14" x14ac:dyDescent="0.35">
      <c r="A3753" t="str">
        <f t="shared" si="190"/>
        <v>VTE45747FYK250000970610010</v>
      </c>
      <c r="B3753" t="s">
        <v>131</v>
      </c>
      <c r="C3753" s="1">
        <v>45747</v>
      </c>
      <c r="D3753" t="s">
        <v>5872</v>
      </c>
      <c r="E3753" t="str">
        <f t="shared" si="192"/>
        <v>70610010</v>
      </c>
      <c r="F3753" t="s">
        <v>5686</v>
      </c>
      <c r="G3753" t="s">
        <v>5885</v>
      </c>
      <c r="H3753" t="s">
        <v>6018</v>
      </c>
      <c r="I3753">
        <v>0</v>
      </c>
      <c r="J3753" t="s">
        <v>343</v>
      </c>
      <c r="L3753">
        <v>57647200</v>
      </c>
      <c r="N3753">
        <v>57647200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964BE-F5C8-4F35-B6D3-C3E7C46E36EF}">
  <dimension ref="A1:L1175"/>
  <sheetViews>
    <sheetView workbookViewId="0">
      <selection sqref="A1:A1048576"/>
    </sheetView>
  </sheetViews>
  <sheetFormatPr baseColWidth="10"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6798</v>
      </c>
    </row>
    <row r="2" spans="1:12" x14ac:dyDescent="0.35">
      <c r="A2" t="s">
        <v>11</v>
      </c>
      <c r="B2" s="1">
        <v>45717</v>
      </c>
      <c r="C2" t="s">
        <v>7551</v>
      </c>
      <c r="E2" t="s">
        <v>12</v>
      </c>
      <c r="F2" t="s">
        <v>7338</v>
      </c>
      <c r="H2" t="s">
        <v>13</v>
      </c>
      <c r="K2">
        <v>10095</v>
      </c>
      <c r="L2" t="s">
        <v>6803</v>
      </c>
    </row>
    <row r="3" spans="1:12" x14ac:dyDescent="0.35">
      <c r="A3" t="s">
        <v>11</v>
      </c>
      <c r="B3" s="1">
        <v>45717</v>
      </c>
      <c r="C3" t="s">
        <v>7551</v>
      </c>
      <c r="E3" t="s">
        <v>12</v>
      </c>
      <c r="F3" t="s">
        <v>7410</v>
      </c>
      <c r="H3" t="s">
        <v>13</v>
      </c>
      <c r="J3">
        <v>10095</v>
      </c>
      <c r="L3" t="s">
        <v>342</v>
      </c>
    </row>
    <row r="4" spans="1:12" x14ac:dyDescent="0.35">
      <c r="A4" t="s">
        <v>11</v>
      </c>
      <c r="B4" s="1">
        <v>45717</v>
      </c>
      <c r="C4" t="s">
        <v>7559</v>
      </c>
      <c r="E4" t="s">
        <v>14</v>
      </c>
      <c r="F4" t="s">
        <v>7338</v>
      </c>
      <c r="H4" t="s">
        <v>15</v>
      </c>
      <c r="K4">
        <v>269552</v>
      </c>
      <c r="L4" t="s">
        <v>6803</v>
      </c>
    </row>
    <row r="5" spans="1:12" x14ac:dyDescent="0.35">
      <c r="A5" t="s">
        <v>11</v>
      </c>
      <c r="B5" s="1">
        <v>45717</v>
      </c>
      <c r="C5" t="s">
        <v>7559</v>
      </c>
      <c r="E5" t="s">
        <v>14</v>
      </c>
      <c r="F5" t="s">
        <v>7382</v>
      </c>
      <c r="H5" t="s">
        <v>15</v>
      </c>
      <c r="J5">
        <v>269552</v>
      </c>
      <c r="L5" t="s">
        <v>342</v>
      </c>
    </row>
    <row r="6" spans="1:12" x14ac:dyDescent="0.35">
      <c r="A6" t="s">
        <v>11</v>
      </c>
      <c r="B6" s="1">
        <v>45717</v>
      </c>
      <c r="C6" t="s">
        <v>7561</v>
      </c>
      <c r="E6" t="s">
        <v>16</v>
      </c>
      <c r="F6" t="s">
        <v>7318</v>
      </c>
      <c r="H6" t="s">
        <v>17</v>
      </c>
      <c r="K6">
        <v>7800000</v>
      </c>
      <c r="L6" t="s">
        <v>6803</v>
      </c>
    </row>
    <row r="7" spans="1:12" x14ac:dyDescent="0.35">
      <c r="A7" t="s">
        <v>11</v>
      </c>
      <c r="B7" s="1">
        <v>45717</v>
      </c>
      <c r="C7" t="s">
        <v>7561</v>
      </c>
      <c r="E7" t="s">
        <v>16</v>
      </c>
      <c r="F7" t="s">
        <v>7789</v>
      </c>
      <c r="H7" t="s">
        <v>17</v>
      </c>
      <c r="J7">
        <v>7800000</v>
      </c>
      <c r="L7" t="s">
        <v>344</v>
      </c>
    </row>
    <row r="8" spans="1:12" x14ac:dyDescent="0.35">
      <c r="A8" t="s">
        <v>11</v>
      </c>
      <c r="B8" s="1">
        <v>45717</v>
      </c>
      <c r="C8" t="s">
        <v>7564</v>
      </c>
      <c r="E8" t="s">
        <v>18</v>
      </c>
      <c r="F8" t="s">
        <v>7338</v>
      </c>
      <c r="H8" t="s">
        <v>19</v>
      </c>
      <c r="K8">
        <v>5033155</v>
      </c>
      <c r="L8" t="s">
        <v>6803</v>
      </c>
    </row>
    <row r="9" spans="1:12" x14ac:dyDescent="0.35">
      <c r="A9" t="s">
        <v>11</v>
      </c>
      <c r="B9" s="1">
        <v>45717</v>
      </c>
      <c r="C9" t="s">
        <v>7564</v>
      </c>
      <c r="E9" t="s">
        <v>18</v>
      </c>
      <c r="F9" t="s">
        <v>9912</v>
      </c>
      <c r="H9" t="s">
        <v>19</v>
      </c>
      <c r="J9">
        <v>5033155</v>
      </c>
      <c r="L9" t="s">
        <v>345</v>
      </c>
    </row>
    <row r="10" spans="1:12" x14ac:dyDescent="0.35">
      <c r="A10" t="s">
        <v>11</v>
      </c>
      <c r="B10" s="1">
        <v>45717</v>
      </c>
      <c r="C10" t="s">
        <v>7566</v>
      </c>
      <c r="E10" t="s">
        <v>20</v>
      </c>
      <c r="F10" t="s">
        <v>9913</v>
      </c>
      <c r="H10" t="s">
        <v>21</v>
      </c>
      <c r="K10">
        <v>1333333</v>
      </c>
      <c r="L10" t="s">
        <v>6803</v>
      </c>
    </row>
    <row r="11" spans="1:12" x14ac:dyDescent="0.35">
      <c r="A11" t="s">
        <v>11</v>
      </c>
      <c r="B11" s="1">
        <v>45717</v>
      </c>
      <c r="C11" t="s">
        <v>7566</v>
      </c>
      <c r="E11" t="s">
        <v>20</v>
      </c>
      <c r="F11" t="s">
        <v>9914</v>
      </c>
      <c r="H11" t="s">
        <v>21</v>
      </c>
      <c r="J11">
        <v>1333333</v>
      </c>
      <c r="L11" t="s">
        <v>345</v>
      </c>
    </row>
    <row r="12" spans="1:12" x14ac:dyDescent="0.35">
      <c r="A12" t="s">
        <v>11</v>
      </c>
      <c r="B12" s="1">
        <v>45717</v>
      </c>
      <c r="C12" t="s">
        <v>7569</v>
      </c>
      <c r="E12" t="s">
        <v>22</v>
      </c>
      <c r="F12" t="s">
        <v>7318</v>
      </c>
      <c r="H12" t="s">
        <v>23</v>
      </c>
      <c r="K12">
        <v>27168750</v>
      </c>
      <c r="L12" t="s">
        <v>6803</v>
      </c>
    </row>
    <row r="13" spans="1:12" x14ac:dyDescent="0.35">
      <c r="A13" t="s">
        <v>11</v>
      </c>
      <c r="B13" s="1">
        <v>45717</v>
      </c>
      <c r="C13" t="s">
        <v>7569</v>
      </c>
      <c r="E13" t="s">
        <v>22</v>
      </c>
      <c r="F13" t="s">
        <v>7320</v>
      </c>
      <c r="H13" t="s">
        <v>23</v>
      </c>
      <c r="J13">
        <v>27168750</v>
      </c>
      <c r="L13" t="s">
        <v>346</v>
      </c>
    </row>
    <row r="14" spans="1:12" x14ac:dyDescent="0.35">
      <c r="A14" t="s">
        <v>11</v>
      </c>
      <c r="B14" s="1">
        <v>45718</v>
      </c>
      <c r="C14" t="s">
        <v>7570</v>
      </c>
      <c r="E14" t="s">
        <v>24</v>
      </c>
      <c r="F14" t="s">
        <v>7318</v>
      </c>
      <c r="H14" t="s">
        <v>25</v>
      </c>
      <c r="K14">
        <v>207546</v>
      </c>
      <c r="L14" t="s">
        <v>6803</v>
      </c>
    </row>
    <row r="15" spans="1:12" x14ac:dyDescent="0.35">
      <c r="A15" t="s">
        <v>11</v>
      </c>
      <c r="B15" s="1">
        <v>45718</v>
      </c>
      <c r="C15" t="s">
        <v>7570</v>
      </c>
      <c r="E15" t="s">
        <v>24</v>
      </c>
      <c r="F15" t="s">
        <v>7355</v>
      </c>
      <c r="H15" t="s">
        <v>25</v>
      </c>
      <c r="J15">
        <v>207546</v>
      </c>
      <c r="L15" t="s">
        <v>347</v>
      </c>
    </row>
    <row r="16" spans="1:12" x14ac:dyDescent="0.35">
      <c r="A16" t="s">
        <v>26</v>
      </c>
      <c r="B16" s="1">
        <v>45719</v>
      </c>
      <c r="C16" t="s">
        <v>7483</v>
      </c>
      <c r="D16" t="s">
        <v>27</v>
      </c>
      <c r="E16" t="s">
        <v>9915</v>
      </c>
      <c r="F16" t="s">
        <v>6804</v>
      </c>
      <c r="G16" t="s">
        <v>28</v>
      </c>
      <c r="H16" t="s">
        <v>29</v>
      </c>
      <c r="I16" s="1">
        <v>45719</v>
      </c>
      <c r="K16">
        <v>885000</v>
      </c>
      <c r="L16" t="s">
        <v>6803</v>
      </c>
    </row>
    <row r="17" spans="1:12" x14ac:dyDescent="0.35">
      <c r="A17" t="s">
        <v>26</v>
      </c>
      <c r="B17" s="1">
        <v>45719</v>
      </c>
      <c r="C17" t="s">
        <v>7483</v>
      </c>
      <c r="D17" t="s">
        <v>27</v>
      </c>
      <c r="E17" t="s">
        <v>9915</v>
      </c>
      <c r="F17" t="s">
        <v>6806</v>
      </c>
      <c r="H17" t="s">
        <v>29</v>
      </c>
      <c r="J17">
        <v>135000</v>
      </c>
      <c r="L17" t="s">
        <v>6803</v>
      </c>
    </row>
    <row r="18" spans="1:12" x14ac:dyDescent="0.35">
      <c r="A18" t="s">
        <v>26</v>
      </c>
      <c r="B18" s="1">
        <v>45719</v>
      </c>
      <c r="C18" t="s">
        <v>7483</v>
      </c>
      <c r="D18" t="s">
        <v>27</v>
      </c>
      <c r="E18" t="s">
        <v>9915</v>
      </c>
      <c r="F18" t="s">
        <v>9916</v>
      </c>
      <c r="H18" t="s">
        <v>29</v>
      </c>
      <c r="J18">
        <v>750000</v>
      </c>
      <c r="L18" t="s">
        <v>348</v>
      </c>
    </row>
    <row r="19" spans="1:12" x14ac:dyDescent="0.35">
      <c r="A19" t="s">
        <v>26</v>
      </c>
      <c r="B19" s="1">
        <v>45721</v>
      </c>
      <c r="C19" t="s">
        <v>7485</v>
      </c>
      <c r="D19" t="s">
        <v>30</v>
      </c>
      <c r="E19" t="s">
        <v>9917</v>
      </c>
      <c r="F19" t="s">
        <v>6804</v>
      </c>
      <c r="G19" t="s">
        <v>9918</v>
      </c>
      <c r="H19" t="s">
        <v>31</v>
      </c>
      <c r="I19" s="1">
        <v>45721</v>
      </c>
      <c r="K19">
        <v>9204000</v>
      </c>
      <c r="L19" t="s">
        <v>6803</v>
      </c>
    </row>
    <row r="20" spans="1:12" x14ac:dyDescent="0.35">
      <c r="A20" t="s">
        <v>26</v>
      </c>
      <c r="B20" s="1">
        <v>45721</v>
      </c>
      <c r="C20" t="s">
        <v>7485</v>
      </c>
      <c r="D20" t="s">
        <v>30</v>
      </c>
      <c r="E20" t="s">
        <v>9917</v>
      </c>
      <c r="F20" t="s">
        <v>6819</v>
      </c>
      <c r="H20" t="s">
        <v>31</v>
      </c>
      <c r="J20">
        <v>1404000</v>
      </c>
      <c r="L20" t="s">
        <v>6803</v>
      </c>
    </row>
    <row r="21" spans="1:12" x14ac:dyDescent="0.35">
      <c r="A21" t="s">
        <v>26</v>
      </c>
      <c r="B21" s="1">
        <v>45721</v>
      </c>
      <c r="C21" t="s">
        <v>7485</v>
      </c>
      <c r="D21" t="s">
        <v>30</v>
      </c>
      <c r="E21" t="s">
        <v>9917</v>
      </c>
      <c r="F21" t="s">
        <v>7318</v>
      </c>
      <c r="H21" t="s">
        <v>31</v>
      </c>
      <c r="J21">
        <v>7800000</v>
      </c>
      <c r="L21" t="s">
        <v>6803</v>
      </c>
    </row>
    <row r="22" spans="1:12" x14ac:dyDescent="0.35">
      <c r="A22" t="s">
        <v>32</v>
      </c>
      <c r="B22" s="1">
        <v>45717</v>
      </c>
      <c r="C22" t="s">
        <v>7621</v>
      </c>
      <c r="F22" t="s">
        <v>7831</v>
      </c>
      <c r="G22" t="s">
        <v>9919</v>
      </c>
      <c r="H22" t="s">
        <v>33</v>
      </c>
      <c r="K22">
        <v>-161500</v>
      </c>
      <c r="L22" t="s">
        <v>6803</v>
      </c>
    </row>
    <row r="23" spans="1:12" x14ac:dyDescent="0.35">
      <c r="A23" t="s">
        <v>32</v>
      </c>
      <c r="B23" s="1">
        <v>45717</v>
      </c>
      <c r="C23" t="s">
        <v>7621</v>
      </c>
      <c r="F23" t="s">
        <v>9920</v>
      </c>
      <c r="H23" t="s">
        <v>33</v>
      </c>
      <c r="J23">
        <v>-161500</v>
      </c>
      <c r="L23" t="s">
        <v>6803</v>
      </c>
    </row>
    <row r="24" spans="1:12" x14ac:dyDescent="0.35">
      <c r="A24" t="s">
        <v>32</v>
      </c>
      <c r="B24" s="1">
        <v>45720</v>
      </c>
      <c r="C24" t="s">
        <v>7483</v>
      </c>
      <c r="F24" t="s">
        <v>7831</v>
      </c>
      <c r="G24" t="s">
        <v>7521</v>
      </c>
      <c r="H24" t="s">
        <v>34</v>
      </c>
      <c r="K24">
        <v>5065740</v>
      </c>
      <c r="L24" t="s">
        <v>6803</v>
      </c>
    </row>
    <row r="25" spans="1:12" x14ac:dyDescent="0.35">
      <c r="A25" t="s">
        <v>32</v>
      </c>
      <c r="B25" s="1">
        <v>45720</v>
      </c>
      <c r="C25" t="s">
        <v>7483</v>
      </c>
      <c r="F25" t="s">
        <v>9920</v>
      </c>
      <c r="H25" t="s">
        <v>34</v>
      </c>
      <c r="J25">
        <v>5065740</v>
      </c>
      <c r="L25" t="s">
        <v>6803</v>
      </c>
    </row>
    <row r="26" spans="1:12" x14ac:dyDescent="0.35">
      <c r="A26" t="s">
        <v>32</v>
      </c>
      <c r="B26" s="1">
        <v>45721</v>
      </c>
      <c r="C26" t="s">
        <v>7485</v>
      </c>
      <c r="F26" t="s">
        <v>8098</v>
      </c>
      <c r="H26" t="s">
        <v>35</v>
      </c>
      <c r="J26">
        <v>9001813</v>
      </c>
      <c r="L26" t="s">
        <v>6803</v>
      </c>
    </row>
    <row r="27" spans="1:12" x14ac:dyDescent="0.35">
      <c r="A27" t="s">
        <v>32</v>
      </c>
      <c r="B27" s="1">
        <v>45721</v>
      </c>
      <c r="C27" t="s">
        <v>7485</v>
      </c>
      <c r="F27" t="s">
        <v>9920</v>
      </c>
      <c r="H27" t="s">
        <v>35</v>
      </c>
      <c r="K27">
        <v>9001813</v>
      </c>
      <c r="L27" t="s">
        <v>6803</v>
      </c>
    </row>
    <row r="28" spans="1:12" x14ac:dyDescent="0.35">
      <c r="A28" t="s">
        <v>32</v>
      </c>
      <c r="B28" s="1">
        <v>45723</v>
      </c>
      <c r="C28" t="s">
        <v>7593</v>
      </c>
      <c r="F28" t="s">
        <v>7831</v>
      </c>
      <c r="G28" t="s">
        <v>9921</v>
      </c>
      <c r="H28" t="s">
        <v>36</v>
      </c>
      <c r="K28">
        <v>14942100</v>
      </c>
      <c r="L28" t="s">
        <v>6803</v>
      </c>
    </row>
    <row r="29" spans="1:12" x14ac:dyDescent="0.35">
      <c r="A29" t="s">
        <v>32</v>
      </c>
      <c r="B29" s="1">
        <v>45723</v>
      </c>
      <c r="C29" t="s">
        <v>7593</v>
      </c>
      <c r="F29" t="s">
        <v>9920</v>
      </c>
      <c r="H29" t="s">
        <v>36</v>
      </c>
      <c r="J29">
        <v>14942100</v>
      </c>
      <c r="L29" t="s">
        <v>6803</v>
      </c>
    </row>
    <row r="30" spans="1:12" x14ac:dyDescent="0.35">
      <c r="A30" t="s">
        <v>32</v>
      </c>
      <c r="B30" s="1">
        <v>45726</v>
      </c>
      <c r="C30" t="s">
        <v>7596</v>
      </c>
      <c r="F30" t="s">
        <v>7831</v>
      </c>
      <c r="G30" t="s">
        <v>9922</v>
      </c>
      <c r="H30" t="s">
        <v>37</v>
      </c>
      <c r="K30">
        <v>2791880</v>
      </c>
      <c r="L30" t="s">
        <v>6803</v>
      </c>
    </row>
    <row r="31" spans="1:12" x14ac:dyDescent="0.35">
      <c r="A31" t="s">
        <v>32</v>
      </c>
      <c r="B31" s="1">
        <v>45726</v>
      </c>
      <c r="C31" t="s">
        <v>7596</v>
      </c>
      <c r="F31" t="s">
        <v>9920</v>
      </c>
      <c r="H31" t="s">
        <v>37</v>
      </c>
      <c r="J31">
        <v>2791880</v>
      </c>
      <c r="L31" t="s">
        <v>6803</v>
      </c>
    </row>
    <row r="32" spans="1:12" x14ac:dyDescent="0.35">
      <c r="A32" t="s">
        <v>32</v>
      </c>
      <c r="B32" s="1">
        <v>45727</v>
      </c>
      <c r="C32" t="s">
        <v>7598</v>
      </c>
      <c r="F32" t="s">
        <v>9923</v>
      </c>
      <c r="G32" t="s">
        <v>7097</v>
      </c>
      <c r="H32" t="s">
        <v>38</v>
      </c>
      <c r="J32">
        <v>756500</v>
      </c>
      <c r="L32" t="s">
        <v>6803</v>
      </c>
    </row>
    <row r="33" spans="1:12" x14ac:dyDescent="0.35">
      <c r="A33" t="s">
        <v>32</v>
      </c>
      <c r="B33" s="1">
        <v>45727</v>
      </c>
      <c r="C33" t="s">
        <v>7598</v>
      </c>
      <c r="F33" t="s">
        <v>9920</v>
      </c>
      <c r="H33" t="s">
        <v>38</v>
      </c>
      <c r="K33">
        <v>756500</v>
      </c>
      <c r="L33" t="s">
        <v>6803</v>
      </c>
    </row>
    <row r="34" spans="1:12" x14ac:dyDescent="0.35">
      <c r="A34" t="s">
        <v>32</v>
      </c>
      <c r="B34" s="1">
        <v>45729</v>
      </c>
      <c r="C34" t="s">
        <v>7599</v>
      </c>
      <c r="F34" t="s">
        <v>7831</v>
      </c>
      <c r="G34" t="s">
        <v>9924</v>
      </c>
      <c r="H34" t="s">
        <v>39</v>
      </c>
      <c r="K34">
        <v>22494340</v>
      </c>
      <c r="L34" t="s">
        <v>6803</v>
      </c>
    </row>
    <row r="35" spans="1:12" x14ac:dyDescent="0.35">
      <c r="A35" t="s">
        <v>32</v>
      </c>
      <c r="B35" s="1">
        <v>45729</v>
      </c>
      <c r="C35" t="s">
        <v>7599</v>
      </c>
      <c r="F35" t="s">
        <v>9920</v>
      </c>
      <c r="H35" t="s">
        <v>39</v>
      </c>
      <c r="J35">
        <v>22494340</v>
      </c>
      <c r="L35" t="s">
        <v>6803</v>
      </c>
    </row>
    <row r="36" spans="1:12" x14ac:dyDescent="0.35">
      <c r="A36" t="s">
        <v>32</v>
      </c>
      <c r="B36" s="1">
        <v>45733</v>
      </c>
      <c r="C36" t="s">
        <v>7600</v>
      </c>
      <c r="F36" t="s">
        <v>7831</v>
      </c>
      <c r="G36" t="s">
        <v>9925</v>
      </c>
      <c r="H36" t="s">
        <v>40</v>
      </c>
      <c r="K36">
        <v>38402510</v>
      </c>
      <c r="L36" t="s">
        <v>6803</v>
      </c>
    </row>
    <row r="37" spans="1:12" x14ac:dyDescent="0.35">
      <c r="A37" t="s">
        <v>32</v>
      </c>
      <c r="B37" s="1">
        <v>45733</v>
      </c>
      <c r="C37" t="s">
        <v>7600</v>
      </c>
      <c r="F37" t="s">
        <v>9920</v>
      </c>
      <c r="H37" t="s">
        <v>40</v>
      </c>
      <c r="J37">
        <v>38402510</v>
      </c>
      <c r="L37" t="s">
        <v>6803</v>
      </c>
    </row>
    <row r="38" spans="1:12" x14ac:dyDescent="0.35">
      <c r="A38" t="s">
        <v>32</v>
      </c>
      <c r="B38" s="1">
        <v>45734</v>
      </c>
      <c r="C38" t="s">
        <v>7601</v>
      </c>
      <c r="F38" t="s">
        <v>7831</v>
      </c>
      <c r="G38" t="s">
        <v>9922</v>
      </c>
      <c r="H38" t="s">
        <v>41</v>
      </c>
      <c r="K38">
        <v>1503320</v>
      </c>
      <c r="L38" t="s">
        <v>6803</v>
      </c>
    </row>
    <row r="39" spans="1:12" x14ac:dyDescent="0.35">
      <c r="A39" t="s">
        <v>32</v>
      </c>
      <c r="B39" s="1">
        <v>45734</v>
      </c>
      <c r="C39" t="s">
        <v>7601</v>
      </c>
      <c r="F39" t="s">
        <v>9920</v>
      </c>
      <c r="H39" t="s">
        <v>41</v>
      </c>
      <c r="J39">
        <v>1503320</v>
      </c>
      <c r="L39" t="s">
        <v>6803</v>
      </c>
    </row>
    <row r="40" spans="1:12" x14ac:dyDescent="0.35">
      <c r="A40" t="s">
        <v>32</v>
      </c>
      <c r="B40" s="1">
        <v>45736</v>
      </c>
      <c r="C40" t="s">
        <v>7603</v>
      </c>
      <c r="F40" t="s">
        <v>7831</v>
      </c>
      <c r="G40" t="s">
        <v>7586</v>
      </c>
      <c r="H40" t="s">
        <v>42</v>
      </c>
      <c r="K40">
        <v>20912107</v>
      </c>
      <c r="L40" t="s">
        <v>6803</v>
      </c>
    </row>
    <row r="41" spans="1:12" x14ac:dyDescent="0.35">
      <c r="A41" t="s">
        <v>32</v>
      </c>
      <c r="B41" s="1">
        <v>45736</v>
      </c>
      <c r="C41" t="s">
        <v>7603</v>
      </c>
      <c r="F41" t="s">
        <v>9920</v>
      </c>
      <c r="H41" t="s">
        <v>42</v>
      </c>
      <c r="J41">
        <v>20912107</v>
      </c>
      <c r="L41" t="s">
        <v>6803</v>
      </c>
    </row>
    <row r="42" spans="1:12" x14ac:dyDescent="0.35">
      <c r="A42" t="s">
        <v>32</v>
      </c>
      <c r="B42" s="1">
        <v>45736</v>
      </c>
      <c r="C42" t="s">
        <v>7486</v>
      </c>
      <c r="F42" t="s">
        <v>6804</v>
      </c>
      <c r="G42" t="s">
        <v>9918</v>
      </c>
      <c r="H42" t="s">
        <v>43</v>
      </c>
      <c r="J42">
        <v>9204000</v>
      </c>
      <c r="L42" t="s">
        <v>6803</v>
      </c>
    </row>
    <row r="43" spans="1:12" x14ac:dyDescent="0.35">
      <c r="A43" t="s">
        <v>32</v>
      </c>
      <c r="B43" s="1">
        <v>45736</v>
      </c>
      <c r="C43" t="s">
        <v>7486</v>
      </c>
      <c r="F43" t="s">
        <v>9920</v>
      </c>
      <c r="H43" t="s">
        <v>43</v>
      </c>
      <c r="K43">
        <v>9204000</v>
      </c>
      <c r="L43" t="s">
        <v>6803</v>
      </c>
    </row>
    <row r="44" spans="1:12" x14ac:dyDescent="0.35">
      <c r="A44" t="s">
        <v>32</v>
      </c>
      <c r="B44" s="1">
        <v>45736</v>
      </c>
      <c r="C44" t="s">
        <v>7491</v>
      </c>
      <c r="F44" t="s">
        <v>8098</v>
      </c>
      <c r="H44" t="s">
        <v>44</v>
      </c>
      <c r="J44">
        <v>6195000</v>
      </c>
      <c r="L44" t="s">
        <v>6803</v>
      </c>
    </row>
    <row r="45" spans="1:12" x14ac:dyDescent="0.35">
      <c r="A45" t="s">
        <v>32</v>
      </c>
      <c r="B45" s="1">
        <v>45736</v>
      </c>
      <c r="C45" t="s">
        <v>7491</v>
      </c>
      <c r="F45" t="s">
        <v>9920</v>
      </c>
      <c r="H45" t="s">
        <v>44</v>
      </c>
      <c r="K45">
        <v>6195000</v>
      </c>
      <c r="L45" t="s">
        <v>6803</v>
      </c>
    </row>
    <row r="46" spans="1:12" x14ac:dyDescent="0.35">
      <c r="A46" t="s">
        <v>32</v>
      </c>
      <c r="B46" s="1">
        <v>45736</v>
      </c>
      <c r="C46" t="s">
        <v>7493</v>
      </c>
      <c r="F46" t="s">
        <v>8098</v>
      </c>
      <c r="H46" t="s">
        <v>45</v>
      </c>
      <c r="J46">
        <v>1089000</v>
      </c>
      <c r="L46" t="s">
        <v>6803</v>
      </c>
    </row>
    <row r="47" spans="1:12" x14ac:dyDescent="0.35">
      <c r="A47" t="s">
        <v>32</v>
      </c>
      <c r="B47" s="1">
        <v>45736</v>
      </c>
      <c r="C47" t="s">
        <v>7493</v>
      </c>
      <c r="F47" t="s">
        <v>9920</v>
      </c>
      <c r="H47" t="s">
        <v>45</v>
      </c>
      <c r="K47">
        <v>1089000</v>
      </c>
      <c r="L47" t="s">
        <v>6803</v>
      </c>
    </row>
    <row r="48" spans="1:12" x14ac:dyDescent="0.35">
      <c r="A48" t="s">
        <v>32</v>
      </c>
      <c r="B48" s="1">
        <v>45736</v>
      </c>
      <c r="C48" t="s">
        <v>7551</v>
      </c>
      <c r="F48" t="s">
        <v>8098</v>
      </c>
      <c r="H48" t="s">
        <v>46</v>
      </c>
      <c r="J48">
        <v>5096000</v>
      </c>
      <c r="L48" t="s">
        <v>6803</v>
      </c>
    </row>
    <row r="49" spans="1:12" x14ac:dyDescent="0.35">
      <c r="A49" t="s">
        <v>32</v>
      </c>
      <c r="B49" s="1">
        <v>45736</v>
      </c>
      <c r="C49" t="s">
        <v>7551</v>
      </c>
      <c r="F49" t="s">
        <v>9920</v>
      </c>
      <c r="H49" t="s">
        <v>46</v>
      </c>
      <c r="K49">
        <v>5096000</v>
      </c>
      <c r="L49" t="s">
        <v>6803</v>
      </c>
    </row>
    <row r="50" spans="1:12" x14ac:dyDescent="0.35">
      <c r="A50" t="s">
        <v>32</v>
      </c>
      <c r="B50" s="1">
        <v>45736</v>
      </c>
      <c r="C50" t="s">
        <v>7559</v>
      </c>
      <c r="F50" t="s">
        <v>8098</v>
      </c>
      <c r="H50" t="s">
        <v>47</v>
      </c>
      <c r="J50">
        <v>700000</v>
      </c>
      <c r="L50" t="s">
        <v>6803</v>
      </c>
    </row>
    <row r="51" spans="1:12" x14ac:dyDescent="0.35">
      <c r="A51" t="s">
        <v>32</v>
      </c>
      <c r="B51" s="1">
        <v>45736</v>
      </c>
      <c r="C51" t="s">
        <v>7559</v>
      </c>
      <c r="F51" t="s">
        <v>9920</v>
      </c>
      <c r="H51" t="s">
        <v>47</v>
      </c>
      <c r="K51">
        <v>700000</v>
      </c>
      <c r="L51" t="s">
        <v>6803</v>
      </c>
    </row>
    <row r="52" spans="1:12" x14ac:dyDescent="0.35">
      <c r="A52" t="s">
        <v>32</v>
      </c>
      <c r="B52" s="1">
        <v>45736</v>
      </c>
      <c r="C52" t="s">
        <v>7561</v>
      </c>
      <c r="F52" t="s">
        <v>8098</v>
      </c>
      <c r="H52" t="s">
        <v>48</v>
      </c>
      <c r="J52">
        <v>1661980</v>
      </c>
      <c r="L52" t="s">
        <v>6803</v>
      </c>
    </row>
    <row r="53" spans="1:12" x14ac:dyDescent="0.35">
      <c r="A53" t="s">
        <v>32</v>
      </c>
      <c r="B53" s="1">
        <v>45736</v>
      </c>
      <c r="C53" t="s">
        <v>7561</v>
      </c>
      <c r="F53" t="s">
        <v>9920</v>
      </c>
      <c r="H53" t="s">
        <v>48</v>
      </c>
      <c r="K53">
        <v>1661980</v>
      </c>
      <c r="L53" t="s">
        <v>6803</v>
      </c>
    </row>
    <row r="54" spans="1:12" x14ac:dyDescent="0.35">
      <c r="A54" t="s">
        <v>32</v>
      </c>
      <c r="B54" s="1">
        <v>45736</v>
      </c>
      <c r="C54" t="s">
        <v>7564</v>
      </c>
      <c r="F54" t="s">
        <v>8098</v>
      </c>
      <c r="H54" t="s">
        <v>49</v>
      </c>
      <c r="J54">
        <v>1926815</v>
      </c>
      <c r="L54" t="s">
        <v>6803</v>
      </c>
    </row>
    <row r="55" spans="1:12" x14ac:dyDescent="0.35">
      <c r="A55" t="s">
        <v>32</v>
      </c>
      <c r="B55" s="1">
        <v>45736</v>
      </c>
      <c r="C55" t="s">
        <v>7564</v>
      </c>
      <c r="F55" t="s">
        <v>9920</v>
      </c>
      <c r="H55" t="s">
        <v>49</v>
      </c>
      <c r="K55">
        <v>1926815</v>
      </c>
      <c r="L55" t="s">
        <v>6803</v>
      </c>
    </row>
    <row r="56" spans="1:12" x14ac:dyDescent="0.35">
      <c r="A56" t="s">
        <v>32</v>
      </c>
      <c r="B56" s="1">
        <v>45736</v>
      </c>
      <c r="C56" t="s">
        <v>7566</v>
      </c>
      <c r="F56" t="s">
        <v>8098</v>
      </c>
      <c r="H56" t="s">
        <v>50</v>
      </c>
      <c r="J56">
        <v>12226851</v>
      </c>
      <c r="L56" t="s">
        <v>6803</v>
      </c>
    </row>
    <row r="57" spans="1:12" x14ac:dyDescent="0.35">
      <c r="A57" t="s">
        <v>32</v>
      </c>
      <c r="B57" s="1">
        <v>45736</v>
      </c>
      <c r="C57" t="s">
        <v>7566</v>
      </c>
      <c r="F57" t="s">
        <v>9920</v>
      </c>
      <c r="H57" t="s">
        <v>50</v>
      </c>
      <c r="K57">
        <v>12226851</v>
      </c>
      <c r="L57" t="s">
        <v>6803</v>
      </c>
    </row>
    <row r="58" spans="1:12" x14ac:dyDescent="0.35">
      <c r="A58" t="s">
        <v>32</v>
      </c>
      <c r="B58" s="1">
        <v>45736</v>
      </c>
      <c r="C58" t="s">
        <v>7569</v>
      </c>
      <c r="F58" t="s">
        <v>8098</v>
      </c>
      <c r="H58" t="s">
        <v>51</v>
      </c>
      <c r="J58">
        <v>63994</v>
      </c>
      <c r="L58" t="s">
        <v>6803</v>
      </c>
    </row>
    <row r="59" spans="1:12" x14ac:dyDescent="0.35">
      <c r="A59" t="s">
        <v>32</v>
      </c>
      <c r="B59" s="1">
        <v>45736</v>
      </c>
      <c r="C59" t="s">
        <v>7569</v>
      </c>
      <c r="F59" t="s">
        <v>9920</v>
      </c>
      <c r="H59" t="s">
        <v>51</v>
      </c>
      <c r="K59">
        <v>63994</v>
      </c>
      <c r="L59" t="s">
        <v>6803</v>
      </c>
    </row>
    <row r="60" spans="1:12" x14ac:dyDescent="0.35">
      <c r="A60" t="s">
        <v>32</v>
      </c>
      <c r="B60" s="1">
        <v>45736</v>
      </c>
      <c r="C60" t="s">
        <v>7570</v>
      </c>
      <c r="F60" t="s">
        <v>8098</v>
      </c>
      <c r="H60" t="s">
        <v>52</v>
      </c>
      <c r="J60">
        <v>15000000</v>
      </c>
      <c r="L60" t="s">
        <v>6803</v>
      </c>
    </row>
    <row r="61" spans="1:12" x14ac:dyDescent="0.35">
      <c r="A61" t="s">
        <v>32</v>
      </c>
      <c r="B61" s="1">
        <v>45736</v>
      </c>
      <c r="C61" t="s">
        <v>7570</v>
      </c>
      <c r="F61" t="s">
        <v>9920</v>
      </c>
      <c r="H61" t="s">
        <v>52</v>
      </c>
      <c r="K61">
        <v>15000000</v>
      </c>
      <c r="L61" t="s">
        <v>6803</v>
      </c>
    </row>
    <row r="62" spans="1:12" x14ac:dyDescent="0.35">
      <c r="A62" t="s">
        <v>32</v>
      </c>
      <c r="B62" s="1">
        <v>45736</v>
      </c>
      <c r="C62" t="s">
        <v>7607</v>
      </c>
      <c r="F62" t="s">
        <v>8098</v>
      </c>
      <c r="H62" t="s">
        <v>53</v>
      </c>
      <c r="J62">
        <v>1448440</v>
      </c>
      <c r="L62" t="s">
        <v>6803</v>
      </c>
    </row>
    <row r="63" spans="1:12" x14ac:dyDescent="0.35">
      <c r="A63" t="s">
        <v>32</v>
      </c>
      <c r="B63" s="1">
        <v>45736</v>
      </c>
      <c r="C63" t="s">
        <v>7607</v>
      </c>
      <c r="F63" t="s">
        <v>9920</v>
      </c>
      <c r="H63" t="s">
        <v>53</v>
      </c>
      <c r="K63">
        <v>1448440</v>
      </c>
      <c r="L63" t="s">
        <v>6803</v>
      </c>
    </row>
    <row r="64" spans="1:12" x14ac:dyDescent="0.35">
      <c r="A64" t="s">
        <v>32</v>
      </c>
      <c r="B64" s="1">
        <v>45737</v>
      </c>
      <c r="C64" t="s">
        <v>7549</v>
      </c>
      <c r="F64" t="s">
        <v>7831</v>
      </c>
      <c r="G64" t="s">
        <v>9926</v>
      </c>
      <c r="H64" t="s">
        <v>54</v>
      </c>
      <c r="K64">
        <v>1755840</v>
      </c>
      <c r="L64" t="s">
        <v>6803</v>
      </c>
    </row>
    <row r="65" spans="1:12" x14ac:dyDescent="0.35">
      <c r="A65" t="s">
        <v>32</v>
      </c>
      <c r="B65" s="1">
        <v>45737</v>
      </c>
      <c r="C65" t="s">
        <v>7549</v>
      </c>
      <c r="F65" t="s">
        <v>9920</v>
      </c>
      <c r="H65" t="s">
        <v>54</v>
      </c>
      <c r="J65">
        <v>1755840</v>
      </c>
      <c r="L65" t="s">
        <v>6803</v>
      </c>
    </row>
    <row r="66" spans="1:12" x14ac:dyDescent="0.35">
      <c r="A66" t="s">
        <v>32</v>
      </c>
      <c r="B66" s="1">
        <v>45737</v>
      </c>
      <c r="C66" t="s">
        <v>7489</v>
      </c>
      <c r="F66" t="s">
        <v>6804</v>
      </c>
      <c r="G66" t="s">
        <v>55</v>
      </c>
      <c r="H66" t="s">
        <v>56</v>
      </c>
      <c r="J66">
        <v>32059125</v>
      </c>
      <c r="L66" t="s">
        <v>6803</v>
      </c>
    </row>
    <row r="67" spans="1:12" x14ac:dyDescent="0.35">
      <c r="A67" t="s">
        <v>32</v>
      </c>
      <c r="B67" s="1">
        <v>45737</v>
      </c>
      <c r="C67" t="s">
        <v>7489</v>
      </c>
      <c r="F67" t="s">
        <v>9920</v>
      </c>
      <c r="H67" t="s">
        <v>56</v>
      </c>
      <c r="K67">
        <v>32059125</v>
      </c>
      <c r="L67" t="s">
        <v>6803</v>
      </c>
    </row>
    <row r="68" spans="1:12" x14ac:dyDescent="0.35">
      <c r="A68" t="s">
        <v>32</v>
      </c>
      <c r="B68" s="1">
        <v>45737</v>
      </c>
      <c r="C68" t="s">
        <v>7573</v>
      </c>
      <c r="F68" t="s">
        <v>8098</v>
      </c>
      <c r="H68" t="s">
        <v>57</v>
      </c>
      <c r="J68">
        <v>10000000</v>
      </c>
      <c r="L68" t="s">
        <v>6803</v>
      </c>
    </row>
    <row r="69" spans="1:12" x14ac:dyDescent="0.35">
      <c r="A69" t="s">
        <v>32</v>
      </c>
      <c r="B69" s="1">
        <v>45737</v>
      </c>
      <c r="C69" t="s">
        <v>7573</v>
      </c>
      <c r="F69" t="s">
        <v>9920</v>
      </c>
      <c r="H69" t="s">
        <v>57</v>
      </c>
      <c r="K69">
        <v>10000000</v>
      </c>
      <c r="L69" t="s">
        <v>6803</v>
      </c>
    </row>
    <row r="70" spans="1:12" x14ac:dyDescent="0.35">
      <c r="A70" t="s">
        <v>32</v>
      </c>
      <c r="B70" s="1">
        <v>45737</v>
      </c>
      <c r="C70" t="s">
        <v>7575</v>
      </c>
      <c r="F70" t="s">
        <v>9920</v>
      </c>
      <c r="H70" t="s">
        <v>58</v>
      </c>
      <c r="K70">
        <v>2200</v>
      </c>
      <c r="L70" t="s">
        <v>6803</v>
      </c>
    </row>
    <row r="71" spans="1:12" x14ac:dyDescent="0.35">
      <c r="A71" t="s">
        <v>32</v>
      </c>
      <c r="B71" s="1">
        <v>45737</v>
      </c>
      <c r="C71" t="s">
        <v>7575</v>
      </c>
      <c r="F71" t="s">
        <v>7828</v>
      </c>
      <c r="H71" t="s">
        <v>58</v>
      </c>
      <c r="J71">
        <v>2200</v>
      </c>
      <c r="L71" t="s">
        <v>347</v>
      </c>
    </row>
    <row r="72" spans="1:12" x14ac:dyDescent="0.35">
      <c r="A72" t="s">
        <v>32</v>
      </c>
      <c r="B72" s="1">
        <v>45740</v>
      </c>
      <c r="C72" t="s">
        <v>7173</v>
      </c>
      <c r="F72" t="s">
        <v>7831</v>
      </c>
      <c r="G72" t="s">
        <v>7521</v>
      </c>
      <c r="H72" t="s">
        <v>59</v>
      </c>
      <c r="K72">
        <v>5253360</v>
      </c>
      <c r="L72" t="s">
        <v>6803</v>
      </c>
    </row>
    <row r="73" spans="1:12" x14ac:dyDescent="0.35">
      <c r="A73" t="s">
        <v>32</v>
      </c>
      <c r="B73" s="1">
        <v>45740</v>
      </c>
      <c r="C73" t="s">
        <v>7173</v>
      </c>
      <c r="F73" t="s">
        <v>9920</v>
      </c>
      <c r="H73" t="s">
        <v>59</v>
      </c>
      <c r="J73">
        <v>5253360</v>
      </c>
      <c r="L73" t="s">
        <v>6803</v>
      </c>
    </row>
    <row r="74" spans="1:12" x14ac:dyDescent="0.35">
      <c r="A74" t="s">
        <v>32</v>
      </c>
      <c r="B74" s="1">
        <v>45741</v>
      </c>
      <c r="C74" t="s">
        <v>7619</v>
      </c>
      <c r="F74" t="s">
        <v>8098</v>
      </c>
      <c r="H74" t="s">
        <v>60</v>
      </c>
      <c r="J74">
        <v>10000000</v>
      </c>
      <c r="L74" t="s">
        <v>6803</v>
      </c>
    </row>
    <row r="75" spans="1:12" x14ac:dyDescent="0.35">
      <c r="A75" t="s">
        <v>32</v>
      </c>
      <c r="B75" s="1">
        <v>45741</v>
      </c>
      <c r="C75" t="s">
        <v>7619</v>
      </c>
      <c r="F75" t="s">
        <v>9920</v>
      </c>
      <c r="H75" t="s">
        <v>60</v>
      </c>
      <c r="K75">
        <v>10000000</v>
      </c>
      <c r="L75" t="s">
        <v>6803</v>
      </c>
    </row>
    <row r="76" spans="1:12" x14ac:dyDescent="0.35">
      <c r="A76" t="s">
        <v>32</v>
      </c>
      <c r="B76" s="1">
        <v>45742</v>
      </c>
      <c r="C76" t="s">
        <v>7577</v>
      </c>
      <c r="F76" t="s">
        <v>8098</v>
      </c>
      <c r="H76" t="s">
        <v>61</v>
      </c>
      <c r="J76">
        <v>22000000</v>
      </c>
      <c r="L76" t="s">
        <v>6803</v>
      </c>
    </row>
    <row r="77" spans="1:12" x14ac:dyDescent="0.35">
      <c r="A77" t="s">
        <v>32</v>
      </c>
      <c r="B77" s="1">
        <v>45742</v>
      </c>
      <c r="C77" t="s">
        <v>7577</v>
      </c>
      <c r="F77" t="s">
        <v>9920</v>
      </c>
      <c r="H77" t="s">
        <v>61</v>
      </c>
      <c r="K77">
        <v>22000000</v>
      </c>
      <c r="L77" t="s">
        <v>6803</v>
      </c>
    </row>
    <row r="78" spans="1:12" x14ac:dyDescent="0.35">
      <c r="A78" t="s">
        <v>32</v>
      </c>
      <c r="B78" s="1">
        <v>45744</v>
      </c>
      <c r="C78" t="s">
        <v>7576</v>
      </c>
      <c r="F78" t="s">
        <v>7831</v>
      </c>
      <c r="G78" t="s">
        <v>7586</v>
      </c>
      <c r="H78" t="s">
        <v>62</v>
      </c>
      <c r="K78">
        <v>17566129</v>
      </c>
      <c r="L78" t="s">
        <v>6803</v>
      </c>
    </row>
    <row r="79" spans="1:12" x14ac:dyDescent="0.35">
      <c r="A79" t="s">
        <v>32</v>
      </c>
      <c r="B79" s="1">
        <v>45744</v>
      </c>
      <c r="C79" t="s">
        <v>7576</v>
      </c>
      <c r="F79" t="s">
        <v>9920</v>
      </c>
      <c r="H79" t="s">
        <v>62</v>
      </c>
      <c r="J79">
        <v>17566129</v>
      </c>
      <c r="L79" t="s">
        <v>6803</v>
      </c>
    </row>
    <row r="80" spans="1:12" x14ac:dyDescent="0.35">
      <c r="A80" t="s">
        <v>32</v>
      </c>
      <c r="B80" s="1">
        <v>45747</v>
      </c>
      <c r="C80" t="s">
        <v>7613</v>
      </c>
      <c r="F80" t="s">
        <v>9920</v>
      </c>
      <c r="H80" t="s">
        <v>58</v>
      </c>
      <c r="K80">
        <v>68659</v>
      </c>
      <c r="L80" t="s">
        <v>6803</v>
      </c>
    </row>
    <row r="81" spans="1:12" x14ac:dyDescent="0.35">
      <c r="A81" t="s">
        <v>32</v>
      </c>
      <c r="B81" s="1">
        <v>45747</v>
      </c>
      <c r="C81" t="s">
        <v>7613</v>
      </c>
      <c r="F81" t="s">
        <v>7828</v>
      </c>
      <c r="H81" t="s">
        <v>58</v>
      </c>
      <c r="J81">
        <v>68659</v>
      </c>
      <c r="L81" t="s">
        <v>347</v>
      </c>
    </row>
    <row r="82" spans="1:12" x14ac:dyDescent="0.35">
      <c r="A82" t="s">
        <v>32</v>
      </c>
      <c r="B82" s="1">
        <v>45747</v>
      </c>
      <c r="C82" t="s">
        <v>7616</v>
      </c>
      <c r="F82" t="s">
        <v>9920</v>
      </c>
      <c r="H82" t="s">
        <v>58</v>
      </c>
      <c r="K82">
        <v>22000</v>
      </c>
      <c r="L82" t="s">
        <v>6803</v>
      </c>
    </row>
    <row r="83" spans="1:12" x14ac:dyDescent="0.35">
      <c r="A83" t="s">
        <v>32</v>
      </c>
      <c r="B83" s="1">
        <v>45747</v>
      </c>
      <c r="C83" t="s">
        <v>7616</v>
      </c>
      <c r="F83" t="s">
        <v>7828</v>
      </c>
      <c r="H83" t="s">
        <v>58</v>
      </c>
      <c r="J83">
        <v>22000</v>
      </c>
      <c r="L83" t="s">
        <v>347</v>
      </c>
    </row>
    <row r="84" spans="1:12" x14ac:dyDescent="0.35">
      <c r="A84" t="s">
        <v>63</v>
      </c>
      <c r="B84" s="1">
        <v>45717</v>
      </c>
      <c r="C84" t="s">
        <v>7485</v>
      </c>
      <c r="F84" t="s">
        <v>9927</v>
      </c>
      <c r="H84" t="s">
        <v>58</v>
      </c>
      <c r="K84">
        <v>22000</v>
      </c>
      <c r="L84" t="s">
        <v>6803</v>
      </c>
    </row>
    <row r="85" spans="1:12" x14ac:dyDescent="0.35">
      <c r="A85" t="s">
        <v>63</v>
      </c>
      <c r="B85" s="1">
        <v>45717</v>
      </c>
      <c r="C85" t="s">
        <v>7485</v>
      </c>
      <c r="F85" t="s">
        <v>7828</v>
      </c>
      <c r="H85" t="s">
        <v>58</v>
      </c>
      <c r="J85">
        <v>22000</v>
      </c>
      <c r="L85" t="s">
        <v>347</v>
      </c>
    </row>
    <row r="86" spans="1:12" x14ac:dyDescent="0.35">
      <c r="A86" t="s">
        <v>63</v>
      </c>
      <c r="B86" s="1">
        <v>45744</v>
      </c>
      <c r="C86" t="s">
        <v>7483</v>
      </c>
      <c r="F86" t="s">
        <v>9927</v>
      </c>
      <c r="H86" t="s">
        <v>58</v>
      </c>
      <c r="K86">
        <v>33000</v>
      </c>
      <c r="L86" t="s">
        <v>6803</v>
      </c>
    </row>
    <row r="87" spans="1:12" x14ac:dyDescent="0.35">
      <c r="A87" t="s">
        <v>63</v>
      </c>
      <c r="B87" s="1">
        <v>45744</v>
      </c>
      <c r="C87" t="s">
        <v>7483</v>
      </c>
      <c r="F87" t="s">
        <v>7828</v>
      </c>
      <c r="H87" t="s">
        <v>58</v>
      </c>
      <c r="J87">
        <v>33000</v>
      </c>
      <c r="L87" t="s">
        <v>347</v>
      </c>
    </row>
    <row r="88" spans="1:12" x14ac:dyDescent="0.35">
      <c r="A88" t="s">
        <v>64</v>
      </c>
      <c r="B88" s="1">
        <v>45722</v>
      </c>
      <c r="C88" t="s">
        <v>7483</v>
      </c>
      <c r="E88" t="s">
        <v>8097</v>
      </c>
      <c r="F88" t="s">
        <v>7831</v>
      </c>
      <c r="G88" t="s">
        <v>9928</v>
      </c>
      <c r="H88" t="s">
        <v>65</v>
      </c>
      <c r="K88">
        <v>526280</v>
      </c>
      <c r="L88" t="s">
        <v>6803</v>
      </c>
    </row>
    <row r="89" spans="1:12" x14ac:dyDescent="0.35">
      <c r="A89" t="s">
        <v>64</v>
      </c>
      <c r="B89" s="1">
        <v>45722</v>
      </c>
      <c r="C89" t="s">
        <v>7483</v>
      </c>
      <c r="E89" t="s">
        <v>8097</v>
      </c>
      <c r="F89" t="s">
        <v>9929</v>
      </c>
      <c r="H89" t="s">
        <v>65</v>
      </c>
      <c r="K89">
        <v>1000</v>
      </c>
      <c r="L89" t="s">
        <v>6803</v>
      </c>
    </row>
    <row r="90" spans="1:12" x14ac:dyDescent="0.35">
      <c r="A90" t="s">
        <v>64</v>
      </c>
      <c r="B90" s="1">
        <v>45722</v>
      </c>
      <c r="C90" t="s">
        <v>7483</v>
      </c>
      <c r="E90" t="s">
        <v>8097</v>
      </c>
      <c r="F90" t="s">
        <v>9930</v>
      </c>
      <c r="H90" t="s">
        <v>65</v>
      </c>
      <c r="J90">
        <v>527280</v>
      </c>
      <c r="L90" t="s">
        <v>6803</v>
      </c>
    </row>
    <row r="91" spans="1:12" x14ac:dyDescent="0.35">
      <c r="A91" t="s">
        <v>64</v>
      </c>
      <c r="B91" s="1">
        <v>45722</v>
      </c>
      <c r="C91" t="s">
        <v>7485</v>
      </c>
      <c r="E91" t="s">
        <v>8097</v>
      </c>
      <c r="F91" t="s">
        <v>8098</v>
      </c>
      <c r="H91" t="s">
        <v>65</v>
      </c>
      <c r="J91">
        <v>527280</v>
      </c>
      <c r="L91" t="s">
        <v>6803</v>
      </c>
    </row>
    <row r="92" spans="1:12" x14ac:dyDescent="0.35">
      <c r="A92" t="s">
        <v>64</v>
      </c>
      <c r="B92" s="1">
        <v>45722</v>
      </c>
      <c r="C92" t="s">
        <v>7485</v>
      </c>
      <c r="E92" t="s">
        <v>8097</v>
      </c>
      <c r="F92" t="s">
        <v>9930</v>
      </c>
      <c r="H92" t="s">
        <v>65</v>
      </c>
      <c r="K92">
        <v>527280</v>
      </c>
      <c r="L92" t="s">
        <v>6803</v>
      </c>
    </row>
    <row r="93" spans="1:12" x14ac:dyDescent="0.35">
      <c r="A93" t="s">
        <v>64</v>
      </c>
      <c r="B93" s="1">
        <v>45734</v>
      </c>
      <c r="C93" t="s">
        <v>7593</v>
      </c>
      <c r="E93" t="s">
        <v>8199</v>
      </c>
      <c r="F93" t="s">
        <v>7831</v>
      </c>
      <c r="G93" t="s">
        <v>9928</v>
      </c>
      <c r="H93" t="s">
        <v>65</v>
      </c>
      <c r="K93">
        <v>1823100</v>
      </c>
      <c r="L93" t="s">
        <v>6803</v>
      </c>
    </row>
    <row r="94" spans="1:12" x14ac:dyDescent="0.35">
      <c r="A94" t="s">
        <v>64</v>
      </c>
      <c r="B94" s="1">
        <v>45734</v>
      </c>
      <c r="C94" t="s">
        <v>7593</v>
      </c>
      <c r="E94" t="s">
        <v>8199</v>
      </c>
      <c r="F94" t="s">
        <v>9929</v>
      </c>
      <c r="H94" t="s">
        <v>65</v>
      </c>
      <c r="K94">
        <v>2000</v>
      </c>
      <c r="L94" t="s">
        <v>6803</v>
      </c>
    </row>
    <row r="95" spans="1:12" x14ac:dyDescent="0.35">
      <c r="A95" t="s">
        <v>64</v>
      </c>
      <c r="B95" s="1">
        <v>45734</v>
      </c>
      <c r="C95" t="s">
        <v>7593</v>
      </c>
      <c r="E95" t="s">
        <v>8199</v>
      </c>
      <c r="F95" t="s">
        <v>9930</v>
      </c>
      <c r="H95" t="s">
        <v>65</v>
      </c>
      <c r="J95">
        <v>1825100</v>
      </c>
      <c r="L95" t="s">
        <v>6803</v>
      </c>
    </row>
    <row r="96" spans="1:12" x14ac:dyDescent="0.35">
      <c r="A96" t="s">
        <v>64</v>
      </c>
      <c r="B96" s="1">
        <v>45734</v>
      </c>
      <c r="C96" t="s">
        <v>7596</v>
      </c>
      <c r="E96" t="s">
        <v>8199</v>
      </c>
      <c r="F96" t="s">
        <v>8098</v>
      </c>
      <c r="H96" t="s">
        <v>65</v>
      </c>
      <c r="J96">
        <v>1825100</v>
      </c>
      <c r="L96" t="s">
        <v>6803</v>
      </c>
    </row>
    <row r="97" spans="1:12" x14ac:dyDescent="0.35">
      <c r="A97" t="s">
        <v>64</v>
      </c>
      <c r="B97" s="1">
        <v>45734</v>
      </c>
      <c r="C97" t="s">
        <v>7596</v>
      </c>
      <c r="E97" t="s">
        <v>8199</v>
      </c>
      <c r="F97" t="s">
        <v>9930</v>
      </c>
      <c r="H97" t="s">
        <v>65</v>
      </c>
      <c r="K97">
        <v>1825100</v>
      </c>
      <c r="L97" t="s">
        <v>6803</v>
      </c>
    </row>
    <row r="98" spans="1:12" x14ac:dyDescent="0.35">
      <c r="A98" t="s">
        <v>64</v>
      </c>
      <c r="B98" s="1">
        <v>45734</v>
      </c>
      <c r="C98" t="s">
        <v>7598</v>
      </c>
      <c r="E98" t="s">
        <v>8200</v>
      </c>
      <c r="F98" t="s">
        <v>7831</v>
      </c>
      <c r="G98" t="s">
        <v>9931</v>
      </c>
      <c r="H98" t="s">
        <v>66</v>
      </c>
      <c r="K98">
        <v>354000</v>
      </c>
      <c r="L98" t="s">
        <v>6803</v>
      </c>
    </row>
    <row r="99" spans="1:12" x14ac:dyDescent="0.35">
      <c r="A99" t="s">
        <v>64</v>
      </c>
      <c r="B99" s="1">
        <v>45734</v>
      </c>
      <c r="C99" t="s">
        <v>7598</v>
      </c>
      <c r="E99" t="s">
        <v>8200</v>
      </c>
      <c r="F99" t="s">
        <v>9929</v>
      </c>
      <c r="H99" t="s">
        <v>66</v>
      </c>
      <c r="K99">
        <v>500</v>
      </c>
      <c r="L99" t="s">
        <v>6803</v>
      </c>
    </row>
    <row r="100" spans="1:12" x14ac:dyDescent="0.35">
      <c r="A100" t="s">
        <v>64</v>
      </c>
      <c r="B100" s="1">
        <v>45734</v>
      </c>
      <c r="C100" t="s">
        <v>7598</v>
      </c>
      <c r="E100" t="s">
        <v>8200</v>
      </c>
      <c r="F100" t="s">
        <v>9930</v>
      </c>
      <c r="H100" t="s">
        <v>66</v>
      </c>
      <c r="J100">
        <v>354500</v>
      </c>
      <c r="L100" t="s">
        <v>6803</v>
      </c>
    </row>
    <row r="101" spans="1:12" x14ac:dyDescent="0.35">
      <c r="A101" t="s">
        <v>64</v>
      </c>
      <c r="B101" s="1">
        <v>45734</v>
      </c>
      <c r="C101" t="s">
        <v>7599</v>
      </c>
      <c r="E101" t="s">
        <v>8200</v>
      </c>
      <c r="F101" t="s">
        <v>8098</v>
      </c>
      <c r="H101" t="s">
        <v>66</v>
      </c>
      <c r="J101">
        <v>354500</v>
      </c>
      <c r="L101" t="s">
        <v>6803</v>
      </c>
    </row>
    <row r="102" spans="1:12" x14ac:dyDescent="0.35">
      <c r="A102" t="s">
        <v>64</v>
      </c>
      <c r="B102" s="1">
        <v>45734</v>
      </c>
      <c r="C102" t="s">
        <v>7599</v>
      </c>
      <c r="E102" t="s">
        <v>8200</v>
      </c>
      <c r="F102" t="s">
        <v>9930</v>
      </c>
      <c r="H102" t="s">
        <v>66</v>
      </c>
      <c r="K102">
        <v>354500</v>
      </c>
      <c r="L102" t="s">
        <v>6803</v>
      </c>
    </row>
    <row r="103" spans="1:12" x14ac:dyDescent="0.35">
      <c r="A103" t="s">
        <v>64</v>
      </c>
      <c r="B103" s="1">
        <v>45734</v>
      </c>
      <c r="C103" t="s">
        <v>7600</v>
      </c>
      <c r="E103" t="s">
        <v>8201</v>
      </c>
      <c r="F103" t="s">
        <v>7831</v>
      </c>
      <c r="G103" t="s">
        <v>9931</v>
      </c>
      <c r="H103" t="s">
        <v>66</v>
      </c>
      <c r="K103">
        <v>2952360</v>
      </c>
      <c r="L103" t="s">
        <v>6803</v>
      </c>
    </row>
    <row r="104" spans="1:12" x14ac:dyDescent="0.35">
      <c r="A104" t="s">
        <v>64</v>
      </c>
      <c r="B104" s="1">
        <v>45734</v>
      </c>
      <c r="C104" t="s">
        <v>7600</v>
      </c>
      <c r="E104" t="s">
        <v>8201</v>
      </c>
      <c r="F104" t="s">
        <v>9929</v>
      </c>
      <c r="H104" t="s">
        <v>66</v>
      </c>
      <c r="K104">
        <v>2000</v>
      </c>
      <c r="L104" t="s">
        <v>6803</v>
      </c>
    </row>
    <row r="105" spans="1:12" x14ac:dyDescent="0.35">
      <c r="A105" t="s">
        <v>64</v>
      </c>
      <c r="B105" s="1">
        <v>45734</v>
      </c>
      <c r="C105" t="s">
        <v>7600</v>
      </c>
      <c r="E105" t="s">
        <v>8201</v>
      </c>
      <c r="F105" t="s">
        <v>9930</v>
      </c>
      <c r="H105" t="s">
        <v>66</v>
      </c>
      <c r="J105">
        <v>2954360</v>
      </c>
      <c r="L105" t="s">
        <v>6803</v>
      </c>
    </row>
    <row r="106" spans="1:12" x14ac:dyDescent="0.35">
      <c r="A106" t="s">
        <v>64</v>
      </c>
      <c r="B106" s="1">
        <v>45734</v>
      </c>
      <c r="C106" t="s">
        <v>7601</v>
      </c>
      <c r="E106" t="s">
        <v>8201</v>
      </c>
      <c r="F106" t="s">
        <v>8098</v>
      </c>
      <c r="H106" t="s">
        <v>66</v>
      </c>
      <c r="J106">
        <v>2954360</v>
      </c>
      <c r="L106" t="s">
        <v>6803</v>
      </c>
    </row>
    <row r="107" spans="1:12" x14ac:dyDescent="0.35">
      <c r="A107" t="s">
        <v>64</v>
      </c>
      <c r="B107" s="1">
        <v>45734</v>
      </c>
      <c r="C107" t="s">
        <v>7601</v>
      </c>
      <c r="E107" t="s">
        <v>8201</v>
      </c>
      <c r="F107" t="s">
        <v>9930</v>
      </c>
      <c r="H107" t="s">
        <v>66</v>
      </c>
      <c r="K107">
        <v>2954360</v>
      </c>
      <c r="L107" t="s">
        <v>6803</v>
      </c>
    </row>
    <row r="108" spans="1:12" x14ac:dyDescent="0.35">
      <c r="A108" t="s">
        <v>64</v>
      </c>
      <c r="B108" s="1">
        <v>45734</v>
      </c>
      <c r="C108" t="s">
        <v>7603</v>
      </c>
      <c r="E108" t="s">
        <v>8202</v>
      </c>
      <c r="F108" t="s">
        <v>7831</v>
      </c>
      <c r="G108" t="s">
        <v>9900</v>
      </c>
      <c r="H108" t="s">
        <v>67</v>
      </c>
      <c r="K108">
        <v>214760</v>
      </c>
      <c r="L108" t="s">
        <v>6803</v>
      </c>
    </row>
    <row r="109" spans="1:12" x14ac:dyDescent="0.35">
      <c r="A109" t="s">
        <v>64</v>
      </c>
      <c r="B109" s="1">
        <v>45734</v>
      </c>
      <c r="C109" t="s">
        <v>7603</v>
      </c>
      <c r="E109" t="s">
        <v>8202</v>
      </c>
      <c r="F109" t="s">
        <v>9929</v>
      </c>
      <c r="H109" t="s">
        <v>67</v>
      </c>
      <c r="K109">
        <v>500</v>
      </c>
      <c r="L109" t="s">
        <v>6803</v>
      </c>
    </row>
    <row r="110" spans="1:12" x14ac:dyDescent="0.35">
      <c r="A110" t="s">
        <v>64</v>
      </c>
      <c r="B110" s="1">
        <v>45734</v>
      </c>
      <c r="C110" t="s">
        <v>7603</v>
      </c>
      <c r="E110" t="s">
        <v>8202</v>
      </c>
      <c r="F110" t="s">
        <v>9930</v>
      </c>
      <c r="H110" t="s">
        <v>67</v>
      </c>
      <c r="J110">
        <v>215260</v>
      </c>
      <c r="L110" t="s">
        <v>6803</v>
      </c>
    </row>
    <row r="111" spans="1:12" x14ac:dyDescent="0.35">
      <c r="A111" t="s">
        <v>64</v>
      </c>
      <c r="B111" s="1">
        <v>45734</v>
      </c>
      <c r="C111" t="s">
        <v>7549</v>
      </c>
      <c r="E111" t="s">
        <v>8202</v>
      </c>
      <c r="F111" t="s">
        <v>8098</v>
      </c>
      <c r="H111" t="s">
        <v>67</v>
      </c>
      <c r="J111">
        <v>215260</v>
      </c>
      <c r="L111" t="s">
        <v>6803</v>
      </c>
    </row>
    <row r="112" spans="1:12" x14ac:dyDescent="0.35">
      <c r="A112" t="s">
        <v>64</v>
      </c>
      <c r="B112" s="1">
        <v>45734</v>
      </c>
      <c r="C112" t="s">
        <v>7549</v>
      </c>
      <c r="E112" t="s">
        <v>8202</v>
      </c>
      <c r="F112" t="s">
        <v>9930</v>
      </c>
      <c r="H112" t="s">
        <v>67</v>
      </c>
      <c r="K112">
        <v>215260</v>
      </c>
      <c r="L112" t="s">
        <v>6803</v>
      </c>
    </row>
    <row r="113" spans="1:12" x14ac:dyDescent="0.35">
      <c r="A113" t="s">
        <v>64</v>
      </c>
      <c r="B113" s="1">
        <v>45734</v>
      </c>
      <c r="C113" t="s">
        <v>7486</v>
      </c>
      <c r="E113" t="s">
        <v>8203</v>
      </c>
      <c r="F113" t="s">
        <v>7831</v>
      </c>
      <c r="G113" t="s">
        <v>9900</v>
      </c>
      <c r="H113" t="s">
        <v>68</v>
      </c>
      <c r="K113">
        <v>1073800</v>
      </c>
      <c r="L113" t="s">
        <v>6803</v>
      </c>
    </row>
    <row r="114" spans="1:12" x14ac:dyDescent="0.35">
      <c r="A114" t="s">
        <v>64</v>
      </c>
      <c r="B114" s="1">
        <v>45734</v>
      </c>
      <c r="C114" t="s">
        <v>7486</v>
      </c>
      <c r="E114" t="s">
        <v>8203</v>
      </c>
      <c r="F114" t="s">
        <v>9929</v>
      </c>
      <c r="H114" t="s">
        <v>68</v>
      </c>
      <c r="K114">
        <v>2000</v>
      </c>
      <c r="L114" t="s">
        <v>6803</v>
      </c>
    </row>
    <row r="115" spans="1:12" x14ac:dyDescent="0.35">
      <c r="A115" t="s">
        <v>64</v>
      </c>
      <c r="B115" s="1">
        <v>45734</v>
      </c>
      <c r="C115" t="s">
        <v>7486</v>
      </c>
      <c r="E115" t="s">
        <v>8203</v>
      </c>
      <c r="F115" t="s">
        <v>9930</v>
      </c>
      <c r="H115" t="s">
        <v>68</v>
      </c>
      <c r="J115">
        <v>1075800</v>
      </c>
      <c r="L115" t="s">
        <v>6803</v>
      </c>
    </row>
    <row r="116" spans="1:12" x14ac:dyDescent="0.35">
      <c r="A116" t="s">
        <v>64</v>
      </c>
      <c r="B116" s="1">
        <v>45734</v>
      </c>
      <c r="C116" t="s">
        <v>7489</v>
      </c>
      <c r="E116" t="s">
        <v>8203</v>
      </c>
      <c r="F116" t="s">
        <v>8098</v>
      </c>
      <c r="H116" t="s">
        <v>68</v>
      </c>
      <c r="J116">
        <v>1075800</v>
      </c>
      <c r="L116" t="s">
        <v>6803</v>
      </c>
    </row>
    <row r="117" spans="1:12" x14ac:dyDescent="0.35">
      <c r="A117" t="s">
        <v>64</v>
      </c>
      <c r="B117" s="1">
        <v>45734</v>
      </c>
      <c r="C117" t="s">
        <v>7489</v>
      </c>
      <c r="E117" t="s">
        <v>8203</v>
      </c>
      <c r="F117" t="s">
        <v>9930</v>
      </c>
      <c r="H117" t="s">
        <v>68</v>
      </c>
      <c r="K117">
        <v>1075800</v>
      </c>
      <c r="L117" t="s">
        <v>6803</v>
      </c>
    </row>
    <row r="118" spans="1:12" x14ac:dyDescent="0.35">
      <c r="A118" t="s">
        <v>64</v>
      </c>
      <c r="B118" s="1">
        <v>45734</v>
      </c>
      <c r="C118" t="s">
        <v>7491</v>
      </c>
      <c r="E118" t="s">
        <v>8204</v>
      </c>
      <c r="F118" t="s">
        <v>7831</v>
      </c>
      <c r="G118" t="s">
        <v>9932</v>
      </c>
      <c r="H118" t="s">
        <v>69</v>
      </c>
      <c r="K118">
        <v>214760</v>
      </c>
      <c r="L118" t="s">
        <v>6803</v>
      </c>
    </row>
    <row r="119" spans="1:12" x14ac:dyDescent="0.35">
      <c r="A119" t="s">
        <v>64</v>
      </c>
      <c r="B119" s="1">
        <v>45734</v>
      </c>
      <c r="C119" t="s">
        <v>7491</v>
      </c>
      <c r="E119" t="s">
        <v>8204</v>
      </c>
      <c r="F119" t="s">
        <v>9929</v>
      </c>
      <c r="H119" t="s">
        <v>69</v>
      </c>
      <c r="K119">
        <v>500</v>
      </c>
      <c r="L119" t="s">
        <v>6803</v>
      </c>
    </row>
    <row r="120" spans="1:12" x14ac:dyDescent="0.35">
      <c r="A120" t="s">
        <v>64</v>
      </c>
      <c r="B120" s="1">
        <v>45734</v>
      </c>
      <c r="C120" t="s">
        <v>7491</v>
      </c>
      <c r="E120" t="s">
        <v>8204</v>
      </c>
      <c r="F120" t="s">
        <v>9930</v>
      </c>
      <c r="H120" t="s">
        <v>69</v>
      </c>
      <c r="J120">
        <v>215260</v>
      </c>
      <c r="L120" t="s">
        <v>6803</v>
      </c>
    </row>
    <row r="121" spans="1:12" x14ac:dyDescent="0.35">
      <c r="A121" t="s">
        <v>64</v>
      </c>
      <c r="B121" s="1">
        <v>45734</v>
      </c>
      <c r="C121" t="s">
        <v>7493</v>
      </c>
      <c r="E121" t="s">
        <v>8204</v>
      </c>
      <c r="F121" t="s">
        <v>8098</v>
      </c>
      <c r="H121" t="s">
        <v>69</v>
      </c>
      <c r="J121">
        <v>215260</v>
      </c>
      <c r="L121" t="s">
        <v>6803</v>
      </c>
    </row>
    <row r="122" spans="1:12" x14ac:dyDescent="0.35">
      <c r="A122" t="s">
        <v>64</v>
      </c>
      <c r="B122" s="1">
        <v>45734</v>
      </c>
      <c r="C122" t="s">
        <v>7493</v>
      </c>
      <c r="E122" t="s">
        <v>8204</v>
      </c>
      <c r="F122" t="s">
        <v>9930</v>
      </c>
      <c r="H122" t="s">
        <v>69</v>
      </c>
      <c r="K122">
        <v>215260</v>
      </c>
      <c r="L122" t="s">
        <v>6803</v>
      </c>
    </row>
    <row r="123" spans="1:12" x14ac:dyDescent="0.35">
      <c r="A123" t="s">
        <v>64</v>
      </c>
      <c r="B123" s="1">
        <v>45734</v>
      </c>
      <c r="C123" t="s">
        <v>7551</v>
      </c>
      <c r="E123" t="s">
        <v>8205</v>
      </c>
      <c r="F123" t="s">
        <v>7831</v>
      </c>
      <c r="G123" t="s">
        <v>9932</v>
      </c>
      <c r="H123" t="s">
        <v>69</v>
      </c>
      <c r="K123">
        <v>214760</v>
      </c>
      <c r="L123" t="s">
        <v>6803</v>
      </c>
    </row>
    <row r="124" spans="1:12" x14ac:dyDescent="0.35">
      <c r="A124" t="s">
        <v>64</v>
      </c>
      <c r="B124" s="1">
        <v>45734</v>
      </c>
      <c r="C124" t="s">
        <v>7551</v>
      </c>
      <c r="E124" t="s">
        <v>8205</v>
      </c>
      <c r="F124" t="s">
        <v>9929</v>
      </c>
      <c r="H124" t="s">
        <v>69</v>
      </c>
      <c r="K124">
        <v>500</v>
      </c>
      <c r="L124" t="s">
        <v>6803</v>
      </c>
    </row>
    <row r="125" spans="1:12" x14ac:dyDescent="0.35">
      <c r="A125" t="s">
        <v>64</v>
      </c>
      <c r="B125" s="1">
        <v>45734</v>
      </c>
      <c r="C125" t="s">
        <v>7551</v>
      </c>
      <c r="E125" t="s">
        <v>8205</v>
      </c>
      <c r="F125" t="s">
        <v>9930</v>
      </c>
      <c r="H125" t="s">
        <v>69</v>
      </c>
      <c r="J125">
        <v>215260</v>
      </c>
      <c r="L125" t="s">
        <v>6803</v>
      </c>
    </row>
    <row r="126" spans="1:12" x14ac:dyDescent="0.35">
      <c r="A126" t="s">
        <v>64</v>
      </c>
      <c r="B126" s="1">
        <v>45734</v>
      </c>
      <c r="C126" t="s">
        <v>7559</v>
      </c>
      <c r="E126" t="s">
        <v>8205</v>
      </c>
      <c r="F126" t="s">
        <v>8098</v>
      </c>
      <c r="H126" t="s">
        <v>69</v>
      </c>
      <c r="J126">
        <v>215260</v>
      </c>
      <c r="L126" t="s">
        <v>6803</v>
      </c>
    </row>
    <row r="127" spans="1:12" x14ac:dyDescent="0.35">
      <c r="A127" t="s">
        <v>64</v>
      </c>
      <c r="B127" s="1">
        <v>45734</v>
      </c>
      <c r="C127" t="s">
        <v>7559</v>
      </c>
      <c r="E127" t="s">
        <v>8205</v>
      </c>
      <c r="F127" t="s">
        <v>9930</v>
      </c>
      <c r="H127" t="s">
        <v>69</v>
      </c>
      <c r="K127">
        <v>215260</v>
      </c>
      <c r="L127" t="s">
        <v>6803</v>
      </c>
    </row>
    <row r="128" spans="1:12" x14ac:dyDescent="0.35">
      <c r="A128" t="s">
        <v>64</v>
      </c>
      <c r="B128" s="1">
        <v>45734</v>
      </c>
      <c r="C128" t="s">
        <v>7561</v>
      </c>
      <c r="E128" t="s">
        <v>8206</v>
      </c>
      <c r="F128" t="s">
        <v>7831</v>
      </c>
      <c r="G128" t="s">
        <v>9932</v>
      </c>
      <c r="H128" t="s">
        <v>69</v>
      </c>
      <c r="K128">
        <v>214760</v>
      </c>
      <c r="L128" t="s">
        <v>6803</v>
      </c>
    </row>
    <row r="129" spans="1:12" x14ac:dyDescent="0.35">
      <c r="A129" t="s">
        <v>64</v>
      </c>
      <c r="B129" s="1">
        <v>45734</v>
      </c>
      <c r="C129" t="s">
        <v>7561</v>
      </c>
      <c r="E129" t="s">
        <v>8206</v>
      </c>
      <c r="F129" t="s">
        <v>9929</v>
      </c>
      <c r="H129" t="s">
        <v>69</v>
      </c>
      <c r="K129">
        <v>500</v>
      </c>
      <c r="L129" t="s">
        <v>6803</v>
      </c>
    </row>
    <row r="130" spans="1:12" x14ac:dyDescent="0.35">
      <c r="A130" t="s">
        <v>64</v>
      </c>
      <c r="B130" s="1">
        <v>45734</v>
      </c>
      <c r="C130" t="s">
        <v>7561</v>
      </c>
      <c r="E130" t="s">
        <v>8206</v>
      </c>
      <c r="F130" t="s">
        <v>9930</v>
      </c>
      <c r="H130" t="s">
        <v>69</v>
      </c>
      <c r="J130">
        <v>215260</v>
      </c>
      <c r="L130" t="s">
        <v>6803</v>
      </c>
    </row>
    <row r="131" spans="1:12" x14ac:dyDescent="0.35">
      <c r="A131" t="s">
        <v>64</v>
      </c>
      <c r="B131" s="1">
        <v>45734</v>
      </c>
      <c r="C131" t="s">
        <v>7564</v>
      </c>
      <c r="E131" t="s">
        <v>8206</v>
      </c>
      <c r="F131" t="s">
        <v>8098</v>
      </c>
      <c r="H131" t="s">
        <v>69</v>
      </c>
      <c r="J131">
        <v>215260</v>
      </c>
      <c r="L131" t="s">
        <v>6803</v>
      </c>
    </row>
    <row r="132" spans="1:12" x14ac:dyDescent="0.35">
      <c r="A132" t="s">
        <v>64</v>
      </c>
      <c r="B132" s="1">
        <v>45734</v>
      </c>
      <c r="C132" t="s">
        <v>7564</v>
      </c>
      <c r="E132" t="s">
        <v>8206</v>
      </c>
      <c r="F132" t="s">
        <v>9930</v>
      </c>
      <c r="H132" t="s">
        <v>69</v>
      </c>
      <c r="K132">
        <v>215260</v>
      </c>
      <c r="L132" t="s">
        <v>6803</v>
      </c>
    </row>
    <row r="133" spans="1:12" x14ac:dyDescent="0.35">
      <c r="A133" t="s">
        <v>64</v>
      </c>
      <c r="B133" s="1">
        <v>45734</v>
      </c>
      <c r="C133" t="s">
        <v>7566</v>
      </c>
      <c r="E133" t="s">
        <v>8207</v>
      </c>
      <c r="F133" t="s">
        <v>7831</v>
      </c>
      <c r="G133" t="s">
        <v>9932</v>
      </c>
      <c r="H133" t="s">
        <v>69</v>
      </c>
      <c r="K133">
        <v>214760</v>
      </c>
      <c r="L133" t="s">
        <v>6803</v>
      </c>
    </row>
    <row r="134" spans="1:12" x14ac:dyDescent="0.35">
      <c r="A134" t="s">
        <v>64</v>
      </c>
      <c r="B134" s="1">
        <v>45734</v>
      </c>
      <c r="C134" t="s">
        <v>7566</v>
      </c>
      <c r="E134" t="s">
        <v>8207</v>
      </c>
      <c r="F134" t="s">
        <v>9929</v>
      </c>
      <c r="H134" t="s">
        <v>69</v>
      </c>
      <c r="K134">
        <v>500</v>
      </c>
      <c r="L134" t="s">
        <v>6803</v>
      </c>
    </row>
    <row r="135" spans="1:12" x14ac:dyDescent="0.35">
      <c r="A135" t="s">
        <v>64</v>
      </c>
      <c r="B135" s="1">
        <v>45734</v>
      </c>
      <c r="C135" t="s">
        <v>7566</v>
      </c>
      <c r="E135" t="s">
        <v>8207</v>
      </c>
      <c r="F135" t="s">
        <v>9930</v>
      </c>
      <c r="H135" t="s">
        <v>69</v>
      </c>
      <c r="J135">
        <v>215260</v>
      </c>
      <c r="L135" t="s">
        <v>6803</v>
      </c>
    </row>
    <row r="136" spans="1:12" x14ac:dyDescent="0.35">
      <c r="A136" t="s">
        <v>64</v>
      </c>
      <c r="B136" s="1">
        <v>45734</v>
      </c>
      <c r="C136" t="s">
        <v>7569</v>
      </c>
      <c r="E136" t="s">
        <v>8207</v>
      </c>
      <c r="F136" t="s">
        <v>8098</v>
      </c>
      <c r="H136" t="s">
        <v>69</v>
      </c>
      <c r="J136">
        <v>215260</v>
      </c>
      <c r="L136" t="s">
        <v>6803</v>
      </c>
    </row>
    <row r="137" spans="1:12" x14ac:dyDescent="0.35">
      <c r="A137" t="s">
        <v>64</v>
      </c>
      <c r="B137" s="1">
        <v>45734</v>
      </c>
      <c r="C137" t="s">
        <v>7569</v>
      </c>
      <c r="E137" t="s">
        <v>8207</v>
      </c>
      <c r="F137" t="s">
        <v>9930</v>
      </c>
      <c r="H137" t="s">
        <v>69</v>
      </c>
      <c r="K137">
        <v>215260</v>
      </c>
      <c r="L137" t="s">
        <v>6803</v>
      </c>
    </row>
    <row r="138" spans="1:12" x14ac:dyDescent="0.35">
      <c r="A138" t="s">
        <v>64</v>
      </c>
      <c r="B138" s="1">
        <v>45734</v>
      </c>
      <c r="C138" t="s">
        <v>7570</v>
      </c>
      <c r="E138" t="s">
        <v>8208</v>
      </c>
      <c r="F138" t="s">
        <v>7831</v>
      </c>
      <c r="G138" t="s">
        <v>9933</v>
      </c>
      <c r="H138" t="s">
        <v>70</v>
      </c>
      <c r="K138">
        <v>214760</v>
      </c>
      <c r="L138" t="s">
        <v>6803</v>
      </c>
    </row>
    <row r="139" spans="1:12" x14ac:dyDescent="0.35">
      <c r="A139" t="s">
        <v>64</v>
      </c>
      <c r="B139" s="1">
        <v>45734</v>
      </c>
      <c r="C139" t="s">
        <v>7570</v>
      </c>
      <c r="E139" t="s">
        <v>8208</v>
      </c>
      <c r="F139" t="s">
        <v>9929</v>
      </c>
      <c r="H139" t="s">
        <v>70</v>
      </c>
      <c r="K139">
        <v>500</v>
      </c>
      <c r="L139" t="s">
        <v>6803</v>
      </c>
    </row>
    <row r="140" spans="1:12" x14ac:dyDescent="0.35">
      <c r="A140" t="s">
        <v>64</v>
      </c>
      <c r="B140" s="1">
        <v>45734</v>
      </c>
      <c r="C140" t="s">
        <v>7570</v>
      </c>
      <c r="E140" t="s">
        <v>8208</v>
      </c>
      <c r="F140" t="s">
        <v>9930</v>
      </c>
      <c r="H140" t="s">
        <v>70</v>
      </c>
      <c r="J140">
        <v>215260</v>
      </c>
      <c r="L140" t="s">
        <v>6803</v>
      </c>
    </row>
    <row r="141" spans="1:12" x14ac:dyDescent="0.35">
      <c r="A141" t="s">
        <v>64</v>
      </c>
      <c r="B141" s="1">
        <v>45734</v>
      </c>
      <c r="C141" t="s">
        <v>7573</v>
      </c>
      <c r="E141" t="s">
        <v>8208</v>
      </c>
      <c r="F141" t="s">
        <v>8098</v>
      </c>
      <c r="H141" t="s">
        <v>70</v>
      </c>
      <c r="J141">
        <v>215260</v>
      </c>
      <c r="L141" t="s">
        <v>6803</v>
      </c>
    </row>
    <row r="142" spans="1:12" x14ac:dyDescent="0.35">
      <c r="A142" t="s">
        <v>64</v>
      </c>
      <c r="B142" s="1">
        <v>45734</v>
      </c>
      <c r="C142" t="s">
        <v>7573</v>
      </c>
      <c r="E142" t="s">
        <v>8208</v>
      </c>
      <c r="F142" t="s">
        <v>9930</v>
      </c>
      <c r="H142" t="s">
        <v>70</v>
      </c>
      <c r="K142">
        <v>215260</v>
      </c>
      <c r="L142" t="s">
        <v>6803</v>
      </c>
    </row>
    <row r="143" spans="1:12" x14ac:dyDescent="0.35">
      <c r="A143" t="s">
        <v>64</v>
      </c>
      <c r="B143" s="1">
        <v>45734</v>
      </c>
      <c r="C143" t="s">
        <v>7575</v>
      </c>
      <c r="E143" t="s">
        <v>8209</v>
      </c>
      <c r="F143" t="s">
        <v>7831</v>
      </c>
      <c r="G143" t="s">
        <v>9933</v>
      </c>
      <c r="H143" t="s">
        <v>70</v>
      </c>
      <c r="K143">
        <v>214760</v>
      </c>
      <c r="L143" t="s">
        <v>6803</v>
      </c>
    </row>
    <row r="144" spans="1:12" x14ac:dyDescent="0.35">
      <c r="A144" t="s">
        <v>64</v>
      </c>
      <c r="B144" s="1">
        <v>45734</v>
      </c>
      <c r="C144" t="s">
        <v>7575</v>
      </c>
      <c r="E144" t="s">
        <v>8209</v>
      </c>
      <c r="F144" t="s">
        <v>9929</v>
      </c>
      <c r="H144" t="s">
        <v>70</v>
      </c>
      <c r="K144">
        <v>500</v>
      </c>
      <c r="L144" t="s">
        <v>6803</v>
      </c>
    </row>
    <row r="145" spans="1:12" x14ac:dyDescent="0.35">
      <c r="A145" t="s">
        <v>64</v>
      </c>
      <c r="B145" s="1">
        <v>45734</v>
      </c>
      <c r="C145" t="s">
        <v>7575</v>
      </c>
      <c r="E145" t="s">
        <v>8209</v>
      </c>
      <c r="F145" t="s">
        <v>9930</v>
      </c>
      <c r="H145" t="s">
        <v>70</v>
      </c>
      <c r="J145">
        <v>215260</v>
      </c>
      <c r="L145" t="s">
        <v>6803</v>
      </c>
    </row>
    <row r="146" spans="1:12" x14ac:dyDescent="0.35">
      <c r="A146" t="s">
        <v>64</v>
      </c>
      <c r="B146" s="1">
        <v>45734</v>
      </c>
      <c r="C146" t="s">
        <v>7576</v>
      </c>
      <c r="E146" t="s">
        <v>8209</v>
      </c>
      <c r="F146" t="s">
        <v>8098</v>
      </c>
      <c r="H146" t="s">
        <v>70</v>
      </c>
      <c r="J146">
        <v>215260</v>
      </c>
      <c r="L146" t="s">
        <v>6803</v>
      </c>
    </row>
    <row r="147" spans="1:12" x14ac:dyDescent="0.35">
      <c r="A147" t="s">
        <v>64</v>
      </c>
      <c r="B147" s="1">
        <v>45734</v>
      </c>
      <c r="C147" t="s">
        <v>7576</v>
      </c>
      <c r="E147" t="s">
        <v>8209</v>
      </c>
      <c r="F147" t="s">
        <v>9930</v>
      </c>
      <c r="H147" t="s">
        <v>70</v>
      </c>
      <c r="K147">
        <v>215260</v>
      </c>
      <c r="L147" t="s">
        <v>6803</v>
      </c>
    </row>
    <row r="148" spans="1:12" x14ac:dyDescent="0.35">
      <c r="A148" t="s">
        <v>64</v>
      </c>
      <c r="B148" s="1">
        <v>45734</v>
      </c>
      <c r="C148" t="s">
        <v>7577</v>
      </c>
      <c r="E148" t="s">
        <v>8210</v>
      </c>
      <c r="F148" t="s">
        <v>7831</v>
      </c>
      <c r="G148" t="s">
        <v>9933</v>
      </c>
      <c r="H148" t="s">
        <v>70</v>
      </c>
      <c r="K148">
        <v>322140</v>
      </c>
      <c r="L148" t="s">
        <v>6803</v>
      </c>
    </row>
    <row r="149" spans="1:12" x14ac:dyDescent="0.35">
      <c r="A149" t="s">
        <v>64</v>
      </c>
      <c r="B149" s="1">
        <v>45734</v>
      </c>
      <c r="C149" t="s">
        <v>7577</v>
      </c>
      <c r="E149" t="s">
        <v>8210</v>
      </c>
      <c r="F149" t="s">
        <v>9929</v>
      </c>
      <c r="H149" t="s">
        <v>70</v>
      </c>
      <c r="K149">
        <v>500</v>
      </c>
      <c r="L149" t="s">
        <v>6803</v>
      </c>
    </row>
    <row r="150" spans="1:12" x14ac:dyDescent="0.35">
      <c r="A150" t="s">
        <v>64</v>
      </c>
      <c r="B150" s="1">
        <v>45734</v>
      </c>
      <c r="C150" t="s">
        <v>7577</v>
      </c>
      <c r="E150" t="s">
        <v>8210</v>
      </c>
      <c r="F150" t="s">
        <v>9930</v>
      </c>
      <c r="H150" t="s">
        <v>70</v>
      </c>
      <c r="J150">
        <v>322640</v>
      </c>
      <c r="L150" t="s">
        <v>6803</v>
      </c>
    </row>
    <row r="151" spans="1:12" x14ac:dyDescent="0.35">
      <c r="A151" t="s">
        <v>64</v>
      </c>
      <c r="B151" s="1">
        <v>45734</v>
      </c>
      <c r="C151" t="s">
        <v>7607</v>
      </c>
      <c r="E151" t="s">
        <v>8210</v>
      </c>
      <c r="F151" t="s">
        <v>8098</v>
      </c>
      <c r="H151" t="s">
        <v>70</v>
      </c>
      <c r="J151">
        <v>322640</v>
      </c>
      <c r="L151" t="s">
        <v>6803</v>
      </c>
    </row>
    <row r="152" spans="1:12" x14ac:dyDescent="0.35">
      <c r="A152" t="s">
        <v>64</v>
      </c>
      <c r="B152" s="1">
        <v>45734</v>
      </c>
      <c r="C152" t="s">
        <v>7607</v>
      </c>
      <c r="E152" t="s">
        <v>8210</v>
      </c>
      <c r="F152" t="s">
        <v>9930</v>
      </c>
      <c r="H152" t="s">
        <v>70</v>
      </c>
      <c r="K152">
        <v>322640</v>
      </c>
      <c r="L152" t="s">
        <v>6803</v>
      </c>
    </row>
    <row r="153" spans="1:12" x14ac:dyDescent="0.35">
      <c r="A153" t="s">
        <v>64</v>
      </c>
      <c r="B153" s="1">
        <v>45735</v>
      </c>
      <c r="C153" t="s">
        <v>7173</v>
      </c>
      <c r="E153" t="s">
        <v>8222</v>
      </c>
      <c r="F153" t="s">
        <v>7831</v>
      </c>
      <c r="G153" t="s">
        <v>9924</v>
      </c>
      <c r="H153" t="s">
        <v>71</v>
      </c>
      <c r="K153">
        <v>2147600</v>
      </c>
      <c r="L153" t="s">
        <v>6803</v>
      </c>
    </row>
    <row r="154" spans="1:12" x14ac:dyDescent="0.35">
      <c r="A154" t="s">
        <v>64</v>
      </c>
      <c r="B154" s="1">
        <v>45735</v>
      </c>
      <c r="C154" t="s">
        <v>7173</v>
      </c>
      <c r="E154" t="s">
        <v>8222</v>
      </c>
      <c r="F154" t="s">
        <v>9929</v>
      </c>
      <c r="H154" t="s">
        <v>71</v>
      </c>
      <c r="K154">
        <v>2000</v>
      </c>
      <c r="L154" t="s">
        <v>6803</v>
      </c>
    </row>
    <row r="155" spans="1:12" x14ac:dyDescent="0.35">
      <c r="A155" t="s">
        <v>64</v>
      </c>
      <c r="B155" s="1">
        <v>45735</v>
      </c>
      <c r="C155" t="s">
        <v>7173</v>
      </c>
      <c r="E155" t="s">
        <v>8222</v>
      </c>
      <c r="F155" t="s">
        <v>9930</v>
      </c>
      <c r="H155" t="s">
        <v>71</v>
      </c>
      <c r="J155">
        <v>2149600</v>
      </c>
      <c r="L155" t="s">
        <v>6803</v>
      </c>
    </row>
    <row r="156" spans="1:12" x14ac:dyDescent="0.35">
      <c r="A156" t="s">
        <v>64</v>
      </c>
      <c r="B156" s="1">
        <v>45735</v>
      </c>
      <c r="C156" t="s">
        <v>7613</v>
      </c>
      <c r="E156" t="s">
        <v>8222</v>
      </c>
      <c r="F156" t="s">
        <v>8098</v>
      </c>
      <c r="H156" t="s">
        <v>71</v>
      </c>
      <c r="J156">
        <v>2149600</v>
      </c>
      <c r="L156" t="s">
        <v>6803</v>
      </c>
    </row>
    <row r="157" spans="1:12" x14ac:dyDescent="0.35">
      <c r="A157" t="s">
        <v>64</v>
      </c>
      <c r="B157" s="1">
        <v>45735</v>
      </c>
      <c r="C157" t="s">
        <v>7613</v>
      </c>
      <c r="E157" t="s">
        <v>8222</v>
      </c>
      <c r="F157" t="s">
        <v>9930</v>
      </c>
      <c r="H157" t="s">
        <v>71</v>
      </c>
      <c r="K157">
        <v>2149600</v>
      </c>
      <c r="L157" t="s">
        <v>6803</v>
      </c>
    </row>
    <row r="158" spans="1:12" x14ac:dyDescent="0.35">
      <c r="A158" t="s">
        <v>64</v>
      </c>
      <c r="B158" s="1">
        <v>45741</v>
      </c>
      <c r="C158" t="s">
        <v>7616</v>
      </c>
      <c r="E158" t="s">
        <v>8316</v>
      </c>
      <c r="F158" t="s">
        <v>7831</v>
      </c>
      <c r="G158" t="s">
        <v>9928</v>
      </c>
      <c r="H158" t="s">
        <v>65</v>
      </c>
      <c r="K158">
        <v>1062000</v>
      </c>
      <c r="L158" t="s">
        <v>6803</v>
      </c>
    </row>
    <row r="159" spans="1:12" x14ac:dyDescent="0.35">
      <c r="A159" t="s">
        <v>64</v>
      </c>
      <c r="B159" s="1">
        <v>45741</v>
      </c>
      <c r="C159" t="s">
        <v>7616</v>
      </c>
      <c r="E159" t="s">
        <v>8316</v>
      </c>
      <c r="F159" t="s">
        <v>9929</v>
      </c>
      <c r="H159" t="s">
        <v>65</v>
      </c>
      <c r="K159">
        <v>2000</v>
      </c>
      <c r="L159" t="s">
        <v>6803</v>
      </c>
    </row>
    <row r="160" spans="1:12" x14ac:dyDescent="0.35">
      <c r="A160" t="s">
        <v>64</v>
      </c>
      <c r="B160" s="1">
        <v>45741</v>
      </c>
      <c r="C160" t="s">
        <v>7616</v>
      </c>
      <c r="E160" t="s">
        <v>8316</v>
      </c>
      <c r="F160" t="s">
        <v>9930</v>
      </c>
      <c r="H160" t="s">
        <v>65</v>
      </c>
      <c r="J160">
        <v>1064000</v>
      </c>
      <c r="L160" t="s">
        <v>6803</v>
      </c>
    </row>
    <row r="161" spans="1:12" x14ac:dyDescent="0.35">
      <c r="A161" t="s">
        <v>64</v>
      </c>
      <c r="B161" s="1">
        <v>45741</v>
      </c>
      <c r="C161" t="s">
        <v>7619</v>
      </c>
      <c r="E161" t="s">
        <v>8316</v>
      </c>
      <c r="F161" t="s">
        <v>8098</v>
      </c>
      <c r="H161" t="s">
        <v>65</v>
      </c>
      <c r="J161">
        <v>1064000</v>
      </c>
      <c r="L161" t="s">
        <v>6803</v>
      </c>
    </row>
    <row r="162" spans="1:12" x14ac:dyDescent="0.35">
      <c r="A162" t="s">
        <v>64</v>
      </c>
      <c r="B162" s="1">
        <v>45741</v>
      </c>
      <c r="C162" t="s">
        <v>7619</v>
      </c>
      <c r="E162" t="s">
        <v>8316</v>
      </c>
      <c r="F162" t="s">
        <v>9930</v>
      </c>
      <c r="H162" t="s">
        <v>65</v>
      </c>
      <c r="K162">
        <v>1064000</v>
      </c>
      <c r="L162" t="s">
        <v>6803</v>
      </c>
    </row>
    <row r="163" spans="1:12" x14ac:dyDescent="0.35">
      <c r="A163" t="s">
        <v>64</v>
      </c>
      <c r="B163" s="1">
        <v>45744</v>
      </c>
      <c r="C163" t="s">
        <v>7621</v>
      </c>
      <c r="E163" t="s">
        <v>8353</v>
      </c>
      <c r="F163" t="s">
        <v>7831</v>
      </c>
      <c r="G163" t="s">
        <v>9924</v>
      </c>
      <c r="H163" t="s">
        <v>71</v>
      </c>
      <c r="K163">
        <v>2147600</v>
      </c>
      <c r="L163" t="s">
        <v>6803</v>
      </c>
    </row>
    <row r="164" spans="1:12" x14ac:dyDescent="0.35">
      <c r="A164" t="s">
        <v>64</v>
      </c>
      <c r="B164" s="1">
        <v>45744</v>
      </c>
      <c r="C164" t="s">
        <v>7621</v>
      </c>
      <c r="E164" t="s">
        <v>8353</v>
      </c>
      <c r="F164" t="s">
        <v>9929</v>
      </c>
      <c r="H164" t="s">
        <v>71</v>
      </c>
      <c r="K164">
        <v>2000</v>
      </c>
      <c r="L164" t="s">
        <v>6803</v>
      </c>
    </row>
    <row r="165" spans="1:12" x14ac:dyDescent="0.35">
      <c r="A165" t="s">
        <v>64</v>
      </c>
      <c r="B165" s="1">
        <v>45744</v>
      </c>
      <c r="C165" t="s">
        <v>7621</v>
      </c>
      <c r="E165" t="s">
        <v>8353</v>
      </c>
      <c r="F165" t="s">
        <v>9930</v>
      </c>
      <c r="H165" t="s">
        <v>71</v>
      </c>
      <c r="J165">
        <v>2149600</v>
      </c>
      <c r="L165" t="s">
        <v>6803</v>
      </c>
    </row>
    <row r="166" spans="1:12" x14ac:dyDescent="0.35">
      <c r="A166" t="s">
        <v>64</v>
      </c>
      <c r="B166" s="1">
        <v>45744</v>
      </c>
      <c r="C166" t="s">
        <v>7622</v>
      </c>
      <c r="E166" t="s">
        <v>8353</v>
      </c>
      <c r="F166" t="s">
        <v>8098</v>
      </c>
      <c r="H166" t="s">
        <v>71</v>
      </c>
      <c r="J166">
        <v>2149600</v>
      </c>
      <c r="L166" t="s">
        <v>6803</v>
      </c>
    </row>
    <row r="167" spans="1:12" x14ac:dyDescent="0.35">
      <c r="A167" t="s">
        <v>64</v>
      </c>
      <c r="B167" s="1">
        <v>45744</v>
      </c>
      <c r="C167" t="s">
        <v>7622</v>
      </c>
      <c r="E167" t="s">
        <v>8353</v>
      </c>
      <c r="F167" t="s">
        <v>9930</v>
      </c>
      <c r="H167" t="s">
        <v>71</v>
      </c>
      <c r="K167">
        <v>2149600</v>
      </c>
      <c r="L167" t="s">
        <v>6803</v>
      </c>
    </row>
    <row r="168" spans="1:12" x14ac:dyDescent="0.35">
      <c r="A168" t="s">
        <v>72</v>
      </c>
      <c r="B168" s="1">
        <v>45717</v>
      </c>
      <c r="C168" t="s">
        <v>7483</v>
      </c>
      <c r="D168" t="s">
        <v>9934</v>
      </c>
      <c r="E168" t="s">
        <v>73</v>
      </c>
      <c r="F168" t="s">
        <v>9935</v>
      </c>
      <c r="H168" t="s">
        <v>74</v>
      </c>
      <c r="J168">
        <v>756500</v>
      </c>
      <c r="L168" t="s">
        <v>6803</v>
      </c>
    </row>
    <row r="169" spans="1:12" x14ac:dyDescent="0.35">
      <c r="A169" t="s">
        <v>72</v>
      </c>
      <c r="B169" s="1">
        <v>45717</v>
      </c>
      <c r="C169" t="s">
        <v>7483</v>
      </c>
      <c r="D169" t="s">
        <v>9934</v>
      </c>
      <c r="E169" t="s">
        <v>73</v>
      </c>
      <c r="F169" t="s">
        <v>9923</v>
      </c>
      <c r="G169" t="s">
        <v>7097</v>
      </c>
      <c r="H169" t="s">
        <v>74</v>
      </c>
      <c r="K169">
        <v>756500</v>
      </c>
      <c r="L169" t="s">
        <v>6803</v>
      </c>
    </row>
    <row r="170" spans="1:12" x14ac:dyDescent="0.35">
      <c r="A170" t="s">
        <v>75</v>
      </c>
      <c r="B170" s="1">
        <v>45723</v>
      </c>
      <c r="C170" t="s">
        <v>7483</v>
      </c>
      <c r="D170" t="s">
        <v>76</v>
      </c>
      <c r="E170" t="s">
        <v>77</v>
      </c>
      <c r="F170" t="s">
        <v>7514</v>
      </c>
      <c r="G170" t="s">
        <v>9921</v>
      </c>
      <c r="H170" t="s">
        <v>78</v>
      </c>
      <c r="K170">
        <v>14160</v>
      </c>
      <c r="L170" t="s">
        <v>6803</v>
      </c>
    </row>
    <row r="171" spans="1:12" x14ac:dyDescent="0.35">
      <c r="A171" t="s">
        <v>75</v>
      </c>
      <c r="B171" s="1">
        <v>45723</v>
      </c>
      <c r="C171" t="s">
        <v>7483</v>
      </c>
      <c r="D171" t="s">
        <v>76</v>
      </c>
      <c r="E171" t="s">
        <v>77</v>
      </c>
      <c r="F171" t="s">
        <v>7516</v>
      </c>
      <c r="H171" t="s">
        <v>78</v>
      </c>
      <c r="J171">
        <v>14160</v>
      </c>
      <c r="L171" t="s">
        <v>346</v>
      </c>
    </row>
    <row r="172" spans="1:12" x14ac:dyDescent="0.35">
      <c r="A172" t="s">
        <v>75</v>
      </c>
      <c r="B172" s="1">
        <v>45723</v>
      </c>
      <c r="C172" t="s">
        <v>7485</v>
      </c>
      <c r="D172" t="s">
        <v>79</v>
      </c>
      <c r="E172" t="s">
        <v>80</v>
      </c>
      <c r="F172" t="s">
        <v>7514</v>
      </c>
      <c r="G172" t="s">
        <v>9921</v>
      </c>
      <c r="H172" t="s">
        <v>78</v>
      </c>
      <c r="K172">
        <v>14160</v>
      </c>
      <c r="L172" t="s">
        <v>6803</v>
      </c>
    </row>
    <row r="173" spans="1:12" x14ac:dyDescent="0.35">
      <c r="A173" t="s">
        <v>75</v>
      </c>
      <c r="B173" s="1">
        <v>45723</v>
      </c>
      <c r="C173" t="s">
        <v>7485</v>
      </c>
      <c r="D173" t="s">
        <v>79</v>
      </c>
      <c r="E173" t="s">
        <v>80</v>
      </c>
      <c r="F173" t="s">
        <v>7516</v>
      </c>
      <c r="H173" t="s">
        <v>78</v>
      </c>
      <c r="J173">
        <v>14160</v>
      </c>
      <c r="L173" t="s">
        <v>346</v>
      </c>
    </row>
    <row r="174" spans="1:12" x14ac:dyDescent="0.35">
      <c r="A174" t="s">
        <v>75</v>
      </c>
      <c r="B174" s="1">
        <v>45723</v>
      </c>
      <c r="C174" t="s">
        <v>7593</v>
      </c>
      <c r="D174" t="s">
        <v>81</v>
      </c>
      <c r="E174" t="s">
        <v>82</v>
      </c>
      <c r="F174" t="s">
        <v>7514</v>
      </c>
      <c r="G174" t="s">
        <v>9921</v>
      </c>
      <c r="H174" t="s">
        <v>78</v>
      </c>
      <c r="K174">
        <v>28320</v>
      </c>
      <c r="L174" t="s">
        <v>6803</v>
      </c>
    </row>
    <row r="175" spans="1:12" x14ac:dyDescent="0.35">
      <c r="A175" t="s">
        <v>75</v>
      </c>
      <c r="B175" s="1">
        <v>45723</v>
      </c>
      <c r="C175" t="s">
        <v>7593</v>
      </c>
      <c r="D175" t="s">
        <v>81</v>
      </c>
      <c r="E175" t="s">
        <v>82</v>
      </c>
      <c r="F175" t="s">
        <v>7516</v>
      </c>
      <c r="H175" t="s">
        <v>78</v>
      </c>
      <c r="J175">
        <v>28320</v>
      </c>
      <c r="L175" t="s">
        <v>346</v>
      </c>
    </row>
    <row r="176" spans="1:12" x14ac:dyDescent="0.35">
      <c r="A176" t="s">
        <v>75</v>
      </c>
      <c r="B176" s="1">
        <v>45723</v>
      </c>
      <c r="C176" t="s">
        <v>7596</v>
      </c>
      <c r="D176" t="s">
        <v>83</v>
      </c>
      <c r="E176" t="s">
        <v>84</v>
      </c>
      <c r="F176" t="s">
        <v>7514</v>
      </c>
      <c r="G176" t="s">
        <v>9921</v>
      </c>
      <c r="H176" t="s">
        <v>78</v>
      </c>
      <c r="K176">
        <v>14160</v>
      </c>
      <c r="L176" t="s">
        <v>6803</v>
      </c>
    </row>
    <row r="177" spans="1:12" x14ac:dyDescent="0.35">
      <c r="A177" t="s">
        <v>75</v>
      </c>
      <c r="B177" s="1">
        <v>45723</v>
      </c>
      <c r="C177" t="s">
        <v>7596</v>
      </c>
      <c r="D177" t="s">
        <v>83</v>
      </c>
      <c r="E177" t="s">
        <v>84</v>
      </c>
      <c r="F177" t="s">
        <v>7516</v>
      </c>
      <c r="H177" t="s">
        <v>78</v>
      </c>
      <c r="J177">
        <v>14160</v>
      </c>
      <c r="L177" t="s">
        <v>346</v>
      </c>
    </row>
    <row r="178" spans="1:12" x14ac:dyDescent="0.35">
      <c r="A178" t="s">
        <v>75</v>
      </c>
      <c r="B178" s="1">
        <v>45723</v>
      </c>
      <c r="C178" t="s">
        <v>7598</v>
      </c>
      <c r="D178" t="s">
        <v>85</v>
      </c>
      <c r="E178" t="s">
        <v>86</v>
      </c>
      <c r="F178" t="s">
        <v>7514</v>
      </c>
      <c r="G178" t="s">
        <v>9921</v>
      </c>
      <c r="H178" t="s">
        <v>78</v>
      </c>
      <c r="K178">
        <v>59000</v>
      </c>
      <c r="L178" t="s">
        <v>6803</v>
      </c>
    </row>
    <row r="179" spans="1:12" x14ac:dyDescent="0.35">
      <c r="A179" t="s">
        <v>75</v>
      </c>
      <c r="B179" s="1">
        <v>45723</v>
      </c>
      <c r="C179" t="s">
        <v>7598</v>
      </c>
      <c r="D179" t="s">
        <v>85</v>
      </c>
      <c r="E179" t="s">
        <v>86</v>
      </c>
      <c r="F179" t="s">
        <v>7516</v>
      </c>
      <c r="H179" t="s">
        <v>78</v>
      </c>
      <c r="J179">
        <v>59000</v>
      </c>
      <c r="L179" t="s">
        <v>346</v>
      </c>
    </row>
    <row r="180" spans="1:12" x14ac:dyDescent="0.35">
      <c r="A180" t="s">
        <v>75</v>
      </c>
      <c r="B180" s="1">
        <v>45723</v>
      </c>
      <c r="C180" t="s">
        <v>7599</v>
      </c>
      <c r="D180" t="s">
        <v>87</v>
      </c>
      <c r="E180" t="s">
        <v>88</v>
      </c>
      <c r="F180" t="s">
        <v>7514</v>
      </c>
      <c r="G180" t="s">
        <v>9921</v>
      </c>
      <c r="H180" t="s">
        <v>78</v>
      </c>
      <c r="K180">
        <v>177000</v>
      </c>
      <c r="L180" t="s">
        <v>6803</v>
      </c>
    </row>
    <row r="181" spans="1:12" x14ac:dyDescent="0.35">
      <c r="A181" t="s">
        <v>75</v>
      </c>
      <c r="B181" s="1">
        <v>45723</v>
      </c>
      <c r="C181" t="s">
        <v>7599</v>
      </c>
      <c r="D181" t="s">
        <v>87</v>
      </c>
      <c r="E181" t="s">
        <v>88</v>
      </c>
      <c r="F181" t="s">
        <v>7516</v>
      </c>
      <c r="H181" t="s">
        <v>78</v>
      </c>
      <c r="J181">
        <v>177000</v>
      </c>
      <c r="L181" t="s">
        <v>346</v>
      </c>
    </row>
    <row r="182" spans="1:12" x14ac:dyDescent="0.35">
      <c r="A182" t="s">
        <v>75</v>
      </c>
      <c r="B182" s="1">
        <v>45723</v>
      </c>
      <c r="C182" t="s">
        <v>7600</v>
      </c>
      <c r="D182" t="s">
        <v>89</v>
      </c>
      <c r="E182" t="s">
        <v>90</v>
      </c>
      <c r="F182" t="s">
        <v>7514</v>
      </c>
      <c r="G182" t="s">
        <v>9921</v>
      </c>
      <c r="H182" t="s">
        <v>78</v>
      </c>
      <c r="K182">
        <v>28320</v>
      </c>
      <c r="L182" t="s">
        <v>6803</v>
      </c>
    </row>
    <row r="183" spans="1:12" x14ac:dyDescent="0.35">
      <c r="A183" t="s">
        <v>75</v>
      </c>
      <c r="B183" s="1">
        <v>45723</v>
      </c>
      <c r="C183" t="s">
        <v>7600</v>
      </c>
      <c r="D183" t="s">
        <v>89</v>
      </c>
      <c r="E183" t="s">
        <v>90</v>
      </c>
      <c r="F183" t="s">
        <v>7516</v>
      </c>
      <c r="H183" t="s">
        <v>78</v>
      </c>
      <c r="J183">
        <v>28320</v>
      </c>
      <c r="L183" t="s">
        <v>346</v>
      </c>
    </row>
    <row r="184" spans="1:12" x14ac:dyDescent="0.35">
      <c r="A184" t="s">
        <v>75</v>
      </c>
      <c r="B184" s="1">
        <v>45723</v>
      </c>
      <c r="C184" t="s">
        <v>7601</v>
      </c>
      <c r="D184" t="s">
        <v>91</v>
      </c>
      <c r="E184" t="s">
        <v>92</v>
      </c>
      <c r="F184" t="s">
        <v>7514</v>
      </c>
      <c r="G184" t="s">
        <v>9921</v>
      </c>
      <c r="H184" t="s">
        <v>78</v>
      </c>
      <c r="K184">
        <v>236000</v>
      </c>
      <c r="L184" t="s">
        <v>6803</v>
      </c>
    </row>
    <row r="185" spans="1:12" x14ac:dyDescent="0.35">
      <c r="A185" t="s">
        <v>75</v>
      </c>
      <c r="B185" s="1">
        <v>45723</v>
      </c>
      <c r="C185" t="s">
        <v>7601</v>
      </c>
      <c r="D185" t="s">
        <v>91</v>
      </c>
      <c r="E185" t="s">
        <v>92</v>
      </c>
      <c r="F185" t="s">
        <v>7516</v>
      </c>
      <c r="H185" t="s">
        <v>78</v>
      </c>
      <c r="J185">
        <v>236000</v>
      </c>
      <c r="L185" t="s">
        <v>346</v>
      </c>
    </row>
    <row r="186" spans="1:12" x14ac:dyDescent="0.35">
      <c r="A186" t="s">
        <v>75</v>
      </c>
      <c r="B186" s="1">
        <v>45723</v>
      </c>
      <c r="C186" t="s">
        <v>7603</v>
      </c>
      <c r="D186" t="s">
        <v>93</v>
      </c>
      <c r="E186" t="s">
        <v>94</v>
      </c>
      <c r="F186" t="s">
        <v>7514</v>
      </c>
      <c r="G186" t="s">
        <v>9921</v>
      </c>
      <c r="H186" t="s">
        <v>78</v>
      </c>
      <c r="K186">
        <v>590000</v>
      </c>
      <c r="L186" t="s">
        <v>6803</v>
      </c>
    </row>
    <row r="187" spans="1:12" x14ac:dyDescent="0.35">
      <c r="A187" t="s">
        <v>75</v>
      </c>
      <c r="B187" s="1">
        <v>45723</v>
      </c>
      <c r="C187" t="s">
        <v>7603</v>
      </c>
      <c r="D187" t="s">
        <v>93</v>
      </c>
      <c r="E187" t="s">
        <v>94</v>
      </c>
      <c r="F187" t="s">
        <v>7516</v>
      </c>
      <c r="H187" t="s">
        <v>78</v>
      </c>
      <c r="J187">
        <v>590000</v>
      </c>
      <c r="L187" t="s">
        <v>346</v>
      </c>
    </row>
    <row r="188" spans="1:12" x14ac:dyDescent="0.35">
      <c r="A188" t="s">
        <v>75</v>
      </c>
      <c r="B188" s="1">
        <v>45723</v>
      </c>
      <c r="C188" t="s">
        <v>7549</v>
      </c>
      <c r="D188" t="s">
        <v>95</v>
      </c>
      <c r="E188" t="s">
        <v>96</v>
      </c>
      <c r="F188" t="s">
        <v>7514</v>
      </c>
      <c r="G188" t="s">
        <v>9921</v>
      </c>
      <c r="H188" t="s">
        <v>78</v>
      </c>
      <c r="K188">
        <v>236000</v>
      </c>
      <c r="L188" t="s">
        <v>6803</v>
      </c>
    </row>
    <row r="189" spans="1:12" x14ac:dyDescent="0.35">
      <c r="A189" t="s">
        <v>75</v>
      </c>
      <c r="B189" s="1">
        <v>45723</v>
      </c>
      <c r="C189" t="s">
        <v>7549</v>
      </c>
      <c r="D189" t="s">
        <v>95</v>
      </c>
      <c r="E189" t="s">
        <v>96</v>
      </c>
      <c r="F189" t="s">
        <v>7516</v>
      </c>
      <c r="H189" t="s">
        <v>78</v>
      </c>
      <c r="J189">
        <v>236000</v>
      </c>
      <c r="L189" t="s">
        <v>346</v>
      </c>
    </row>
    <row r="190" spans="1:12" x14ac:dyDescent="0.35">
      <c r="A190" t="s">
        <v>75</v>
      </c>
      <c r="B190" s="1">
        <v>45723</v>
      </c>
      <c r="C190" t="s">
        <v>7486</v>
      </c>
      <c r="D190" t="s">
        <v>97</v>
      </c>
      <c r="E190" t="s">
        <v>98</v>
      </c>
      <c r="F190" t="s">
        <v>7514</v>
      </c>
      <c r="G190" t="s">
        <v>9921</v>
      </c>
      <c r="H190" t="s">
        <v>78</v>
      </c>
      <c r="K190">
        <v>56640</v>
      </c>
      <c r="L190" t="s">
        <v>6803</v>
      </c>
    </row>
    <row r="191" spans="1:12" x14ac:dyDescent="0.35">
      <c r="A191" t="s">
        <v>75</v>
      </c>
      <c r="B191" s="1">
        <v>45723</v>
      </c>
      <c r="C191" t="s">
        <v>7486</v>
      </c>
      <c r="D191" t="s">
        <v>97</v>
      </c>
      <c r="E191" t="s">
        <v>98</v>
      </c>
      <c r="F191" t="s">
        <v>7516</v>
      </c>
      <c r="H191" t="s">
        <v>78</v>
      </c>
      <c r="J191">
        <v>56640</v>
      </c>
      <c r="L191" t="s">
        <v>346</v>
      </c>
    </row>
    <row r="192" spans="1:12" x14ac:dyDescent="0.35">
      <c r="A192" t="s">
        <v>75</v>
      </c>
      <c r="B192" s="1">
        <v>45723</v>
      </c>
      <c r="C192" t="s">
        <v>7489</v>
      </c>
      <c r="D192" t="s">
        <v>99</v>
      </c>
      <c r="E192" t="s">
        <v>100</v>
      </c>
      <c r="F192" t="s">
        <v>7514</v>
      </c>
      <c r="G192" t="s">
        <v>9921</v>
      </c>
      <c r="H192" t="s">
        <v>78</v>
      </c>
      <c r="K192">
        <v>68145</v>
      </c>
      <c r="L192" t="s">
        <v>6803</v>
      </c>
    </row>
    <row r="193" spans="1:12" x14ac:dyDescent="0.35">
      <c r="A193" t="s">
        <v>75</v>
      </c>
      <c r="B193" s="1">
        <v>45723</v>
      </c>
      <c r="C193" t="s">
        <v>7489</v>
      </c>
      <c r="D193" t="s">
        <v>99</v>
      </c>
      <c r="E193" t="s">
        <v>100</v>
      </c>
      <c r="F193" t="s">
        <v>7516</v>
      </c>
      <c r="H193" t="s">
        <v>78</v>
      </c>
      <c r="J193">
        <v>68145</v>
      </c>
      <c r="L193" t="s">
        <v>346</v>
      </c>
    </row>
    <row r="194" spans="1:12" x14ac:dyDescent="0.35">
      <c r="A194" t="s">
        <v>101</v>
      </c>
      <c r="B194" s="1">
        <v>45717</v>
      </c>
      <c r="C194" t="s">
        <v>7596</v>
      </c>
      <c r="F194" t="s">
        <v>9936</v>
      </c>
      <c r="H194" t="s">
        <v>102</v>
      </c>
      <c r="K194">
        <v>60442500</v>
      </c>
      <c r="L194" t="s">
        <v>6803</v>
      </c>
    </row>
    <row r="195" spans="1:12" x14ac:dyDescent="0.35">
      <c r="A195" t="s">
        <v>101</v>
      </c>
      <c r="B195" s="1">
        <v>45717</v>
      </c>
      <c r="C195" t="s">
        <v>7596</v>
      </c>
      <c r="F195" t="s">
        <v>7338</v>
      </c>
      <c r="H195" t="s">
        <v>102</v>
      </c>
      <c r="J195">
        <v>60442500</v>
      </c>
      <c r="L195" t="s">
        <v>6803</v>
      </c>
    </row>
    <row r="196" spans="1:12" x14ac:dyDescent="0.35">
      <c r="A196" t="s">
        <v>101</v>
      </c>
      <c r="B196" s="1">
        <v>45717</v>
      </c>
      <c r="C196" t="s">
        <v>7598</v>
      </c>
      <c r="E196" t="s">
        <v>103</v>
      </c>
      <c r="F196" t="s">
        <v>9937</v>
      </c>
      <c r="H196" t="s">
        <v>104</v>
      </c>
      <c r="J196">
        <v>87508</v>
      </c>
      <c r="L196" t="s">
        <v>6803</v>
      </c>
    </row>
    <row r="197" spans="1:12" x14ac:dyDescent="0.35">
      <c r="A197" t="s">
        <v>101</v>
      </c>
      <c r="B197" s="1">
        <v>45717</v>
      </c>
      <c r="C197" t="s">
        <v>7598</v>
      </c>
      <c r="E197" t="s">
        <v>103</v>
      </c>
      <c r="F197" t="s">
        <v>8471</v>
      </c>
      <c r="H197" t="s">
        <v>104</v>
      </c>
      <c r="K197">
        <v>87508</v>
      </c>
      <c r="L197" t="s">
        <v>6803</v>
      </c>
    </row>
    <row r="198" spans="1:12" x14ac:dyDescent="0.35">
      <c r="A198" t="s">
        <v>101</v>
      </c>
      <c r="B198" s="1">
        <v>45717</v>
      </c>
      <c r="C198" t="s">
        <v>7601</v>
      </c>
      <c r="F198" t="s">
        <v>8422</v>
      </c>
      <c r="G198" t="s">
        <v>105</v>
      </c>
      <c r="H198" t="s">
        <v>106</v>
      </c>
      <c r="I198" s="1">
        <v>45716</v>
      </c>
      <c r="J198">
        <v>12673376</v>
      </c>
      <c r="L198" t="s">
        <v>6803</v>
      </c>
    </row>
    <row r="199" spans="1:12" x14ac:dyDescent="0.35">
      <c r="A199" t="s">
        <v>101</v>
      </c>
      <c r="B199" s="1">
        <v>45717</v>
      </c>
      <c r="C199" t="s">
        <v>7601</v>
      </c>
      <c r="F199" t="s">
        <v>8423</v>
      </c>
      <c r="H199" t="s">
        <v>107</v>
      </c>
      <c r="K199">
        <v>-24235150</v>
      </c>
      <c r="L199" t="s">
        <v>349</v>
      </c>
    </row>
    <row r="200" spans="1:12" x14ac:dyDescent="0.35">
      <c r="A200" t="s">
        <v>101</v>
      </c>
      <c r="B200" s="1">
        <v>45717</v>
      </c>
      <c r="C200" t="s">
        <v>7601</v>
      </c>
      <c r="F200" t="s">
        <v>8423</v>
      </c>
      <c r="H200" t="s">
        <v>108</v>
      </c>
      <c r="K200">
        <v>24232000</v>
      </c>
      <c r="L200" t="s">
        <v>349</v>
      </c>
    </row>
    <row r="201" spans="1:12" x14ac:dyDescent="0.35">
      <c r="A201" t="s">
        <v>101</v>
      </c>
      <c r="B201" s="1">
        <v>45717</v>
      </c>
      <c r="C201" t="s">
        <v>7601</v>
      </c>
      <c r="F201" t="s">
        <v>8427</v>
      </c>
      <c r="H201" t="s">
        <v>109</v>
      </c>
      <c r="K201">
        <v>-850000</v>
      </c>
      <c r="L201" t="s">
        <v>349</v>
      </c>
    </row>
    <row r="202" spans="1:12" x14ac:dyDescent="0.35">
      <c r="A202" t="s">
        <v>101</v>
      </c>
      <c r="B202" s="1">
        <v>45717</v>
      </c>
      <c r="C202" t="s">
        <v>7601</v>
      </c>
      <c r="F202" t="s">
        <v>8427</v>
      </c>
      <c r="H202" t="s">
        <v>110</v>
      </c>
      <c r="K202">
        <v>19542500</v>
      </c>
      <c r="L202" t="s">
        <v>349</v>
      </c>
    </row>
    <row r="203" spans="1:12" x14ac:dyDescent="0.35">
      <c r="A203" t="s">
        <v>101</v>
      </c>
      <c r="B203" s="1">
        <v>45717</v>
      </c>
      <c r="C203" t="s">
        <v>7601</v>
      </c>
      <c r="F203" t="s">
        <v>8428</v>
      </c>
      <c r="H203" t="s">
        <v>111</v>
      </c>
      <c r="K203">
        <v>2376000</v>
      </c>
      <c r="L203" t="s">
        <v>349</v>
      </c>
    </row>
    <row r="204" spans="1:12" x14ac:dyDescent="0.35">
      <c r="A204" t="s">
        <v>101</v>
      </c>
      <c r="B204" s="1">
        <v>45717</v>
      </c>
      <c r="C204" t="s">
        <v>7601</v>
      </c>
      <c r="F204" t="s">
        <v>8429</v>
      </c>
      <c r="H204" t="s">
        <v>112</v>
      </c>
      <c r="K204">
        <v>-8391974</v>
      </c>
      <c r="L204" t="s">
        <v>349</v>
      </c>
    </row>
    <row r="205" spans="1:12" x14ac:dyDescent="0.35">
      <c r="A205" t="s">
        <v>101</v>
      </c>
      <c r="B205" s="1">
        <v>45747</v>
      </c>
      <c r="C205" t="s">
        <v>7483</v>
      </c>
      <c r="F205" t="s">
        <v>7338</v>
      </c>
      <c r="H205" t="s">
        <v>113</v>
      </c>
      <c r="K205">
        <v>10000000</v>
      </c>
      <c r="L205" t="s">
        <v>6803</v>
      </c>
    </row>
    <row r="206" spans="1:12" x14ac:dyDescent="0.35">
      <c r="A206" t="s">
        <v>101</v>
      </c>
      <c r="B206" s="1">
        <v>45747</v>
      </c>
      <c r="C206" t="s">
        <v>7483</v>
      </c>
      <c r="F206" t="s">
        <v>8494</v>
      </c>
      <c r="H206" t="s">
        <v>113</v>
      </c>
      <c r="J206">
        <v>10000000</v>
      </c>
      <c r="L206" t="s">
        <v>342</v>
      </c>
    </row>
    <row r="207" spans="1:12" x14ac:dyDescent="0.35">
      <c r="A207" t="s">
        <v>101</v>
      </c>
      <c r="B207" s="1">
        <v>45747</v>
      </c>
      <c r="C207" t="s">
        <v>7485</v>
      </c>
      <c r="F207" t="s">
        <v>8463</v>
      </c>
      <c r="H207" t="s">
        <v>114</v>
      </c>
      <c r="K207">
        <v>127764</v>
      </c>
      <c r="L207" t="s">
        <v>6803</v>
      </c>
    </row>
    <row r="208" spans="1:12" x14ac:dyDescent="0.35">
      <c r="A208" t="s">
        <v>101</v>
      </c>
      <c r="B208" s="1">
        <v>45747</v>
      </c>
      <c r="C208" t="s">
        <v>7485</v>
      </c>
      <c r="F208" t="s">
        <v>8464</v>
      </c>
      <c r="H208" t="s">
        <v>114</v>
      </c>
      <c r="J208">
        <v>127764</v>
      </c>
      <c r="L208" t="s">
        <v>345</v>
      </c>
    </row>
    <row r="209" spans="1:12" x14ac:dyDescent="0.35">
      <c r="A209" t="s">
        <v>101</v>
      </c>
      <c r="B209" s="1">
        <v>45747</v>
      </c>
      <c r="C209" t="s">
        <v>7593</v>
      </c>
      <c r="F209" t="s">
        <v>7560</v>
      </c>
      <c r="H209" t="s">
        <v>115</v>
      </c>
      <c r="K209">
        <v>352941</v>
      </c>
      <c r="L209" t="s">
        <v>6803</v>
      </c>
    </row>
    <row r="210" spans="1:12" x14ac:dyDescent="0.35">
      <c r="A210" t="s">
        <v>101</v>
      </c>
      <c r="B210" s="1">
        <v>45747</v>
      </c>
      <c r="C210" t="s">
        <v>7593</v>
      </c>
      <c r="F210" t="s">
        <v>7572</v>
      </c>
      <c r="H210" t="s">
        <v>115</v>
      </c>
      <c r="K210">
        <v>2000000</v>
      </c>
      <c r="L210" t="s">
        <v>6803</v>
      </c>
    </row>
    <row r="211" spans="1:12" x14ac:dyDescent="0.35">
      <c r="A211" t="s">
        <v>101</v>
      </c>
      <c r="B211" s="1">
        <v>45747</v>
      </c>
      <c r="C211" t="s">
        <v>7593</v>
      </c>
      <c r="F211" t="s">
        <v>7374</v>
      </c>
      <c r="H211" t="s">
        <v>115</v>
      </c>
      <c r="J211">
        <v>2352941</v>
      </c>
      <c r="L211" t="s">
        <v>352</v>
      </c>
    </row>
    <row r="212" spans="1:12" x14ac:dyDescent="0.35">
      <c r="A212" t="s">
        <v>101</v>
      </c>
      <c r="B212" s="1">
        <v>45747</v>
      </c>
      <c r="C212" t="s">
        <v>7599</v>
      </c>
      <c r="E212" t="s">
        <v>116</v>
      </c>
      <c r="F212" t="s">
        <v>8471</v>
      </c>
      <c r="H212" t="s">
        <v>117</v>
      </c>
      <c r="K212">
        <v>87508</v>
      </c>
      <c r="L212" t="s">
        <v>6803</v>
      </c>
    </row>
    <row r="213" spans="1:12" x14ac:dyDescent="0.35">
      <c r="A213" t="s">
        <v>101</v>
      </c>
      <c r="B213" s="1">
        <v>45747</v>
      </c>
      <c r="C213" t="s">
        <v>7599</v>
      </c>
      <c r="E213" t="s">
        <v>116</v>
      </c>
      <c r="F213" t="s">
        <v>8475</v>
      </c>
      <c r="H213" t="s">
        <v>118</v>
      </c>
      <c r="K213">
        <v>96904</v>
      </c>
      <c r="L213" t="s">
        <v>6803</v>
      </c>
    </row>
    <row r="214" spans="1:12" x14ac:dyDescent="0.35">
      <c r="A214" t="s">
        <v>101</v>
      </c>
      <c r="B214" s="1">
        <v>45747</v>
      </c>
      <c r="C214" t="s">
        <v>7599</v>
      </c>
      <c r="E214" t="s">
        <v>116</v>
      </c>
      <c r="F214" t="s">
        <v>8486</v>
      </c>
      <c r="H214" t="s">
        <v>119</v>
      </c>
      <c r="J214">
        <v>184412</v>
      </c>
      <c r="L214" t="s">
        <v>353</v>
      </c>
    </row>
    <row r="215" spans="1:12" x14ac:dyDescent="0.35">
      <c r="A215" t="s">
        <v>101</v>
      </c>
      <c r="B215" s="1">
        <v>45747</v>
      </c>
      <c r="C215" t="s">
        <v>7600</v>
      </c>
      <c r="F215" t="s">
        <v>8419</v>
      </c>
      <c r="H215" t="s">
        <v>120</v>
      </c>
      <c r="J215">
        <v>21173526</v>
      </c>
      <c r="L215" t="s">
        <v>6803</v>
      </c>
    </row>
    <row r="216" spans="1:12" x14ac:dyDescent="0.35">
      <c r="A216" t="s">
        <v>101</v>
      </c>
      <c r="B216" s="1">
        <v>45747</v>
      </c>
      <c r="C216" t="s">
        <v>7600</v>
      </c>
      <c r="F216" t="s">
        <v>7836</v>
      </c>
      <c r="H216" t="s">
        <v>120</v>
      </c>
      <c r="K216">
        <v>19634526</v>
      </c>
      <c r="L216" t="s">
        <v>6803</v>
      </c>
    </row>
    <row r="217" spans="1:12" x14ac:dyDescent="0.35">
      <c r="A217" t="s">
        <v>101</v>
      </c>
      <c r="B217" s="1">
        <v>45747</v>
      </c>
      <c r="C217" t="s">
        <v>7600</v>
      </c>
      <c r="F217" t="s">
        <v>6806</v>
      </c>
      <c r="H217" t="s">
        <v>120</v>
      </c>
      <c r="K217">
        <v>135000</v>
      </c>
      <c r="L217" t="s">
        <v>6803</v>
      </c>
    </row>
    <row r="218" spans="1:12" x14ac:dyDescent="0.35">
      <c r="A218" t="s">
        <v>101</v>
      </c>
      <c r="B218" s="1">
        <v>45747</v>
      </c>
      <c r="C218" t="s">
        <v>7600</v>
      </c>
      <c r="F218" t="s">
        <v>6819</v>
      </c>
      <c r="H218" t="s">
        <v>120</v>
      </c>
      <c r="K218">
        <v>1404000</v>
      </c>
      <c r="L218" t="s">
        <v>6803</v>
      </c>
    </row>
    <row r="219" spans="1:12" x14ac:dyDescent="0.35">
      <c r="A219" t="s">
        <v>101</v>
      </c>
      <c r="B219" s="1">
        <v>45747</v>
      </c>
      <c r="C219" t="s">
        <v>7603</v>
      </c>
      <c r="F219" t="s">
        <v>8422</v>
      </c>
      <c r="G219" t="s">
        <v>105</v>
      </c>
      <c r="H219" t="s">
        <v>121</v>
      </c>
      <c r="I219" s="1">
        <v>45747</v>
      </c>
      <c r="J219">
        <v>-40613376</v>
      </c>
      <c r="L219" t="s">
        <v>6803</v>
      </c>
    </row>
    <row r="220" spans="1:12" x14ac:dyDescent="0.35">
      <c r="A220" t="s">
        <v>101</v>
      </c>
      <c r="B220" s="1">
        <v>45747</v>
      </c>
      <c r="C220" t="s">
        <v>7603</v>
      </c>
      <c r="F220" t="s">
        <v>8423</v>
      </c>
      <c r="H220" t="s">
        <v>122</v>
      </c>
      <c r="K220">
        <v>7846150</v>
      </c>
      <c r="L220" t="s">
        <v>349</v>
      </c>
    </row>
    <row r="221" spans="1:12" x14ac:dyDescent="0.35">
      <c r="A221" t="s">
        <v>101</v>
      </c>
      <c r="B221" s="1">
        <v>45747</v>
      </c>
      <c r="C221" t="s">
        <v>7603</v>
      </c>
      <c r="F221" t="s">
        <v>8423</v>
      </c>
      <c r="H221" t="s">
        <v>123</v>
      </c>
      <c r="K221">
        <v>-32880000</v>
      </c>
      <c r="L221" t="s">
        <v>349</v>
      </c>
    </row>
    <row r="222" spans="1:12" x14ac:dyDescent="0.35">
      <c r="A222" t="s">
        <v>101</v>
      </c>
      <c r="B222" s="1">
        <v>45747</v>
      </c>
      <c r="C222" t="s">
        <v>7603</v>
      </c>
      <c r="F222" t="s">
        <v>8427</v>
      </c>
      <c r="H222" t="s">
        <v>121</v>
      </c>
      <c r="K222">
        <v>1010000</v>
      </c>
      <c r="L222" t="s">
        <v>349</v>
      </c>
    </row>
    <row r="223" spans="1:12" x14ac:dyDescent="0.35">
      <c r="A223" t="s">
        <v>101</v>
      </c>
      <c r="B223" s="1">
        <v>45747</v>
      </c>
      <c r="C223" t="s">
        <v>7603</v>
      </c>
      <c r="F223" t="s">
        <v>8427</v>
      </c>
      <c r="H223" t="s">
        <v>121</v>
      </c>
      <c r="K223">
        <v>-20526500</v>
      </c>
      <c r="L223" t="s">
        <v>349</v>
      </c>
    </row>
    <row r="224" spans="1:12" x14ac:dyDescent="0.35">
      <c r="A224" t="s">
        <v>101</v>
      </c>
      <c r="B224" s="1">
        <v>45747</v>
      </c>
      <c r="C224" t="s">
        <v>7603</v>
      </c>
      <c r="F224" t="s">
        <v>8428</v>
      </c>
      <c r="H224" t="s">
        <v>124</v>
      </c>
      <c r="K224">
        <v>-4455000</v>
      </c>
      <c r="L224" t="s">
        <v>349</v>
      </c>
    </row>
    <row r="225" spans="1:12" x14ac:dyDescent="0.35">
      <c r="A225" t="s">
        <v>101</v>
      </c>
      <c r="B225" s="1">
        <v>45747</v>
      </c>
      <c r="C225" t="s">
        <v>7603</v>
      </c>
      <c r="F225" t="s">
        <v>8429</v>
      </c>
      <c r="H225" t="s">
        <v>125</v>
      </c>
      <c r="K225">
        <v>8391974</v>
      </c>
      <c r="L225" t="s">
        <v>349</v>
      </c>
    </row>
    <row r="226" spans="1:12" x14ac:dyDescent="0.35">
      <c r="A226" t="s">
        <v>126</v>
      </c>
      <c r="B226" s="1">
        <v>45720</v>
      </c>
      <c r="C226" t="s">
        <v>7684</v>
      </c>
      <c r="E226" t="s">
        <v>8526</v>
      </c>
      <c r="F226" t="s">
        <v>7831</v>
      </c>
      <c r="G226" t="s">
        <v>9900</v>
      </c>
      <c r="H226" t="s">
        <v>127</v>
      </c>
      <c r="K226">
        <v>214760</v>
      </c>
      <c r="L226" t="s">
        <v>6803</v>
      </c>
    </row>
    <row r="227" spans="1:12" x14ac:dyDescent="0.35">
      <c r="A227" t="s">
        <v>126</v>
      </c>
      <c r="B227" s="1">
        <v>45720</v>
      </c>
      <c r="C227" t="s">
        <v>7684</v>
      </c>
      <c r="E227" t="s">
        <v>8526</v>
      </c>
      <c r="F227" t="s">
        <v>8524</v>
      </c>
      <c r="H227" t="s">
        <v>127</v>
      </c>
      <c r="J227">
        <v>214760</v>
      </c>
      <c r="L227" t="s">
        <v>6803</v>
      </c>
    </row>
    <row r="228" spans="1:12" x14ac:dyDescent="0.35">
      <c r="A228" t="s">
        <v>126</v>
      </c>
      <c r="B228" s="1">
        <v>45720</v>
      </c>
      <c r="C228" t="s">
        <v>7578</v>
      </c>
      <c r="E228" t="s">
        <v>8526</v>
      </c>
      <c r="F228" t="s">
        <v>8098</v>
      </c>
      <c r="H228" t="s">
        <v>127</v>
      </c>
      <c r="J228">
        <v>214760</v>
      </c>
      <c r="L228" t="s">
        <v>6803</v>
      </c>
    </row>
    <row r="229" spans="1:12" x14ac:dyDescent="0.35">
      <c r="A229" t="s">
        <v>126</v>
      </c>
      <c r="B229" s="1">
        <v>45720</v>
      </c>
      <c r="C229" t="s">
        <v>7578</v>
      </c>
      <c r="E229" t="s">
        <v>8526</v>
      </c>
      <c r="F229" t="s">
        <v>8524</v>
      </c>
      <c r="H229" t="s">
        <v>127</v>
      </c>
      <c r="K229">
        <v>214760</v>
      </c>
      <c r="L229" t="s">
        <v>6803</v>
      </c>
    </row>
    <row r="230" spans="1:12" x14ac:dyDescent="0.35">
      <c r="A230" t="s">
        <v>126</v>
      </c>
      <c r="B230" s="1">
        <v>45722</v>
      </c>
      <c r="C230" t="s">
        <v>7557</v>
      </c>
      <c r="E230" t="s">
        <v>8527</v>
      </c>
      <c r="F230" t="s">
        <v>7831</v>
      </c>
      <c r="G230" t="s">
        <v>9900</v>
      </c>
      <c r="H230" t="s">
        <v>128</v>
      </c>
      <c r="K230">
        <v>859040</v>
      </c>
      <c r="L230" t="s">
        <v>6803</v>
      </c>
    </row>
    <row r="231" spans="1:12" x14ac:dyDescent="0.35">
      <c r="A231" t="s">
        <v>126</v>
      </c>
      <c r="B231" s="1">
        <v>45722</v>
      </c>
      <c r="C231" t="s">
        <v>7557</v>
      </c>
      <c r="E231" t="s">
        <v>8527</v>
      </c>
      <c r="F231" t="s">
        <v>8524</v>
      </c>
      <c r="H231" t="s">
        <v>128</v>
      </c>
      <c r="J231">
        <v>859040</v>
      </c>
      <c r="L231" t="s">
        <v>6803</v>
      </c>
    </row>
    <row r="232" spans="1:12" x14ac:dyDescent="0.35">
      <c r="A232" t="s">
        <v>126</v>
      </c>
      <c r="B232" s="1">
        <v>45722</v>
      </c>
      <c r="C232" t="s">
        <v>7685</v>
      </c>
      <c r="E232" t="s">
        <v>8527</v>
      </c>
      <c r="F232" t="s">
        <v>8098</v>
      </c>
      <c r="H232" t="s">
        <v>128</v>
      </c>
      <c r="J232">
        <v>859040</v>
      </c>
      <c r="L232" t="s">
        <v>6803</v>
      </c>
    </row>
    <row r="233" spans="1:12" x14ac:dyDescent="0.35">
      <c r="A233" t="s">
        <v>126</v>
      </c>
      <c r="B233" s="1">
        <v>45722</v>
      </c>
      <c r="C233" t="s">
        <v>7685</v>
      </c>
      <c r="E233" t="s">
        <v>8527</v>
      </c>
      <c r="F233" t="s">
        <v>8524</v>
      </c>
      <c r="H233" t="s">
        <v>128</v>
      </c>
      <c r="K233">
        <v>859040</v>
      </c>
      <c r="L233" t="s">
        <v>6803</v>
      </c>
    </row>
    <row r="234" spans="1:12" x14ac:dyDescent="0.35">
      <c r="A234" t="s">
        <v>126</v>
      </c>
      <c r="B234" s="1">
        <v>45722</v>
      </c>
      <c r="C234" t="s">
        <v>7690</v>
      </c>
      <c r="E234" t="s">
        <v>8528</v>
      </c>
      <c r="F234" t="s">
        <v>7831</v>
      </c>
      <c r="G234" t="s">
        <v>9900</v>
      </c>
      <c r="H234" t="s">
        <v>127</v>
      </c>
      <c r="K234">
        <v>214760</v>
      </c>
      <c r="L234" t="s">
        <v>6803</v>
      </c>
    </row>
    <row r="235" spans="1:12" x14ac:dyDescent="0.35">
      <c r="A235" t="s">
        <v>126</v>
      </c>
      <c r="B235" s="1">
        <v>45722</v>
      </c>
      <c r="C235" t="s">
        <v>7690</v>
      </c>
      <c r="E235" t="s">
        <v>8528</v>
      </c>
      <c r="F235" t="s">
        <v>8524</v>
      </c>
      <c r="H235" t="s">
        <v>127</v>
      </c>
      <c r="J235">
        <v>214760</v>
      </c>
      <c r="L235" t="s">
        <v>6803</v>
      </c>
    </row>
    <row r="236" spans="1:12" x14ac:dyDescent="0.35">
      <c r="A236" t="s">
        <v>126</v>
      </c>
      <c r="B236" s="1">
        <v>45722</v>
      </c>
      <c r="C236" t="s">
        <v>7692</v>
      </c>
      <c r="E236" t="s">
        <v>8528</v>
      </c>
      <c r="F236" t="s">
        <v>8098</v>
      </c>
      <c r="H236" t="s">
        <v>127</v>
      </c>
      <c r="J236">
        <v>214760</v>
      </c>
      <c r="L236" t="s">
        <v>6803</v>
      </c>
    </row>
    <row r="237" spans="1:12" x14ac:dyDescent="0.35">
      <c r="A237" t="s">
        <v>126</v>
      </c>
      <c r="B237" s="1">
        <v>45722</v>
      </c>
      <c r="C237" t="s">
        <v>7692</v>
      </c>
      <c r="E237" t="s">
        <v>8528</v>
      </c>
      <c r="F237" t="s">
        <v>8524</v>
      </c>
      <c r="H237" t="s">
        <v>127</v>
      </c>
      <c r="K237">
        <v>214760</v>
      </c>
      <c r="L237" t="s">
        <v>6803</v>
      </c>
    </row>
    <row r="238" spans="1:12" x14ac:dyDescent="0.35">
      <c r="A238" t="s">
        <v>126</v>
      </c>
      <c r="B238" s="1">
        <v>45726</v>
      </c>
      <c r="C238" t="s">
        <v>7695</v>
      </c>
      <c r="E238" t="s">
        <v>8529</v>
      </c>
      <c r="F238" t="s">
        <v>7831</v>
      </c>
      <c r="G238" t="s">
        <v>9900</v>
      </c>
      <c r="H238" t="s">
        <v>127</v>
      </c>
      <c r="K238">
        <v>859040</v>
      </c>
      <c r="L238" t="s">
        <v>6803</v>
      </c>
    </row>
    <row r="239" spans="1:12" x14ac:dyDescent="0.35">
      <c r="A239" t="s">
        <v>126</v>
      </c>
      <c r="B239" s="1">
        <v>45726</v>
      </c>
      <c r="C239" t="s">
        <v>7695</v>
      </c>
      <c r="E239" t="s">
        <v>8529</v>
      </c>
      <c r="F239" t="s">
        <v>8524</v>
      </c>
      <c r="H239" t="s">
        <v>127</v>
      </c>
      <c r="J239">
        <v>859040</v>
      </c>
      <c r="L239" t="s">
        <v>6803</v>
      </c>
    </row>
    <row r="240" spans="1:12" x14ac:dyDescent="0.35">
      <c r="A240" t="s">
        <v>126</v>
      </c>
      <c r="B240" s="1">
        <v>45726</v>
      </c>
      <c r="C240" t="s">
        <v>7693</v>
      </c>
      <c r="E240" t="s">
        <v>8529</v>
      </c>
      <c r="F240" t="s">
        <v>8098</v>
      </c>
      <c r="H240" t="s">
        <v>127</v>
      </c>
      <c r="J240">
        <v>859040</v>
      </c>
      <c r="L240" t="s">
        <v>6803</v>
      </c>
    </row>
    <row r="241" spans="1:12" x14ac:dyDescent="0.35">
      <c r="A241" t="s">
        <v>126</v>
      </c>
      <c r="B241" s="1">
        <v>45726</v>
      </c>
      <c r="C241" t="s">
        <v>7693</v>
      </c>
      <c r="E241" t="s">
        <v>8529</v>
      </c>
      <c r="F241" t="s">
        <v>8524</v>
      </c>
      <c r="H241" t="s">
        <v>127</v>
      </c>
      <c r="K241">
        <v>859040</v>
      </c>
      <c r="L241" t="s">
        <v>6803</v>
      </c>
    </row>
    <row r="242" spans="1:12" x14ac:dyDescent="0.35">
      <c r="A242" t="s">
        <v>126</v>
      </c>
      <c r="B242" s="1">
        <v>45729</v>
      </c>
      <c r="C242" t="s">
        <v>7714</v>
      </c>
      <c r="E242" t="s">
        <v>8530</v>
      </c>
      <c r="F242" t="s">
        <v>7831</v>
      </c>
      <c r="G242" t="s">
        <v>9900</v>
      </c>
      <c r="H242" t="s">
        <v>129</v>
      </c>
      <c r="K242">
        <v>429520</v>
      </c>
      <c r="L242" t="s">
        <v>6803</v>
      </c>
    </row>
    <row r="243" spans="1:12" x14ac:dyDescent="0.35">
      <c r="A243" t="s">
        <v>126</v>
      </c>
      <c r="B243" s="1">
        <v>45729</v>
      </c>
      <c r="C243" t="s">
        <v>7714</v>
      </c>
      <c r="E243" t="s">
        <v>8530</v>
      </c>
      <c r="F243" t="s">
        <v>8524</v>
      </c>
      <c r="H243" t="s">
        <v>129</v>
      </c>
      <c r="J243">
        <v>429520</v>
      </c>
      <c r="L243" t="s">
        <v>6803</v>
      </c>
    </row>
    <row r="244" spans="1:12" x14ac:dyDescent="0.35">
      <c r="A244" t="s">
        <v>126</v>
      </c>
      <c r="B244" s="1">
        <v>45729</v>
      </c>
      <c r="C244" t="s">
        <v>7716</v>
      </c>
      <c r="E244" t="s">
        <v>8530</v>
      </c>
      <c r="F244" t="s">
        <v>8098</v>
      </c>
      <c r="H244" t="s">
        <v>129</v>
      </c>
      <c r="J244">
        <v>429520</v>
      </c>
      <c r="L244" t="s">
        <v>6803</v>
      </c>
    </row>
    <row r="245" spans="1:12" x14ac:dyDescent="0.35">
      <c r="A245" t="s">
        <v>126</v>
      </c>
      <c r="B245" s="1">
        <v>45729</v>
      </c>
      <c r="C245" t="s">
        <v>7716</v>
      </c>
      <c r="E245" t="s">
        <v>8530</v>
      </c>
      <c r="F245" t="s">
        <v>8524</v>
      </c>
      <c r="H245" t="s">
        <v>129</v>
      </c>
      <c r="K245">
        <v>429520</v>
      </c>
      <c r="L245" t="s">
        <v>6803</v>
      </c>
    </row>
    <row r="246" spans="1:12" x14ac:dyDescent="0.35">
      <c r="A246" t="s">
        <v>126</v>
      </c>
      <c r="B246" s="1">
        <v>45735</v>
      </c>
      <c r="C246" t="s">
        <v>7718</v>
      </c>
      <c r="E246" t="s">
        <v>8531</v>
      </c>
      <c r="F246" t="s">
        <v>7831</v>
      </c>
      <c r="G246" t="s">
        <v>9900</v>
      </c>
      <c r="H246" t="s">
        <v>129</v>
      </c>
      <c r="K246">
        <v>429520</v>
      </c>
      <c r="L246" t="s">
        <v>6803</v>
      </c>
    </row>
    <row r="247" spans="1:12" x14ac:dyDescent="0.35">
      <c r="A247" t="s">
        <v>126</v>
      </c>
      <c r="B247" s="1">
        <v>45735</v>
      </c>
      <c r="C247" t="s">
        <v>7718</v>
      </c>
      <c r="E247" t="s">
        <v>8531</v>
      </c>
      <c r="F247" t="s">
        <v>8524</v>
      </c>
      <c r="H247" t="s">
        <v>129</v>
      </c>
      <c r="J247">
        <v>429520</v>
      </c>
      <c r="L247" t="s">
        <v>6803</v>
      </c>
    </row>
    <row r="248" spans="1:12" x14ac:dyDescent="0.35">
      <c r="A248" t="s">
        <v>126</v>
      </c>
      <c r="B248" s="1">
        <v>45735</v>
      </c>
      <c r="C248" t="s">
        <v>7720</v>
      </c>
      <c r="E248" t="s">
        <v>8531</v>
      </c>
      <c r="F248" t="s">
        <v>8098</v>
      </c>
      <c r="H248" t="s">
        <v>129</v>
      </c>
      <c r="J248">
        <v>429520</v>
      </c>
      <c r="L248" t="s">
        <v>6803</v>
      </c>
    </row>
    <row r="249" spans="1:12" x14ac:dyDescent="0.35">
      <c r="A249" t="s">
        <v>126</v>
      </c>
      <c r="B249" s="1">
        <v>45735</v>
      </c>
      <c r="C249" t="s">
        <v>7720</v>
      </c>
      <c r="E249" t="s">
        <v>8531</v>
      </c>
      <c r="F249" t="s">
        <v>8524</v>
      </c>
      <c r="H249" t="s">
        <v>129</v>
      </c>
      <c r="K249">
        <v>429520</v>
      </c>
      <c r="L249" t="s">
        <v>6803</v>
      </c>
    </row>
    <row r="250" spans="1:12" x14ac:dyDescent="0.35">
      <c r="A250" t="s">
        <v>126</v>
      </c>
      <c r="B250" s="1">
        <v>45736</v>
      </c>
      <c r="C250" t="s">
        <v>7722</v>
      </c>
      <c r="E250" t="s">
        <v>8532</v>
      </c>
      <c r="F250" t="s">
        <v>7831</v>
      </c>
      <c r="G250" t="s">
        <v>9900</v>
      </c>
      <c r="H250" t="s">
        <v>127</v>
      </c>
      <c r="K250">
        <v>644280</v>
      </c>
      <c r="L250" t="s">
        <v>6803</v>
      </c>
    </row>
    <row r="251" spans="1:12" x14ac:dyDescent="0.35">
      <c r="A251" t="s">
        <v>126</v>
      </c>
      <c r="B251" s="1">
        <v>45736</v>
      </c>
      <c r="C251" t="s">
        <v>7722</v>
      </c>
      <c r="E251" t="s">
        <v>8532</v>
      </c>
      <c r="F251" t="s">
        <v>8524</v>
      </c>
      <c r="H251" t="s">
        <v>127</v>
      </c>
      <c r="J251">
        <v>644280</v>
      </c>
      <c r="L251" t="s">
        <v>6803</v>
      </c>
    </row>
    <row r="252" spans="1:12" x14ac:dyDescent="0.35">
      <c r="A252" t="s">
        <v>126</v>
      </c>
      <c r="B252" s="1">
        <v>45736</v>
      </c>
      <c r="C252" t="s">
        <v>7723</v>
      </c>
      <c r="E252" t="s">
        <v>8532</v>
      </c>
      <c r="F252" t="s">
        <v>8098</v>
      </c>
      <c r="H252" t="s">
        <v>127</v>
      </c>
      <c r="J252">
        <v>644280</v>
      </c>
      <c r="L252" t="s">
        <v>6803</v>
      </c>
    </row>
    <row r="253" spans="1:12" x14ac:dyDescent="0.35">
      <c r="A253" t="s">
        <v>126</v>
      </c>
      <c r="B253" s="1">
        <v>45736</v>
      </c>
      <c r="C253" t="s">
        <v>7723</v>
      </c>
      <c r="E253" t="s">
        <v>8532</v>
      </c>
      <c r="F253" t="s">
        <v>8524</v>
      </c>
      <c r="H253" t="s">
        <v>127</v>
      </c>
      <c r="K253">
        <v>644280</v>
      </c>
      <c r="L253" t="s">
        <v>6803</v>
      </c>
    </row>
    <row r="254" spans="1:12" x14ac:dyDescent="0.35">
      <c r="A254" t="s">
        <v>126</v>
      </c>
      <c r="B254" s="1">
        <v>45740</v>
      </c>
      <c r="C254" t="s">
        <v>7736</v>
      </c>
      <c r="E254" t="s">
        <v>8533</v>
      </c>
      <c r="F254" t="s">
        <v>7831</v>
      </c>
      <c r="G254" t="s">
        <v>9900</v>
      </c>
      <c r="H254" t="s">
        <v>130</v>
      </c>
      <c r="K254">
        <v>214760</v>
      </c>
      <c r="L254" t="s">
        <v>6803</v>
      </c>
    </row>
    <row r="255" spans="1:12" x14ac:dyDescent="0.35">
      <c r="A255" t="s">
        <v>126</v>
      </c>
      <c r="B255" s="1">
        <v>45740</v>
      </c>
      <c r="C255" t="s">
        <v>7736</v>
      </c>
      <c r="E255" t="s">
        <v>8533</v>
      </c>
      <c r="F255" t="s">
        <v>8524</v>
      </c>
      <c r="H255" t="s">
        <v>130</v>
      </c>
      <c r="J255">
        <v>214760</v>
      </c>
      <c r="L255" t="s">
        <v>6803</v>
      </c>
    </row>
    <row r="256" spans="1:12" x14ac:dyDescent="0.35">
      <c r="A256" t="s">
        <v>126</v>
      </c>
      <c r="B256" s="1">
        <v>45740</v>
      </c>
      <c r="C256" t="s">
        <v>7742</v>
      </c>
      <c r="E256" t="s">
        <v>8533</v>
      </c>
      <c r="F256" t="s">
        <v>8098</v>
      </c>
      <c r="H256" t="s">
        <v>130</v>
      </c>
      <c r="J256">
        <v>214760</v>
      </c>
      <c r="L256" t="s">
        <v>6803</v>
      </c>
    </row>
    <row r="257" spans="1:12" x14ac:dyDescent="0.35">
      <c r="A257" t="s">
        <v>126</v>
      </c>
      <c r="B257" s="1">
        <v>45740</v>
      </c>
      <c r="C257" t="s">
        <v>7742</v>
      </c>
      <c r="E257" t="s">
        <v>8533</v>
      </c>
      <c r="F257" t="s">
        <v>8524</v>
      </c>
      <c r="H257" t="s">
        <v>130</v>
      </c>
      <c r="K257">
        <v>214760</v>
      </c>
      <c r="L257" t="s">
        <v>6803</v>
      </c>
    </row>
    <row r="258" spans="1:12" x14ac:dyDescent="0.35">
      <c r="A258" t="s">
        <v>126</v>
      </c>
      <c r="B258" s="1">
        <v>45741</v>
      </c>
      <c r="C258" t="s">
        <v>7738</v>
      </c>
      <c r="E258" t="s">
        <v>8534</v>
      </c>
      <c r="F258" t="s">
        <v>7831</v>
      </c>
      <c r="G258" t="s">
        <v>9900</v>
      </c>
      <c r="H258" t="s">
        <v>127</v>
      </c>
      <c r="K258">
        <v>472000</v>
      </c>
      <c r="L258" t="s">
        <v>6803</v>
      </c>
    </row>
    <row r="259" spans="1:12" x14ac:dyDescent="0.35">
      <c r="A259" t="s">
        <v>126</v>
      </c>
      <c r="B259" s="1">
        <v>45741</v>
      </c>
      <c r="C259" t="s">
        <v>7738</v>
      </c>
      <c r="E259" t="s">
        <v>8534</v>
      </c>
      <c r="F259" t="s">
        <v>8524</v>
      </c>
      <c r="H259" t="s">
        <v>127</v>
      </c>
      <c r="J259">
        <v>472000</v>
      </c>
      <c r="L259" t="s">
        <v>6803</v>
      </c>
    </row>
    <row r="260" spans="1:12" x14ac:dyDescent="0.35">
      <c r="A260" t="s">
        <v>126</v>
      </c>
      <c r="B260" s="1">
        <v>45741</v>
      </c>
      <c r="C260" t="s">
        <v>7745</v>
      </c>
      <c r="E260" t="s">
        <v>8534</v>
      </c>
      <c r="F260" t="s">
        <v>8098</v>
      </c>
      <c r="H260" t="s">
        <v>127</v>
      </c>
      <c r="J260">
        <v>472000</v>
      </c>
      <c r="L260" t="s">
        <v>6803</v>
      </c>
    </row>
    <row r="261" spans="1:12" x14ac:dyDescent="0.35">
      <c r="A261" t="s">
        <v>126</v>
      </c>
      <c r="B261" s="1">
        <v>45741</v>
      </c>
      <c r="C261" t="s">
        <v>7745</v>
      </c>
      <c r="E261" t="s">
        <v>8534</v>
      </c>
      <c r="F261" t="s">
        <v>8524</v>
      </c>
      <c r="H261" t="s">
        <v>127</v>
      </c>
      <c r="K261">
        <v>472000</v>
      </c>
      <c r="L261" t="s">
        <v>6803</v>
      </c>
    </row>
    <row r="262" spans="1:12" x14ac:dyDescent="0.35">
      <c r="A262" t="s">
        <v>131</v>
      </c>
      <c r="B262" s="1">
        <v>45717</v>
      </c>
      <c r="C262" t="s">
        <v>132</v>
      </c>
      <c r="D262" t="s">
        <v>132</v>
      </c>
      <c r="F262" t="s">
        <v>7831</v>
      </c>
      <c r="G262" t="s">
        <v>9928</v>
      </c>
      <c r="H262" t="s">
        <v>133</v>
      </c>
      <c r="I262" s="1">
        <v>45717</v>
      </c>
      <c r="J262">
        <v>429520</v>
      </c>
      <c r="L262" t="s">
        <v>6803</v>
      </c>
    </row>
    <row r="263" spans="1:12" x14ac:dyDescent="0.35">
      <c r="A263" t="s">
        <v>131</v>
      </c>
      <c r="B263" s="1">
        <v>45717</v>
      </c>
      <c r="C263" t="s">
        <v>132</v>
      </c>
      <c r="D263" t="s">
        <v>132</v>
      </c>
      <c r="F263" t="s">
        <v>7831</v>
      </c>
      <c r="G263" t="s">
        <v>9928</v>
      </c>
      <c r="H263" t="s">
        <v>134</v>
      </c>
      <c r="I263" s="1">
        <v>45717</v>
      </c>
      <c r="J263">
        <v>-429520</v>
      </c>
      <c r="L263" t="s">
        <v>6803</v>
      </c>
    </row>
    <row r="264" spans="1:12" x14ac:dyDescent="0.35">
      <c r="A264" t="s">
        <v>131</v>
      </c>
      <c r="B264" s="1">
        <v>45717</v>
      </c>
      <c r="C264" t="s">
        <v>132</v>
      </c>
      <c r="D264" t="s">
        <v>132</v>
      </c>
      <c r="F264" t="s">
        <v>8419</v>
      </c>
      <c r="H264" t="s">
        <v>133</v>
      </c>
      <c r="K264">
        <v>47520</v>
      </c>
      <c r="L264" t="s">
        <v>6803</v>
      </c>
    </row>
    <row r="265" spans="1:12" x14ac:dyDescent="0.35">
      <c r="A265" t="s">
        <v>131</v>
      </c>
      <c r="B265" s="1">
        <v>45717</v>
      </c>
      <c r="C265" t="s">
        <v>132</v>
      </c>
      <c r="D265" t="s">
        <v>132</v>
      </c>
      <c r="F265" t="s">
        <v>8419</v>
      </c>
      <c r="H265" t="s">
        <v>134</v>
      </c>
      <c r="K265">
        <v>-47520</v>
      </c>
      <c r="L265" t="s">
        <v>6803</v>
      </c>
    </row>
    <row r="266" spans="1:12" x14ac:dyDescent="0.35">
      <c r="A266" t="s">
        <v>131</v>
      </c>
      <c r="B266" s="1">
        <v>45717</v>
      </c>
      <c r="C266" t="s">
        <v>132</v>
      </c>
      <c r="D266" t="s">
        <v>132</v>
      </c>
      <c r="F266" t="s">
        <v>8423</v>
      </c>
      <c r="H266" t="s">
        <v>133</v>
      </c>
      <c r="K266">
        <v>264000</v>
      </c>
      <c r="L266" t="s">
        <v>349</v>
      </c>
    </row>
    <row r="267" spans="1:12" x14ac:dyDescent="0.35">
      <c r="A267" t="s">
        <v>131</v>
      </c>
      <c r="B267" s="1">
        <v>45717</v>
      </c>
      <c r="C267" t="s">
        <v>132</v>
      </c>
      <c r="D267" t="s">
        <v>132</v>
      </c>
      <c r="F267" t="s">
        <v>8423</v>
      </c>
      <c r="H267" t="s">
        <v>134</v>
      </c>
      <c r="K267">
        <v>-264000</v>
      </c>
      <c r="L267" t="s">
        <v>349</v>
      </c>
    </row>
    <row r="268" spans="1:12" x14ac:dyDescent="0.35">
      <c r="A268" t="s">
        <v>131</v>
      </c>
      <c r="B268" s="1">
        <v>45717</v>
      </c>
      <c r="C268" t="s">
        <v>132</v>
      </c>
      <c r="D268" t="s">
        <v>132</v>
      </c>
      <c r="F268" t="s">
        <v>8427</v>
      </c>
      <c r="H268" t="s">
        <v>133</v>
      </c>
      <c r="K268">
        <v>118000</v>
      </c>
      <c r="L268" t="s">
        <v>351</v>
      </c>
    </row>
    <row r="269" spans="1:12" x14ac:dyDescent="0.35">
      <c r="A269" t="s">
        <v>131</v>
      </c>
      <c r="B269" s="1">
        <v>45717</v>
      </c>
      <c r="C269" t="s">
        <v>132</v>
      </c>
      <c r="D269" t="s">
        <v>132</v>
      </c>
      <c r="F269" t="s">
        <v>8427</v>
      </c>
      <c r="H269" t="s">
        <v>134</v>
      </c>
      <c r="K269">
        <v>-118000</v>
      </c>
      <c r="L269" t="s">
        <v>351</v>
      </c>
    </row>
    <row r="270" spans="1:12" x14ac:dyDescent="0.35">
      <c r="A270" t="s">
        <v>131</v>
      </c>
      <c r="B270" s="1">
        <v>45717</v>
      </c>
      <c r="C270" t="s">
        <v>135</v>
      </c>
      <c r="D270" t="s">
        <v>135</v>
      </c>
      <c r="F270" t="s">
        <v>7831</v>
      </c>
      <c r="G270" t="s">
        <v>9928</v>
      </c>
      <c r="H270" t="s">
        <v>136</v>
      </c>
      <c r="I270" s="1">
        <v>45747</v>
      </c>
      <c r="J270">
        <v>-429520</v>
      </c>
      <c r="L270" t="s">
        <v>6803</v>
      </c>
    </row>
    <row r="271" spans="1:12" x14ac:dyDescent="0.35">
      <c r="A271" t="s">
        <v>131</v>
      </c>
      <c r="B271" s="1">
        <v>45717</v>
      </c>
      <c r="C271" t="s">
        <v>135</v>
      </c>
      <c r="D271" t="s">
        <v>135</v>
      </c>
      <c r="F271" t="s">
        <v>7831</v>
      </c>
      <c r="G271" t="s">
        <v>9928</v>
      </c>
      <c r="H271" t="s">
        <v>137</v>
      </c>
      <c r="I271" s="1">
        <v>45747</v>
      </c>
      <c r="J271">
        <v>429520</v>
      </c>
      <c r="L271" t="s">
        <v>6803</v>
      </c>
    </row>
    <row r="272" spans="1:12" x14ac:dyDescent="0.35">
      <c r="A272" t="s">
        <v>131</v>
      </c>
      <c r="B272" s="1">
        <v>45717</v>
      </c>
      <c r="C272" t="s">
        <v>135</v>
      </c>
      <c r="D272" t="s">
        <v>135</v>
      </c>
      <c r="F272" t="s">
        <v>8419</v>
      </c>
      <c r="H272" t="s">
        <v>136</v>
      </c>
      <c r="K272">
        <v>-47520</v>
      </c>
      <c r="L272" t="s">
        <v>6803</v>
      </c>
    </row>
    <row r="273" spans="1:12" x14ac:dyDescent="0.35">
      <c r="A273" t="s">
        <v>131</v>
      </c>
      <c r="B273" s="1">
        <v>45717</v>
      </c>
      <c r="C273" t="s">
        <v>135</v>
      </c>
      <c r="D273" t="s">
        <v>135</v>
      </c>
      <c r="F273" t="s">
        <v>8419</v>
      </c>
      <c r="H273" t="s">
        <v>137</v>
      </c>
      <c r="K273">
        <v>47520</v>
      </c>
      <c r="L273" t="s">
        <v>6803</v>
      </c>
    </row>
    <row r="274" spans="1:12" x14ac:dyDescent="0.35">
      <c r="A274" t="s">
        <v>131</v>
      </c>
      <c r="B274" s="1">
        <v>45717</v>
      </c>
      <c r="C274" t="s">
        <v>135</v>
      </c>
      <c r="D274" t="s">
        <v>135</v>
      </c>
      <c r="F274" t="s">
        <v>8423</v>
      </c>
      <c r="H274" t="s">
        <v>136</v>
      </c>
      <c r="K274">
        <v>-264000</v>
      </c>
      <c r="L274" t="s">
        <v>349</v>
      </c>
    </row>
    <row r="275" spans="1:12" x14ac:dyDescent="0.35">
      <c r="A275" t="s">
        <v>131</v>
      </c>
      <c r="B275" s="1">
        <v>45717</v>
      </c>
      <c r="C275" t="s">
        <v>135</v>
      </c>
      <c r="D275" t="s">
        <v>135</v>
      </c>
      <c r="F275" t="s">
        <v>8423</v>
      </c>
      <c r="H275" t="s">
        <v>137</v>
      </c>
      <c r="K275">
        <v>264000</v>
      </c>
      <c r="L275" t="s">
        <v>349</v>
      </c>
    </row>
    <row r="276" spans="1:12" x14ac:dyDescent="0.35">
      <c r="A276" t="s">
        <v>131</v>
      </c>
      <c r="B276" s="1">
        <v>45717</v>
      </c>
      <c r="C276" t="s">
        <v>135</v>
      </c>
      <c r="D276" t="s">
        <v>135</v>
      </c>
      <c r="F276" t="s">
        <v>8427</v>
      </c>
      <c r="H276" t="s">
        <v>136</v>
      </c>
      <c r="K276">
        <v>-118000</v>
      </c>
      <c r="L276" t="s">
        <v>351</v>
      </c>
    </row>
    <row r="277" spans="1:12" x14ac:dyDescent="0.35">
      <c r="A277" t="s">
        <v>131</v>
      </c>
      <c r="B277" s="1">
        <v>45717</v>
      </c>
      <c r="C277" t="s">
        <v>135</v>
      </c>
      <c r="D277" t="s">
        <v>135</v>
      </c>
      <c r="F277" t="s">
        <v>8427</v>
      </c>
      <c r="H277" t="s">
        <v>137</v>
      </c>
      <c r="K277">
        <v>118000</v>
      </c>
      <c r="L277" t="s">
        <v>351</v>
      </c>
    </row>
    <row r="278" spans="1:12" x14ac:dyDescent="0.35">
      <c r="A278" t="s">
        <v>131</v>
      </c>
      <c r="B278" s="1">
        <v>45718</v>
      </c>
      <c r="C278" t="s">
        <v>138</v>
      </c>
      <c r="D278" t="s">
        <v>138</v>
      </c>
      <c r="F278" t="s">
        <v>7831</v>
      </c>
      <c r="G278" t="s">
        <v>9925</v>
      </c>
      <c r="H278" t="s">
        <v>139</v>
      </c>
      <c r="I278" s="1">
        <v>45749</v>
      </c>
      <c r="J278">
        <v>7504800</v>
      </c>
      <c r="L278" t="s">
        <v>6803</v>
      </c>
    </row>
    <row r="279" spans="1:12" x14ac:dyDescent="0.35">
      <c r="A279" t="s">
        <v>131</v>
      </c>
      <c r="B279" s="1">
        <v>45718</v>
      </c>
      <c r="C279" t="s">
        <v>138</v>
      </c>
      <c r="D279" t="s">
        <v>138</v>
      </c>
      <c r="F279" t="s">
        <v>8419</v>
      </c>
      <c r="H279" t="s">
        <v>139</v>
      </c>
      <c r="I279" s="1">
        <v>45749</v>
      </c>
      <c r="K279">
        <v>964800</v>
      </c>
      <c r="L279" t="s">
        <v>6803</v>
      </c>
    </row>
    <row r="280" spans="1:12" x14ac:dyDescent="0.35">
      <c r="A280" t="s">
        <v>131</v>
      </c>
      <c r="B280" s="1">
        <v>45718</v>
      </c>
      <c r="C280" t="s">
        <v>138</v>
      </c>
      <c r="D280" t="s">
        <v>138</v>
      </c>
      <c r="F280" t="s">
        <v>7701</v>
      </c>
      <c r="H280" t="s">
        <v>139</v>
      </c>
      <c r="I280" s="1">
        <v>45749</v>
      </c>
      <c r="K280">
        <v>1180000</v>
      </c>
      <c r="L280" t="s">
        <v>351</v>
      </c>
    </row>
    <row r="281" spans="1:12" x14ac:dyDescent="0.35">
      <c r="A281" t="s">
        <v>131</v>
      </c>
      <c r="B281" s="1">
        <v>45718</v>
      </c>
      <c r="C281" t="s">
        <v>138</v>
      </c>
      <c r="D281" t="s">
        <v>138</v>
      </c>
      <c r="F281" t="s">
        <v>8423</v>
      </c>
      <c r="H281" t="s">
        <v>139</v>
      </c>
      <c r="I281" s="1">
        <v>45749</v>
      </c>
      <c r="K281">
        <v>5360000</v>
      </c>
      <c r="L281" t="s">
        <v>349</v>
      </c>
    </row>
    <row r="282" spans="1:12" x14ac:dyDescent="0.35">
      <c r="A282" t="s">
        <v>131</v>
      </c>
      <c r="B282" s="1">
        <v>45718</v>
      </c>
      <c r="C282" t="s">
        <v>140</v>
      </c>
      <c r="D282" t="s">
        <v>140</v>
      </c>
      <c r="F282" t="s">
        <v>7831</v>
      </c>
      <c r="G282" t="s">
        <v>9925</v>
      </c>
      <c r="H282" t="s">
        <v>139</v>
      </c>
      <c r="I282" s="1">
        <v>45749</v>
      </c>
      <c r="J282">
        <v>7129560</v>
      </c>
      <c r="L282" t="s">
        <v>6803</v>
      </c>
    </row>
    <row r="283" spans="1:12" x14ac:dyDescent="0.35">
      <c r="A283" t="s">
        <v>131</v>
      </c>
      <c r="B283" s="1">
        <v>45718</v>
      </c>
      <c r="C283" t="s">
        <v>140</v>
      </c>
      <c r="D283" t="s">
        <v>140</v>
      </c>
      <c r="F283" t="s">
        <v>8419</v>
      </c>
      <c r="H283" t="s">
        <v>139</v>
      </c>
      <c r="I283" s="1">
        <v>45749</v>
      </c>
      <c r="K283">
        <v>916560</v>
      </c>
      <c r="L283" t="s">
        <v>6803</v>
      </c>
    </row>
    <row r="284" spans="1:12" x14ac:dyDescent="0.35">
      <c r="A284" t="s">
        <v>131</v>
      </c>
      <c r="B284" s="1">
        <v>45718</v>
      </c>
      <c r="C284" t="s">
        <v>140</v>
      </c>
      <c r="D284" t="s">
        <v>140</v>
      </c>
      <c r="F284" t="s">
        <v>7701</v>
      </c>
      <c r="H284" t="s">
        <v>139</v>
      </c>
      <c r="I284" s="1">
        <v>45749</v>
      </c>
      <c r="K284">
        <v>1121000</v>
      </c>
      <c r="L284" t="s">
        <v>351</v>
      </c>
    </row>
    <row r="285" spans="1:12" x14ac:dyDescent="0.35">
      <c r="A285" t="s">
        <v>131</v>
      </c>
      <c r="B285" s="1">
        <v>45718</v>
      </c>
      <c r="C285" t="s">
        <v>140</v>
      </c>
      <c r="D285" t="s">
        <v>140</v>
      </c>
      <c r="F285" t="s">
        <v>8423</v>
      </c>
      <c r="H285" t="s">
        <v>139</v>
      </c>
      <c r="I285" s="1">
        <v>45749</v>
      </c>
      <c r="K285">
        <v>5092000</v>
      </c>
      <c r="L285" t="s">
        <v>349</v>
      </c>
    </row>
    <row r="286" spans="1:12" x14ac:dyDescent="0.35">
      <c r="A286" t="s">
        <v>131</v>
      </c>
      <c r="B286" s="1">
        <v>45720</v>
      </c>
      <c r="C286" t="s">
        <v>141</v>
      </c>
      <c r="D286" t="s">
        <v>141</v>
      </c>
      <c r="F286" t="s">
        <v>7831</v>
      </c>
      <c r="G286" t="s">
        <v>9921</v>
      </c>
      <c r="H286" t="s">
        <v>142</v>
      </c>
      <c r="I286" s="1">
        <v>45720</v>
      </c>
      <c r="K286">
        <v>206500</v>
      </c>
      <c r="L286" t="s">
        <v>6803</v>
      </c>
    </row>
    <row r="287" spans="1:12" x14ac:dyDescent="0.35">
      <c r="A287" t="s">
        <v>131</v>
      </c>
      <c r="B287" s="1">
        <v>45720</v>
      </c>
      <c r="C287" t="s">
        <v>141</v>
      </c>
      <c r="D287" t="s">
        <v>141</v>
      </c>
      <c r="F287" t="s">
        <v>8419</v>
      </c>
      <c r="H287" t="s">
        <v>142</v>
      </c>
      <c r="I287" s="1">
        <v>45720</v>
      </c>
      <c r="J287">
        <v>27000</v>
      </c>
      <c r="L287" t="s">
        <v>6803</v>
      </c>
    </row>
    <row r="288" spans="1:12" x14ac:dyDescent="0.35">
      <c r="A288" t="s">
        <v>131</v>
      </c>
      <c r="B288" s="1">
        <v>45720</v>
      </c>
      <c r="C288" t="s">
        <v>141</v>
      </c>
      <c r="D288" t="s">
        <v>141</v>
      </c>
      <c r="F288" t="s">
        <v>7701</v>
      </c>
      <c r="H288" t="s">
        <v>142</v>
      </c>
      <c r="I288" s="1">
        <v>45720</v>
      </c>
      <c r="J288">
        <v>29500</v>
      </c>
      <c r="L288" t="s">
        <v>351</v>
      </c>
    </row>
    <row r="289" spans="1:12" x14ac:dyDescent="0.35">
      <c r="A289" t="s">
        <v>131</v>
      </c>
      <c r="B289" s="1">
        <v>45720</v>
      </c>
      <c r="C289" t="s">
        <v>141</v>
      </c>
      <c r="D289" t="s">
        <v>141</v>
      </c>
      <c r="F289" t="s">
        <v>8423</v>
      </c>
      <c r="H289" t="s">
        <v>142</v>
      </c>
      <c r="I289" s="1">
        <v>45720</v>
      </c>
      <c r="J289">
        <v>150000</v>
      </c>
      <c r="L289" t="s">
        <v>349</v>
      </c>
    </row>
    <row r="290" spans="1:12" x14ac:dyDescent="0.35">
      <c r="A290" t="s">
        <v>131</v>
      </c>
      <c r="B290" s="1">
        <v>45720</v>
      </c>
      <c r="C290" t="s">
        <v>143</v>
      </c>
      <c r="D290" t="s">
        <v>143</v>
      </c>
      <c r="F290" t="s">
        <v>7831</v>
      </c>
      <c r="G290" t="s">
        <v>9900</v>
      </c>
      <c r="H290" t="s">
        <v>144</v>
      </c>
      <c r="I290" s="1">
        <v>45720</v>
      </c>
      <c r="J290">
        <v>214760</v>
      </c>
      <c r="L290" t="s">
        <v>6803</v>
      </c>
    </row>
    <row r="291" spans="1:12" x14ac:dyDescent="0.35">
      <c r="A291" t="s">
        <v>131</v>
      </c>
      <c r="B291" s="1">
        <v>45720</v>
      </c>
      <c r="C291" t="s">
        <v>143</v>
      </c>
      <c r="D291" t="s">
        <v>143</v>
      </c>
      <c r="F291" t="s">
        <v>8419</v>
      </c>
      <c r="H291" t="s">
        <v>144</v>
      </c>
      <c r="I291" s="1">
        <v>45720</v>
      </c>
      <c r="K291">
        <v>23760</v>
      </c>
      <c r="L291" t="s">
        <v>6803</v>
      </c>
    </row>
    <row r="292" spans="1:12" x14ac:dyDescent="0.35">
      <c r="A292" t="s">
        <v>131</v>
      </c>
      <c r="B292" s="1">
        <v>45720</v>
      </c>
      <c r="C292" t="s">
        <v>143</v>
      </c>
      <c r="D292" t="s">
        <v>143</v>
      </c>
      <c r="F292" t="s">
        <v>7701</v>
      </c>
      <c r="H292" t="s">
        <v>144</v>
      </c>
      <c r="I292" s="1">
        <v>45720</v>
      </c>
      <c r="K292">
        <v>59000</v>
      </c>
      <c r="L292" t="s">
        <v>351</v>
      </c>
    </row>
    <row r="293" spans="1:12" x14ac:dyDescent="0.35">
      <c r="A293" t="s">
        <v>131</v>
      </c>
      <c r="B293" s="1">
        <v>45720</v>
      </c>
      <c r="C293" t="s">
        <v>143</v>
      </c>
      <c r="D293" t="s">
        <v>143</v>
      </c>
      <c r="F293" t="s">
        <v>8423</v>
      </c>
      <c r="H293" t="s">
        <v>144</v>
      </c>
      <c r="I293" s="1">
        <v>45720</v>
      </c>
      <c r="K293">
        <v>132000</v>
      </c>
      <c r="L293" t="s">
        <v>350</v>
      </c>
    </row>
    <row r="294" spans="1:12" x14ac:dyDescent="0.35">
      <c r="A294" t="s">
        <v>131</v>
      </c>
      <c r="B294" s="1">
        <v>45721</v>
      </c>
      <c r="C294" t="s">
        <v>145</v>
      </c>
      <c r="D294" t="s">
        <v>145</v>
      </c>
      <c r="F294" t="s">
        <v>7831</v>
      </c>
      <c r="G294" t="s">
        <v>9931</v>
      </c>
      <c r="H294" t="s">
        <v>146</v>
      </c>
      <c r="I294" s="1">
        <v>45752</v>
      </c>
      <c r="J294">
        <v>214760</v>
      </c>
      <c r="L294" t="s">
        <v>6803</v>
      </c>
    </row>
    <row r="295" spans="1:12" x14ac:dyDescent="0.35">
      <c r="A295" t="s">
        <v>131</v>
      </c>
      <c r="B295" s="1">
        <v>45721</v>
      </c>
      <c r="C295" t="s">
        <v>145</v>
      </c>
      <c r="D295" t="s">
        <v>145</v>
      </c>
      <c r="F295" t="s">
        <v>8419</v>
      </c>
      <c r="H295" t="s">
        <v>146</v>
      </c>
      <c r="I295" s="1">
        <v>45752</v>
      </c>
      <c r="K295">
        <v>23760</v>
      </c>
      <c r="L295" t="s">
        <v>6803</v>
      </c>
    </row>
    <row r="296" spans="1:12" x14ac:dyDescent="0.35">
      <c r="A296" t="s">
        <v>131</v>
      </c>
      <c r="B296" s="1">
        <v>45721</v>
      </c>
      <c r="C296" t="s">
        <v>145</v>
      </c>
      <c r="D296" t="s">
        <v>145</v>
      </c>
      <c r="F296" t="s">
        <v>7701</v>
      </c>
      <c r="H296" t="s">
        <v>146</v>
      </c>
      <c r="I296" s="1">
        <v>45752</v>
      </c>
      <c r="K296">
        <v>59000</v>
      </c>
      <c r="L296" t="s">
        <v>351</v>
      </c>
    </row>
    <row r="297" spans="1:12" x14ac:dyDescent="0.35">
      <c r="A297" t="s">
        <v>131</v>
      </c>
      <c r="B297" s="1">
        <v>45721</v>
      </c>
      <c r="C297" t="s">
        <v>145</v>
      </c>
      <c r="D297" t="s">
        <v>145</v>
      </c>
      <c r="F297" t="s">
        <v>8423</v>
      </c>
      <c r="H297" t="s">
        <v>146</v>
      </c>
      <c r="I297" s="1">
        <v>45752</v>
      </c>
      <c r="K297">
        <v>132000</v>
      </c>
      <c r="L297" t="s">
        <v>350</v>
      </c>
    </row>
    <row r="298" spans="1:12" x14ac:dyDescent="0.35">
      <c r="A298" t="s">
        <v>131</v>
      </c>
      <c r="B298" s="1">
        <v>45721</v>
      </c>
      <c r="C298" t="s">
        <v>147</v>
      </c>
      <c r="D298" t="s">
        <v>147</v>
      </c>
      <c r="F298" t="s">
        <v>7831</v>
      </c>
      <c r="G298" t="s">
        <v>7586</v>
      </c>
      <c r="H298" t="s">
        <v>148</v>
      </c>
      <c r="I298" s="1">
        <v>45721</v>
      </c>
      <c r="J298">
        <v>672600</v>
      </c>
      <c r="L298" t="s">
        <v>6803</v>
      </c>
    </row>
    <row r="299" spans="1:12" x14ac:dyDescent="0.35">
      <c r="A299" t="s">
        <v>131</v>
      </c>
      <c r="B299" s="1">
        <v>45721</v>
      </c>
      <c r="C299" t="s">
        <v>147</v>
      </c>
      <c r="D299" t="s">
        <v>147</v>
      </c>
      <c r="F299" t="s">
        <v>8419</v>
      </c>
      <c r="H299" t="s">
        <v>148</v>
      </c>
      <c r="I299" s="1">
        <v>45721</v>
      </c>
      <c r="K299">
        <v>89100</v>
      </c>
      <c r="L299" t="s">
        <v>6803</v>
      </c>
    </row>
    <row r="300" spans="1:12" x14ac:dyDescent="0.35">
      <c r="A300" t="s">
        <v>131</v>
      </c>
      <c r="B300" s="1">
        <v>45721</v>
      </c>
      <c r="C300" t="s">
        <v>147</v>
      </c>
      <c r="D300" t="s">
        <v>147</v>
      </c>
      <c r="F300" t="s">
        <v>7701</v>
      </c>
      <c r="H300" t="s">
        <v>148</v>
      </c>
      <c r="I300" s="1">
        <v>45721</v>
      </c>
      <c r="K300">
        <v>88500</v>
      </c>
      <c r="L300" t="s">
        <v>351</v>
      </c>
    </row>
    <row r="301" spans="1:12" x14ac:dyDescent="0.35">
      <c r="A301" t="s">
        <v>131</v>
      </c>
      <c r="B301" s="1">
        <v>45721</v>
      </c>
      <c r="C301" t="s">
        <v>147</v>
      </c>
      <c r="D301" t="s">
        <v>147</v>
      </c>
      <c r="F301" t="s">
        <v>8423</v>
      </c>
      <c r="H301" t="s">
        <v>148</v>
      </c>
      <c r="I301" s="1">
        <v>45721</v>
      </c>
      <c r="K301">
        <v>198000</v>
      </c>
      <c r="L301" t="s">
        <v>349</v>
      </c>
    </row>
    <row r="302" spans="1:12" x14ac:dyDescent="0.35">
      <c r="A302" t="s">
        <v>131</v>
      </c>
      <c r="B302" s="1">
        <v>45721</v>
      </c>
      <c r="C302" t="s">
        <v>147</v>
      </c>
      <c r="D302" t="s">
        <v>147</v>
      </c>
      <c r="F302" t="s">
        <v>8428</v>
      </c>
      <c r="H302" t="s">
        <v>148</v>
      </c>
      <c r="I302" s="1">
        <v>45721</v>
      </c>
      <c r="K302">
        <v>297000</v>
      </c>
      <c r="L302" t="s">
        <v>349</v>
      </c>
    </row>
    <row r="303" spans="1:12" x14ac:dyDescent="0.35">
      <c r="A303" t="s">
        <v>131</v>
      </c>
      <c r="B303" s="1">
        <v>45721</v>
      </c>
      <c r="C303" t="s">
        <v>149</v>
      </c>
      <c r="D303" t="s">
        <v>149</v>
      </c>
      <c r="F303" t="s">
        <v>7831</v>
      </c>
      <c r="G303" t="s">
        <v>7586</v>
      </c>
      <c r="H303" t="s">
        <v>150</v>
      </c>
      <c r="I303" s="1">
        <v>45777</v>
      </c>
      <c r="J303">
        <v>295000</v>
      </c>
      <c r="L303" t="s">
        <v>6803</v>
      </c>
    </row>
    <row r="304" spans="1:12" x14ac:dyDescent="0.35">
      <c r="A304" t="s">
        <v>131</v>
      </c>
      <c r="B304" s="1">
        <v>45721</v>
      </c>
      <c r="C304" t="s">
        <v>149</v>
      </c>
      <c r="D304" t="s">
        <v>149</v>
      </c>
      <c r="F304" t="s">
        <v>8419</v>
      </c>
      <c r="H304" t="s">
        <v>150</v>
      </c>
      <c r="K304">
        <v>36000</v>
      </c>
      <c r="L304" t="s">
        <v>6803</v>
      </c>
    </row>
    <row r="305" spans="1:12" x14ac:dyDescent="0.35">
      <c r="A305" t="s">
        <v>131</v>
      </c>
      <c r="B305" s="1">
        <v>45721</v>
      </c>
      <c r="C305" t="s">
        <v>149</v>
      </c>
      <c r="D305" t="s">
        <v>149</v>
      </c>
      <c r="F305" t="s">
        <v>8423</v>
      </c>
      <c r="H305" t="s">
        <v>150</v>
      </c>
      <c r="K305">
        <v>200000</v>
      </c>
      <c r="L305" t="s">
        <v>349</v>
      </c>
    </row>
    <row r="306" spans="1:12" x14ac:dyDescent="0.35">
      <c r="A306" t="s">
        <v>131</v>
      </c>
      <c r="B306" s="1">
        <v>45721</v>
      </c>
      <c r="C306" t="s">
        <v>149</v>
      </c>
      <c r="D306" t="s">
        <v>149</v>
      </c>
      <c r="F306" t="s">
        <v>8427</v>
      </c>
      <c r="H306" t="s">
        <v>150</v>
      </c>
      <c r="K306">
        <v>59000</v>
      </c>
      <c r="L306" t="s">
        <v>351</v>
      </c>
    </row>
    <row r="307" spans="1:12" x14ac:dyDescent="0.35">
      <c r="A307" t="s">
        <v>131</v>
      </c>
      <c r="B307" s="1">
        <v>45721</v>
      </c>
      <c r="C307" t="s">
        <v>151</v>
      </c>
      <c r="D307" t="s">
        <v>151</v>
      </c>
      <c r="F307" t="s">
        <v>7831</v>
      </c>
      <c r="G307" t="s">
        <v>7586</v>
      </c>
      <c r="H307" t="s">
        <v>148</v>
      </c>
      <c r="I307" s="1">
        <v>45721</v>
      </c>
      <c r="J307">
        <v>528640</v>
      </c>
      <c r="L307" t="s">
        <v>6803</v>
      </c>
    </row>
    <row r="308" spans="1:12" x14ac:dyDescent="0.35">
      <c r="A308" t="s">
        <v>131</v>
      </c>
      <c r="B308" s="1">
        <v>45721</v>
      </c>
      <c r="C308" t="s">
        <v>151</v>
      </c>
      <c r="D308" t="s">
        <v>151</v>
      </c>
      <c r="F308" t="s">
        <v>8419</v>
      </c>
      <c r="H308" t="s">
        <v>148</v>
      </c>
      <c r="I308" s="1">
        <v>45721</v>
      </c>
      <c r="K308">
        <v>71640</v>
      </c>
      <c r="L308" t="s">
        <v>6803</v>
      </c>
    </row>
    <row r="309" spans="1:12" x14ac:dyDescent="0.35">
      <c r="A309" t="s">
        <v>131</v>
      </c>
      <c r="B309" s="1">
        <v>45721</v>
      </c>
      <c r="C309" t="s">
        <v>151</v>
      </c>
      <c r="D309" t="s">
        <v>151</v>
      </c>
      <c r="F309" t="s">
        <v>7701</v>
      </c>
      <c r="H309" t="s">
        <v>148</v>
      </c>
      <c r="I309" s="1">
        <v>45721</v>
      </c>
      <c r="K309">
        <v>59000</v>
      </c>
      <c r="L309" t="s">
        <v>351</v>
      </c>
    </row>
    <row r="310" spans="1:12" x14ac:dyDescent="0.35">
      <c r="A310" t="s">
        <v>131</v>
      </c>
      <c r="B310" s="1">
        <v>45721</v>
      </c>
      <c r="C310" t="s">
        <v>151</v>
      </c>
      <c r="D310" t="s">
        <v>151</v>
      </c>
      <c r="F310" t="s">
        <v>8423</v>
      </c>
      <c r="H310" t="s">
        <v>148</v>
      </c>
      <c r="I310" s="1">
        <v>45721</v>
      </c>
      <c r="K310">
        <v>200000</v>
      </c>
      <c r="L310" t="s">
        <v>349</v>
      </c>
    </row>
    <row r="311" spans="1:12" x14ac:dyDescent="0.35">
      <c r="A311" t="s">
        <v>131</v>
      </c>
      <c r="B311" s="1">
        <v>45721</v>
      </c>
      <c r="C311" t="s">
        <v>151</v>
      </c>
      <c r="D311" t="s">
        <v>151</v>
      </c>
      <c r="F311" t="s">
        <v>8428</v>
      </c>
      <c r="H311" t="s">
        <v>148</v>
      </c>
      <c r="I311" s="1">
        <v>45721</v>
      </c>
      <c r="K311">
        <v>198000</v>
      </c>
      <c r="L311" t="s">
        <v>349</v>
      </c>
    </row>
    <row r="312" spans="1:12" x14ac:dyDescent="0.35">
      <c r="A312" t="s">
        <v>131</v>
      </c>
      <c r="B312" s="1">
        <v>45721</v>
      </c>
      <c r="C312" t="s">
        <v>152</v>
      </c>
      <c r="D312" t="s">
        <v>152</v>
      </c>
      <c r="F312" t="s">
        <v>7831</v>
      </c>
      <c r="G312" t="s">
        <v>9924</v>
      </c>
      <c r="H312" t="s">
        <v>153</v>
      </c>
      <c r="I312" s="1">
        <v>45777</v>
      </c>
      <c r="J312">
        <v>1557600</v>
      </c>
      <c r="L312" t="s">
        <v>6803</v>
      </c>
    </row>
    <row r="313" spans="1:12" x14ac:dyDescent="0.35">
      <c r="A313" t="s">
        <v>131</v>
      </c>
      <c r="B313" s="1">
        <v>45721</v>
      </c>
      <c r="C313" t="s">
        <v>152</v>
      </c>
      <c r="D313" t="s">
        <v>152</v>
      </c>
      <c r="F313" t="s">
        <v>7831</v>
      </c>
      <c r="G313" t="s">
        <v>9924</v>
      </c>
      <c r="H313" t="s">
        <v>154</v>
      </c>
      <c r="I313" s="1">
        <v>45721</v>
      </c>
      <c r="J313">
        <v>1557600</v>
      </c>
      <c r="L313" t="s">
        <v>6803</v>
      </c>
    </row>
    <row r="314" spans="1:12" x14ac:dyDescent="0.35">
      <c r="A314" t="s">
        <v>131</v>
      </c>
      <c r="B314" s="1">
        <v>45721</v>
      </c>
      <c r="C314" t="s">
        <v>152</v>
      </c>
      <c r="D314" t="s">
        <v>152</v>
      </c>
      <c r="F314" t="s">
        <v>7831</v>
      </c>
      <c r="G314" t="s">
        <v>9924</v>
      </c>
      <c r="H314" t="s">
        <v>155</v>
      </c>
      <c r="I314" s="1">
        <v>45721</v>
      </c>
      <c r="J314">
        <v>-1557600</v>
      </c>
      <c r="L314" t="s">
        <v>6803</v>
      </c>
    </row>
    <row r="315" spans="1:12" x14ac:dyDescent="0.35">
      <c r="A315" t="s">
        <v>131</v>
      </c>
      <c r="B315" s="1">
        <v>45721</v>
      </c>
      <c r="C315" t="s">
        <v>152</v>
      </c>
      <c r="D315" t="s">
        <v>152</v>
      </c>
      <c r="F315" t="s">
        <v>8419</v>
      </c>
      <c r="H315" t="s">
        <v>153</v>
      </c>
      <c r="K315">
        <v>237600</v>
      </c>
      <c r="L315" t="s">
        <v>6803</v>
      </c>
    </row>
    <row r="316" spans="1:12" x14ac:dyDescent="0.35">
      <c r="A316" t="s">
        <v>131</v>
      </c>
      <c r="B316" s="1">
        <v>45721</v>
      </c>
      <c r="C316" t="s">
        <v>152</v>
      </c>
      <c r="D316" t="s">
        <v>152</v>
      </c>
      <c r="F316" t="s">
        <v>8419</v>
      </c>
      <c r="H316" t="s">
        <v>154</v>
      </c>
      <c r="I316" s="1">
        <v>45721</v>
      </c>
      <c r="K316">
        <v>237600</v>
      </c>
      <c r="L316" t="s">
        <v>6803</v>
      </c>
    </row>
    <row r="317" spans="1:12" x14ac:dyDescent="0.35">
      <c r="A317" t="s">
        <v>131</v>
      </c>
      <c r="B317" s="1">
        <v>45721</v>
      </c>
      <c r="C317" t="s">
        <v>152</v>
      </c>
      <c r="D317" t="s">
        <v>152</v>
      </c>
      <c r="F317" t="s">
        <v>8419</v>
      </c>
      <c r="H317" t="s">
        <v>155</v>
      </c>
      <c r="I317" s="1">
        <v>45721</v>
      </c>
      <c r="K317">
        <v>-237600</v>
      </c>
      <c r="L317" t="s">
        <v>6803</v>
      </c>
    </row>
    <row r="318" spans="1:12" x14ac:dyDescent="0.35">
      <c r="A318" t="s">
        <v>131</v>
      </c>
      <c r="B318" s="1">
        <v>45721</v>
      </c>
      <c r="C318" t="s">
        <v>152</v>
      </c>
      <c r="D318" t="s">
        <v>152</v>
      </c>
      <c r="F318" t="s">
        <v>8423</v>
      </c>
      <c r="H318" t="s">
        <v>153</v>
      </c>
      <c r="K318">
        <v>1320000</v>
      </c>
      <c r="L318" t="s">
        <v>349</v>
      </c>
    </row>
    <row r="319" spans="1:12" x14ac:dyDescent="0.35">
      <c r="A319" t="s">
        <v>131</v>
      </c>
      <c r="B319" s="1">
        <v>45721</v>
      </c>
      <c r="C319" t="s">
        <v>152</v>
      </c>
      <c r="D319" t="s">
        <v>152</v>
      </c>
      <c r="F319" t="s">
        <v>8423</v>
      </c>
      <c r="H319" t="s">
        <v>154</v>
      </c>
      <c r="I319" s="1">
        <v>45721</v>
      </c>
      <c r="K319">
        <v>1320000</v>
      </c>
      <c r="L319" t="s">
        <v>349</v>
      </c>
    </row>
    <row r="320" spans="1:12" x14ac:dyDescent="0.35">
      <c r="A320" t="s">
        <v>131</v>
      </c>
      <c r="B320" s="1">
        <v>45721</v>
      </c>
      <c r="C320" t="s">
        <v>152</v>
      </c>
      <c r="D320" t="s">
        <v>152</v>
      </c>
      <c r="F320" t="s">
        <v>8423</v>
      </c>
      <c r="H320" t="s">
        <v>155</v>
      </c>
      <c r="I320" s="1">
        <v>45721</v>
      </c>
      <c r="K320">
        <v>-1320000</v>
      </c>
      <c r="L320" t="s">
        <v>349</v>
      </c>
    </row>
    <row r="321" spans="1:12" x14ac:dyDescent="0.35">
      <c r="A321" t="s">
        <v>131</v>
      </c>
      <c r="B321" s="1">
        <v>45722</v>
      </c>
      <c r="C321" t="s">
        <v>156</v>
      </c>
      <c r="D321" t="s">
        <v>156</v>
      </c>
      <c r="F321" t="s">
        <v>7831</v>
      </c>
      <c r="G321" t="s">
        <v>9900</v>
      </c>
      <c r="H321" t="s">
        <v>157</v>
      </c>
      <c r="I321" s="1">
        <v>45722</v>
      </c>
      <c r="J321">
        <v>859040</v>
      </c>
      <c r="L321" t="s">
        <v>6803</v>
      </c>
    </row>
    <row r="322" spans="1:12" x14ac:dyDescent="0.35">
      <c r="A322" t="s">
        <v>131</v>
      </c>
      <c r="B322" s="1">
        <v>45722</v>
      </c>
      <c r="C322" t="s">
        <v>156</v>
      </c>
      <c r="D322" t="s">
        <v>156</v>
      </c>
      <c r="F322" t="s">
        <v>8419</v>
      </c>
      <c r="H322" t="s">
        <v>157</v>
      </c>
      <c r="I322" s="1">
        <v>45722</v>
      </c>
      <c r="K322">
        <v>95040</v>
      </c>
      <c r="L322" t="s">
        <v>6803</v>
      </c>
    </row>
    <row r="323" spans="1:12" x14ac:dyDescent="0.35">
      <c r="A323" t="s">
        <v>131</v>
      </c>
      <c r="B323" s="1">
        <v>45722</v>
      </c>
      <c r="C323" t="s">
        <v>156</v>
      </c>
      <c r="D323" t="s">
        <v>156</v>
      </c>
      <c r="F323" t="s">
        <v>7701</v>
      </c>
      <c r="H323" t="s">
        <v>157</v>
      </c>
      <c r="I323" s="1">
        <v>45722</v>
      </c>
      <c r="K323">
        <v>236000</v>
      </c>
      <c r="L323" t="s">
        <v>351</v>
      </c>
    </row>
    <row r="324" spans="1:12" x14ac:dyDescent="0.35">
      <c r="A324" t="s">
        <v>131</v>
      </c>
      <c r="B324" s="1">
        <v>45722</v>
      </c>
      <c r="C324" t="s">
        <v>156</v>
      </c>
      <c r="D324" t="s">
        <v>156</v>
      </c>
      <c r="F324" t="s">
        <v>8423</v>
      </c>
      <c r="H324" t="s">
        <v>157</v>
      </c>
      <c r="I324" s="1">
        <v>45722</v>
      </c>
      <c r="K324">
        <v>528000</v>
      </c>
      <c r="L324" t="s">
        <v>350</v>
      </c>
    </row>
    <row r="325" spans="1:12" x14ac:dyDescent="0.35">
      <c r="A325" t="s">
        <v>131</v>
      </c>
      <c r="B325" s="1">
        <v>45722</v>
      </c>
      <c r="C325" t="s">
        <v>158</v>
      </c>
      <c r="D325" t="s">
        <v>158</v>
      </c>
      <c r="F325" t="s">
        <v>7831</v>
      </c>
      <c r="G325" t="s">
        <v>9921</v>
      </c>
      <c r="H325" t="s">
        <v>159</v>
      </c>
      <c r="I325" s="1">
        <v>45722</v>
      </c>
      <c r="J325">
        <v>826000</v>
      </c>
      <c r="L325" t="s">
        <v>6803</v>
      </c>
    </row>
    <row r="326" spans="1:12" x14ac:dyDescent="0.35">
      <c r="A326" t="s">
        <v>131</v>
      </c>
      <c r="B326" s="1">
        <v>45722</v>
      </c>
      <c r="C326" t="s">
        <v>158</v>
      </c>
      <c r="D326" t="s">
        <v>158</v>
      </c>
      <c r="F326" t="s">
        <v>8419</v>
      </c>
      <c r="H326" t="s">
        <v>159</v>
      </c>
      <c r="I326" s="1">
        <v>45722</v>
      </c>
      <c r="K326">
        <v>108000</v>
      </c>
      <c r="L326" t="s">
        <v>6803</v>
      </c>
    </row>
    <row r="327" spans="1:12" x14ac:dyDescent="0.35">
      <c r="A327" t="s">
        <v>131</v>
      </c>
      <c r="B327" s="1">
        <v>45722</v>
      </c>
      <c r="C327" t="s">
        <v>158</v>
      </c>
      <c r="D327" t="s">
        <v>158</v>
      </c>
      <c r="F327" t="s">
        <v>7701</v>
      </c>
      <c r="H327" t="s">
        <v>159</v>
      </c>
      <c r="I327" s="1">
        <v>45722</v>
      </c>
      <c r="K327">
        <v>118000</v>
      </c>
      <c r="L327" t="s">
        <v>351</v>
      </c>
    </row>
    <row r="328" spans="1:12" x14ac:dyDescent="0.35">
      <c r="A328" t="s">
        <v>131</v>
      </c>
      <c r="B328" s="1">
        <v>45722</v>
      </c>
      <c r="C328" t="s">
        <v>158</v>
      </c>
      <c r="D328" t="s">
        <v>158</v>
      </c>
      <c r="F328" t="s">
        <v>8423</v>
      </c>
      <c r="H328" t="s">
        <v>159</v>
      </c>
      <c r="I328" s="1">
        <v>45722</v>
      </c>
      <c r="K328">
        <v>600000</v>
      </c>
      <c r="L328" t="s">
        <v>349</v>
      </c>
    </row>
    <row r="329" spans="1:12" x14ac:dyDescent="0.35">
      <c r="A329" t="s">
        <v>131</v>
      </c>
      <c r="B329" s="1">
        <v>45722</v>
      </c>
      <c r="C329" t="s">
        <v>160</v>
      </c>
      <c r="D329" t="s">
        <v>160</v>
      </c>
      <c r="F329" t="s">
        <v>7831</v>
      </c>
      <c r="G329" t="s">
        <v>9931</v>
      </c>
      <c r="H329" t="s">
        <v>146</v>
      </c>
      <c r="I329" s="1">
        <v>45753</v>
      </c>
      <c r="J329">
        <v>214760</v>
      </c>
      <c r="L329" t="s">
        <v>6803</v>
      </c>
    </row>
    <row r="330" spans="1:12" x14ac:dyDescent="0.35">
      <c r="A330" t="s">
        <v>131</v>
      </c>
      <c r="B330" s="1">
        <v>45722</v>
      </c>
      <c r="C330" t="s">
        <v>160</v>
      </c>
      <c r="D330" t="s">
        <v>160</v>
      </c>
      <c r="F330" t="s">
        <v>8419</v>
      </c>
      <c r="H330" t="s">
        <v>146</v>
      </c>
      <c r="I330" s="1">
        <v>45753</v>
      </c>
      <c r="K330">
        <v>23760</v>
      </c>
      <c r="L330" t="s">
        <v>6803</v>
      </c>
    </row>
    <row r="331" spans="1:12" x14ac:dyDescent="0.35">
      <c r="A331" t="s">
        <v>131</v>
      </c>
      <c r="B331" s="1">
        <v>45722</v>
      </c>
      <c r="C331" t="s">
        <v>160</v>
      </c>
      <c r="D331" t="s">
        <v>160</v>
      </c>
      <c r="F331" t="s">
        <v>7701</v>
      </c>
      <c r="H331" t="s">
        <v>146</v>
      </c>
      <c r="I331" s="1">
        <v>45753</v>
      </c>
      <c r="K331">
        <v>59000</v>
      </c>
      <c r="L331" t="s">
        <v>351</v>
      </c>
    </row>
    <row r="332" spans="1:12" x14ac:dyDescent="0.35">
      <c r="A332" t="s">
        <v>131</v>
      </c>
      <c r="B332" s="1">
        <v>45722</v>
      </c>
      <c r="C332" t="s">
        <v>160</v>
      </c>
      <c r="D332" t="s">
        <v>160</v>
      </c>
      <c r="F332" t="s">
        <v>8423</v>
      </c>
      <c r="H332" t="s">
        <v>146</v>
      </c>
      <c r="I332" s="1">
        <v>45753</v>
      </c>
      <c r="K332">
        <v>132000</v>
      </c>
      <c r="L332" t="s">
        <v>350</v>
      </c>
    </row>
    <row r="333" spans="1:12" x14ac:dyDescent="0.35">
      <c r="A333" t="s">
        <v>131</v>
      </c>
      <c r="B333" s="1">
        <v>45722</v>
      </c>
      <c r="C333" t="s">
        <v>161</v>
      </c>
      <c r="D333" t="s">
        <v>161</v>
      </c>
      <c r="F333" t="s">
        <v>7831</v>
      </c>
      <c r="G333" t="s">
        <v>9931</v>
      </c>
      <c r="H333" t="s">
        <v>146</v>
      </c>
      <c r="I333" s="1">
        <v>45753</v>
      </c>
      <c r="J333">
        <v>214760</v>
      </c>
      <c r="L333" t="s">
        <v>6803</v>
      </c>
    </row>
    <row r="334" spans="1:12" x14ac:dyDescent="0.35">
      <c r="A334" t="s">
        <v>131</v>
      </c>
      <c r="B334" s="1">
        <v>45722</v>
      </c>
      <c r="C334" t="s">
        <v>161</v>
      </c>
      <c r="D334" t="s">
        <v>161</v>
      </c>
      <c r="F334" t="s">
        <v>8419</v>
      </c>
      <c r="H334" t="s">
        <v>146</v>
      </c>
      <c r="I334" s="1">
        <v>45753</v>
      </c>
      <c r="K334">
        <v>23760</v>
      </c>
      <c r="L334" t="s">
        <v>6803</v>
      </c>
    </row>
    <row r="335" spans="1:12" x14ac:dyDescent="0.35">
      <c r="A335" t="s">
        <v>131</v>
      </c>
      <c r="B335" s="1">
        <v>45722</v>
      </c>
      <c r="C335" t="s">
        <v>161</v>
      </c>
      <c r="D335" t="s">
        <v>161</v>
      </c>
      <c r="F335" t="s">
        <v>7701</v>
      </c>
      <c r="H335" t="s">
        <v>146</v>
      </c>
      <c r="I335" s="1">
        <v>45753</v>
      </c>
      <c r="K335">
        <v>59000</v>
      </c>
      <c r="L335" t="s">
        <v>351</v>
      </c>
    </row>
    <row r="336" spans="1:12" x14ac:dyDescent="0.35">
      <c r="A336" t="s">
        <v>131</v>
      </c>
      <c r="B336" s="1">
        <v>45722</v>
      </c>
      <c r="C336" t="s">
        <v>161</v>
      </c>
      <c r="D336" t="s">
        <v>161</v>
      </c>
      <c r="F336" t="s">
        <v>8423</v>
      </c>
      <c r="H336" t="s">
        <v>146</v>
      </c>
      <c r="I336" s="1">
        <v>45753</v>
      </c>
      <c r="K336">
        <v>132000</v>
      </c>
      <c r="L336" t="s">
        <v>350</v>
      </c>
    </row>
    <row r="337" spans="1:12" x14ac:dyDescent="0.35">
      <c r="A337" t="s">
        <v>131</v>
      </c>
      <c r="B337" s="1">
        <v>45722</v>
      </c>
      <c r="C337" t="s">
        <v>162</v>
      </c>
      <c r="D337" t="s">
        <v>162</v>
      </c>
      <c r="F337" t="s">
        <v>7831</v>
      </c>
      <c r="G337" t="s">
        <v>9928</v>
      </c>
      <c r="H337" t="s">
        <v>163</v>
      </c>
      <c r="I337" s="1">
        <v>45777</v>
      </c>
      <c r="J337">
        <v>107380</v>
      </c>
      <c r="L337" t="s">
        <v>6803</v>
      </c>
    </row>
    <row r="338" spans="1:12" x14ac:dyDescent="0.35">
      <c r="A338" t="s">
        <v>131</v>
      </c>
      <c r="B338" s="1">
        <v>45722</v>
      </c>
      <c r="C338" t="s">
        <v>162</v>
      </c>
      <c r="D338" t="s">
        <v>162</v>
      </c>
      <c r="F338" t="s">
        <v>8419</v>
      </c>
      <c r="H338" t="s">
        <v>163</v>
      </c>
      <c r="I338" s="1">
        <v>45777</v>
      </c>
      <c r="K338">
        <v>11880</v>
      </c>
      <c r="L338" t="s">
        <v>6803</v>
      </c>
    </row>
    <row r="339" spans="1:12" x14ac:dyDescent="0.35">
      <c r="A339" t="s">
        <v>131</v>
      </c>
      <c r="B339" s="1">
        <v>45722</v>
      </c>
      <c r="C339" t="s">
        <v>162</v>
      </c>
      <c r="D339" t="s">
        <v>162</v>
      </c>
      <c r="F339" t="s">
        <v>7701</v>
      </c>
      <c r="H339" t="s">
        <v>163</v>
      </c>
      <c r="I339" s="1">
        <v>45777</v>
      </c>
      <c r="K339">
        <v>29500</v>
      </c>
      <c r="L339" t="s">
        <v>351</v>
      </c>
    </row>
    <row r="340" spans="1:12" x14ac:dyDescent="0.35">
      <c r="A340" t="s">
        <v>131</v>
      </c>
      <c r="B340" s="1">
        <v>45722</v>
      </c>
      <c r="C340" t="s">
        <v>162</v>
      </c>
      <c r="D340" t="s">
        <v>162</v>
      </c>
      <c r="F340" t="s">
        <v>8423</v>
      </c>
      <c r="H340" t="s">
        <v>163</v>
      </c>
      <c r="I340" s="1">
        <v>45777</v>
      </c>
      <c r="K340">
        <v>66000</v>
      </c>
      <c r="L340" t="s">
        <v>349</v>
      </c>
    </row>
    <row r="341" spans="1:12" x14ac:dyDescent="0.35">
      <c r="A341" t="s">
        <v>131</v>
      </c>
      <c r="B341" s="1">
        <v>45722</v>
      </c>
      <c r="C341" t="s">
        <v>164</v>
      </c>
      <c r="D341" t="s">
        <v>164</v>
      </c>
      <c r="F341" t="s">
        <v>7831</v>
      </c>
      <c r="G341" t="s">
        <v>9925</v>
      </c>
      <c r="H341" t="s">
        <v>165</v>
      </c>
      <c r="I341" s="1">
        <v>45722</v>
      </c>
      <c r="J341">
        <v>237180</v>
      </c>
      <c r="L341" t="s">
        <v>6803</v>
      </c>
    </row>
    <row r="342" spans="1:12" x14ac:dyDescent="0.35">
      <c r="A342" t="s">
        <v>131</v>
      </c>
      <c r="B342" s="1">
        <v>45722</v>
      </c>
      <c r="C342" t="s">
        <v>164</v>
      </c>
      <c r="D342" t="s">
        <v>164</v>
      </c>
      <c r="F342" t="s">
        <v>8419</v>
      </c>
      <c r="H342" t="s">
        <v>165</v>
      </c>
      <c r="I342" s="1">
        <v>45722</v>
      </c>
      <c r="K342">
        <v>36180</v>
      </c>
      <c r="L342" t="s">
        <v>6803</v>
      </c>
    </row>
    <row r="343" spans="1:12" x14ac:dyDescent="0.35">
      <c r="A343" t="s">
        <v>131</v>
      </c>
      <c r="B343" s="1">
        <v>45722</v>
      </c>
      <c r="C343" t="s">
        <v>164</v>
      </c>
      <c r="D343" t="s">
        <v>164</v>
      </c>
      <c r="F343" t="s">
        <v>8423</v>
      </c>
      <c r="H343" t="s">
        <v>165</v>
      </c>
      <c r="I343" s="1">
        <v>45722</v>
      </c>
      <c r="K343">
        <v>201000</v>
      </c>
      <c r="L343" t="s">
        <v>349</v>
      </c>
    </row>
    <row r="344" spans="1:12" x14ac:dyDescent="0.35">
      <c r="A344" t="s">
        <v>131</v>
      </c>
      <c r="B344" s="1">
        <v>45722</v>
      </c>
      <c r="C344" t="s">
        <v>166</v>
      </c>
      <c r="D344" t="s">
        <v>166</v>
      </c>
      <c r="F344" t="s">
        <v>7831</v>
      </c>
      <c r="G344" t="s">
        <v>9932</v>
      </c>
      <c r="H344" t="s">
        <v>167</v>
      </c>
      <c r="I344" s="1">
        <v>45722</v>
      </c>
      <c r="J344">
        <v>214760</v>
      </c>
      <c r="L344" t="s">
        <v>6803</v>
      </c>
    </row>
    <row r="345" spans="1:12" x14ac:dyDescent="0.35">
      <c r="A345" t="s">
        <v>131</v>
      </c>
      <c r="B345" s="1">
        <v>45722</v>
      </c>
      <c r="C345" t="s">
        <v>166</v>
      </c>
      <c r="D345" t="s">
        <v>166</v>
      </c>
      <c r="F345" t="s">
        <v>8419</v>
      </c>
      <c r="H345" t="s">
        <v>167</v>
      </c>
      <c r="I345" s="1">
        <v>45722</v>
      </c>
      <c r="K345">
        <v>23760</v>
      </c>
      <c r="L345" t="s">
        <v>6803</v>
      </c>
    </row>
    <row r="346" spans="1:12" x14ac:dyDescent="0.35">
      <c r="A346" t="s">
        <v>131</v>
      </c>
      <c r="B346" s="1">
        <v>45722</v>
      </c>
      <c r="C346" t="s">
        <v>166</v>
      </c>
      <c r="D346" t="s">
        <v>166</v>
      </c>
      <c r="F346" t="s">
        <v>7701</v>
      </c>
      <c r="H346" t="s">
        <v>167</v>
      </c>
      <c r="I346" s="1">
        <v>45722</v>
      </c>
      <c r="K346">
        <v>59000</v>
      </c>
      <c r="L346" t="s">
        <v>351</v>
      </c>
    </row>
    <row r="347" spans="1:12" x14ac:dyDescent="0.35">
      <c r="A347" t="s">
        <v>131</v>
      </c>
      <c r="B347" s="1">
        <v>45722</v>
      </c>
      <c r="C347" t="s">
        <v>166</v>
      </c>
      <c r="D347" t="s">
        <v>166</v>
      </c>
      <c r="F347" t="s">
        <v>8423</v>
      </c>
      <c r="H347" t="s">
        <v>167</v>
      </c>
      <c r="I347" s="1">
        <v>45722</v>
      </c>
      <c r="K347">
        <v>132000</v>
      </c>
      <c r="L347" t="s">
        <v>350</v>
      </c>
    </row>
    <row r="348" spans="1:12" x14ac:dyDescent="0.35">
      <c r="A348" t="s">
        <v>131</v>
      </c>
      <c r="B348" s="1">
        <v>45722</v>
      </c>
      <c r="C348" t="s">
        <v>168</v>
      </c>
      <c r="D348" t="s">
        <v>168</v>
      </c>
      <c r="F348" t="s">
        <v>7831</v>
      </c>
      <c r="G348" t="s">
        <v>9900</v>
      </c>
      <c r="H348" t="s">
        <v>144</v>
      </c>
      <c r="I348" s="1">
        <v>45722</v>
      </c>
      <c r="J348">
        <v>214760</v>
      </c>
      <c r="L348" t="s">
        <v>6803</v>
      </c>
    </row>
    <row r="349" spans="1:12" x14ac:dyDescent="0.35">
      <c r="A349" t="s">
        <v>131</v>
      </c>
      <c r="B349" s="1">
        <v>45722</v>
      </c>
      <c r="C349" t="s">
        <v>168</v>
      </c>
      <c r="D349" t="s">
        <v>168</v>
      </c>
      <c r="F349" t="s">
        <v>8419</v>
      </c>
      <c r="H349" t="s">
        <v>144</v>
      </c>
      <c r="I349" s="1">
        <v>45722</v>
      </c>
      <c r="K349">
        <v>23760</v>
      </c>
      <c r="L349" t="s">
        <v>6803</v>
      </c>
    </row>
    <row r="350" spans="1:12" x14ac:dyDescent="0.35">
      <c r="A350" t="s">
        <v>131</v>
      </c>
      <c r="B350" s="1">
        <v>45722</v>
      </c>
      <c r="C350" t="s">
        <v>168</v>
      </c>
      <c r="D350" t="s">
        <v>168</v>
      </c>
      <c r="F350" t="s">
        <v>7701</v>
      </c>
      <c r="H350" t="s">
        <v>144</v>
      </c>
      <c r="I350" s="1">
        <v>45722</v>
      </c>
      <c r="K350">
        <v>59000</v>
      </c>
      <c r="L350" t="s">
        <v>351</v>
      </c>
    </row>
    <row r="351" spans="1:12" x14ac:dyDescent="0.35">
      <c r="A351" t="s">
        <v>131</v>
      </c>
      <c r="B351" s="1">
        <v>45722</v>
      </c>
      <c r="C351" t="s">
        <v>168</v>
      </c>
      <c r="D351" t="s">
        <v>168</v>
      </c>
      <c r="F351" t="s">
        <v>8423</v>
      </c>
      <c r="H351" t="s">
        <v>144</v>
      </c>
      <c r="I351" s="1">
        <v>45722</v>
      </c>
      <c r="K351">
        <v>132000</v>
      </c>
      <c r="L351" t="s">
        <v>350</v>
      </c>
    </row>
    <row r="352" spans="1:12" x14ac:dyDescent="0.35">
      <c r="A352" t="s">
        <v>131</v>
      </c>
      <c r="B352" s="1">
        <v>45723</v>
      </c>
      <c r="C352" t="s">
        <v>169</v>
      </c>
      <c r="D352" t="s">
        <v>169</v>
      </c>
      <c r="F352" t="s">
        <v>7831</v>
      </c>
      <c r="G352" t="s">
        <v>9922</v>
      </c>
      <c r="H352" t="s">
        <v>170</v>
      </c>
      <c r="I352" s="1">
        <v>45752</v>
      </c>
      <c r="J352">
        <v>2577120</v>
      </c>
      <c r="L352" t="s">
        <v>6803</v>
      </c>
    </row>
    <row r="353" spans="1:12" x14ac:dyDescent="0.35">
      <c r="A353" t="s">
        <v>131</v>
      </c>
      <c r="B353" s="1">
        <v>45723</v>
      </c>
      <c r="C353" t="s">
        <v>169</v>
      </c>
      <c r="D353" t="s">
        <v>169</v>
      </c>
      <c r="F353" t="s">
        <v>8419</v>
      </c>
      <c r="H353" t="s">
        <v>170</v>
      </c>
      <c r="I353" s="1">
        <v>45752</v>
      </c>
      <c r="K353">
        <v>285120</v>
      </c>
      <c r="L353" t="s">
        <v>6803</v>
      </c>
    </row>
    <row r="354" spans="1:12" x14ac:dyDescent="0.35">
      <c r="A354" t="s">
        <v>131</v>
      </c>
      <c r="B354" s="1">
        <v>45723</v>
      </c>
      <c r="C354" t="s">
        <v>169</v>
      </c>
      <c r="D354" t="s">
        <v>169</v>
      </c>
      <c r="F354" t="s">
        <v>7701</v>
      </c>
      <c r="H354" t="s">
        <v>170</v>
      </c>
      <c r="I354" s="1">
        <v>45752</v>
      </c>
      <c r="K354">
        <v>708000</v>
      </c>
      <c r="L354" t="s">
        <v>351</v>
      </c>
    </row>
    <row r="355" spans="1:12" x14ac:dyDescent="0.35">
      <c r="A355" t="s">
        <v>131</v>
      </c>
      <c r="B355" s="1">
        <v>45723</v>
      </c>
      <c r="C355" t="s">
        <v>169</v>
      </c>
      <c r="D355" t="s">
        <v>169</v>
      </c>
      <c r="F355" t="s">
        <v>8423</v>
      </c>
      <c r="H355" t="s">
        <v>170</v>
      </c>
      <c r="I355" s="1">
        <v>45752</v>
      </c>
      <c r="K355">
        <v>1584000</v>
      </c>
      <c r="L355" t="s">
        <v>349</v>
      </c>
    </row>
    <row r="356" spans="1:12" x14ac:dyDescent="0.35">
      <c r="A356" t="s">
        <v>131</v>
      </c>
      <c r="B356" s="1">
        <v>45723</v>
      </c>
      <c r="C356" t="s">
        <v>171</v>
      </c>
      <c r="D356" t="s">
        <v>171</v>
      </c>
      <c r="F356" t="s">
        <v>7831</v>
      </c>
      <c r="G356" t="s">
        <v>9921</v>
      </c>
      <c r="H356" t="s">
        <v>159</v>
      </c>
      <c r="I356" s="1">
        <v>45723</v>
      </c>
      <c r="J356">
        <v>826000</v>
      </c>
      <c r="L356" t="s">
        <v>6803</v>
      </c>
    </row>
    <row r="357" spans="1:12" x14ac:dyDescent="0.35">
      <c r="A357" t="s">
        <v>131</v>
      </c>
      <c r="B357" s="1">
        <v>45723</v>
      </c>
      <c r="C357" t="s">
        <v>171</v>
      </c>
      <c r="D357" t="s">
        <v>171</v>
      </c>
      <c r="F357" t="s">
        <v>8419</v>
      </c>
      <c r="H357" t="s">
        <v>159</v>
      </c>
      <c r="I357" s="1">
        <v>45723</v>
      </c>
      <c r="K357">
        <v>108000</v>
      </c>
      <c r="L357" t="s">
        <v>6803</v>
      </c>
    </row>
    <row r="358" spans="1:12" x14ac:dyDescent="0.35">
      <c r="A358" t="s">
        <v>131</v>
      </c>
      <c r="B358" s="1">
        <v>45723</v>
      </c>
      <c r="C358" t="s">
        <v>171</v>
      </c>
      <c r="D358" t="s">
        <v>171</v>
      </c>
      <c r="F358" t="s">
        <v>7701</v>
      </c>
      <c r="H358" t="s">
        <v>159</v>
      </c>
      <c r="I358" s="1">
        <v>45723</v>
      </c>
      <c r="K358">
        <v>118000</v>
      </c>
      <c r="L358" t="s">
        <v>351</v>
      </c>
    </row>
    <row r="359" spans="1:12" x14ac:dyDescent="0.35">
      <c r="A359" t="s">
        <v>131</v>
      </c>
      <c r="B359" s="1">
        <v>45723</v>
      </c>
      <c r="C359" t="s">
        <v>171</v>
      </c>
      <c r="D359" t="s">
        <v>171</v>
      </c>
      <c r="F359" t="s">
        <v>8423</v>
      </c>
      <c r="H359" t="s">
        <v>159</v>
      </c>
      <c r="I359" s="1">
        <v>45723</v>
      </c>
      <c r="K359">
        <v>600000</v>
      </c>
      <c r="L359" t="s">
        <v>349</v>
      </c>
    </row>
    <row r="360" spans="1:12" x14ac:dyDescent="0.35">
      <c r="A360" t="s">
        <v>131</v>
      </c>
      <c r="B360" s="1">
        <v>45723</v>
      </c>
      <c r="C360" t="s">
        <v>172</v>
      </c>
      <c r="D360" t="s">
        <v>172</v>
      </c>
      <c r="F360" t="s">
        <v>7831</v>
      </c>
      <c r="G360" t="s">
        <v>9931</v>
      </c>
      <c r="H360" t="s">
        <v>146</v>
      </c>
      <c r="I360" s="1">
        <v>45754</v>
      </c>
      <c r="J360">
        <v>214760</v>
      </c>
      <c r="L360" t="s">
        <v>6803</v>
      </c>
    </row>
    <row r="361" spans="1:12" x14ac:dyDescent="0.35">
      <c r="A361" t="s">
        <v>131</v>
      </c>
      <c r="B361" s="1">
        <v>45723</v>
      </c>
      <c r="C361" t="s">
        <v>172</v>
      </c>
      <c r="D361" t="s">
        <v>172</v>
      </c>
      <c r="F361" t="s">
        <v>8419</v>
      </c>
      <c r="H361" t="s">
        <v>146</v>
      </c>
      <c r="I361" s="1">
        <v>45754</v>
      </c>
      <c r="K361">
        <v>23760</v>
      </c>
      <c r="L361" t="s">
        <v>6803</v>
      </c>
    </row>
    <row r="362" spans="1:12" x14ac:dyDescent="0.35">
      <c r="A362" t="s">
        <v>131</v>
      </c>
      <c r="B362" s="1">
        <v>45723</v>
      </c>
      <c r="C362" t="s">
        <v>172</v>
      </c>
      <c r="D362" t="s">
        <v>172</v>
      </c>
      <c r="F362" t="s">
        <v>7701</v>
      </c>
      <c r="H362" t="s">
        <v>146</v>
      </c>
      <c r="I362" s="1">
        <v>45754</v>
      </c>
      <c r="K362">
        <v>59000</v>
      </c>
      <c r="L362" t="s">
        <v>351</v>
      </c>
    </row>
    <row r="363" spans="1:12" x14ac:dyDescent="0.35">
      <c r="A363" t="s">
        <v>131</v>
      </c>
      <c r="B363" s="1">
        <v>45723</v>
      </c>
      <c r="C363" t="s">
        <v>172</v>
      </c>
      <c r="D363" t="s">
        <v>172</v>
      </c>
      <c r="F363" t="s">
        <v>8423</v>
      </c>
      <c r="H363" t="s">
        <v>146</v>
      </c>
      <c r="I363" s="1">
        <v>45754</v>
      </c>
      <c r="K363">
        <v>132000</v>
      </c>
      <c r="L363" t="s">
        <v>350</v>
      </c>
    </row>
    <row r="364" spans="1:12" x14ac:dyDescent="0.35">
      <c r="A364" t="s">
        <v>131</v>
      </c>
      <c r="B364" s="1">
        <v>45723</v>
      </c>
      <c r="C364" t="s">
        <v>173</v>
      </c>
      <c r="D364" t="s">
        <v>173</v>
      </c>
      <c r="F364" t="s">
        <v>7831</v>
      </c>
      <c r="G364" t="s">
        <v>9931</v>
      </c>
      <c r="H364" t="s">
        <v>146</v>
      </c>
      <c r="I364" s="1">
        <v>45754</v>
      </c>
      <c r="J364">
        <v>295000</v>
      </c>
      <c r="L364" t="s">
        <v>6803</v>
      </c>
    </row>
    <row r="365" spans="1:12" x14ac:dyDescent="0.35">
      <c r="A365" t="s">
        <v>131</v>
      </c>
      <c r="B365" s="1">
        <v>45723</v>
      </c>
      <c r="C365" t="s">
        <v>173</v>
      </c>
      <c r="D365" t="s">
        <v>173</v>
      </c>
      <c r="F365" t="s">
        <v>8419</v>
      </c>
      <c r="H365" t="s">
        <v>146</v>
      </c>
      <c r="I365" s="1">
        <v>45754</v>
      </c>
      <c r="K365">
        <v>36000</v>
      </c>
      <c r="L365" t="s">
        <v>6803</v>
      </c>
    </row>
    <row r="366" spans="1:12" x14ac:dyDescent="0.35">
      <c r="A366" t="s">
        <v>131</v>
      </c>
      <c r="B366" s="1">
        <v>45723</v>
      </c>
      <c r="C366" t="s">
        <v>173</v>
      </c>
      <c r="D366" t="s">
        <v>173</v>
      </c>
      <c r="F366" t="s">
        <v>7701</v>
      </c>
      <c r="H366" t="s">
        <v>146</v>
      </c>
      <c r="I366" s="1">
        <v>45754</v>
      </c>
      <c r="K366">
        <v>59000</v>
      </c>
      <c r="L366" t="s">
        <v>351</v>
      </c>
    </row>
    <row r="367" spans="1:12" x14ac:dyDescent="0.35">
      <c r="A367" t="s">
        <v>131</v>
      </c>
      <c r="B367" s="1">
        <v>45723</v>
      </c>
      <c r="C367" t="s">
        <v>173</v>
      </c>
      <c r="D367" t="s">
        <v>173</v>
      </c>
      <c r="F367" t="s">
        <v>8423</v>
      </c>
      <c r="H367" t="s">
        <v>146</v>
      </c>
      <c r="I367" s="1">
        <v>45754</v>
      </c>
      <c r="K367">
        <v>200000</v>
      </c>
      <c r="L367" t="s">
        <v>350</v>
      </c>
    </row>
    <row r="368" spans="1:12" x14ac:dyDescent="0.35">
      <c r="A368" t="s">
        <v>131</v>
      </c>
      <c r="B368" s="1">
        <v>45723</v>
      </c>
      <c r="C368" t="s">
        <v>174</v>
      </c>
      <c r="D368" t="s">
        <v>174</v>
      </c>
      <c r="F368" t="s">
        <v>7831</v>
      </c>
      <c r="G368" t="s">
        <v>9938</v>
      </c>
      <c r="H368" t="s">
        <v>175</v>
      </c>
      <c r="I368" s="1">
        <v>45754</v>
      </c>
      <c r="J368">
        <v>1557600</v>
      </c>
      <c r="L368" t="s">
        <v>6803</v>
      </c>
    </row>
    <row r="369" spans="1:12" x14ac:dyDescent="0.35">
      <c r="A369" t="s">
        <v>131</v>
      </c>
      <c r="B369" s="1">
        <v>45723</v>
      </c>
      <c r="C369" t="s">
        <v>174</v>
      </c>
      <c r="D369" t="s">
        <v>174</v>
      </c>
      <c r="F369" t="s">
        <v>8419</v>
      </c>
      <c r="H369" t="s">
        <v>175</v>
      </c>
      <c r="I369" s="1">
        <v>45754</v>
      </c>
      <c r="K369">
        <v>237600</v>
      </c>
      <c r="L369" t="s">
        <v>6803</v>
      </c>
    </row>
    <row r="370" spans="1:12" x14ac:dyDescent="0.35">
      <c r="A370" t="s">
        <v>131</v>
      </c>
      <c r="B370" s="1">
        <v>45723</v>
      </c>
      <c r="C370" t="s">
        <v>174</v>
      </c>
      <c r="D370" t="s">
        <v>174</v>
      </c>
      <c r="F370" t="s">
        <v>8423</v>
      </c>
      <c r="H370" t="s">
        <v>175</v>
      </c>
      <c r="I370" s="1">
        <v>45754</v>
      </c>
      <c r="K370">
        <v>1320000</v>
      </c>
      <c r="L370" t="s">
        <v>350</v>
      </c>
    </row>
    <row r="371" spans="1:12" x14ac:dyDescent="0.35">
      <c r="A371" t="s">
        <v>131</v>
      </c>
      <c r="B371" s="1">
        <v>45726</v>
      </c>
      <c r="C371" t="s">
        <v>176</v>
      </c>
      <c r="D371" t="s">
        <v>176</v>
      </c>
      <c r="F371" t="s">
        <v>7831</v>
      </c>
      <c r="G371" t="s">
        <v>9900</v>
      </c>
      <c r="H371" t="s">
        <v>144</v>
      </c>
      <c r="I371" s="1">
        <v>45726</v>
      </c>
      <c r="J371">
        <v>859040</v>
      </c>
      <c r="L371" t="s">
        <v>6803</v>
      </c>
    </row>
    <row r="372" spans="1:12" x14ac:dyDescent="0.35">
      <c r="A372" t="s">
        <v>131</v>
      </c>
      <c r="B372" s="1">
        <v>45726</v>
      </c>
      <c r="C372" t="s">
        <v>176</v>
      </c>
      <c r="D372" t="s">
        <v>176</v>
      </c>
      <c r="F372" t="s">
        <v>8419</v>
      </c>
      <c r="H372" t="s">
        <v>144</v>
      </c>
      <c r="I372" s="1">
        <v>45726</v>
      </c>
      <c r="K372">
        <v>95040</v>
      </c>
      <c r="L372" t="s">
        <v>6803</v>
      </c>
    </row>
    <row r="373" spans="1:12" x14ac:dyDescent="0.35">
      <c r="A373" t="s">
        <v>131</v>
      </c>
      <c r="B373" s="1">
        <v>45726</v>
      </c>
      <c r="C373" t="s">
        <v>176</v>
      </c>
      <c r="D373" t="s">
        <v>176</v>
      </c>
      <c r="F373" t="s">
        <v>7701</v>
      </c>
      <c r="H373" t="s">
        <v>144</v>
      </c>
      <c r="I373" s="1">
        <v>45726</v>
      </c>
      <c r="K373">
        <v>236000</v>
      </c>
      <c r="L373" t="s">
        <v>351</v>
      </c>
    </row>
    <row r="374" spans="1:12" x14ac:dyDescent="0.35">
      <c r="A374" t="s">
        <v>131</v>
      </c>
      <c r="B374" s="1">
        <v>45726</v>
      </c>
      <c r="C374" t="s">
        <v>176</v>
      </c>
      <c r="D374" t="s">
        <v>176</v>
      </c>
      <c r="F374" t="s">
        <v>8423</v>
      </c>
      <c r="H374" t="s">
        <v>144</v>
      </c>
      <c r="I374" s="1">
        <v>45726</v>
      </c>
      <c r="K374">
        <v>528000</v>
      </c>
      <c r="L374" t="s">
        <v>350</v>
      </c>
    </row>
    <row r="375" spans="1:12" x14ac:dyDescent="0.35">
      <c r="A375" t="s">
        <v>131</v>
      </c>
      <c r="B375" s="1">
        <v>45726</v>
      </c>
      <c r="C375" t="s">
        <v>177</v>
      </c>
      <c r="D375" t="s">
        <v>177</v>
      </c>
      <c r="F375" t="s">
        <v>7831</v>
      </c>
      <c r="G375" t="s">
        <v>9921</v>
      </c>
      <c r="H375" t="s">
        <v>159</v>
      </c>
      <c r="I375" s="1">
        <v>45757</v>
      </c>
      <c r="J375">
        <v>237180</v>
      </c>
      <c r="L375" t="s">
        <v>6803</v>
      </c>
    </row>
    <row r="376" spans="1:12" x14ac:dyDescent="0.35">
      <c r="A376" t="s">
        <v>131</v>
      </c>
      <c r="B376" s="1">
        <v>45726</v>
      </c>
      <c r="C376" t="s">
        <v>177</v>
      </c>
      <c r="D376" t="s">
        <v>177</v>
      </c>
      <c r="F376" t="s">
        <v>8419</v>
      </c>
      <c r="H376" t="s">
        <v>159</v>
      </c>
      <c r="I376" s="1">
        <v>45757</v>
      </c>
      <c r="K376">
        <v>36180</v>
      </c>
      <c r="L376" t="s">
        <v>6803</v>
      </c>
    </row>
    <row r="377" spans="1:12" x14ac:dyDescent="0.35">
      <c r="A377" t="s">
        <v>131</v>
      </c>
      <c r="B377" s="1">
        <v>45726</v>
      </c>
      <c r="C377" t="s">
        <v>177</v>
      </c>
      <c r="D377" t="s">
        <v>177</v>
      </c>
      <c r="F377" t="s">
        <v>8423</v>
      </c>
      <c r="H377" t="s">
        <v>159</v>
      </c>
      <c r="I377" s="1">
        <v>45757</v>
      </c>
      <c r="K377">
        <v>201000</v>
      </c>
      <c r="L377" t="s">
        <v>349</v>
      </c>
    </row>
    <row r="378" spans="1:12" x14ac:dyDescent="0.35">
      <c r="A378" t="s">
        <v>131</v>
      </c>
      <c r="B378" s="1">
        <v>45726</v>
      </c>
      <c r="C378" t="s">
        <v>178</v>
      </c>
      <c r="D378" t="s">
        <v>178</v>
      </c>
      <c r="F378" t="s">
        <v>7831</v>
      </c>
      <c r="G378" t="s">
        <v>7586</v>
      </c>
      <c r="H378" t="s">
        <v>148</v>
      </c>
      <c r="I378" s="1">
        <v>45726</v>
      </c>
      <c r="J378">
        <v>483800</v>
      </c>
      <c r="L378" t="s">
        <v>6803</v>
      </c>
    </row>
    <row r="379" spans="1:12" x14ac:dyDescent="0.35">
      <c r="A379" t="s">
        <v>131</v>
      </c>
      <c r="B379" s="1">
        <v>45726</v>
      </c>
      <c r="C379" t="s">
        <v>178</v>
      </c>
      <c r="D379" t="s">
        <v>178</v>
      </c>
      <c r="F379" t="s">
        <v>8419</v>
      </c>
      <c r="H379" t="s">
        <v>148</v>
      </c>
      <c r="I379" s="1">
        <v>45726</v>
      </c>
      <c r="K379">
        <v>64800</v>
      </c>
      <c r="L379" t="s">
        <v>6803</v>
      </c>
    </row>
    <row r="380" spans="1:12" x14ac:dyDescent="0.35">
      <c r="A380" t="s">
        <v>131</v>
      </c>
      <c r="B380" s="1">
        <v>45726</v>
      </c>
      <c r="C380" t="s">
        <v>178</v>
      </c>
      <c r="D380" t="s">
        <v>178</v>
      </c>
      <c r="F380" t="s">
        <v>7701</v>
      </c>
      <c r="H380" t="s">
        <v>148</v>
      </c>
      <c r="I380" s="1">
        <v>45726</v>
      </c>
      <c r="K380">
        <v>59000</v>
      </c>
      <c r="L380" t="s">
        <v>351</v>
      </c>
    </row>
    <row r="381" spans="1:12" x14ac:dyDescent="0.35">
      <c r="A381" t="s">
        <v>131</v>
      </c>
      <c r="B381" s="1">
        <v>45726</v>
      </c>
      <c r="C381" t="s">
        <v>178</v>
      </c>
      <c r="D381" t="s">
        <v>178</v>
      </c>
      <c r="F381" t="s">
        <v>8423</v>
      </c>
      <c r="H381" t="s">
        <v>148</v>
      </c>
      <c r="I381" s="1">
        <v>45726</v>
      </c>
      <c r="K381">
        <v>360000</v>
      </c>
      <c r="L381" t="s">
        <v>349</v>
      </c>
    </row>
    <row r="382" spans="1:12" x14ac:dyDescent="0.35">
      <c r="A382" t="s">
        <v>131</v>
      </c>
      <c r="B382" s="1">
        <v>45726</v>
      </c>
      <c r="C382" t="s">
        <v>179</v>
      </c>
      <c r="D382" t="s">
        <v>179</v>
      </c>
      <c r="F382" t="s">
        <v>7831</v>
      </c>
      <c r="G382" t="s">
        <v>7521</v>
      </c>
      <c r="H382" t="s">
        <v>180</v>
      </c>
      <c r="I382" s="1">
        <v>45757</v>
      </c>
      <c r="J382">
        <v>2626680</v>
      </c>
      <c r="L382" t="s">
        <v>6803</v>
      </c>
    </row>
    <row r="383" spans="1:12" x14ac:dyDescent="0.35">
      <c r="A383" t="s">
        <v>131</v>
      </c>
      <c r="B383" s="1">
        <v>45726</v>
      </c>
      <c r="C383" t="s">
        <v>179</v>
      </c>
      <c r="D383" t="s">
        <v>179</v>
      </c>
      <c r="F383" t="s">
        <v>8419</v>
      </c>
      <c r="H383" t="s">
        <v>180</v>
      </c>
      <c r="I383" s="1">
        <v>45757</v>
      </c>
      <c r="K383">
        <v>337680</v>
      </c>
      <c r="L383" t="s">
        <v>6803</v>
      </c>
    </row>
    <row r="384" spans="1:12" x14ac:dyDescent="0.35">
      <c r="A384" t="s">
        <v>131</v>
      </c>
      <c r="B384" s="1">
        <v>45726</v>
      </c>
      <c r="C384" t="s">
        <v>179</v>
      </c>
      <c r="D384" t="s">
        <v>179</v>
      </c>
      <c r="F384" t="s">
        <v>7701</v>
      </c>
      <c r="H384" t="s">
        <v>180</v>
      </c>
      <c r="I384" s="1">
        <v>45757</v>
      </c>
      <c r="K384">
        <v>413000</v>
      </c>
      <c r="L384" t="s">
        <v>351</v>
      </c>
    </row>
    <row r="385" spans="1:12" x14ac:dyDescent="0.35">
      <c r="A385" t="s">
        <v>131</v>
      </c>
      <c r="B385" s="1">
        <v>45726</v>
      </c>
      <c r="C385" t="s">
        <v>179</v>
      </c>
      <c r="D385" t="s">
        <v>179</v>
      </c>
      <c r="F385" t="s">
        <v>8423</v>
      </c>
      <c r="H385" t="s">
        <v>180</v>
      </c>
      <c r="I385" s="1">
        <v>45757</v>
      </c>
      <c r="K385">
        <v>1876000</v>
      </c>
      <c r="L385" t="s">
        <v>349</v>
      </c>
    </row>
    <row r="386" spans="1:12" x14ac:dyDescent="0.35">
      <c r="A386" t="s">
        <v>131</v>
      </c>
      <c r="B386" s="1">
        <v>45726</v>
      </c>
      <c r="C386" t="s">
        <v>181</v>
      </c>
      <c r="D386" t="s">
        <v>181</v>
      </c>
      <c r="F386" t="s">
        <v>7831</v>
      </c>
      <c r="G386" t="s">
        <v>7521</v>
      </c>
      <c r="H386" t="s">
        <v>180</v>
      </c>
      <c r="I386" s="1">
        <v>45757</v>
      </c>
      <c r="J386">
        <v>2626680</v>
      </c>
      <c r="L386" t="s">
        <v>6803</v>
      </c>
    </row>
    <row r="387" spans="1:12" x14ac:dyDescent="0.35">
      <c r="A387" t="s">
        <v>131</v>
      </c>
      <c r="B387" s="1">
        <v>45726</v>
      </c>
      <c r="C387" t="s">
        <v>181</v>
      </c>
      <c r="D387" t="s">
        <v>181</v>
      </c>
      <c r="F387" t="s">
        <v>8419</v>
      </c>
      <c r="H387" t="s">
        <v>180</v>
      </c>
      <c r="I387" s="1">
        <v>45757</v>
      </c>
      <c r="K387">
        <v>337680</v>
      </c>
      <c r="L387" t="s">
        <v>6803</v>
      </c>
    </row>
    <row r="388" spans="1:12" x14ac:dyDescent="0.35">
      <c r="A388" t="s">
        <v>131</v>
      </c>
      <c r="B388" s="1">
        <v>45726</v>
      </c>
      <c r="C388" t="s">
        <v>181</v>
      </c>
      <c r="D388" t="s">
        <v>181</v>
      </c>
      <c r="F388" t="s">
        <v>7701</v>
      </c>
      <c r="H388" t="s">
        <v>180</v>
      </c>
      <c r="I388" s="1">
        <v>45757</v>
      </c>
      <c r="K388">
        <v>413000</v>
      </c>
      <c r="L388" t="s">
        <v>351</v>
      </c>
    </row>
    <row r="389" spans="1:12" x14ac:dyDescent="0.35">
      <c r="A389" t="s">
        <v>131</v>
      </c>
      <c r="B389" s="1">
        <v>45726</v>
      </c>
      <c r="C389" t="s">
        <v>181</v>
      </c>
      <c r="D389" t="s">
        <v>181</v>
      </c>
      <c r="F389" t="s">
        <v>8423</v>
      </c>
      <c r="H389" t="s">
        <v>180</v>
      </c>
      <c r="I389" s="1">
        <v>45757</v>
      </c>
      <c r="K389">
        <v>1876000</v>
      </c>
      <c r="L389" t="s">
        <v>349</v>
      </c>
    </row>
    <row r="390" spans="1:12" x14ac:dyDescent="0.35">
      <c r="A390" t="s">
        <v>131</v>
      </c>
      <c r="B390" s="1">
        <v>45726</v>
      </c>
      <c r="C390" t="s">
        <v>182</v>
      </c>
      <c r="D390" t="s">
        <v>182</v>
      </c>
      <c r="F390" t="s">
        <v>7831</v>
      </c>
      <c r="G390" t="s">
        <v>9925</v>
      </c>
      <c r="H390" t="s">
        <v>183</v>
      </c>
      <c r="I390" s="1">
        <v>45726</v>
      </c>
      <c r="J390">
        <v>292640</v>
      </c>
      <c r="L390" t="s">
        <v>6803</v>
      </c>
    </row>
    <row r="391" spans="1:12" x14ac:dyDescent="0.35">
      <c r="A391" t="s">
        <v>131</v>
      </c>
      <c r="B391" s="1">
        <v>45726</v>
      </c>
      <c r="C391" t="s">
        <v>182</v>
      </c>
      <c r="D391" t="s">
        <v>182</v>
      </c>
      <c r="F391" t="s">
        <v>8419</v>
      </c>
      <c r="H391" t="s">
        <v>183</v>
      </c>
      <c r="I391" s="1">
        <v>45726</v>
      </c>
      <c r="K391">
        <v>35640</v>
      </c>
      <c r="L391" t="s">
        <v>6803</v>
      </c>
    </row>
    <row r="392" spans="1:12" x14ac:dyDescent="0.35">
      <c r="A392" t="s">
        <v>131</v>
      </c>
      <c r="B392" s="1">
        <v>45726</v>
      </c>
      <c r="C392" t="s">
        <v>182</v>
      </c>
      <c r="D392" t="s">
        <v>182</v>
      </c>
      <c r="F392" t="s">
        <v>7701</v>
      </c>
      <c r="H392" t="s">
        <v>183</v>
      </c>
      <c r="I392" s="1">
        <v>45726</v>
      </c>
      <c r="K392">
        <v>59000</v>
      </c>
      <c r="L392" t="s">
        <v>351</v>
      </c>
    </row>
    <row r="393" spans="1:12" x14ac:dyDescent="0.35">
      <c r="A393" t="s">
        <v>131</v>
      </c>
      <c r="B393" s="1">
        <v>45726</v>
      </c>
      <c r="C393" t="s">
        <v>182</v>
      </c>
      <c r="D393" t="s">
        <v>182</v>
      </c>
      <c r="F393" t="s">
        <v>8423</v>
      </c>
      <c r="H393" t="s">
        <v>183</v>
      </c>
      <c r="I393" s="1">
        <v>45726</v>
      </c>
      <c r="K393">
        <v>198000</v>
      </c>
      <c r="L393" t="s">
        <v>349</v>
      </c>
    </row>
    <row r="394" spans="1:12" x14ac:dyDescent="0.35">
      <c r="A394" t="s">
        <v>131</v>
      </c>
      <c r="B394" s="1">
        <v>45727</v>
      </c>
      <c r="C394" t="s">
        <v>184</v>
      </c>
      <c r="D394" t="s">
        <v>184</v>
      </c>
      <c r="F394" t="s">
        <v>7831</v>
      </c>
      <c r="G394" t="s">
        <v>9932</v>
      </c>
      <c r="H394" t="s">
        <v>185</v>
      </c>
      <c r="I394" s="1">
        <v>45727</v>
      </c>
      <c r="K394">
        <v>214760</v>
      </c>
      <c r="L394" t="s">
        <v>6803</v>
      </c>
    </row>
    <row r="395" spans="1:12" x14ac:dyDescent="0.35">
      <c r="A395" t="s">
        <v>131</v>
      </c>
      <c r="B395" s="1">
        <v>45727</v>
      </c>
      <c r="C395" t="s">
        <v>184</v>
      </c>
      <c r="D395" t="s">
        <v>184</v>
      </c>
      <c r="F395" t="s">
        <v>8419</v>
      </c>
      <c r="H395" t="s">
        <v>185</v>
      </c>
      <c r="I395" s="1">
        <v>45727</v>
      </c>
      <c r="J395">
        <v>23760</v>
      </c>
      <c r="L395" t="s">
        <v>6803</v>
      </c>
    </row>
    <row r="396" spans="1:12" x14ac:dyDescent="0.35">
      <c r="A396" t="s">
        <v>131</v>
      </c>
      <c r="B396" s="1">
        <v>45727</v>
      </c>
      <c r="C396" t="s">
        <v>184</v>
      </c>
      <c r="D396" t="s">
        <v>184</v>
      </c>
      <c r="F396" t="s">
        <v>7701</v>
      </c>
      <c r="H396" t="s">
        <v>185</v>
      </c>
      <c r="I396" s="1">
        <v>45727</v>
      </c>
      <c r="J396">
        <v>59000</v>
      </c>
      <c r="L396" t="s">
        <v>351</v>
      </c>
    </row>
    <row r="397" spans="1:12" x14ac:dyDescent="0.35">
      <c r="A397" t="s">
        <v>131</v>
      </c>
      <c r="B397" s="1">
        <v>45727</v>
      </c>
      <c r="C397" t="s">
        <v>184</v>
      </c>
      <c r="D397" t="s">
        <v>184</v>
      </c>
      <c r="F397" t="s">
        <v>8423</v>
      </c>
      <c r="H397" t="s">
        <v>185</v>
      </c>
      <c r="I397" s="1">
        <v>45727</v>
      </c>
      <c r="J397">
        <v>132000</v>
      </c>
      <c r="L397" t="s">
        <v>350</v>
      </c>
    </row>
    <row r="398" spans="1:12" x14ac:dyDescent="0.35">
      <c r="A398" t="s">
        <v>131</v>
      </c>
      <c r="B398" s="1">
        <v>45727</v>
      </c>
      <c r="C398" t="s">
        <v>186</v>
      </c>
      <c r="D398" t="s">
        <v>186</v>
      </c>
      <c r="F398" t="s">
        <v>7831</v>
      </c>
      <c r="G398" t="s">
        <v>9924</v>
      </c>
      <c r="H398" t="s">
        <v>154</v>
      </c>
      <c r="I398" s="1">
        <v>45727</v>
      </c>
      <c r="J398">
        <v>3758300</v>
      </c>
      <c r="L398" t="s">
        <v>6803</v>
      </c>
    </row>
    <row r="399" spans="1:12" x14ac:dyDescent="0.35">
      <c r="A399" t="s">
        <v>131</v>
      </c>
      <c r="B399" s="1">
        <v>45727</v>
      </c>
      <c r="C399" t="s">
        <v>186</v>
      </c>
      <c r="D399" t="s">
        <v>186</v>
      </c>
      <c r="F399" t="s">
        <v>8419</v>
      </c>
      <c r="H399" t="s">
        <v>154</v>
      </c>
      <c r="I399" s="1">
        <v>45727</v>
      </c>
      <c r="K399">
        <v>415800</v>
      </c>
      <c r="L399" t="s">
        <v>6803</v>
      </c>
    </row>
    <row r="400" spans="1:12" x14ac:dyDescent="0.35">
      <c r="A400" t="s">
        <v>131</v>
      </c>
      <c r="B400" s="1">
        <v>45727</v>
      </c>
      <c r="C400" t="s">
        <v>186</v>
      </c>
      <c r="D400" t="s">
        <v>186</v>
      </c>
      <c r="F400" t="s">
        <v>7701</v>
      </c>
      <c r="H400" t="s">
        <v>154</v>
      </c>
      <c r="I400" s="1">
        <v>45727</v>
      </c>
      <c r="K400">
        <v>1032500</v>
      </c>
      <c r="L400" t="s">
        <v>351</v>
      </c>
    </row>
    <row r="401" spans="1:12" x14ac:dyDescent="0.35">
      <c r="A401" t="s">
        <v>131</v>
      </c>
      <c r="B401" s="1">
        <v>45727</v>
      </c>
      <c r="C401" t="s">
        <v>186</v>
      </c>
      <c r="D401" t="s">
        <v>186</v>
      </c>
      <c r="F401" t="s">
        <v>8423</v>
      </c>
      <c r="H401" t="s">
        <v>154</v>
      </c>
      <c r="I401" s="1">
        <v>45727</v>
      </c>
      <c r="K401">
        <v>2310000</v>
      </c>
      <c r="L401" t="s">
        <v>349</v>
      </c>
    </row>
    <row r="402" spans="1:12" x14ac:dyDescent="0.35">
      <c r="A402" t="s">
        <v>131</v>
      </c>
      <c r="B402" s="1">
        <v>45727</v>
      </c>
      <c r="C402" t="s">
        <v>187</v>
      </c>
      <c r="D402" t="s">
        <v>187</v>
      </c>
      <c r="F402" t="s">
        <v>7831</v>
      </c>
      <c r="G402" t="s">
        <v>9921</v>
      </c>
      <c r="H402" t="s">
        <v>188</v>
      </c>
      <c r="I402" s="1">
        <v>45727</v>
      </c>
      <c r="J402">
        <v>413000</v>
      </c>
      <c r="L402" t="s">
        <v>6803</v>
      </c>
    </row>
    <row r="403" spans="1:12" x14ac:dyDescent="0.35">
      <c r="A403" t="s">
        <v>131</v>
      </c>
      <c r="B403" s="1">
        <v>45727</v>
      </c>
      <c r="C403" t="s">
        <v>187</v>
      </c>
      <c r="D403" t="s">
        <v>187</v>
      </c>
      <c r="F403" t="s">
        <v>8419</v>
      </c>
      <c r="H403" t="s">
        <v>188</v>
      </c>
      <c r="I403" s="1">
        <v>45727</v>
      </c>
      <c r="K403">
        <v>54000</v>
      </c>
      <c r="L403" t="s">
        <v>6803</v>
      </c>
    </row>
    <row r="404" spans="1:12" x14ac:dyDescent="0.35">
      <c r="A404" t="s">
        <v>131</v>
      </c>
      <c r="B404" s="1">
        <v>45727</v>
      </c>
      <c r="C404" t="s">
        <v>187</v>
      </c>
      <c r="D404" t="s">
        <v>187</v>
      </c>
      <c r="F404" t="s">
        <v>7701</v>
      </c>
      <c r="H404" t="s">
        <v>188</v>
      </c>
      <c r="I404" s="1">
        <v>45727</v>
      </c>
      <c r="K404">
        <v>59000</v>
      </c>
      <c r="L404" t="s">
        <v>351</v>
      </c>
    </row>
    <row r="405" spans="1:12" x14ac:dyDescent="0.35">
      <c r="A405" t="s">
        <v>131</v>
      </c>
      <c r="B405" s="1">
        <v>45727</v>
      </c>
      <c r="C405" t="s">
        <v>187</v>
      </c>
      <c r="D405" t="s">
        <v>187</v>
      </c>
      <c r="F405" t="s">
        <v>8423</v>
      </c>
      <c r="H405" t="s">
        <v>188</v>
      </c>
      <c r="I405" s="1">
        <v>45727</v>
      </c>
      <c r="K405">
        <v>300000</v>
      </c>
      <c r="L405" t="s">
        <v>349</v>
      </c>
    </row>
    <row r="406" spans="1:12" x14ac:dyDescent="0.35">
      <c r="A406" t="s">
        <v>131</v>
      </c>
      <c r="B406" s="1">
        <v>45727</v>
      </c>
      <c r="C406" t="s">
        <v>189</v>
      </c>
      <c r="D406" t="s">
        <v>189</v>
      </c>
      <c r="F406" t="s">
        <v>7831</v>
      </c>
      <c r="G406" t="s">
        <v>9921</v>
      </c>
      <c r="H406" t="s">
        <v>188</v>
      </c>
      <c r="I406" s="1">
        <v>45727</v>
      </c>
      <c r="J406">
        <v>206500</v>
      </c>
      <c r="L406" t="s">
        <v>6803</v>
      </c>
    </row>
    <row r="407" spans="1:12" x14ac:dyDescent="0.35">
      <c r="A407" t="s">
        <v>131</v>
      </c>
      <c r="B407" s="1">
        <v>45727</v>
      </c>
      <c r="C407" t="s">
        <v>189</v>
      </c>
      <c r="D407" t="s">
        <v>189</v>
      </c>
      <c r="F407" t="s">
        <v>8419</v>
      </c>
      <c r="H407" t="s">
        <v>188</v>
      </c>
      <c r="I407" s="1">
        <v>45727</v>
      </c>
      <c r="K407">
        <v>27000</v>
      </c>
      <c r="L407" t="s">
        <v>6803</v>
      </c>
    </row>
    <row r="408" spans="1:12" x14ac:dyDescent="0.35">
      <c r="A408" t="s">
        <v>131</v>
      </c>
      <c r="B408" s="1">
        <v>45727</v>
      </c>
      <c r="C408" t="s">
        <v>189</v>
      </c>
      <c r="D408" t="s">
        <v>189</v>
      </c>
      <c r="F408" t="s">
        <v>7701</v>
      </c>
      <c r="H408" t="s">
        <v>188</v>
      </c>
      <c r="I408" s="1">
        <v>45727</v>
      </c>
      <c r="K408">
        <v>29500</v>
      </c>
      <c r="L408" t="s">
        <v>351</v>
      </c>
    </row>
    <row r="409" spans="1:12" x14ac:dyDescent="0.35">
      <c r="A409" t="s">
        <v>131</v>
      </c>
      <c r="B409" s="1">
        <v>45727</v>
      </c>
      <c r="C409" t="s">
        <v>189</v>
      </c>
      <c r="D409" t="s">
        <v>189</v>
      </c>
      <c r="F409" t="s">
        <v>8423</v>
      </c>
      <c r="H409" t="s">
        <v>188</v>
      </c>
      <c r="I409" s="1">
        <v>45727</v>
      </c>
      <c r="K409">
        <v>150000</v>
      </c>
      <c r="L409" t="s">
        <v>349</v>
      </c>
    </row>
    <row r="410" spans="1:12" x14ac:dyDescent="0.35">
      <c r="A410" t="s">
        <v>131</v>
      </c>
      <c r="B410" s="1">
        <v>45727</v>
      </c>
      <c r="C410" t="s">
        <v>190</v>
      </c>
      <c r="D410" t="s">
        <v>190</v>
      </c>
      <c r="F410" t="s">
        <v>7831</v>
      </c>
      <c r="G410" t="s">
        <v>9921</v>
      </c>
      <c r="H410" t="s">
        <v>159</v>
      </c>
      <c r="I410" s="1">
        <v>45758</v>
      </c>
      <c r="J410">
        <v>750480</v>
      </c>
      <c r="L410" t="s">
        <v>6803</v>
      </c>
    </row>
    <row r="411" spans="1:12" x14ac:dyDescent="0.35">
      <c r="A411" t="s">
        <v>131</v>
      </c>
      <c r="B411" s="1">
        <v>45727</v>
      </c>
      <c r="C411" t="s">
        <v>190</v>
      </c>
      <c r="D411" t="s">
        <v>190</v>
      </c>
      <c r="F411" t="s">
        <v>8419</v>
      </c>
      <c r="H411" t="s">
        <v>159</v>
      </c>
      <c r="I411" s="1">
        <v>45758</v>
      </c>
      <c r="K411">
        <v>96480</v>
      </c>
      <c r="L411" t="s">
        <v>6803</v>
      </c>
    </row>
    <row r="412" spans="1:12" x14ac:dyDescent="0.35">
      <c r="A412" t="s">
        <v>131</v>
      </c>
      <c r="B412" s="1">
        <v>45727</v>
      </c>
      <c r="C412" t="s">
        <v>190</v>
      </c>
      <c r="D412" t="s">
        <v>190</v>
      </c>
      <c r="F412" t="s">
        <v>7701</v>
      </c>
      <c r="H412" t="s">
        <v>159</v>
      </c>
      <c r="I412" s="1">
        <v>45758</v>
      </c>
      <c r="K412">
        <v>118000</v>
      </c>
      <c r="L412" t="s">
        <v>351</v>
      </c>
    </row>
    <row r="413" spans="1:12" x14ac:dyDescent="0.35">
      <c r="A413" t="s">
        <v>131</v>
      </c>
      <c r="B413" s="1">
        <v>45727</v>
      </c>
      <c r="C413" t="s">
        <v>190</v>
      </c>
      <c r="D413" t="s">
        <v>190</v>
      </c>
      <c r="F413" t="s">
        <v>8423</v>
      </c>
      <c r="H413" t="s">
        <v>159</v>
      </c>
      <c r="I413" s="1">
        <v>45758</v>
      </c>
      <c r="K413">
        <v>536000</v>
      </c>
      <c r="L413" t="s">
        <v>349</v>
      </c>
    </row>
    <row r="414" spans="1:12" x14ac:dyDescent="0.35">
      <c r="A414" t="s">
        <v>131</v>
      </c>
      <c r="B414" s="1">
        <v>45727</v>
      </c>
      <c r="C414" t="s">
        <v>191</v>
      </c>
      <c r="D414" t="s">
        <v>191</v>
      </c>
      <c r="F414" t="s">
        <v>7831</v>
      </c>
      <c r="G414" t="s">
        <v>9928</v>
      </c>
      <c r="H414" t="s">
        <v>163</v>
      </c>
      <c r="I414" s="1">
        <v>45777</v>
      </c>
      <c r="J414">
        <v>877920</v>
      </c>
      <c r="L414" t="s">
        <v>6803</v>
      </c>
    </row>
    <row r="415" spans="1:12" x14ac:dyDescent="0.35">
      <c r="A415" t="s">
        <v>131</v>
      </c>
      <c r="B415" s="1">
        <v>45727</v>
      </c>
      <c r="C415" t="s">
        <v>191</v>
      </c>
      <c r="D415" t="s">
        <v>191</v>
      </c>
      <c r="F415" t="s">
        <v>8419</v>
      </c>
      <c r="H415" t="s">
        <v>163</v>
      </c>
      <c r="I415" s="1">
        <v>45777</v>
      </c>
      <c r="K415">
        <v>106920</v>
      </c>
      <c r="L415" t="s">
        <v>6803</v>
      </c>
    </row>
    <row r="416" spans="1:12" x14ac:dyDescent="0.35">
      <c r="A416" t="s">
        <v>131</v>
      </c>
      <c r="B416" s="1">
        <v>45727</v>
      </c>
      <c r="C416" t="s">
        <v>191</v>
      </c>
      <c r="D416" t="s">
        <v>191</v>
      </c>
      <c r="F416" t="s">
        <v>7701</v>
      </c>
      <c r="H416" t="s">
        <v>163</v>
      </c>
      <c r="I416" s="1">
        <v>45777</v>
      </c>
      <c r="K416">
        <v>177000</v>
      </c>
      <c r="L416" t="s">
        <v>351</v>
      </c>
    </row>
    <row r="417" spans="1:12" x14ac:dyDescent="0.35">
      <c r="A417" t="s">
        <v>131</v>
      </c>
      <c r="B417" s="1">
        <v>45727</v>
      </c>
      <c r="C417" t="s">
        <v>191</v>
      </c>
      <c r="D417" t="s">
        <v>191</v>
      </c>
      <c r="F417" t="s">
        <v>8423</v>
      </c>
      <c r="H417" t="s">
        <v>163</v>
      </c>
      <c r="I417" s="1">
        <v>45777</v>
      </c>
      <c r="K417">
        <v>396000</v>
      </c>
      <c r="L417" t="s">
        <v>349</v>
      </c>
    </row>
    <row r="418" spans="1:12" x14ac:dyDescent="0.35">
      <c r="A418" t="s">
        <v>131</v>
      </c>
      <c r="B418" s="1">
        <v>45727</v>
      </c>
      <c r="C418" t="s">
        <v>191</v>
      </c>
      <c r="D418" t="s">
        <v>191</v>
      </c>
      <c r="F418" t="s">
        <v>8428</v>
      </c>
      <c r="H418" t="s">
        <v>163</v>
      </c>
      <c r="I418" s="1">
        <v>45777</v>
      </c>
      <c r="K418">
        <v>198000</v>
      </c>
      <c r="L418" t="s">
        <v>349</v>
      </c>
    </row>
    <row r="419" spans="1:12" x14ac:dyDescent="0.35">
      <c r="A419" t="s">
        <v>131</v>
      </c>
      <c r="B419" s="1">
        <v>45727</v>
      </c>
      <c r="C419" t="s">
        <v>192</v>
      </c>
      <c r="D419" t="s">
        <v>192</v>
      </c>
      <c r="F419" t="s">
        <v>7831</v>
      </c>
      <c r="G419" t="s">
        <v>9928</v>
      </c>
      <c r="H419" t="s">
        <v>163</v>
      </c>
      <c r="I419" s="1">
        <v>45777</v>
      </c>
      <c r="J419">
        <v>448400</v>
      </c>
      <c r="L419" t="s">
        <v>6803</v>
      </c>
    </row>
    <row r="420" spans="1:12" x14ac:dyDescent="0.35">
      <c r="A420" t="s">
        <v>131</v>
      </c>
      <c r="B420" s="1">
        <v>45727</v>
      </c>
      <c r="C420" t="s">
        <v>192</v>
      </c>
      <c r="D420" t="s">
        <v>192</v>
      </c>
      <c r="F420" t="s">
        <v>8419</v>
      </c>
      <c r="H420" t="s">
        <v>163</v>
      </c>
      <c r="I420" s="1">
        <v>45777</v>
      </c>
      <c r="K420">
        <v>59400</v>
      </c>
      <c r="L420" t="s">
        <v>6803</v>
      </c>
    </row>
    <row r="421" spans="1:12" x14ac:dyDescent="0.35">
      <c r="A421" t="s">
        <v>131</v>
      </c>
      <c r="B421" s="1">
        <v>45727</v>
      </c>
      <c r="C421" t="s">
        <v>192</v>
      </c>
      <c r="D421" t="s">
        <v>192</v>
      </c>
      <c r="F421" t="s">
        <v>7701</v>
      </c>
      <c r="H421" t="s">
        <v>163</v>
      </c>
      <c r="I421" s="1">
        <v>45777</v>
      </c>
      <c r="K421">
        <v>59000</v>
      </c>
      <c r="L421" t="s">
        <v>351</v>
      </c>
    </row>
    <row r="422" spans="1:12" x14ac:dyDescent="0.35">
      <c r="A422" t="s">
        <v>131</v>
      </c>
      <c r="B422" s="1">
        <v>45727</v>
      </c>
      <c r="C422" t="s">
        <v>192</v>
      </c>
      <c r="D422" t="s">
        <v>192</v>
      </c>
      <c r="F422" t="s">
        <v>8423</v>
      </c>
      <c r="H422" t="s">
        <v>163</v>
      </c>
      <c r="I422" s="1">
        <v>45777</v>
      </c>
      <c r="K422">
        <v>132000</v>
      </c>
      <c r="L422" t="s">
        <v>349</v>
      </c>
    </row>
    <row r="423" spans="1:12" x14ac:dyDescent="0.35">
      <c r="A423" t="s">
        <v>131</v>
      </c>
      <c r="B423" s="1">
        <v>45727</v>
      </c>
      <c r="C423" t="s">
        <v>192</v>
      </c>
      <c r="D423" t="s">
        <v>192</v>
      </c>
      <c r="F423" t="s">
        <v>8428</v>
      </c>
      <c r="H423" t="s">
        <v>163</v>
      </c>
      <c r="I423" s="1">
        <v>45777</v>
      </c>
      <c r="K423">
        <v>198000</v>
      </c>
      <c r="L423" t="s">
        <v>349</v>
      </c>
    </row>
    <row r="424" spans="1:12" x14ac:dyDescent="0.35">
      <c r="A424" t="s">
        <v>131</v>
      </c>
      <c r="B424" s="1">
        <v>45727</v>
      </c>
      <c r="C424" t="s">
        <v>193</v>
      </c>
      <c r="D424" t="s">
        <v>193</v>
      </c>
      <c r="F424" t="s">
        <v>7831</v>
      </c>
      <c r="G424" t="s">
        <v>9932</v>
      </c>
      <c r="H424" t="s">
        <v>167</v>
      </c>
      <c r="I424" s="1">
        <v>45727</v>
      </c>
      <c r="J424">
        <v>214760</v>
      </c>
      <c r="L424" t="s">
        <v>6803</v>
      </c>
    </row>
    <row r="425" spans="1:12" x14ac:dyDescent="0.35">
      <c r="A425" t="s">
        <v>131</v>
      </c>
      <c r="B425" s="1">
        <v>45727</v>
      </c>
      <c r="C425" t="s">
        <v>193</v>
      </c>
      <c r="D425" t="s">
        <v>193</v>
      </c>
      <c r="F425" t="s">
        <v>8419</v>
      </c>
      <c r="H425" t="s">
        <v>167</v>
      </c>
      <c r="I425" s="1">
        <v>45727</v>
      </c>
      <c r="K425">
        <v>23760</v>
      </c>
      <c r="L425" t="s">
        <v>6803</v>
      </c>
    </row>
    <row r="426" spans="1:12" x14ac:dyDescent="0.35">
      <c r="A426" t="s">
        <v>131</v>
      </c>
      <c r="B426" s="1">
        <v>45727</v>
      </c>
      <c r="C426" t="s">
        <v>193</v>
      </c>
      <c r="D426" t="s">
        <v>193</v>
      </c>
      <c r="F426" t="s">
        <v>7701</v>
      </c>
      <c r="H426" t="s">
        <v>167</v>
      </c>
      <c r="I426" s="1">
        <v>45727</v>
      </c>
      <c r="K426">
        <v>59000</v>
      </c>
      <c r="L426" t="s">
        <v>351</v>
      </c>
    </row>
    <row r="427" spans="1:12" x14ac:dyDescent="0.35">
      <c r="A427" t="s">
        <v>131</v>
      </c>
      <c r="B427" s="1">
        <v>45727</v>
      </c>
      <c r="C427" t="s">
        <v>193</v>
      </c>
      <c r="D427" t="s">
        <v>193</v>
      </c>
      <c r="F427" t="s">
        <v>8423</v>
      </c>
      <c r="H427" t="s">
        <v>167</v>
      </c>
      <c r="I427" s="1">
        <v>45727</v>
      </c>
      <c r="K427">
        <v>132000</v>
      </c>
      <c r="L427" t="s">
        <v>350</v>
      </c>
    </row>
    <row r="428" spans="1:12" x14ac:dyDescent="0.35">
      <c r="A428" t="s">
        <v>131</v>
      </c>
      <c r="B428" s="1">
        <v>45728</v>
      </c>
      <c r="C428" t="s">
        <v>194</v>
      </c>
      <c r="D428" t="s">
        <v>194</v>
      </c>
      <c r="F428" t="s">
        <v>7831</v>
      </c>
      <c r="G428" t="s">
        <v>7586</v>
      </c>
      <c r="H428" t="s">
        <v>195</v>
      </c>
      <c r="I428" s="1">
        <v>45728</v>
      </c>
      <c r="J428">
        <v>644280</v>
      </c>
      <c r="L428" t="s">
        <v>6803</v>
      </c>
    </row>
    <row r="429" spans="1:12" x14ac:dyDescent="0.35">
      <c r="A429" t="s">
        <v>131</v>
      </c>
      <c r="B429" s="1">
        <v>45728</v>
      </c>
      <c r="C429" t="s">
        <v>194</v>
      </c>
      <c r="D429" t="s">
        <v>194</v>
      </c>
      <c r="F429" t="s">
        <v>8419</v>
      </c>
      <c r="H429" t="s">
        <v>195</v>
      </c>
      <c r="I429" s="1">
        <v>45728</v>
      </c>
      <c r="K429">
        <v>71280</v>
      </c>
      <c r="L429" t="s">
        <v>6803</v>
      </c>
    </row>
    <row r="430" spans="1:12" x14ac:dyDescent="0.35">
      <c r="A430" t="s">
        <v>131</v>
      </c>
      <c r="B430" s="1">
        <v>45728</v>
      </c>
      <c r="C430" t="s">
        <v>194</v>
      </c>
      <c r="D430" t="s">
        <v>194</v>
      </c>
      <c r="F430" t="s">
        <v>7701</v>
      </c>
      <c r="H430" t="s">
        <v>195</v>
      </c>
      <c r="I430" s="1">
        <v>45728</v>
      </c>
      <c r="K430">
        <v>177000</v>
      </c>
      <c r="L430" t="s">
        <v>351</v>
      </c>
    </row>
    <row r="431" spans="1:12" x14ac:dyDescent="0.35">
      <c r="A431" t="s">
        <v>131</v>
      </c>
      <c r="B431" s="1">
        <v>45728</v>
      </c>
      <c r="C431" t="s">
        <v>194</v>
      </c>
      <c r="D431" t="s">
        <v>194</v>
      </c>
      <c r="F431" t="s">
        <v>8423</v>
      </c>
      <c r="H431" t="s">
        <v>195</v>
      </c>
      <c r="I431" s="1">
        <v>45728</v>
      </c>
      <c r="K431">
        <v>396000</v>
      </c>
      <c r="L431" t="s">
        <v>349</v>
      </c>
    </row>
    <row r="432" spans="1:12" x14ac:dyDescent="0.35">
      <c r="A432" t="s">
        <v>131</v>
      </c>
      <c r="B432" s="1">
        <v>45728</v>
      </c>
      <c r="C432" t="s">
        <v>196</v>
      </c>
      <c r="D432" t="s">
        <v>196</v>
      </c>
      <c r="F432" t="s">
        <v>7831</v>
      </c>
      <c r="G432" t="s">
        <v>7586</v>
      </c>
      <c r="H432" t="s">
        <v>195</v>
      </c>
      <c r="I432" s="1">
        <v>45728</v>
      </c>
      <c r="J432">
        <v>292640</v>
      </c>
      <c r="L432" t="s">
        <v>6803</v>
      </c>
    </row>
    <row r="433" spans="1:12" x14ac:dyDescent="0.35">
      <c r="A433" t="s">
        <v>131</v>
      </c>
      <c r="B433" s="1">
        <v>45728</v>
      </c>
      <c r="C433" t="s">
        <v>196</v>
      </c>
      <c r="D433" t="s">
        <v>196</v>
      </c>
      <c r="F433" t="s">
        <v>8419</v>
      </c>
      <c r="H433" t="s">
        <v>195</v>
      </c>
      <c r="I433" s="1">
        <v>45728</v>
      </c>
      <c r="K433">
        <v>35640</v>
      </c>
      <c r="L433" t="s">
        <v>6803</v>
      </c>
    </row>
    <row r="434" spans="1:12" x14ac:dyDescent="0.35">
      <c r="A434" t="s">
        <v>131</v>
      </c>
      <c r="B434" s="1">
        <v>45728</v>
      </c>
      <c r="C434" t="s">
        <v>196</v>
      </c>
      <c r="D434" t="s">
        <v>196</v>
      </c>
      <c r="F434" t="s">
        <v>7701</v>
      </c>
      <c r="H434" t="s">
        <v>195</v>
      </c>
      <c r="I434" s="1">
        <v>45728</v>
      </c>
      <c r="K434">
        <v>59000</v>
      </c>
      <c r="L434" t="s">
        <v>351</v>
      </c>
    </row>
    <row r="435" spans="1:12" x14ac:dyDescent="0.35">
      <c r="A435" t="s">
        <v>131</v>
      </c>
      <c r="B435" s="1">
        <v>45728</v>
      </c>
      <c r="C435" t="s">
        <v>196</v>
      </c>
      <c r="D435" t="s">
        <v>196</v>
      </c>
      <c r="F435" t="s">
        <v>8423</v>
      </c>
      <c r="H435" t="s">
        <v>195</v>
      </c>
      <c r="I435" s="1">
        <v>45728</v>
      </c>
      <c r="K435">
        <v>198000</v>
      </c>
      <c r="L435" t="s">
        <v>349</v>
      </c>
    </row>
    <row r="436" spans="1:12" x14ac:dyDescent="0.35">
      <c r="A436" t="s">
        <v>131</v>
      </c>
      <c r="B436" s="1">
        <v>45728</v>
      </c>
      <c r="C436" t="s">
        <v>197</v>
      </c>
      <c r="D436" t="s">
        <v>197</v>
      </c>
      <c r="F436" t="s">
        <v>7831</v>
      </c>
      <c r="G436" t="s">
        <v>7586</v>
      </c>
      <c r="H436" t="s">
        <v>148</v>
      </c>
      <c r="I436" s="1">
        <v>45728</v>
      </c>
      <c r="J436">
        <v>212400</v>
      </c>
      <c r="L436" t="s">
        <v>6803</v>
      </c>
    </row>
    <row r="437" spans="1:12" x14ac:dyDescent="0.35">
      <c r="A437" t="s">
        <v>131</v>
      </c>
      <c r="B437" s="1">
        <v>45728</v>
      </c>
      <c r="C437" t="s">
        <v>197</v>
      </c>
      <c r="D437" t="s">
        <v>197</v>
      </c>
      <c r="F437" t="s">
        <v>8419</v>
      </c>
      <c r="H437" t="s">
        <v>148</v>
      </c>
      <c r="I437" s="1">
        <v>45728</v>
      </c>
      <c r="K437">
        <v>32400</v>
      </c>
      <c r="L437" t="s">
        <v>6803</v>
      </c>
    </row>
    <row r="438" spans="1:12" x14ac:dyDescent="0.35">
      <c r="A438" t="s">
        <v>131</v>
      </c>
      <c r="B438" s="1">
        <v>45728</v>
      </c>
      <c r="C438" t="s">
        <v>197</v>
      </c>
      <c r="D438" t="s">
        <v>197</v>
      </c>
      <c r="F438" t="s">
        <v>8423</v>
      </c>
      <c r="H438" t="s">
        <v>148</v>
      </c>
      <c r="I438" s="1">
        <v>45728</v>
      </c>
      <c r="K438">
        <v>180000</v>
      </c>
      <c r="L438" t="s">
        <v>349</v>
      </c>
    </row>
    <row r="439" spans="1:12" x14ac:dyDescent="0.35">
      <c r="A439" t="s">
        <v>131</v>
      </c>
      <c r="B439" s="1">
        <v>45728</v>
      </c>
      <c r="C439" t="s">
        <v>198</v>
      </c>
      <c r="D439" t="s">
        <v>198</v>
      </c>
      <c r="F439" t="s">
        <v>7831</v>
      </c>
      <c r="G439" t="s">
        <v>7586</v>
      </c>
      <c r="H439" t="s">
        <v>148</v>
      </c>
      <c r="I439" s="1">
        <v>45728</v>
      </c>
      <c r="J439">
        <v>212400</v>
      </c>
      <c r="L439" t="s">
        <v>6803</v>
      </c>
    </row>
    <row r="440" spans="1:12" x14ac:dyDescent="0.35">
      <c r="A440" t="s">
        <v>131</v>
      </c>
      <c r="B440" s="1">
        <v>45728</v>
      </c>
      <c r="C440" t="s">
        <v>198</v>
      </c>
      <c r="D440" t="s">
        <v>198</v>
      </c>
      <c r="F440" t="s">
        <v>8419</v>
      </c>
      <c r="H440" t="s">
        <v>148</v>
      </c>
      <c r="I440" s="1">
        <v>45728</v>
      </c>
      <c r="K440">
        <v>32400</v>
      </c>
      <c r="L440" t="s">
        <v>6803</v>
      </c>
    </row>
    <row r="441" spans="1:12" x14ac:dyDescent="0.35">
      <c r="A441" t="s">
        <v>131</v>
      </c>
      <c r="B441" s="1">
        <v>45728</v>
      </c>
      <c r="C441" t="s">
        <v>198</v>
      </c>
      <c r="D441" t="s">
        <v>198</v>
      </c>
      <c r="F441" t="s">
        <v>8423</v>
      </c>
      <c r="H441" t="s">
        <v>148</v>
      </c>
      <c r="I441" s="1">
        <v>45728</v>
      </c>
      <c r="K441">
        <v>180000</v>
      </c>
      <c r="L441" t="s">
        <v>349</v>
      </c>
    </row>
    <row r="442" spans="1:12" x14ac:dyDescent="0.35">
      <c r="A442" t="s">
        <v>131</v>
      </c>
      <c r="B442" s="1">
        <v>45728</v>
      </c>
      <c r="C442" t="s">
        <v>199</v>
      </c>
      <c r="D442" t="s">
        <v>199</v>
      </c>
      <c r="F442" t="s">
        <v>7831</v>
      </c>
      <c r="G442" t="s">
        <v>7586</v>
      </c>
      <c r="H442" t="s">
        <v>148</v>
      </c>
      <c r="I442" s="1">
        <v>45728</v>
      </c>
      <c r="J442">
        <v>674783</v>
      </c>
      <c r="L442" t="s">
        <v>6803</v>
      </c>
    </row>
    <row r="443" spans="1:12" x14ac:dyDescent="0.35">
      <c r="A443" t="s">
        <v>131</v>
      </c>
      <c r="B443" s="1">
        <v>45728</v>
      </c>
      <c r="C443" t="s">
        <v>199</v>
      </c>
      <c r="D443" t="s">
        <v>199</v>
      </c>
      <c r="F443" t="s">
        <v>8419</v>
      </c>
      <c r="H443" t="s">
        <v>148</v>
      </c>
      <c r="I443" s="1">
        <v>45728</v>
      </c>
      <c r="K443">
        <v>93933</v>
      </c>
      <c r="L443" t="s">
        <v>6803</v>
      </c>
    </row>
    <row r="444" spans="1:12" x14ac:dyDescent="0.35">
      <c r="A444" t="s">
        <v>131</v>
      </c>
      <c r="B444" s="1">
        <v>45728</v>
      </c>
      <c r="C444" t="s">
        <v>199</v>
      </c>
      <c r="D444" t="s">
        <v>199</v>
      </c>
      <c r="F444" t="s">
        <v>7701</v>
      </c>
      <c r="H444" t="s">
        <v>148</v>
      </c>
      <c r="I444" s="1">
        <v>45728</v>
      </c>
      <c r="K444">
        <v>59000</v>
      </c>
      <c r="L444" t="s">
        <v>351</v>
      </c>
    </row>
    <row r="445" spans="1:12" x14ac:dyDescent="0.35">
      <c r="A445" t="s">
        <v>131</v>
      </c>
      <c r="B445" s="1">
        <v>45728</v>
      </c>
      <c r="C445" t="s">
        <v>199</v>
      </c>
      <c r="D445" t="s">
        <v>199</v>
      </c>
      <c r="F445" t="s">
        <v>8423</v>
      </c>
      <c r="H445" t="s">
        <v>148</v>
      </c>
      <c r="I445" s="1">
        <v>45728</v>
      </c>
      <c r="K445">
        <v>323850</v>
      </c>
      <c r="L445" t="s">
        <v>349</v>
      </c>
    </row>
    <row r="446" spans="1:12" x14ac:dyDescent="0.35">
      <c r="A446" t="s">
        <v>131</v>
      </c>
      <c r="B446" s="1">
        <v>45728</v>
      </c>
      <c r="C446" t="s">
        <v>199</v>
      </c>
      <c r="D446" t="s">
        <v>199</v>
      </c>
      <c r="F446" t="s">
        <v>8428</v>
      </c>
      <c r="H446" t="s">
        <v>148</v>
      </c>
      <c r="I446" s="1">
        <v>45728</v>
      </c>
      <c r="K446">
        <v>198000</v>
      </c>
      <c r="L446" t="s">
        <v>349</v>
      </c>
    </row>
    <row r="447" spans="1:12" x14ac:dyDescent="0.35">
      <c r="A447" t="s">
        <v>131</v>
      </c>
      <c r="B447" s="1">
        <v>45728</v>
      </c>
      <c r="C447" t="s">
        <v>200</v>
      </c>
      <c r="D447" t="s">
        <v>200</v>
      </c>
      <c r="F447" t="s">
        <v>7831</v>
      </c>
      <c r="G447" t="s">
        <v>7586</v>
      </c>
      <c r="H447" t="s">
        <v>148</v>
      </c>
      <c r="I447" s="1">
        <v>45728</v>
      </c>
      <c r="J447">
        <v>212400</v>
      </c>
      <c r="L447" t="s">
        <v>6803</v>
      </c>
    </row>
    <row r="448" spans="1:12" x14ac:dyDescent="0.35">
      <c r="A448" t="s">
        <v>131</v>
      </c>
      <c r="B448" s="1">
        <v>45728</v>
      </c>
      <c r="C448" t="s">
        <v>200</v>
      </c>
      <c r="D448" t="s">
        <v>200</v>
      </c>
      <c r="F448" t="s">
        <v>8419</v>
      </c>
      <c r="H448" t="s">
        <v>148</v>
      </c>
      <c r="I448" s="1">
        <v>45728</v>
      </c>
      <c r="K448">
        <v>32400</v>
      </c>
      <c r="L448" t="s">
        <v>6803</v>
      </c>
    </row>
    <row r="449" spans="1:12" x14ac:dyDescent="0.35">
      <c r="A449" t="s">
        <v>131</v>
      </c>
      <c r="B449" s="1">
        <v>45728</v>
      </c>
      <c r="C449" t="s">
        <v>200</v>
      </c>
      <c r="D449" t="s">
        <v>200</v>
      </c>
      <c r="F449" t="s">
        <v>8423</v>
      </c>
      <c r="H449" t="s">
        <v>148</v>
      </c>
      <c r="I449" s="1">
        <v>45728</v>
      </c>
      <c r="K449">
        <v>180000</v>
      </c>
      <c r="L449" t="s">
        <v>349</v>
      </c>
    </row>
    <row r="450" spans="1:12" x14ac:dyDescent="0.35">
      <c r="A450" t="s">
        <v>131</v>
      </c>
      <c r="B450" s="1">
        <v>45728</v>
      </c>
      <c r="C450" t="s">
        <v>201</v>
      </c>
      <c r="D450" t="s">
        <v>201</v>
      </c>
      <c r="F450" t="s">
        <v>7831</v>
      </c>
      <c r="G450" t="s">
        <v>7586</v>
      </c>
      <c r="H450" t="s">
        <v>148</v>
      </c>
      <c r="I450" s="1">
        <v>45728</v>
      </c>
      <c r="J450">
        <v>1486800</v>
      </c>
      <c r="L450" t="s">
        <v>6803</v>
      </c>
    </row>
    <row r="451" spans="1:12" x14ac:dyDescent="0.35">
      <c r="A451" t="s">
        <v>131</v>
      </c>
      <c r="B451" s="1">
        <v>45728</v>
      </c>
      <c r="C451" t="s">
        <v>201</v>
      </c>
      <c r="D451" t="s">
        <v>201</v>
      </c>
      <c r="F451" t="s">
        <v>8419</v>
      </c>
      <c r="H451" t="s">
        <v>148</v>
      </c>
      <c r="I451" s="1">
        <v>45728</v>
      </c>
      <c r="K451">
        <v>226800</v>
      </c>
      <c r="L451" t="s">
        <v>6803</v>
      </c>
    </row>
    <row r="452" spans="1:12" x14ac:dyDescent="0.35">
      <c r="A452" t="s">
        <v>131</v>
      </c>
      <c r="B452" s="1">
        <v>45728</v>
      </c>
      <c r="C452" t="s">
        <v>201</v>
      </c>
      <c r="D452" t="s">
        <v>201</v>
      </c>
      <c r="F452" t="s">
        <v>8423</v>
      </c>
      <c r="H452" t="s">
        <v>148</v>
      </c>
      <c r="I452" s="1">
        <v>45728</v>
      </c>
      <c r="K452">
        <v>1260000</v>
      </c>
      <c r="L452" t="s">
        <v>349</v>
      </c>
    </row>
    <row r="453" spans="1:12" x14ac:dyDescent="0.35">
      <c r="A453" t="s">
        <v>131</v>
      </c>
      <c r="B453" s="1">
        <v>45728</v>
      </c>
      <c r="C453" t="s">
        <v>202</v>
      </c>
      <c r="D453" t="s">
        <v>202</v>
      </c>
      <c r="F453" t="s">
        <v>7831</v>
      </c>
      <c r="G453" t="s">
        <v>9925</v>
      </c>
      <c r="H453" t="s">
        <v>203</v>
      </c>
      <c r="I453" s="1">
        <v>45728</v>
      </c>
      <c r="J453">
        <v>146320</v>
      </c>
      <c r="L453" t="s">
        <v>6803</v>
      </c>
    </row>
    <row r="454" spans="1:12" x14ac:dyDescent="0.35">
      <c r="A454" t="s">
        <v>131</v>
      </c>
      <c r="B454" s="1">
        <v>45728</v>
      </c>
      <c r="C454" t="s">
        <v>202</v>
      </c>
      <c r="D454" t="s">
        <v>202</v>
      </c>
      <c r="F454" t="s">
        <v>8419</v>
      </c>
      <c r="H454" t="s">
        <v>203</v>
      </c>
      <c r="I454" s="1">
        <v>45728</v>
      </c>
      <c r="K454">
        <v>17820</v>
      </c>
      <c r="L454" t="s">
        <v>6803</v>
      </c>
    </row>
    <row r="455" spans="1:12" x14ac:dyDescent="0.35">
      <c r="A455" t="s">
        <v>131</v>
      </c>
      <c r="B455" s="1">
        <v>45728</v>
      </c>
      <c r="C455" t="s">
        <v>202</v>
      </c>
      <c r="D455" t="s">
        <v>202</v>
      </c>
      <c r="F455" t="s">
        <v>7701</v>
      </c>
      <c r="H455" t="s">
        <v>203</v>
      </c>
      <c r="I455" s="1">
        <v>45728</v>
      </c>
      <c r="K455">
        <v>29500</v>
      </c>
      <c r="L455" t="s">
        <v>351</v>
      </c>
    </row>
    <row r="456" spans="1:12" x14ac:dyDescent="0.35">
      <c r="A456" t="s">
        <v>131</v>
      </c>
      <c r="B456" s="1">
        <v>45728</v>
      </c>
      <c r="C456" t="s">
        <v>202</v>
      </c>
      <c r="D456" t="s">
        <v>202</v>
      </c>
      <c r="F456" t="s">
        <v>8423</v>
      </c>
      <c r="H456" t="s">
        <v>203</v>
      </c>
      <c r="I456" s="1">
        <v>45728</v>
      </c>
      <c r="K456">
        <v>99000</v>
      </c>
      <c r="L456" t="s">
        <v>349</v>
      </c>
    </row>
    <row r="457" spans="1:12" x14ac:dyDescent="0.35">
      <c r="A457" t="s">
        <v>131</v>
      </c>
      <c r="B457" s="1">
        <v>45728</v>
      </c>
      <c r="C457" t="s">
        <v>204</v>
      </c>
      <c r="D457" t="s">
        <v>204</v>
      </c>
      <c r="F457" t="s">
        <v>7831</v>
      </c>
      <c r="G457" t="s">
        <v>9925</v>
      </c>
      <c r="H457" t="s">
        <v>139</v>
      </c>
      <c r="I457" s="1">
        <v>45728</v>
      </c>
      <c r="J457">
        <v>767000</v>
      </c>
      <c r="L457" t="s">
        <v>6803</v>
      </c>
    </row>
    <row r="458" spans="1:12" x14ac:dyDescent="0.35">
      <c r="A458" t="s">
        <v>131</v>
      </c>
      <c r="B458" s="1">
        <v>45728</v>
      </c>
      <c r="C458" t="s">
        <v>204</v>
      </c>
      <c r="D458" t="s">
        <v>204</v>
      </c>
      <c r="F458" t="s">
        <v>8419</v>
      </c>
      <c r="H458" t="s">
        <v>139</v>
      </c>
      <c r="I458" s="1">
        <v>45728</v>
      </c>
      <c r="K458">
        <v>108000</v>
      </c>
      <c r="L458" t="s">
        <v>6803</v>
      </c>
    </row>
    <row r="459" spans="1:12" x14ac:dyDescent="0.35">
      <c r="A459" t="s">
        <v>131</v>
      </c>
      <c r="B459" s="1">
        <v>45728</v>
      </c>
      <c r="C459" t="s">
        <v>204</v>
      </c>
      <c r="D459" t="s">
        <v>204</v>
      </c>
      <c r="F459" t="s">
        <v>7701</v>
      </c>
      <c r="H459" t="s">
        <v>139</v>
      </c>
      <c r="I459" s="1">
        <v>45728</v>
      </c>
      <c r="K459">
        <v>59000</v>
      </c>
      <c r="L459" t="s">
        <v>351</v>
      </c>
    </row>
    <row r="460" spans="1:12" x14ac:dyDescent="0.35">
      <c r="A460" t="s">
        <v>131</v>
      </c>
      <c r="B460" s="1">
        <v>45728</v>
      </c>
      <c r="C460" t="s">
        <v>204</v>
      </c>
      <c r="D460" t="s">
        <v>204</v>
      </c>
      <c r="F460" t="s">
        <v>8423</v>
      </c>
      <c r="H460" t="s">
        <v>139</v>
      </c>
      <c r="I460" s="1">
        <v>45728</v>
      </c>
      <c r="K460">
        <v>600000</v>
      </c>
      <c r="L460" t="s">
        <v>349</v>
      </c>
    </row>
    <row r="461" spans="1:12" x14ac:dyDescent="0.35">
      <c r="A461" t="s">
        <v>131</v>
      </c>
      <c r="B461" s="1">
        <v>45728</v>
      </c>
      <c r="C461" t="s">
        <v>205</v>
      </c>
      <c r="D461" t="s">
        <v>205</v>
      </c>
      <c r="F461" t="s">
        <v>7831</v>
      </c>
      <c r="G461" t="s">
        <v>9925</v>
      </c>
      <c r="H461" t="s">
        <v>139</v>
      </c>
      <c r="I461" s="1">
        <v>45759</v>
      </c>
      <c r="J461">
        <v>1500960</v>
      </c>
      <c r="L461" t="s">
        <v>6803</v>
      </c>
    </row>
    <row r="462" spans="1:12" x14ac:dyDescent="0.35">
      <c r="A462" t="s">
        <v>131</v>
      </c>
      <c r="B462" s="1">
        <v>45728</v>
      </c>
      <c r="C462" t="s">
        <v>205</v>
      </c>
      <c r="D462" t="s">
        <v>205</v>
      </c>
      <c r="F462" t="s">
        <v>8419</v>
      </c>
      <c r="H462" t="s">
        <v>139</v>
      </c>
      <c r="I462" s="1">
        <v>45759</v>
      </c>
      <c r="K462">
        <v>192960</v>
      </c>
      <c r="L462" t="s">
        <v>6803</v>
      </c>
    </row>
    <row r="463" spans="1:12" x14ac:dyDescent="0.35">
      <c r="A463" t="s">
        <v>131</v>
      </c>
      <c r="B463" s="1">
        <v>45728</v>
      </c>
      <c r="C463" t="s">
        <v>205</v>
      </c>
      <c r="D463" t="s">
        <v>205</v>
      </c>
      <c r="F463" t="s">
        <v>7701</v>
      </c>
      <c r="H463" t="s">
        <v>139</v>
      </c>
      <c r="I463" s="1">
        <v>45759</v>
      </c>
      <c r="K463">
        <v>236000</v>
      </c>
      <c r="L463" t="s">
        <v>351</v>
      </c>
    </row>
    <row r="464" spans="1:12" x14ac:dyDescent="0.35">
      <c r="A464" t="s">
        <v>131</v>
      </c>
      <c r="B464" s="1">
        <v>45728</v>
      </c>
      <c r="C464" t="s">
        <v>205</v>
      </c>
      <c r="D464" t="s">
        <v>205</v>
      </c>
      <c r="F464" t="s">
        <v>8423</v>
      </c>
      <c r="H464" t="s">
        <v>139</v>
      </c>
      <c r="I464" s="1">
        <v>45759</v>
      </c>
      <c r="K464">
        <v>1072000</v>
      </c>
      <c r="L464" t="s">
        <v>349</v>
      </c>
    </row>
    <row r="465" spans="1:12" x14ac:dyDescent="0.35">
      <c r="A465" t="s">
        <v>131</v>
      </c>
      <c r="B465" s="1">
        <v>45729</v>
      </c>
      <c r="C465" t="s">
        <v>206</v>
      </c>
      <c r="D465" t="s">
        <v>206</v>
      </c>
      <c r="F465" t="s">
        <v>7831</v>
      </c>
      <c r="G465" t="s">
        <v>9900</v>
      </c>
      <c r="H465" t="s">
        <v>207</v>
      </c>
      <c r="I465" s="1">
        <v>45729</v>
      </c>
      <c r="J465">
        <v>429520</v>
      </c>
      <c r="L465" t="s">
        <v>6803</v>
      </c>
    </row>
    <row r="466" spans="1:12" x14ac:dyDescent="0.35">
      <c r="A466" t="s">
        <v>131</v>
      </c>
      <c r="B466" s="1">
        <v>45729</v>
      </c>
      <c r="C466" t="s">
        <v>206</v>
      </c>
      <c r="D466" t="s">
        <v>206</v>
      </c>
      <c r="F466" t="s">
        <v>8419</v>
      </c>
      <c r="H466" t="s">
        <v>207</v>
      </c>
      <c r="I466" s="1">
        <v>45729</v>
      </c>
      <c r="K466">
        <v>47520</v>
      </c>
      <c r="L466" t="s">
        <v>6803</v>
      </c>
    </row>
    <row r="467" spans="1:12" x14ac:dyDescent="0.35">
      <c r="A467" t="s">
        <v>131</v>
      </c>
      <c r="B467" s="1">
        <v>45729</v>
      </c>
      <c r="C467" t="s">
        <v>206</v>
      </c>
      <c r="D467" t="s">
        <v>206</v>
      </c>
      <c r="F467" t="s">
        <v>7701</v>
      </c>
      <c r="H467" t="s">
        <v>207</v>
      </c>
      <c r="I467" s="1">
        <v>45729</v>
      </c>
      <c r="K467">
        <v>118000</v>
      </c>
      <c r="L467" t="s">
        <v>351</v>
      </c>
    </row>
    <row r="468" spans="1:12" x14ac:dyDescent="0.35">
      <c r="A468" t="s">
        <v>131</v>
      </c>
      <c r="B468" s="1">
        <v>45729</v>
      </c>
      <c r="C468" t="s">
        <v>206</v>
      </c>
      <c r="D468" t="s">
        <v>206</v>
      </c>
      <c r="F468" t="s">
        <v>8423</v>
      </c>
      <c r="H468" t="s">
        <v>207</v>
      </c>
      <c r="I468" s="1">
        <v>45729</v>
      </c>
      <c r="K468">
        <v>264000</v>
      </c>
      <c r="L468" t="s">
        <v>350</v>
      </c>
    </row>
    <row r="469" spans="1:12" x14ac:dyDescent="0.35">
      <c r="A469" t="s">
        <v>131</v>
      </c>
      <c r="B469" s="1">
        <v>45729</v>
      </c>
      <c r="C469" t="s">
        <v>208</v>
      </c>
      <c r="D469" t="s">
        <v>208</v>
      </c>
      <c r="F469" t="s">
        <v>7831</v>
      </c>
      <c r="G469" t="s">
        <v>9900</v>
      </c>
      <c r="H469" t="s">
        <v>144</v>
      </c>
      <c r="I469" s="1">
        <v>45729</v>
      </c>
      <c r="J469">
        <v>214760</v>
      </c>
      <c r="L469" t="s">
        <v>6803</v>
      </c>
    </row>
    <row r="470" spans="1:12" x14ac:dyDescent="0.35">
      <c r="A470" t="s">
        <v>131</v>
      </c>
      <c r="B470" s="1">
        <v>45729</v>
      </c>
      <c r="C470" t="s">
        <v>208</v>
      </c>
      <c r="D470" t="s">
        <v>208</v>
      </c>
      <c r="F470" t="s">
        <v>8419</v>
      </c>
      <c r="H470" t="s">
        <v>144</v>
      </c>
      <c r="I470" s="1">
        <v>45729</v>
      </c>
      <c r="K470">
        <v>23760</v>
      </c>
      <c r="L470" t="s">
        <v>6803</v>
      </c>
    </row>
    <row r="471" spans="1:12" x14ac:dyDescent="0.35">
      <c r="A471" t="s">
        <v>131</v>
      </c>
      <c r="B471" s="1">
        <v>45729</v>
      </c>
      <c r="C471" t="s">
        <v>208</v>
      </c>
      <c r="D471" t="s">
        <v>208</v>
      </c>
      <c r="F471" t="s">
        <v>7701</v>
      </c>
      <c r="H471" t="s">
        <v>144</v>
      </c>
      <c r="I471" s="1">
        <v>45729</v>
      </c>
      <c r="K471">
        <v>59000</v>
      </c>
      <c r="L471" t="s">
        <v>351</v>
      </c>
    </row>
    <row r="472" spans="1:12" x14ac:dyDescent="0.35">
      <c r="A472" t="s">
        <v>131</v>
      </c>
      <c r="B472" s="1">
        <v>45729</v>
      </c>
      <c r="C472" t="s">
        <v>208</v>
      </c>
      <c r="D472" t="s">
        <v>208</v>
      </c>
      <c r="F472" t="s">
        <v>8423</v>
      </c>
      <c r="H472" t="s">
        <v>144</v>
      </c>
      <c r="I472" s="1">
        <v>45729</v>
      </c>
      <c r="K472">
        <v>132000</v>
      </c>
      <c r="L472" t="s">
        <v>350</v>
      </c>
    </row>
    <row r="473" spans="1:12" x14ac:dyDescent="0.35">
      <c r="A473" t="s">
        <v>131</v>
      </c>
      <c r="B473" s="1">
        <v>45729</v>
      </c>
      <c r="C473" t="s">
        <v>209</v>
      </c>
      <c r="D473" t="s">
        <v>209</v>
      </c>
      <c r="F473" t="s">
        <v>7831</v>
      </c>
      <c r="G473" t="s">
        <v>9922</v>
      </c>
      <c r="H473" t="s">
        <v>170</v>
      </c>
      <c r="I473" s="1">
        <v>45752</v>
      </c>
      <c r="J473">
        <v>966420</v>
      </c>
      <c r="L473" t="s">
        <v>6803</v>
      </c>
    </row>
    <row r="474" spans="1:12" x14ac:dyDescent="0.35">
      <c r="A474" t="s">
        <v>131</v>
      </c>
      <c r="B474" s="1">
        <v>45729</v>
      </c>
      <c r="C474" t="s">
        <v>209</v>
      </c>
      <c r="D474" t="s">
        <v>209</v>
      </c>
      <c r="F474" t="s">
        <v>8419</v>
      </c>
      <c r="H474" t="s">
        <v>170</v>
      </c>
      <c r="I474" s="1">
        <v>45752</v>
      </c>
      <c r="K474">
        <v>106920</v>
      </c>
      <c r="L474" t="s">
        <v>6803</v>
      </c>
    </row>
    <row r="475" spans="1:12" x14ac:dyDescent="0.35">
      <c r="A475" t="s">
        <v>131</v>
      </c>
      <c r="B475" s="1">
        <v>45729</v>
      </c>
      <c r="C475" t="s">
        <v>209</v>
      </c>
      <c r="D475" t="s">
        <v>209</v>
      </c>
      <c r="F475" t="s">
        <v>7701</v>
      </c>
      <c r="H475" t="s">
        <v>170</v>
      </c>
      <c r="I475" s="1">
        <v>45752</v>
      </c>
      <c r="K475">
        <v>265500</v>
      </c>
      <c r="L475" t="s">
        <v>351</v>
      </c>
    </row>
    <row r="476" spans="1:12" x14ac:dyDescent="0.35">
      <c r="A476" t="s">
        <v>131</v>
      </c>
      <c r="B476" s="1">
        <v>45729</v>
      </c>
      <c r="C476" t="s">
        <v>209</v>
      </c>
      <c r="D476" t="s">
        <v>209</v>
      </c>
      <c r="F476" t="s">
        <v>8423</v>
      </c>
      <c r="H476" t="s">
        <v>170</v>
      </c>
      <c r="I476" s="1">
        <v>45752</v>
      </c>
      <c r="K476">
        <v>594000</v>
      </c>
      <c r="L476" t="s">
        <v>349</v>
      </c>
    </row>
    <row r="477" spans="1:12" x14ac:dyDescent="0.35">
      <c r="A477" t="s">
        <v>131</v>
      </c>
      <c r="B477" s="1">
        <v>45729</v>
      </c>
      <c r="C477" t="s">
        <v>210</v>
      </c>
      <c r="D477" t="s">
        <v>210</v>
      </c>
      <c r="F477" t="s">
        <v>7831</v>
      </c>
      <c r="G477" t="s">
        <v>9925</v>
      </c>
      <c r="H477" t="s">
        <v>139</v>
      </c>
      <c r="I477" s="1">
        <v>45760</v>
      </c>
      <c r="J477">
        <v>7504800</v>
      </c>
      <c r="L477" t="s">
        <v>6803</v>
      </c>
    </row>
    <row r="478" spans="1:12" x14ac:dyDescent="0.35">
      <c r="A478" t="s">
        <v>131</v>
      </c>
      <c r="B478" s="1">
        <v>45729</v>
      </c>
      <c r="C478" t="s">
        <v>210</v>
      </c>
      <c r="D478" t="s">
        <v>210</v>
      </c>
      <c r="F478" t="s">
        <v>8419</v>
      </c>
      <c r="H478" t="s">
        <v>139</v>
      </c>
      <c r="I478" s="1">
        <v>45760</v>
      </c>
      <c r="K478">
        <v>964800</v>
      </c>
      <c r="L478" t="s">
        <v>6803</v>
      </c>
    </row>
    <row r="479" spans="1:12" x14ac:dyDescent="0.35">
      <c r="A479" t="s">
        <v>131</v>
      </c>
      <c r="B479" s="1">
        <v>45729</v>
      </c>
      <c r="C479" t="s">
        <v>210</v>
      </c>
      <c r="D479" t="s">
        <v>210</v>
      </c>
      <c r="F479" t="s">
        <v>7701</v>
      </c>
      <c r="H479" t="s">
        <v>139</v>
      </c>
      <c r="I479" s="1">
        <v>45760</v>
      </c>
      <c r="K479">
        <v>1180000</v>
      </c>
      <c r="L479" t="s">
        <v>351</v>
      </c>
    </row>
    <row r="480" spans="1:12" x14ac:dyDescent="0.35">
      <c r="A480" t="s">
        <v>131</v>
      </c>
      <c r="B480" s="1">
        <v>45729</v>
      </c>
      <c r="C480" t="s">
        <v>210</v>
      </c>
      <c r="D480" t="s">
        <v>210</v>
      </c>
      <c r="F480" t="s">
        <v>8423</v>
      </c>
      <c r="H480" t="s">
        <v>139</v>
      </c>
      <c r="I480" s="1">
        <v>45760</v>
      </c>
      <c r="K480">
        <v>5360000</v>
      </c>
      <c r="L480" t="s">
        <v>349</v>
      </c>
    </row>
    <row r="481" spans="1:12" x14ac:dyDescent="0.35">
      <c r="A481" t="s">
        <v>131</v>
      </c>
      <c r="B481" s="1">
        <v>45729</v>
      </c>
      <c r="C481" t="s">
        <v>211</v>
      </c>
      <c r="D481" t="s">
        <v>211</v>
      </c>
      <c r="F481" t="s">
        <v>7831</v>
      </c>
      <c r="G481" t="s">
        <v>9925</v>
      </c>
      <c r="H481" t="s">
        <v>139</v>
      </c>
      <c r="I481" s="1">
        <v>45760</v>
      </c>
      <c r="J481">
        <v>7129560</v>
      </c>
      <c r="L481" t="s">
        <v>6803</v>
      </c>
    </row>
    <row r="482" spans="1:12" x14ac:dyDescent="0.35">
      <c r="A482" t="s">
        <v>131</v>
      </c>
      <c r="B482" s="1">
        <v>45729</v>
      </c>
      <c r="C482" t="s">
        <v>211</v>
      </c>
      <c r="D482" t="s">
        <v>211</v>
      </c>
      <c r="F482" t="s">
        <v>8419</v>
      </c>
      <c r="H482" t="s">
        <v>139</v>
      </c>
      <c r="I482" s="1">
        <v>45760</v>
      </c>
      <c r="K482">
        <v>916560</v>
      </c>
      <c r="L482" t="s">
        <v>6803</v>
      </c>
    </row>
    <row r="483" spans="1:12" x14ac:dyDescent="0.35">
      <c r="A483" t="s">
        <v>131</v>
      </c>
      <c r="B483" s="1">
        <v>45729</v>
      </c>
      <c r="C483" t="s">
        <v>211</v>
      </c>
      <c r="D483" t="s">
        <v>211</v>
      </c>
      <c r="F483" t="s">
        <v>7701</v>
      </c>
      <c r="H483" t="s">
        <v>139</v>
      </c>
      <c r="I483" s="1">
        <v>45760</v>
      </c>
      <c r="K483">
        <v>1121000</v>
      </c>
      <c r="L483" t="s">
        <v>351</v>
      </c>
    </row>
    <row r="484" spans="1:12" x14ac:dyDescent="0.35">
      <c r="A484" t="s">
        <v>131</v>
      </c>
      <c r="B484" s="1">
        <v>45729</v>
      </c>
      <c r="C484" t="s">
        <v>211</v>
      </c>
      <c r="D484" t="s">
        <v>211</v>
      </c>
      <c r="F484" t="s">
        <v>8423</v>
      </c>
      <c r="H484" t="s">
        <v>139</v>
      </c>
      <c r="I484" s="1">
        <v>45760</v>
      </c>
      <c r="K484">
        <v>5092000</v>
      </c>
      <c r="L484" t="s">
        <v>349</v>
      </c>
    </row>
    <row r="485" spans="1:12" x14ac:dyDescent="0.35">
      <c r="A485" t="s">
        <v>131</v>
      </c>
      <c r="B485" s="1">
        <v>45729</v>
      </c>
      <c r="C485" t="s">
        <v>212</v>
      </c>
      <c r="D485" t="s">
        <v>212</v>
      </c>
      <c r="F485" t="s">
        <v>7831</v>
      </c>
      <c r="G485" t="s">
        <v>7586</v>
      </c>
      <c r="H485" t="s">
        <v>148</v>
      </c>
      <c r="I485" s="1">
        <v>45729</v>
      </c>
      <c r="J485">
        <v>2548800</v>
      </c>
      <c r="L485" t="s">
        <v>6803</v>
      </c>
    </row>
    <row r="486" spans="1:12" x14ac:dyDescent="0.35">
      <c r="A486" t="s">
        <v>131</v>
      </c>
      <c r="B486" s="1">
        <v>45729</v>
      </c>
      <c r="C486" t="s">
        <v>212</v>
      </c>
      <c r="D486" t="s">
        <v>212</v>
      </c>
      <c r="F486" t="s">
        <v>8419</v>
      </c>
      <c r="H486" t="s">
        <v>148</v>
      </c>
      <c r="I486" s="1">
        <v>45729</v>
      </c>
      <c r="K486">
        <v>388800</v>
      </c>
      <c r="L486" t="s">
        <v>6803</v>
      </c>
    </row>
    <row r="487" spans="1:12" x14ac:dyDescent="0.35">
      <c r="A487" t="s">
        <v>131</v>
      </c>
      <c r="B487" s="1">
        <v>45729</v>
      </c>
      <c r="C487" t="s">
        <v>212</v>
      </c>
      <c r="D487" t="s">
        <v>212</v>
      </c>
      <c r="F487" t="s">
        <v>8423</v>
      </c>
      <c r="H487" t="s">
        <v>148</v>
      </c>
      <c r="I487" s="1">
        <v>45729</v>
      </c>
      <c r="K487">
        <v>2160000</v>
      </c>
      <c r="L487" t="s">
        <v>349</v>
      </c>
    </row>
    <row r="488" spans="1:12" x14ac:dyDescent="0.35">
      <c r="A488" t="s">
        <v>131</v>
      </c>
      <c r="B488" s="1">
        <v>45730</v>
      </c>
      <c r="C488" t="s">
        <v>213</v>
      </c>
      <c r="D488" t="s">
        <v>213</v>
      </c>
      <c r="F488" t="s">
        <v>7831</v>
      </c>
      <c r="G488" t="s">
        <v>9932</v>
      </c>
      <c r="H488" t="s">
        <v>167</v>
      </c>
      <c r="I488" s="1">
        <v>45730</v>
      </c>
      <c r="J488">
        <v>214760</v>
      </c>
      <c r="L488" t="s">
        <v>6803</v>
      </c>
    </row>
    <row r="489" spans="1:12" x14ac:dyDescent="0.35">
      <c r="A489" t="s">
        <v>131</v>
      </c>
      <c r="B489" s="1">
        <v>45730</v>
      </c>
      <c r="C489" t="s">
        <v>213</v>
      </c>
      <c r="D489" t="s">
        <v>213</v>
      </c>
      <c r="F489" t="s">
        <v>8419</v>
      </c>
      <c r="H489" t="s">
        <v>167</v>
      </c>
      <c r="I489" s="1">
        <v>45730</v>
      </c>
      <c r="K489">
        <v>23760</v>
      </c>
      <c r="L489" t="s">
        <v>6803</v>
      </c>
    </row>
    <row r="490" spans="1:12" x14ac:dyDescent="0.35">
      <c r="A490" t="s">
        <v>131</v>
      </c>
      <c r="B490" s="1">
        <v>45730</v>
      </c>
      <c r="C490" t="s">
        <v>213</v>
      </c>
      <c r="D490" t="s">
        <v>213</v>
      </c>
      <c r="F490" t="s">
        <v>7701</v>
      </c>
      <c r="H490" t="s">
        <v>167</v>
      </c>
      <c r="I490" s="1">
        <v>45730</v>
      </c>
      <c r="K490">
        <v>59000</v>
      </c>
      <c r="L490" t="s">
        <v>351</v>
      </c>
    </row>
    <row r="491" spans="1:12" x14ac:dyDescent="0.35">
      <c r="A491" t="s">
        <v>131</v>
      </c>
      <c r="B491" s="1">
        <v>45730</v>
      </c>
      <c r="C491" t="s">
        <v>213</v>
      </c>
      <c r="D491" t="s">
        <v>213</v>
      </c>
      <c r="F491" t="s">
        <v>8423</v>
      </c>
      <c r="H491" t="s">
        <v>167</v>
      </c>
      <c r="I491" s="1">
        <v>45730</v>
      </c>
      <c r="K491">
        <v>132000</v>
      </c>
      <c r="L491" t="s">
        <v>350</v>
      </c>
    </row>
    <row r="492" spans="1:12" x14ac:dyDescent="0.35">
      <c r="A492" t="s">
        <v>131</v>
      </c>
      <c r="B492" s="1">
        <v>45730</v>
      </c>
      <c r="C492" t="s">
        <v>214</v>
      </c>
      <c r="D492" t="s">
        <v>214</v>
      </c>
      <c r="F492" t="s">
        <v>7831</v>
      </c>
      <c r="G492" t="s">
        <v>9932</v>
      </c>
      <c r="H492" t="s">
        <v>167</v>
      </c>
      <c r="I492" s="1">
        <v>45730</v>
      </c>
      <c r="J492">
        <v>214760</v>
      </c>
      <c r="L492" t="s">
        <v>6803</v>
      </c>
    </row>
    <row r="493" spans="1:12" x14ac:dyDescent="0.35">
      <c r="A493" t="s">
        <v>131</v>
      </c>
      <c r="B493" s="1">
        <v>45730</v>
      </c>
      <c r="C493" t="s">
        <v>214</v>
      </c>
      <c r="D493" t="s">
        <v>214</v>
      </c>
      <c r="F493" t="s">
        <v>8419</v>
      </c>
      <c r="H493" t="s">
        <v>167</v>
      </c>
      <c r="I493" s="1">
        <v>45730</v>
      </c>
      <c r="K493">
        <v>23760</v>
      </c>
      <c r="L493" t="s">
        <v>6803</v>
      </c>
    </row>
    <row r="494" spans="1:12" x14ac:dyDescent="0.35">
      <c r="A494" t="s">
        <v>131</v>
      </c>
      <c r="B494" s="1">
        <v>45730</v>
      </c>
      <c r="C494" t="s">
        <v>214</v>
      </c>
      <c r="D494" t="s">
        <v>214</v>
      </c>
      <c r="F494" t="s">
        <v>7701</v>
      </c>
      <c r="H494" t="s">
        <v>167</v>
      </c>
      <c r="I494" s="1">
        <v>45730</v>
      </c>
      <c r="K494">
        <v>59000</v>
      </c>
      <c r="L494" t="s">
        <v>351</v>
      </c>
    </row>
    <row r="495" spans="1:12" x14ac:dyDescent="0.35">
      <c r="A495" t="s">
        <v>131</v>
      </c>
      <c r="B495" s="1">
        <v>45730</v>
      </c>
      <c r="C495" t="s">
        <v>214</v>
      </c>
      <c r="D495" t="s">
        <v>214</v>
      </c>
      <c r="F495" t="s">
        <v>8423</v>
      </c>
      <c r="H495" t="s">
        <v>167</v>
      </c>
      <c r="I495" s="1">
        <v>45730</v>
      </c>
      <c r="K495">
        <v>132000</v>
      </c>
      <c r="L495" t="s">
        <v>350</v>
      </c>
    </row>
    <row r="496" spans="1:12" x14ac:dyDescent="0.35">
      <c r="A496" t="s">
        <v>131</v>
      </c>
      <c r="B496" s="1">
        <v>45730</v>
      </c>
      <c r="C496" t="s">
        <v>215</v>
      </c>
      <c r="D496" t="s">
        <v>215</v>
      </c>
      <c r="F496" t="s">
        <v>7831</v>
      </c>
      <c r="G496" t="s">
        <v>9932</v>
      </c>
      <c r="H496" t="s">
        <v>167</v>
      </c>
      <c r="I496" s="1">
        <v>45730</v>
      </c>
      <c r="J496">
        <v>214760</v>
      </c>
      <c r="L496" t="s">
        <v>6803</v>
      </c>
    </row>
    <row r="497" spans="1:12" x14ac:dyDescent="0.35">
      <c r="A497" t="s">
        <v>131</v>
      </c>
      <c r="B497" s="1">
        <v>45730</v>
      </c>
      <c r="C497" t="s">
        <v>215</v>
      </c>
      <c r="D497" t="s">
        <v>215</v>
      </c>
      <c r="F497" t="s">
        <v>8419</v>
      </c>
      <c r="H497" t="s">
        <v>167</v>
      </c>
      <c r="I497" s="1">
        <v>45730</v>
      </c>
      <c r="K497">
        <v>23760</v>
      </c>
      <c r="L497" t="s">
        <v>6803</v>
      </c>
    </row>
    <row r="498" spans="1:12" x14ac:dyDescent="0.35">
      <c r="A498" t="s">
        <v>131</v>
      </c>
      <c r="B498" s="1">
        <v>45730</v>
      </c>
      <c r="C498" t="s">
        <v>215</v>
      </c>
      <c r="D498" t="s">
        <v>215</v>
      </c>
      <c r="F498" t="s">
        <v>7701</v>
      </c>
      <c r="H498" t="s">
        <v>167</v>
      </c>
      <c r="I498" s="1">
        <v>45730</v>
      </c>
      <c r="K498">
        <v>59000</v>
      </c>
      <c r="L498" t="s">
        <v>351</v>
      </c>
    </row>
    <row r="499" spans="1:12" x14ac:dyDescent="0.35">
      <c r="A499" t="s">
        <v>131</v>
      </c>
      <c r="B499" s="1">
        <v>45730</v>
      </c>
      <c r="C499" t="s">
        <v>215</v>
      </c>
      <c r="D499" t="s">
        <v>215</v>
      </c>
      <c r="F499" t="s">
        <v>8423</v>
      </c>
      <c r="H499" t="s">
        <v>167</v>
      </c>
      <c r="I499" s="1">
        <v>45730</v>
      </c>
      <c r="K499">
        <v>132000</v>
      </c>
      <c r="L499" t="s">
        <v>350</v>
      </c>
    </row>
    <row r="500" spans="1:12" x14ac:dyDescent="0.35">
      <c r="A500" t="s">
        <v>131</v>
      </c>
      <c r="B500" s="1">
        <v>45730</v>
      </c>
      <c r="C500" t="s">
        <v>216</v>
      </c>
      <c r="D500" t="s">
        <v>216</v>
      </c>
      <c r="F500" t="s">
        <v>7831</v>
      </c>
      <c r="G500" t="s">
        <v>9900</v>
      </c>
      <c r="H500" t="s">
        <v>217</v>
      </c>
      <c r="I500" s="1">
        <v>45730</v>
      </c>
      <c r="J500">
        <v>214760</v>
      </c>
      <c r="L500" t="s">
        <v>6803</v>
      </c>
    </row>
    <row r="501" spans="1:12" x14ac:dyDescent="0.35">
      <c r="A501" t="s">
        <v>131</v>
      </c>
      <c r="B501" s="1">
        <v>45730</v>
      </c>
      <c r="C501" t="s">
        <v>216</v>
      </c>
      <c r="D501" t="s">
        <v>216</v>
      </c>
      <c r="F501" t="s">
        <v>8419</v>
      </c>
      <c r="H501" t="s">
        <v>217</v>
      </c>
      <c r="I501" s="1">
        <v>45730</v>
      </c>
      <c r="K501">
        <v>23760</v>
      </c>
      <c r="L501" t="s">
        <v>6803</v>
      </c>
    </row>
    <row r="502" spans="1:12" x14ac:dyDescent="0.35">
      <c r="A502" t="s">
        <v>131</v>
      </c>
      <c r="B502" s="1">
        <v>45730</v>
      </c>
      <c r="C502" t="s">
        <v>216</v>
      </c>
      <c r="D502" t="s">
        <v>216</v>
      </c>
      <c r="F502" t="s">
        <v>7701</v>
      </c>
      <c r="H502" t="s">
        <v>217</v>
      </c>
      <c r="I502" s="1">
        <v>45730</v>
      </c>
      <c r="K502">
        <v>59000</v>
      </c>
      <c r="L502" t="s">
        <v>351</v>
      </c>
    </row>
    <row r="503" spans="1:12" x14ac:dyDescent="0.35">
      <c r="A503" t="s">
        <v>131</v>
      </c>
      <c r="B503" s="1">
        <v>45730</v>
      </c>
      <c r="C503" t="s">
        <v>216</v>
      </c>
      <c r="D503" t="s">
        <v>216</v>
      </c>
      <c r="F503" t="s">
        <v>8423</v>
      </c>
      <c r="H503" t="s">
        <v>217</v>
      </c>
      <c r="I503" s="1">
        <v>45730</v>
      </c>
      <c r="K503">
        <v>132000</v>
      </c>
      <c r="L503" t="s">
        <v>350</v>
      </c>
    </row>
    <row r="504" spans="1:12" x14ac:dyDescent="0.35">
      <c r="A504" t="s">
        <v>131</v>
      </c>
      <c r="B504" s="1">
        <v>45730</v>
      </c>
      <c r="C504" t="s">
        <v>218</v>
      </c>
      <c r="D504" t="s">
        <v>218</v>
      </c>
      <c r="F504" t="s">
        <v>7831</v>
      </c>
      <c r="G504" t="s">
        <v>9900</v>
      </c>
      <c r="H504" t="s">
        <v>219</v>
      </c>
      <c r="I504" s="1">
        <v>45730</v>
      </c>
      <c r="J504">
        <v>214760</v>
      </c>
      <c r="L504" t="s">
        <v>6803</v>
      </c>
    </row>
    <row r="505" spans="1:12" x14ac:dyDescent="0.35">
      <c r="A505" t="s">
        <v>131</v>
      </c>
      <c r="B505" s="1">
        <v>45730</v>
      </c>
      <c r="C505" t="s">
        <v>218</v>
      </c>
      <c r="D505" t="s">
        <v>218</v>
      </c>
      <c r="F505" t="s">
        <v>8419</v>
      </c>
      <c r="H505" t="s">
        <v>219</v>
      </c>
      <c r="I505" s="1">
        <v>45730</v>
      </c>
      <c r="K505">
        <v>23760</v>
      </c>
      <c r="L505" t="s">
        <v>6803</v>
      </c>
    </row>
    <row r="506" spans="1:12" x14ac:dyDescent="0.35">
      <c r="A506" t="s">
        <v>131</v>
      </c>
      <c r="B506" s="1">
        <v>45730</v>
      </c>
      <c r="C506" t="s">
        <v>218</v>
      </c>
      <c r="D506" t="s">
        <v>218</v>
      </c>
      <c r="F506" t="s">
        <v>7701</v>
      </c>
      <c r="H506" t="s">
        <v>219</v>
      </c>
      <c r="I506" s="1">
        <v>45730</v>
      </c>
      <c r="K506">
        <v>59000</v>
      </c>
      <c r="L506" t="s">
        <v>351</v>
      </c>
    </row>
    <row r="507" spans="1:12" x14ac:dyDescent="0.35">
      <c r="A507" t="s">
        <v>131</v>
      </c>
      <c r="B507" s="1">
        <v>45730</v>
      </c>
      <c r="C507" t="s">
        <v>218</v>
      </c>
      <c r="D507" t="s">
        <v>218</v>
      </c>
      <c r="F507" t="s">
        <v>8423</v>
      </c>
      <c r="H507" t="s">
        <v>219</v>
      </c>
      <c r="I507" s="1">
        <v>45730</v>
      </c>
      <c r="K507">
        <v>132000</v>
      </c>
      <c r="L507" t="s">
        <v>350</v>
      </c>
    </row>
    <row r="508" spans="1:12" x14ac:dyDescent="0.35">
      <c r="A508" t="s">
        <v>131</v>
      </c>
      <c r="B508" s="1">
        <v>45730</v>
      </c>
      <c r="C508" t="s">
        <v>220</v>
      </c>
      <c r="D508" t="s">
        <v>220</v>
      </c>
      <c r="F508" t="s">
        <v>7831</v>
      </c>
      <c r="G508" t="s">
        <v>9900</v>
      </c>
      <c r="H508" t="s">
        <v>219</v>
      </c>
      <c r="I508" s="1">
        <v>45730</v>
      </c>
      <c r="J508">
        <v>429520</v>
      </c>
      <c r="L508" t="s">
        <v>6803</v>
      </c>
    </row>
    <row r="509" spans="1:12" x14ac:dyDescent="0.35">
      <c r="A509" t="s">
        <v>131</v>
      </c>
      <c r="B509" s="1">
        <v>45730</v>
      </c>
      <c r="C509" t="s">
        <v>220</v>
      </c>
      <c r="D509" t="s">
        <v>220</v>
      </c>
      <c r="F509" t="s">
        <v>8419</v>
      </c>
      <c r="H509" t="s">
        <v>219</v>
      </c>
      <c r="I509" s="1">
        <v>45730</v>
      </c>
      <c r="K509">
        <v>47520</v>
      </c>
      <c r="L509" t="s">
        <v>6803</v>
      </c>
    </row>
    <row r="510" spans="1:12" x14ac:dyDescent="0.35">
      <c r="A510" t="s">
        <v>131</v>
      </c>
      <c r="B510" s="1">
        <v>45730</v>
      </c>
      <c r="C510" t="s">
        <v>220</v>
      </c>
      <c r="D510" t="s">
        <v>220</v>
      </c>
      <c r="F510" t="s">
        <v>7701</v>
      </c>
      <c r="H510" t="s">
        <v>219</v>
      </c>
      <c r="I510" s="1">
        <v>45730</v>
      </c>
      <c r="K510">
        <v>118000</v>
      </c>
      <c r="L510" t="s">
        <v>351</v>
      </c>
    </row>
    <row r="511" spans="1:12" x14ac:dyDescent="0.35">
      <c r="A511" t="s">
        <v>131</v>
      </c>
      <c r="B511" s="1">
        <v>45730</v>
      </c>
      <c r="C511" t="s">
        <v>220</v>
      </c>
      <c r="D511" t="s">
        <v>220</v>
      </c>
      <c r="F511" t="s">
        <v>8423</v>
      </c>
      <c r="H511" t="s">
        <v>219</v>
      </c>
      <c r="I511" s="1">
        <v>45730</v>
      </c>
      <c r="K511">
        <v>264000</v>
      </c>
      <c r="L511" t="s">
        <v>350</v>
      </c>
    </row>
    <row r="512" spans="1:12" x14ac:dyDescent="0.35">
      <c r="A512" t="s">
        <v>131</v>
      </c>
      <c r="B512" s="1">
        <v>45730</v>
      </c>
      <c r="C512" t="s">
        <v>221</v>
      </c>
      <c r="D512" t="s">
        <v>221</v>
      </c>
      <c r="F512" t="s">
        <v>7831</v>
      </c>
      <c r="G512" t="s">
        <v>9921</v>
      </c>
      <c r="H512" t="s">
        <v>159</v>
      </c>
      <c r="I512" s="1">
        <v>45730</v>
      </c>
      <c r="J512">
        <v>587640</v>
      </c>
      <c r="L512" t="s">
        <v>6803</v>
      </c>
    </row>
    <row r="513" spans="1:12" x14ac:dyDescent="0.35">
      <c r="A513" t="s">
        <v>131</v>
      </c>
      <c r="B513" s="1">
        <v>45730</v>
      </c>
      <c r="C513" t="s">
        <v>221</v>
      </c>
      <c r="D513" t="s">
        <v>221</v>
      </c>
      <c r="F513" t="s">
        <v>8419</v>
      </c>
      <c r="H513" t="s">
        <v>159</v>
      </c>
      <c r="I513" s="1">
        <v>45730</v>
      </c>
      <c r="K513">
        <v>89640</v>
      </c>
      <c r="L513" t="s">
        <v>6803</v>
      </c>
    </row>
    <row r="514" spans="1:12" x14ac:dyDescent="0.35">
      <c r="A514" t="s">
        <v>131</v>
      </c>
      <c r="B514" s="1">
        <v>45730</v>
      </c>
      <c r="C514" t="s">
        <v>221</v>
      </c>
      <c r="D514" t="s">
        <v>221</v>
      </c>
      <c r="F514" t="s">
        <v>8423</v>
      </c>
      <c r="H514" t="s">
        <v>159</v>
      </c>
      <c r="I514" s="1">
        <v>45730</v>
      </c>
      <c r="K514">
        <v>498000</v>
      </c>
      <c r="L514" t="s">
        <v>349</v>
      </c>
    </row>
    <row r="515" spans="1:12" x14ac:dyDescent="0.35">
      <c r="A515" t="s">
        <v>131</v>
      </c>
      <c r="B515" s="1">
        <v>45730</v>
      </c>
      <c r="C515" t="s">
        <v>222</v>
      </c>
      <c r="D515" t="s">
        <v>222</v>
      </c>
      <c r="F515" t="s">
        <v>7831</v>
      </c>
      <c r="G515" t="s">
        <v>9921</v>
      </c>
      <c r="H515" t="s">
        <v>159</v>
      </c>
      <c r="I515" s="1">
        <v>45730</v>
      </c>
      <c r="J515">
        <v>1770000</v>
      </c>
      <c r="L515" t="s">
        <v>6803</v>
      </c>
    </row>
    <row r="516" spans="1:12" x14ac:dyDescent="0.35">
      <c r="A516" t="s">
        <v>131</v>
      </c>
      <c r="B516" s="1">
        <v>45730</v>
      </c>
      <c r="C516" t="s">
        <v>222</v>
      </c>
      <c r="D516" t="s">
        <v>222</v>
      </c>
      <c r="F516" t="s">
        <v>8419</v>
      </c>
      <c r="H516" t="s">
        <v>159</v>
      </c>
      <c r="I516" s="1">
        <v>45730</v>
      </c>
      <c r="K516">
        <v>270000</v>
      </c>
      <c r="L516" t="s">
        <v>6803</v>
      </c>
    </row>
    <row r="517" spans="1:12" x14ac:dyDescent="0.35">
      <c r="A517" t="s">
        <v>131</v>
      </c>
      <c r="B517" s="1">
        <v>45730</v>
      </c>
      <c r="C517" t="s">
        <v>222</v>
      </c>
      <c r="D517" t="s">
        <v>222</v>
      </c>
      <c r="F517" t="s">
        <v>8423</v>
      </c>
      <c r="H517" t="s">
        <v>159</v>
      </c>
      <c r="I517" s="1">
        <v>45730</v>
      </c>
      <c r="K517">
        <v>1500000</v>
      </c>
      <c r="L517" t="s">
        <v>349</v>
      </c>
    </row>
    <row r="518" spans="1:12" x14ac:dyDescent="0.35">
      <c r="A518" t="s">
        <v>131</v>
      </c>
      <c r="B518" s="1">
        <v>45730</v>
      </c>
      <c r="C518" t="s">
        <v>223</v>
      </c>
      <c r="D518" t="s">
        <v>223</v>
      </c>
      <c r="F518" t="s">
        <v>7831</v>
      </c>
      <c r="G518" t="s">
        <v>9919</v>
      </c>
      <c r="H518" t="s">
        <v>224</v>
      </c>
      <c r="I518" s="1">
        <v>45730</v>
      </c>
      <c r="J518">
        <v>409460</v>
      </c>
      <c r="L518" t="s">
        <v>6803</v>
      </c>
    </row>
    <row r="519" spans="1:12" x14ac:dyDescent="0.35">
      <c r="A519" t="s">
        <v>131</v>
      </c>
      <c r="B519" s="1">
        <v>45730</v>
      </c>
      <c r="C519" t="s">
        <v>223</v>
      </c>
      <c r="D519" t="s">
        <v>223</v>
      </c>
      <c r="F519" t="s">
        <v>8419</v>
      </c>
      <c r="H519" t="s">
        <v>224</v>
      </c>
      <c r="I519" s="1">
        <v>45730</v>
      </c>
      <c r="K519">
        <v>53460</v>
      </c>
      <c r="L519" t="s">
        <v>6803</v>
      </c>
    </row>
    <row r="520" spans="1:12" x14ac:dyDescent="0.35">
      <c r="A520" t="s">
        <v>131</v>
      </c>
      <c r="B520" s="1">
        <v>45730</v>
      </c>
      <c r="C520" t="s">
        <v>223</v>
      </c>
      <c r="D520" t="s">
        <v>223</v>
      </c>
      <c r="F520" t="s">
        <v>7701</v>
      </c>
      <c r="H520" t="s">
        <v>224</v>
      </c>
      <c r="I520" s="1">
        <v>45730</v>
      </c>
      <c r="K520">
        <v>59000</v>
      </c>
      <c r="L520" t="s">
        <v>351</v>
      </c>
    </row>
    <row r="521" spans="1:12" x14ac:dyDescent="0.35">
      <c r="A521" t="s">
        <v>131</v>
      </c>
      <c r="B521" s="1">
        <v>45730</v>
      </c>
      <c r="C521" t="s">
        <v>223</v>
      </c>
      <c r="D521" t="s">
        <v>223</v>
      </c>
      <c r="F521" t="s">
        <v>8423</v>
      </c>
      <c r="H521" t="s">
        <v>224</v>
      </c>
      <c r="I521" s="1">
        <v>45730</v>
      </c>
      <c r="K521">
        <v>297000</v>
      </c>
      <c r="L521" t="s">
        <v>349</v>
      </c>
    </row>
    <row r="522" spans="1:12" x14ac:dyDescent="0.35">
      <c r="A522" t="s">
        <v>131</v>
      </c>
      <c r="B522" s="1">
        <v>45730</v>
      </c>
      <c r="C522" t="s">
        <v>225</v>
      </c>
      <c r="D522" t="s">
        <v>225</v>
      </c>
      <c r="F522" t="s">
        <v>7831</v>
      </c>
      <c r="G522" t="s">
        <v>9931</v>
      </c>
      <c r="H522" t="s">
        <v>146</v>
      </c>
      <c r="I522" s="1">
        <v>45761</v>
      </c>
      <c r="J522">
        <v>214760</v>
      </c>
      <c r="L522" t="s">
        <v>6803</v>
      </c>
    </row>
    <row r="523" spans="1:12" x14ac:dyDescent="0.35">
      <c r="A523" t="s">
        <v>131</v>
      </c>
      <c r="B523" s="1">
        <v>45730</v>
      </c>
      <c r="C523" t="s">
        <v>225</v>
      </c>
      <c r="D523" t="s">
        <v>225</v>
      </c>
      <c r="F523" t="s">
        <v>8419</v>
      </c>
      <c r="H523" t="s">
        <v>146</v>
      </c>
      <c r="I523" s="1">
        <v>45761</v>
      </c>
      <c r="K523">
        <v>23760</v>
      </c>
      <c r="L523" t="s">
        <v>6803</v>
      </c>
    </row>
    <row r="524" spans="1:12" x14ac:dyDescent="0.35">
      <c r="A524" t="s">
        <v>131</v>
      </c>
      <c r="B524" s="1">
        <v>45730</v>
      </c>
      <c r="C524" t="s">
        <v>225</v>
      </c>
      <c r="D524" t="s">
        <v>225</v>
      </c>
      <c r="F524" t="s">
        <v>7701</v>
      </c>
      <c r="H524" t="s">
        <v>146</v>
      </c>
      <c r="I524" s="1">
        <v>45761</v>
      </c>
      <c r="K524">
        <v>59000</v>
      </c>
      <c r="L524" t="s">
        <v>351</v>
      </c>
    </row>
    <row r="525" spans="1:12" x14ac:dyDescent="0.35">
      <c r="A525" t="s">
        <v>131</v>
      </c>
      <c r="B525" s="1">
        <v>45730</v>
      </c>
      <c r="C525" t="s">
        <v>225</v>
      </c>
      <c r="D525" t="s">
        <v>225</v>
      </c>
      <c r="F525" t="s">
        <v>8423</v>
      </c>
      <c r="H525" t="s">
        <v>146</v>
      </c>
      <c r="I525" s="1">
        <v>45761</v>
      </c>
      <c r="K525">
        <v>132000</v>
      </c>
      <c r="L525" t="s">
        <v>350</v>
      </c>
    </row>
    <row r="526" spans="1:12" x14ac:dyDescent="0.35">
      <c r="A526" t="s">
        <v>131</v>
      </c>
      <c r="B526" s="1">
        <v>45730</v>
      </c>
      <c r="C526" t="s">
        <v>226</v>
      </c>
      <c r="D526" t="s">
        <v>226</v>
      </c>
      <c r="F526" t="s">
        <v>7831</v>
      </c>
      <c r="G526" t="s">
        <v>7586</v>
      </c>
      <c r="H526" t="s">
        <v>148</v>
      </c>
      <c r="I526" s="1">
        <v>45730</v>
      </c>
      <c r="J526">
        <v>212400</v>
      </c>
      <c r="L526" t="s">
        <v>6803</v>
      </c>
    </row>
    <row r="527" spans="1:12" x14ac:dyDescent="0.35">
      <c r="A527" t="s">
        <v>131</v>
      </c>
      <c r="B527" s="1">
        <v>45730</v>
      </c>
      <c r="C527" t="s">
        <v>226</v>
      </c>
      <c r="D527" t="s">
        <v>226</v>
      </c>
      <c r="F527" t="s">
        <v>8419</v>
      </c>
      <c r="H527" t="s">
        <v>148</v>
      </c>
      <c r="I527" s="1">
        <v>45730</v>
      </c>
      <c r="K527">
        <v>32400</v>
      </c>
      <c r="L527" t="s">
        <v>6803</v>
      </c>
    </row>
    <row r="528" spans="1:12" x14ac:dyDescent="0.35">
      <c r="A528" t="s">
        <v>131</v>
      </c>
      <c r="B528" s="1">
        <v>45730</v>
      </c>
      <c r="C528" t="s">
        <v>226</v>
      </c>
      <c r="D528" t="s">
        <v>226</v>
      </c>
      <c r="F528" t="s">
        <v>8423</v>
      </c>
      <c r="H528" t="s">
        <v>148</v>
      </c>
      <c r="I528" s="1">
        <v>45730</v>
      </c>
      <c r="K528">
        <v>180000</v>
      </c>
      <c r="L528" t="s">
        <v>349</v>
      </c>
    </row>
    <row r="529" spans="1:12" x14ac:dyDescent="0.35">
      <c r="A529" t="s">
        <v>131</v>
      </c>
      <c r="B529" s="1">
        <v>45730</v>
      </c>
      <c r="C529" t="s">
        <v>227</v>
      </c>
      <c r="D529" t="s">
        <v>227</v>
      </c>
      <c r="F529" t="s">
        <v>7831</v>
      </c>
      <c r="G529" t="s">
        <v>7586</v>
      </c>
      <c r="H529" t="s">
        <v>148</v>
      </c>
      <c r="I529" s="1">
        <v>45730</v>
      </c>
      <c r="J529">
        <v>212400</v>
      </c>
      <c r="L529" t="s">
        <v>6803</v>
      </c>
    </row>
    <row r="530" spans="1:12" x14ac:dyDescent="0.35">
      <c r="A530" t="s">
        <v>131</v>
      </c>
      <c r="B530" s="1">
        <v>45730</v>
      </c>
      <c r="C530" t="s">
        <v>227</v>
      </c>
      <c r="D530" t="s">
        <v>227</v>
      </c>
      <c r="F530" t="s">
        <v>8419</v>
      </c>
      <c r="H530" t="s">
        <v>148</v>
      </c>
      <c r="I530" s="1">
        <v>45730</v>
      </c>
      <c r="K530">
        <v>32400</v>
      </c>
      <c r="L530" t="s">
        <v>6803</v>
      </c>
    </row>
    <row r="531" spans="1:12" x14ac:dyDescent="0.35">
      <c r="A531" t="s">
        <v>131</v>
      </c>
      <c r="B531" s="1">
        <v>45730</v>
      </c>
      <c r="C531" t="s">
        <v>227</v>
      </c>
      <c r="D531" t="s">
        <v>227</v>
      </c>
      <c r="F531" t="s">
        <v>8423</v>
      </c>
      <c r="H531" t="s">
        <v>148</v>
      </c>
      <c r="I531" s="1">
        <v>45730</v>
      </c>
      <c r="K531">
        <v>180000</v>
      </c>
      <c r="L531" t="s">
        <v>349</v>
      </c>
    </row>
    <row r="532" spans="1:12" x14ac:dyDescent="0.35">
      <c r="A532" t="s">
        <v>131</v>
      </c>
      <c r="B532" s="1">
        <v>45730</v>
      </c>
      <c r="C532" t="s">
        <v>228</v>
      </c>
      <c r="D532" t="s">
        <v>228</v>
      </c>
      <c r="F532" t="s">
        <v>7831</v>
      </c>
      <c r="G532" t="s">
        <v>7586</v>
      </c>
      <c r="H532" t="s">
        <v>148</v>
      </c>
      <c r="I532" s="1">
        <v>45730</v>
      </c>
      <c r="J532">
        <v>424800</v>
      </c>
      <c r="L532" t="s">
        <v>6803</v>
      </c>
    </row>
    <row r="533" spans="1:12" x14ac:dyDescent="0.35">
      <c r="A533" t="s">
        <v>131</v>
      </c>
      <c r="B533" s="1">
        <v>45730</v>
      </c>
      <c r="C533" t="s">
        <v>228</v>
      </c>
      <c r="D533" t="s">
        <v>228</v>
      </c>
      <c r="F533" t="s">
        <v>8419</v>
      </c>
      <c r="H533" t="s">
        <v>148</v>
      </c>
      <c r="I533" s="1">
        <v>45730</v>
      </c>
      <c r="K533">
        <v>64800</v>
      </c>
      <c r="L533" t="s">
        <v>6803</v>
      </c>
    </row>
    <row r="534" spans="1:12" x14ac:dyDescent="0.35">
      <c r="A534" t="s">
        <v>131</v>
      </c>
      <c r="B534" s="1">
        <v>45730</v>
      </c>
      <c r="C534" t="s">
        <v>228</v>
      </c>
      <c r="D534" t="s">
        <v>228</v>
      </c>
      <c r="F534" t="s">
        <v>8423</v>
      </c>
      <c r="H534" t="s">
        <v>148</v>
      </c>
      <c r="I534" s="1">
        <v>45730</v>
      </c>
      <c r="K534">
        <v>360000</v>
      </c>
      <c r="L534" t="s">
        <v>349</v>
      </c>
    </row>
    <row r="535" spans="1:12" x14ac:dyDescent="0.35">
      <c r="A535" t="s">
        <v>131</v>
      </c>
      <c r="B535" s="1">
        <v>45730</v>
      </c>
      <c r="C535" t="s">
        <v>229</v>
      </c>
      <c r="D535" t="s">
        <v>229</v>
      </c>
      <c r="F535" t="s">
        <v>7831</v>
      </c>
      <c r="G535" t="s">
        <v>7586</v>
      </c>
      <c r="H535" t="s">
        <v>148</v>
      </c>
      <c r="I535" s="1">
        <v>45730</v>
      </c>
      <c r="J535">
        <v>424800</v>
      </c>
      <c r="L535" t="s">
        <v>6803</v>
      </c>
    </row>
    <row r="536" spans="1:12" x14ac:dyDescent="0.35">
      <c r="A536" t="s">
        <v>131</v>
      </c>
      <c r="B536" s="1">
        <v>45730</v>
      </c>
      <c r="C536" t="s">
        <v>229</v>
      </c>
      <c r="D536" t="s">
        <v>229</v>
      </c>
      <c r="F536" t="s">
        <v>8419</v>
      </c>
      <c r="H536" t="s">
        <v>148</v>
      </c>
      <c r="I536" s="1">
        <v>45730</v>
      </c>
      <c r="K536">
        <v>64800</v>
      </c>
      <c r="L536" t="s">
        <v>6803</v>
      </c>
    </row>
    <row r="537" spans="1:12" x14ac:dyDescent="0.35">
      <c r="A537" t="s">
        <v>131</v>
      </c>
      <c r="B537" s="1">
        <v>45730</v>
      </c>
      <c r="C537" t="s">
        <v>229</v>
      </c>
      <c r="D537" t="s">
        <v>229</v>
      </c>
      <c r="F537" t="s">
        <v>8423</v>
      </c>
      <c r="H537" t="s">
        <v>148</v>
      </c>
      <c r="I537" s="1">
        <v>45730</v>
      </c>
      <c r="K537">
        <v>360000</v>
      </c>
      <c r="L537" t="s">
        <v>349</v>
      </c>
    </row>
    <row r="538" spans="1:12" x14ac:dyDescent="0.35">
      <c r="A538" t="s">
        <v>131</v>
      </c>
      <c r="B538" s="1">
        <v>45730</v>
      </c>
      <c r="C538" t="s">
        <v>230</v>
      </c>
      <c r="D538" t="s">
        <v>230</v>
      </c>
      <c r="F538" t="s">
        <v>7831</v>
      </c>
      <c r="G538" t="s">
        <v>7586</v>
      </c>
      <c r="H538" t="s">
        <v>148</v>
      </c>
      <c r="I538" s="1">
        <v>45730</v>
      </c>
      <c r="J538">
        <v>849600</v>
      </c>
      <c r="L538" t="s">
        <v>6803</v>
      </c>
    </row>
    <row r="539" spans="1:12" x14ac:dyDescent="0.35">
      <c r="A539" t="s">
        <v>131</v>
      </c>
      <c r="B539" s="1">
        <v>45730</v>
      </c>
      <c r="C539" t="s">
        <v>230</v>
      </c>
      <c r="D539" t="s">
        <v>230</v>
      </c>
      <c r="F539" t="s">
        <v>8419</v>
      </c>
      <c r="H539" t="s">
        <v>148</v>
      </c>
      <c r="I539" s="1">
        <v>45730</v>
      </c>
      <c r="K539">
        <v>129600</v>
      </c>
      <c r="L539" t="s">
        <v>6803</v>
      </c>
    </row>
    <row r="540" spans="1:12" x14ac:dyDescent="0.35">
      <c r="A540" t="s">
        <v>131</v>
      </c>
      <c r="B540" s="1">
        <v>45730</v>
      </c>
      <c r="C540" t="s">
        <v>230</v>
      </c>
      <c r="D540" t="s">
        <v>230</v>
      </c>
      <c r="F540" t="s">
        <v>8423</v>
      </c>
      <c r="H540" t="s">
        <v>148</v>
      </c>
      <c r="I540" s="1">
        <v>45730</v>
      </c>
      <c r="K540">
        <v>720000</v>
      </c>
      <c r="L540" t="s">
        <v>349</v>
      </c>
    </row>
    <row r="541" spans="1:12" x14ac:dyDescent="0.35">
      <c r="A541" t="s">
        <v>131</v>
      </c>
      <c r="B541" s="1">
        <v>45730</v>
      </c>
      <c r="C541" t="s">
        <v>231</v>
      </c>
      <c r="D541" t="s">
        <v>231</v>
      </c>
      <c r="F541" t="s">
        <v>7831</v>
      </c>
      <c r="G541" t="s">
        <v>9928</v>
      </c>
      <c r="H541" t="s">
        <v>163</v>
      </c>
      <c r="I541" s="1">
        <v>45777</v>
      </c>
      <c r="J541">
        <v>389400</v>
      </c>
      <c r="L541" t="s">
        <v>6803</v>
      </c>
    </row>
    <row r="542" spans="1:12" x14ac:dyDescent="0.35">
      <c r="A542" t="s">
        <v>131</v>
      </c>
      <c r="B542" s="1">
        <v>45730</v>
      </c>
      <c r="C542" t="s">
        <v>231</v>
      </c>
      <c r="D542" t="s">
        <v>231</v>
      </c>
      <c r="F542" t="s">
        <v>8419</v>
      </c>
      <c r="H542" t="s">
        <v>163</v>
      </c>
      <c r="I542" s="1">
        <v>45777</v>
      </c>
      <c r="K542">
        <v>59400</v>
      </c>
      <c r="L542" t="s">
        <v>6803</v>
      </c>
    </row>
    <row r="543" spans="1:12" x14ac:dyDescent="0.35">
      <c r="A543" t="s">
        <v>131</v>
      </c>
      <c r="B543" s="1">
        <v>45730</v>
      </c>
      <c r="C543" t="s">
        <v>231</v>
      </c>
      <c r="D543" t="s">
        <v>231</v>
      </c>
      <c r="F543" t="s">
        <v>8423</v>
      </c>
      <c r="H543" t="s">
        <v>163</v>
      </c>
      <c r="I543" s="1">
        <v>45777</v>
      </c>
      <c r="K543">
        <v>132000</v>
      </c>
      <c r="L543" t="s">
        <v>349</v>
      </c>
    </row>
    <row r="544" spans="1:12" x14ac:dyDescent="0.35">
      <c r="A544" t="s">
        <v>131</v>
      </c>
      <c r="B544" s="1">
        <v>45730</v>
      </c>
      <c r="C544" t="s">
        <v>231</v>
      </c>
      <c r="D544" t="s">
        <v>231</v>
      </c>
      <c r="F544" t="s">
        <v>8428</v>
      </c>
      <c r="H544" t="s">
        <v>163</v>
      </c>
      <c r="I544" s="1">
        <v>45777</v>
      </c>
      <c r="K544">
        <v>198000</v>
      </c>
      <c r="L544" t="s">
        <v>349</v>
      </c>
    </row>
    <row r="545" spans="1:12" x14ac:dyDescent="0.35">
      <c r="A545" t="s">
        <v>131</v>
      </c>
      <c r="B545" s="1">
        <v>45730</v>
      </c>
      <c r="C545" t="s">
        <v>232</v>
      </c>
      <c r="D545" t="s">
        <v>232</v>
      </c>
      <c r="F545" t="s">
        <v>7831</v>
      </c>
      <c r="G545" t="s">
        <v>9933</v>
      </c>
      <c r="H545" t="s">
        <v>233</v>
      </c>
      <c r="I545" s="1">
        <v>45730</v>
      </c>
      <c r="J545">
        <v>322140</v>
      </c>
      <c r="L545" t="s">
        <v>6803</v>
      </c>
    </row>
    <row r="546" spans="1:12" x14ac:dyDescent="0.35">
      <c r="A546" t="s">
        <v>131</v>
      </c>
      <c r="B546" s="1">
        <v>45730</v>
      </c>
      <c r="C546" t="s">
        <v>232</v>
      </c>
      <c r="D546" t="s">
        <v>232</v>
      </c>
      <c r="F546" t="s">
        <v>8419</v>
      </c>
      <c r="H546" t="s">
        <v>233</v>
      </c>
      <c r="I546" s="1">
        <v>45730</v>
      </c>
      <c r="K546">
        <v>35640</v>
      </c>
      <c r="L546" t="s">
        <v>6803</v>
      </c>
    </row>
    <row r="547" spans="1:12" x14ac:dyDescent="0.35">
      <c r="A547" t="s">
        <v>131</v>
      </c>
      <c r="B547" s="1">
        <v>45730</v>
      </c>
      <c r="C547" t="s">
        <v>232</v>
      </c>
      <c r="D547" t="s">
        <v>232</v>
      </c>
      <c r="F547" t="s">
        <v>7701</v>
      </c>
      <c r="H547" t="s">
        <v>233</v>
      </c>
      <c r="I547" s="1">
        <v>45730</v>
      </c>
      <c r="K547">
        <v>88500</v>
      </c>
      <c r="L547" t="s">
        <v>351</v>
      </c>
    </row>
    <row r="548" spans="1:12" x14ac:dyDescent="0.35">
      <c r="A548" t="s">
        <v>131</v>
      </c>
      <c r="B548" s="1">
        <v>45730</v>
      </c>
      <c r="C548" t="s">
        <v>232</v>
      </c>
      <c r="D548" t="s">
        <v>232</v>
      </c>
      <c r="F548" t="s">
        <v>8423</v>
      </c>
      <c r="H548" t="s">
        <v>233</v>
      </c>
      <c r="I548" s="1">
        <v>45730</v>
      </c>
      <c r="K548">
        <v>198000</v>
      </c>
      <c r="L548" t="s">
        <v>349</v>
      </c>
    </row>
    <row r="549" spans="1:12" x14ac:dyDescent="0.35">
      <c r="A549" t="s">
        <v>131</v>
      </c>
      <c r="B549" s="1">
        <v>45730</v>
      </c>
      <c r="C549" t="s">
        <v>234</v>
      </c>
      <c r="D549" t="s">
        <v>234</v>
      </c>
      <c r="F549" t="s">
        <v>7831</v>
      </c>
      <c r="G549" t="s">
        <v>9933</v>
      </c>
      <c r="H549" t="s">
        <v>233</v>
      </c>
      <c r="I549" s="1">
        <v>45730</v>
      </c>
      <c r="J549">
        <v>214760</v>
      </c>
      <c r="L549" t="s">
        <v>6803</v>
      </c>
    </row>
    <row r="550" spans="1:12" x14ac:dyDescent="0.35">
      <c r="A550" t="s">
        <v>131</v>
      </c>
      <c r="B550" s="1">
        <v>45730</v>
      </c>
      <c r="C550" t="s">
        <v>234</v>
      </c>
      <c r="D550" t="s">
        <v>234</v>
      </c>
      <c r="F550" t="s">
        <v>8419</v>
      </c>
      <c r="H550" t="s">
        <v>233</v>
      </c>
      <c r="I550" s="1">
        <v>45730</v>
      </c>
      <c r="K550">
        <v>23760</v>
      </c>
      <c r="L550" t="s">
        <v>6803</v>
      </c>
    </row>
    <row r="551" spans="1:12" x14ac:dyDescent="0.35">
      <c r="A551" t="s">
        <v>131</v>
      </c>
      <c r="B551" s="1">
        <v>45730</v>
      </c>
      <c r="C551" t="s">
        <v>234</v>
      </c>
      <c r="D551" t="s">
        <v>234</v>
      </c>
      <c r="F551" t="s">
        <v>7701</v>
      </c>
      <c r="H551" t="s">
        <v>233</v>
      </c>
      <c r="I551" s="1">
        <v>45730</v>
      </c>
      <c r="K551">
        <v>59000</v>
      </c>
      <c r="L551" t="s">
        <v>351</v>
      </c>
    </row>
    <row r="552" spans="1:12" x14ac:dyDescent="0.35">
      <c r="A552" t="s">
        <v>131</v>
      </c>
      <c r="B552" s="1">
        <v>45730</v>
      </c>
      <c r="C552" t="s">
        <v>234</v>
      </c>
      <c r="D552" t="s">
        <v>234</v>
      </c>
      <c r="F552" t="s">
        <v>8423</v>
      </c>
      <c r="H552" t="s">
        <v>233</v>
      </c>
      <c r="I552" s="1">
        <v>45730</v>
      </c>
      <c r="K552">
        <v>132000</v>
      </c>
      <c r="L552" t="s">
        <v>350</v>
      </c>
    </row>
    <row r="553" spans="1:12" x14ac:dyDescent="0.35">
      <c r="A553" t="s">
        <v>131</v>
      </c>
      <c r="B553" s="1">
        <v>45730</v>
      </c>
      <c r="C553" t="s">
        <v>235</v>
      </c>
      <c r="D553" t="s">
        <v>235</v>
      </c>
      <c r="F553" t="s">
        <v>7831</v>
      </c>
      <c r="G553" t="s">
        <v>9925</v>
      </c>
      <c r="H553" t="s">
        <v>139</v>
      </c>
      <c r="I553" s="1">
        <v>45761</v>
      </c>
      <c r="J553">
        <v>750480</v>
      </c>
      <c r="L553" t="s">
        <v>6803</v>
      </c>
    </row>
    <row r="554" spans="1:12" x14ac:dyDescent="0.35">
      <c r="A554" t="s">
        <v>131</v>
      </c>
      <c r="B554" s="1">
        <v>45730</v>
      </c>
      <c r="C554" t="s">
        <v>235</v>
      </c>
      <c r="D554" t="s">
        <v>235</v>
      </c>
      <c r="F554" t="s">
        <v>8419</v>
      </c>
      <c r="H554" t="s">
        <v>139</v>
      </c>
      <c r="I554" s="1">
        <v>45761</v>
      </c>
      <c r="K554">
        <v>96480</v>
      </c>
      <c r="L554" t="s">
        <v>6803</v>
      </c>
    </row>
    <row r="555" spans="1:12" x14ac:dyDescent="0.35">
      <c r="A555" t="s">
        <v>131</v>
      </c>
      <c r="B555" s="1">
        <v>45730</v>
      </c>
      <c r="C555" t="s">
        <v>235</v>
      </c>
      <c r="D555" t="s">
        <v>235</v>
      </c>
      <c r="F555" t="s">
        <v>7701</v>
      </c>
      <c r="H555" t="s">
        <v>139</v>
      </c>
      <c r="I555" s="1">
        <v>45761</v>
      </c>
      <c r="K555">
        <v>118000</v>
      </c>
      <c r="L555" t="s">
        <v>351</v>
      </c>
    </row>
    <row r="556" spans="1:12" x14ac:dyDescent="0.35">
      <c r="A556" t="s">
        <v>131</v>
      </c>
      <c r="B556" s="1">
        <v>45730</v>
      </c>
      <c r="C556" t="s">
        <v>235</v>
      </c>
      <c r="D556" t="s">
        <v>235</v>
      </c>
      <c r="F556" t="s">
        <v>8423</v>
      </c>
      <c r="H556" t="s">
        <v>139</v>
      </c>
      <c r="I556" s="1">
        <v>45761</v>
      </c>
      <c r="K556">
        <v>536000</v>
      </c>
      <c r="L556" t="s">
        <v>349</v>
      </c>
    </row>
    <row r="557" spans="1:12" x14ac:dyDescent="0.35">
      <c r="A557" t="s">
        <v>131</v>
      </c>
      <c r="B557" s="1">
        <v>45730</v>
      </c>
      <c r="C557" t="s">
        <v>236</v>
      </c>
      <c r="D557" t="s">
        <v>236</v>
      </c>
      <c r="F557" t="s">
        <v>7831</v>
      </c>
      <c r="G557" t="s">
        <v>9925</v>
      </c>
      <c r="H557" t="s">
        <v>139</v>
      </c>
      <c r="I557" s="1">
        <v>45761</v>
      </c>
      <c r="J557">
        <v>750480</v>
      </c>
      <c r="L557" t="s">
        <v>6803</v>
      </c>
    </row>
    <row r="558" spans="1:12" x14ac:dyDescent="0.35">
      <c r="A558" t="s">
        <v>131</v>
      </c>
      <c r="B558" s="1">
        <v>45730</v>
      </c>
      <c r="C558" t="s">
        <v>236</v>
      </c>
      <c r="D558" t="s">
        <v>236</v>
      </c>
      <c r="F558" t="s">
        <v>8419</v>
      </c>
      <c r="H558" t="s">
        <v>139</v>
      </c>
      <c r="I558" s="1">
        <v>45761</v>
      </c>
      <c r="K558">
        <v>96480</v>
      </c>
      <c r="L558" t="s">
        <v>6803</v>
      </c>
    </row>
    <row r="559" spans="1:12" x14ac:dyDescent="0.35">
      <c r="A559" t="s">
        <v>131</v>
      </c>
      <c r="B559" s="1">
        <v>45730</v>
      </c>
      <c r="C559" t="s">
        <v>236</v>
      </c>
      <c r="D559" t="s">
        <v>236</v>
      </c>
      <c r="F559" t="s">
        <v>7701</v>
      </c>
      <c r="H559" t="s">
        <v>139</v>
      </c>
      <c r="I559" s="1">
        <v>45761</v>
      </c>
      <c r="K559">
        <v>118000</v>
      </c>
      <c r="L559" t="s">
        <v>351</v>
      </c>
    </row>
    <row r="560" spans="1:12" x14ac:dyDescent="0.35">
      <c r="A560" t="s">
        <v>131</v>
      </c>
      <c r="B560" s="1">
        <v>45730</v>
      </c>
      <c r="C560" t="s">
        <v>236</v>
      </c>
      <c r="D560" t="s">
        <v>236</v>
      </c>
      <c r="F560" t="s">
        <v>8423</v>
      </c>
      <c r="H560" t="s">
        <v>139</v>
      </c>
      <c r="I560" s="1">
        <v>45761</v>
      </c>
      <c r="K560">
        <v>536000</v>
      </c>
      <c r="L560" t="s">
        <v>349</v>
      </c>
    </row>
    <row r="561" spans="1:12" x14ac:dyDescent="0.35">
      <c r="A561" t="s">
        <v>131</v>
      </c>
      <c r="B561" s="1">
        <v>45730</v>
      </c>
      <c r="C561" t="s">
        <v>237</v>
      </c>
      <c r="D561" t="s">
        <v>237</v>
      </c>
      <c r="F561" t="s">
        <v>7831</v>
      </c>
      <c r="G561" t="s">
        <v>9925</v>
      </c>
      <c r="H561" t="s">
        <v>139</v>
      </c>
      <c r="I561" s="1">
        <v>45761</v>
      </c>
      <c r="J561">
        <v>750480</v>
      </c>
      <c r="L561" t="s">
        <v>6803</v>
      </c>
    </row>
    <row r="562" spans="1:12" x14ac:dyDescent="0.35">
      <c r="A562" t="s">
        <v>131</v>
      </c>
      <c r="B562" s="1">
        <v>45730</v>
      </c>
      <c r="C562" t="s">
        <v>237</v>
      </c>
      <c r="D562" t="s">
        <v>237</v>
      </c>
      <c r="F562" t="s">
        <v>8419</v>
      </c>
      <c r="H562" t="s">
        <v>139</v>
      </c>
      <c r="I562" s="1">
        <v>45761</v>
      </c>
      <c r="K562">
        <v>96480</v>
      </c>
      <c r="L562" t="s">
        <v>6803</v>
      </c>
    </row>
    <row r="563" spans="1:12" x14ac:dyDescent="0.35">
      <c r="A563" t="s">
        <v>131</v>
      </c>
      <c r="B563" s="1">
        <v>45730</v>
      </c>
      <c r="C563" t="s">
        <v>237</v>
      </c>
      <c r="D563" t="s">
        <v>237</v>
      </c>
      <c r="F563" t="s">
        <v>7701</v>
      </c>
      <c r="H563" t="s">
        <v>139</v>
      </c>
      <c r="I563" s="1">
        <v>45761</v>
      </c>
      <c r="K563">
        <v>118000</v>
      </c>
      <c r="L563" t="s">
        <v>351</v>
      </c>
    </row>
    <row r="564" spans="1:12" x14ac:dyDescent="0.35">
      <c r="A564" t="s">
        <v>131</v>
      </c>
      <c r="B564" s="1">
        <v>45730</v>
      </c>
      <c r="C564" t="s">
        <v>237</v>
      </c>
      <c r="D564" t="s">
        <v>237</v>
      </c>
      <c r="F564" t="s">
        <v>8423</v>
      </c>
      <c r="H564" t="s">
        <v>139</v>
      </c>
      <c r="I564" s="1">
        <v>45761</v>
      </c>
      <c r="K564">
        <v>536000</v>
      </c>
      <c r="L564" t="s">
        <v>349</v>
      </c>
    </row>
    <row r="565" spans="1:12" x14ac:dyDescent="0.35">
      <c r="A565" t="s">
        <v>131</v>
      </c>
      <c r="B565" s="1">
        <v>45734</v>
      </c>
      <c r="C565" t="s">
        <v>238</v>
      </c>
      <c r="D565" t="s">
        <v>238</v>
      </c>
      <c r="F565" t="s">
        <v>7831</v>
      </c>
      <c r="G565" t="s">
        <v>9921</v>
      </c>
      <c r="H565" t="s">
        <v>159</v>
      </c>
      <c r="I565" s="1">
        <v>45734</v>
      </c>
      <c r="J565">
        <v>107380</v>
      </c>
      <c r="L565" t="s">
        <v>6803</v>
      </c>
    </row>
    <row r="566" spans="1:12" x14ac:dyDescent="0.35">
      <c r="A566" t="s">
        <v>131</v>
      </c>
      <c r="B566" s="1">
        <v>45734</v>
      </c>
      <c r="C566" t="s">
        <v>238</v>
      </c>
      <c r="D566" t="s">
        <v>238</v>
      </c>
      <c r="F566" t="s">
        <v>7831</v>
      </c>
      <c r="G566" t="s">
        <v>9921</v>
      </c>
      <c r="H566" t="s">
        <v>159</v>
      </c>
      <c r="I566" s="1">
        <v>45734</v>
      </c>
      <c r="J566">
        <v>107380</v>
      </c>
      <c r="L566" t="s">
        <v>6803</v>
      </c>
    </row>
    <row r="567" spans="1:12" x14ac:dyDescent="0.35">
      <c r="A567" t="s">
        <v>131</v>
      </c>
      <c r="B567" s="1">
        <v>45734</v>
      </c>
      <c r="C567" t="s">
        <v>238</v>
      </c>
      <c r="D567" t="s">
        <v>238</v>
      </c>
      <c r="F567" t="s">
        <v>7831</v>
      </c>
      <c r="G567" t="s">
        <v>9921</v>
      </c>
      <c r="H567" t="s">
        <v>239</v>
      </c>
      <c r="I567" s="1">
        <v>45734</v>
      </c>
      <c r="J567">
        <v>-107380</v>
      </c>
      <c r="L567" t="s">
        <v>6803</v>
      </c>
    </row>
    <row r="568" spans="1:12" x14ac:dyDescent="0.35">
      <c r="A568" t="s">
        <v>131</v>
      </c>
      <c r="B568" s="1">
        <v>45734</v>
      </c>
      <c r="C568" t="s">
        <v>238</v>
      </c>
      <c r="D568" t="s">
        <v>238</v>
      </c>
      <c r="F568" t="s">
        <v>8419</v>
      </c>
      <c r="H568" t="s">
        <v>159</v>
      </c>
      <c r="I568" s="1">
        <v>45734</v>
      </c>
      <c r="K568">
        <v>11880</v>
      </c>
      <c r="L568" t="s">
        <v>6803</v>
      </c>
    </row>
    <row r="569" spans="1:12" x14ac:dyDescent="0.35">
      <c r="A569" t="s">
        <v>131</v>
      </c>
      <c r="B569" s="1">
        <v>45734</v>
      </c>
      <c r="C569" t="s">
        <v>238</v>
      </c>
      <c r="D569" t="s">
        <v>238</v>
      </c>
      <c r="F569" t="s">
        <v>8419</v>
      </c>
      <c r="H569" t="s">
        <v>159</v>
      </c>
      <c r="I569" s="1">
        <v>45734</v>
      </c>
      <c r="K569">
        <v>11880</v>
      </c>
      <c r="L569" t="s">
        <v>6803</v>
      </c>
    </row>
    <row r="570" spans="1:12" x14ac:dyDescent="0.35">
      <c r="A570" t="s">
        <v>131</v>
      </c>
      <c r="B570" s="1">
        <v>45734</v>
      </c>
      <c r="C570" t="s">
        <v>238</v>
      </c>
      <c r="D570" t="s">
        <v>238</v>
      </c>
      <c r="F570" t="s">
        <v>8419</v>
      </c>
      <c r="H570" t="s">
        <v>239</v>
      </c>
      <c r="I570" s="1">
        <v>45734</v>
      </c>
      <c r="K570">
        <v>-11880</v>
      </c>
      <c r="L570" t="s">
        <v>6803</v>
      </c>
    </row>
    <row r="571" spans="1:12" x14ac:dyDescent="0.35">
      <c r="A571" t="s">
        <v>131</v>
      </c>
      <c r="B571" s="1">
        <v>45734</v>
      </c>
      <c r="C571" t="s">
        <v>238</v>
      </c>
      <c r="D571" t="s">
        <v>238</v>
      </c>
      <c r="F571" t="s">
        <v>7701</v>
      </c>
      <c r="H571" t="s">
        <v>159</v>
      </c>
      <c r="I571" s="1">
        <v>45734</v>
      </c>
      <c r="K571">
        <v>29500</v>
      </c>
      <c r="L571" t="s">
        <v>351</v>
      </c>
    </row>
    <row r="572" spans="1:12" x14ac:dyDescent="0.35">
      <c r="A572" t="s">
        <v>131</v>
      </c>
      <c r="B572" s="1">
        <v>45734</v>
      </c>
      <c r="C572" t="s">
        <v>238</v>
      </c>
      <c r="D572" t="s">
        <v>238</v>
      </c>
      <c r="F572" t="s">
        <v>7701</v>
      </c>
      <c r="H572" t="s">
        <v>159</v>
      </c>
      <c r="I572" s="1">
        <v>45734</v>
      </c>
      <c r="K572">
        <v>29500</v>
      </c>
      <c r="L572" t="s">
        <v>351</v>
      </c>
    </row>
    <row r="573" spans="1:12" x14ac:dyDescent="0.35">
      <c r="A573" t="s">
        <v>131</v>
      </c>
      <c r="B573" s="1">
        <v>45734</v>
      </c>
      <c r="C573" t="s">
        <v>238</v>
      </c>
      <c r="D573" t="s">
        <v>238</v>
      </c>
      <c r="F573" t="s">
        <v>7701</v>
      </c>
      <c r="H573" t="s">
        <v>239</v>
      </c>
      <c r="I573" s="1">
        <v>45734</v>
      </c>
      <c r="K573">
        <v>-29500</v>
      </c>
      <c r="L573" t="s">
        <v>351</v>
      </c>
    </row>
    <row r="574" spans="1:12" x14ac:dyDescent="0.35">
      <c r="A574" t="s">
        <v>131</v>
      </c>
      <c r="B574" s="1">
        <v>45734</v>
      </c>
      <c r="C574" t="s">
        <v>238</v>
      </c>
      <c r="D574" t="s">
        <v>238</v>
      </c>
      <c r="F574" t="s">
        <v>8423</v>
      </c>
      <c r="H574" t="s">
        <v>159</v>
      </c>
      <c r="I574" s="1">
        <v>45734</v>
      </c>
      <c r="K574">
        <v>66000</v>
      </c>
      <c r="L574" t="s">
        <v>349</v>
      </c>
    </row>
    <row r="575" spans="1:12" x14ac:dyDescent="0.35">
      <c r="A575" t="s">
        <v>131</v>
      </c>
      <c r="B575" s="1">
        <v>45734</v>
      </c>
      <c r="C575" t="s">
        <v>238</v>
      </c>
      <c r="D575" t="s">
        <v>238</v>
      </c>
      <c r="F575" t="s">
        <v>8423</v>
      </c>
      <c r="H575" t="s">
        <v>159</v>
      </c>
      <c r="I575" s="1">
        <v>45734</v>
      </c>
      <c r="K575">
        <v>66000</v>
      </c>
      <c r="L575" t="s">
        <v>349</v>
      </c>
    </row>
    <row r="576" spans="1:12" x14ac:dyDescent="0.35">
      <c r="A576" t="s">
        <v>131</v>
      </c>
      <c r="B576" s="1">
        <v>45734</v>
      </c>
      <c r="C576" t="s">
        <v>238</v>
      </c>
      <c r="D576" t="s">
        <v>238</v>
      </c>
      <c r="F576" t="s">
        <v>8423</v>
      </c>
      <c r="H576" t="s">
        <v>239</v>
      </c>
      <c r="I576" s="1">
        <v>45734</v>
      </c>
      <c r="K576">
        <v>-66000</v>
      </c>
      <c r="L576" t="s">
        <v>349</v>
      </c>
    </row>
    <row r="577" spans="1:12" x14ac:dyDescent="0.35">
      <c r="A577" t="s">
        <v>131</v>
      </c>
      <c r="B577" s="1">
        <v>45734</v>
      </c>
      <c r="C577" t="s">
        <v>240</v>
      </c>
      <c r="D577" t="s">
        <v>240</v>
      </c>
      <c r="F577" t="s">
        <v>7831</v>
      </c>
      <c r="G577" t="s">
        <v>9921</v>
      </c>
      <c r="H577" t="s">
        <v>188</v>
      </c>
      <c r="I577" s="1">
        <v>45734</v>
      </c>
      <c r="J577">
        <v>413000</v>
      </c>
      <c r="L577" t="s">
        <v>6803</v>
      </c>
    </row>
    <row r="578" spans="1:12" x14ac:dyDescent="0.35">
      <c r="A578" t="s">
        <v>131</v>
      </c>
      <c r="B578" s="1">
        <v>45734</v>
      </c>
      <c r="C578" t="s">
        <v>240</v>
      </c>
      <c r="D578" t="s">
        <v>240</v>
      </c>
      <c r="F578" t="s">
        <v>7831</v>
      </c>
      <c r="G578" t="s">
        <v>9921</v>
      </c>
      <c r="H578" t="s">
        <v>188</v>
      </c>
      <c r="I578" s="1">
        <v>45734</v>
      </c>
      <c r="J578">
        <v>413000</v>
      </c>
      <c r="L578" t="s">
        <v>6803</v>
      </c>
    </row>
    <row r="579" spans="1:12" x14ac:dyDescent="0.35">
      <c r="A579" t="s">
        <v>131</v>
      </c>
      <c r="B579" s="1">
        <v>45734</v>
      </c>
      <c r="C579" t="s">
        <v>240</v>
      </c>
      <c r="D579" t="s">
        <v>240</v>
      </c>
      <c r="F579" t="s">
        <v>7831</v>
      </c>
      <c r="G579" t="s">
        <v>9921</v>
      </c>
      <c r="H579" t="s">
        <v>241</v>
      </c>
      <c r="I579" s="1">
        <v>45734</v>
      </c>
      <c r="J579">
        <v>-413000</v>
      </c>
      <c r="L579" t="s">
        <v>6803</v>
      </c>
    </row>
    <row r="580" spans="1:12" x14ac:dyDescent="0.35">
      <c r="A580" t="s">
        <v>131</v>
      </c>
      <c r="B580" s="1">
        <v>45734</v>
      </c>
      <c r="C580" t="s">
        <v>240</v>
      </c>
      <c r="D580" t="s">
        <v>240</v>
      </c>
      <c r="F580" t="s">
        <v>8419</v>
      </c>
      <c r="H580" t="s">
        <v>188</v>
      </c>
      <c r="I580" s="1">
        <v>45734</v>
      </c>
      <c r="K580">
        <v>54000</v>
      </c>
      <c r="L580" t="s">
        <v>6803</v>
      </c>
    </row>
    <row r="581" spans="1:12" x14ac:dyDescent="0.35">
      <c r="A581" t="s">
        <v>131</v>
      </c>
      <c r="B581" s="1">
        <v>45734</v>
      </c>
      <c r="C581" t="s">
        <v>240</v>
      </c>
      <c r="D581" t="s">
        <v>240</v>
      </c>
      <c r="F581" t="s">
        <v>8419</v>
      </c>
      <c r="H581" t="s">
        <v>188</v>
      </c>
      <c r="I581" s="1">
        <v>45734</v>
      </c>
      <c r="K581">
        <v>54000</v>
      </c>
      <c r="L581" t="s">
        <v>6803</v>
      </c>
    </row>
    <row r="582" spans="1:12" x14ac:dyDescent="0.35">
      <c r="A582" t="s">
        <v>131</v>
      </c>
      <c r="B582" s="1">
        <v>45734</v>
      </c>
      <c r="C582" t="s">
        <v>240</v>
      </c>
      <c r="D582" t="s">
        <v>240</v>
      </c>
      <c r="F582" t="s">
        <v>8419</v>
      </c>
      <c r="H582" t="s">
        <v>241</v>
      </c>
      <c r="I582" s="1">
        <v>45734</v>
      </c>
      <c r="K582">
        <v>-54000</v>
      </c>
      <c r="L582" t="s">
        <v>6803</v>
      </c>
    </row>
    <row r="583" spans="1:12" x14ac:dyDescent="0.35">
      <c r="A583" t="s">
        <v>131</v>
      </c>
      <c r="B583" s="1">
        <v>45734</v>
      </c>
      <c r="C583" t="s">
        <v>240</v>
      </c>
      <c r="D583" t="s">
        <v>240</v>
      </c>
      <c r="F583" t="s">
        <v>7701</v>
      </c>
      <c r="H583" t="s">
        <v>188</v>
      </c>
      <c r="I583" s="1">
        <v>45734</v>
      </c>
      <c r="K583">
        <v>59000</v>
      </c>
      <c r="L583" t="s">
        <v>351</v>
      </c>
    </row>
    <row r="584" spans="1:12" x14ac:dyDescent="0.35">
      <c r="A584" t="s">
        <v>131</v>
      </c>
      <c r="B584" s="1">
        <v>45734</v>
      </c>
      <c r="C584" t="s">
        <v>240</v>
      </c>
      <c r="D584" t="s">
        <v>240</v>
      </c>
      <c r="F584" t="s">
        <v>7701</v>
      </c>
      <c r="H584" t="s">
        <v>188</v>
      </c>
      <c r="I584" s="1">
        <v>45734</v>
      </c>
      <c r="K584">
        <v>59000</v>
      </c>
      <c r="L584" t="s">
        <v>351</v>
      </c>
    </row>
    <row r="585" spans="1:12" x14ac:dyDescent="0.35">
      <c r="A585" t="s">
        <v>131</v>
      </c>
      <c r="B585" s="1">
        <v>45734</v>
      </c>
      <c r="C585" t="s">
        <v>240</v>
      </c>
      <c r="D585" t="s">
        <v>240</v>
      </c>
      <c r="F585" t="s">
        <v>7701</v>
      </c>
      <c r="H585" t="s">
        <v>241</v>
      </c>
      <c r="I585" s="1">
        <v>45734</v>
      </c>
      <c r="K585">
        <v>-59000</v>
      </c>
      <c r="L585" t="s">
        <v>351</v>
      </c>
    </row>
    <row r="586" spans="1:12" x14ac:dyDescent="0.35">
      <c r="A586" t="s">
        <v>131</v>
      </c>
      <c r="B586" s="1">
        <v>45734</v>
      </c>
      <c r="C586" t="s">
        <v>240</v>
      </c>
      <c r="D586" t="s">
        <v>240</v>
      </c>
      <c r="F586" t="s">
        <v>8423</v>
      </c>
      <c r="H586" t="s">
        <v>188</v>
      </c>
      <c r="I586" s="1">
        <v>45734</v>
      </c>
      <c r="K586">
        <v>300000</v>
      </c>
      <c r="L586" t="s">
        <v>349</v>
      </c>
    </row>
    <row r="587" spans="1:12" x14ac:dyDescent="0.35">
      <c r="A587" t="s">
        <v>131</v>
      </c>
      <c r="B587" s="1">
        <v>45734</v>
      </c>
      <c r="C587" t="s">
        <v>240</v>
      </c>
      <c r="D587" t="s">
        <v>240</v>
      </c>
      <c r="F587" t="s">
        <v>8423</v>
      </c>
      <c r="H587" t="s">
        <v>188</v>
      </c>
      <c r="I587" s="1">
        <v>45734</v>
      </c>
      <c r="K587">
        <v>300000</v>
      </c>
      <c r="L587" t="s">
        <v>349</v>
      </c>
    </row>
    <row r="588" spans="1:12" x14ac:dyDescent="0.35">
      <c r="A588" t="s">
        <v>131</v>
      </c>
      <c r="B588" s="1">
        <v>45734</v>
      </c>
      <c r="C588" t="s">
        <v>240</v>
      </c>
      <c r="D588" t="s">
        <v>240</v>
      </c>
      <c r="F588" t="s">
        <v>8423</v>
      </c>
      <c r="H588" t="s">
        <v>241</v>
      </c>
      <c r="I588" s="1">
        <v>45734</v>
      </c>
      <c r="K588">
        <v>-300000</v>
      </c>
      <c r="L588" t="s">
        <v>349</v>
      </c>
    </row>
    <row r="589" spans="1:12" x14ac:dyDescent="0.35">
      <c r="A589" t="s">
        <v>131</v>
      </c>
      <c r="B589" s="1">
        <v>45734</v>
      </c>
      <c r="C589" t="s">
        <v>242</v>
      </c>
      <c r="D589" t="s">
        <v>242</v>
      </c>
      <c r="F589" t="s">
        <v>7831</v>
      </c>
      <c r="G589" t="s">
        <v>9921</v>
      </c>
      <c r="H589" t="s">
        <v>188</v>
      </c>
      <c r="I589" s="1">
        <v>45734</v>
      </c>
      <c r="J589">
        <v>413000</v>
      </c>
      <c r="L589" t="s">
        <v>6803</v>
      </c>
    </row>
    <row r="590" spans="1:12" x14ac:dyDescent="0.35">
      <c r="A590" t="s">
        <v>131</v>
      </c>
      <c r="B590" s="1">
        <v>45734</v>
      </c>
      <c r="C590" t="s">
        <v>242</v>
      </c>
      <c r="D590" t="s">
        <v>242</v>
      </c>
      <c r="F590" t="s">
        <v>7831</v>
      </c>
      <c r="G590" t="s">
        <v>9921</v>
      </c>
      <c r="H590" t="s">
        <v>188</v>
      </c>
      <c r="I590" s="1">
        <v>45734</v>
      </c>
      <c r="J590">
        <v>413000</v>
      </c>
      <c r="L590" t="s">
        <v>6803</v>
      </c>
    </row>
    <row r="591" spans="1:12" x14ac:dyDescent="0.35">
      <c r="A591" t="s">
        <v>131</v>
      </c>
      <c r="B591" s="1">
        <v>45734</v>
      </c>
      <c r="C591" t="s">
        <v>242</v>
      </c>
      <c r="D591" t="s">
        <v>242</v>
      </c>
      <c r="F591" t="s">
        <v>7831</v>
      </c>
      <c r="G591" t="s">
        <v>9921</v>
      </c>
      <c r="H591" t="s">
        <v>241</v>
      </c>
      <c r="I591" s="1">
        <v>45734</v>
      </c>
      <c r="J591">
        <v>-413000</v>
      </c>
      <c r="L591" t="s">
        <v>6803</v>
      </c>
    </row>
    <row r="592" spans="1:12" x14ac:dyDescent="0.35">
      <c r="A592" t="s">
        <v>131</v>
      </c>
      <c r="B592" s="1">
        <v>45734</v>
      </c>
      <c r="C592" t="s">
        <v>242</v>
      </c>
      <c r="D592" t="s">
        <v>242</v>
      </c>
      <c r="F592" t="s">
        <v>8419</v>
      </c>
      <c r="H592" t="s">
        <v>188</v>
      </c>
      <c r="I592" s="1">
        <v>45734</v>
      </c>
      <c r="K592">
        <v>54000</v>
      </c>
      <c r="L592" t="s">
        <v>6803</v>
      </c>
    </row>
    <row r="593" spans="1:12" x14ac:dyDescent="0.35">
      <c r="A593" t="s">
        <v>131</v>
      </c>
      <c r="B593" s="1">
        <v>45734</v>
      </c>
      <c r="C593" t="s">
        <v>242</v>
      </c>
      <c r="D593" t="s">
        <v>242</v>
      </c>
      <c r="F593" t="s">
        <v>8419</v>
      </c>
      <c r="H593" t="s">
        <v>188</v>
      </c>
      <c r="I593" s="1">
        <v>45734</v>
      </c>
      <c r="K593">
        <v>54000</v>
      </c>
      <c r="L593" t="s">
        <v>6803</v>
      </c>
    </row>
    <row r="594" spans="1:12" x14ac:dyDescent="0.35">
      <c r="A594" t="s">
        <v>131</v>
      </c>
      <c r="B594" s="1">
        <v>45734</v>
      </c>
      <c r="C594" t="s">
        <v>242</v>
      </c>
      <c r="D594" t="s">
        <v>242</v>
      </c>
      <c r="F594" t="s">
        <v>8419</v>
      </c>
      <c r="H594" t="s">
        <v>241</v>
      </c>
      <c r="I594" s="1">
        <v>45734</v>
      </c>
      <c r="K594">
        <v>-54000</v>
      </c>
      <c r="L594" t="s">
        <v>6803</v>
      </c>
    </row>
    <row r="595" spans="1:12" x14ac:dyDescent="0.35">
      <c r="A595" t="s">
        <v>131</v>
      </c>
      <c r="B595" s="1">
        <v>45734</v>
      </c>
      <c r="C595" t="s">
        <v>242</v>
      </c>
      <c r="D595" t="s">
        <v>242</v>
      </c>
      <c r="F595" t="s">
        <v>7701</v>
      </c>
      <c r="H595" t="s">
        <v>188</v>
      </c>
      <c r="I595" s="1">
        <v>45734</v>
      </c>
      <c r="K595">
        <v>59000</v>
      </c>
      <c r="L595" t="s">
        <v>351</v>
      </c>
    </row>
    <row r="596" spans="1:12" x14ac:dyDescent="0.35">
      <c r="A596" t="s">
        <v>131</v>
      </c>
      <c r="B596" s="1">
        <v>45734</v>
      </c>
      <c r="C596" t="s">
        <v>242</v>
      </c>
      <c r="D596" t="s">
        <v>242</v>
      </c>
      <c r="F596" t="s">
        <v>7701</v>
      </c>
      <c r="H596" t="s">
        <v>188</v>
      </c>
      <c r="I596" s="1">
        <v>45734</v>
      </c>
      <c r="K596">
        <v>59000</v>
      </c>
      <c r="L596" t="s">
        <v>351</v>
      </c>
    </row>
    <row r="597" spans="1:12" x14ac:dyDescent="0.35">
      <c r="A597" t="s">
        <v>131</v>
      </c>
      <c r="B597" s="1">
        <v>45734</v>
      </c>
      <c r="C597" t="s">
        <v>242</v>
      </c>
      <c r="D597" t="s">
        <v>242</v>
      </c>
      <c r="F597" t="s">
        <v>7701</v>
      </c>
      <c r="H597" t="s">
        <v>241</v>
      </c>
      <c r="I597" s="1">
        <v>45734</v>
      </c>
      <c r="K597">
        <v>-59000</v>
      </c>
      <c r="L597" t="s">
        <v>351</v>
      </c>
    </row>
    <row r="598" spans="1:12" x14ac:dyDescent="0.35">
      <c r="A598" t="s">
        <v>131</v>
      </c>
      <c r="B598" s="1">
        <v>45734</v>
      </c>
      <c r="C598" t="s">
        <v>242</v>
      </c>
      <c r="D598" t="s">
        <v>242</v>
      </c>
      <c r="F598" t="s">
        <v>8423</v>
      </c>
      <c r="H598" t="s">
        <v>188</v>
      </c>
      <c r="I598" s="1">
        <v>45734</v>
      </c>
      <c r="K598">
        <v>300000</v>
      </c>
      <c r="L598" t="s">
        <v>349</v>
      </c>
    </row>
    <row r="599" spans="1:12" x14ac:dyDescent="0.35">
      <c r="A599" t="s">
        <v>131</v>
      </c>
      <c r="B599" s="1">
        <v>45734</v>
      </c>
      <c r="C599" t="s">
        <v>242</v>
      </c>
      <c r="D599" t="s">
        <v>242</v>
      </c>
      <c r="F599" t="s">
        <v>8423</v>
      </c>
      <c r="H599" t="s">
        <v>188</v>
      </c>
      <c r="I599" s="1">
        <v>45734</v>
      </c>
      <c r="K599">
        <v>300000</v>
      </c>
      <c r="L599" t="s">
        <v>349</v>
      </c>
    </row>
    <row r="600" spans="1:12" x14ac:dyDescent="0.35">
      <c r="A600" t="s">
        <v>131</v>
      </c>
      <c r="B600" s="1">
        <v>45734</v>
      </c>
      <c r="C600" t="s">
        <v>242</v>
      </c>
      <c r="D600" t="s">
        <v>242</v>
      </c>
      <c r="F600" t="s">
        <v>8423</v>
      </c>
      <c r="H600" t="s">
        <v>241</v>
      </c>
      <c r="I600" s="1">
        <v>45734</v>
      </c>
      <c r="K600">
        <v>-300000</v>
      </c>
      <c r="L600" t="s">
        <v>349</v>
      </c>
    </row>
    <row r="601" spans="1:12" x14ac:dyDescent="0.35">
      <c r="A601" t="s">
        <v>131</v>
      </c>
      <c r="B601" s="1">
        <v>45734</v>
      </c>
      <c r="C601" t="s">
        <v>243</v>
      </c>
      <c r="D601" t="s">
        <v>243</v>
      </c>
      <c r="F601" t="s">
        <v>7831</v>
      </c>
      <c r="G601" t="s">
        <v>9921</v>
      </c>
      <c r="H601" t="s">
        <v>159</v>
      </c>
      <c r="I601" s="1">
        <v>45734</v>
      </c>
      <c r="J601">
        <v>204730</v>
      </c>
      <c r="L601" t="s">
        <v>6803</v>
      </c>
    </row>
    <row r="602" spans="1:12" x14ac:dyDescent="0.35">
      <c r="A602" t="s">
        <v>131</v>
      </c>
      <c r="B602" s="1">
        <v>45734</v>
      </c>
      <c r="C602" t="s">
        <v>243</v>
      </c>
      <c r="D602" t="s">
        <v>243</v>
      </c>
      <c r="F602" t="s">
        <v>7831</v>
      </c>
      <c r="G602" t="s">
        <v>9921</v>
      </c>
      <c r="H602" t="s">
        <v>159</v>
      </c>
      <c r="I602" s="1">
        <v>45734</v>
      </c>
      <c r="J602">
        <v>204730</v>
      </c>
      <c r="L602" t="s">
        <v>6803</v>
      </c>
    </row>
    <row r="603" spans="1:12" x14ac:dyDescent="0.35">
      <c r="A603" t="s">
        <v>131</v>
      </c>
      <c r="B603" s="1">
        <v>45734</v>
      </c>
      <c r="C603" t="s">
        <v>243</v>
      </c>
      <c r="D603" t="s">
        <v>243</v>
      </c>
      <c r="F603" t="s">
        <v>7831</v>
      </c>
      <c r="G603" t="s">
        <v>9921</v>
      </c>
      <c r="H603" t="s">
        <v>239</v>
      </c>
      <c r="I603" s="1">
        <v>45734</v>
      </c>
      <c r="J603">
        <v>-204730</v>
      </c>
      <c r="L603" t="s">
        <v>6803</v>
      </c>
    </row>
    <row r="604" spans="1:12" x14ac:dyDescent="0.35">
      <c r="A604" t="s">
        <v>131</v>
      </c>
      <c r="B604" s="1">
        <v>45734</v>
      </c>
      <c r="C604" t="s">
        <v>243</v>
      </c>
      <c r="D604" t="s">
        <v>243</v>
      </c>
      <c r="F604" t="s">
        <v>8419</v>
      </c>
      <c r="H604" t="s">
        <v>159</v>
      </c>
      <c r="I604" s="1">
        <v>45734</v>
      </c>
      <c r="K604">
        <v>26730</v>
      </c>
      <c r="L604" t="s">
        <v>6803</v>
      </c>
    </row>
    <row r="605" spans="1:12" x14ac:dyDescent="0.35">
      <c r="A605" t="s">
        <v>131</v>
      </c>
      <c r="B605" s="1">
        <v>45734</v>
      </c>
      <c r="C605" t="s">
        <v>243</v>
      </c>
      <c r="D605" t="s">
        <v>243</v>
      </c>
      <c r="F605" t="s">
        <v>8419</v>
      </c>
      <c r="H605" t="s">
        <v>159</v>
      </c>
      <c r="I605" s="1">
        <v>45734</v>
      </c>
      <c r="K605">
        <v>26730</v>
      </c>
      <c r="L605" t="s">
        <v>6803</v>
      </c>
    </row>
    <row r="606" spans="1:12" x14ac:dyDescent="0.35">
      <c r="A606" t="s">
        <v>131</v>
      </c>
      <c r="B606" s="1">
        <v>45734</v>
      </c>
      <c r="C606" t="s">
        <v>243</v>
      </c>
      <c r="D606" t="s">
        <v>243</v>
      </c>
      <c r="F606" t="s">
        <v>8419</v>
      </c>
      <c r="H606" t="s">
        <v>239</v>
      </c>
      <c r="I606" s="1">
        <v>45734</v>
      </c>
      <c r="K606">
        <v>-26730</v>
      </c>
      <c r="L606" t="s">
        <v>6803</v>
      </c>
    </row>
    <row r="607" spans="1:12" x14ac:dyDescent="0.35">
      <c r="A607" t="s">
        <v>131</v>
      </c>
      <c r="B607" s="1">
        <v>45734</v>
      </c>
      <c r="C607" t="s">
        <v>243</v>
      </c>
      <c r="D607" t="s">
        <v>243</v>
      </c>
      <c r="F607" t="s">
        <v>7701</v>
      </c>
      <c r="H607" t="s">
        <v>159</v>
      </c>
      <c r="I607" s="1">
        <v>45734</v>
      </c>
      <c r="K607">
        <v>29500</v>
      </c>
      <c r="L607" t="s">
        <v>351</v>
      </c>
    </row>
    <row r="608" spans="1:12" x14ac:dyDescent="0.35">
      <c r="A608" t="s">
        <v>131</v>
      </c>
      <c r="B608" s="1">
        <v>45734</v>
      </c>
      <c r="C608" t="s">
        <v>243</v>
      </c>
      <c r="D608" t="s">
        <v>243</v>
      </c>
      <c r="F608" t="s">
        <v>7701</v>
      </c>
      <c r="H608" t="s">
        <v>159</v>
      </c>
      <c r="I608" s="1">
        <v>45734</v>
      </c>
      <c r="K608">
        <v>29500</v>
      </c>
      <c r="L608" t="s">
        <v>351</v>
      </c>
    </row>
    <row r="609" spans="1:12" x14ac:dyDescent="0.35">
      <c r="A609" t="s">
        <v>131</v>
      </c>
      <c r="B609" s="1">
        <v>45734</v>
      </c>
      <c r="C609" t="s">
        <v>243</v>
      </c>
      <c r="D609" t="s">
        <v>243</v>
      </c>
      <c r="F609" t="s">
        <v>7701</v>
      </c>
      <c r="H609" t="s">
        <v>239</v>
      </c>
      <c r="I609" s="1">
        <v>45734</v>
      </c>
      <c r="K609">
        <v>-29500</v>
      </c>
      <c r="L609" t="s">
        <v>351</v>
      </c>
    </row>
    <row r="610" spans="1:12" x14ac:dyDescent="0.35">
      <c r="A610" t="s">
        <v>131</v>
      </c>
      <c r="B610" s="1">
        <v>45734</v>
      </c>
      <c r="C610" t="s">
        <v>243</v>
      </c>
      <c r="D610" t="s">
        <v>243</v>
      </c>
      <c r="F610" t="s">
        <v>8423</v>
      </c>
      <c r="H610" t="s">
        <v>159</v>
      </c>
      <c r="I610" s="1">
        <v>45734</v>
      </c>
      <c r="K610">
        <v>148500</v>
      </c>
      <c r="L610" t="s">
        <v>349</v>
      </c>
    </row>
    <row r="611" spans="1:12" x14ac:dyDescent="0.35">
      <c r="A611" t="s">
        <v>131</v>
      </c>
      <c r="B611" s="1">
        <v>45734</v>
      </c>
      <c r="C611" t="s">
        <v>243</v>
      </c>
      <c r="D611" t="s">
        <v>243</v>
      </c>
      <c r="F611" t="s">
        <v>8423</v>
      </c>
      <c r="H611" t="s">
        <v>159</v>
      </c>
      <c r="I611" s="1">
        <v>45734</v>
      </c>
      <c r="K611">
        <v>148500</v>
      </c>
      <c r="L611" t="s">
        <v>349</v>
      </c>
    </row>
    <row r="612" spans="1:12" x14ac:dyDescent="0.35">
      <c r="A612" t="s">
        <v>131</v>
      </c>
      <c r="B612" s="1">
        <v>45734</v>
      </c>
      <c r="C612" t="s">
        <v>243</v>
      </c>
      <c r="D612" t="s">
        <v>243</v>
      </c>
      <c r="F612" t="s">
        <v>8423</v>
      </c>
      <c r="H612" t="s">
        <v>239</v>
      </c>
      <c r="I612" s="1">
        <v>45734</v>
      </c>
      <c r="K612">
        <v>-148500</v>
      </c>
      <c r="L612" t="s">
        <v>349</v>
      </c>
    </row>
    <row r="613" spans="1:12" x14ac:dyDescent="0.35">
      <c r="A613" t="s">
        <v>131</v>
      </c>
      <c r="B613" s="1">
        <v>45734</v>
      </c>
      <c r="C613" t="s">
        <v>244</v>
      </c>
      <c r="D613" t="s">
        <v>244</v>
      </c>
      <c r="F613" t="s">
        <v>7831</v>
      </c>
      <c r="G613" t="s">
        <v>9921</v>
      </c>
      <c r="H613" t="s">
        <v>159</v>
      </c>
      <c r="I613" s="1">
        <v>45734</v>
      </c>
      <c r="J613">
        <v>409460</v>
      </c>
      <c r="L613" t="s">
        <v>6803</v>
      </c>
    </row>
    <row r="614" spans="1:12" x14ac:dyDescent="0.35">
      <c r="A614" t="s">
        <v>131</v>
      </c>
      <c r="B614" s="1">
        <v>45734</v>
      </c>
      <c r="C614" t="s">
        <v>244</v>
      </c>
      <c r="D614" t="s">
        <v>244</v>
      </c>
      <c r="F614" t="s">
        <v>7831</v>
      </c>
      <c r="G614" t="s">
        <v>9921</v>
      </c>
      <c r="H614" t="s">
        <v>159</v>
      </c>
      <c r="I614" s="1">
        <v>45734</v>
      </c>
      <c r="J614">
        <v>409460</v>
      </c>
      <c r="L614" t="s">
        <v>6803</v>
      </c>
    </row>
    <row r="615" spans="1:12" x14ac:dyDescent="0.35">
      <c r="A615" t="s">
        <v>131</v>
      </c>
      <c r="B615" s="1">
        <v>45734</v>
      </c>
      <c r="C615" t="s">
        <v>244</v>
      </c>
      <c r="D615" t="s">
        <v>244</v>
      </c>
      <c r="F615" t="s">
        <v>7831</v>
      </c>
      <c r="G615" t="s">
        <v>9921</v>
      </c>
      <c r="H615" t="s">
        <v>239</v>
      </c>
      <c r="I615" s="1">
        <v>45734</v>
      </c>
      <c r="J615">
        <v>-409460</v>
      </c>
      <c r="L615" t="s">
        <v>6803</v>
      </c>
    </row>
    <row r="616" spans="1:12" x14ac:dyDescent="0.35">
      <c r="A616" t="s">
        <v>131</v>
      </c>
      <c r="B616" s="1">
        <v>45734</v>
      </c>
      <c r="C616" t="s">
        <v>244</v>
      </c>
      <c r="D616" t="s">
        <v>244</v>
      </c>
      <c r="F616" t="s">
        <v>8419</v>
      </c>
      <c r="H616" t="s">
        <v>159</v>
      </c>
      <c r="I616" s="1">
        <v>45734</v>
      </c>
      <c r="K616">
        <v>53460</v>
      </c>
      <c r="L616" t="s">
        <v>6803</v>
      </c>
    </row>
    <row r="617" spans="1:12" x14ac:dyDescent="0.35">
      <c r="A617" t="s">
        <v>131</v>
      </c>
      <c r="B617" s="1">
        <v>45734</v>
      </c>
      <c r="C617" t="s">
        <v>244</v>
      </c>
      <c r="D617" t="s">
        <v>244</v>
      </c>
      <c r="F617" t="s">
        <v>8419</v>
      </c>
      <c r="H617" t="s">
        <v>159</v>
      </c>
      <c r="I617" s="1">
        <v>45734</v>
      </c>
      <c r="K617">
        <v>53460</v>
      </c>
      <c r="L617" t="s">
        <v>6803</v>
      </c>
    </row>
    <row r="618" spans="1:12" x14ac:dyDescent="0.35">
      <c r="A618" t="s">
        <v>131</v>
      </c>
      <c r="B618" s="1">
        <v>45734</v>
      </c>
      <c r="C618" t="s">
        <v>244</v>
      </c>
      <c r="D618" t="s">
        <v>244</v>
      </c>
      <c r="F618" t="s">
        <v>8419</v>
      </c>
      <c r="H618" t="s">
        <v>239</v>
      </c>
      <c r="I618" s="1">
        <v>45734</v>
      </c>
      <c r="K618">
        <v>-53460</v>
      </c>
      <c r="L618" t="s">
        <v>6803</v>
      </c>
    </row>
    <row r="619" spans="1:12" x14ac:dyDescent="0.35">
      <c r="A619" t="s">
        <v>131</v>
      </c>
      <c r="B619" s="1">
        <v>45734</v>
      </c>
      <c r="C619" t="s">
        <v>244</v>
      </c>
      <c r="D619" t="s">
        <v>244</v>
      </c>
      <c r="F619" t="s">
        <v>7701</v>
      </c>
      <c r="H619" t="s">
        <v>159</v>
      </c>
      <c r="I619" s="1">
        <v>45734</v>
      </c>
      <c r="K619">
        <v>59000</v>
      </c>
      <c r="L619" t="s">
        <v>351</v>
      </c>
    </row>
    <row r="620" spans="1:12" x14ac:dyDescent="0.35">
      <c r="A620" t="s">
        <v>131</v>
      </c>
      <c r="B620" s="1">
        <v>45734</v>
      </c>
      <c r="C620" t="s">
        <v>244</v>
      </c>
      <c r="D620" t="s">
        <v>244</v>
      </c>
      <c r="F620" t="s">
        <v>7701</v>
      </c>
      <c r="H620" t="s">
        <v>159</v>
      </c>
      <c r="I620" s="1">
        <v>45734</v>
      </c>
      <c r="K620">
        <v>59000</v>
      </c>
      <c r="L620" t="s">
        <v>351</v>
      </c>
    </row>
    <row r="621" spans="1:12" x14ac:dyDescent="0.35">
      <c r="A621" t="s">
        <v>131</v>
      </c>
      <c r="B621" s="1">
        <v>45734</v>
      </c>
      <c r="C621" t="s">
        <v>244</v>
      </c>
      <c r="D621" t="s">
        <v>244</v>
      </c>
      <c r="F621" t="s">
        <v>7701</v>
      </c>
      <c r="H621" t="s">
        <v>239</v>
      </c>
      <c r="I621" s="1">
        <v>45734</v>
      </c>
      <c r="K621">
        <v>-59000</v>
      </c>
      <c r="L621" t="s">
        <v>351</v>
      </c>
    </row>
    <row r="622" spans="1:12" x14ac:dyDescent="0.35">
      <c r="A622" t="s">
        <v>131</v>
      </c>
      <c r="B622" s="1">
        <v>45734</v>
      </c>
      <c r="C622" t="s">
        <v>244</v>
      </c>
      <c r="D622" t="s">
        <v>244</v>
      </c>
      <c r="F622" t="s">
        <v>8423</v>
      </c>
      <c r="H622" t="s">
        <v>159</v>
      </c>
      <c r="I622" s="1">
        <v>45734</v>
      </c>
      <c r="K622">
        <v>297000</v>
      </c>
      <c r="L622" t="s">
        <v>349</v>
      </c>
    </row>
    <row r="623" spans="1:12" x14ac:dyDescent="0.35">
      <c r="A623" t="s">
        <v>131</v>
      </c>
      <c r="B623" s="1">
        <v>45734</v>
      </c>
      <c r="C623" t="s">
        <v>244</v>
      </c>
      <c r="D623" t="s">
        <v>244</v>
      </c>
      <c r="F623" t="s">
        <v>8423</v>
      </c>
      <c r="H623" t="s">
        <v>159</v>
      </c>
      <c r="I623" s="1">
        <v>45734</v>
      </c>
      <c r="K623">
        <v>297000</v>
      </c>
      <c r="L623" t="s">
        <v>349</v>
      </c>
    </row>
    <row r="624" spans="1:12" x14ac:dyDescent="0.35">
      <c r="A624" t="s">
        <v>131</v>
      </c>
      <c r="B624" s="1">
        <v>45734</v>
      </c>
      <c r="C624" t="s">
        <v>244</v>
      </c>
      <c r="D624" t="s">
        <v>244</v>
      </c>
      <c r="F624" t="s">
        <v>8423</v>
      </c>
      <c r="H624" t="s">
        <v>239</v>
      </c>
      <c r="I624" s="1">
        <v>45734</v>
      </c>
      <c r="K624">
        <v>-297000</v>
      </c>
      <c r="L624" t="s">
        <v>349</v>
      </c>
    </row>
    <row r="625" spans="1:12" x14ac:dyDescent="0.35">
      <c r="A625" t="s">
        <v>131</v>
      </c>
      <c r="B625" s="1">
        <v>45734</v>
      </c>
      <c r="C625" t="s">
        <v>245</v>
      </c>
      <c r="D625" t="s">
        <v>245</v>
      </c>
      <c r="F625" t="s">
        <v>7831</v>
      </c>
      <c r="G625" t="s">
        <v>7586</v>
      </c>
      <c r="H625" t="s">
        <v>195</v>
      </c>
      <c r="I625" s="1">
        <v>45734</v>
      </c>
      <c r="J625">
        <v>526280</v>
      </c>
      <c r="L625" t="s">
        <v>6803</v>
      </c>
    </row>
    <row r="626" spans="1:12" x14ac:dyDescent="0.35">
      <c r="A626" t="s">
        <v>131</v>
      </c>
      <c r="B626" s="1">
        <v>45734</v>
      </c>
      <c r="C626" t="s">
        <v>245</v>
      </c>
      <c r="D626" t="s">
        <v>245</v>
      </c>
      <c r="F626" t="s">
        <v>7831</v>
      </c>
      <c r="G626" t="s">
        <v>7586</v>
      </c>
      <c r="H626" t="s">
        <v>195</v>
      </c>
      <c r="I626" s="1">
        <v>45734</v>
      </c>
      <c r="J626">
        <v>526280</v>
      </c>
      <c r="L626" t="s">
        <v>6803</v>
      </c>
    </row>
    <row r="627" spans="1:12" x14ac:dyDescent="0.35">
      <c r="A627" t="s">
        <v>131</v>
      </c>
      <c r="B627" s="1">
        <v>45734</v>
      </c>
      <c r="C627" t="s">
        <v>245</v>
      </c>
      <c r="D627" t="s">
        <v>245</v>
      </c>
      <c r="F627" t="s">
        <v>7831</v>
      </c>
      <c r="G627" t="s">
        <v>7586</v>
      </c>
      <c r="H627" t="s">
        <v>246</v>
      </c>
      <c r="I627" s="1">
        <v>45734</v>
      </c>
      <c r="J627">
        <v>-526280</v>
      </c>
      <c r="L627" t="s">
        <v>6803</v>
      </c>
    </row>
    <row r="628" spans="1:12" x14ac:dyDescent="0.35">
      <c r="A628" t="s">
        <v>131</v>
      </c>
      <c r="B628" s="1">
        <v>45734</v>
      </c>
      <c r="C628" t="s">
        <v>245</v>
      </c>
      <c r="D628" t="s">
        <v>245</v>
      </c>
      <c r="F628" t="s">
        <v>8419</v>
      </c>
      <c r="H628" t="s">
        <v>195</v>
      </c>
      <c r="I628" s="1">
        <v>45734</v>
      </c>
      <c r="K628">
        <v>71280</v>
      </c>
      <c r="L628" t="s">
        <v>6803</v>
      </c>
    </row>
    <row r="629" spans="1:12" x14ac:dyDescent="0.35">
      <c r="A629" t="s">
        <v>131</v>
      </c>
      <c r="B629" s="1">
        <v>45734</v>
      </c>
      <c r="C629" t="s">
        <v>245</v>
      </c>
      <c r="D629" t="s">
        <v>245</v>
      </c>
      <c r="F629" t="s">
        <v>8419</v>
      </c>
      <c r="H629" t="s">
        <v>195</v>
      </c>
      <c r="I629" s="1">
        <v>45734</v>
      </c>
      <c r="K629">
        <v>71280</v>
      </c>
      <c r="L629" t="s">
        <v>6803</v>
      </c>
    </row>
    <row r="630" spans="1:12" x14ac:dyDescent="0.35">
      <c r="A630" t="s">
        <v>131</v>
      </c>
      <c r="B630" s="1">
        <v>45734</v>
      </c>
      <c r="C630" t="s">
        <v>245</v>
      </c>
      <c r="D630" t="s">
        <v>245</v>
      </c>
      <c r="F630" t="s">
        <v>8419</v>
      </c>
      <c r="H630" t="s">
        <v>246</v>
      </c>
      <c r="I630" s="1">
        <v>45734</v>
      </c>
      <c r="K630">
        <v>-71280</v>
      </c>
      <c r="L630" t="s">
        <v>6803</v>
      </c>
    </row>
    <row r="631" spans="1:12" x14ac:dyDescent="0.35">
      <c r="A631" t="s">
        <v>131</v>
      </c>
      <c r="B631" s="1">
        <v>45734</v>
      </c>
      <c r="C631" t="s">
        <v>245</v>
      </c>
      <c r="D631" t="s">
        <v>245</v>
      </c>
      <c r="F631" t="s">
        <v>7701</v>
      </c>
      <c r="H631" t="s">
        <v>195</v>
      </c>
      <c r="I631" s="1">
        <v>45734</v>
      </c>
      <c r="K631">
        <v>59000</v>
      </c>
      <c r="L631" t="s">
        <v>351</v>
      </c>
    </row>
    <row r="632" spans="1:12" x14ac:dyDescent="0.35">
      <c r="A632" t="s">
        <v>131</v>
      </c>
      <c r="B632" s="1">
        <v>45734</v>
      </c>
      <c r="C632" t="s">
        <v>245</v>
      </c>
      <c r="D632" t="s">
        <v>245</v>
      </c>
      <c r="F632" t="s">
        <v>7701</v>
      </c>
      <c r="H632" t="s">
        <v>195</v>
      </c>
      <c r="I632" s="1">
        <v>45734</v>
      </c>
      <c r="K632">
        <v>59000</v>
      </c>
      <c r="L632" t="s">
        <v>351</v>
      </c>
    </row>
    <row r="633" spans="1:12" x14ac:dyDescent="0.35">
      <c r="A633" t="s">
        <v>131</v>
      </c>
      <c r="B633" s="1">
        <v>45734</v>
      </c>
      <c r="C633" t="s">
        <v>245</v>
      </c>
      <c r="D633" t="s">
        <v>245</v>
      </c>
      <c r="F633" t="s">
        <v>7701</v>
      </c>
      <c r="H633" t="s">
        <v>246</v>
      </c>
      <c r="I633" s="1">
        <v>45734</v>
      </c>
      <c r="K633">
        <v>-59000</v>
      </c>
      <c r="L633" t="s">
        <v>351</v>
      </c>
    </row>
    <row r="634" spans="1:12" x14ac:dyDescent="0.35">
      <c r="A634" t="s">
        <v>131</v>
      </c>
      <c r="B634" s="1">
        <v>45734</v>
      </c>
      <c r="C634" t="s">
        <v>245</v>
      </c>
      <c r="D634" t="s">
        <v>245</v>
      </c>
      <c r="F634" t="s">
        <v>8423</v>
      </c>
      <c r="H634" t="s">
        <v>195</v>
      </c>
      <c r="I634" s="1">
        <v>45734</v>
      </c>
      <c r="K634">
        <v>198000</v>
      </c>
      <c r="L634" t="s">
        <v>349</v>
      </c>
    </row>
    <row r="635" spans="1:12" x14ac:dyDescent="0.35">
      <c r="A635" t="s">
        <v>131</v>
      </c>
      <c r="B635" s="1">
        <v>45734</v>
      </c>
      <c r="C635" t="s">
        <v>245</v>
      </c>
      <c r="D635" t="s">
        <v>245</v>
      </c>
      <c r="F635" t="s">
        <v>8423</v>
      </c>
      <c r="H635" t="s">
        <v>195</v>
      </c>
      <c r="I635" s="1">
        <v>45734</v>
      </c>
      <c r="K635">
        <v>198000</v>
      </c>
      <c r="L635" t="s">
        <v>349</v>
      </c>
    </row>
    <row r="636" spans="1:12" x14ac:dyDescent="0.35">
      <c r="A636" t="s">
        <v>131</v>
      </c>
      <c r="B636" s="1">
        <v>45734</v>
      </c>
      <c r="C636" t="s">
        <v>245</v>
      </c>
      <c r="D636" t="s">
        <v>245</v>
      </c>
      <c r="F636" t="s">
        <v>8423</v>
      </c>
      <c r="H636" t="s">
        <v>246</v>
      </c>
      <c r="I636" s="1">
        <v>45734</v>
      </c>
      <c r="K636">
        <v>-198000</v>
      </c>
      <c r="L636" t="s">
        <v>349</v>
      </c>
    </row>
    <row r="637" spans="1:12" x14ac:dyDescent="0.35">
      <c r="A637" t="s">
        <v>131</v>
      </c>
      <c r="B637" s="1">
        <v>45734</v>
      </c>
      <c r="C637" t="s">
        <v>245</v>
      </c>
      <c r="D637" t="s">
        <v>245</v>
      </c>
      <c r="F637" t="s">
        <v>8428</v>
      </c>
      <c r="H637" t="s">
        <v>195</v>
      </c>
      <c r="I637" s="1">
        <v>45734</v>
      </c>
      <c r="K637">
        <v>198000</v>
      </c>
      <c r="L637" t="s">
        <v>349</v>
      </c>
    </row>
    <row r="638" spans="1:12" x14ac:dyDescent="0.35">
      <c r="A638" t="s">
        <v>131</v>
      </c>
      <c r="B638" s="1">
        <v>45734</v>
      </c>
      <c r="C638" t="s">
        <v>245</v>
      </c>
      <c r="D638" t="s">
        <v>245</v>
      </c>
      <c r="F638" t="s">
        <v>8428</v>
      </c>
      <c r="H638" t="s">
        <v>195</v>
      </c>
      <c r="I638" s="1">
        <v>45734</v>
      </c>
      <c r="K638">
        <v>198000</v>
      </c>
      <c r="L638" t="s">
        <v>349</v>
      </c>
    </row>
    <row r="639" spans="1:12" x14ac:dyDescent="0.35">
      <c r="A639" t="s">
        <v>131</v>
      </c>
      <c r="B639" s="1">
        <v>45734</v>
      </c>
      <c r="C639" t="s">
        <v>245</v>
      </c>
      <c r="D639" t="s">
        <v>245</v>
      </c>
      <c r="F639" t="s">
        <v>8428</v>
      </c>
      <c r="H639" t="s">
        <v>246</v>
      </c>
      <c r="I639" s="1">
        <v>45734</v>
      </c>
      <c r="K639">
        <v>-198000</v>
      </c>
      <c r="L639" t="s">
        <v>349</v>
      </c>
    </row>
    <row r="640" spans="1:12" x14ac:dyDescent="0.35">
      <c r="A640" t="s">
        <v>131</v>
      </c>
      <c r="B640" s="1">
        <v>45734</v>
      </c>
      <c r="C640" t="s">
        <v>247</v>
      </c>
      <c r="D640" t="s">
        <v>247</v>
      </c>
      <c r="F640" t="s">
        <v>7831</v>
      </c>
      <c r="G640" t="s">
        <v>7586</v>
      </c>
      <c r="H640" t="s">
        <v>148</v>
      </c>
      <c r="I640" s="1">
        <v>45734</v>
      </c>
      <c r="J640">
        <v>967600</v>
      </c>
      <c r="L640" t="s">
        <v>6803</v>
      </c>
    </row>
    <row r="641" spans="1:12" x14ac:dyDescent="0.35">
      <c r="A641" t="s">
        <v>131</v>
      </c>
      <c r="B641" s="1">
        <v>45734</v>
      </c>
      <c r="C641" t="s">
        <v>247</v>
      </c>
      <c r="D641" t="s">
        <v>247</v>
      </c>
      <c r="F641" t="s">
        <v>7831</v>
      </c>
      <c r="G641" t="s">
        <v>7586</v>
      </c>
      <c r="H641" t="s">
        <v>148</v>
      </c>
      <c r="I641" s="1">
        <v>45734</v>
      </c>
      <c r="J641">
        <v>967600</v>
      </c>
      <c r="L641" t="s">
        <v>6803</v>
      </c>
    </row>
    <row r="642" spans="1:12" x14ac:dyDescent="0.35">
      <c r="A642" t="s">
        <v>131</v>
      </c>
      <c r="B642" s="1">
        <v>45734</v>
      </c>
      <c r="C642" t="s">
        <v>247</v>
      </c>
      <c r="D642" t="s">
        <v>247</v>
      </c>
      <c r="F642" t="s">
        <v>7831</v>
      </c>
      <c r="G642" t="s">
        <v>7586</v>
      </c>
      <c r="H642" t="s">
        <v>248</v>
      </c>
      <c r="I642" s="1">
        <v>45734</v>
      </c>
      <c r="J642">
        <v>-967600</v>
      </c>
      <c r="L642" t="s">
        <v>6803</v>
      </c>
    </row>
    <row r="643" spans="1:12" x14ac:dyDescent="0.35">
      <c r="A643" t="s">
        <v>131</v>
      </c>
      <c r="B643" s="1">
        <v>45734</v>
      </c>
      <c r="C643" t="s">
        <v>247</v>
      </c>
      <c r="D643" t="s">
        <v>247</v>
      </c>
      <c r="F643" t="s">
        <v>8419</v>
      </c>
      <c r="H643" t="s">
        <v>148</v>
      </c>
      <c r="I643" s="1">
        <v>45734</v>
      </c>
      <c r="K643">
        <v>129600</v>
      </c>
      <c r="L643" t="s">
        <v>6803</v>
      </c>
    </row>
    <row r="644" spans="1:12" x14ac:dyDescent="0.35">
      <c r="A644" t="s">
        <v>131</v>
      </c>
      <c r="B644" s="1">
        <v>45734</v>
      </c>
      <c r="C644" t="s">
        <v>247</v>
      </c>
      <c r="D644" t="s">
        <v>247</v>
      </c>
      <c r="F644" t="s">
        <v>8419</v>
      </c>
      <c r="H644" t="s">
        <v>148</v>
      </c>
      <c r="I644" s="1">
        <v>45734</v>
      </c>
      <c r="K644">
        <v>129600</v>
      </c>
      <c r="L644" t="s">
        <v>6803</v>
      </c>
    </row>
    <row r="645" spans="1:12" x14ac:dyDescent="0.35">
      <c r="A645" t="s">
        <v>131</v>
      </c>
      <c r="B645" s="1">
        <v>45734</v>
      </c>
      <c r="C645" t="s">
        <v>247</v>
      </c>
      <c r="D645" t="s">
        <v>247</v>
      </c>
      <c r="F645" t="s">
        <v>8419</v>
      </c>
      <c r="H645" t="s">
        <v>248</v>
      </c>
      <c r="I645" s="1">
        <v>45734</v>
      </c>
      <c r="K645">
        <v>-129600</v>
      </c>
      <c r="L645" t="s">
        <v>6803</v>
      </c>
    </row>
    <row r="646" spans="1:12" x14ac:dyDescent="0.35">
      <c r="A646" t="s">
        <v>131</v>
      </c>
      <c r="B646" s="1">
        <v>45734</v>
      </c>
      <c r="C646" t="s">
        <v>247</v>
      </c>
      <c r="D646" t="s">
        <v>247</v>
      </c>
      <c r="F646" t="s">
        <v>7701</v>
      </c>
      <c r="H646" t="s">
        <v>148</v>
      </c>
      <c r="I646" s="1">
        <v>45734</v>
      </c>
      <c r="K646">
        <v>118000</v>
      </c>
      <c r="L646" t="s">
        <v>351</v>
      </c>
    </row>
    <row r="647" spans="1:12" x14ac:dyDescent="0.35">
      <c r="A647" t="s">
        <v>131</v>
      </c>
      <c r="B647" s="1">
        <v>45734</v>
      </c>
      <c r="C647" t="s">
        <v>247</v>
      </c>
      <c r="D647" t="s">
        <v>247</v>
      </c>
      <c r="F647" t="s">
        <v>7701</v>
      </c>
      <c r="H647" t="s">
        <v>148</v>
      </c>
      <c r="I647" s="1">
        <v>45734</v>
      </c>
      <c r="K647">
        <v>118000</v>
      </c>
      <c r="L647" t="s">
        <v>351</v>
      </c>
    </row>
    <row r="648" spans="1:12" x14ac:dyDescent="0.35">
      <c r="A648" t="s">
        <v>131</v>
      </c>
      <c r="B648" s="1">
        <v>45734</v>
      </c>
      <c r="C648" t="s">
        <v>247</v>
      </c>
      <c r="D648" t="s">
        <v>247</v>
      </c>
      <c r="F648" t="s">
        <v>7701</v>
      </c>
      <c r="H648" t="s">
        <v>248</v>
      </c>
      <c r="I648" s="1">
        <v>45734</v>
      </c>
      <c r="K648">
        <v>-118000</v>
      </c>
      <c r="L648" t="s">
        <v>351</v>
      </c>
    </row>
    <row r="649" spans="1:12" x14ac:dyDescent="0.35">
      <c r="A649" t="s">
        <v>131</v>
      </c>
      <c r="B649" s="1">
        <v>45734</v>
      </c>
      <c r="C649" t="s">
        <v>247</v>
      </c>
      <c r="D649" t="s">
        <v>247</v>
      </c>
      <c r="F649" t="s">
        <v>8423</v>
      </c>
      <c r="H649" t="s">
        <v>148</v>
      </c>
      <c r="I649" s="1">
        <v>45734</v>
      </c>
      <c r="K649">
        <v>720000</v>
      </c>
      <c r="L649" t="s">
        <v>349</v>
      </c>
    </row>
    <row r="650" spans="1:12" x14ac:dyDescent="0.35">
      <c r="A650" t="s">
        <v>131</v>
      </c>
      <c r="B650" s="1">
        <v>45734</v>
      </c>
      <c r="C650" t="s">
        <v>247</v>
      </c>
      <c r="D650" t="s">
        <v>247</v>
      </c>
      <c r="F650" t="s">
        <v>8423</v>
      </c>
      <c r="H650" t="s">
        <v>148</v>
      </c>
      <c r="I650" s="1">
        <v>45734</v>
      </c>
      <c r="K650">
        <v>720000</v>
      </c>
      <c r="L650" t="s">
        <v>349</v>
      </c>
    </row>
    <row r="651" spans="1:12" x14ac:dyDescent="0.35">
      <c r="A651" t="s">
        <v>131</v>
      </c>
      <c r="B651" s="1">
        <v>45734</v>
      </c>
      <c r="C651" t="s">
        <v>247</v>
      </c>
      <c r="D651" t="s">
        <v>247</v>
      </c>
      <c r="F651" t="s">
        <v>8423</v>
      </c>
      <c r="H651" t="s">
        <v>248</v>
      </c>
      <c r="I651" s="1">
        <v>45734</v>
      </c>
      <c r="K651">
        <v>-720000</v>
      </c>
      <c r="L651" t="s">
        <v>349</v>
      </c>
    </row>
    <row r="652" spans="1:12" x14ac:dyDescent="0.35">
      <c r="A652" t="s">
        <v>131</v>
      </c>
      <c r="B652" s="1">
        <v>45734</v>
      </c>
      <c r="C652" t="s">
        <v>249</v>
      </c>
      <c r="D652" t="s">
        <v>249</v>
      </c>
      <c r="F652" t="s">
        <v>7831</v>
      </c>
      <c r="G652" t="s">
        <v>7586</v>
      </c>
      <c r="H652" t="s">
        <v>148</v>
      </c>
      <c r="I652" s="1">
        <v>45734</v>
      </c>
      <c r="J652">
        <v>241900</v>
      </c>
      <c r="L652" t="s">
        <v>6803</v>
      </c>
    </row>
    <row r="653" spans="1:12" x14ac:dyDescent="0.35">
      <c r="A653" t="s">
        <v>131</v>
      </c>
      <c r="B653" s="1">
        <v>45734</v>
      </c>
      <c r="C653" t="s">
        <v>249</v>
      </c>
      <c r="D653" t="s">
        <v>249</v>
      </c>
      <c r="F653" t="s">
        <v>7831</v>
      </c>
      <c r="G653" t="s">
        <v>7586</v>
      </c>
      <c r="H653" t="s">
        <v>148</v>
      </c>
      <c r="I653" s="1">
        <v>45734</v>
      </c>
      <c r="J653">
        <v>241900</v>
      </c>
      <c r="L653" t="s">
        <v>6803</v>
      </c>
    </row>
    <row r="654" spans="1:12" x14ac:dyDescent="0.35">
      <c r="A654" t="s">
        <v>131</v>
      </c>
      <c r="B654" s="1">
        <v>45734</v>
      </c>
      <c r="C654" t="s">
        <v>249</v>
      </c>
      <c r="D654" t="s">
        <v>249</v>
      </c>
      <c r="F654" t="s">
        <v>7831</v>
      </c>
      <c r="G654" t="s">
        <v>7586</v>
      </c>
      <c r="H654" t="s">
        <v>248</v>
      </c>
      <c r="I654" s="1">
        <v>45734</v>
      </c>
      <c r="J654">
        <v>-241900</v>
      </c>
      <c r="L654" t="s">
        <v>6803</v>
      </c>
    </row>
    <row r="655" spans="1:12" x14ac:dyDescent="0.35">
      <c r="A655" t="s">
        <v>131</v>
      </c>
      <c r="B655" s="1">
        <v>45734</v>
      </c>
      <c r="C655" t="s">
        <v>249</v>
      </c>
      <c r="D655" t="s">
        <v>249</v>
      </c>
      <c r="F655" t="s">
        <v>8419</v>
      </c>
      <c r="H655" t="s">
        <v>148</v>
      </c>
      <c r="I655" s="1">
        <v>45734</v>
      </c>
      <c r="K655">
        <v>32400</v>
      </c>
      <c r="L655" t="s">
        <v>6803</v>
      </c>
    </row>
    <row r="656" spans="1:12" x14ac:dyDescent="0.35">
      <c r="A656" t="s">
        <v>131</v>
      </c>
      <c r="B656" s="1">
        <v>45734</v>
      </c>
      <c r="C656" t="s">
        <v>249</v>
      </c>
      <c r="D656" t="s">
        <v>249</v>
      </c>
      <c r="F656" t="s">
        <v>8419</v>
      </c>
      <c r="H656" t="s">
        <v>148</v>
      </c>
      <c r="I656" s="1">
        <v>45734</v>
      </c>
      <c r="K656">
        <v>32400</v>
      </c>
      <c r="L656" t="s">
        <v>6803</v>
      </c>
    </row>
    <row r="657" spans="1:12" x14ac:dyDescent="0.35">
      <c r="A657" t="s">
        <v>131</v>
      </c>
      <c r="B657" s="1">
        <v>45734</v>
      </c>
      <c r="C657" t="s">
        <v>249</v>
      </c>
      <c r="D657" t="s">
        <v>249</v>
      </c>
      <c r="F657" t="s">
        <v>8419</v>
      </c>
      <c r="H657" t="s">
        <v>248</v>
      </c>
      <c r="I657" s="1">
        <v>45734</v>
      </c>
      <c r="K657">
        <v>-32400</v>
      </c>
      <c r="L657" t="s">
        <v>6803</v>
      </c>
    </row>
    <row r="658" spans="1:12" x14ac:dyDescent="0.35">
      <c r="A658" t="s">
        <v>131</v>
      </c>
      <c r="B658" s="1">
        <v>45734</v>
      </c>
      <c r="C658" t="s">
        <v>249</v>
      </c>
      <c r="D658" t="s">
        <v>249</v>
      </c>
      <c r="F658" t="s">
        <v>7701</v>
      </c>
      <c r="H658" t="s">
        <v>148</v>
      </c>
      <c r="I658" s="1">
        <v>45734</v>
      </c>
      <c r="K658">
        <v>29500</v>
      </c>
      <c r="L658" t="s">
        <v>351</v>
      </c>
    </row>
    <row r="659" spans="1:12" x14ac:dyDescent="0.35">
      <c r="A659" t="s">
        <v>131</v>
      </c>
      <c r="B659" s="1">
        <v>45734</v>
      </c>
      <c r="C659" t="s">
        <v>249</v>
      </c>
      <c r="D659" t="s">
        <v>249</v>
      </c>
      <c r="F659" t="s">
        <v>7701</v>
      </c>
      <c r="H659" t="s">
        <v>148</v>
      </c>
      <c r="I659" s="1">
        <v>45734</v>
      </c>
      <c r="K659">
        <v>29500</v>
      </c>
      <c r="L659" t="s">
        <v>351</v>
      </c>
    </row>
    <row r="660" spans="1:12" x14ac:dyDescent="0.35">
      <c r="A660" t="s">
        <v>131</v>
      </c>
      <c r="B660" s="1">
        <v>45734</v>
      </c>
      <c r="C660" t="s">
        <v>249</v>
      </c>
      <c r="D660" t="s">
        <v>249</v>
      </c>
      <c r="F660" t="s">
        <v>7701</v>
      </c>
      <c r="H660" t="s">
        <v>248</v>
      </c>
      <c r="I660" s="1">
        <v>45734</v>
      </c>
      <c r="K660">
        <v>-29500</v>
      </c>
      <c r="L660" t="s">
        <v>351</v>
      </c>
    </row>
    <row r="661" spans="1:12" x14ac:dyDescent="0.35">
      <c r="A661" t="s">
        <v>131</v>
      </c>
      <c r="B661" s="1">
        <v>45734</v>
      </c>
      <c r="C661" t="s">
        <v>249</v>
      </c>
      <c r="D661" t="s">
        <v>249</v>
      </c>
      <c r="F661" t="s">
        <v>8423</v>
      </c>
      <c r="H661" t="s">
        <v>148</v>
      </c>
      <c r="I661" s="1">
        <v>45734</v>
      </c>
      <c r="K661">
        <v>180000</v>
      </c>
      <c r="L661" t="s">
        <v>349</v>
      </c>
    </row>
    <row r="662" spans="1:12" x14ac:dyDescent="0.35">
      <c r="A662" t="s">
        <v>131</v>
      </c>
      <c r="B662" s="1">
        <v>45734</v>
      </c>
      <c r="C662" t="s">
        <v>249</v>
      </c>
      <c r="D662" t="s">
        <v>249</v>
      </c>
      <c r="F662" t="s">
        <v>8423</v>
      </c>
      <c r="H662" t="s">
        <v>148</v>
      </c>
      <c r="I662" s="1">
        <v>45734</v>
      </c>
      <c r="K662">
        <v>180000</v>
      </c>
      <c r="L662" t="s">
        <v>349</v>
      </c>
    </row>
    <row r="663" spans="1:12" x14ac:dyDescent="0.35">
      <c r="A663" t="s">
        <v>131</v>
      </c>
      <c r="B663" s="1">
        <v>45734</v>
      </c>
      <c r="C663" t="s">
        <v>249</v>
      </c>
      <c r="D663" t="s">
        <v>249</v>
      </c>
      <c r="F663" t="s">
        <v>8423</v>
      </c>
      <c r="H663" t="s">
        <v>248</v>
      </c>
      <c r="I663" s="1">
        <v>45734</v>
      </c>
      <c r="K663">
        <v>-180000</v>
      </c>
      <c r="L663" t="s">
        <v>349</v>
      </c>
    </row>
    <row r="664" spans="1:12" x14ac:dyDescent="0.35">
      <c r="A664" t="s">
        <v>131</v>
      </c>
      <c r="B664" s="1">
        <v>45734</v>
      </c>
      <c r="C664" t="s">
        <v>250</v>
      </c>
      <c r="D664" t="s">
        <v>250</v>
      </c>
      <c r="F664" t="s">
        <v>7831</v>
      </c>
      <c r="G664" t="s">
        <v>7586</v>
      </c>
      <c r="H664" t="s">
        <v>148</v>
      </c>
      <c r="I664" s="1">
        <v>45734</v>
      </c>
      <c r="J664">
        <v>441143</v>
      </c>
      <c r="L664" t="s">
        <v>6803</v>
      </c>
    </row>
    <row r="665" spans="1:12" x14ac:dyDescent="0.35">
      <c r="A665" t="s">
        <v>131</v>
      </c>
      <c r="B665" s="1">
        <v>45734</v>
      </c>
      <c r="C665" t="s">
        <v>250</v>
      </c>
      <c r="D665" t="s">
        <v>250</v>
      </c>
      <c r="F665" t="s">
        <v>7831</v>
      </c>
      <c r="G665" t="s">
        <v>7586</v>
      </c>
      <c r="H665" t="s">
        <v>148</v>
      </c>
      <c r="I665" s="1">
        <v>45734</v>
      </c>
      <c r="J665">
        <v>441143</v>
      </c>
      <c r="L665" t="s">
        <v>6803</v>
      </c>
    </row>
    <row r="666" spans="1:12" x14ac:dyDescent="0.35">
      <c r="A666" t="s">
        <v>131</v>
      </c>
      <c r="B666" s="1">
        <v>45734</v>
      </c>
      <c r="C666" t="s">
        <v>250</v>
      </c>
      <c r="D666" t="s">
        <v>250</v>
      </c>
      <c r="F666" t="s">
        <v>7831</v>
      </c>
      <c r="G666" t="s">
        <v>7586</v>
      </c>
      <c r="H666" t="s">
        <v>248</v>
      </c>
      <c r="I666" s="1">
        <v>45734</v>
      </c>
      <c r="J666">
        <v>-441143</v>
      </c>
      <c r="L666" t="s">
        <v>6803</v>
      </c>
    </row>
    <row r="667" spans="1:12" x14ac:dyDescent="0.35">
      <c r="A667" t="s">
        <v>131</v>
      </c>
      <c r="B667" s="1">
        <v>45734</v>
      </c>
      <c r="C667" t="s">
        <v>250</v>
      </c>
      <c r="D667" t="s">
        <v>250</v>
      </c>
      <c r="F667" t="s">
        <v>8419</v>
      </c>
      <c r="H667" t="s">
        <v>148</v>
      </c>
      <c r="I667" s="1">
        <v>45734</v>
      </c>
      <c r="K667">
        <v>58293</v>
      </c>
      <c r="L667" t="s">
        <v>6803</v>
      </c>
    </row>
    <row r="668" spans="1:12" x14ac:dyDescent="0.35">
      <c r="A668" t="s">
        <v>131</v>
      </c>
      <c r="B668" s="1">
        <v>45734</v>
      </c>
      <c r="C668" t="s">
        <v>250</v>
      </c>
      <c r="D668" t="s">
        <v>250</v>
      </c>
      <c r="F668" t="s">
        <v>8419</v>
      </c>
      <c r="H668" t="s">
        <v>148</v>
      </c>
      <c r="I668" s="1">
        <v>45734</v>
      </c>
      <c r="K668">
        <v>58293</v>
      </c>
      <c r="L668" t="s">
        <v>6803</v>
      </c>
    </row>
    <row r="669" spans="1:12" x14ac:dyDescent="0.35">
      <c r="A669" t="s">
        <v>131</v>
      </c>
      <c r="B669" s="1">
        <v>45734</v>
      </c>
      <c r="C669" t="s">
        <v>250</v>
      </c>
      <c r="D669" t="s">
        <v>250</v>
      </c>
      <c r="F669" t="s">
        <v>8419</v>
      </c>
      <c r="H669" t="s">
        <v>248</v>
      </c>
      <c r="I669" s="1">
        <v>45734</v>
      </c>
      <c r="K669">
        <v>-58293</v>
      </c>
      <c r="L669" t="s">
        <v>6803</v>
      </c>
    </row>
    <row r="670" spans="1:12" x14ac:dyDescent="0.35">
      <c r="A670" t="s">
        <v>131</v>
      </c>
      <c r="B670" s="1">
        <v>45734</v>
      </c>
      <c r="C670" t="s">
        <v>250</v>
      </c>
      <c r="D670" t="s">
        <v>250</v>
      </c>
      <c r="F670" t="s">
        <v>7701</v>
      </c>
      <c r="H670" t="s">
        <v>148</v>
      </c>
      <c r="I670" s="1">
        <v>45734</v>
      </c>
      <c r="K670">
        <v>59000</v>
      </c>
      <c r="L670" t="s">
        <v>351</v>
      </c>
    </row>
    <row r="671" spans="1:12" x14ac:dyDescent="0.35">
      <c r="A671" t="s">
        <v>131</v>
      </c>
      <c r="B671" s="1">
        <v>45734</v>
      </c>
      <c r="C671" t="s">
        <v>250</v>
      </c>
      <c r="D671" t="s">
        <v>250</v>
      </c>
      <c r="F671" t="s">
        <v>7701</v>
      </c>
      <c r="H671" t="s">
        <v>148</v>
      </c>
      <c r="I671" s="1">
        <v>45734</v>
      </c>
      <c r="K671">
        <v>59000</v>
      </c>
      <c r="L671" t="s">
        <v>351</v>
      </c>
    </row>
    <row r="672" spans="1:12" x14ac:dyDescent="0.35">
      <c r="A672" t="s">
        <v>131</v>
      </c>
      <c r="B672" s="1">
        <v>45734</v>
      </c>
      <c r="C672" t="s">
        <v>250</v>
      </c>
      <c r="D672" t="s">
        <v>250</v>
      </c>
      <c r="F672" t="s">
        <v>7701</v>
      </c>
      <c r="H672" t="s">
        <v>248</v>
      </c>
      <c r="I672" s="1">
        <v>45734</v>
      </c>
      <c r="K672">
        <v>-59000</v>
      </c>
      <c r="L672" t="s">
        <v>351</v>
      </c>
    </row>
    <row r="673" spans="1:12" x14ac:dyDescent="0.35">
      <c r="A673" t="s">
        <v>131</v>
      </c>
      <c r="B673" s="1">
        <v>45734</v>
      </c>
      <c r="C673" t="s">
        <v>250</v>
      </c>
      <c r="D673" t="s">
        <v>250</v>
      </c>
      <c r="F673" t="s">
        <v>8423</v>
      </c>
      <c r="H673" t="s">
        <v>148</v>
      </c>
      <c r="I673" s="1">
        <v>45734</v>
      </c>
      <c r="K673">
        <v>323850</v>
      </c>
      <c r="L673" t="s">
        <v>349</v>
      </c>
    </row>
    <row r="674" spans="1:12" x14ac:dyDescent="0.35">
      <c r="A674" t="s">
        <v>131</v>
      </c>
      <c r="B674" s="1">
        <v>45734</v>
      </c>
      <c r="C674" t="s">
        <v>250</v>
      </c>
      <c r="D674" t="s">
        <v>250</v>
      </c>
      <c r="F674" t="s">
        <v>8423</v>
      </c>
      <c r="H674" t="s">
        <v>148</v>
      </c>
      <c r="I674" s="1">
        <v>45734</v>
      </c>
      <c r="K674">
        <v>323850</v>
      </c>
      <c r="L674" t="s">
        <v>349</v>
      </c>
    </row>
    <row r="675" spans="1:12" x14ac:dyDescent="0.35">
      <c r="A675" t="s">
        <v>131</v>
      </c>
      <c r="B675" s="1">
        <v>45734</v>
      </c>
      <c r="C675" t="s">
        <v>250</v>
      </c>
      <c r="D675" t="s">
        <v>250</v>
      </c>
      <c r="F675" t="s">
        <v>8423</v>
      </c>
      <c r="H675" t="s">
        <v>248</v>
      </c>
      <c r="I675" s="1">
        <v>45734</v>
      </c>
      <c r="K675">
        <v>-323850</v>
      </c>
      <c r="L675" t="s">
        <v>349</v>
      </c>
    </row>
    <row r="676" spans="1:12" x14ac:dyDescent="0.35">
      <c r="A676" t="s">
        <v>131</v>
      </c>
      <c r="B676" s="1">
        <v>45734</v>
      </c>
      <c r="C676" t="s">
        <v>251</v>
      </c>
      <c r="D676" t="s">
        <v>251</v>
      </c>
      <c r="F676" t="s">
        <v>7831</v>
      </c>
      <c r="G676" t="s">
        <v>9928</v>
      </c>
      <c r="H676" t="s">
        <v>163</v>
      </c>
      <c r="I676" s="1">
        <v>45777</v>
      </c>
      <c r="J676">
        <v>214760</v>
      </c>
      <c r="L676" t="s">
        <v>6803</v>
      </c>
    </row>
    <row r="677" spans="1:12" x14ac:dyDescent="0.35">
      <c r="A677" t="s">
        <v>131</v>
      </c>
      <c r="B677" s="1">
        <v>45734</v>
      </c>
      <c r="C677" t="s">
        <v>251</v>
      </c>
      <c r="D677" t="s">
        <v>251</v>
      </c>
      <c r="F677" t="s">
        <v>7831</v>
      </c>
      <c r="G677" t="s">
        <v>9928</v>
      </c>
      <c r="H677" t="s">
        <v>163</v>
      </c>
      <c r="I677" s="1">
        <v>45777</v>
      </c>
      <c r="J677">
        <v>214760</v>
      </c>
      <c r="L677" t="s">
        <v>6803</v>
      </c>
    </row>
    <row r="678" spans="1:12" x14ac:dyDescent="0.35">
      <c r="A678" t="s">
        <v>131</v>
      </c>
      <c r="B678" s="1">
        <v>45734</v>
      </c>
      <c r="C678" t="s">
        <v>251</v>
      </c>
      <c r="D678" t="s">
        <v>251</v>
      </c>
      <c r="F678" t="s">
        <v>7831</v>
      </c>
      <c r="G678" t="s">
        <v>9928</v>
      </c>
      <c r="H678" t="s">
        <v>252</v>
      </c>
      <c r="I678" s="1">
        <v>45777</v>
      </c>
      <c r="J678">
        <v>-214760</v>
      </c>
      <c r="L678" t="s">
        <v>6803</v>
      </c>
    </row>
    <row r="679" spans="1:12" x14ac:dyDescent="0.35">
      <c r="A679" t="s">
        <v>131</v>
      </c>
      <c r="B679" s="1">
        <v>45734</v>
      </c>
      <c r="C679" t="s">
        <v>251</v>
      </c>
      <c r="D679" t="s">
        <v>251</v>
      </c>
      <c r="F679" t="s">
        <v>8419</v>
      </c>
      <c r="H679" t="s">
        <v>163</v>
      </c>
      <c r="I679" s="1">
        <v>45777</v>
      </c>
      <c r="K679">
        <v>23760</v>
      </c>
      <c r="L679" t="s">
        <v>6803</v>
      </c>
    </row>
    <row r="680" spans="1:12" x14ac:dyDescent="0.35">
      <c r="A680" t="s">
        <v>131</v>
      </c>
      <c r="B680" s="1">
        <v>45734</v>
      </c>
      <c r="C680" t="s">
        <v>251</v>
      </c>
      <c r="D680" t="s">
        <v>251</v>
      </c>
      <c r="F680" t="s">
        <v>8419</v>
      </c>
      <c r="H680" t="s">
        <v>163</v>
      </c>
      <c r="I680" s="1">
        <v>45777</v>
      </c>
      <c r="K680">
        <v>23760</v>
      </c>
      <c r="L680" t="s">
        <v>6803</v>
      </c>
    </row>
    <row r="681" spans="1:12" x14ac:dyDescent="0.35">
      <c r="A681" t="s">
        <v>131</v>
      </c>
      <c r="B681" s="1">
        <v>45734</v>
      </c>
      <c r="C681" t="s">
        <v>251</v>
      </c>
      <c r="D681" t="s">
        <v>251</v>
      </c>
      <c r="F681" t="s">
        <v>8419</v>
      </c>
      <c r="H681" t="s">
        <v>252</v>
      </c>
      <c r="I681" s="1">
        <v>45777</v>
      </c>
      <c r="K681">
        <v>-23760</v>
      </c>
      <c r="L681" t="s">
        <v>6803</v>
      </c>
    </row>
    <row r="682" spans="1:12" x14ac:dyDescent="0.35">
      <c r="A682" t="s">
        <v>131</v>
      </c>
      <c r="B682" s="1">
        <v>45734</v>
      </c>
      <c r="C682" t="s">
        <v>251</v>
      </c>
      <c r="D682" t="s">
        <v>251</v>
      </c>
      <c r="F682" t="s">
        <v>7701</v>
      </c>
      <c r="H682" t="s">
        <v>163</v>
      </c>
      <c r="I682" s="1">
        <v>45777</v>
      </c>
      <c r="K682">
        <v>59000</v>
      </c>
      <c r="L682" t="s">
        <v>351</v>
      </c>
    </row>
    <row r="683" spans="1:12" x14ac:dyDescent="0.35">
      <c r="A683" t="s">
        <v>131</v>
      </c>
      <c r="B683" s="1">
        <v>45734</v>
      </c>
      <c r="C683" t="s">
        <v>251</v>
      </c>
      <c r="D683" t="s">
        <v>251</v>
      </c>
      <c r="F683" t="s">
        <v>7701</v>
      </c>
      <c r="H683" t="s">
        <v>163</v>
      </c>
      <c r="I683" s="1">
        <v>45777</v>
      </c>
      <c r="K683">
        <v>59000</v>
      </c>
      <c r="L683" t="s">
        <v>351</v>
      </c>
    </row>
    <row r="684" spans="1:12" x14ac:dyDescent="0.35">
      <c r="A684" t="s">
        <v>131</v>
      </c>
      <c r="B684" s="1">
        <v>45734</v>
      </c>
      <c r="C684" t="s">
        <v>251</v>
      </c>
      <c r="D684" t="s">
        <v>251</v>
      </c>
      <c r="F684" t="s">
        <v>7701</v>
      </c>
      <c r="H684" t="s">
        <v>252</v>
      </c>
      <c r="I684" s="1">
        <v>45777</v>
      </c>
      <c r="K684">
        <v>-59000</v>
      </c>
      <c r="L684" t="s">
        <v>351</v>
      </c>
    </row>
    <row r="685" spans="1:12" x14ac:dyDescent="0.35">
      <c r="A685" t="s">
        <v>131</v>
      </c>
      <c r="B685" s="1">
        <v>45734</v>
      </c>
      <c r="C685" t="s">
        <v>251</v>
      </c>
      <c r="D685" t="s">
        <v>251</v>
      </c>
      <c r="F685" t="s">
        <v>8423</v>
      </c>
      <c r="H685" t="s">
        <v>163</v>
      </c>
      <c r="I685" s="1">
        <v>45777</v>
      </c>
      <c r="K685">
        <v>132000</v>
      </c>
      <c r="L685" t="s">
        <v>349</v>
      </c>
    </row>
    <row r="686" spans="1:12" x14ac:dyDescent="0.35">
      <c r="A686" t="s">
        <v>131</v>
      </c>
      <c r="B686" s="1">
        <v>45734</v>
      </c>
      <c r="C686" t="s">
        <v>251</v>
      </c>
      <c r="D686" t="s">
        <v>251</v>
      </c>
      <c r="F686" t="s">
        <v>8423</v>
      </c>
      <c r="H686" t="s">
        <v>163</v>
      </c>
      <c r="I686" s="1">
        <v>45777</v>
      </c>
      <c r="K686">
        <v>132000</v>
      </c>
      <c r="L686" t="s">
        <v>349</v>
      </c>
    </row>
    <row r="687" spans="1:12" x14ac:dyDescent="0.35">
      <c r="A687" t="s">
        <v>131</v>
      </c>
      <c r="B687" s="1">
        <v>45734</v>
      </c>
      <c r="C687" t="s">
        <v>251</v>
      </c>
      <c r="D687" t="s">
        <v>251</v>
      </c>
      <c r="F687" t="s">
        <v>8423</v>
      </c>
      <c r="H687" t="s">
        <v>252</v>
      </c>
      <c r="I687" s="1">
        <v>45777</v>
      </c>
      <c r="K687">
        <v>-132000</v>
      </c>
      <c r="L687" t="s">
        <v>349</v>
      </c>
    </row>
    <row r="688" spans="1:12" x14ac:dyDescent="0.35">
      <c r="A688" t="s">
        <v>131</v>
      </c>
      <c r="B688" s="1">
        <v>45734</v>
      </c>
      <c r="C688" t="s">
        <v>253</v>
      </c>
      <c r="D688" t="s">
        <v>253</v>
      </c>
      <c r="F688" t="s">
        <v>7831</v>
      </c>
      <c r="G688" t="s">
        <v>9925</v>
      </c>
      <c r="H688" t="s">
        <v>139</v>
      </c>
      <c r="I688" s="1">
        <v>45765</v>
      </c>
      <c r="J688">
        <v>1125720</v>
      </c>
      <c r="L688" t="s">
        <v>6803</v>
      </c>
    </row>
    <row r="689" spans="1:12" x14ac:dyDescent="0.35">
      <c r="A689" t="s">
        <v>131</v>
      </c>
      <c r="B689" s="1">
        <v>45734</v>
      </c>
      <c r="C689" t="s">
        <v>253</v>
      </c>
      <c r="D689" t="s">
        <v>253</v>
      </c>
      <c r="F689" t="s">
        <v>7831</v>
      </c>
      <c r="G689" t="s">
        <v>9925</v>
      </c>
      <c r="H689" t="s">
        <v>139</v>
      </c>
      <c r="I689" s="1">
        <v>45765</v>
      </c>
      <c r="J689">
        <v>1125720</v>
      </c>
      <c r="L689" t="s">
        <v>6803</v>
      </c>
    </row>
    <row r="690" spans="1:12" x14ac:dyDescent="0.35">
      <c r="A690" t="s">
        <v>131</v>
      </c>
      <c r="B690" s="1">
        <v>45734</v>
      </c>
      <c r="C690" t="s">
        <v>253</v>
      </c>
      <c r="D690" t="s">
        <v>253</v>
      </c>
      <c r="F690" t="s">
        <v>7831</v>
      </c>
      <c r="G690" t="s">
        <v>9925</v>
      </c>
      <c r="H690" t="s">
        <v>254</v>
      </c>
      <c r="I690" s="1">
        <v>45765</v>
      </c>
      <c r="J690">
        <v>-1125720</v>
      </c>
      <c r="L690" t="s">
        <v>6803</v>
      </c>
    </row>
    <row r="691" spans="1:12" x14ac:dyDescent="0.35">
      <c r="A691" t="s">
        <v>131</v>
      </c>
      <c r="B691" s="1">
        <v>45734</v>
      </c>
      <c r="C691" t="s">
        <v>253</v>
      </c>
      <c r="D691" t="s">
        <v>253</v>
      </c>
      <c r="F691" t="s">
        <v>8419</v>
      </c>
      <c r="H691" t="s">
        <v>139</v>
      </c>
      <c r="I691" s="1">
        <v>45765</v>
      </c>
      <c r="K691">
        <v>144720</v>
      </c>
      <c r="L691" t="s">
        <v>6803</v>
      </c>
    </row>
    <row r="692" spans="1:12" x14ac:dyDescent="0.35">
      <c r="A692" t="s">
        <v>131</v>
      </c>
      <c r="B692" s="1">
        <v>45734</v>
      </c>
      <c r="C692" t="s">
        <v>253</v>
      </c>
      <c r="D692" t="s">
        <v>253</v>
      </c>
      <c r="F692" t="s">
        <v>8419</v>
      </c>
      <c r="H692" t="s">
        <v>139</v>
      </c>
      <c r="I692" s="1">
        <v>45765</v>
      </c>
      <c r="K692">
        <v>144720</v>
      </c>
      <c r="L692" t="s">
        <v>6803</v>
      </c>
    </row>
    <row r="693" spans="1:12" x14ac:dyDescent="0.35">
      <c r="A693" t="s">
        <v>131</v>
      </c>
      <c r="B693" s="1">
        <v>45734</v>
      </c>
      <c r="C693" t="s">
        <v>253</v>
      </c>
      <c r="D693" t="s">
        <v>253</v>
      </c>
      <c r="F693" t="s">
        <v>8419</v>
      </c>
      <c r="H693" t="s">
        <v>254</v>
      </c>
      <c r="I693" s="1">
        <v>45765</v>
      </c>
      <c r="K693">
        <v>-144720</v>
      </c>
      <c r="L693" t="s">
        <v>6803</v>
      </c>
    </row>
    <row r="694" spans="1:12" x14ac:dyDescent="0.35">
      <c r="A694" t="s">
        <v>131</v>
      </c>
      <c r="B694" s="1">
        <v>45734</v>
      </c>
      <c r="C694" t="s">
        <v>253</v>
      </c>
      <c r="D694" t="s">
        <v>253</v>
      </c>
      <c r="F694" t="s">
        <v>7701</v>
      </c>
      <c r="H694" t="s">
        <v>139</v>
      </c>
      <c r="I694" s="1">
        <v>45765</v>
      </c>
      <c r="K694">
        <v>177000</v>
      </c>
      <c r="L694" t="s">
        <v>351</v>
      </c>
    </row>
    <row r="695" spans="1:12" x14ac:dyDescent="0.35">
      <c r="A695" t="s">
        <v>131</v>
      </c>
      <c r="B695" s="1">
        <v>45734</v>
      </c>
      <c r="C695" t="s">
        <v>253</v>
      </c>
      <c r="D695" t="s">
        <v>253</v>
      </c>
      <c r="F695" t="s">
        <v>7701</v>
      </c>
      <c r="H695" t="s">
        <v>139</v>
      </c>
      <c r="I695" s="1">
        <v>45765</v>
      </c>
      <c r="K695">
        <v>177000</v>
      </c>
      <c r="L695" t="s">
        <v>351</v>
      </c>
    </row>
    <row r="696" spans="1:12" x14ac:dyDescent="0.35">
      <c r="A696" t="s">
        <v>131</v>
      </c>
      <c r="B696" s="1">
        <v>45734</v>
      </c>
      <c r="C696" t="s">
        <v>253</v>
      </c>
      <c r="D696" t="s">
        <v>253</v>
      </c>
      <c r="F696" t="s">
        <v>7701</v>
      </c>
      <c r="H696" t="s">
        <v>254</v>
      </c>
      <c r="I696" s="1">
        <v>45765</v>
      </c>
      <c r="K696">
        <v>-177000</v>
      </c>
      <c r="L696" t="s">
        <v>351</v>
      </c>
    </row>
    <row r="697" spans="1:12" x14ac:dyDescent="0.35">
      <c r="A697" t="s">
        <v>131</v>
      </c>
      <c r="B697" s="1">
        <v>45734</v>
      </c>
      <c r="C697" t="s">
        <v>253</v>
      </c>
      <c r="D697" t="s">
        <v>253</v>
      </c>
      <c r="F697" t="s">
        <v>8423</v>
      </c>
      <c r="H697" t="s">
        <v>139</v>
      </c>
      <c r="I697" s="1">
        <v>45765</v>
      </c>
      <c r="K697">
        <v>804000</v>
      </c>
      <c r="L697" t="s">
        <v>349</v>
      </c>
    </row>
    <row r="698" spans="1:12" x14ac:dyDescent="0.35">
      <c r="A698" t="s">
        <v>131</v>
      </c>
      <c r="B698" s="1">
        <v>45734</v>
      </c>
      <c r="C698" t="s">
        <v>253</v>
      </c>
      <c r="D698" t="s">
        <v>253</v>
      </c>
      <c r="F698" t="s">
        <v>8423</v>
      </c>
      <c r="H698" t="s">
        <v>139</v>
      </c>
      <c r="I698" s="1">
        <v>45765</v>
      </c>
      <c r="K698">
        <v>804000</v>
      </c>
      <c r="L698" t="s">
        <v>349</v>
      </c>
    </row>
    <row r="699" spans="1:12" x14ac:dyDescent="0.35">
      <c r="A699" t="s">
        <v>131</v>
      </c>
      <c r="B699" s="1">
        <v>45734</v>
      </c>
      <c r="C699" t="s">
        <v>253</v>
      </c>
      <c r="D699" t="s">
        <v>253</v>
      </c>
      <c r="F699" t="s">
        <v>8423</v>
      </c>
      <c r="H699" t="s">
        <v>254</v>
      </c>
      <c r="I699" s="1">
        <v>45765</v>
      </c>
      <c r="K699">
        <v>-804000</v>
      </c>
      <c r="L699" t="s">
        <v>349</v>
      </c>
    </row>
    <row r="700" spans="1:12" x14ac:dyDescent="0.35">
      <c r="A700" t="s">
        <v>131</v>
      </c>
      <c r="B700" s="1">
        <v>45735</v>
      </c>
      <c r="C700" t="s">
        <v>255</v>
      </c>
      <c r="D700" t="s">
        <v>255</v>
      </c>
      <c r="F700" t="s">
        <v>7831</v>
      </c>
      <c r="G700" t="s">
        <v>9924</v>
      </c>
      <c r="H700" t="s">
        <v>154</v>
      </c>
      <c r="I700" s="1">
        <v>45735</v>
      </c>
      <c r="J700">
        <v>2147600</v>
      </c>
      <c r="L700" t="s">
        <v>6803</v>
      </c>
    </row>
    <row r="701" spans="1:12" x14ac:dyDescent="0.35">
      <c r="A701" t="s">
        <v>131</v>
      </c>
      <c r="B701" s="1">
        <v>45735</v>
      </c>
      <c r="C701" t="s">
        <v>255</v>
      </c>
      <c r="D701" t="s">
        <v>255</v>
      </c>
      <c r="F701" t="s">
        <v>7831</v>
      </c>
      <c r="G701" t="s">
        <v>9924</v>
      </c>
      <c r="H701" t="s">
        <v>154</v>
      </c>
      <c r="I701" s="1">
        <v>45735</v>
      </c>
      <c r="J701">
        <v>2147600</v>
      </c>
      <c r="L701" t="s">
        <v>6803</v>
      </c>
    </row>
    <row r="702" spans="1:12" x14ac:dyDescent="0.35">
      <c r="A702" t="s">
        <v>131</v>
      </c>
      <c r="B702" s="1">
        <v>45735</v>
      </c>
      <c r="C702" t="s">
        <v>255</v>
      </c>
      <c r="D702" t="s">
        <v>255</v>
      </c>
      <c r="F702" t="s">
        <v>7831</v>
      </c>
      <c r="G702" t="s">
        <v>9924</v>
      </c>
      <c r="H702" t="s">
        <v>155</v>
      </c>
      <c r="I702" s="1">
        <v>45735</v>
      </c>
      <c r="J702">
        <v>-2147600</v>
      </c>
      <c r="L702" t="s">
        <v>6803</v>
      </c>
    </row>
    <row r="703" spans="1:12" x14ac:dyDescent="0.35">
      <c r="A703" t="s">
        <v>131</v>
      </c>
      <c r="B703" s="1">
        <v>45735</v>
      </c>
      <c r="C703" t="s">
        <v>255</v>
      </c>
      <c r="D703" t="s">
        <v>255</v>
      </c>
      <c r="F703" t="s">
        <v>8419</v>
      </c>
      <c r="H703" t="s">
        <v>154</v>
      </c>
      <c r="I703" s="1">
        <v>45735</v>
      </c>
      <c r="K703">
        <v>237600</v>
      </c>
      <c r="L703" t="s">
        <v>6803</v>
      </c>
    </row>
    <row r="704" spans="1:12" x14ac:dyDescent="0.35">
      <c r="A704" t="s">
        <v>131</v>
      </c>
      <c r="B704" s="1">
        <v>45735</v>
      </c>
      <c r="C704" t="s">
        <v>255</v>
      </c>
      <c r="D704" t="s">
        <v>255</v>
      </c>
      <c r="F704" t="s">
        <v>8419</v>
      </c>
      <c r="H704" t="s">
        <v>154</v>
      </c>
      <c r="I704" s="1">
        <v>45735</v>
      </c>
      <c r="K704">
        <v>237600</v>
      </c>
      <c r="L704" t="s">
        <v>6803</v>
      </c>
    </row>
    <row r="705" spans="1:12" x14ac:dyDescent="0.35">
      <c r="A705" t="s">
        <v>131</v>
      </c>
      <c r="B705" s="1">
        <v>45735</v>
      </c>
      <c r="C705" t="s">
        <v>255</v>
      </c>
      <c r="D705" t="s">
        <v>255</v>
      </c>
      <c r="F705" t="s">
        <v>8419</v>
      </c>
      <c r="H705" t="s">
        <v>155</v>
      </c>
      <c r="I705" s="1">
        <v>45735</v>
      </c>
      <c r="K705">
        <v>-237600</v>
      </c>
      <c r="L705" t="s">
        <v>6803</v>
      </c>
    </row>
    <row r="706" spans="1:12" x14ac:dyDescent="0.35">
      <c r="A706" t="s">
        <v>131</v>
      </c>
      <c r="B706" s="1">
        <v>45735</v>
      </c>
      <c r="C706" t="s">
        <v>255</v>
      </c>
      <c r="D706" t="s">
        <v>255</v>
      </c>
      <c r="F706" t="s">
        <v>7701</v>
      </c>
      <c r="H706" t="s">
        <v>154</v>
      </c>
      <c r="I706" s="1">
        <v>45735</v>
      </c>
      <c r="K706">
        <v>590000</v>
      </c>
      <c r="L706" t="s">
        <v>351</v>
      </c>
    </row>
    <row r="707" spans="1:12" x14ac:dyDescent="0.35">
      <c r="A707" t="s">
        <v>131</v>
      </c>
      <c r="B707" s="1">
        <v>45735</v>
      </c>
      <c r="C707" t="s">
        <v>255</v>
      </c>
      <c r="D707" t="s">
        <v>255</v>
      </c>
      <c r="F707" t="s">
        <v>7701</v>
      </c>
      <c r="H707" t="s">
        <v>154</v>
      </c>
      <c r="I707" s="1">
        <v>45735</v>
      </c>
      <c r="K707">
        <v>590000</v>
      </c>
      <c r="L707" t="s">
        <v>351</v>
      </c>
    </row>
    <row r="708" spans="1:12" x14ac:dyDescent="0.35">
      <c r="A708" t="s">
        <v>131</v>
      </c>
      <c r="B708" s="1">
        <v>45735</v>
      </c>
      <c r="C708" t="s">
        <v>255</v>
      </c>
      <c r="D708" t="s">
        <v>255</v>
      </c>
      <c r="F708" t="s">
        <v>7701</v>
      </c>
      <c r="H708" t="s">
        <v>155</v>
      </c>
      <c r="I708" s="1">
        <v>45735</v>
      </c>
      <c r="K708">
        <v>-590000</v>
      </c>
      <c r="L708" t="s">
        <v>351</v>
      </c>
    </row>
    <row r="709" spans="1:12" x14ac:dyDescent="0.35">
      <c r="A709" t="s">
        <v>131</v>
      </c>
      <c r="B709" s="1">
        <v>45735</v>
      </c>
      <c r="C709" t="s">
        <v>255</v>
      </c>
      <c r="D709" t="s">
        <v>255</v>
      </c>
      <c r="F709" t="s">
        <v>8423</v>
      </c>
      <c r="H709" t="s">
        <v>154</v>
      </c>
      <c r="I709" s="1">
        <v>45735</v>
      </c>
      <c r="K709">
        <v>1320000</v>
      </c>
      <c r="L709" t="s">
        <v>349</v>
      </c>
    </row>
    <row r="710" spans="1:12" x14ac:dyDescent="0.35">
      <c r="A710" t="s">
        <v>131</v>
      </c>
      <c r="B710" s="1">
        <v>45735</v>
      </c>
      <c r="C710" t="s">
        <v>255</v>
      </c>
      <c r="D710" t="s">
        <v>255</v>
      </c>
      <c r="F710" t="s">
        <v>8423</v>
      </c>
      <c r="H710" t="s">
        <v>154</v>
      </c>
      <c r="I710" s="1">
        <v>45735</v>
      </c>
      <c r="K710">
        <v>1320000</v>
      </c>
      <c r="L710" t="s">
        <v>349</v>
      </c>
    </row>
    <row r="711" spans="1:12" x14ac:dyDescent="0.35">
      <c r="A711" t="s">
        <v>131</v>
      </c>
      <c r="B711" s="1">
        <v>45735</v>
      </c>
      <c r="C711" t="s">
        <v>255</v>
      </c>
      <c r="D711" t="s">
        <v>255</v>
      </c>
      <c r="F711" t="s">
        <v>8423</v>
      </c>
      <c r="H711" t="s">
        <v>155</v>
      </c>
      <c r="I711" s="1">
        <v>45735</v>
      </c>
      <c r="K711">
        <v>-1320000</v>
      </c>
      <c r="L711" t="s">
        <v>349</v>
      </c>
    </row>
    <row r="712" spans="1:12" x14ac:dyDescent="0.35">
      <c r="A712" t="s">
        <v>131</v>
      </c>
      <c r="B712" s="1">
        <v>45735</v>
      </c>
      <c r="C712" t="s">
        <v>256</v>
      </c>
      <c r="D712" t="s">
        <v>256</v>
      </c>
      <c r="F712" t="s">
        <v>7831</v>
      </c>
      <c r="G712" t="s">
        <v>7521</v>
      </c>
      <c r="H712" t="s">
        <v>180</v>
      </c>
      <c r="I712" s="1">
        <v>45766</v>
      </c>
      <c r="J712">
        <v>5065740</v>
      </c>
      <c r="L712" t="s">
        <v>6803</v>
      </c>
    </row>
    <row r="713" spans="1:12" x14ac:dyDescent="0.35">
      <c r="A713" t="s">
        <v>131</v>
      </c>
      <c r="B713" s="1">
        <v>45735</v>
      </c>
      <c r="C713" t="s">
        <v>256</v>
      </c>
      <c r="D713" t="s">
        <v>256</v>
      </c>
      <c r="F713" t="s">
        <v>7831</v>
      </c>
      <c r="G713" t="s">
        <v>7521</v>
      </c>
      <c r="H713" t="s">
        <v>180</v>
      </c>
      <c r="I713" s="1">
        <v>45766</v>
      </c>
      <c r="J713">
        <v>5065740</v>
      </c>
      <c r="L713" t="s">
        <v>6803</v>
      </c>
    </row>
    <row r="714" spans="1:12" x14ac:dyDescent="0.35">
      <c r="A714" t="s">
        <v>131</v>
      </c>
      <c r="B714" s="1">
        <v>45735</v>
      </c>
      <c r="C714" t="s">
        <v>256</v>
      </c>
      <c r="D714" t="s">
        <v>256</v>
      </c>
      <c r="F714" t="s">
        <v>7831</v>
      </c>
      <c r="G714" t="s">
        <v>7521</v>
      </c>
      <c r="H714" t="s">
        <v>257</v>
      </c>
      <c r="I714" s="1">
        <v>45766</v>
      </c>
      <c r="J714">
        <v>-5065740</v>
      </c>
      <c r="L714" t="s">
        <v>6803</v>
      </c>
    </row>
    <row r="715" spans="1:12" x14ac:dyDescent="0.35">
      <c r="A715" t="s">
        <v>131</v>
      </c>
      <c r="B715" s="1">
        <v>45735</v>
      </c>
      <c r="C715" t="s">
        <v>256</v>
      </c>
      <c r="D715" t="s">
        <v>256</v>
      </c>
      <c r="F715" t="s">
        <v>8419</v>
      </c>
      <c r="H715" t="s">
        <v>180</v>
      </c>
      <c r="I715" s="1">
        <v>45766</v>
      </c>
      <c r="K715">
        <v>651240</v>
      </c>
      <c r="L715" t="s">
        <v>6803</v>
      </c>
    </row>
    <row r="716" spans="1:12" x14ac:dyDescent="0.35">
      <c r="A716" t="s">
        <v>131</v>
      </c>
      <c r="B716" s="1">
        <v>45735</v>
      </c>
      <c r="C716" t="s">
        <v>256</v>
      </c>
      <c r="D716" t="s">
        <v>256</v>
      </c>
      <c r="F716" t="s">
        <v>8419</v>
      </c>
      <c r="H716" t="s">
        <v>180</v>
      </c>
      <c r="I716" s="1">
        <v>45766</v>
      </c>
      <c r="K716">
        <v>651240</v>
      </c>
      <c r="L716" t="s">
        <v>6803</v>
      </c>
    </row>
    <row r="717" spans="1:12" x14ac:dyDescent="0.35">
      <c r="A717" t="s">
        <v>131</v>
      </c>
      <c r="B717" s="1">
        <v>45735</v>
      </c>
      <c r="C717" t="s">
        <v>256</v>
      </c>
      <c r="D717" t="s">
        <v>256</v>
      </c>
      <c r="F717" t="s">
        <v>8419</v>
      </c>
      <c r="H717" t="s">
        <v>257</v>
      </c>
      <c r="I717" s="1">
        <v>45766</v>
      </c>
      <c r="K717">
        <v>-651240</v>
      </c>
      <c r="L717" t="s">
        <v>6803</v>
      </c>
    </row>
    <row r="718" spans="1:12" x14ac:dyDescent="0.35">
      <c r="A718" t="s">
        <v>131</v>
      </c>
      <c r="B718" s="1">
        <v>45735</v>
      </c>
      <c r="C718" t="s">
        <v>256</v>
      </c>
      <c r="D718" t="s">
        <v>256</v>
      </c>
      <c r="F718" t="s">
        <v>7701</v>
      </c>
      <c r="H718" t="s">
        <v>180</v>
      </c>
      <c r="I718" s="1">
        <v>45766</v>
      </c>
      <c r="K718">
        <v>796500</v>
      </c>
      <c r="L718" t="s">
        <v>351</v>
      </c>
    </row>
    <row r="719" spans="1:12" x14ac:dyDescent="0.35">
      <c r="A719" t="s">
        <v>131</v>
      </c>
      <c r="B719" s="1">
        <v>45735</v>
      </c>
      <c r="C719" t="s">
        <v>256</v>
      </c>
      <c r="D719" t="s">
        <v>256</v>
      </c>
      <c r="F719" t="s">
        <v>7701</v>
      </c>
      <c r="H719" t="s">
        <v>180</v>
      </c>
      <c r="I719" s="1">
        <v>45766</v>
      </c>
      <c r="K719">
        <v>796500</v>
      </c>
      <c r="L719" t="s">
        <v>351</v>
      </c>
    </row>
    <row r="720" spans="1:12" x14ac:dyDescent="0.35">
      <c r="A720" t="s">
        <v>131</v>
      </c>
      <c r="B720" s="1">
        <v>45735</v>
      </c>
      <c r="C720" t="s">
        <v>256</v>
      </c>
      <c r="D720" t="s">
        <v>256</v>
      </c>
      <c r="F720" t="s">
        <v>7701</v>
      </c>
      <c r="H720" t="s">
        <v>257</v>
      </c>
      <c r="I720" s="1">
        <v>45766</v>
      </c>
      <c r="K720">
        <v>-796500</v>
      </c>
      <c r="L720" t="s">
        <v>351</v>
      </c>
    </row>
    <row r="721" spans="1:12" x14ac:dyDescent="0.35">
      <c r="A721" t="s">
        <v>131</v>
      </c>
      <c r="B721" s="1">
        <v>45735</v>
      </c>
      <c r="C721" t="s">
        <v>256</v>
      </c>
      <c r="D721" t="s">
        <v>256</v>
      </c>
      <c r="F721" t="s">
        <v>8423</v>
      </c>
      <c r="H721" t="s">
        <v>180</v>
      </c>
      <c r="I721" s="1">
        <v>45766</v>
      </c>
      <c r="K721">
        <v>3618000</v>
      </c>
      <c r="L721" t="s">
        <v>349</v>
      </c>
    </row>
    <row r="722" spans="1:12" x14ac:dyDescent="0.35">
      <c r="A722" t="s">
        <v>131</v>
      </c>
      <c r="B722" s="1">
        <v>45735</v>
      </c>
      <c r="C722" t="s">
        <v>256</v>
      </c>
      <c r="D722" t="s">
        <v>256</v>
      </c>
      <c r="F722" t="s">
        <v>8423</v>
      </c>
      <c r="H722" t="s">
        <v>180</v>
      </c>
      <c r="I722" s="1">
        <v>45766</v>
      </c>
      <c r="K722">
        <v>3618000</v>
      </c>
      <c r="L722" t="s">
        <v>349</v>
      </c>
    </row>
    <row r="723" spans="1:12" x14ac:dyDescent="0.35">
      <c r="A723" t="s">
        <v>131</v>
      </c>
      <c r="B723" s="1">
        <v>45735</v>
      </c>
      <c r="C723" t="s">
        <v>256</v>
      </c>
      <c r="D723" t="s">
        <v>256</v>
      </c>
      <c r="F723" t="s">
        <v>8423</v>
      </c>
      <c r="H723" t="s">
        <v>257</v>
      </c>
      <c r="I723" s="1">
        <v>45766</v>
      </c>
      <c r="K723">
        <v>-3618000</v>
      </c>
      <c r="L723" t="s">
        <v>349</v>
      </c>
    </row>
    <row r="724" spans="1:12" x14ac:dyDescent="0.35">
      <c r="A724" t="s">
        <v>131</v>
      </c>
      <c r="B724" s="1">
        <v>45735</v>
      </c>
      <c r="C724" t="s">
        <v>258</v>
      </c>
      <c r="D724" t="s">
        <v>258</v>
      </c>
      <c r="F724" t="s">
        <v>7831</v>
      </c>
      <c r="G724" t="s">
        <v>7586</v>
      </c>
      <c r="H724" t="s">
        <v>148</v>
      </c>
      <c r="I724" s="1">
        <v>45735</v>
      </c>
      <c r="J724">
        <v>1609520</v>
      </c>
      <c r="L724" t="s">
        <v>6803</v>
      </c>
    </row>
    <row r="725" spans="1:12" x14ac:dyDescent="0.35">
      <c r="A725" t="s">
        <v>131</v>
      </c>
      <c r="B725" s="1">
        <v>45735</v>
      </c>
      <c r="C725" t="s">
        <v>258</v>
      </c>
      <c r="D725" t="s">
        <v>258</v>
      </c>
      <c r="F725" t="s">
        <v>7831</v>
      </c>
      <c r="G725" t="s">
        <v>7586</v>
      </c>
      <c r="H725" t="s">
        <v>148</v>
      </c>
      <c r="I725" s="1">
        <v>45735</v>
      </c>
      <c r="J725">
        <v>1609520</v>
      </c>
      <c r="L725" t="s">
        <v>6803</v>
      </c>
    </row>
    <row r="726" spans="1:12" x14ac:dyDescent="0.35">
      <c r="A726" t="s">
        <v>131</v>
      </c>
      <c r="B726" s="1">
        <v>45735</v>
      </c>
      <c r="C726" t="s">
        <v>258</v>
      </c>
      <c r="D726" t="s">
        <v>258</v>
      </c>
      <c r="F726" t="s">
        <v>7831</v>
      </c>
      <c r="G726" t="s">
        <v>7586</v>
      </c>
      <c r="H726" t="s">
        <v>248</v>
      </c>
      <c r="I726" s="1">
        <v>45735</v>
      </c>
      <c r="J726">
        <v>-1609520</v>
      </c>
      <c r="L726" t="s">
        <v>6803</v>
      </c>
    </row>
    <row r="727" spans="1:12" x14ac:dyDescent="0.35">
      <c r="A727" t="s">
        <v>131</v>
      </c>
      <c r="B727" s="1">
        <v>45735</v>
      </c>
      <c r="C727" t="s">
        <v>258</v>
      </c>
      <c r="D727" t="s">
        <v>258</v>
      </c>
      <c r="F727" t="s">
        <v>8419</v>
      </c>
      <c r="H727" t="s">
        <v>148</v>
      </c>
      <c r="I727" s="1">
        <v>45735</v>
      </c>
      <c r="K727">
        <v>196020</v>
      </c>
      <c r="L727" t="s">
        <v>6803</v>
      </c>
    </row>
    <row r="728" spans="1:12" x14ac:dyDescent="0.35">
      <c r="A728" t="s">
        <v>131</v>
      </c>
      <c r="B728" s="1">
        <v>45735</v>
      </c>
      <c r="C728" t="s">
        <v>258</v>
      </c>
      <c r="D728" t="s">
        <v>258</v>
      </c>
      <c r="F728" t="s">
        <v>8419</v>
      </c>
      <c r="H728" t="s">
        <v>148</v>
      </c>
      <c r="I728" s="1">
        <v>45735</v>
      </c>
      <c r="K728">
        <v>196020</v>
      </c>
      <c r="L728" t="s">
        <v>6803</v>
      </c>
    </row>
    <row r="729" spans="1:12" x14ac:dyDescent="0.35">
      <c r="A729" t="s">
        <v>131</v>
      </c>
      <c r="B729" s="1">
        <v>45735</v>
      </c>
      <c r="C729" t="s">
        <v>258</v>
      </c>
      <c r="D729" t="s">
        <v>258</v>
      </c>
      <c r="F729" t="s">
        <v>8419</v>
      </c>
      <c r="H729" t="s">
        <v>248</v>
      </c>
      <c r="I729" s="1">
        <v>45735</v>
      </c>
      <c r="K729">
        <v>-196020</v>
      </c>
      <c r="L729" t="s">
        <v>6803</v>
      </c>
    </row>
    <row r="730" spans="1:12" x14ac:dyDescent="0.35">
      <c r="A730" t="s">
        <v>131</v>
      </c>
      <c r="B730" s="1">
        <v>45735</v>
      </c>
      <c r="C730" t="s">
        <v>258</v>
      </c>
      <c r="D730" t="s">
        <v>258</v>
      </c>
      <c r="F730" t="s">
        <v>7701</v>
      </c>
      <c r="H730" t="s">
        <v>148</v>
      </c>
      <c r="I730" s="1">
        <v>45735</v>
      </c>
      <c r="K730">
        <v>324500</v>
      </c>
      <c r="L730" t="s">
        <v>351</v>
      </c>
    </row>
    <row r="731" spans="1:12" x14ac:dyDescent="0.35">
      <c r="A731" t="s">
        <v>131</v>
      </c>
      <c r="B731" s="1">
        <v>45735</v>
      </c>
      <c r="C731" t="s">
        <v>258</v>
      </c>
      <c r="D731" t="s">
        <v>258</v>
      </c>
      <c r="F731" t="s">
        <v>7701</v>
      </c>
      <c r="H731" t="s">
        <v>148</v>
      </c>
      <c r="I731" s="1">
        <v>45735</v>
      </c>
      <c r="K731">
        <v>324500</v>
      </c>
      <c r="L731" t="s">
        <v>351</v>
      </c>
    </row>
    <row r="732" spans="1:12" x14ac:dyDescent="0.35">
      <c r="A732" t="s">
        <v>131</v>
      </c>
      <c r="B732" s="1">
        <v>45735</v>
      </c>
      <c r="C732" t="s">
        <v>258</v>
      </c>
      <c r="D732" t="s">
        <v>258</v>
      </c>
      <c r="F732" t="s">
        <v>7701</v>
      </c>
      <c r="H732" t="s">
        <v>248</v>
      </c>
      <c r="I732" s="1">
        <v>45735</v>
      </c>
      <c r="K732">
        <v>-324500</v>
      </c>
      <c r="L732" t="s">
        <v>351</v>
      </c>
    </row>
    <row r="733" spans="1:12" x14ac:dyDescent="0.35">
      <c r="A733" t="s">
        <v>131</v>
      </c>
      <c r="B733" s="1">
        <v>45735</v>
      </c>
      <c r="C733" t="s">
        <v>258</v>
      </c>
      <c r="D733" t="s">
        <v>258</v>
      </c>
      <c r="F733" t="s">
        <v>8423</v>
      </c>
      <c r="H733" t="s">
        <v>148</v>
      </c>
      <c r="I733" s="1">
        <v>45735</v>
      </c>
      <c r="K733">
        <v>1089000</v>
      </c>
      <c r="L733" t="s">
        <v>349</v>
      </c>
    </row>
    <row r="734" spans="1:12" x14ac:dyDescent="0.35">
      <c r="A734" t="s">
        <v>131</v>
      </c>
      <c r="B734" s="1">
        <v>45735</v>
      </c>
      <c r="C734" t="s">
        <v>258</v>
      </c>
      <c r="D734" t="s">
        <v>258</v>
      </c>
      <c r="F734" t="s">
        <v>8423</v>
      </c>
      <c r="H734" t="s">
        <v>148</v>
      </c>
      <c r="I734" s="1">
        <v>45735</v>
      </c>
      <c r="K734">
        <v>1089000</v>
      </c>
      <c r="L734" t="s">
        <v>349</v>
      </c>
    </row>
    <row r="735" spans="1:12" x14ac:dyDescent="0.35">
      <c r="A735" t="s">
        <v>131</v>
      </c>
      <c r="B735" s="1">
        <v>45735</v>
      </c>
      <c r="C735" t="s">
        <v>258</v>
      </c>
      <c r="D735" t="s">
        <v>258</v>
      </c>
      <c r="F735" t="s">
        <v>8423</v>
      </c>
      <c r="H735" t="s">
        <v>248</v>
      </c>
      <c r="I735" s="1">
        <v>45735</v>
      </c>
      <c r="K735">
        <v>-1089000</v>
      </c>
      <c r="L735" t="s">
        <v>349</v>
      </c>
    </row>
    <row r="736" spans="1:12" x14ac:dyDescent="0.35">
      <c r="A736" t="s">
        <v>131</v>
      </c>
      <c r="B736" s="1">
        <v>45735</v>
      </c>
      <c r="C736" t="s">
        <v>259</v>
      </c>
      <c r="D736" t="s">
        <v>259</v>
      </c>
      <c r="F736" t="s">
        <v>7831</v>
      </c>
      <c r="G736" t="s">
        <v>9900</v>
      </c>
      <c r="H736" t="s">
        <v>207</v>
      </c>
      <c r="I736" s="1">
        <v>45735</v>
      </c>
      <c r="J736">
        <v>429520</v>
      </c>
      <c r="L736" t="s">
        <v>6803</v>
      </c>
    </row>
    <row r="737" spans="1:12" x14ac:dyDescent="0.35">
      <c r="A737" t="s">
        <v>131</v>
      </c>
      <c r="B737" s="1">
        <v>45735</v>
      </c>
      <c r="C737" t="s">
        <v>259</v>
      </c>
      <c r="D737" t="s">
        <v>259</v>
      </c>
      <c r="F737" t="s">
        <v>7831</v>
      </c>
      <c r="G737" t="s">
        <v>9900</v>
      </c>
      <c r="H737" t="s">
        <v>207</v>
      </c>
      <c r="I737" s="1">
        <v>45735</v>
      </c>
      <c r="J737">
        <v>429520</v>
      </c>
      <c r="L737" t="s">
        <v>6803</v>
      </c>
    </row>
    <row r="738" spans="1:12" x14ac:dyDescent="0.35">
      <c r="A738" t="s">
        <v>131</v>
      </c>
      <c r="B738" s="1">
        <v>45735</v>
      </c>
      <c r="C738" t="s">
        <v>259</v>
      </c>
      <c r="D738" t="s">
        <v>259</v>
      </c>
      <c r="F738" t="s">
        <v>7831</v>
      </c>
      <c r="G738" t="s">
        <v>9900</v>
      </c>
      <c r="H738" t="s">
        <v>260</v>
      </c>
      <c r="I738" s="1">
        <v>45735</v>
      </c>
      <c r="J738">
        <v>-429520</v>
      </c>
      <c r="L738" t="s">
        <v>6803</v>
      </c>
    </row>
    <row r="739" spans="1:12" x14ac:dyDescent="0.35">
      <c r="A739" t="s">
        <v>131</v>
      </c>
      <c r="B739" s="1">
        <v>45735</v>
      </c>
      <c r="C739" t="s">
        <v>259</v>
      </c>
      <c r="D739" t="s">
        <v>259</v>
      </c>
      <c r="F739" t="s">
        <v>8419</v>
      </c>
      <c r="H739" t="s">
        <v>207</v>
      </c>
      <c r="I739" s="1">
        <v>45735</v>
      </c>
      <c r="K739">
        <v>47520</v>
      </c>
      <c r="L739" t="s">
        <v>6803</v>
      </c>
    </row>
    <row r="740" spans="1:12" x14ac:dyDescent="0.35">
      <c r="A740" t="s">
        <v>131</v>
      </c>
      <c r="B740" s="1">
        <v>45735</v>
      </c>
      <c r="C740" t="s">
        <v>259</v>
      </c>
      <c r="D740" t="s">
        <v>259</v>
      </c>
      <c r="F740" t="s">
        <v>8419</v>
      </c>
      <c r="H740" t="s">
        <v>207</v>
      </c>
      <c r="I740" s="1">
        <v>45735</v>
      </c>
      <c r="K740">
        <v>47520</v>
      </c>
      <c r="L740" t="s">
        <v>6803</v>
      </c>
    </row>
    <row r="741" spans="1:12" x14ac:dyDescent="0.35">
      <c r="A741" t="s">
        <v>131</v>
      </c>
      <c r="B741" s="1">
        <v>45735</v>
      </c>
      <c r="C741" t="s">
        <v>259</v>
      </c>
      <c r="D741" t="s">
        <v>259</v>
      </c>
      <c r="F741" t="s">
        <v>8419</v>
      </c>
      <c r="H741" t="s">
        <v>260</v>
      </c>
      <c r="I741" s="1">
        <v>45735</v>
      </c>
      <c r="K741">
        <v>-47520</v>
      </c>
      <c r="L741" t="s">
        <v>6803</v>
      </c>
    </row>
    <row r="742" spans="1:12" x14ac:dyDescent="0.35">
      <c r="A742" t="s">
        <v>131</v>
      </c>
      <c r="B742" s="1">
        <v>45735</v>
      </c>
      <c r="C742" t="s">
        <v>259</v>
      </c>
      <c r="D742" t="s">
        <v>259</v>
      </c>
      <c r="F742" t="s">
        <v>7701</v>
      </c>
      <c r="H742" t="s">
        <v>207</v>
      </c>
      <c r="I742" s="1">
        <v>45735</v>
      </c>
      <c r="K742">
        <v>118000</v>
      </c>
      <c r="L742" t="s">
        <v>351</v>
      </c>
    </row>
    <row r="743" spans="1:12" x14ac:dyDescent="0.35">
      <c r="A743" t="s">
        <v>131</v>
      </c>
      <c r="B743" s="1">
        <v>45735</v>
      </c>
      <c r="C743" t="s">
        <v>259</v>
      </c>
      <c r="D743" t="s">
        <v>259</v>
      </c>
      <c r="F743" t="s">
        <v>7701</v>
      </c>
      <c r="H743" t="s">
        <v>207</v>
      </c>
      <c r="I743" s="1">
        <v>45735</v>
      </c>
      <c r="K743">
        <v>118000</v>
      </c>
      <c r="L743" t="s">
        <v>351</v>
      </c>
    </row>
    <row r="744" spans="1:12" x14ac:dyDescent="0.35">
      <c r="A744" t="s">
        <v>131</v>
      </c>
      <c r="B744" s="1">
        <v>45735</v>
      </c>
      <c r="C744" t="s">
        <v>259</v>
      </c>
      <c r="D744" t="s">
        <v>259</v>
      </c>
      <c r="F744" t="s">
        <v>7701</v>
      </c>
      <c r="H744" t="s">
        <v>260</v>
      </c>
      <c r="I744" s="1">
        <v>45735</v>
      </c>
      <c r="K744">
        <v>-118000</v>
      </c>
      <c r="L744" t="s">
        <v>351</v>
      </c>
    </row>
    <row r="745" spans="1:12" x14ac:dyDescent="0.35">
      <c r="A745" t="s">
        <v>131</v>
      </c>
      <c r="B745" s="1">
        <v>45735</v>
      </c>
      <c r="C745" t="s">
        <v>259</v>
      </c>
      <c r="D745" t="s">
        <v>259</v>
      </c>
      <c r="F745" t="s">
        <v>8423</v>
      </c>
      <c r="H745" t="s">
        <v>207</v>
      </c>
      <c r="I745" s="1">
        <v>45735</v>
      </c>
      <c r="K745">
        <v>264000</v>
      </c>
      <c r="L745" t="s">
        <v>350</v>
      </c>
    </row>
    <row r="746" spans="1:12" x14ac:dyDescent="0.35">
      <c r="A746" t="s">
        <v>131</v>
      </c>
      <c r="B746" s="1">
        <v>45735</v>
      </c>
      <c r="C746" t="s">
        <v>259</v>
      </c>
      <c r="D746" t="s">
        <v>259</v>
      </c>
      <c r="F746" t="s">
        <v>8423</v>
      </c>
      <c r="H746" t="s">
        <v>207</v>
      </c>
      <c r="I746" s="1">
        <v>45735</v>
      </c>
      <c r="K746">
        <v>264000</v>
      </c>
      <c r="L746" t="s">
        <v>350</v>
      </c>
    </row>
    <row r="747" spans="1:12" x14ac:dyDescent="0.35">
      <c r="A747" t="s">
        <v>131</v>
      </c>
      <c r="B747" s="1">
        <v>45735</v>
      </c>
      <c r="C747" t="s">
        <v>259</v>
      </c>
      <c r="D747" t="s">
        <v>259</v>
      </c>
      <c r="F747" t="s">
        <v>8423</v>
      </c>
      <c r="H747" t="s">
        <v>260</v>
      </c>
      <c r="I747" s="1">
        <v>45735</v>
      </c>
      <c r="K747">
        <v>-264000</v>
      </c>
      <c r="L747" t="s">
        <v>350</v>
      </c>
    </row>
    <row r="748" spans="1:12" x14ac:dyDescent="0.35">
      <c r="A748" t="s">
        <v>131</v>
      </c>
      <c r="B748" s="1">
        <v>45736</v>
      </c>
      <c r="C748" t="s">
        <v>261</v>
      </c>
      <c r="D748" t="s">
        <v>261</v>
      </c>
      <c r="F748" t="s">
        <v>7831</v>
      </c>
      <c r="G748" t="s">
        <v>9900</v>
      </c>
      <c r="H748" t="s">
        <v>144</v>
      </c>
      <c r="I748" s="1">
        <v>45736</v>
      </c>
      <c r="J748">
        <v>644280</v>
      </c>
      <c r="L748" t="s">
        <v>6803</v>
      </c>
    </row>
    <row r="749" spans="1:12" x14ac:dyDescent="0.35">
      <c r="A749" t="s">
        <v>131</v>
      </c>
      <c r="B749" s="1">
        <v>45736</v>
      </c>
      <c r="C749" t="s">
        <v>261</v>
      </c>
      <c r="D749" t="s">
        <v>261</v>
      </c>
      <c r="F749" t="s">
        <v>7831</v>
      </c>
      <c r="G749" t="s">
        <v>9900</v>
      </c>
      <c r="H749" t="s">
        <v>144</v>
      </c>
      <c r="I749" s="1">
        <v>45736</v>
      </c>
      <c r="J749">
        <v>644280</v>
      </c>
      <c r="L749" t="s">
        <v>6803</v>
      </c>
    </row>
    <row r="750" spans="1:12" x14ac:dyDescent="0.35">
      <c r="A750" t="s">
        <v>131</v>
      </c>
      <c r="B750" s="1">
        <v>45736</v>
      </c>
      <c r="C750" t="s">
        <v>261</v>
      </c>
      <c r="D750" t="s">
        <v>261</v>
      </c>
      <c r="F750" t="s">
        <v>7831</v>
      </c>
      <c r="G750" t="s">
        <v>9900</v>
      </c>
      <c r="H750" t="s">
        <v>262</v>
      </c>
      <c r="I750" s="1">
        <v>45736</v>
      </c>
      <c r="J750">
        <v>-644280</v>
      </c>
      <c r="L750" t="s">
        <v>6803</v>
      </c>
    </row>
    <row r="751" spans="1:12" x14ac:dyDescent="0.35">
      <c r="A751" t="s">
        <v>131</v>
      </c>
      <c r="B751" s="1">
        <v>45736</v>
      </c>
      <c r="C751" t="s">
        <v>261</v>
      </c>
      <c r="D751" t="s">
        <v>261</v>
      </c>
      <c r="F751" t="s">
        <v>8419</v>
      </c>
      <c r="H751" t="s">
        <v>144</v>
      </c>
      <c r="I751" s="1">
        <v>45736</v>
      </c>
      <c r="K751">
        <v>71280</v>
      </c>
      <c r="L751" t="s">
        <v>6803</v>
      </c>
    </row>
    <row r="752" spans="1:12" x14ac:dyDescent="0.35">
      <c r="A752" t="s">
        <v>131</v>
      </c>
      <c r="B752" s="1">
        <v>45736</v>
      </c>
      <c r="C752" t="s">
        <v>261</v>
      </c>
      <c r="D752" t="s">
        <v>261</v>
      </c>
      <c r="F752" t="s">
        <v>8419</v>
      </c>
      <c r="H752" t="s">
        <v>144</v>
      </c>
      <c r="I752" s="1">
        <v>45736</v>
      </c>
      <c r="K752">
        <v>71280</v>
      </c>
      <c r="L752" t="s">
        <v>6803</v>
      </c>
    </row>
    <row r="753" spans="1:12" x14ac:dyDescent="0.35">
      <c r="A753" t="s">
        <v>131</v>
      </c>
      <c r="B753" s="1">
        <v>45736</v>
      </c>
      <c r="C753" t="s">
        <v>261</v>
      </c>
      <c r="D753" t="s">
        <v>261</v>
      </c>
      <c r="F753" t="s">
        <v>8419</v>
      </c>
      <c r="H753" t="s">
        <v>262</v>
      </c>
      <c r="I753" s="1">
        <v>45736</v>
      </c>
      <c r="K753">
        <v>-71280</v>
      </c>
      <c r="L753" t="s">
        <v>6803</v>
      </c>
    </row>
    <row r="754" spans="1:12" x14ac:dyDescent="0.35">
      <c r="A754" t="s">
        <v>131</v>
      </c>
      <c r="B754" s="1">
        <v>45736</v>
      </c>
      <c r="C754" t="s">
        <v>261</v>
      </c>
      <c r="D754" t="s">
        <v>261</v>
      </c>
      <c r="F754" t="s">
        <v>7701</v>
      </c>
      <c r="H754" t="s">
        <v>144</v>
      </c>
      <c r="I754" s="1">
        <v>45736</v>
      </c>
      <c r="K754">
        <v>177000</v>
      </c>
      <c r="L754" t="s">
        <v>351</v>
      </c>
    </row>
    <row r="755" spans="1:12" x14ac:dyDescent="0.35">
      <c r="A755" t="s">
        <v>131</v>
      </c>
      <c r="B755" s="1">
        <v>45736</v>
      </c>
      <c r="C755" t="s">
        <v>261</v>
      </c>
      <c r="D755" t="s">
        <v>261</v>
      </c>
      <c r="F755" t="s">
        <v>7701</v>
      </c>
      <c r="H755" t="s">
        <v>144</v>
      </c>
      <c r="I755" s="1">
        <v>45736</v>
      </c>
      <c r="K755">
        <v>177000</v>
      </c>
      <c r="L755" t="s">
        <v>351</v>
      </c>
    </row>
    <row r="756" spans="1:12" x14ac:dyDescent="0.35">
      <c r="A756" t="s">
        <v>131</v>
      </c>
      <c r="B756" s="1">
        <v>45736</v>
      </c>
      <c r="C756" t="s">
        <v>261</v>
      </c>
      <c r="D756" t="s">
        <v>261</v>
      </c>
      <c r="F756" t="s">
        <v>7701</v>
      </c>
      <c r="H756" t="s">
        <v>262</v>
      </c>
      <c r="I756" s="1">
        <v>45736</v>
      </c>
      <c r="K756">
        <v>-177000</v>
      </c>
      <c r="L756" t="s">
        <v>351</v>
      </c>
    </row>
    <row r="757" spans="1:12" x14ac:dyDescent="0.35">
      <c r="A757" t="s">
        <v>131</v>
      </c>
      <c r="B757" s="1">
        <v>45736</v>
      </c>
      <c r="C757" t="s">
        <v>261</v>
      </c>
      <c r="D757" t="s">
        <v>261</v>
      </c>
      <c r="F757" t="s">
        <v>8423</v>
      </c>
      <c r="H757" t="s">
        <v>144</v>
      </c>
      <c r="I757" s="1">
        <v>45736</v>
      </c>
      <c r="K757">
        <v>396000</v>
      </c>
      <c r="L757" t="s">
        <v>350</v>
      </c>
    </row>
    <row r="758" spans="1:12" x14ac:dyDescent="0.35">
      <c r="A758" t="s">
        <v>131</v>
      </c>
      <c r="B758" s="1">
        <v>45736</v>
      </c>
      <c r="C758" t="s">
        <v>261</v>
      </c>
      <c r="D758" t="s">
        <v>261</v>
      </c>
      <c r="F758" t="s">
        <v>8423</v>
      </c>
      <c r="H758" t="s">
        <v>144</v>
      </c>
      <c r="I758" s="1">
        <v>45736</v>
      </c>
      <c r="K758">
        <v>396000</v>
      </c>
      <c r="L758" t="s">
        <v>350</v>
      </c>
    </row>
    <row r="759" spans="1:12" x14ac:dyDescent="0.35">
      <c r="A759" t="s">
        <v>131</v>
      </c>
      <c r="B759" s="1">
        <v>45736</v>
      </c>
      <c r="C759" t="s">
        <v>261</v>
      </c>
      <c r="D759" t="s">
        <v>261</v>
      </c>
      <c r="F759" t="s">
        <v>8423</v>
      </c>
      <c r="H759" t="s">
        <v>262</v>
      </c>
      <c r="I759" s="1">
        <v>45736</v>
      </c>
      <c r="K759">
        <v>-396000</v>
      </c>
      <c r="L759" t="s">
        <v>350</v>
      </c>
    </row>
    <row r="760" spans="1:12" x14ac:dyDescent="0.35">
      <c r="A760" t="s">
        <v>131</v>
      </c>
      <c r="B760" s="1">
        <v>45736</v>
      </c>
      <c r="C760" t="s">
        <v>263</v>
      </c>
      <c r="D760" t="s">
        <v>263</v>
      </c>
      <c r="F760" t="s">
        <v>7831</v>
      </c>
      <c r="G760" t="s">
        <v>9921</v>
      </c>
      <c r="H760" t="s">
        <v>159</v>
      </c>
      <c r="I760" s="1">
        <v>45767</v>
      </c>
      <c r="J760">
        <v>533360</v>
      </c>
      <c r="L760" t="s">
        <v>6803</v>
      </c>
    </row>
    <row r="761" spans="1:12" x14ac:dyDescent="0.35">
      <c r="A761" t="s">
        <v>131</v>
      </c>
      <c r="B761" s="1">
        <v>45736</v>
      </c>
      <c r="C761" t="s">
        <v>263</v>
      </c>
      <c r="D761" t="s">
        <v>263</v>
      </c>
      <c r="F761" t="s">
        <v>7831</v>
      </c>
      <c r="G761" t="s">
        <v>9921</v>
      </c>
      <c r="H761" t="s">
        <v>159</v>
      </c>
      <c r="I761" s="1">
        <v>45767</v>
      </c>
      <c r="J761">
        <v>533360</v>
      </c>
      <c r="L761" t="s">
        <v>6803</v>
      </c>
    </row>
    <row r="762" spans="1:12" x14ac:dyDescent="0.35">
      <c r="A762" t="s">
        <v>131</v>
      </c>
      <c r="B762" s="1">
        <v>45736</v>
      </c>
      <c r="C762" t="s">
        <v>263</v>
      </c>
      <c r="D762" t="s">
        <v>263</v>
      </c>
      <c r="F762" t="s">
        <v>7831</v>
      </c>
      <c r="G762" t="s">
        <v>9921</v>
      </c>
      <c r="H762" t="s">
        <v>239</v>
      </c>
      <c r="I762" s="1">
        <v>45767</v>
      </c>
      <c r="J762">
        <v>-533360</v>
      </c>
      <c r="L762" t="s">
        <v>6803</v>
      </c>
    </row>
    <row r="763" spans="1:12" x14ac:dyDescent="0.35">
      <c r="A763" t="s">
        <v>131</v>
      </c>
      <c r="B763" s="1">
        <v>45736</v>
      </c>
      <c r="C763" t="s">
        <v>263</v>
      </c>
      <c r="D763" t="s">
        <v>263</v>
      </c>
      <c r="F763" t="s">
        <v>8419</v>
      </c>
      <c r="H763" t="s">
        <v>159</v>
      </c>
      <c r="I763" s="1">
        <v>45767</v>
      </c>
      <c r="K763">
        <v>72360</v>
      </c>
      <c r="L763" t="s">
        <v>6803</v>
      </c>
    </row>
    <row r="764" spans="1:12" x14ac:dyDescent="0.35">
      <c r="A764" t="s">
        <v>131</v>
      </c>
      <c r="B764" s="1">
        <v>45736</v>
      </c>
      <c r="C764" t="s">
        <v>263</v>
      </c>
      <c r="D764" t="s">
        <v>263</v>
      </c>
      <c r="F764" t="s">
        <v>8419</v>
      </c>
      <c r="H764" t="s">
        <v>159</v>
      </c>
      <c r="I764" s="1">
        <v>45767</v>
      </c>
      <c r="K764">
        <v>72360</v>
      </c>
      <c r="L764" t="s">
        <v>6803</v>
      </c>
    </row>
    <row r="765" spans="1:12" x14ac:dyDescent="0.35">
      <c r="A765" t="s">
        <v>131</v>
      </c>
      <c r="B765" s="1">
        <v>45736</v>
      </c>
      <c r="C765" t="s">
        <v>263</v>
      </c>
      <c r="D765" t="s">
        <v>263</v>
      </c>
      <c r="F765" t="s">
        <v>8419</v>
      </c>
      <c r="H765" t="s">
        <v>239</v>
      </c>
      <c r="I765" s="1">
        <v>45767</v>
      </c>
      <c r="K765">
        <v>-72360</v>
      </c>
      <c r="L765" t="s">
        <v>6803</v>
      </c>
    </row>
    <row r="766" spans="1:12" x14ac:dyDescent="0.35">
      <c r="A766" t="s">
        <v>131</v>
      </c>
      <c r="B766" s="1">
        <v>45736</v>
      </c>
      <c r="C766" t="s">
        <v>263</v>
      </c>
      <c r="D766" t="s">
        <v>263</v>
      </c>
      <c r="F766" t="s">
        <v>7701</v>
      </c>
      <c r="H766" t="s">
        <v>159</v>
      </c>
      <c r="I766" s="1">
        <v>45767</v>
      </c>
      <c r="K766">
        <v>59000</v>
      </c>
      <c r="L766" t="s">
        <v>351</v>
      </c>
    </row>
    <row r="767" spans="1:12" x14ac:dyDescent="0.35">
      <c r="A767" t="s">
        <v>131</v>
      </c>
      <c r="B767" s="1">
        <v>45736</v>
      </c>
      <c r="C767" t="s">
        <v>263</v>
      </c>
      <c r="D767" t="s">
        <v>263</v>
      </c>
      <c r="F767" t="s">
        <v>7701</v>
      </c>
      <c r="H767" t="s">
        <v>159</v>
      </c>
      <c r="I767" s="1">
        <v>45767</v>
      </c>
      <c r="K767">
        <v>59000</v>
      </c>
      <c r="L767" t="s">
        <v>351</v>
      </c>
    </row>
    <row r="768" spans="1:12" x14ac:dyDescent="0.35">
      <c r="A768" t="s">
        <v>131</v>
      </c>
      <c r="B768" s="1">
        <v>45736</v>
      </c>
      <c r="C768" t="s">
        <v>263</v>
      </c>
      <c r="D768" t="s">
        <v>263</v>
      </c>
      <c r="F768" t="s">
        <v>7701</v>
      </c>
      <c r="H768" t="s">
        <v>239</v>
      </c>
      <c r="I768" s="1">
        <v>45767</v>
      </c>
      <c r="K768">
        <v>-59000</v>
      </c>
      <c r="L768" t="s">
        <v>351</v>
      </c>
    </row>
    <row r="769" spans="1:12" x14ac:dyDescent="0.35">
      <c r="A769" t="s">
        <v>131</v>
      </c>
      <c r="B769" s="1">
        <v>45736</v>
      </c>
      <c r="C769" t="s">
        <v>263</v>
      </c>
      <c r="D769" t="s">
        <v>263</v>
      </c>
      <c r="F769" t="s">
        <v>8423</v>
      </c>
      <c r="H769" t="s">
        <v>159</v>
      </c>
      <c r="I769" s="1">
        <v>45767</v>
      </c>
      <c r="K769">
        <v>402000</v>
      </c>
      <c r="L769" t="s">
        <v>349</v>
      </c>
    </row>
    <row r="770" spans="1:12" x14ac:dyDescent="0.35">
      <c r="A770" t="s">
        <v>131</v>
      </c>
      <c r="B770" s="1">
        <v>45736</v>
      </c>
      <c r="C770" t="s">
        <v>263</v>
      </c>
      <c r="D770" t="s">
        <v>263</v>
      </c>
      <c r="F770" t="s">
        <v>8423</v>
      </c>
      <c r="H770" t="s">
        <v>159</v>
      </c>
      <c r="I770" s="1">
        <v>45767</v>
      </c>
      <c r="K770">
        <v>402000</v>
      </c>
      <c r="L770" t="s">
        <v>349</v>
      </c>
    </row>
    <row r="771" spans="1:12" x14ac:dyDescent="0.35">
      <c r="A771" t="s">
        <v>131</v>
      </c>
      <c r="B771" s="1">
        <v>45736</v>
      </c>
      <c r="C771" t="s">
        <v>263</v>
      </c>
      <c r="D771" t="s">
        <v>263</v>
      </c>
      <c r="F771" t="s">
        <v>8423</v>
      </c>
      <c r="H771" t="s">
        <v>239</v>
      </c>
      <c r="I771" s="1">
        <v>45767</v>
      </c>
      <c r="K771">
        <v>-402000</v>
      </c>
      <c r="L771" t="s">
        <v>349</v>
      </c>
    </row>
    <row r="772" spans="1:12" x14ac:dyDescent="0.35">
      <c r="A772" t="s">
        <v>131</v>
      </c>
      <c r="B772" s="1">
        <v>45736</v>
      </c>
      <c r="C772" t="s">
        <v>264</v>
      </c>
      <c r="D772" t="s">
        <v>264</v>
      </c>
      <c r="F772" t="s">
        <v>7831</v>
      </c>
      <c r="G772" t="s">
        <v>9921</v>
      </c>
      <c r="H772" t="s">
        <v>159</v>
      </c>
      <c r="I772" s="1">
        <v>45767</v>
      </c>
      <c r="J772">
        <v>474360</v>
      </c>
      <c r="L772" t="s">
        <v>6803</v>
      </c>
    </row>
    <row r="773" spans="1:12" x14ac:dyDescent="0.35">
      <c r="A773" t="s">
        <v>131</v>
      </c>
      <c r="B773" s="1">
        <v>45736</v>
      </c>
      <c r="C773" t="s">
        <v>264</v>
      </c>
      <c r="D773" t="s">
        <v>264</v>
      </c>
      <c r="F773" t="s">
        <v>7831</v>
      </c>
      <c r="G773" t="s">
        <v>9921</v>
      </c>
      <c r="H773" t="s">
        <v>159</v>
      </c>
      <c r="I773" s="1">
        <v>45767</v>
      </c>
      <c r="J773">
        <v>474360</v>
      </c>
      <c r="L773" t="s">
        <v>6803</v>
      </c>
    </row>
    <row r="774" spans="1:12" x14ac:dyDescent="0.35">
      <c r="A774" t="s">
        <v>131</v>
      </c>
      <c r="B774" s="1">
        <v>45736</v>
      </c>
      <c r="C774" t="s">
        <v>264</v>
      </c>
      <c r="D774" t="s">
        <v>264</v>
      </c>
      <c r="F774" t="s">
        <v>7831</v>
      </c>
      <c r="G774" t="s">
        <v>9921</v>
      </c>
      <c r="H774" t="s">
        <v>239</v>
      </c>
      <c r="I774" s="1">
        <v>45767</v>
      </c>
      <c r="J774">
        <v>-474360</v>
      </c>
      <c r="L774" t="s">
        <v>6803</v>
      </c>
    </row>
    <row r="775" spans="1:12" x14ac:dyDescent="0.35">
      <c r="A775" t="s">
        <v>131</v>
      </c>
      <c r="B775" s="1">
        <v>45736</v>
      </c>
      <c r="C775" t="s">
        <v>264</v>
      </c>
      <c r="D775" t="s">
        <v>264</v>
      </c>
      <c r="F775" t="s">
        <v>8419</v>
      </c>
      <c r="H775" t="s">
        <v>159</v>
      </c>
      <c r="I775" s="1">
        <v>45767</v>
      </c>
      <c r="K775">
        <v>72360</v>
      </c>
      <c r="L775" t="s">
        <v>6803</v>
      </c>
    </row>
    <row r="776" spans="1:12" x14ac:dyDescent="0.35">
      <c r="A776" t="s">
        <v>131</v>
      </c>
      <c r="B776" s="1">
        <v>45736</v>
      </c>
      <c r="C776" t="s">
        <v>264</v>
      </c>
      <c r="D776" t="s">
        <v>264</v>
      </c>
      <c r="F776" t="s">
        <v>8419</v>
      </c>
      <c r="H776" t="s">
        <v>159</v>
      </c>
      <c r="I776" s="1">
        <v>45767</v>
      </c>
      <c r="K776">
        <v>72360</v>
      </c>
      <c r="L776" t="s">
        <v>6803</v>
      </c>
    </row>
    <row r="777" spans="1:12" x14ac:dyDescent="0.35">
      <c r="A777" t="s">
        <v>131</v>
      </c>
      <c r="B777" s="1">
        <v>45736</v>
      </c>
      <c r="C777" t="s">
        <v>264</v>
      </c>
      <c r="D777" t="s">
        <v>264</v>
      </c>
      <c r="F777" t="s">
        <v>8419</v>
      </c>
      <c r="H777" t="s">
        <v>239</v>
      </c>
      <c r="I777" s="1">
        <v>45767</v>
      </c>
      <c r="K777">
        <v>-72360</v>
      </c>
      <c r="L777" t="s">
        <v>6803</v>
      </c>
    </row>
    <row r="778" spans="1:12" x14ac:dyDescent="0.35">
      <c r="A778" t="s">
        <v>131</v>
      </c>
      <c r="B778" s="1">
        <v>45736</v>
      </c>
      <c r="C778" t="s">
        <v>264</v>
      </c>
      <c r="D778" t="s">
        <v>264</v>
      </c>
      <c r="F778" t="s">
        <v>8423</v>
      </c>
      <c r="H778" t="s">
        <v>159</v>
      </c>
      <c r="I778" s="1">
        <v>45767</v>
      </c>
      <c r="K778">
        <v>402000</v>
      </c>
      <c r="L778" t="s">
        <v>349</v>
      </c>
    </row>
    <row r="779" spans="1:12" x14ac:dyDescent="0.35">
      <c r="A779" t="s">
        <v>131</v>
      </c>
      <c r="B779" s="1">
        <v>45736</v>
      </c>
      <c r="C779" t="s">
        <v>264</v>
      </c>
      <c r="D779" t="s">
        <v>264</v>
      </c>
      <c r="F779" t="s">
        <v>8423</v>
      </c>
      <c r="H779" t="s">
        <v>159</v>
      </c>
      <c r="I779" s="1">
        <v>45767</v>
      </c>
      <c r="K779">
        <v>402000</v>
      </c>
      <c r="L779" t="s">
        <v>349</v>
      </c>
    </row>
    <row r="780" spans="1:12" x14ac:dyDescent="0.35">
      <c r="A780" t="s">
        <v>131</v>
      </c>
      <c r="B780" s="1">
        <v>45736</v>
      </c>
      <c r="C780" t="s">
        <v>264</v>
      </c>
      <c r="D780" t="s">
        <v>264</v>
      </c>
      <c r="F780" t="s">
        <v>8423</v>
      </c>
      <c r="H780" t="s">
        <v>239</v>
      </c>
      <c r="I780" s="1">
        <v>45767</v>
      </c>
      <c r="K780">
        <v>-402000</v>
      </c>
      <c r="L780" t="s">
        <v>349</v>
      </c>
    </row>
    <row r="781" spans="1:12" x14ac:dyDescent="0.35">
      <c r="A781" t="s">
        <v>131</v>
      </c>
      <c r="B781" s="1">
        <v>45736</v>
      </c>
      <c r="C781" t="s">
        <v>265</v>
      </c>
      <c r="D781" t="s">
        <v>265</v>
      </c>
      <c r="F781" t="s">
        <v>7831</v>
      </c>
      <c r="G781" t="s">
        <v>9921</v>
      </c>
      <c r="H781" t="s">
        <v>159</v>
      </c>
      <c r="I781" s="1">
        <v>45736</v>
      </c>
      <c r="J781">
        <v>1239000</v>
      </c>
      <c r="L781" t="s">
        <v>6803</v>
      </c>
    </row>
    <row r="782" spans="1:12" x14ac:dyDescent="0.35">
      <c r="A782" t="s">
        <v>131</v>
      </c>
      <c r="B782" s="1">
        <v>45736</v>
      </c>
      <c r="C782" t="s">
        <v>265</v>
      </c>
      <c r="D782" t="s">
        <v>265</v>
      </c>
      <c r="F782" t="s">
        <v>7831</v>
      </c>
      <c r="G782" t="s">
        <v>9921</v>
      </c>
      <c r="H782" t="s">
        <v>159</v>
      </c>
      <c r="I782" s="1">
        <v>45736</v>
      </c>
      <c r="J782">
        <v>1239000</v>
      </c>
      <c r="L782" t="s">
        <v>6803</v>
      </c>
    </row>
    <row r="783" spans="1:12" x14ac:dyDescent="0.35">
      <c r="A783" t="s">
        <v>131</v>
      </c>
      <c r="B783" s="1">
        <v>45736</v>
      </c>
      <c r="C783" t="s">
        <v>265</v>
      </c>
      <c r="D783" t="s">
        <v>265</v>
      </c>
      <c r="F783" t="s">
        <v>7831</v>
      </c>
      <c r="G783" t="s">
        <v>9921</v>
      </c>
      <c r="H783" t="s">
        <v>239</v>
      </c>
      <c r="I783" s="1">
        <v>45736</v>
      </c>
      <c r="J783">
        <v>-1239000</v>
      </c>
      <c r="L783" t="s">
        <v>6803</v>
      </c>
    </row>
    <row r="784" spans="1:12" x14ac:dyDescent="0.35">
      <c r="A784" t="s">
        <v>131</v>
      </c>
      <c r="B784" s="1">
        <v>45736</v>
      </c>
      <c r="C784" t="s">
        <v>265</v>
      </c>
      <c r="D784" t="s">
        <v>265</v>
      </c>
      <c r="F784" t="s">
        <v>8419</v>
      </c>
      <c r="H784" t="s">
        <v>159</v>
      </c>
      <c r="I784" s="1">
        <v>45736</v>
      </c>
      <c r="K784">
        <v>162000</v>
      </c>
      <c r="L784" t="s">
        <v>6803</v>
      </c>
    </row>
    <row r="785" spans="1:12" x14ac:dyDescent="0.35">
      <c r="A785" t="s">
        <v>131</v>
      </c>
      <c r="B785" s="1">
        <v>45736</v>
      </c>
      <c r="C785" t="s">
        <v>265</v>
      </c>
      <c r="D785" t="s">
        <v>265</v>
      </c>
      <c r="F785" t="s">
        <v>8419</v>
      </c>
      <c r="H785" t="s">
        <v>159</v>
      </c>
      <c r="I785" s="1">
        <v>45736</v>
      </c>
      <c r="K785">
        <v>162000</v>
      </c>
      <c r="L785" t="s">
        <v>6803</v>
      </c>
    </row>
    <row r="786" spans="1:12" x14ac:dyDescent="0.35">
      <c r="A786" t="s">
        <v>131</v>
      </c>
      <c r="B786" s="1">
        <v>45736</v>
      </c>
      <c r="C786" t="s">
        <v>265</v>
      </c>
      <c r="D786" t="s">
        <v>265</v>
      </c>
      <c r="F786" t="s">
        <v>8419</v>
      </c>
      <c r="H786" t="s">
        <v>239</v>
      </c>
      <c r="I786" s="1">
        <v>45736</v>
      </c>
      <c r="K786">
        <v>-162000</v>
      </c>
      <c r="L786" t="s">
        <v>6803</v>
      </c>
    </row>
    <row r="787" spans="1:12" x14ac:dyDescent="0.35">
      <c r="A787" t="s">
        <v>131</v>
      </c>
      <c r="B787" s="1">
        <v>45736</v>
      </c>
      <c r="C787" t="s">
        <v>265</v>
      </c>
      <c r="D787" t="s">
        <v>265</v>
      </c>
      <c r="F787" t="s">
        <v>7701</v>
      </c>
      <c r="H787" t="s">
        <v>159</v>
      </c>
      <c r="I787" s="1">
        <v>45736</v>
      </c>
      <c r="K787">
        <v>177000</v>
      </c>
      <c r="L787" t="s">
        <v>351</v>
      </c>
    </row>
    <row r="788" spans="1:12" x14ac:dyDescent="0.35">
      <c r="A788" t="s">
        <v>131</v>
      </c>
      <c r="B788" s="1">
        <v>45736</v>
      </c>
      <c r="C788" t="s">
        <v>265</v>
      </c>
      <c r="D788" t="s">
        <v>265</v>
      </c>
      <c r="F788" t="s">
        <v>7701</v>
      </c>
      <c r="H788" t="s">
        <v>159</v>
      </c>
      <c r="I788" s="1">
        <v>45736</v>
      </c>
      <c r="K788">
        <v>177000</v>
      </c>
      <c r="L788" t="s">
        <v>351</v>
      </c>
    </row>
    <row r="789" spans="1:12" x14ac:dyDescent="0.35">
      <c r="A789" t="s">
        <v>131</v>
      </c>
      <c r="B789" s="1">
        <v>45736</v>
      </c>
      <c r="C789" t="s">
        <v>265</v>
      </c>
      <c r="D789" t="s">
        <v>265</v>
      </c>
      <c r="F789" t="s">
        <v>7701</v>
      </c>
      <c r="H789" t="s">
        <v>239</v>
      </c>
      <c r="I789" s="1">
        <v>45736</v>
      </c>
      <c r="K789">
        <v>-177000</v>
      </c>
      <c r="L789" t="s">
        <v>351</v>
      </c>
    </row>
    <row r="790" spans="1:12" x14ac:dyDescent="0.35">
      <c r="A790" t="s">
        <v>131</v>
      </c>
      <c r="B790" s="1">
        <v>45736</v>
      </c>
      <c r="C790" t="s">
        <v>265</v>
      </c>
      <c r="D790" t="s">
        <v>265</v>
      </c>
      <c r="F790" t="s">
        <v>8423</v>
      </c>
      <c r="H790" t="s">
        <v>159</v>
      </c>
      <c r="I790" s="1">
        <v>45736</v>
      </c>
      <c r="K790">
        <v>900000</v>
      </c>
      <c r="L790" t="s">
        <v>349</v>
      </c>
    </row>
    <row r="791" spans="1:12" x14ac:dyDescent="0.35">
      <c r="A791" t="s">
        <v>131</v>
      </c>
      <c r="B791" s="1">
        <v>45736</v>
      </c>
      <c r="C791" t="s">
        <v>265</v>
      </c>
      <c r="D791" t="s">
        <v>265</v>
      </c>
      <c r="F791" t="s">
        <v>8423</v>
      </c>
      <c r="H791" t="s">
        <v>159</v>
      </c>
      <c r="I791" s="1">
        <v>45736</v>
      </c>
      <c r="K791">
        <v>900000</v>
      </c>
      <c r="L791" t="s">
        <v>349</v>
      </c>
    </row>
    <row r="792" spans="1:12" x14ac:dyDescent="0.35">
      <c r="A792" t="s">
        <v>131</v>
      </c>
      <c r="B792" s="1">
        <v>45736</v>
      </c>
      <c r="C792" t="s">
        <v>265</v>
      </c>
      <c r="D792" t="s">
        <v>265</v>
      </c>
      <c r="F792" t="s">
        <v>8423</v>
      </c>
      <c r="H792" t="s">
        <v>239</v>
      </c>
      <c r="I792" s="1">
        <v>45736</v>
      </c>
      <c r="K792">
        <v>-900000</v>
      </c>
      <c r="L792" t="s">
        <v>349</v>
      </c>
    </row>
    <row r="793" spans="1:12" x14ac:dyDescent="0.35">
      <c r="A793" t="s">
        <v>131</v>
      </c>
      <c r="B793" s="1">
        <v>45736</v>
      </c>
      <c r="C793" t="s">
        <v>266</v>
      </c>
      <c r="D793" t="s">
        <v>266</v>
      </c>
      <c r="F793" t="s">
        <v>7831</v>
      </c>
      <c r="G793" t="s">
        <v>9921</v>
      </c>
      <c r="H793" t="s">
        <v>159</v>
      </c>
      <c r="I793" s="1">
        <v>45736</v>
      </c>
      <c r="J793">
        <v>292640</v>
      </c>
      <c r="L793" t="s">
        <v>6803</v>
      </c>
    </row>
    <row r="794" spans="1:12" x14ac:dyDescent="0.35">
      <c r="A794" t="s">
        <v>131</v>
      </c>
      <c r="B794" s="1">
        <v>45736</v>
      </c>
      <c r="C794" t="s">
        <v>266</v>
      </c>
      <c r="D794" t="s">
        <v>266</v>
      </c>
      <c r="F794" t="s">
        <v>7831</v>
      </c>
      <c r="G794" t="s">
        <v>9921</v>
      </c>
      <c r="H794" t="s">
        <v>159</v>
      </c>
      <c r="I794" s="1">
        <v>45736</v>
      </c>
      <c r="J794">
        <v>292640</v>
      </c>
      <c r="L794" t="s">
        <v>6803</v>
      </c>
    </row>
    <row r="795" spans="1:12" x14ac:dyDescent="0.35">
      <c r="A795" t="s">
        <v>131</v>
      </c>
      <c r="B795" s="1">
        <v>45736</v>
      </c>
      <c r="C795" t="s">
        <v>266</v>
      </c>
      <c r="D795" t="s">
        <v>266</v>
      </c>
      <c r="F795" t="s">
        <v>7831</v>
      </c>
      <c r="G795" t="s">
        <v>9921</v>
      </c>
      <c r="H795" t="s">
        <v>239</v>
      </c>
      <c r="I795" s="1">
        <v>45736</v>
      </c>
      <c r="J795">
        <v>-292640</v>
      </c>
      <c r="L795" t="s">
        <v>6803</v>
      </c>
    </row>
    <row r="796" spans="1:12" x14ac:dyDescent="0.35">
      <c r="A796" t="s">
        <v>131</v>
      </c>
      <c r="B796" s="1">
        <v>45736</v>
      </c>
      <c r="C796" t="s">
        <v>266</v>
      </c>
      <c r="D796" t="s">
        <v>266</v>
      </c>
      <c r="F796" t="s">
        <v>8419</v>
      </c>
      <c r="H796" t="s">
        <v>159</v>
      </c>
      <c r="I796" s="1">
        <v>45736</v>
      </c>
      <c r="K796">
        <v>35640</v>
      </c>
      <c r="L796" t="s">
        <v>6803</v>
      </c>
    </row>
    <row r="797" spans="1:12" x14ac:dyDescent="0.35">
      <c r="A797" t="s">
        <v>131</v>
      </c>
      <c r="B797" s="1">
        <v>45736</v>
      </c>
      <c r="C797" t="s">
        <v>266</v>
      </c>
      <c r="D797" t="s">
        <v>266</v>
      </c>
      <c r="F797" t="s">
        <v>8419</v>
      </c>
      <c r="H797" t="s">
        <v>159</v>
      </c>
      <c r="I797" s="1">
        <v>45736</v>
      </c>
      <c r="K797">
        <v>35640</v>
      </c>
      <c r="L797" t="s">
        <v>6803</v>
      </c>
    </row>
    <row r="798" spans="1:12" x14ac:dyDescent="0.35">
      <c r="A798" t="s">
        <v>131</v>
      </c>
      <c r="B798" s="1">
        <v>45736</v>
      </c>
      <c r="C798" t="s">
        <v>266</v>
      </c>
      <c r="D798" t="s">
        <v>266</v>
      </c>
      <c r="F798" t="s">
        <v>8419</v>
      </c>
      <c r="H798" t="s">
        <v>239</v>
      </c>
      <c r="I798" s="1">
        <v>45736</v>
      </c>
      <c r="K798">
        <v>-35640</v>
      </c>
      <c r="L798" t="s">
        <v>6803</v>
      </c>
    </row>
    <row r="799" spans="1:12" x14ac:dyDescent="0.35">
      <c r="A799" t="s">
        <v>131</v>
      </c>
      <c r="B799" s="1">
        <v>45736</v>
      </c>
      <c r="C799" t="s">
        <v>266</v>
      </c>
      <c r="D799" t="s">
        <v>266</v>
      </c>
      <c r="F799" t="s">
        <v>7701</v>
      </c>
      <c r="H799" t="s">
        <v>159</v>
      </c>
      <c r="I799" s="1">
        <v>45736</v>
      </c>
      <c r="K799">
        <v>59000</v>
      </c>
      <c r="L799" t="s">
        <v>351</v>
      </c>
    </row>
    <row r="800" spans="1:12" x14ac:dyDescent="0.35">
      <c r="A800" t="s">
        <v>131</v>
      </c>
      <c r="B800" s="1">
        <v>45736</v>
      </c>
      <c r="C800" t="s">
        <v>266</v>
      </c>
      <c r="D800" t="s">
        <v>266</v>
      </c>
      <c r="F800" t="s">
        <v>7701</v>
      </c>
      <c r="H800" t="s">
        <v>159</v>
      </c>
      <c r="I800" s="1">
        <v>45736</v>
      </c>
      <c r="K800">
        <v>59000</v>
      </c>
      <c r="L800" t="s">
        <v>351</v>
      </c>
    </row>
    <row r="801" spans="1:12" x14ac:dyDescent="0.35">
      <c r="A801" t="s">
        <v>131</v>
      </c>
      <c r="B801" s="1">
        <v>45736</v>
      </c>
      <c r="C801" t="s">
        <v>266</v>
      </c>
      <c r="D801" t="s">
        <v>266</v>
      </c>
      <c r="F801" t="s">
        <v>7701</v>
      </c>
      <c r="H801" t="s">
        <v>239</v>
      </c>
      <c r="I801" s="1">
        <v>45736</v>
      </c>
      <c r="K801">
        <v>-59000</v>
      </c>
      <c r="L801" t="s">
        <v>351</v>
      </c>
    </row>
    <row r="802" spans="1:12" x14ac:dyDescent="0.35">
      <c r="A802" t="s">
        <v>131</v>
      </c>
      <c r="B802" s="1">
        <v>45736</v>
      </c>
      <c r="C802" t="s">
        <v>266</v>
      </c>
      <c r="D802" t="s">
        <v>266</v>
      </c>
      <c r="F802" t="s">
        <v>8423</v>
      </c>
      <c r="H802" t="s">
        <v>159</v>
      </c>
      <c r="I802" s="1">
        <v>45736</v>
      </c>
      <c r="K802">
        <v>198000</v>
      </c>
      <c r="L802" t="s">
        <v>349</v>
      </c>
    </row>
    <row r="803" spans="1:12" x14ac:dyDescent="0.35">
      <c r="A803" t="s">
        <v>131</v>
      </c>
      <c r="B803" s="1">
        <v>45736</v>
      </c>
      <c r="C803" t="s">
        <v>266</v>
      </c>
      <c r="D803" t="s">
        <v>266</v>
      </c>
      <c r="F803" t="s">
        <v>8423</v>
      </c>
      <c r="H803" t="s">
        <v>159</v>
      </c>
      <c r="I803" s="1">
        <v>45736</v>
      </c>
      <c r="K803">
        <v>198000</v>
      </c>
      <c r="L803" t="s">
        <v>349</v>
      </c>
    </row>
    <row r="804" spans="1:12" x14ac:dyDescent="0.35">
      <c r="A804" t="s">
        <v>131</v>
      </c>
      <c r="B804" s="1">
        <v>45736</v>
      </c>
      <c r="C804" t="s">
        <v>266</v>
      </c>
      <c r="D804" t="s">
        <v>266</v>
      </c>
      <c r="F804" t="s">
        <v>8423</v>
      </c>
      <c r="H804" t="s">
        <v>239</v>
      </c>
      <c r="I804" s="1">
        <v>45736</v>
      </c>
      <c r="K804">
        <v>-198000</v>
      </c>
      <c r="L804" t="s">
        <v>349</v>
      </c>
    </row>
    <row r="805" spans="1:12" x14ac:dyDescent="0.35">
      <c r="A805" t="s">
        <v>131</v>
      </c>
      <c r="B805" s="1">
        <v>45736</v>
      </c>
      <c r="C805" t="s">
        <v>267</v>
      </c>
      <c r="D805" t="s">
        <v>267</v>
      </c>
      <c r="F805" t="s">
        <v>7831</v>
      </c>
      <c r="G805" t="s">
        <v>9931</v>
      </c>
      <c r="H805" t="s">
        <v>146</v>
      </c>
      <c r="I805" s="1">
        <v>45767</v>
      </c>
      <c r="J805">
        <v>429520</v>
      </c>
      <c r="L805" t="s">
        <v>6803</v>
      </c>
    </row>
    <row r="806" spans="1:12" x14ac:dyDescent="0.35">
      <c r="A806" t="s">
        <v>131</v>
      </c>
      <c r="B806" s="1">
        <v>45736</v>
      </c>
      <c r="C806" t="s">
        <v>267</v>
      </c>
      <c r="D806" t="s">
        <v>267</v>
      </c>
      <c r="F806" t="s">
        <v>7831</v>
      </c>
      <c r="G806" t="s">
        <v>9931</v>
      </c>
      <c r="H806" t="s">
        <v>146</v>
      </c>
      <c r="I806" s="1">
        <v>45767</v>
      </c>
      <c r="J806">
        <v>429520</v>
      </c>
      <c r="L806" t="s">
        <v>6803</v>
      </c>
    </row>
    <row r="807" spans="1:12" x14ac:dyDescent="0.35">
      <c r="A807" t="s">
        <v>131</v>
      </c>
      <c r="B807" s="1">
        <v>45736</v>
      </c>
      <c r="C807" t="s">
        <v>267</v>
      </c>
      <c r="D807" t="s">
        <v>267</v>
      </c>
      <c r="F807" t="s">
        <v>7831</v>
      </c>
      <c r="G807" t="s">
        <v>9931</v>
      </c>
      <c r="H807" t="s">
        <v>268</v>
      </c>
      <c r="I807" s="1">
        <v>45767</v>
      </c>
      <c r="J807">
        <v>-429520</v>
      </c>
      <c r="L807" t="s">
        <v>6803</v>
      </c>
    </row>
    <row r="808" spans="1:12" x14ac:dyDescent="0.35">
      <c r="A808" t="s">
        <v>131</v>
      </c>
      <c r="B808" s="1">
        <v>45736</v>
      </c>
      <c r="C808" t="s">
        <v>267</v>
      </c>
      <c r="D808" t="s">
        <v>267</v>
      </c>
      <c r="F808" t="s">
        <v>8419</v>
      </c>
      <c r="H808" t="s">
        <v>146</v>
      </c>
      <c r="I808" s="1">
        <v>45767</v>
      </c>
      <c r="K808">
        <v>47520</v>
      </c>
      <c r="L808" t="s">
        <v>6803</v>
      </c>
    </row>
    <row r="809" spans="1:12" x14ac:dyDescent="0.35">
      <c r="A809" t="s">
        <v>131</v>
      </c>
      <c r="B809" s="1">
        <v>45736</v>
      </c>
      <c r="C809" t="s">
        <v>267</v>
      </c>
      <c r="D809" t="s">
        <v>267</v>
      </c>
      <c r="F809" t="s">
        <v>8419</v>
      </c>
      <c r="H809" t="s">
        <v>146</v>
      </c>
      <c r="I809" s="1">
        <v>45767</v>
      </c>
      <c r="K809">
        <v>47520</v>
      </c>
      <c r="L809" t="s">
        <v>6803</v>
      </c>
    </row>
    <row r="810" spans="1:12" x14ac:dyDescent="0.35">
      <c r="A810" t="s">
        <v>131</v>
      </c>
      <c r="B810" s="1">
        <v>45736</v>
      </c>
      <c r="C810" t="s">
        <v>267</v>
      </c>
      <c r="D810" t="s">
        <v>267</v>
      </c>
      <c r="F810" t="s">
        <v>8419</v>
      </c>
      <c r="H810" t="s">
        <v>268</v>
      </c>
      <c r="I810" s="1">
        <v>45767</v>
      </c>
      <c r="K810">
        <v>-47520</v>
      </c>
      <c r="L810" t="s">
        <v>6803</v>
      </c>
    </row>
    <row r="811" spans="1:12" x14ac:dyDescent="0.35">
      <c r="A811" t="s">
        <v>131</v>
      </c>
      <c r="B811" s="1">
        <v>45736</v>
      </c>
      <c r="C811" t="s">
        <v>267</v>
      </c>
      <c r="D811" t="s">
        <v>267</v>
      </c>
      <c r="F811" t="s">
        <v>7701</v>
      </c>
      <c r="H811" t="s">
        <v>146</v>
      </c>
      <c r="I811" s="1">
        <v>45767</v>
      </c>
      <c r="K811">
        <v>118000</v>
      </c>
      <c r="L811" t="s">
        <v>351</v>
      </c>
    </row>
    <row r="812" spans="1:12" x14ac:dyDescent="0.35">
      <c r="A812" t="s">
        <v>131</v>
      </c>
      <c r="B812" s="1">
        <v>45736</v>
      </c>
      <c r="C812" t="s">
        <v>267</v>
      </c>
      <c r="D812" t="s">
        <v>267</v>
      </c>
      <c r="F812" t="s">
        <v>7701</v>
      </c>
      <c r="H812" t="s">
        <v>146</v>
      </c>
      <c r="I812" s="1">
        <v>45767</v>
      </c>
      <c r="K812">
        <v>118000</v>
      </c>
      <c r="L812" t="s">
        <v>351</v>
      </c>
    </row>
    <row r="813" spans="1:12" x14ac:dyDescent="0.35">
      <c r="A813" t="s">
        <v>131</v>
      </c>
      <c r="B813" s="1">
        <v>45736</v>
      </c>
      <c r="C813" t="s">
        <v>267</v>
      </c>
      <c r="D813" t="s">
        <v>267</v>
      </c>
      <c r="F813" t="s">
        <v>7701</v>
      </c>
      <c r="H813" t="s">
        <v>268</v>
      </c>
      <c r="I813" s="1">
        <v>45767</v>
      </c>
      <c r="K813">
        <v>-118000</v>
      </c>
      <c r="L813" t="s">
        <v>351</v>
      </c>
    </row>
    <row r="814" spans="1:12" x14ac:dyDescent="0.35">
      <c r="A814" t="s">
        <v>131</v>
      </c>
      <c r="B814" s="1">
        <v>45736</v>
      </c>
      <c r="C814" t="s">
        <v>267</v>
      </c>
      <c r="D814" t="s">
        <v>267</v>
      </c>
      <c r="F814" t="s">
        <v>8423</v>
      </c>
      <c r="H814" t="s">
        <v>146</v>
      </c>
      <c r="I814" s="1">
        <v>45767</v>
      </c>
      <c r="K814">
        <v>264000</v>
      </c>
      <c r="L814" t="s">
        <v>350</v>
      </c>
    </row>
    <row r="815" spans="1:12" x14ac:dyDescent="0.35">
      <c r="A815" t="s">
        <v>131</v>
      </c>
      <c r="B815" s="1">
        <v>45736</v>
      </c>
      <c r="C815" t="s">
        <v>267</v>
      </c>
      <c r="D815" t="s">
        <v>267</v>
      </c>
      <c r="F815" t="s">
        <v>8423</v>
      </c>
      <c r="H815" t="s">
        <v>146</v>
      </c>
      <c r="I815" s="1">
        <v>45767</v>
      </c>
      <c r="K815">
        <v>264000</v>
      </c>
      <c r="L815" t="s">
        <v>350</v>
      </c>
    </row>
    <row r="816" spans="1:12" x14ac:dyDescent="0.35">
      <c r="A816" t="s">
        <v>131</v>
      </c>
      <c r="B816" s="1">
        <v>45736</v>
      </c>
      <c r="C816" t="s">
        <v>267</v>
      </c>
      <c r="D816" t="s">
        <v>267</v>
      </c>
      <c r="F816" t="s">
        <v>8423</v>
      </c>
      <c r="H816" t="s">
        <v>268</v>
      </c>
      <c r="I816" s="1">
        <v>45767</v>
      </c>
      <c r="K816">
        <v>-264000</v>
      </c>
      <c r="L816" t="s">
        <v>350</v>
      </c>
    </row>
    <row r="817" spans="1:12" x14ac:dyDescent="0.35">
      <c r="A817" t="s">
        <v>131</v>
      </c>
      <c r="B817" s="1">
        <v>45736</v>
      </c>
      <c r="C817" t="s">
        <v>269</v>
      </c>
      <c r="D817" t="s">
        <v>269</v>
      </c>
      <c r="F817" t="s">
        <v>7831</v>
      </c>
      <c r="G817" t="s">
        <v>7586</v>
      </c>
      <c r="H817" t="s">
        <v>148</v>
      </c>
      <c r="I817" s="1">
        <v>45736</v>
      </c>
      <c r="J817">
        <v>1239000</v>
      </c>
      <c r="L817" t="s">
        <v>6803</v>
      </c>
    </row>
    <row r="818" spans="1:12" x14ac:dyDescent="0.35">
      <c r="A818" t="s">
        <v>131</v>
      </c>
      <c r="B818" s="1">
        <v>45736</v>
      </c>
      <c r="C818" t="s">
        <v>269</v>
      </c>
      <c r="D818" t="s">
        <v>269</v>
      </c>
      <c r="F818" t="s">
        <v>7831</v>
      </c>
      <c r="G818" t="s">
        <v>7586</v>
      </c>
      <c r="H818" t="s">
        <v>148</v>
      </c>
      <c r="I818" s="1">
        <v>45736</v>
      </c>
      <c r="J818">
        <v>1239000</v>
      </c>
      <c r="L818" t="s">
        <v>6803</v>
      </c>
    </row>
    <row r="819" spans="1:12" x14ac:dyDescent="0.35">
      <c r="A819" t="s">
        <v>131</v>
      </c>
      <c r="B819" s="1">
        <v>45736</v>
      </c>
      <c r="C819" t="s">
        <v>269</v>
      </c>
      <c r="D819" t="s">
        <v>269</v>
      </c>
      <c r="F819" t="s">
        <v>7831</v>
      </c>
      <c r="G819" t="s">
        <v>7586</v>
      </c>
      <c r="H819" t="s">
        <v>248</v>
      </c>
      <c r="I819" s="1">
        <v>45736</v>
      </c>
      <c r="J819">
        <v>-1239000</v>
      </c>
      <c r="L819" t="s">
        <v>6803</v>
      </c>
    </row>
    <row r="820" spans="1:12" x14ac:dyDescent="0.35">
      <c r="A820" t="s">
        <v>131</v>
      </c>
      <c r="B820" s="1">
        <v>45736</v>
      </c>
      <c r="C820" t="s">
        <v>269</v>
      </c>
      <c r="D820" t="s">
        <v>269</v>
      </c>
      <c r="F820" t="s">
        <v>8419</v>
      </c>
      <c r="H820" t="s">
        <v>148</v>
      </c>
      <c r="I820" s="1">
        <v>45736</v>
      </c>
      <c r="K820">
        <v>162000</v>
      </c>
      <c r="L820" t="s">
        <v>6803</v>
      </c>
    </row>
    <row r="821" spans="1:12" x14ac:dyDescent="0.35">
      <c r="A821" t="s">
        <v>131</v>
      </c>
      <c r="B821" s="1">
        <v>45736</v>
      </c>
      <c r="C821" t="s">
        <v>269</v>
      </c>
      <c r="D821" t="s">
        <v>269</v>
      </c>
      <c r="F821" t="s">
        <v>8419</v>
      </c>
      <c r="H821" t="s">
        <v>148</v>
      </c>
      <c r="I821" s="1">
        <v>45736</v>
      </c>
      <c r="K821">
        <v>162000</v>
      </c>
      <c r="L821" t="s">
        <v>6803</v>
      </c>
    </row>
    <row r="822" spans="1:12" x14ac:dyDescent="0.35">
      <c r="A822" t="s">
        <v>131</v>
      </c>
      <c r="B822" s="1">
        <v>45736</v>
      </c>
      <c r="C822" t="s">
        <v>269</v>
      </c>
      <c r="D822" t="s">
        <v>269</v>
      </c>
      <c r="F822" t="s">
        <v>8419</v>
      </c>
      <c r="H822" t="s">
        <v>248</v>
      </c>
      <c r="I822" s="1">
        <v>45736</v>
      </c>
      <c r="K822">
        <v>-162000</v>
      </c>
      <c r="L822" t="s">
        <v>6803</v>
      </c>
    </row>
    <row r="823" spans="1:12" x14ac:dyDescent="0.35">
      <c r="A823" t="s">
        <v>131</v>
      </c>
      <c r="B823" s="1">
        <v>45736</v>
      </c>
      <c r="C823" t="s">
        <v>269</v>
      </c>
      <c r="D823" t="s">
        <v>269</v>
      </c>
      <c r="F823" t="s">
        <v>7701</v>
      </c>
      <c r="H823" t="s">
        <v>148</v>
      </c>
      <c r="I823" s="1">
        <v>45736</v>
      </c>
      <c r="K823">
        <v>177000</v>
      </c>
      <c r="L823" t="s">
        <v>351</v>
      </c>
    </row>
    <row r="824" spans="1:12" x14ac:dyDescent="0.35">
      <c r="A824" t="s">
        <v>131</v>
      </c>
      <c r="B824" s="1">
        <v>45736</v>
      </c>
      <c r="C824" t="s">
        <v>269</v>
      </c>
      <c r="D824" t="s">
        <v>269</v>
      </c>
      <c r="F824" t="s">
        <v>7701</v>
      </c>
      <c r="H824" t="s">
        <v>148</v>
      </c>
      <c r="I824" s="1">
        <v>45736</v>
      </c>
      <c r="K824">
        <v>177000</v>
      </c>
      <c r="L824" t="s">
        <v>351</v>
      </c>
    </row>
    <row r="825" spans="1:12" x14ac:dyDescent="0.35">
      <c r="A825" t="s">
        <v>131</v>
      </c>
      <c r="B825" s="1">
        <v>45736</v>
      </c>
      <c r="C825" t="s">
        <v>269</v>
      </c>
      <c r="D825" t="s">
        <v>269</v>
      </c>
      <c r="F825" t="s">
        <v>7701</v>
      </c>
      <c r="H825" t="s">
        <v>248</v>
      </c>
      <c r="I825" s="1">
        <v>45736</v>
      </c>
      <c r="K825">
        <v>-177000</v>
      </c>
      <c r="L825" t="s">
        <v>351</v>
      </c>
    </row>
    <row r="826" spans="1:12" x14ac:dyDescent="0.35">
      <c r="A826" t="s">
        <v>131</v>
      </c>
      <c r="B826" s="1">
        <v>45736</v>
      </c>
      <c r="C826" t="s">
        <v>269</v>
      </c>
      <c r="D826" t="s">
        <v>269</v>
      </c>
      <c r="F826" t="s">
        <v>8423</v>
      </c>
      <c r="H826" t="s">
        <v>148</v>
      </c>
      <c r="I826" s="1">
        <v>45736</v>
      </c>
      <c r="K826">
        <v>900000</v>
      </c>
      <c r="L826" t="s">
        <v>349</v>
      </c>
    </row>
    <row r="827" spans="1:12" x14ac:dyDescent="0.35">
      <c r="A827" t="s">
        <v>131</v>
      </c>
      <c r="B827" s="1">
        <v>45736</v>
      </c>
      <c r="C827" t="s">
        <v>269</v>
      </c>
      <c r="D827" t="s">
        <v>269</v>
      </c>
      <c r="F827" t="s">
        <v>8423</v>
      </c>
      <c r="H827" t="s">
        <v>148</v>
      </c>
      <c r="I827" s="1">
        <v>45736</v>
      </c>
      <c r="K827">
        <v>900000</v>
      </c>
      <c r="L827" t="s">
        <v>349</v>
      </c>
    </row>
    <row r="828" spans="1:12" x14ac:dyDescent="0.35">
      <c r="A828" t="s">
        <v>131</v>
      </c>
      <c r="B828" s="1">
        <v>45736</v>
      </c>
      <c r="C828" t="s">
        <v>269</v>
      </c>
      <c r="D828" t="s">
        <v>269</v>
      </c>
      <c r="F828" t="s">
        <v>8423</v>
      </c>
      <c r="H828" t="s">
        <v>248</v>
      </c>
      <c r="I828" s="1">
        <v>45736</v>
      </c>
      <c r="K828">
        <v>-900000</v>
      </c>
      <c r="L828" t="s">
        <v>349</v>
      </c>
    </row>
    <row r="829" spans="1:12" x14ac:dyDescent="0.35">
      <c r="A829" t="s">
        <v>131</v>
      </c>
      <c r="B829" s="1">
        <v>45736</v>
      </c>
      <c r="C829" t="s">
        <v>270</v>
      </c>
      <c r="D829" t="s">
        <v>270</v>
      </c>
      <c r="F829" t="s">
        <v>7831</v>
      </c>
      <c r="G829" t="s">
        <v>7586</v>
      </c>
      <c r="H829" t="s">
        <v>271</v>
      </c>
      <c r="I829" s="1">
        <v>45736</v>
      </c>
      <c r="J829">
        <v>375240</v>
      </c>
      <c r="L829" t="s">
        <v>6803</v>
      </c>
    </row>
    <row r="830" spans="1:12" x14ac:dyDescent="0.35">
      <c r="A830" t="s">
        <v>131</v>
      </c>
      <c r="B830" s="1">
        <v>45736</v>
      </c>
      <c r="C830" t="s">
        <v>270</v>
      </c>
      <c r="D830" t="s">
        <v>270</v>
      </c>
      <c r="F830" t="s">
        <v>7831</v>
      </c>
      <c r="G830" t="s">
        <v>7586</v>
      </c>
      <c r="H830" t="s">
        <v>272</v>
      </c>
      <c r="I830" s="1">
        <v>45736</v>
      </c>
      <c r="J830">
        <v>375240</v>
      </c>
      <c r="L830" t="s">
        <v>6803</v>
      </c>
    </row>
    <row r="831" spans="1:12" x14ac:dyDescent="0.35">
      <c r="A831" t="s">
        <v>131</v>
      </c>
      <c r="B831" s="1">
        <v>45736</v>
      </c>
      <c r="C831" t="s">
        <v>270</v>
      </c>
      <c r="D831" t="s">
        <v>270</v>
      </c>
      <c r="F831" t="s">
        <v>7831</v>
      </c>
      <c r="G831" t="s">
        <v>7586</v>
      </c>
      <c r="H831" t="s">
        <v>273</v>
      </c>
      <c r="I831" s="1">
        <v>45736</v>
      </c>
      <c r="J831">
        <v>-375240</v>
      </c>
      <c r="L831" t="s">
        <v>6803</v>
      </c>
    </row>
    <row r="832" spans="1:12" x14ac:dyDescent="0.35">
      <c r="A832" t="s">
        <v>131</v>
      </c>
      <c r="B832" s="1">
        <v>45736</v>
      </c>
      <c r="C832" t="s">
        <v>270</v>
      </c>
      <c r="D832" t="s">
        <v>270</v>
      </c>
      <c r="F832" t="s">
        <v>8419</v>
      </c>
      <c r="H832" t="s">
        <v>271</v>
      </c>
      <c r="I832" s="1">
        <v>45736</v>
      </c>
      <c r="K832">
        <v>48240</v>
      </c>
      <c r="L832" t="s">
        <v>6803</v>
      </c>
    </row>
    <row r="833" spans="1:12" x14ac:dyDescent="0.35">
      <c r="A833" t="s">
        <v>131</v>
      </c>
      <c r="B833" s="1">
        <v>45736</v>
      </c>
      <c r="C833" t="s">
        <v>270</v>
      </c>
      <c r="D833" t="s">
        <v>270</v>
      </c>
      <c r="F833" t="s">
        <v>8419</v>
      </c>
      <c r="H833" t="s">
        <v>272</v>
      </c>
      <c r="I833" s="1">
        <v>45736</v>
      </c>
      <c r="K833">
        <v>48240</v>
      </c>
      <c r="L833" t="s">
        <v>6803</v>
      </c>
    </row>
    <row r="834" spans="1:12" x14ac:dyDescent="0.35">
      <c r="A834" t="s">
        <v>131</v>
      </c>
      <c r="B834" s="1">
        <v>45736</v>
      </c>
      <c r="C834" t="s">
        <v>270</v>
      </c>
      <c r="D834" t="s">
        <v>270</v>
      </c>
      <c r="F834" t="s">
        <v>8419</v>
      </c>
      <c r="H834" t="s">
        <v>273</v>
      </c>
      <c r="I834" s="1">
        <v>45736</v>
      </c>
      <c r="K834">
        <v>-48240</v>
      </c>
      <c r="L834" t="s">
        <v>6803</v>
      </c>
    </row>
    <row r="835" spans="1:12" x14ac:dyDescent="0.35">
      <c r="A835" t="s">
        <v>131</v>
      </c>
      <c r="B835" s="1">
        <v>45736</v>
      </c>
      <c r="C835" t="s">
        <v>270</v>
      </c>
      <c r="D835" t="s">
        <v>270</v>
      </c>
      <c r="F835" t="s">
        <v>7701</v>
      </c>
      <c r="H835" t="s">
        <v>271</v>
      </c>
      <c r="I835" s="1">
        <v>45736</v>
      </c>
      <c r="K835">
        <v>59000</v>
      </c>
      <c r="L835" t="s">
        <v>351</v>
      </c>
    </row>
    <row r="836" spans="1:12" x14ac:dyDescent="0.35">
      <c r="A836" t="s">
        <v>131</v>
      </c>
      <c r="B836" s="1">
        <v>45736</v>
      </c>
      <c r="C836" t="s">
        <v>270</v>
      </c>
      <c r="D836" t="s">
        <v>270</v>
      </c>
      <c r="F836" t="s">
        <v>7701</v>
      </c>
      <c r="H836" t="s">
        <v>272</v>
      </c>
      <c r="I836" s="1">
        <v>45736</v>
      </c>
      <c r="K836">
        <v>59000</v>
      </c>
      <c r="L836" t="s">
        <v>351</v>
      </c>
    </row>
    <row r="837" spans="1:12" x14ac:dyDescent="0.35">
      <c r="A837" t="s">
        <v>131</v>
      </c>
      <c r="B837" s="1">
        <v>45736</v>
      </c>
      <c r="C837" t="s">
        <v>270</v>
      </c>
      <c r="D837" t="s">
        <v>270</v>
      </c>
      <c r="F837" t="s">
        <v>7701</v>
      </c>
      <c r="H837" t="s">
        <v>273</v>
      </c>
      <c r="I837" s="1">
        <v>45736</v>
      </c>
      <c r="K837">
        <v>-59000</v>
      </c>
      <c r="L837" t="s">
        <v>351</v>
      </c>
    </row>
    <row r="838" spans="1:12" x14ac:dyDescent="0.35">
      <c r="A838" t="s">
        <v>131</v>
      </c>
      <c r="B838" s="1">
        <v>45736</v>
      </c>
      <c r="C838" t="s">
        <v>270</v>
      </c>
      <c r="D838" t="s">
        <v>270</v>
      </c>
      <c r="F838" t="s">
        <v>8423</v>
      </c>
      <c r="H838" t="s">
        <v>271</v>
      </c>
      <c r="I838" s="1">
        <v>45736</v>
      </c>
      <c r="K838">
        <v>268000</v>
      </c>
      <c r="L838" t="s">
        <v>349</v>
      </c>
    </row>
    <row r="839" spans="1:12" x14ac:dyDescent="0.35">
      <c r="A839" t="s">
        <v>131</v>
      </c>
      <c r="B839" s="1">
        <v>45736</v>
      </c>
      <c r="C839" t="s">
        <v>270</v>
      </c>
      <c r="D839" t="s">
        <v>270</v>
      </c>
      <c r="F839" t="s">
        <v>8423</v>
      </c>
      <c r="H839" t="s">
        <v>272</v>
      </c>
      <c r="I839" s="1">
        <v>45736</v>
      </c>
      <c r="K839">
        <v>268000</v>
      </c>
      <c r="L839" t="s">
        <v>349</v>
      </c>
    </row>
    <row r="840" spans="1:12" x14ac:dyDescent="0.35">
      <c r="A840" t="s">
        <v>131</v>
      </c>
      <c r="B840" s="1">
        <v>45736</v>
      </c>
      <c r="C840" t="s">
        <v>270</v>
      </c>
      <c r="D840" t="s">
        <v>270</v>
      </c>
      <c r="F840" t="s">
        <v>8423</v>
      </c>
      <c r="H840" t="s">
        <v>273</v>
      </c>
      <c r="I840" s="1">
        <v>45736</v>
      </c>
      <c r="K840">
        <v>-268000</v>
      </c>
      <c r="L840" t="s">
        <v>349</v>
      </c>
    </row>
    <row r="841" spans="1:12" x14ac:dyDescent="0.35">
      <c r="A841" t="s">
        <v>131</v>
      </c>
      <c r="B841" s="1">
        <v>45736</v>
      </c>
      <c r="C841" t="s">
        <v>274</v>
      </c>
      <c r="D841" t="s">
        <v>274</v>
      </c>
      <c r="F841" t="s">
        <v>7831</v>
      </c>
      <c r="G841" t="s">
        <v>7586</v>
      </c>
      <c r="H841" t="s">
        <v>148</v>
      </c>
      <c r="I841" s="1">
        <v>45736</v>
      </c>
      <c r="J841">
        <v>241900</v>
      </c>
      <c r="L841" t="s">
        <v>6803</v>
      </c>
    </row>
    <row r="842" spans="1:12" x14ac:dyDescent="0.35">
      <c r="A842" t="s">
        <v>131</v>
      </c>
      <c r="B842" s="1">
        <v>45736</v>
      </c>
      <c r="C842" t="s">
        <v>274</v>
      </c>
      <c r="D842" t="s">
        <v>274</v>
      </c>
      <c r="F842" t="s">
        <v>7831</v>
      </c>
      <c r="G842" t="s">
        <v>7586</v>
      </c>
      <c r="H842" t="s">
        <v>148</v>
      </c>
      <c r="I842" s="1">
        <v>45736</v>
      </c>
      <c r="J842">
        <v>241900</v>
      </c>
      <c r="L842" t="s">
        <v>6803</v>
      </c>
    </row>
    <row r="843" spans="1:12" x14ac:dyDescent="0.35">
      <c r="A843" t="s">
        <v>131</v>
      </c>
      <c r="B843" s="1">
        <v>45736</v>
      </c>
      <c r="C843" t="s">
        <v>274</v>
      </c>
      <c r="D843" t="s">
        <v>274</v>
      </c>
      <c r="F843" t="s">
        <v>7831</v>
      </c>
      <c r="G843" t="s">
        <v>7586</v>
      </c>
      <c r="H843" t="s">
        <v>248</v>
      </c>
      <c r="I843" s="1">
        <v>45736</v>
      </c>
      <c r="J843">
        <v>-241900</v>
      </c>
      <c r="L843" t="s">
        <v>6803</v>
      </c>
    </row>
    <row r="844" spans="1:12" x14ac:dyDescent="0.35">
      <c r="A844" t="s">
        <v>131</v>
      </c>
      <c r="B844" s="1">
        <v>45736</v>
      </c>
      <c r="C844" t="s">
        <v>274</v>
      </c>
      <c r="D844" t="s">
        <v>274</v>
      </c>
      <c r="F844" t="s">
        <v>8419</v>
      </c>
      <c r="H844" t="s">
        <v>148</v>
      </c>
      <c r="I844" s="1">
        <v>45736</v>
      </c>
      <c r="K844">
        <v>32400</v>
      </c>
      <c r="L844" t="s">
        <v>6803</v>
      </c>
    </row>
    <row r="845" spans="1:12" x14ac:dyDescent="0.35">
      <c r="A845" t="s">
        <v>131</v>
      </c>
      <c r="B845" s="1">
        <v>45736</v>
      </c>
      <c r="C845" t="s">
        <v>274</v>
      </c>
      <c r="D845" t="s">
        <v>274</v>
      </c>
      <c r="F845" t="s">
        <v>8419</v>
      </c>
      <c r="H845" t="s">
        <v>148</v>
      </c>
      <c r="I845" s="1">
        <v>45736</v>
      </c>
      <c r="K845">
        <v>32400</v>
      </c>
      <c r="L845" t="s">
        <v>6803</v>
      </c>
    </row>
    <row r="846" spans="1:12" x14ac:dyDescent="0.35">
      <c r="A846" t="s">
        <v>131</v>
      </c>
      <c r="B846" s="1">
        <v>45736</v>
      </c>
      <c r="C846" t="s">
        <v>274</v>
      </c>
      <c r="D846" t="s">
        <v>274</v>
      </c>
      <c r="F846" t="s">
        <v>8419</v>
      </c>
      <c r="H846" t="s">
        <v>248</v>
      </c>
      <c r="I846" s="1">
        <v>45736</v>
      </c>
      <c r="K846">
        <v>-32400</v>
      </c>
      <c r="L846" t="s">
        <v>6803</v>
      </c>
    </row>
    <row r="847" spans="1:12" x14ac:dyDescent="0.35">
      <c r="A847" t="s">
        <v>131</v>
      </c>
      <c r="B847" s="1">
        <v>45736</v>
      </c>
      <c r="C847" t="s">
        <v>274</v>
      </c>
      <c r="D847" t="s">
        <v>274</v>
      </c>
      <c r="F847" t="s">
        <v>7701</v>
      </c>
      <c r="H847" t="s">
        <v>148</v>
      </c>
      <c r="I847" s="1">
        <v>45736</v>
      </c>
      <c r="K847">
        <v>29500</v>
      </c>
      <c r="L847" t="s">
        <v>351</v>
      </c>
    </row>
    <row r="848" spans="1:12" x14ac:dyDescent="0.35">
      <c r="A848" t="s">
        <v>131</v>
      </c>
      <c r="B848" s="1">
        <v>45736</v>
      </c>
      <c r="C848" t="s">
        <v>274</v>
      </c>
      <c r="D848" t="s">
        <v>274</v>
      </c>
      <c r="F848" t="s">
        <v>7701</v>
      </c>
      <c r="H848" t="s">
        <v>148</v>
      </c>
      <c r="I848" s="1">
        <v>45736</v>
      </c>
      <c r="K848">
        <v>29500</v>
      </c>
      <c r="L848" t="s">
        <v>351</v>
      </c>
    </row>
    <row r="849" spans="1:12" x14ac:dyDescent="0.35">
      <c r="A849" t="s">
        <v>131</v>
      </c>
      <c r="B849" s="1">
        <v>45736</v>
      </c>
      <c r="C849" t="s">
        <v>274</v>
      </c>
      <c r="D849" t="s">
        <v>274</v>
      </c>
      <c r="F849" t="s">
        <v>7701</v>
      </c>
      <c r="H849" t="s">
        <v>248</v>
      </c>
      <c r="I849" s="1">
        <v>45736</v>
      </c>
      <c r="K849">
        <v>-29500</v>
      </c>
      <c r="L849" t="s">
        <v>351</v>
      </c>
    </row>
    <row r="850" spans="1:12" x14ac:dyDescent="0.35">
      <c r="A850" t="s">
        <v>131</v>
      </c>
      <c r="B850" s="1">
        <v>45736</v>
      </c>
      <c r="C850" t="s">
        <v>274</v>
      </c>
      <c r="D850" t="s">
        <v>274</v>
      </c>
      <c r="F850" t="s">
        <v>8423</v>
      </c>
      <c r="H850" t="s">
        <v>148</v>
      </c>
      <c r="I850" s="1">
        <v>45736</v>
      </c>
      <c r="K850">
        <v>180000</v>
      </c>
      <c r="L850" t="s">
        <v>349</v>
      </c>
    </row>
    <row r="851" spans="1:12" x14ac:dyDescent="0.35">
      <c r="A851" t="s">
        <v>131</v>
      </c>
      <c r="B851" s="1">
        <v>45736</v>
      </c>
      <c r="C851" t="s">
        <v>274</v>
      </c>
      <c r="D851" t="s">
        <v>274</v>
      </c>
      <c r="F851" t="s">
        <v>8423</v>
      </c>
      <c r="H851" t="s">
        <v>148</v>
      </c>
      <c r="I851" s="1">
        <v>45736</v>
      </c>
      <c r="K851">
        <v>180000</v>
      </c>
      <c r="L851" t="s">
        <v>349</v>
      </c>
    </row>
    <row r="852" spans="1:12" x14ac:dyDescent="0.35">
      <c r="A852" t="s">
        <v>131</v>
      </c>
      <c r="B852" s="1">
        <v>45736</v>
      </c>
      <c r="C852" t="s">
        <v>274</v>
      </c>
      <c r="D852" t="s">
        <v>274</v>
      </c>
      <c r="F852" t="s">
        <v>8423</v>
      </c>
      <c r="H852" t="s">
        <v>248</v>
      </c>
      <c r="I852" s="1">
        <v>45736</v>
      </c>
      <c r="K852">
        <v>-180000</v>
      </c>
      <c r="L852" t="s">
        <v>349</v>
      </c>
    </row>
    <row r="853" spans="1:12" x14ac:dyDescent="0.35">
      <c r="A853" t="s">
        <v>131</v>
      </c>
      <c r="B853" s="1">
        <v>45736</v>
      </c>
      <c r="C853" t="s">
        <v>275</v>
      </c>
      <c r="D853" t="s">
        <v>275</v>
      </c>
      <c r="F853" t="s">
        <v>7831</v>
      </c>
      <c r="G853" t="s">
        <v>9925</v>
      </c>
      <c r="H853" t="s">
        <v>139</v>
      </c>
      <c r="I853" s="1">
        <v>45767</v>
      </c>
      <c r="J853">
        <v>750480</v>
      </c>
      <c r="L853" t="s">
        <v>6803</v>
      </c>
    </row>
    <row r="854" spans="1:12" x14ac:dyDescent="0.35">
      <c r="A854" t="s">
        <v>131</v>
      </c>
      <c r="B854" s="1">
        <v>45736</v>
      </c>
      <c r="C854" t="s">
        <v>275</v>
      </c>
      <c r="D854" t="s">
        <v>275</v>
      </c>
      <c r="F854" t="s">
        <v>7831</v>
      </c>
      <c r="G854" t="s">
        <v>9925</v>
      </c>
      <c r="H854" t="s">
        <v>139</v>
      </c>
      <c r="I854" s="1">
        <v>45767</v>
      </c>
      <c r="J854">
        <v>750480</v>
      </c>
      <c r="L854" t="s">
        <v>6803</v>
      </c>
    </row>
    <row r="855" spans="1:12" x14ac:dyDescent="0.35">
      <c r="A855" t="s">
        <v>131</v>
      </c>
      <c r="B855" s="1">
        <v>45736</v>
      </c>
      <c r="C855" t="s">
        <v>275</v>
      </c>
      <c r="D855" t="s">
        <v>275</v>
      </c>
      <c r="F855" t="s">
        <v>7831</v>
      </c>
      <c r="G855" t="s">
        <v>9925</v>
      </c>
      <c r="H855" t="s">
        <v>254</v>
      </c>
      <c r="I855" s="1">
        <v>45767</v>
      </c>
      <c r="J855">
        <v>-750480</v>
      </c>
      <c r="L855" t="s">
        <v>6803</v>
      </c>
    </row>
    <row r="856" spans="1:12" x14ac:dyDescent="0.35">
      <c r="A856" t="s">
        <v>131</v>
      </c>
      <c r="B856" s="1">
        <v>45736</v>
      </c>
      <c r="C856" t="s">
        <v>275</v>
      </c>
      <c r="D856" t="s">
        <v>275</v>
      </c>
      <c r="F856" t="s">
        <v>8419</v>
      </c>
      <c r="H856" t="s">
        <v>139</v>
      </c>
      <c r="I856" s="1">
        <v>45767</v>
      </c>
      <c r="K856">
        <v>96480</v>
      </c>
      <c r="L856" t="s">
        <v>6803</v>
      </c>
    </row>
    <row r="857" spans="1:12" x14ac:dyDescent="0.35">
      <c r="A857" t="s">
        <v>131</v>
      </c>
      <c r="B857" s="1">
        <v>45736</v>
      </c>
      <c r="C857" t="s">
        <v>275</v>
      </c>
      <c r="D857" t="s">
        <v>275</v>
      </c>
      <c r="F857" t="s">
        <v>8419</v>
      </c>
      <c r="H857" t="s">
        <v>139</v>
      </c>
      <c r="I857" s="1">
        <v>45767</v>
      </c>
      <c r="K857">
        <v>96480</v>
      </c>
      <c r="L857" t="s">
        <v>6803</v>
      </c>
    </row>
    <row r="858" spans="1:12" x14ac:dyDescent="0.35">
      <c r="A858" t="s">
        <v>131</v>
      </c>
      <c r="B858" s="1">
        <v>45736</v>
      </c>
      <c r="C858" t="s">
        <v>275</v>
      </c>
      <c r="D858" t="s">
        <v>275</v>
      </c>
      <c r="F858" t="s">
        <v>8419</v>
      </c>
      <c r="H858" t="s">
        <v>254</v>
      </c>
      <c r="I858" s="1">
        <v>45767</v>
      </c>
      <c r="K858">
        <v>-96480</v>
      </c>
      <c r="L858" t="s">
        <v>6803</v>
      </c>
    </row>
    <row r="859" spans="1:12" x14ac:dyDescent="0.35">
      <c r="A859" t="s">
        <v>131</v>
      </c>
      <c r="B859" s="1">
        <v>45736</v>
      </c>
      <c r="C859" t="s">
        <v>275</v>
      </c>
      <c r="D859" t="s">
        <v>275</v>
      </c>
      <c r="F859" t="s">
        <v>7701</v>
      </c>
      <c r="H859" t="s">
        <v>139</v>
      </c>
      <c r="I859" s="1">
        <v>45767</v>
      </c>
      <c r="K859">
        <v>118000</v>
      </c>
      <c r="L859" t="s">
        <v>351</v>
      </c>
    </row>
    <row r="860" spans="1:12" x14ac:dyDescent="0.35">
      <c r="A860" t="s">
        <v>131</v>
      </c>
      <c r="B860" s="1">
        <v>45736</v>
      </c>
      <c r="C860" t="s">
        <v>275</v>
      </c>
      <c r="D860" t="s">
        <v>275</v>
      </c>
      <c r="F860" t="s">
        <v>7701</v>
      </c>
      <c r="H860" t="s">
        <v>139</v>
      </c>
      <c r="I860" s="1">
        <v>45767</v>
      </c>
      <c r="K860">
        <v>118000</v>
      </c>
      <c r="L860" t="s">
        <v>351</v>
      </c>
    </row>
    <row r="861" spans="1:12" x14ac:dyDescent="0.35">
      <c r="A861" t="s">
        <v>131</v>
      </c>
      <c r="B861" s="1">
        <v>45736</v>
      </c>
      <c r="C861" t="s">
        <v>275</v>
      </c>
      <c r="D861" t="s">
        <v>275</v>
      </c>
      <c r="F861" t="s">
        <v>7701</v>
      </c>
      <c r="H861" t="s">
        <v>254</v>
      </c>
      <c r="I861" s="1">
        <v>45767</v>
      </c>
      <c r="K861">
        <v>-118000</v>
      </c>
      <c r="L861" t="s">
        <v>351</v>
      </c>
    </row>
    <row r="862" spans="1:12" x14ac:dyDescent="0.35">
      <c r="A862" t="s">
        <v>131</v>
      </c>
      <c r="B862" s="1">
        <v>45736</v>
      </c>
      <c r="C862" t="s">
        <v>275</v>
      </c>
      <c r="D862" t="s">
        <v>275</v>
      </c>
      <c r="F862" t="s">
        <v>8423</v>
      </c>
      <c r="H862" t="s">
        <v>139</v>
      </c>
      <c r="I862" s="1">
        <v>45767</v>
      </c>
      <c r="K862">
        <v>536000</v>
      </c>
      <c r="L862" t="s">
        <v>349</v>
      </c>
    </row>
    <row r="863" spans="1:12" x14ac:dyDescent="0.35">
      <c r="A863" t="s">
        <v>131</v>
      </c>
      <c r="B863" s="1">
        <v>45736</v>
      </c>
      <c r="C863" t="s">
        <v>275</v>
      </c>
      <c r="D863" t="s">
        <v>275</v>
      </c>
      <c r="F863" t="s">
        <v>8423</v>
      </c>
      <c r="H863" t="s">
        <v>139</v>
      </c>
      <c r="I863" s="1">
        <v>45767</v>
      </c>
      <c r="K863">
        <v>536000</v>
      </c>
      <c r="L863" t="s">
        <v>349</v>
      </c>
    </row>
    <row r="864" spans="1:12" x14ac:dyDescent="0.35">
      <c r="A864" t="s">
        <v>131</v>
      </c>
      <c r="B864" s="1">
        <v>45736</v>
      </c>
      <c r="C864" t="s">
        <v>275</v>
      </c>
      <c r="D864" t="s">
        <v>275</v>
      </c>
      <c r="F864" t="s">
        <v>8423</v>
      </c>
      <c r="H864" t="s">
        <v>254</v>
      </c>
      <c r="I864" s="1">
        <v>45767</v>
      </c>
      <c r="K864">
        <v>-536000</v>
      </c>
      <c r="L864" t="s">
        <v>349</v>
      </c>
    </row>
    <row r="865" spans="1:12" x14ac:dyDescent="0.35">
      <c r="A865" t="s">
        <v>131</v>
      </c>
      <c r="B865" s="1">
        <v>45736</v>
      </c>
      <c r="C865" t="s">
        <v>276</v>
      </c>
      <c r="D865" t="s">
        <v>276</v>
      </c>
      <c r="F865" t="s">
        <v>7831</v>
      </c>
      <c r="G865" t="s">
        <v>9924</v>
      </c>
      <c r="H865" t="s">
        <v>154</v>
      </c>
      <c r="I865" s="1">
        <v>45736</v>
      </c>
      <c r="J865">
        <v>2147600</v>
      </c>
      <c r="L865" t="s">
        <v>6803</v>
      </c>
    </row>
    <row r="866" spans="1:12" x14ac:dyDescent="0.35">
      <c r="A866" t="s">
        <v>131</v>
      </c>
      <c r="B866" s="1">
        <v>45736</v>
      </c>
      <c r="C866" t="s">
        <v>276</v>
      </c>
      <c r="D866" t="s">
        <v>276</v>
      </c>
      <c r="F866" t="s">
        <v>7831</v>
      </c>
      <c r="G866" t="s">
        <v>9924</v>
      </c>
      <c r="H866" t="s">
        <v>154</v>
      </c>
      <c r="I866" s="1">
        <v>45736</v>
      </c>
      <c r="J866">
        <v>2147600</v>
      </c>
      <c r="L866" t="s">
        <v>6803</v>
      </c>
    </row>
    <row r="867" spans="1:12" x14ac:dyDescent="0.35">
      <c r="A867" t="s">
        <v>131</v>
      </c>
      <c r="B867" s="1">
        <v>45736</v>
      </c>
      <c r="C867" t="s">
        <v>276</v>
      </c>
      <c r="D867" t="s">
        <v>276</v>
      </c>
      <c r="F867" t="s">
        <v>7831</v>
      </c>
      <c r="G867" t="s">
        <v>9924</v>
      </c>
      <c r="H867" t="s">
        <v>155</v>
      </c>
      <c r="I867" s="1">
        <v>45736</v>
      </c>
      <c r="J867">
        <v>-2147600</v>
      </c>
      <c r="L867" t="s">
        <v>6803</v>
      </c>
    </row>
    <row r="868" spans="1:12" x14ac:dyDescent="0.35">
      <c r="A868" t="s">
        <v>131</v>
      </c>
      <c r="B868" s="1">
        <v>45736</v>
      </c>
      <c r="C868" t="s">
        <v>276</v>
      </c>
      <c r="D868" t="s">
        <v>276</v>
      </c>
      <c r="F868" t="s">
        <v>8419</v>
      </c>
      <c r="H868" t="s">
        <v>154</v>
      </c>
      <c r="I868" s="1">
        <v>45736</v>
      </c>
      <c r="K868">
        <v>237600</v>
      </c>
      <c r="L868" t="s">
        <v>6803</v>
      </c>
    </row>
    <row r="869" spans="1:12" x14ac:dyDescent="0.35">
      <c r="A869" t="s">
        <v>131</v>
      </c>
      <c r="B869" s="1">
        <v>45736</v>
      </c>
      <c r="C869" t="s">
        <v>276</v>
      </c>
      <c r="D869" t="s">
        <v>276</v>
      </c>
      <c r="F869" t="s">
        <v>8419</v>
      </c>
      <c r="H869" t="s">
        <v>154</v>
      </c>
      <c r="I869" s="1">
        <v>45736</v>
      </c>
      <c r="K869">
        <v>237600</v>
      </c>
      <c r="L869" t="s">
        <v>6803</v>
      </c>
    </row>
    <row r="870" spans="1:12" x14ac:dyDescent="0.35">
      <c r="A870" t="s">
        <v>131</v>
      </c>
      <c r="B870" s="1">
        <v>45736</v>
      </c>
      <c r="C870" t="s">
        <v>276</v>
      </c>
      <c r="D870" t="s">
        <v>276</v>
      </c>
      <c r="F870" t="s">
        <v>8419</v>
      </c>
      <c r="H870" t="s">
        <v>155</v>
      </c>
      <c r="I870" s="1">
        <v>45736</v>
      </c>
      <c r="K870">
        <v>-237600</v>
      </c>
      <c r="L870" t="s">
        <v>6803</v>
      </c>
    </row>
    <row r="871" spans="1:12" x14ac:dyDescent="0.35">
      <c r="A871" t="s">
        <v>131</v>
      </c>
      <c r="B871" s="1">
        <v>45736</v>
      </c>
      <c r="C871" t="s">
        <v>276</v>
      </c>
      <c r="D871" t="s">
        <v>276</v>
      </c>
      <c r="F871" t="s">
        <v>7701</v>
      </c>
      <c r="H871" t="s">
        <v>154</v>
      </c>
      <c r="I871" s="1">
        <v>45736</v>
      </c>
      <c r="K871">
        <v>590000</v>
      </c>
      <c r="L871" t="s">
        <v>351</v>
      </c>
    </row>
    <row r="872" spans="1:12" x14ac:dyDescent="0.35">
      <c r="A872" t="s">
        <v>131</v>
      </c>
      <c r="B872" s="1">
        <v>45736</v>
      </c>
      <c r="C872" t="s">
        <v>276</v>
      </c>
      <c r="D872" t="s">
        <v>276</v>
      </c>
      <c r="F872" t="s">
        <v>7701</v>
      </c>
      <c r="H872" t="s">
        <v>154</v>
      </c>
      <c r="I872" s="1">
        <v>45736</v>
      </c>
      <c r="K872">
        <v>590000</v>
      </c>
      <c r="L872" t="s">
        <v>351</v>
      </c>
    </row>
    <row r="873" spans="1:12" x14ac:dyDescent="0.35">
      <c r="A873" t="s">
        <v>131</v>
      </c>
      <c r="B873" s="1">
        <v>45736</v>
      </c>
      <c r="C873" t="s">
        <v>276</v>
      </c>
      <c r="D873" t="s">
        <v>276</v>
      </c>
      <c r="F873" t="s">
        <v>7701</v>
      </c>
      <c r="H873" t="s">
        <v>155</v>
      </c>
      <c r="I873" s="1">
        <v>45736</v>
      </c>
      <c r="K873">
        <v>-590000</v>
      </c>
      <c r="L873" t="s">
        <v>351</v>
      </c>
    </row>
    <row r="874" spans="1:12" x14ac:dyDescent="0.35">
      <c r="A874" t="s">
        <v>131</v>
      </c>
      <c r="B874" s="1">
        <v>45736</v>
      </c>
      <c r="C874" t="s">
        <v>276</v>
      </c>
      <c r="D874" t="s">
        <v>276</v>
      </c>
      <c r="F874" t="s">
        <v>8423</v>
      </c>
      <c r="H874" t="s">
        <v>154</v>
      </c>
      <c r="I874" s="1">
        <v>45736</v>
      </c>
      <c r="K874">
        <v>1320000</v>
      </c>
      <c r="L874" t="s">
        <v>349</v>
      </c>
    </row>
    <row r="875" spans="1:12" x14ac:dyDescent="0.35">
      <c r="A875" t="s">
        <v>131</v>
      </c>
      <c r="B875" s="1">
        <v>45736</v>
      </c>
      <c r="C875" t="s">
        <v>276</v>
      </c>
      <c r="D875" t="s">
        <v>276</v>
      </c>
      <c r="F875" t="s">
        <v>8423</v>
      </c>
      <c r="H875" t="s">
        <v>154</v>
      </c>
      <c r="I875" s="1">
        <v>45736</v>
      </c>
      <c r="K875">
        <v>1320000</v>
      </c>
      <c r="L875" t="s">
        <v>349</v>
      </c>
    </row>
    <row r="876" spans="1:12" x14ac:dyDescent="0.35">
      <c r="A876" t="s">
        <v>131</v>
      </c>
      <c r="B876" s="1">
        <v>45736</v>
      </c>
      <c r="C876" t="s">
        <v>276</v>
      </c>
      <c r="D876" t="s">
        <v>276</v>
      </c>
      <c r="F876" t="s">
        <v>8423</v>
      </c>
      <c r="H876" t="s">
        <v>155</v>
      </c>
      <c r="I876" s="1">
        <v>45736</v>
      </c>
      <c r="K876">
        <v>-1320000</v>
      </c>
      <c r="L876" t="s">
        <v>349</v>
      </c>
    </row>
    <row r="877" spans="1:12" x14ac:dyDescent="0.35">
      <c r="A877" t="s">
        <v>131</v>
      </c>
      <c r="B877" s="1">
        <v>45736</v>
      </c>
      <c r="C877" t="s">
        <v>277</v>
      </c>
      <c r="D877" t="s">
        <v>277</v>
      </c>
      <c r="F877" t="s">
        <v>7831</v>
      </c>
      <c r="G877" t="s">
        <v>7586</v>
      </c>
      <c r="H877" t="s">
        <v>271</v>
      </c>
      <c r="I877" s="1">
        <v>45736</v>
      </c>
      <c r="J877">
        <v>1688580</v>
      </c>
      <c r="L877" t="s">
        <v>6803</v>
      </c>
    </row>
    <row r="878" spans="1:12" x14ac:dyDescent="0.35">
      <c r="A878" t="s">
        <v>131</v>
      </c>
      <c r="B878" s="1">
        <v>45736</v>
      </c>
      <c r="C878" t="s">
        <v>277</v>
      </c>
      <c r="D878" t="s">
        <v>277</v>
      </c>
      <c r="F878" t="s">
        <v>7831</v>
      </c>
      <c r="G878" t="s">
        <v>7586</v>
      </c>
      <c r="H878" t="s">
        <v>272</v>
      </c>
      <c r="I878" s="1">
        <v>45736</v>
      </c>
      <c r="J878">
        <v>1688580</v>
      </c>
      <c r="L878" t="s">
        <v>6803</v>
      </c>
    </row>
    <row r="879" spans="1:12" x14ac:dyDescent="0.35">
      <c r="A879" t="s">
        <v>131</v>
      </c>
      <c r="B879" s="1">
        <v>45736</v>
      </c>
      <c r="C879" t="s">
        <v>277</v>
      </c>
      <c r="D879" t="s">
        <v>277</v>
      </c>
      <c r="F879" t="s">
        <v>7831</v>
      </c>
      <c r="G879" t="s">
        <v>7586</v>
      </c>
      <c r="H879" t="s">
        <v>273</v>
      </c>
      <c r="I879" s="1">
        <v>45736</v>
      </c>
      <c r="J879">
        <v>-1688580</v>
      </c>
      <c r="L879" t="s">
        <v>6803</v>
      </c>
    </row>
    <row r="880" spans="1:12" x14ac:dyDescent="0.35">
      <c r="A880" t="s">
        <v>131</v>
      </c>
      <c r="B880" s="1">
        <v>45736</v>
      </c>
      <c r="C880" t="s">
        <v>277</v>
      </c>
      <c r="D880" t="s">
        <v>277</v>
      </c>
      <c r="F880" t="s">
        <v>8419</v>
      </c>
      <c r="H880" t="s">
        <v>271</v>
      </c>
      <c r="I880" s="1">
        <v>45736</v>
      </c>
      <c r="K880">
        <v>217080</v>
      </c>
      <c r="L880" t="s">
        <v>6803</v>
      </c>
    </row>
    <row r="881" spans="1:12" x14ac:dyDescent="0.35">
      <c r="A881" t="s">
        <v>131</v>
      </c>
      <c r="B881" s="1">
        <v>45736</v>
      </c>
      <c r="C881" t="s">
        <v>277</v>
      </c>
      <c r="D881" t="s">
        <v>277</v>
      </c>
      <c r="F881" t="s">
        <v>8419</v>
      </c>
      <c r="H881" t="s">
        <v>272</v>
      </c>
      <c r="I881" s="1">
        <v>45736</v>
      </c>
      <c r="K881">
        <v>217080</v>
      </c>
      <c r="L881" t="s">
        <v>6803</v>
      </c>
    </row>
    <row r="882" spans="1:12" x14ac:dyDescent="0.35">
      <c r="A882" t="s">
        <v>131</v>
      </c>
      <c r="B882" s="1">
        <v>45736</v>
      </c>
      <c r="C882" t="s">
        <v>277</v>
      </c>
      <c r="D882" t="s">
        <v>277</v>
      </c>
      <c r="F882" t="s">
        <v>8419</v>
      </c>
      <c r="H882" t="s">
        <v>273</v>
      </c>
      <c r="I882" s="1">
        <v>45736</v>
      </c>
      <c r="K882">
        <v>-217080</v>
      </c>
      <c r="L882" t="s">
        <v>6803</v>
      </c>
    </row>
    <row r="883" spans="1:12" x14ac:dyDescent="0.35">
      <c r="A883" t="s">
        <v>131</v>
      </c>
      <c r="B883" s="1">
        <v>45736</v>
      </c>
      <c r="C883" t="s">
        <v>277</v>
      </c>
      <c r="D883" t="s">
        <v>277</v>
      </c>
      <c r="F883" t="s">
        <v>7701</v>
      </c>
      <c r="H883" t="s">
        <v>271</v>
      </c>
      <c r="I883" s="1">
        <v>45736</v>
      </c>
      <c r="K883">
        <v>265500</v>
      </c>
      <c r="L883" t="s">
        <v>351</v>
      </c>
    </row>
    <row r="884" spans="1:12" x14ac:dyDescent="0.35">
      <c r="A884" t="s">
        <v>131</v>
      </c>
      <c r="B884" s="1">
        <v>45736</v>
      </c>
      <c r="C884" t="s">
        <v>277</v>
      </c>
      <c r="D884" t="s">
        <v>277</v>
      </c>
      <c r="F884" t="s">
        <v>7701</v>
      </c>
      <c r="H884" t="s">
        <v>272</v>
      </c>
      <c r="I884" s="1">
        <v>45736</v>
      </c>
      <c r="K884">
        <v>265500</v>
      </c>
      <c r="L884" t="s">
        <v>351</v>
      </c>
    </row>
    <row r="885" spans="1:12" x14ac:dyDescent="0.35">
      <c r="A885" t="s">
        <v>131</v>
      </c>
      <c r="B885" s="1">
        <v>45736</v>
      </c>
      <c r="C885" t="s">
        <v>277</v>
      </c>
      <c r="D885" t="s">
        <v>277</v>
      </c>
      <c r="F885" t="s">
        <v>7701</v>
      </c>
      <c r="H885" t="s">
        <v>273</v>
      </c>
      <c r="I885" s="1">
        <v>45736</v>
      </c>
      <c r="K885">
        <v>-265500</v>
      </c>
      <c r="L885" t="s">
        <v>351</v>
      </c>
    </row>
    <row r="886" spans="1:12" x14ac:dyDescent="0.35">
      <c r="A886" t="s">
        <v>131</v>
      </c>
      <c r="B886" s="1">
        <v>45736</v>
      </c>
      <c r="C886" t="s">
        <v>277</v>
      </c>
      <c r="D886" t="s">
        <v>277</v>
      </c>
      <c r="F886" t="s">
        <v>8423</v>
      </c>
      <c r="H886" t="s">
        <v>271</v>
      </c>
      <c r="I886" s="1">
        <v>45736</v>
      </c>
      <c r="K886">
        <v>1206000</v>
      </c>
      <c r="L886" t="s">
        <v>349</v>
      </c>
    </row>
    <row r="887" spans="1:12" x14ac:dyDescent="0.35">
      <c r="A887" t="s">
        <v>131</v>
      </c>
      <c r="B887" s="1">
        <v>45736</v>
      </c>
      <c r="C887" t="s">
        <v>277</v>
      </c>
      <c r="D887" t="s">
        <v>277</v>
      </c>
      <c r="F887" t="s">
        <v>8423</v>
      </c>
      <c r="H887" t="s">
        <v>272</v>
      </c>
      <c r="I887" s="1">
        <v>45736</v>
      </c>
      <c r="K887">
        <v>1206000</v>
      </c>
      <c r="L887" t="s">
        <v>349</v>
      </c>
    </row>
    <row r="888" spans="1:12" x14ac:dyDescent="0.35">
      <c r="A888" t="s">
        <v>131</v>
      </c>
      <c r="B888" s="1">
        <v>45736</v>
      </c>
      <c r="C888" t="s">
        <v>277</v>
      </c>
      <c r="D888" t="s">
        <v>277</v>
      </c>
      <c r="F888" t="s">
        <v>8423</v>
      </c>
      <c r="H888" t="s">
        <v>273</v>
      </c>
      <c r="I888" s="1">
        <v>45736</v>
      </c>
      <c r="K888">
        <v>-1206000</v>
      </c>
      <c r="L888" t="s">
        <v>349</v>
      </c>
    </row>
    <row r="889" spans="1:12" x14ac:dyDescent="0.35">
      <c r="A889" t="s">
        <v>131</v>
      </c>
      <c r="B889" s="1">
        <v>45736</v>
      </c>
      <c r="C889" t="s">
        <v>278</v>
      </c>
      <c r="D889" t="s">
        <v>278</v>
      </c>
      <c r="F889" t="s">
        <v>7831</v>
      </c>
      <c r="G889" t="s">
        <v>9925</v>
      </c>
      <c r="H889" t="s">
        <v>139</v>
      </c>
      <c r="I889" s="1">
        <v>45767</v>
      </c>
      <c r="J889">
        <v>3752400</v>
      </c>
      <c r="L889" t="s">
        <v>6803</v>
      </c>
    </row>
    <row r="890" spans="1:12" x14ac:dyDescent="0.35">
      <c r="A890" t="s">
        <v>131</v>
      </c>
      <c r="B890" s="1">
        <v>45736</v>
      </c>
      <c r="C890" t="s">
        <v>278</v>
      </c>
      <c r="D890" t="s">
        <v>278</v>
      </c>
      <c r="F890" t="s">
        <v>7831</v>
      </c>
      <c r="G890" t="s">
        <v>9925</v>
      </c>
      <c r="H890" t="s">
        <v>139</v>
      </c>
      <c r="I890" s="1">
        <v>45767</v>
      </c>
      <c r="J890">
        <v>3752400</v>
      </c>
      <c r="L890" t="s">
        <v>6803</v>
      </c>
    </row>
    <row r="891" spans="1:12" x14ac:dyDescent="0.35">
      <c r="A891" t="s">
        <v>131</v>
      </c>
      <c r="B891" s="1">
        <v>45736</v>
      </c>
      <c r="C891" t="s">
        <v>278</v>
      </c>
      <c r="D891" t="s">
        <v>278</v>
      </c>
      <c r="F891" t="s">
        <v>7831</v>
      </c>
      <c r="G891" t="s">
        <v>9925</v>
      </c>
      <c r="H891" t="s">
        <v>254</v>
      </c>
      <c r="I891" s="1">
        <v>45767</v>
      </c>
      <c r="J891">
        <v>-3752400</v>
      </c>
      <c r="L891" t="s">
        <v>6803</v>
      </c>
    </row>
    <row r="892" spans="1:12" x14ac:dyDescent="0.35">
      <c r="A892" t="s">
        <v>131</v>
      </c>
      <c r="B892" s="1">
        <v>45736</v>
      </c>
      <c r="C892" t="s">
        <v>278</v>
      </c>
      <c r="D892" t="s">
        <v>278</v>
      </c>
      <c r="F892" t="s">
        <v>8419</v>
      </c>
      <c r="H892" t="s">
        <v>139</v>
      </c>
      <c r="I892" s="1">
        <v>45767</v>
      </c>
      <c r="K892">
        <v>482400</v>
      </c>
      <c r="L892" t="s">
        <v>6803</v>
      </c>
    </row>
    <row r="893" spans="1:12" x14ac:dyDescent="0.35">
      <c r="A893" t="s">
        <v>131</v>
      </c>
      <c r="B893" s="1">
        <v>45736</v>
      </c>
      <c r="C893" t="s">
        <v>278</v>
      </c>
      <c r="D893" t="s">
        <v>278</v>
      </c>
      <c r="F893" t="s">
        <v>8419</v>
      </c>
      <c r="H893" t="s">
        <v>139</v>
      </c>
      <c r="I893" s="1">
        <v>45767</v>
      </c>
      <c r="K893">
        <v>482400</v>
      </c>
      <c r="L893" t="s">
        <v>6803</v>
      </c>
    </row>
    <row r="894" spans="1:12" x14ac:dyDescent="0.35">
      <c r="A894" t="s">
        <v>131</v>
      </c>
      <c r="B894" s="1">
        <v>45736</v>
      </c>
      <c r="C894" t="s">
        <v>278</v>
      </c>
      <c r="D894" t="s">
        <v>278</v>
      </c>
      <c r="F894" t="s">
        <v>8419</v>
      </c>
      <c r="H894" t="s">
        <v>254</v>
      </c>
      <c r="I894" s="1">
        <v>45767</v>
      </c>
      <c r="K894">
        <v>-482400</v>
      </c>
      <c r="L894" t="s">
        <v>6803</v>
      </c>
    </row>
    <row r="895" spans="1:12" x14ac:dyDescent="0.35">
      <c r="A895" t="s">
        <v>131</v>
      </c>
      <c r="B895" s="1">
        <v>45736</v>
      </c>
      <c r="C895" t="s">
        <v>278</v>
      </c>
      <c r="D895" t="s">
        <v>278</v>
      </c>
      <c r="F895" t="s">
        <v>7701</v>
      </c>
      <c r="H895" t="s">
        <v>139</v>
      </c>
      <c r="I895" s="1">
        <v>45767</v>
      </c>
      <c r="K895">
        <v>590000</v>
      </c>
      <c r="L895" t="s">
        <v>351</v>
      </c>
    </row>
    <row r="896" spans="1:12" x14ac:dyDescent="0.35">
      <c r="A896" t="s">
        <v>131</v>
      </c>
      <c r="B896" s="1">
        <v>45736</v>
      </c>
      <c r="C896" t="s">
        <v>278</v>
      </c>
      <c r="D896" t="s">
        <v>278</v>
      </c>
      <c r="F896" t="s">
        <v>7701</v>
      </c>
      <c r="H896" t="s">
        <v>139</v>
      </c>
      <c r="I896" s="1">
        <v>45767</v>
      </c>
      <c r="K896">
        <v>590000</v>
      </c>
      <c r="L896" t="s">
        <v>351</v>
      </c>
    </row>
    <row r="897" spans="1:12" x14ac:dyDescent="0.35">
      <c r="A897" t="s">
        <v>131</v>
      </c>
      <c r="B897" s="1">
        <v>45736</v>
      </c>
      <c r="C897" t="s">
        <v>278</v>
      </c>
      <c r="D897" t="s">
        <v>278</v>
      </c>
      <c r="F897" t="s">
        <v>7701</v>
      </c>
      <c r="H897" t="s">
        <v>254</v>
      </c>
      <c r="I897" s="1">
        <v>45767</v>
      </c>
      <c r="K897">
        <v>-590000</v>
      </c>
      <c r="L897" t="s">
        <v>351</v>
      </c>
    </row>
    <row r="898" spans="1:12" x14ac:dyDescent="0.35">
      <c r="A898" t="s">
        <v>131</v>
      </c>
      <c r="B898" s="1">
        <v>45736</v>
      </c>
      <c r="C898" t="s">
        <v>278</v>
      </c>
      <c r="D898" t="s">
        <v>278</v>
      </c>
      <c r="F898" t="s">
        <v>8423</v>
      </c>
      <c r="H898" t="s">
        <v>139</v>
      </c>
      <c r="I898" s="1">
        <v>45767</v>
      </c>
      <c r="K898">
        <v>2680000</v>
      </c>
      <c r="L898" t="s">
        <v>349</v>
      </c>
    </row>
    <row r="899" spans="1:12" x14ac:dyDescent="0.35">
      <c r="A899" t="s">
        <v>131</v>
      </c>
      <c r="B899" s="1">
        <v>45736</v>
      </c>
      <c r="C899" t="s">
        <v>278</v>
      </c>
      <c r="D899" t="s">
        <v>278</v>
      </c>
      <c r="F899" t="s">
        <v>8423</v>
      </c>
      <c r="H899" t="s">
        <v>139</v>
      </c>
      <c r="I899" s="1">
        <v>45767</v>
      </c>
      <c r="K899">
        <v>2680000</v>
      </c>
      <c r="L899" t="s">
        <v>349</v>
      </c>
    </row>
    <row r="900" spans="1:12" x14ac:dyDescent="0.35">
      <c r="A900" t="s">
        <v>131</v>
      </c>
      <c r="B900" s="1">
        <v>45736</v>
      </c>
      <c r="C900" t="s">
        <v>278</v>
      </c>
      <c r="D900" t="s">
        <v>278</v>
      </c>
      <c r="F900" t="s">
        <v>8423</v>
      </c>
      <c r="H900" t="s">
        <v>254</v>
      </c>
      <c r="I900" s="1">
        <v>45767</v>
      </c>
      <c r="K900">
        <v>-2680000</v>
      </c>
      <c r="L900" t="s">
        <v>349</v>
      </c>
    </row>
    <row r="901" spans="1:12" x14ac:dyDescent="0.35">
      <c r="A901" t="s">
        <v>131</v>
      </c>
      <c r="B901" s="1">
        <v>45736</v>
      </c>
      <c r="C901" t="s">
        <v>279</v>
      </c>
      <c r="D901" t="s">
        <v>279</v>
      </c>
      <c r="F901" t="s">
        <v>7831</v>
      </c>
      <c r="G901" t="s">
        <v>9925</v>
      </c>
      <c r="H901" t="s">
        <v>139</v>
      </c>
      <c r="I901" s="1">
        <v>45767</v>
      </c>
      <c r="J901">
        <v>3377160</v>
      </c>
      <c r="L901" t="s">
        <v>6803</v>
      </c>
    </row>
    <row r="902" spans="1:12" x14ac:dyDescent="0.35">
      <c r="A902" t="s">
        <v>131</v>
      </c>
      <c r="B902" s="1">
        <v>45736</v>
      </c>
      <c r="C902" t="s">
        <v>279</v>
      </c>
      <c r="D902" t="s">
        <v>279</v>
      </c>
      <c r="F902" t="s">
        <v>7831</v>
      </c>
      <c r="G902" t="s">
        <v>9925</v>
      </c>
      <c r="H902" t="s">
        <v>139</v>
      </c>
      <c r="I902" s="1">
        <v>45767</v>
      </c>
      <c r="J902">
        <v>3377160</v>
      </c>
      <c r="L902" t="s">
        <v>6803</v>
      </c>
    </row>
    <row r="903" spans="1:12" x14ac:dyDescent="0.35">
      <c r="A903" t="s">
        <v>131</v>
      </c>
      <c r="B903" s="1">
        <v>45736</v>
      </c>
      <c r="C903" t="s">
        <v>279</v>
      </c>
      <c r="D903" t="s">
        <v>279</v>
      </c>
      <c r="F903" t="s">
        <v>7831</v>
      </c>
      <c r="G903" t="s">
        <v>9925</v>
      </c>
      <c r="H903" t="s">
        <v>254</v>
      </c>
      <c r="I903" s="1">
        <v>45767</v>
      </c>
      <c r="J903">
        <v>-3377160</v>
      </c>
      <c r="L903" t="s">
        <v>6803</v>
      </c>
    </row>
    <row r="904" spans="1:12" x14ac:dyDescent="0.35">
      <c r="A904" t="s">
        <v>131</v>
      </c>
      <c r="B904" s="1">
        <v>45736</v>
      </c>
      <c r="C904" t="s">
        <v>279</v>
      </c>
      <c r="D904" t="s">
        <v>279</v>
      </c>
      <c r="F904" t="s">
        <v>8419</v>
      </c>
      <c r="H904" t="s">
        <v>139</v>
      </c>
      <c r="I904" s="1">
        <v>45767</v>
      </c>
      <c r="K904">
        <v>434160</v>
      </c>
      <c r="L904" t="s">
        <v>6803</v>
      </c>
    </row>
    <row r="905" spans="1:12" x14ac:dyDescent="0.35">
      <c r="A905" t="s">
        <v>131</v>
      </c>
      <c r="B905" s="1">
        <v>45736</v>
      </c>
      <c r="C905" t="s">
        <v>279</v>
      </c>
      <c r="D905" t="s">
        <v>279</v>
      </c>
      <c r="F905" t="s">
        <v>8419</v>
      </c>
      <c r="H905" t="s">
        <v>139</v>
      </c>
      <c r="I905" s="1">
        <v>45767</v>
      </c>
      <c r="K905">
        <v>434160</v>
      </c>
      <c r="L905" t="s">
        <v>6803</v>
      </c>
    </row>
    <row r="906" spans="1:12" x14ac:dyDescent="0.35">
      <c r="A906" t="s">
        <v>131</v>
      </c>
      <c r="B906" s="1">
        <v>45736</v>
      </c>
      <c r="C906" t="s">
        <v>279</v>
      </c>
      <c r="D906" t="s">
        <v>279</v>
      </c>
      <c r="F906" t="s">
        <v>8419</v>
      </c>
      <c r="H906" t="s">
        <v>254</v>
      </c>
      <c r="I906" s="1">
        <v>45767</v>
      </c>
      <c r="K906">
        <v>-434160</v>
      </c>
      <c r="L906" t="s">
        <v>6803</v>
      </c>
    </row>
    <row r="907" spans="1:12" x14ac:dyDescent="0.35">
      <c r="A907" t="s">
        <v>131</v>
      </c>
      <c r="B907" s="1">
        <v>45736</v>
      </c>
      <c r="C907" t="s">
        <v>279</v>
      </c>
      <c r="D907" t="s">
        <v>279</v>
      </c>
      <c r="F907" t="s">
        <v>7701</v>
      </c>
      <c r="H907" t="s">
        <v>139</v>
      </c>
      <c r="I907" s="1">
        <v>45767</v>
      </c>
      <c r="K907">
        <v>531000</v>
      </c>
      <c r="L907" t="s">
        <v>351</v>
      </c>
    </row>
    <row r="908" spans="1:12" x14ac:dyDescent="0.35">
      <c r="A908" t="s">
        <v>131</v>
      </c>
      <c r="B908" s="1">
        <v>45736</v>
      </c>
      <c r="C908" t="s">
        <v>279</v>
      </c>
      <c r="D908" t="s">
        <v>279</v>
      </c>
      <c r="F908" t="s">
        <v>7701</v>
      </c>
      <c r="H908" t="s">
        <v>139</v>
      </c>
      <c r="I908" s="1">
        <v>45767</v>
      </c>
      <c r="K908">
        <v>531000</v>
      </c>
      <c r="L908" t="s">
        <v>351</v>
      </c>
    </row>
    <row r="909" spans="1:12" x14ac:dyDescent="0.35">
      <c r="A909" t="s">
        <v>131</v>
      </c>
      <c r="B909" s="1">
        <v>45736</v>
      </c>
      <c r="C909" t="s">
        <v>279</v>
      </c>
      <c r="D909" t="s">
        <v>279</v>
      </c>
      <c r="F909" t="s">
        <v>7701</v>
      </c>
      <c r="H909" t="s">
        <v>254</v>
      </c>
      <c r="I909" s="1">
        <v>45767</v>
      </c>
      <c r="K909">
        <v>-531000</v>
      </c>
      <c r="L909" t="s">
        <v>351</v>
      </c>
    </row>
    <row r="910" spans="1:12" x14ac:dyDescent="0.35">
      <c r="A910" t="s">
        <v>131</v>
      </c>
      <c r="B910" s="1">
        <v>45736</v>
      </c>
      <c r="C910" t="s">
        <v>279</v>
      </c>
      <c r="D910" t="s">
        <v>279</v>
      </c>
      <c r="F910" t="s">
        <v>8423</v>
      </c>
      <c r="H910" t="s">
        <v>139</v>
      </c>
      <c r="I910" s="1">
        <v>45767</v>
      </c>
      <c r="K910">
        <v>2412000</v>
      </c>
      <c r="L910" t="s">
        <v>349</v>
      </c>
    </row>
    <row r="911" spans="1:12" x14ac:dyDescent="0.35">
      <c r="A911" t="s">
        <v>131</v>
      </c>
      <c r="B911" s="1">
        <v>45736</v>
      </c>
      <c r="C911" t="s">
        <v>279</v>
      </c>
      <c r="D911" t="s">
        <v>279</v>
      </c>
      <c r="F911" t="s">
        <v>8423</v>
      </c>
      <c r="H911" t="s">
        <v>139</v>
      </c>
      <c r="I911" s="1">
        <v>45767</v>
      </c>
      <c r="K911">
        <v>2412000</v>
      </c>
      <c r="L911" t="s">
        <v>349</v>
      </c>
    </row>
    <row r="912" spans="1:12" x14ac:dyDescent="0.35">
      <c r="A912" t="s">
        <v>131</v>
      </c>
      <c r="B912" s="1">
        <v>45736</v>
      </c>
      <c r="C912" t="s">
        <v>279</v>
      </c>
      <c r="D912" t="s">
        <v>279</v>
      </c>
      <c r="F912" t="s">
        <v>8423</v>
      </c>
      <c r="H912" t="s">
        <v>254</v>
      </c>
      <c r="I912" s="1">
        <v>45767</v>
      </c>
      <c r="K912">
        <v>-2412000</v>
      </c>
      <c r="L912" t="s">
        <v>349</v>
      </c>
    </row>
    <row r="913" spans="1:12" x14ac:dyDescent="0.35">
      <c r="A913" t="s">
        <v>131</v>
      </c>
      <c r="B913" s="1">
        <v>45736</v>
      </c>
      <c r="C913" t="s">
        <v>280</v>
      </c>
      <c r="D913" t="s">
        <v>280</v>
      </c>
      <c r="F913" t="s">
        <v>7831</v>
      </c>
      <c r="G913" t="s">
        <v>9925</v>
      </c>
      <c r="H913" t="s">
        <v>139</v>
      </c>
      <c r="I913" s="1">
        <v>45767</v>
      </c>
      <c r="J913">
        <v>1876200</v>
      </c>
      <c r="L913" t="s">
        <v>6803</v>
      </c>
    </row>
    <row r="914" spans="1:12" x14ac:dyDescent="0.35">
      <c r="A914" t="s">
        <v>131</v>
      </c>
      <c r="B914" s="1">
        <v>45736</v>
      </c>
      <c r="C914" t="s">
        <v>280</v>
      </c>
      <c r="D914" t="s">
        <v>280</v>
      </c>
      <c r="F914" t="s">
        <v>7831</v>
      </c>
      <c r="G914" t="s">
        <v>9925</v>
      </c>
      <c r="H914" t="s">
        <v>139</v>
      </c>
      <c r="I914" s="1">
        <v>45767</v>
      </c>
      <c r="J914">
        <v>1876200</v>
      </c>
      <c r="L914" t="s">
        <v>6803</v>
      </c>
    </row>
    <row r="915" spans="1:12" x14ac:dyDescent="0.35">
      <c r="A915" t="s">
        <v>131</v>
      </c>
      <c r="B915" s="1">
        <v>45736</v>
      </c>
      <c r="C915" t="s">
        <v>280</v>
      </c>
      <c r="D915" t="s">
        <v>280</v>
      </c>
      <c r="F915" t="s">
        <v>7831</v>
      </c>
      <c r="G915" t="s">
        <v>9925</v>
      </c>
      <c r="H915" t="s">
        <v>254</v>
      </c>
      <c r="I915" s="1">
        <v>45767</v>
      </c>
      <c r="J915">
        <v>-1876200</v>
      </c>
      <c r="L915" t="s">
        <v>6803</v>
      </c>
    </row>
    <row r="916" spans="1:12" x14ac:dyDescent="0.35">
      <c r="A916" t="s">
        <v>131</v>
      </c>
      <c r="B916" s="1">
        <v>45736</v>
      </c>
      <c r="C916" t="s">
        <v>280</v>
      </c>
      <c r="D916" t="s">
        <v>280</v>
      </c>
      <c r="F916" t="s">
        <v>8419</v>
      </c>
      <c r="H916" t="s">
        <v>139</v>
      </c>
      <c r="I916" s="1">
        <v>45767</v>
      </c>
      <c r="K916">
        <v>241200</v>
      </c>
      <c r="L916" t="s">
        <v>6803</v>
      </c>
    </row>
    <row r="917" spans="1:12" x14ac:dyDescent="0.35">
      <c r="A917" t="s">
        <v>131</v>
      </c>
      <c r="B917" s="1">
        <v>45736</v>
      </c>
      <c r="C917" t="s">
        <v>280</v>
      </c>
      <c r="D917" t="s">
        <v>280</v>
      </c>
      <c r="F917" t="s">
        <v>8419</v>
      </c>
      <c r="H917" t="s">
        <v>139</v>
      </c>
      <c r="I917" s="1">
        <v>45767</v>
      </c>
      <c r="K917">
        <v>241200</v>
      </c>
      <c r="L917" t="s">
        <v>6803</v>
      </c>
    </row>
    <row r="918" spans="1:12" x14ac:dyDescent="0.35">
      <c r="A918" t="s">
        <v>131</v>
      </c>
      <c r="B918" s="1">
        <v>45736</v>
      </c>
      <c r="C918" t="s">
        <v>280</v>
      </c>
      <c r="D918" t="s">
        <v>280</v>
      </c>
      <c r="F918" t="s">
        <v>8419</v>
      </c>
      <c r="H918" t="s">
        <v>254</v>
      </c>
      <c r="I918" s="1">
        <v>45767</v>
      </c>
      <c r="K918">
        <v>-241200</v>
      </c>
      <c r="L918" t="s">
        <v>6803</v>
      </c>
    </row>
    <row r="919" spans="1:12" x14ac:dyDescent="0.35">
      <c r="A919" t="s">
        <v>131</v>
      </c>
      <c r="B919" s="1">
        <v>45736</v>
      </c>
      <c r="C919" t="s">
        <v>280</v>
      </c>
      <c r="D919" t="s">
        <v>280</v>
      </c>
      <c r="F919" t="s">
        <v>7701</v>
      </c>
      <c r="H919" t="s">
        <v>139</v>
      </c>
      <c r="I919" s="1">
        <v>45767</v>
      </c>
      <c r="K919">
        <v>295000</v>
      </c>
      <c r="L919" t="s">
        <v>351</v>
      </c>
    </row>
    <row r="920" spans="1:12" x14ac:dyDescent="0.35">
      <c r="A920" t="s">
        <v>131</v>
      </c>
      <c r="B920" s="1">
        <v>45736</v>
      </c>
      <c r="C920" t="s">
        <v>280</v>
      </c>
      <c r="D920" t="s">
        <v>280</v>
      </c>
      <c r="F920" t="s">
        <v>7701</v>
      </c>
      <c r="H920" t="s">
        <v>139</v>
      </c>
      <c r="I920" s="1">
        <v>45767</v>
      </c>
      <c r="K920">
        <v>295000</v>
      </c>
      <c r="L920" t="s">
        <v>351</v>
      </c>
    </row>
    <row r="921" spans="1:12" x14ac:dyDescent="0.35">
      <c r="A921" t="s">
        <v>131</v>
      </c>
      <c r="B921" s="1">
        <v>45736</v>
      </c>
      <c r="C921" t="s">
        <v>280</v>
      </c>
      <c r="D921" t="s">
        <v>280</v>
      </c>
      <c r="F921" t="s">
        <v>7701</v>
      </c>
      <c r="H921" t="s">
        <v>254</v>
      </c>
      <c r="I921" s="1">
        <v>45767</v>
      </c>
      <c r="K921">
        <v>-295000</v>
      </c>
      <c r="L921" t="s">
        <v>351</v>
      </c>
    </row>
    <row r="922" spans="1:12" x14ac:dyDescent="0.35">
      <c r="A922" t="s">
        <v>131</v>
      </c>
      <c r="B922" s="1">
        <v>45736</v>
      </c>
      <c r="C922" t="s">
        <v>280</v>
      </c>
      <c r="D922" t="s">
        <v>280</v>
      </c>
      <c r="F922" t="s">
        <v>8423</v>
      </c>
      <c r="H922" t="s">
        <v>139</v>
      </c>
      <c r="I922" s="1">
        <v>45767</v>
      </c>
      <c r="K922">
        <v>1340000</v>
      </c>
      <c r="L922" t="s">
        <v>349</v>
      </c>
    </row>
    <row r="923" spans="1:12" x14ac:dyDescent="0.35">
      <c r="A923" t="s">
        <v>131</v>
      </c>
      <c r="B923" s="1">
        <v>45736</v>
      </c>
      <c r="C923" t="s">
        <v>280</v>
      </c>
      <c r="D923" t="s">
        <v>280</v>
      </c>
      <c r="F923" t="s">
        <v>8423</v>
      </c>
      <c r="H923" t="s">
        <v>139</v>
      </c>
      <c r="I923" s="1">
        <v>45767</v>
      </c>
      <c r="K923">
        <v>1340000</v>
      </c>
      <c r="L923" t="s">
        <v>349</v>
      </c>
    </row>
    <row r="924" spans="1:12" x14ac:dyDescent="0.35">
      <c r="A924" t="s">
        <v>131</v>
      </c>
      <c r="B924" s="1">
        <v>45736</v>
      </c>
      <c r="C924" t="s">
        <v>280</v>
      </c>
      <c r="D924" t="s">
        <v>280</v>
      </c>
      <c r="F924" t="s">
        <v>8423</v>
      </c>
      <c r="H924" t="s">
        <v>254</v>
      </c>
      <c r="I924" s="1">
        <v>45767</v>
      </c>
      <c r="K924">
        <v>-1340000</v>
      </c>
      <c r="L924" t="s">
        <v>349</v>
      </c>
    </row>
    <row r="925" spans="1:12" x14ac:dyDescent="0.35">
      <c r="A925" t="s">
        <v>131</v>
      </c>
      <c r="B925" s="1">
        <v>45736</v>
      </c>
      <c r="C925" t="s">
        <v>281</v>
      </c>
      <c r="D925" t="s">
        <v>281</v>
      </c>
      <c r="F925" t="s">
        <v>7831</v>
      </c>
      <c r="G925" t="s">
        <v>7521</v>
      </c>
      <c r="H925" t="s">
        <v>180</v>
      </c>
      <c r="I925" s="1">
        <v>45767</v>
      </c>
      <c r="J925">
        <v>1866760</v>
      </c>
      <c r="L925" t="s">
        <v>6803</v>
      </c>
    </row>
    <row r="926" spans="1:12" x14ac:dyDescent="0.35">
      <c r="A926" t="s">
        <v>131</v>
      </c>
      <c r="B926" s="1">
        <v>45736</v>
      </c>
      <c r="C926" t="s">
        <v>281</v>
      </c>
      <c r="D926" t="s">
        <v>281</v>
      </c>
      <c r="F926" t="s">
        <v>7831</v>
      </c>
      <c r="G926" t="s">
        <v>7521</v>
      </c>
      <c r="H926" t="s">
        <v>180</v>
      </c>
      <c r="I926" s="1">
        <v>45767</v>
      </c>
      <c r="J926">
        <v>1866760</v>
      </c>
      <c r="L926" t="s">
        <v>6803</v>
      </c>
    </row>
    <row r="927" spans="1:12" x14ac:dyDescent="0.35">
      <c r="A927" t="s">
        <v>131</v>
      </c>
      <c r="B927" s="1">
        <v>45736</v>
      </c>
      <c r="C927" t="s">
        <v>281</v>
      </c>
      <c r="D927" t="s">
        <v>281</v>
      </c>
      <c r="F927" t="s">
        <v>7831</v>
      </c>
      <c r="G927" t="s">
        <v>7521</v>
      </c>
      <c r="H927" t="s">
        <v>257</v>
      </c>
      <c r="I927" s="1">
        <v>45767</v>
      </c>
      <c r="J927">
        <v>-1866760</v>
      </c>
      <c r="L927" t="s">
        <v>6803</v>
      </c>
    </row>
    <row r="928" spans="1:12" x14ac:dyDescent="0.35">
      <c r="A928" t="s">
        <v>131</v>
      </c>
      <c r="B928" s="1">
        <v>45736</v>
      </c>
      <c r="C928" t="s">
        <v>281</v>
      </c>
      <c r="D928" t="s">
        <v>281</v>
      </c>
      <c r="F928" t="s">
        <v>8419</v>
      </c>
      <c r="H928" t="s">
        <v>180</v>
      </c>
      <c r="I928" s="1">
        <v>45767</v>
      </c>
      <c r="K928">
        <v>253260</v>
      </c>
      <c r="L928" t="s">
        <v>6803</v>
      </c>
    </row>
    <row r="929" spans="1:12" x14ac:dyDescent="0.35">
      <c r="A929" t="s">
        <v>131</v>
      </c>
      <c r="B929" s="1">
        <v>45736</v>
      </c>
      <c r="C929" t="s">
        <v>281</v>
      </c>
      <c r="D929" t="s">
        <v>281</v>
      </c>
      <c r="F929" t="s">
        <v>8419</v>
      </c>
      <c r="H929" t="s">
        <v>180</v>
      </c>
      <c r="I929" s="1">
        <v>45767</v>
      </c>
      <c r="K929">
        <v>253260</v>
      </c>
      <c r="L929" t="s">
        <v>6803</v>
      </c>
    </row>
    <row r="930" spans="1:12" x14ac:dyDescent="0.35">
      <c r="A930" t="s">
        <v>131</v>
      </c>
      <c r="B930" s="1">
        <v>45736</v>
      </c>
      <c r="C930" t="s">
        <v>281</v>
      </c>
      <c r="D930" t="s">
        <v>281</v>
      </c>
      <c r="F930" t="s">
        <v>8419</v>
      </c>
      <c r="H930" t="s">
        <v>257</v>
      </c>
      <c r="I930" s="1">
        <v>45767</v>
      </c>
      <c r="K930">
        <v>-253260</v>
      </c>
      <c r="L930" t="s">
        <v>6803</v>
      </c>
    </row>
    <row r="931" spans="1:12" x14ac:dyDescent="0.35">
      <c r="A931" t="s">
        <v>131</v>
      </c>
      <c r="B931" s="1">
        <v>45736</v>
      </c>
      <c r="C931" t="s">
        <v>281</v>
      </c>
      <c r="D931" t="s">
        <v>281</v>
      </c>
      <c r="F931" t="s">
        <v>7701</v>
      </c>
      <c r="H931" t="s">
        <v>180</v>
      </c>
      <c r="I931" s="1">
        <v>45767</v>
      </c>
      <c r="K931">
        <v>206500</v>
      </c>
      <c r="L931" t="s">
        <v>351</v>
      </c>
    </row>
    <row r="932" spans="1:12" x14ac:dyDescent="0.35">
      <c r="A932" t="s">
        <v>131</v>
      </c>
      <c r="B932" s="1">
        <v>45736</v>
      </c>
      <c r="C932" t="s">
        <v>281</v>
      </c>
      <c r="D932" t="s">
        <v>281</v>
      </c>
      <c r="F932" t="s">
        <v>7701</v>
      </c>
      <c r="H932" t="s">
        <v>180</v>
      </c>
      <c r="I932" s="1">
        <v>45767</v>
      </c>
      <c r="K932">
        <v>206500</v>
      </c>
      <c r="L932" t="s">
        <v>351</v>
      </c>
    </row>
    <row r="933" spans="1:12" x14ac:dyDescent="0.35">
      <c r="A933" t="s">
        <v>131</v>
      </c>
      <c r="B933" s="1">
        <v>45736</v>
      </c>
      <c r="C933" t="s">
        <v>281</v>
      </c>
      <c r="D933" t="s">
        <v>281</v>
      </c>
      <c r="F933" t="s">
        <v>7701</v>
      </c>
      <c r="H933" t="s">
        <v>257</v>
      </c>
      <c r="I933" s="1">
        <v>45767</v>
      </c>
      <c r="K933">
        <v>-206500</v>
      </c>
      <c r="L933" t="s">
        <v>351</v>
      </c>
    </row>
    <row r="934" spans="1:12" x14ac:dyDescent="0.35">
      <c r="A934" t="s">
        <v>131</v>
      </c>
      <c r="B934" s="1">
        <v>45736</v>
      </c>
      <c r="C934" t="s">
        <v>281</v>
      </c>
      <c r="D934" t="s">
        <v>281</v>
      </c>
      <c r="F934" t="s">
        <v>8423</v>
      </c>
      <c r="H934" t="s">
        <v>180</v>
      </c>
      <c r="I934" s="1">
        <v>45767</v>
      </c>
      <c r="K934">
        <v>1407000</v>
      </c>
      <c r="L934" t="s">
        <v>349</v>
      </c>
    </row>
    <row r="935" spans="1:12" x14ac:dyDescent="0.35">
      <c r="A935" t="s">
        <v>131</v>
      </c>
      <c r="B935" s="1">
        <v>45736</v>
      </c>
      <c r="C935" t="s">
        <v>281</v>
      </c>
      <c r="D935" t="s">
        <v>281</v>
      </c>
      <c r="F935" t="s">
        <v>8423</v>
      </c>
      <c r="H935" t="s">
        <v>180</v>
      </c>
      <c r="I935" s="1">
        <v>45767</v>
      </c>
      <c r="K935">
        <v>1407000</v>
      </c>
      <c r="L935" t="s">
        <v>349</v>
      </c>
    </row>
    <row r="936" spans="1:12" x14ac:dyDescent="0.35">
      <c r="A936" t="s">
        <v>131</v>
      </c>
      <c r="B936" s="1">
        <v>45736</v>
      </c>
      <c r="C936" t="s">
        <v>281</v>
      </c>
      <c r="D936" t="s">
        <v>281</v>
      </c>
      <c r="F936" t="s">
        <v>8423</v>
      </c>
      <c r="H936" t="s">
        <v>257</v>
      </c>
      <c r="I936" s="1">
        <v>45767</v>
      </c>
      <c r="K936">
        <v>-1407000</v>
      </c>
      <c r="L936" t="s">
        <v>349</v>
      </c>
    </row>
    <row r="937" spans="1:12" x14ac:dyDescent="0.35">
      <c r="A937" t="s">
        <v>131</v>
      </c>
      <c r="B937" s="1">
        <v>45737</v>
      </c>
      <c r="C937" t="s">
        <v>282</v>
      </c>
      <c r="D937" t="s">
        <v>282</v>
      </c>
      <c r="F937" t="s">
        <v>7831</v>
      </c>
      <c r="G937" t="s">
        <v>9938</v>
      </c>
      <c r="H937" t="s">
        <v>175</v>
      </c>
      <c r="I937" s="1">
        <v>45768</v>
      </c>
      <c r="J937">
        <v>1246080</v>
      </c>
      <c r="L937" t="s">
        <v>6803</v>
      </c>
    </row>
    <row r="938" spans="1:12" x14ac:dyDescent="0.35">
      <c r="A938" t="s">
        <v>131</v>
      </c>
      <c r="B938" s="1">
        <v>45737</v>
      </c>
      <c r="C938" t="s">
        <v>282</v>
      </c>
      <c r="D938" t="s">
        <v>282</v>
      </c>
      <c r="F938" t="s">
        <v>7831</v>
      </c>
      <c r="G938" t="s">
        <v>9938</v>
      </c>
      <c r="H938" t="s">
        <v>175</v>
      </c>
      <c r="I938" s="1">
        <v>45768</v>
      </c>
      <c r="J938">
        <v>1246080</v>
      </c>
      <c r="L938" t="s">
        <v>6803</v>
      </c>
    </row>
    <row r="939" spans="1:12" x14ac:dyDescent="0.35">
      <c r="A939" t="s">
        <v>131</v>
      </c>
      <c r="B939" s="1">
        <v>45737</v>
      </c>
      <c r="C939" t="s">
        <v>282</v>
      </c>
      <c r="D939" t="s">
        <v>282</v>
      </c>
      <c r="F939" t="s">
        <v>7831</v>
      </c>
      <c r="G939" t="s">
        <v>9938</v>
      </c>
      <c r="H939" t="s">
        <v>283</v>
      </c>
      <c r="I939" s="1">
        <v>45768</v>
      </c>
      <c r="J939">
        <v>-1246080</v>
      </c>
      <c r="L939" t="s">
        <v>6803</v>
      </c>
    </row>
    <row r="940" spans="1:12" x14ac:dyDescent="0.35">
      <c r="A940" t="s">
        <v>131</v>
      </c>
      <c r="B940" s="1">
        <v>45737</v>
      </c>
      <c r="C940" t="s">
        <v>282</v>
      </c>
      <c r="D940" t="s">
        <v>282</v>
      </c>
      <c r="F940" t="s">
        <v>8419</v>
      </c>
      <c r="H940" t="s">
        <v>175</v>
      </c>
      <c r="I940" s="1">
        <v>45768</v>
      </c>
      <c r="K940">
        <v>190080</v>
      </c>
      <c r="L940" t="s">
        <v>6803</v>
      </c>
    </row>
    <row r="941" spans="1:12" x14ac:dyDescent="0.35">
      <c r="A941" t="s">
        <v>131</v>
      </c>
      <c r="B941" s="1">
        <v>45737</v>
      </c>
      <c r="C941" t="s">
        <v>282</v>
      </c>
      <c r="D941" t="s">
        <v>282</v>
      </c>
      <c r="F941" t="s">
        <v>8419</v>
      </c>
      <c r="H941" t="s">
        <v>175</v>
      </c>
      <c r="I941" s="1">
        <v>45768</v>
      </c>
      <c r="K941">
        <v>190080</v>
      </c>
      <c r="L941" t="s">
        <v>6803</v>
      </c>
    </row>
    <row r="942" spans="1:12" x14ac:dyDescent="0.35">
      <c r="A942" t="s">
        <v>131</v>
      </c>
      <c r="B942" s="1">
        <v>45737</v>
      </c>
      <c r="C942" t="s">
        <v>282</v>
      </c>
      <c r="D942" t="s">
        <v>282</v>
      </c>
      <c r="F942" t="s">
        <v>8419</v>
      </c>
      <c r="H942" t="s">
        <v>283</v>
      </c>
      <c r="I942" s="1">
        <v>45768</v>
      </c>
      <c r="K942">
        <v>-190080</v>
      </c>
      <c r="L942" t="s">
        <v>6803</v>
      </c>
    </row>
    <row r="943" spans="1:12" x14ac:dyDescent="0.35">
      <c r="A943" t="s">
        <v>131</v>
      </c>
      <c r="B943" s="1">
        <v>45737</v>
      </c>
      <c r="C943" t="s">
        <v>282</v>
      </c>
      <c r="D943" t="s">
        <v>282</v>
      </c>
      <c r="F943" t="s">
        <v>8423</v>
      </c>
      <c r="H943" t="s">
        <v>175</v>
      </c>
      <c r="I943" s="1">
        <v>45768</v>
      </c>
      <c r="K943">
        <v>1056000</v>
      </c>
      <c r="L943" t="s">
        <v>350</v>
      </c>
    </row>
    <row r="944" spans="1:12" x14ac:dyDescent="0.35">
      <c r="A944" t="s">
        <v>131</v>
      </c>
      <c r="B944" s="1">
        <v>45737</v>
      </c>
      <c r="C944" t="s">
        <v>282</v>
      </c>
      <c r="D944" t="s">
        <v>282</v>
      </c>
      <c r="F944" t="s">
        <v>8423</v>
      </c>
      <c r="H944" t="s">
        <v>175</v>
      </c>
      <c r="I944" s="1">
        <v>45768</v>
      </c>
      <c r="K944">
        <v>1056000</v>
      </c>
      <c r="L944" t="s">
        <v>350</v>
      </c>
    </row>
    <row r="945" spans="1:12" x14ac:dyDescent="0.35">
      <c r="A945" t="s">
        <v>131</v>
      </c>
      <c r="B945" s="1">
        <v>45737</v>
      </c>
      <c r="C945" t="s">
        <v>282</v>
      </c>
      <c r="D945" t="s">
        <v>282</v>
      </c>
      <c r="F945" t="s">
        <v>8423</v>
      </c>
      <c r="H945" t="s">
        <v>283</v>
      </c>
      <c r="I945" s="1">
        <v>45768</v>
      </c>
      <c r="K945">
        <v>-1056000</v>
      </c>
      <c r="L945" t="s">
        <v>350</v>
      </c>
    </row>
    <row r="946" spans="1:12" x14ac:dyDescent="0.35">
      <c r="A946" t="s">
        <v>131</v>
      </c>
      <c r="B946" s="1">
        <v>45737</v>
      </c>
      <c r="C946" t="s">
        <v>284</v>
      </c>
      <c r="D946" t="s">
        <v>284</v>
      </c>
      <c r="F946" t="s">
        <v>7831</v>
      </c>
      <c r="G946" t="s">
        <v>9931</v>
      </c>
      <c r="H946" t="s">
        <v>146</v>
      </c>
      <c r="I946" s="1">
        <v>45768</v>
      </c>
      <c r="J946">
        <v>214760</v>
      </c>
      <c r="L946" t="s">
        <v>6803</v>
      </c>
    </row>
    <row r="947" spans="1:12" x14ac:dyDescent="0.35">
      <c r="A947" t="s">
        <v>131</v>
      </c>
      <c r="B947" s="1">
        <v>45737</v>
      </c>
      <c r="C947" t="s">
        <v>284</v>
      </c>
      <c r="D947" t="s">
        <v>284</v>
      </c>
      <c r="F947" t="s">
        <v>7831</v>
      </c>
      <c r="G947" t="s">
        <v>9931</v>
      </c>
      <c r="H947" t="s">
        <v>146</v>
      </c>
      <c r="I947" s="1">
        <v>45768</v>
      </c>
      <c r="J947">
        <v>214760</v>
      </c>
      <c r="L947" t="s">
        <v>6803</v>
      </c>
    </row>
    <row r="948" spans="1:12" x14ac:dyDescent="0.35">
      <c r="A948" t="s">
        <v>131</v>
      </c>
      <c r="B948" s="1">
        <v>45737</v>
      </c>
      <c r="C948" t="s">
        <v>284</v>
      </c>
      <c r="D948" t="s">
        <v>284</v>
      </c>
      <c r="F948" t="s">
        <v>7831</v>
      </c>
      <c r="G948" t="s">
        <v>9931</v>
      </c>
      <c r="H948" t="s">
        <v>268</v>
      </c>
      <c r="I948" s="1">
        <v>45768</v>
      </c>
      <c r="J948">
        <v>-214760</v>
      </c>
      <c r="L948" t="s">
        <v>6803</v>
      </c>
    </row>
    <row r="949" spans="1:12" x14ac:dyDescent="0.35">
      <c r="A949" t="s">
        <v>131</v>
      </c>
      <c r="B949" s="1">
        <v>45737</v>
      </c>
      <c r="C949" t="s">
        <v>284</v>
      </c>
      <c r="D949" t="s">
        <v>284</v>
      </c>
      <c r="F949" t="s">
        <v>8419</v>
      </c>
      <c r="H949" t="s">
        <v>146</v>
      </c>
      <c r="I949" s="1">
        <v>45768</v>
      </c>
      <c r="K949">
        <v>23760</v>
      </c>
      <c r="L949" t="s">
        <v>6803</v>
      </c>
    </row>
    <row r="950" spans="1:12" x14ac:dyDescent="0.35">
      <c r="A950" t="s">
        <v>131</v>
      </c>
      <c r="B950" s="1">
        <v>45737</v>
      </c>
      <c r="C950" t="s">
        <v>284</v>
      </c>
      <c r="D950" t="s">
        <v>284</v>
      </c>
      <c r="F950" t="s">
        <v>8419</v>
      </c>
      <c r="H950" t="s">
        <v>146</v>
      </c>
      <c r="I950" s="1">
        <v>45768</v>
      </c>
      <c r="K950">
        <v>23760</v>
      </c>
      <c r="L950" t="s">
        <v>6803</v>
      </c>
    </row>
    <row r="951" spans="1:12" x14ac:dyDescent="0.35">
      <c r="A951" t="s">
        <v>131</v>
      </c>
      <c r="B951" s="1">
        <v>45737</v>
      </c>
      <c r="C951" t="s">
        <v>284</v>
      </c>
      <c r="D951" t="s">
        <v>284</v>
      </c>
      <c r="F951" t="s">
        <v>8419</v>
      </c>
      <c r="H951" t="s">
        <v>268</v>
      </c>
      <c r="I951" s="1">
        <v>45768</v>
      </c>
      <c r="K951">
        <v>-23760</v>
      </c>
      <c r="L951" t="s">
        <v>6803</v>
      </c>
    </row>
    <row r="952" spans="1:12" x14ac:dyDescent="0.35">
      <c r="A952" t="s">
        <v>131</v>
      </c>
      <c r="B952" s="1">
        <v>45737</v>
      </c>
      <c r="C952" t="s">
        <v>284</v>
      </c>
      <c r="D952" t="s">
        <v>284</v>
      </c>
      <c r="F952" t="s">
        <v>7701</v>
      </c>
      <c r="H952" t="s">
        <v>146</v>
      </c>
      <c r="I952" s="1">
        <v>45768</v>
      </c>
      <c r="K952">
        <v>59000</v>
      </c>
      <c r="L952" t="s">
        <v>351</v>
      </c>
    </row>
    <row r="953" spans="1:12" x14ac:dyDescent="0.35">
      <c r="A953" t="s">
        <v>131</v>
      </c>
      <c r="B953" s="1">
        <v>45737</v>
      </c>
      <c r="C953" t="s">
        <v>284</v>
      </c>
      <c r="D953" t="s">
        <v>284</v>
      </c>
      <c r="F953" t="s">
        <v>7701</v>
      </c>
      <c r="H953" t="s">
        <v>146</v>
      </c>
      <c r="I953" s="1">
        <v>45768</v>
      </c>
      <c r="K953">
        <v>59000</v>
      </c>
      <c r="L953" t="s">
        <v>351</v>
      </c>
    </row>
    <row r="954" spans="1:12" x14ac:dyDescent="0.35">
      <c r="A954" t="s">
        <v>131</v>
      </c>
      <c r="B954" s="1">
        <v>45737</v>
      </c>
      <c r="C954" t="s">
        <v>284</v>
      </c>
      <c r="D954" t="s">
        <v>284</v>
      </c>
      <c r="F954" t="s">
        <v>7701</v>
      </c>
      <c r="H954" t="s">
        <v>268</v>
      </c>
      <c r="I954" s="1">
        <v>45768</v>
      </c>
      <c r="K954">
        <v>-59000</v>
      </c>
      <c r="L954" t="s">
        <v>351</v>
      </c>
    </row>
    <row r="955" spans="1:12" x14ac:dyDescent="0.35">
      <c r="A955" t="s">
        <v>131</v>
      </c>
      <c r="B955" s="1">
        <v>45737</v>
      </c>
      <c r="C955" t="s">
        <v>284</v>
      </c>
      <c r="D955" t="s">
        <v>284</v>
      </c>
      <c r="F955" t="s">
        <v>8423</v>
      </c>
      <c r="H955" t="s">
        <v>146</v>
      </c>
      <c r="I955" s="1">
        <v>45768</v>
      </c>
      <c r="K955">
        <v>132000</v>
      </c>
      <c r="L955" t="s">
        <v>350</v>
      </c>
    </row>
    <row r="956" spans="1:12" x14ac:dyDescent="0.35">
      <c r="A956" t="s">
        <v>131</v>
      </c>
      <c r="B956" s="1">
        <v>45737</v>
      </c>
      <c r="C956" t="s">
        <v>284</v>
      </c>
      <c r="D956" t="s">
        <v>284</v>
      </c>
      <c r="F956" t="s">
        <v>8423</v>
      </c>
      <c r="H956" t="s">
        <v>146</v>
      </c>
      <c r="I956" s="1">
        <v>45768</v>
      </c>
      <c r="K956">
        <v>132000</v>
      </c>
      <c r="L956" t="s">
        <v>350</v>
      </c>
    </row>
    <row r="957" spans="1:12" x14ac:dyDescent="0.35">
      <c r="A957" t="s">
        <v>131</v>
      </c>
      <c r="B957" s="1">
        <v>45737</v>
      </c>
      <c r="C957" t="s">
        <v>284</v>
      </c>
      <c r="D957" t="s">
        <v>284</v>
      </c>
      <c r="F957" t="s">
        <v>8423</v>
      </c>
      <c r="H957" t="s">
        <v>268</v>
      </c>
      <c r="I957" s="1">
        <v>45768</v>
      </c>
      <c r="K957">
        <v>-132000</v>
      </c>
      <c r="L957" t="s">
        <v>350</v>
      </c>
    </row>
    <row r="958" spans="1:12" x14ac:dyDescent="0.35">
      <c r="A958" t="s">
        <v>131</v>
      </c>
      <c r="B958" s="1">
        <v>45737</v>
      </c>
      <c r="C958" t="s">
        <v>285</v>
      </c>
      <c r="D958" t="s">
        <v>285</v>
      </c>
      <c r="F958" t="s">
        <v>7831</v>
      </c>
      <c r="G958" t="s">
        <v>9931</v>
      </c>
      <c r="H958" t="s">
        <v>146</v>
      </c>
      <c r="I958" s="1">
        <v>45768</v>
      </c>
      <c r="J958">
        <v>859040</v>
      </c>
      <c r="L958" t="s">
        <v>6803</v>
      </c>
    </row>
    <row r="959" spans="1:12" x14ac:dyDescent="0.35">
      <c r="A959" t="s">
        <v>131</v>
      </c>
      <c r="B959" s="1">
        <v>45737</v>
      </c>
      <c r="C959" t="s">
        <v>285</v>
      </c>
      <c r="D959" t="s">
        <v>285</v>
      </c>
      <c r="F959" t="s">
        <v>7831</v>
      </c>
      <c r="G959" t="s">
        <v>9931</v>
      </c>
      <c r="H959" t="s">
        <v>146</v>
      </c>
      <c r="I959" s="1">
        <v>45768</v>
      </c>
      <c r="J959">
        <v>859040</v>
      </c>
      <c r="L959" t="s">
        <v>6803</v>
      </c>
    </row>
    <row r="960" spans="1:12" x14ac:dyDescent="0.35">
      <c r="A960" t="s">
        <v>131</v>
      </c>
      <c r="B960" s="1">
        <v>45737</v>
      </c>
      <c r="C960" t="s">
        <v>285</v>
      </c>
      <c r="D960" t="s">
        <v>285</v>
      </c>
      <c r="F960" t="s">
        <v>7831</v>
      </c>
      <c r="G960" t="s">
        <v>9931</v>
      </c>
      <c r="H960" t="s">
        <v>268</v>
      </c>
      <c r="I960" s="1">
        <v>45768</v>
      </c>
      <c r="J960">
        <v>-859040</v>
      </c>
      <c r="L960" t="s">
        <v>6803</v>
      </c>
    </row>
    <row r="961" spans="1:12" x14ac:dyDescent="0.35">
      <c r="A961" t="s">
        <v>131</v>
      </c>
      <c r="B961" s="1">
        <v>45737</v>
      </c>
      <c r="C961" t="s">
        <v>285</v>
      </c>
      <c r="D961" t="s">
        <v>285</v>
      </c>
      <c r="F961" t="s">
        <v>8419</v>
      </c>
      <c r="H961" t="s">
        <v>146</v>
      </c>
      <c r="I961" s="1">
        <v>45768</v>
      </c>
      <c r="K961">
        <v>95040</v>
      </c>
      <c r="L961" t="s">
        <v>6803</v>
      </c>
    </row>
    <row r="962" spans="1:12" x14ac:dyDescent="0.35">
      <c r="A962" t="s">
        <v>131</v>
      </c>
      <c r="B962" s="1">
        <v>45737</v>
      </c>
      <c r="C962" t="s">
        <v>285</v>
      </c>
      <c r="D962" t="s">
        <v>285</v>
      </c>
      <c r="F962" t="s">
        <v>8419</v>
      </c>
      <c r="H962" t="s">
        <v>146</v>
      </c>
      <c r="I962" s="1">
        <v>45768</v>
      </c>
      <c r="K962">
        <v>95040</v>
      </c>
      <c r="L962" t="s">
        <v>6803</v>
      </c>
    </row>
    <row r="963" spans="1:12" x14ac:dyDescent="0.35">
      <c r="A963" t="s">
        <v>131</v>
      </c>
      <c r="B963" s="1">
        <v>45737</v>
      </c>
      <c r="C963" t="s">
        <v>285</v>
      </c>
      <c r="D963" t="s">
        <v>285</v>
      </c>
      <c r="F963" t="s">
        <v>8419</v>
      </c>
      <c r="H963" t="s">
        <v>268</v>
      </c>
      <c r="I963" s="1">
        <v>45768</v>
      </c>
      <c r="K963">
        <v>-95040</v>
      </c>
      <c r="L963" t="s">
        <v>6803</v>
      </c>
    </row>
    <row r="964" spans="1:12" x14ac:dyDescent="0.35">
      <c r="A964" t="s">
        <v>131</v>
      </c>
      <c r="B964" s="1">
        <v>45737</v>
      </c>
      <c r="C964" t="s">
        <v>285</v>
      </c>
      <c r="D964" t="s">
        <v>285</v>
      </c>
      <c r="F964" t="s">
        <v>7701</v>
      </c>
      <c r="H964" t="s">
        <v>146</v>
      </c>
      <c r="I964" s="1">
        <v>45768</v>
      </c>
      <c r="K964">
        <v>236000</v>
      </c>
      <c r="L964" t="s">
        <v>351</v>
      </c>
    </row>
    <row r="965" spans="1:12" x14ac:dyDescent="0.35">
      <c r="A965" t="s">
        <v>131</v>
      </c>
      <c r="B965" s="1">
        <v>45737</v>
      </c>
      <c r="C965" t="s">
        <v>285</v>
      </c>
      <c r="D965" t="s">
        <v>285</v>
      </c>
      <c r="F965" t="s">
        <v>7701</v>
      </c>
      <c r="H965" t="s">
        <v>146</v>
      </c>
      <c r="I965" s="1">
        <v>45768</v>
      </c>
      <c r="K965">
        <v>236000</v>
      </c>
      <c r="L965" t="s">
        <v>351</v>
      </c>
    </row>
    <row r="966" spans="1:12" x14ac:dyDescent="0.35">
      <c r="A966" t="s">
        <v>131</v>
      </c>
      <c r="B966" s="1">
        <v>45737</v>
      </c>
      <c r="C966" t="s">
        <v>285</v>
      </c>
      <c r="D966" t="s">
        <v>285</v>
      </c>
      <c r="F966" t="s">
        <v>7701</v>
      </c>
      <c r="H966" t="s">
        <v>268</v>
      </c>
      <c r="I966" s="1">
        <v>45768</v>
      </c>
      <c r="K966">
        <v>-236000</v>
      </c>
      <c r="L966" t="s">
        <v>351</v>
      </c>
    </row>
    <row r="967" spans="1:12" x14ac:dyDescent="0.35">
      <c r="A967" t="s">
        <v>131</v>
      </c>
      <c r="B967" s="1">
        <v>45737</v>
      </c>
      <c r="C967" t="s">
        <v>285</v>
      </c>
      <c r="D967" t="s">
        <v>285</v>
      </c>
      <c r="F967" t="s">
        <v>8423</v>
      </c>
      <c r="H967" t="s">
        <v>146</v>
      </c>
      <c r="I967" s="1">
        <v>45768</v>
      </c>
      <c r="K967">
        <v>528000</v>
      </c>
      <c r="L967" t="s">
        <v>350</v>
      </c>
    </row>
    <row r="968" spans="1:12" x14ac:dyDescent="0.35">
      <c r="A968" t="s">
        <v>131</v>
      </c>
      <c r="B968" s="1">
        <v>45737</v>
      </c>
      <c r="C968" t="s">
        <v>285</v>
      </c>
      <c r="D968" t="s">
        <v>285</v>
      </c>
      <c r="F968" t="s">
        <v>8423</v>
      </c>
      <c r="H968" t="s">
        <v>146</v>
      </c>
      <c r="I968" s="1">
        <v>45768</v>
      </c>
      <c r="K968">
        <v>528000</v>
      </c>
      <c r="L968" t="s">
        <v>350</v>
      </c>
    </row>
    <row r="969" spans="1:12" x14ac:dyDescent="0.35">
      <c r="A969" t="s">
        <v>131</v>
      </c>
      <c r="B969" s="1">
        <v>45737</v>
      </c>
      <c r="C969" t="s">
        <v>285</v>
      </c>
      <c r="D969" t="s">
        <v>285</v>
      </c>
      <c r="F969" t="s">
        <v>8423</v>
      </c>
      <c r="H969" t="s">
        <v>268</v>
      </c>
      <c r="I969" s="1">
        <v>45768</v>
      </c>
      <c r="K969">
        <v>-528000</v>
      </c>
      <c r="L969" t="s">
        <v>350</v>
      </c>
    </row>
    <row r="970" spans="1:12" x14ac:dyDescent="0.35">
      <c r="A970" t="s">
        <v>131</v>
      </c>
      <c r="B970" s="1">
        <v>45737</v>
      </c>
      <c r="C970" t="s">
        <v>286</v>
      </c>
      <c r="D970" t="s">
        <v>286</v>
      </c>
      <c r="F970" t="s">
        <v>7831</v>
      </c>
      <c r="G970" t="s">
        <v>9925</v>
      </c>
      <c r="H970" t="s">
        <v>139</v>
      </c>
      <c r="I970" s="1">
        <v>45768</v>
      </c>
      <c r="J970">
        <v>770540</v>
      </c>
      <c r="L970" t="s">
        <v>6803</v>
      </c>
    </row>
    <row r="971" spans="1:12" x14ac:dyDescent="0.35">
      <c r="A971" t="s">
        <v>131</v>
      </c>
      <c r="B971" s="1">
        <v>45737</v>
      </c>
      <c r="C971" t="s">
        <v>286</v>
      </c>
      <c r="D971" t="s">
        <v>286</v>
      </c>
      <c r="F971" t="s">
        <v>7831</v>
      </c>
      <c r="G971" t="s">
        <v>9925</v>
      </c>
      <c r="H971" t="s">
        <v>139</v>
      </c>
      <c r="I971" s="1">
        <v>45768</v>
      </c>
      <c r="J971">
        <v>770540</v>
      </c>
      <c r="L971" t="s">
        <v>6803</v>
      </c>
    </row>
    <row r="972" spans="1:12" x14ac:dyDescent="0.35">
      <c r="A972" t="s">
        <v>131</v>
      </c>
      <c r="B972" s="1">
        <v>45737</v>
      </c>
      <c r="C972" t="s">
        <v>286</v>
      </c>
      <c r="D972" t="s">
        <v>286</v>
      </c>
      <c r="F972" t="s">
        <v>7831</v>
      </c>
      <c r="G972" t="s">
        <v>9925</v>
      </c>
      <c r="H972" t="s">
        <v>254</v>
      </c>
      <c r="I972" s="1">
        <v>45768</v>
      </c>
      <c r="J972">
        <v>-770540</v>
      </c>
      <c r="L972" t="s">
        <v>6803</v>
      </c>
    </row>
    <row r="973" spans="1:12" x14ac:dyDescent="0.35">
      <c r="A973" t="s">
        <v>131</v>
      </c>
      <c r="B973" s="1">
        <v>45737</v>
      </c>
      <c r="C973" t="s">
        <v>286</v>
      </c>
      <c r="D973" t="s">
        <v>286</v>
      </c>
      <c r="F973" t="s">
        <v>8419</v>
      </c>
      <c r="H973" t="s">
        <v>139</v>
      </c>
      <c r="I973" s="1">
        <v>45768</v>
      </c>
      <c r="K973">
        <v>108540</v>
      </c>
      <c r="L973" t="s">
        <v>6803</v>
      </c>
    </row>
    <row r="974" spans="1:12" x14ac:dyDescent="0.35">
      <c r="A974" t="s">
        <v>131</v>
      </c>
      <c r="B974" s="1">
        <v>45737</v>
      </c>
      <c r="C974" t="s">
        <v>286</v>
      </c>
      <c r="D974" t="s">
        <v>286</v>
      </c>
      <c r="F974" t="s">
        <v>8419</v>
      </c>
      <c r="H974" t="s">
        <v>139</v>
      </c>
      <c r="I974" s="1">
        <v>45768</v>
      </c>
      <c r="K974">
        <v>108540</v>
      </c>
      <c r="L974" t="s">
        <v>6803</v>
      </c>
    </row>
    <row r="975" spans="1:12" x14ac:dyDescent="0.35">
      <c r="A975" t="s">
        <v>131</v>
      </c>
      <c r="B975" s="1">
        <v>45737</v>
      </c>
      <c r="C975" t="s">
        <v>286</v>
      </c>
      <c r="D975" t="s">
        <v>286</v>
      </c>
      <c r="F975" t="s">
        <v>8419</v>
      </c>
      <c r="H975" t="s">
        <v>254</v>
      </c>
      <c r="I975" s="1">
        <v>45768</v>
      </c>
      <c r="K975">
        <v>-108540</v>
      </c>
      <c r="L975" t="s">
        <v>6803</v>
      </c>
    </row>
    <row r="976" spans="1:12" x14ac:dyDescent="0.35">
      <c r="A976" t="s">
        <v>131</v>
      </c>
      <c r="B976" s="1">
        <v>45737</v>
      </c>
      <c r="C976" t="s">
        <v>286</v>
      </c>
      <c r="D976" t="s">
        <v>286</v>
      </c>
      <c r="F976" t="s">
        <v>7701</v>
      </c>
      <c r="H976" t="s">
        <v>139</v>
      </c>
      <c r="I976" s="1">
        <v>45768</v>
      </c>
      <c r="K976">
        <v>59000</v>
      </c>
      <c r="L976" t="s">
        <v>351</v>
      </c>
    </row>
    <row r="977" spans="1:12" x14ac:dyDescent="0.35">
      <c r="A977" t="s">
        <v>131</v>
      </c>
      <c r="B977" s="1">
        <v>45737</v>
      </c>
      <c r="C977" t="s">
        <v>286</v>
      </c>
      <c r="D977" t="s">
        <v>286</v>
      </c>
      <c r="F977" t="s">
        <v>7701</v>
      </c>
      <c r="H977" t="s">
        <v>139</v>
      </c>
      <c r="I977" s="1">
        <v>45768</v>
      </c>
      <c r="K977">
        <v>59000</v>
      </c>
      <c r="L977" t="s">
        <v>351</v>
      </c>
    </row>
    <row r="978" spans="1:12" x14ac:dyDescent="0.35">
      <c r="A978" t="s">
        <v>131</v>
      </c>
      <c r="B978" s="1">
        <v>45737</v>
      </c>
      <c r="C978" t="s">
        <v>286</v>
      </c>
      <c r="D978" t="s">
        <v>286</v>
      </c>
      <c r="F978" t="s">
        <v>7701</v>
      </c>
      <c r="H978" t="s">
        <v>254</v>
      </c>
      <c r="I978" s="1">
        <v>45768</v>
      </c>
      <c r="K978">
        <v>-59000</v>
      </c>
      <c r="L978" t="s">
        <v>351</v>
      </c>
    </row>
    <row r="979" spans="1:12" x14ac:dyDescent="0.35">
      <c r="A979" t="s">
        <v>131</v>
      </c>
      <c r="B979" s="1">
        <v>45737</v>
      </c>
      <c r="C979" t="s">
        <v>286</v>
      </c>
      <c r="D979" t="s">
        <v>286</v>
      </c>
      <c r="F979" t="s">
        <v>8423</v>
      </c>
      <c r="H979" t="s">
        <v>139</v>
      </c>
      <c r="I979" s="1">
        <v>45768</v>
      </c>
      <c r="K979">
        <v>603000</v>
      </c>
      <c r="L979" t="s">
        <v>349</v>
      </c>
    </row>
    <row r="980" spans="1:12" x14ac:dyDescent="0.35">
      <c r="A980" t="s">
        <v>131</v>
      </c>
      <c r="B980" s="1">
        <v>45737</v>
      </c>
      <c r="C980" t="s">
        <v>286</v>
      </c>
      <c r="D980" t="s">
        <v>286</v>
      </c>
      <c r="F980" t="s">
        <v>8423</v>
      </c>
      <c r="H980" t="s">
        <v>139</v>
      </c>
      <c r="I980" s="1">
        <v>45768</v>
      </c>
      <c r="K980">
        <v>603000</v>
      </c>
      <c r="L980" t="s">
        <v>349</v>
      </c>
    </row>
    <row r="981" spans="1:12" x14ac:dyDescent="0.35">
      <c r="A981" t="s">
        <v>131</v>
      </c>
      <c r="B981" s="1">
        <v>45737</v>
      </c>
      <c r="C981" t="s">
        <v>286</v>
      </c>
      <c r="D981" t="s">
        <v>286</v>
      </c>
      <c r="F981" t="s">
        <v>8423</v>
      </c>
      <c r="H981" t="s">
        <v>254</v>
      </c>
      <c r="I981" s="1">
        <v>45768</v>
      </c>
      <c r="K981">
        <v>-603000</v>
      </c>
      <c r="L981" t="s">
        <v>349</v>
      </c>
    </row>
    <row r="982" spans="1:12" x14ac:dyDescent="0.35">
      <c r="A982" t="s">
        <v>131</v>
      </c>
      <c r="B982" s="1">
        <v>45737</v>
      </c>
      <c r="C982" t="s">
        <v>287</v>
      </c>
      <c r="D982" t="s">
        <v>287</v>
      </c>
      <c r="F982" t="s">
        <v>7831</v>
      </c>
      <c r="G982" t="s">
        <v>7521</v>
      </c>
      <c r="H982" t="s">
        <v>180</v>
      </c>
      <c r="I982" s="1">
        <v>45768</v>
      </c>
      <c r="J982">
        <v>1125720</v>
      </c>
      <c r="L982" t="s">
        <v>6803</v>
      </c>
    </row>
    <row r="983" spans="1:12" x14ac:dyDescent="0.35">
      <c r="A983" t="s">
        <v>131</v>
      </c>
      <c r="B983" s="1">
        <v>45737</v>
      </c>
      <c r="C983" t="s">
        <v>287</v>
      </c>
      <c r="D983" t="s">
        <v>287</v>
      </c>
      <c r="F983" t="s">
        <v>7831</v>
      </c>
      <c r="G983" t="s">
        <v>7521</v>
      </c>
      <c r="H983" t="s">
        <v>180</v>
      </c>
      <c r="I983" s="1">
        <v>45768</v>
      </c>
      <c r="J983">
        <v>1125720</v>
      </c>
      <c r="L983" t="s">
        <v>6803</v>
      </c>
    </row>
    <row r="984" spans="1:12" x14ac:dyDescent="0.35">
      <c r="A984" t="s">
        <v>131</v>
      </c>
      <c r="B984" s="1">
        <v>45737</v>
      </c>
      <c r="C984" t="s">
        <v>287</v>
      </c>
      <c r="D984" t="s">
        <v>287</v>
      </c>
      <c r="F984" t="s">
        <v>7831</v>
      </c>
      <c r="G984" t="s">
        <v>7521</v>
      </c>
      <c r="H984" t="s">
        <v>257</v>
      </c>
      <c r="I984" s="1">
        <v>45768</v>
      </c>
      <c r="J984">
        <v>-1125720</v>
      </c>
      <c r="L984" t="s">
        <v>6803</v>
      </c>
    </row>
    <row r="985" spans="1:12" x14ac:dyDescent="0.35">
      <c r="A985" t="s">
        <v>131</v>
      </c>
      <c r="B985" s="1">
        <v>45737</v>
      </c>
      <c r="C985" t="s">
        <v>287</v>
      </c>
      <c r="D985" t="s">
        <v>287</v>
      </c>
      <c r="F985" t="s">
        <v>8419</v>
      </c>
      <c r="H985" t="s">
        <v>180</v>
      </c>
      <c r="I985" s="1">
        <v>45768</v>
      </c>
      <c r="K985">
        <v>144720</v>
      </c>
      <c r="L985" t="s">
        <v>6803</v>
      </c>
    </row>
    <row r="986" spans="1:12" x14ac:dyDescent="0.35">
      <c r="A986" t="s">
        <v>131</v>
      </c>
      <c r="B986" s="1">
        <v>45737</v>
      </c>
      <c r="C986" t="s">
        <v>287</v>
      </c>
      <c r="D986" t="s">
        <v>287</v>
      </c>
      <c r="F986" t="s">
        <v>8419</v>
      </c>
      <c r="H986" t="s">
        <v>180</v>
      </c>
      <c r="I986" s="1">
        <v>45768</v>
      </c>
      <c r="K986">
        <v>144720</v>
      </c>
      <c r="L986" t="s">
        <v>6803</v>
      </c>
    </row>
    <row r="987" spans="1:12" x14ac:dyDescent="0.35">
      <c r="A987" t="s">
        <v>131</v>
      </c>
      <c r="B987" s="1">
        <v>45737</v>
      </c>
      <c r="C987" t="s">
        <v>287</v>
      </c>
      <c r="D987" t="s">
        <v>287</v>
      </c>
      <c r="F987" t="s">
        <v>8419</v>
      </c>
      <c r="H987" t="s">
        <v>257</v>
      </c>
      <c r="I987" s="1">
        <v>45768</v>
      </c>
      <c r="K987">
        <v>-144720</v>
      </c>
      <c r="L987" t="s">
        <v>6803</v>
      </c>
    </row>
    <row r="988" spans="1:12" x14ac:dyDescent="0.35">
      <c r="A988" t="s">
        <v>131</v>
      </c>
      <c r="B988" s="1">
        <v>45737</v>
      </c>
      <c r="C988" t="s">
        <v>287</v>
      </c>
      <c r="D988" t="s">
        <v>287</v>
      </c>
      <c r="F988" t="s">
        <v>7701</v>
      </c>
      <c r="H988" t="s">
        <v>180</v>
      </c>
      <c r="I988" s="1">
        <v>45768</v>
      </c>
      <c r="K988">
        <v>177000</v>
      </c>
      <c r="L988" t="s">
        <v>351</v>
      </c>
    </row>
    <row r="989" spans="1:12" x14ac:dyDescent="0.35">
      <c r="A989" t="s">
        <v>131</v>
      </c>
      <c r="B989" s="1">
        <v>45737</v>
      </c>
      <c r="C989" t="s">
        <v>287</v>
      </c>
      <c r="D989" t="s">
        <v>287</v>
      </c>
      <c r="F989" t="s">
        <v>7701</v>
      </c>
      <c r="H989" t="s">
        <v>180</v>
      </c>
      <c r="I989" s="1">
        <v>45768</v>
      </c>
      <c r="K989">
        <v>177000</v>
      </c>
      <c r="L989" t="s">
        <v>351</v>
      </c>
    </row>
    <row r="990" spans="1:12" x14ac:dyDescent="0.35">
      <c r="A990" t="s">
        <v>131</v>
      </c>
      <c r="B990" s="1">
        <v>45737</v>
      </c>
      <c r="C990" t="s">
        <v>287</v>
      </c>
      <c r="D990" t="s">
        <v>287</v>
      </c>
      <c r="F990" t="s">
        <v>7701</v>
      </c>
      <c r="H990" t="s">
        <v>257</v>
      </c>
      <c r="I990" s="1">
        <v>45768</v>
      </c>
      <c r="K990">
        <v>-177000</v>
      </c>
      <c r="L990" t="s">
        <v>351</v>
      </c>
    </row>
    <row r="991" spans="1:12" x14ac:dyDescent="0.35">
      <c r="A991" t="s">
        <v>131</v>
      </c>
      <c r="B991" s="1">
        <v>45737</v>
      </c>
      <c r="C991" t="s">
        <v>287</v>
      </c>
      <c r="D991" t="s">
        <v>287</v>
      </c>
      <c r="F991" t="s">
        <v>8423</v>
      </c>
      <c r="H991" t="s">
        <v>180</v>
      </c>
      <c r="I991" s="1">
        <v>45768</v>
      </c>
      <c r="K991">
        <v>804000</v>
      </c>
      <c r="L991" t="s">
        <v>349</v>
      </c>
    </row>
    <row r="992" spans="1:12" x14ac:dyDescent="0.35">
      <c r="A992" t="s">
        <v>131</v>
      </c>
      <c r="B992" s="1">
        <v>45737</v>
      </c>
      <c r="C992" t="s">
        <v>287</v>
      </c>
      <c r="D992" t="s">
        <v>287</v>
      </c>
      <c r="F992" t="s">
        <v>8423</v>
      </c>
      <c r="H992" t="s">
        <v>180</v>
      </c>
      <c r="I992" s="1">
        <v>45768</v>
      </c>
      <c r="K992">
        <v>804000</v>
      </c>
      <c r="L992" t="s">
        <v>349</v>
      </c>
    </row>
    <row r="993" spans="1:12" x14ac:dyDescent="0.35">
      <c r="A993" t="s">
        <v>131</v>
      </c>
      <c r="B993" s="1">
        <v>45737</v>
      </c>
      <c r="C993" t="s">
        <v>287</v>
      </c>
      <c r="D993" t="s">
        <v>287</v>
      </c>
      <c r="F993" t="s">
        <v>8423</v>
      </c>
      <c r="H993" t="s">
        <v>257</v>
      </c>
      <c r="I993" s="1">
        <v>45768</v>
      </c>
      <c r="K993">
        <v>-804000</v>
      </c>
      <c r="L993" t="s">
        <v>349</v>
      </c>
    </row>
    <row r="994" spans="1:12" x14ac:dyDescent="0.35">
      <c r="A994" t="s">
        <v>131</v>
      </c>
      <c r="B994" s="1">
        <v>45737</v>
      </c>
      <c r="C994" t="s">
        <v>288</v>
      </c>
      <c r="D994" t="s">
        <v>288</v>
      </c>
      <c r="F994" t="s">
        <v>7831</v>
      </c>
      <c r="G994" t="s">
        <v>9925</v>
      </c>
      <c r="H994" t="s">
        <v>139</v>
      </c>
      <c r="I994" s="1">
        <v>45768</v>
      </c>
      <c r="J994">
        <v>5253360</v>
      </c>
      <c r="L994" t="s">
        <v>6803</v>
      </c>
    </row>
    <row r="995" spans="1:12" x14ac:dyDescent="0.35">
      <c r="A995" t="s">
        <v>131</v>
      </c>
      <c r="B995" s="1">
        <v>45737</v>
      </c>
      <c r="C995" t="s">
        <v>288</v>
      </c>
      <c r="D995" t="s">
        <v>288</v>
      </c>
      <c r="F995" t="s">
        <v>7831</v>
      </c>
      <c r="G995" t="s">
        <v>9925</v>
      </c>
      <c r="H995" t="s">
        <v>139</v>
      </c>
      <c r="I995" s="1">
        <v>45768</v>
      </c>
      <c r="J995">
        <v>5253360</v>
      </c>
      <c r="L995" t="s">
        <v>6803</v>
      </c>
    </row>
    <row r="996" spans="1:12" x14ac:dyDescent="0.35">
      <c r="A996" t="s">
        <v>131</v>
      </c>
      <c r="B996" s="1">
        <v>45737</v>
      </c>
      <c r="C996" t="s">
        <v>288</v>
      </c>
      <c r="D996" t="s">
        <v>288</v>
      </c>
      <c r="F996" t="s">
        <v>7831</v>
      </c>
      <c r="G996" t="s">
        <v>9925</v>
      </c>
      <c r="H996" t="s">
        <v>254</v>
      </c>
      <c r="I996" s="1">
        <v>45768</v>
      </c>
      <c r="J996">
        <v>-5253360</v>
      </c>
      <c r="L996" t="s">
        <v>6803</v>
      </c>
    </row>
    <row r="997" spans="1:12" x14ac:dyDescent="0.35">
      <c r="A997" t="s">
        <v>131</v>
      </c>
      <c r="B997" s="1">
        <v>45737</v>
      </c>
      <c r="C997" t="s">
        <v>288</v>
      </c>
      <c r="D997" t="s">
        <v>288</v>
      </c>
      <c r="F997" t="s">
        <v>8419</v>
      </c>
      <c r="H997" t="s">
        <v>139</v>
      </c>
      <c r="I997" s="1">
        <v>45768</v>
      </c>
      <c r="K997">
        <v>675360</v>
      </c>
      <c r="L997" t="s">
        <v>6803</v>
      </c>
    </row>
    <row r="998" spans="1:12" x14ac:dyDescent="0.35">
      <c r="A998" t="s">
        <v>131</v>
      </c>
      <c r="B998" s="1">
        <v>45737</v>
      </c>
      <c r="C998" t="s">
        <v>288</v>
      </c>
      <c r="D998" t="s">
        <v>288</v>
      </c>
      <c r="F998" t="s">
        <v>8419</v>
      </c>
      <c r="H998" t="s">
        <v>139</v>
      </c>
      <c r="I998" s="1">
        <v>45768</v>
      </c>
      <c r="K998">
        <v>675360</v>
      </c>
      <c r="L998" t="s">
        <v>6803</v>
      </c>
    </row>
    <row r="999" spans="1:12" x14ac:dyDescent="0.35">
      <c r="A999" t="s">
        <v>131</v>
      </c>
      <c r="B999" s="1">
        <v>45737</v>
      </c>
      <c r="C999" t="s">
        <v>288</v>
      </c>
      <c r="D999" t="s">
        <v>288</v>
      </c>
      <c r="F999" t="s">
        <v>8419</v>
      </c>
      <c r="H999" t="s">
        <v>254</v>
      </c>
      <c r="I999" s="1">
        <v>45768</v>
      </c>
      <c r="K999">
        <v>-675360</v>
      </c>
      <c r="L999" t="s">
        <v>6803</v>
      </c>
    </row>
    <row r="1000" spans="1:12" x14ac:dyDescent="0.35">
      <c r="A1000" t="s">
        <v>131</v>
      </c>
      <c r="B1000" s="1">
        <v>45737</v>
      </c>
      <c r="C1000" t="s">
        <v>288</v>
      </c>
      <c r="D1000" t="s">
        <v>288</v>
      </c>
      <c r="F1000" t="s">
        <v>7701</v>
      </c>
      <c r="H1000" t="s">
        <v>139</v>
      </c>
      <c r="I1000" s="1">
        <v>45768</v>
      </c>
      <c r="K1000">
        <v>826000</v>
      </c>
      <c r="L1000" t="s">
        <v>351</v>
      </c>
    </row>
    <row r="1001" spans="1:12" x14ac:dyDescent="0.35">
      <c r="A1001" t="s">
        <v>131</v>
      </c>
      <c r="B1001" s="1">
        <v>45737</v>
      </c>
      <c r="C1001" t="s">
        <v>288</v>
      </c>
      <c r="D1001" t="s">
        <v>288</v>
      </c>
      <c r="F1001" t="s">
        <v>7701</v>
      </c>
      <c r="H1001" t="s">
        <v>139</v>
      </c>
      <c r="I1001" s="1">
        <v>45768</v>
      </c>
      <c r="K1001">
        <v>826000</v>
      </c>
      <c r="L1001" t="s">
        <v>351</v>
      </c>
    </row>
    <row r="1002" spans="1:12" x14ac:dyDescent="0.35">
      <c r="A1002" t="s">
        <v>131</v>
      </c>
      <c r="B1002" s="1">
        <v>45737</v>
      </c>
      <c r="C1002" t="s">
        <v>288</v>
      </c>
      <c r="D1002" t="s">
        <v>288</v>
      </c>
      <c r="F1002" t="s">
        <v>7701</v>
      </c>
      <c r="H1002" t="s">
        <v>254</v>
      </c>
      <c r="I1002" s="1">
        <v>45768</v>
      </c>
      <c r="K1002">
        <v>-826000</v>
      </c>
      <c r="L1002" t="s">
        <v>351</v>
      </c>
    </row>
    <row r="1003" spans="1:12" x14ac:dyDescent="0.35">
      <c r="A1003" t="s">
        <v>131</v>
      </c>
      <c r="B1003" s="1">
        <v>45737</v>
      </c>
      <c r="C1003" t="s">
        <v>288</v>
      </c>
      <c r="D1003" t="s">
        <v>288</v>
      </c>
      <c r="F1003" t="s">
        <v>8423</v>
      </c>
      <c r="H1003" t="s">
        <v>139</v>
      </c>
      <c r="I1003" s="1">
        <v>45768</v>
      </c>
      <c r="K1003">
        <v>3752000</v>
      </c>
      <c r="L1003" t="s">
        <v>349</v>
      </c>
    </row>
    <row r="1004" spans="1:12" x14ac:dyDescent="0.35">
      <c r="A1004" t="s">
        <v>131</v>
      </c>
      <c r="B1004" s="1">
        <v>45737</v>
      </c>
      <c r="C1004" t="s">
        <v>288</v>
      </c>
      <c r="D1004" t="s">
        <v>288</v>
      </c>
      <c r="F1004" t="s">
        <v>8423</v>
      </c>
      <c r="H1004" t="s">
        <v>139</v>
      </c>
      <c r="I1004" s="1">
        <v>45768</v>
      </c>
      <c r="K1004">
        <v>3752000</v>
      </c>
      <c r="L1004" t="s">
        <v>349</v>
      </c>
    </row>
    <row r="1005" spans="1:12" x14ac:dyDescent="0.35">
      <c r="A1005" t="s">
        <v>131</v>
      </c>
      <c r="B1005" s="1">
        <v>45737</v>
      </c>
      <c r="C1005" t="s">
        <v>288</v>
      </c>
      <c r="D1005" t="s">
        <v>288</v>
      </c>
      <c r="F1005" t="s">
        <v>8423</v>
      </c>
      <c r="H1005" t="s">
        <v>254</v>
      </c>
      <c r="I1005" s="1">
        <v>45768</v>
      </c>
      <c r="K1005">
        <v>-3752000</v>
      </c>
      <c r="L1005" t="s">
        <v>349</v>
      </c>
    </row>
    <row r="1006" spans="1:12" x14ac:dyDescent="0.35">
      <c r="A1006" t="s">
        <v>131</v>
      </c>
      <c r="B1006" s="1">
        <v>45740</v>
      </c>
      <c r="C1006" t="s">
        <v>289</v>
      </c>
      <c r="D1006" t="s">
        <v>289</v>
      </c>
      <c r="F1006" t="s">
        <v>7831</v>
      </c>
      <c r="G1006" t="s">
        <v>9900</v>
      </c>
      <c r="H1006" t="s">
        <v>290</v>
      </c>
      <c r="I1006" s="1">
        <v>45740</v>
      </c>
      <c r="J1006">
        <v>214760</v>
      </c>
      <c r="L1006" t="s">
        <v>6803</v>
      </c>
    </row>
    <row r="1007" spans="1:12" x14ac:dyDescent="0.35">
      <c r="A1007" t="s">
        <v>131</v>
      </c>
      <c r="B1007" s="1">
        <v>45740</v>
      </c>
      <c r="C1007" t="s">
        <v>289</v>
      </c>
      <c r="D1007" t="s">
        <v>289</v>
      </c>
      <c r="F1007" t="s">
        <v>8419</v>
      </c>
      <c r="H1007" t="s">
        <v>290</v>
      </c>
      <c r="I1007" s="1">
        <v>45740</v>
      </c>
      <c r="K1007">
        <v>23760</v>
      </c>
      <c r="L1007" t="s">
        <v>6803</v>
      </c>
    </row>
    <row r="1008" spans="1:12" x14ac:dyDescent="0.35">
      <c r="A1008" t="s">
        <v>131</v>
      </c>
      <c r="B1008" s="1">
        <v>45740</v>
      </c>
      <c r="C1008" t="s">
        <v>289</v>
      </c>
      <c r="D1008" t="s">
        <v>289</v>
      </c>
      <c r="F1008" t="s">
        <v>7701</v>
      </c>
      <c r="H1008" t="s">
        <v>290</v>
      </c>
      <c r="I1008" s="1">
        <v>45740</v>
      </c>
      <c r="K1008">
        <v>59000</v>
      </c>
      <c r="L1008" t="s">
        <v>351</v>
      </c>
    </row>
    <row r="1009" spans="1:12" x14ac:dyDescent="0.35">
      <c r="A1009" t="s">
        <v>131</v>
      </c>
      <c r="B1009" s="1">
        <v>45740</v>
      </c>
      <c r="C1009" t="s">
        <v>289</v>
      </c>
      <c r="D1009" t="s">
        <v>289</v>
      </c>
      <c r="F1009" t="s">
        <v>8423</v>
      </c>
      <c r="H1009" t="s">
        <v>290</v>
      </c>
      <c r="I1009" s="1">
        <v>45740</v>
      </c>
      <c r="K1009">
        <v>132000</v>
      </c>
      <c r="L1009" t="s">
        <v>350</v>
      </c>
    </row>
    <row r="1010" spans="1:12" x14ac:dyDescent="0.35">
      <c r="A1010" t="s">
        <v>131</v>
      </c>
      <c r="B1010" s="1">
        <v>45740</v>
      </c>
      <c r="C1010" t="s">
        <v>291</v>
      </c>
      <c r="D1010" t="s">
        <v>291</v>
      </c>
      <c r="F1010" t="s">
        <v>7831</v>
      </c>
      <c r="G1010" t="s">
        <v>9900</v>
      </c>
      <c r="H1010" t="s">
        <v>144</v>
      </c>
      <c r="I1010" s="1">
        <v>45740</v>
      </c>
      <c r="J1010">
        <v>472000</v>
      </c>
      <c r="L1010" t="s">
        <v>6803</v>
      </c>
    </row>
    <row r="1011" spans="1:12" x14ac:dyDescent="0.35">
      <c r="A1011" t="s">
        <v>131</v>
      </c>
      <c r="B1011" s="1">
        <v>45740</v>
      </c>
      <c r="C1011" t="s">
        <v>291</v>
      </c>
      <c r="D1011" t="s">
        <v>291</v>
      </c>
      <c r="F1011" t="s">
        <v>8419</v>
      </c>
      <c r="H1011" t="s">
        <v>144</v>
      </c>
      <c r="I1011" s="1">
        <v>45740</v>
      </c>
      <c r="K1011">
        <v>72000</v>
      </c>
      <c r="L1011" t="s">
        <v>6803</v>
      </c>
    </row>
    <row r="1012" spans="1:12" x14ac:dyDescent="0.35">
      <c r="A1012" t="s">
        <v>131</v>
      </c>
      <c r="B1012" s="1">
        <v>45740</v>
      </c>
      <c r="C1012" t="s">
        <v>291</v>
      </c>
      <c r="D1012" t="s">
        <v>291</v>
      </c>
      <c r="F1012" t="s">
        <v>8423</v>
      </c>
      <c r="H1012" t="s">
        <v>144</v>
      </c>
      <c r="I1012" s="1">
        <v>45740</v>
      </c>
      <c r="K1012">
        <v>60000</v>
      </c>
      <c r="L1012" t="s">
        <v>349</v>
      </c>
    </row>
    <row r="1013" spans="1:12" x14ac:dyDescent="0.35">
      <c r="A1013" t="s">
        <v>131</v>
      </c>
      <c r="B1013" s="1">
        <v>45740</v>
      </c>
      <c r="C1013" t="s">
        <v>291</v>
      </c>
      <c r="D1013" t="s">
        <v>291</v>
      </c>
      <c r="F1013" t="s">
        <v>8427</v>
      </c>
      <c r="H1013" t="s">
        <v>144</v>
      </c>
      <c r="I1013" s="1">
        <v>45740</v>
      </c>
      <c r="K1013">
        <v>340000</v>
      </c>
      <c r="L1013" t="s">
        <v>349</v>
      </c>
    </row>
    <row r="1014" spans="1:12" x14ac:dyDescent="0.35">
      <c r="A1014" t="s">
        <v>131</v>
      </c>
      <c r="B1014" s="1">
        <v>45740</v>
      </c>
      <c r="C1014" t="s">
        <v>292</v>
      </c>
      <c r="D1014" t="s">
        <v>292</v>
      </c>
      <c r="F1014" t="s">
        <v>7831</v>
      </c>
      <c r="G1014" t="s">
        <v>9921</v>
      </c>
      <c r="H1014" t="s">
        <v>159</v>
      </c>
      <c r="I1014" s="1">
        <v>45740</v>
      </c>
      <c r="J1014">
        <v>292640</v>
      </c>
      <c r="L1014" t="s">
        <v>6803</v>
      </c>
    </row>
    <row r="1015" spans="1:12" x14ac:dyDescent="0.35">
      <c r="A1015" t="s">
        <v>131</v>
      </c>
      <c r="B1015" s="1">
        <v>45740</v>
      </c>
      <c r="C1015" t="s">
        <v>292</v>
      </c>
      <c r="D1015" t="s">
        <v>292</v>
      </c>
      <c r="F1015" t="s">
        <v>8419</v>
      </c>
      <c r="H1015" t="s">
        <v>159</v>
      </c>
      <c r="I1015" s="1">
        <v>45740</v>
      </c>
      <c r="K1015">
        <v>35640</v>
      </c>
      <c r="L1015" t="s">
        <v>6803</v>
      </c>
    </row>
    <row r="1016" spans="1:12" x14ac:dyDescent="0.35">
      <c r="A1016" t="s">
        <v>131</v>
      </c>
      <c r="B1016" s="1">
        <v>45740</v>
      </c>
      <c r="C1016" t="s">
        <v>292</v>
      </c>
      <c r="D1016" t="s">
        <v>292</v>
      </c>
      <c r="F1016" t="s">
        <v>7701</v>
      </c>
      <c r="H1016" t="s">
        <v>159</v>
      </c>
      <c r="I1016" s="1">
        <v>45740</v>
      </c>
      <c r="K1016">
        <v>59000</v>
      </c>
      <c r="L1016" t="s">
        <v>351</v>
      </c>
    </row>
    <row r="1017" spans="1:12" x14ac:dyDescent="0.35">
      <c r="A1017" t="s">
        <v>131</v>
      </c>
      <c r="B1017" s="1">
        <v>45740</v>
      </c>
      <c r="C1017" t="s">
        <v>292</v>
      </c>
      <c r="D1017" t="s">
        <v>292</v>
      </c>
      <c r="F1017" t="s">
        <v>8423</v>
      </c>
      <c r="H1017" t="s">
        <v>159</v>
      </c>
      <c r="I1017" s="1">
        <v>45740</v>
      </c>
      <c r="K1017">
        <v>198000</v>
      </c>
      <c r="L1017" t="s">
        <v>349</v>
      </c>
    </row>
    <row r="1018" spans="1:12" x14ac:dyDescent="0.35">
      <c r="A1018" t="s">
        <v>131</v>
      </c>
      <c r="B1018" s="1">
        <v>45740</v>
      </c>
      <c r="C1018" t="s">
        <v>293</v>
      </c>
      <c r="D1018" t="s">
        <v>293</v>
      </c>
      <c r="F1018" t="s">
        <v>7831</v>
      </c>
      <c r="G1018" t="s">
        <v>9921</v>
      </c>
      <c r="H1018" t="s">
        <v>188</v>
      </c>
      <c r="I1018" s="1">
        <v>45740</v>
      </c>
      <c r="J1018">
        <v>413000</v>
      </c>
      <c r="L1018" t="s">
        <v>6803</v>
      </c>
    </row>
    <row r="1019" spans="1:12" x14ac:dyDescent="0.35">
      <c r="A1019" t="s">
        <v>131</v>
      </c>
      <c r="B1019" s="1">
        <v>45740</v>
      </c>
      <c r="C1019" t="s">
        <v>293</v>
      </c>
      <c r="D1019" t="s">
        <v>293</v>
      </c>
      <c r="F1019" t="s">
        <v>8419</v>
      </c>
      <c r="H1019" t="s">
        <v>188</v>
      </c>
      <c r="I1019" s="1">
        <v>45740</v>
      </c>
      <c r="K1019">
        <v>54000</v>
      </c>
      <c r="L1019" t="s">
        <v>6803</v>
      </c>
    </row>
    <row r="1020" spans="1:12" x14ac:dyDescent="0.35">
      <c r="A1020" t="s">
        <v>131</v>
      </c>
      <c r="B1020" s="1">
        <v>45740</v>
      </c>
      <c r="C1020" t="s">
        <v>293</v>
      </c>
      <c r="D1020" t="s">
        <v>293</v>
      </c>
      <c r="F1020" t="s">
        <v>7701</v>
      </c>
      <c r="H1020" t="s">
        <v>188</v>
      </c>
      <c r="I1020" s="1">
        <v>45740</v>
      </c>
      <c r="K1020">
        <v>59000</v>
      </c>
      <c r="L1020" t="s">
        <v>351</v>
      </c>
    </row>
    <row r="1021" spans="1:12" x14ac:dyDescent="0.35">
      <c r="A1021" t="s">
        <v>131</v>
      </c>
      <c r="B1021" s="1">
        <v>45740</v>
      </c>
      <c r="C1021" t="s">
        <v>293</v>
      </c>
      <c r="D1021" t="s">
        <v>293</v>
      </c>
      <c r="F1021" t="s">
        <v>8423</v>
      </c>
      <c r="H1021" t="s">
        <v>188</v>
      </c>
      <c r="I1021" s="1">
        <v>45740</v>
      </c>
      <c r="K1021">
        <v>300000</v>
      </c>
      <c r="L1021" t="s">
        <v>349</v>
      </c>
    </row>
    <row r="1022" spans="1:12" x14ac:dyDescent="0.35">
      <c r="A1022" t="s">
        <v>131</v>
      </c>
      <c r="B1022" s="1">
        <v>45740</v>
      </c>
      <c r="C1022" t="s">
        <v>294</v>
      </c>
      <c r="D1022" t="s">
        <v>294</v>
      </c>
      <c r="F1022" t="s">
        <v>7831</v>
      </c>
      <c r="G1022" t="s">
        <v>9921</v>
      </c>
      <c r="H1022" t="s">
        <v>159</v>
      </c>
      <c r="I1022" s="1">
        <v>45771</v>
      </c>
      <c r="J1022">
        <v>266680</v>
      </c>
      <c r="L1022" t="s">
        <v>6803</v>
      </c>
    </row>
    <row r="1023" spans="1:12" x14ac:dyDescent="0.35">
      <c r="A1023" t="s">
        <v>131</v>
      </c>
      <c r="B1023" s="1">
        <v>45740</v>
      </c>
      <c r="C1023" t="s">
        <v>294</v>
      </c>
      <c r="D1023" t="s">
        <v>294</v>
      </c>
      <c r="F1023" t="s">
        <v>8419</v>
      </c>
      <c r="H1023" t="s">
        <v>159</v>
      </c>
      <c r="I1023" s="1">
        <v>45771</v>
      </c>
      <c r="K1023">
        <v>36180</v>
      </c>
      <c r="L1023" t="s">
        <v>6803</v>
      </c>
    </row>
    <row r="1024" spans="1:12" x14ac:dyDescent="0.35">
      <c r="A1024" t="s">
        <v>131</v>
      </c>
      <c r="B1024" s="1">
        <v>45740</v>
      </c>
      <c r="C1024" t="s">
        <v>294</v>
      </c>
      <c r="D1024" t="s">
        <v>294</v>
      </c>
      <c r="F1024" t="s">
        <v>7701</v>
      </c>
      <c r="H1024" t="s">
        <v>159</v>
      </c>
      <c r="I1024" s="1">
        <v>45771</v>
      </c>
      <c r="K1024">
        <v>29500</v>
      </c>
      <c r="L1024" t="s">
        <v>351</v>
      </c>
    </row>
    <row r="1025" spans="1:12" x14ac:dyDescent="0.35">
      <c r="A1025" t="s">
        <v>131</v>
      </c>
      <c r="B1025" s="1">
        <v>45740</v>
      </c>
      <c r="C1025" t="s">
        <v>294</v>
      </c>
      <c r="D1025" t="s">
        <v>294</v>
      </c>
      <c r="F1025" t="s">
        <v>8423</v>
      </c>
      <c r="H1025" t="s">
        <v>159</v>
      </c>
      <c r="I1025" s="1">
        <v>45771</v>
      </c>
      <c r="K1025">
        <v>201000</v>
      </c>
      <c r="L1025" t="s">
        <v>349</v>
      </c>
    </row>
    <row r="1026" spans="1:12" x14ac:dyDescent="0.35">
      <c r="A1026" t="s">
        <v>131</v>
      </c>
      <c r="B1026" s="1">
        <v>45740</v>
      </c>
      <c r="C1026" t="s">
        <v>295</v>
      </c>
      <c r="D1026" t="s">
        <v>295</v>
      </c>
      <c r="F1026" t="s">
        <v>7831</v>
      </c>
      <c r="G1026" t="s">
        <v>9921</v>
      </c>
      <c r="H1026" t="s">
        <v>159</v>
      </c>
      <c r="I1026" s="1">
        <v>45740</v>
      </c>
      <c r="J1026">
        <v>375240</v>
      </c>
      <c r="L1026" t="s">
        <v>6803</v>
      </c>
    </row>
    <row r="1027" spans="1:12" x14ac:dyDescent="0.35">
      <c r="A1027" t="s">
        <v>131</v>
      </c>
      <c r="B1027" s="1">
        <v>45740</v>
      </c>
      <c r="C1027" t="s">
        <v>295</v>
      </c>
      <c r="D1027" t="s">
        <v>295</v>
      </c>
      <c r="F1027" t="s">
        <v>8419</v>
      </c>
      <c r="H1027" t="s">
        <v>159</v>
      </c>
      <c r="I1027" s="1">
        <v>45740</v>
      </c>
      <c r="K1027">
        <v>48240</v>
      </c>
      <c r="L1027" t="s">
        <v>6803</v>
      </c>
    </row>
    <row r="1028" spans="1:12" x14ac:dyDescent="0.35">
      <c r="A1028" t="s">
        <v>131</v>
      </c>
      <c r="B1028" s="1">
        <v>45740</v>
      </c>
      <c r="C1028" t="s">
        <v>295</v>
      </c>
      <c r="D1028" t="s">
        <v>295</v>
      </c>
      <c r="F1028" t="s">
        <v>7701</v>
      </c>
      <c r="H1028" t="s">
        <v>159</v>
      </c>
      <c r="I1028" s="1">
        <v>45740</v>
      </c>
      <c r="K1028">
        <v>59000</v>
      </c>
      <c r="L1028" t="s">
        <v>351</v>
      </c>
    </row>
    <row r="1029" spans="1:12" x14ac:dyDescent="0.35">
      <c r="A1029" t="s">
        <v>131</v>
      </c>
      <c r="B1029" s="1">
        <v>45740</v>
      </c>
      <c r="C1029" t="s">
        <v>295</v>
      </c>
      <c r="D1029" t="s">
        <v>295</v>
      </c>
      <c r="F1029" t="s">
        <v>8423</v>
      </c>
      <c r="H1029" t="s">
        <v>159</v>
      </c>
      <c r="I1029" s="1">
        <v>45740</v>
      </c>
      <c r="K1029">
        <v>268000</v>
      </c>
      <c r="L1029" t="s">
        <v>349</v>
      </c>
    </row>
    <row r="1030" spans="1:12" x14ac:dyDescent="0.35">
      <c r="A1030" t="s">
        <v>131</v>
      </c>
      <c r="B1030" s="1">
        <v>45740</v>
      </c>
      <c r="C1030" t="s">
        <v>296</v>
      </c>
      <c r="D1030" t="s">
        <v>296</v>
      </c>
      <c r="F1030" t="s">
        <v>7831</v>
      </c>
      <c r="G1030" t="s">
        <v>9921</v>
      </c>
      <c r="H1030" t="s">
        <v>159</v>
      </c>
      <c r="I1030" s="1">
        <v>45740</v>
      </c>
      <c r="J1030">
        <v>375240</v>
      </c>
      <c r="L1030" t="s">
        <v>6803</v>
      </c>
    </row>
    <row r="1031" spans="1:12" x14ac:dyDescent="0.35">
      <c r="A1031" t="s">
        <v>131</v>
      </c>
      <c r="B1031" s="1">
        <v>45740</v>
      </c>
      <c r="C1031" t="s">
        <v>296</v>
      </c>
      <c r="D1031" t="s">
        <v>296</v>
      </c>
      <c r="F1031" t="s">
        <v>8419</v>
      </c>
      <c r="H1031" t="s">
        <v>159</v>
      </c>
      <c r="I1031" s="1">
        <v>45740</v>
      </c>
      <c r="K1031">
        <v>48240</v>
      </c>
      <c r="L1031" t="s">
        <v>6803</v>
      </c>
    </row>
    <row r="1032" spans="1:12" x14ac:dyDescent="0.35">
      <c r="A1032" t="s">
        <v>131</v>
      </c>
      <c r="B1032" s="1">
        <v>45740</v>
      </c>
      <c r="C1032" t="s">
        <v>296</v>
      </c>
      <c r="D1032" t="s">
        <v>296</v>
      </c>
      <c r="F1032" t="s">
        <v>7701</v>
      </c>
      <c r="H1032" t="s">
        <v>159</v>
      </c>
      <c r="I1032" s="1">
        <v>45740</v>
      </c>
      <c r="K1032">
        <v>59000</v>
      </c>
      <c r="L1032" t="s">
        <v>351</v>
      </c>
    </row>
    <row r="1033" spans="1:12" x14ac:dyDescent="0.35">
      <c r="A1033" t="s">
        <v>131</v>
      </c>
      <c r="B1033" s="1">
        <v>45740</v>
      </c>
      <c r="C1033" t="s">
        <v>296</v>
      </c>
      <c r="D1033" t="s">
        <v>296</v>
      </c>
      <c r="F1033" t="s">
        <v>8423</v>
      </c>
      <c r="H1033" t="s">
        <v>159</v>
      </c>
      <c r="I1033" s="1">
        <v>45740</v>
      </c>
      <c r="K1033">
        <v>268000</v>
      </c>
      <c r="L1033" t="s">
        <v>349</v>
      </c>
    </row>
    <row r="1034" spans="1:12" x14ac:dyDescent="0.35">
      <c r="A1034" t="s">
        <v>131</v>
      </c>
      <c r="B1034" s="1">
        <v>45740</v>
      </c>
      <c r="C1034" t="s">
        <v>297</v>
      </c>
      <c r="D1034" t="s">
        <v>297</v>
      </c>
      <c r="F1034" t="s">
        <v>7831</v>
      </c>
      <c r="G1034" t="s">
        <v>9921</v>
      </c>
      <c r="H1034" t="s">
        <v>159</v>
      </c>
      <c r="I1034" s="1">
        <v>45740</v>
      </c>
      <c r="J1034">
        <v>187620</v>
      </c>
      <c r="L1034" t="s">
        <v>6803</v>
      </c>
    </row>
    <row r="1035" spans="1:12" x14ac:dyDescent="0.35">
      <c r="A1035" t="s">
        <v>131</v>
      </c>
      <c r="B1035" s="1">
        <v>45740</v>
      </c>
      <c r="C1035" t="s">
        <v>297</v>
      </c>
      <c r="D1035" t="s">
        <v>297</v>
      </c>
      <c r="F1035" t="s">
        <v>8419</v>
      </c>
      <c r="H1035" t="s">
        <v>159</v>
      </c>
      <c r="I1035" s="1">
        <v>45740</v>
      </c>
      <c r="K1035">
        <v>24120</v>
      </c>
      <c r="L1035" t="s">
        <v>6803</v>
      </c>
    </row>
    <row r="1036" spans="1:12" x14ac:dyDescent="0.35">
      <c r="A1036" t="s">
        <v>131</v>
      </c>
      <c r="B1036" s="1">
        <v>45740</v>
      </c>
      <c r="C1036" t="s">
        <v>297</v>
      </c>
      <c r="D1036" t="s">
        <v>297</v>
      </c>
      <c r="F1036" t="s">
        <v>7701</v>
      </c>
      <c r="H1036" t="s">
        <v>159</v>
      </c>
      <c r="I1036" s="1">
        <v>45740</v>
      </c>
      <c r="K1036">
        <v>29500</v>
      </c>
      <c r="L1036" t="s">
        <v>351</v>
      </c>
    </row>
    <row r="1037" spans="1:12" x14ac:dyDescent="0.35">
      <c r="A1037" t="s">
        <v>131</v>
      </c>
      <c r="B1037" s="1">
        <v>45740</v>
      </c>
      <c r="C1037" t="s">
        <v>297</v>
      </c>
      <c r="D1037" t="s">
        <v>297</v>
      </c>
      <c r="F1037" t="s">
        <v>8423</v>
      </c>
      <c r="H1037" t="s">
        <v>159</v>
      </c>
      <c r="I1037" s="1">
        <v>45740</v>
      </c>
      <c r="K1037">
        <v>134000</v>
      </c>
      <c r="L1037" t="s">
        <v>349</v>
      </c>
    </row>
    <row r="1038" spans="1:12" x14ac:dyDescent="0.35">
      <c r="A1038" t="s">
        <v>131</v>
      </c>
      <c r="B1038" s="1">
        <v>45740</v>
      </c>
      <c r="C1038" t="s">
        <v>298</v>
      </c>
      <c r="D1038" t="s">
        <v>298</v>
      </c>
      <c r="F1038" t="s">
        <v>7831</v>
      </c>
      <c r="G1038" t="s">
        <v>9921</v>
      </c>
      <c r="H1038" t="s">
        <v>159</v>
      </c>
      <c r="I1038" s="1">
        <v>45740</v>
      </c>
      <c r="J1038">
        <v>187620</v>
      </c>
      <c r="L1038" t="s">
        <v>6803</v>
      </c>
    </row>
    <row r="1039" spans="1:12" x14ac:dyDescent="0.35">
      <c r="A1039" t="s">
        <v>131</v>
      </c>
      <c r="B1039" s="1">
        <v>45740</v>
      </c>
      <c r="C1039" t="s">
        <v>298</v>
      </c>
      <c r="D1039" t="s">
        <v>298</v>
      </c>
      <c r="F1039" t="s">
        <v>8419</v>
      </c>
      <c r="H1039" t="s">
        <v>159</v>
      </c>
      <c r="I1039" s="1">
        <v>45740</v>
      </c>
      <c r="K1039">
        <v>24120</v>
      </c>
      <c r="L1039" t="s">
        <v>6803</v>
      </c>
    </row>
    <row r="1040" spans="1:12" x14ac:dyDescent="0.35">
      <c r="A1040" t="s">
        <v>131</v>
      </c>
      <c r="B1040" s="1">
        <v>45740</v>
      </c>
      <c r="C1040" t="s">
        <v>298</v>
      </c>
      <c r="D1040" t="s">
        <v>298</v>
      </c>
      <c r="F1040" t="s">
        <v>7701</v>
      </c>
      <c r="H1040" t="s">
        <v>159</v>
      </c>
      <c r="I1040" s="1">
        <v>45740</v>
      </c>
      <c r="K1040">
        <v>29500</v>
      </c>
      <c r="L1040" t="s">
        <v>351</v>
      </c>
    </row>
    <row r="1041" spans="1:12" x14ac:dyDescent="0.35">
      <c r="A1041" t="s">
        <v>131</v>
      </c>
      <c r="B1041" s="1">
        <v>45740</v>
      </c>
      <c r="C1041" t="s">
        <v>298</v>
      </c>
      <c r="D1041" t="s">
        <v>298</v>
      </c>
      <c r="F1041" t="s">
        <v>8423</v>
      </c>
      <c r="H1041" t="s">
        <v>159</v>
      </c>
      <c r="I1041" s="1">
        <v>45740</v>
      </c>
      <c r="K1041">
        <v>134000</v>
      </c>
      <c r="L1041" t="s">
        <v>349</v>
      </c>
    </row>
    <row r="1042" spans="1:12" x14ac:dyDescent="0.35">
      <c r="A1042" t="s">
        <v>131</v>
      </c>
      <c r="B1042" s="1">
        <v>45740</v>
      </c>
      <c r="C1042" t="s">
        <v>299</v>
      </c>
      <c r="D1042" t="s">
        <v>299</v>
      </c>
      <c r="F1042" t="s">
        <v>7831</v>
      </c>
      <c r="G1042" t="s">
        <v>9919</v>
      </c>
      <c r="H1042" t="s">
        <v>224</v>
      </c>
      <c r="I1042" s="1">
        <v>45740</v>
      </c>
      <c r="J1042">
        <v>409460</v>
      </c>
      <c r="L1042" t="s">
        <v>6803</v>
      </c>
    </row>
    <row r="1043" spans="1:12" x14ac:dyDescent="0.35">
      <c r="A1043" t="s">
        <v>131</v>
      </c>
      <c r="B1043" s="1">
        <v>45740</v>
      </c>
      <c r="C1043" t="s">
        <v>299</v>
      </c>
      <c r="D1043" t="s">
        <v>299</v>
      </c>
      <c r="F1043" t="s">
        <v>8419</v>
      </c>
      <c r="H1043" t="s">
        <v>224</v>
      </c>
      <c r="I1043" s="1">
        <v>45740</v>
      </c>
      <c r="K1043">
        <v>53460</v>
      </c>
      <c r="L1043" t="s">
        <v>6803</v>
      </c>
    </row>
    <row r="1044" spans="1:12" x14ac:dyDescent="0.35">
      <c r="A1044" t="s">
        <v>131</v>
      </c>
      <c r="B1044" s="1">
        <v>45740</v>
      </c>
      <c r="C1044" t="s">
        <v>299</v>
      </c>
      <c r="D1044" t="s">
        <v>299</v>
      </c>
      <c r="F1044" t="s">
        <v>7701</v>
      </c>
      <c r="H1044" t="s">
        <v>224</v>
      </c>
      <c r="I1044" s="1">
        <v>45740</v>
      </c>
      <c r="K1044">
        <v>59000</v>
      </c>
      <c r="L1044" t="s">
        <v>351</v>
      </c>
    </row>
    <row r="1045" spans="1:12" x14ac:dyDescent="0.35">
      <c r="A1045" t="s">
        <v>131</v>
      </c>
      <c r="B1045" s="1">
        <v>45740</v>
      </c>
      <c r="C1045" t="s">
        <v>299</v>
      </c>
      <c r="D1045" t="s">
        <v>299</v>
      </c>
      <c r="F1045" t="s">
        <v>8423</v>
      </c>
      <c r="H1045" t="s">
        <v>224</v>
      </c>
      <c r="I1045" s="1">
        <v>45740</v>
      </c>
      <c r="K1045">
        <v>297000</v>
      </c>
      <c r="L1045" t="s">
        <v>349</v>
      </c>
    </row>
    <row r="1046" spans="1:12" x14ac:dyDescent="0.35">
      <c r="A1046" t="s">
        <v>131</v>
      </c>
      <c r="B1046" s="1">
        <v>45740</v>
      </c>
      <c r="C1046" t="s">
        <v>300</v>
      </c>
      <c r="D1046" t="s">
        <v>300</v>
      </c>
      <c r="F1046" t="s">
        <v>7831</v>
      </c>
      <c r="G1046" t="s">
        <v>9931</v>
      </c>
      <c r="H1046" t="s">
        <v>146</v>
      </c>
      <c r="I1046" s="1">
        <v>45771</v>
      </c>
      <c r="J1046">
        <v>265500</v>
      </c>
      <c r="L1046" t="s">
        <v>6803</v>
      </c>
    </row>
    <row r="1047" spans="1:12" x14ac:dyDescent="0.35">
      <c r="A1047" t="s">
        <v>131</v>
      </c>
      <c r="B1047" s="1">
        <v>45740</v>
      </c>
      <c r="C1047" t="s">
        <v>300</v>
      </c>
      <c r="D1047" t="s">
        <v>300</v>
      </c>
      <c r="F1047" t="s">
        <v>8419</v>
      </c>
      <c r="H1047" t="s">
        <v>146</v>
      </c>
      <c r="I1047" s="1">
        <v>45771</v>
      </c>
      <c r="K1047">
        <v>40500</v>
      </c>
      <c r="L1047" t="s">
        <v>6803</v>
      </c>
    </row>
    <row r="1048" spans="1:12" x14ac:dyDescent="0.35">
      <c r="A1048" t="s">
        <v>131</v>
      </c>
      <c r="B1048" s="1">
        <v>45740</v>
      </c>
      <c r="C1048" t="s">
        <v>300</v>
      </c>
      <c r="D1048" t="s">
        <v>300</v>
      </c>
      <c r="F1048" t="s">
        <v>8423</v>
      </c>
      <c r="H1048" t="s">
        <v>146</v>
      </c>
      <c r="I1048" s="1">
        <v>45771</v>
      </c>
      <c r="K1048">
        <v>30000</v>
      </c>
      <c r="L1048" t="s">
        <v>349</v>
      </c>
    </row>
    <row r="1049" spans="1:12" x14ac:dyDescent="0.35">
      <c r="A1049" t="s">
        <v>131</v>
      </c>
      <c r="B1049" s="1">
        <v>45740</v>
      </c>
      <c r="C1049" t="s">
        <v>300</v>
      </c>
      <c r="D1049" t="s">
        <v>300</v>
      </c>
      <c r="F1049" t="s">
        <v>8427</v>
      </c>
      <c r="H1049" t="s">
        <v>146</v>
      </c>
      <c r="I1049" s="1">
        <v>45771</v>
      </c>
      <c r="K1049">
        <v>195000</v>
      </c>
      <c r="L1049" t="s">
        <v>349</v>
      </c>
    </row>
    <row r="1050" spans="1:12" x14ac:dyDescent="0.35">
      <c r="A1050" t="s">
        <v>131</v>
      </c>
      <c r="B1050" s="1">
        <v>45740</v>
      </c>
      <c r="C1050" t="s">
        <v>301</v>
      </c>
      <c r="D1050" t="s">
        <v>301</v>
      </c>
      <c r="F1050" t="s">
        <v>7831</v>
      </c>
      <c r="G1050" t="s">
        <v>9931</v>
      </c>
      <c r="H1050" t="s">
        <v>146</v>
      </c>
      <c r="I1050" s="1">
        <v>45771</v>
      </c>
      <c r="J1050">
        <v>354000</v>
      </c>
      <c r="L1050" t="s">
        <v>6803</v>
      </c>
    </row>
    <row r="1051" spans="1:12" x14ac:dyDescent="0.35">
      <c r="A1051" t="s">
        <v>131</v>
      </c>
      <c r="B1051" s="1">
        <v>45740</v>
      </c>
      <c r="C1051" t="s">
        <v>301</v>
      </c>
      <c r="D1051" t="s">
        <v>301</v>
      </c>
      <c r="F1051" t="s">
        <v>8419</v>
      </c>
      <c r="H1051" t="s">
        <v>146</v>
      </c>
      <c r="I1051" s="1">
        <v>45771</v>
      </c>
      <c r="K1051">
        <v>54000</v>
      </c>
      <c r="L1051" t="s">
        <v>6803</v>
      </c>
    </row>
    <row r="1052" spans="1:12" x14ac:dyDescent="0.35">
      <c r="A1052" t="s">
        <v>131</v>
      </c>
      <c r="B1052" s="1">
        <v>45740</v>
      </c>
      <c r="C1052" t="s">
        <v>301</v>
      </c>
      <c r="D1052" t="s">
        <v>301</v>
      </c>
      <c r="F1052" t="s">
        <v>8423</v>
      </c>
      <c r="H1052" t="s">
        <v>146</v>
      </c>
      <c r="I1052" s="1">
        <v>45771</v>
      </c>
      <c r="K1052">
        <v>30000</v>
      </c>
      <c r="L1052" t="s">
        <v>349</v>
      </c>
    </row>
    <row r="1053" spans="1:12" x14ac:dyDescent="0.35">
      <c r="A1053" t="s">
        <v>131</v>
      </c>
      <c r="B1053" s="1">
        <v>45740</v>
      </c>
      <c r="C1053" t="s">
        <v>301</v>
      </c>
      <c r="D1053" t="s">
        <v>301</v>
      </c>
      <c r="F1053" t="s">
        <v>8427</v>
      </c>
      <c r="H1053" t="s">
        <v>146</v>
      </c>
      <c r="I1053" s="1">
        <v>45771</v>
      </c>
      <c r="K1053">
        <v>270000</v>
      </c>
      <c r="L1053" t="s">
        <v>349</v>
      </c>
    </row>
    <row r="1054" spans="1:12" x14ac:dyDescent="0.35">
      <c r="A1054" t="s">
        <v>131</v>
      </c>
      <c r="B1054" s="1">
        <v>45740</v>
      </c>
      <c r="C1054" t="s">
        <v>302</v>
      </c>
      <c r="D1054" t="s">
        <v>302</v>
      </c>
      <c r="F1054" t="s">
        <v>7831</v>
      </c>
      <c r="G1054" t="s">
        <v>7586</v>
      </c>
      <c r="H1054" t="s">
        <v>148</v>
      </c>
      <c r="I1054" s="1">
        <v>45740</v>
      </c>
      <c r="J1054">
        <v>441143</v>
      </c>
      <c r="L1054" t="s">
        <v>6803</v>
      </c>
    </row>
    <row r="1055" spans="1:12" x14ac:dyDescent="0.35">
      <c r="A1055" t="s">
        <v>131</v>
      </c>
      <c r="B1055" s="1">
        <v>45740</v>
      </c>
      <c r="C1055" t="s">
        <v>302</v>
      </c>
      <c r="D1055" t="s">
        <v>302</v>
      </c>
      <c r="F1055" t="s">
        <v>8419</v>
      </c>
      <c r="H1055" t="s">
        <v>148</v>
      </c>
      <c r="I1055" s="1">
        <v>45740</v>
      </c>
      <c r="K1055">
        <v>58293</v>
      </c>
      <c r="L1055" t="s">
        <v>6803</v>
      </c>
    </row>
    <row r="1056" spans="1:12" x14ac:dyDescent="0.35">
      <c r="A1056" t="s">
        <v>131</v>
      </c>
      <c r="B1056" s="1">
        <v>45740</v>
      </c>
      <c r="C1056" t="s">
        <v>302</v>
      </c>
      <c r="D1056" t="s">
        <v>302</v>
      </c>
      <c r="F1056" t="s">
        <v>7701</v>
      </c>
      <c r="H1056" t="s">
        <v>148</v>
      </c>
      <c r="I1056" s="1">
        <v>45740</v>
      </c>
      <c r="K1056">
        <v>59000</v>
      </c>
      <c r="L1056" t="s">
        <v>351</v>
      </c>
    </row>
    <row r="1057" spans="1:12" x14ac:dyDescent="0.35">
      <c r="A1057" t="s">
        <v>131</v>
      </c>
      <c r="B1057" s="1">
        <v>45740</v>
      </c>
      <c r="C1057" t="s">
        <v>302</v>
      </c>
      <c r="D1057" t="s">
        <v>302</v>
      </c>
      <c r="F1057" t="s">
        <v>8423</v>
      </c>
      <c r="H1057" t="s">
        <v>148</v>
      </c>
      <c r="I1057" s="1">
        <v>45740</v>
      </c>
      <c r="K1057">
        <v>323850</v>
      </c>
      <c r="L1057" t="s">
        <v>349</v>
      </c>
    </row>
    <row r="1058" spans="1:12" x14ac:dyDescent="0.35">
      <c r="A1058" t="s">
        <v>131</v>
      </c>
      <c r="B1058" s="1">
        <v>45740</v>
      </c>
      <c r="C1058" t="s">
        <v>303</v>
      </c>
      <c r="D1058" t="s">
        <v>303</v>
      </c>
      <c r="F1058" t="s">
        <v>7831</v>
      </c>
      <c r="G1058" t="s">
        <v>9933</v>
      </c>
      <c r="H1058" t="s">
        <v>233</v>
      </c>
      <c r="I1058" s="1">
        <v>45740</v>
      </c>
      <c r="J1058">
        <v>429520</v>
      </c>
      <c r="L1058" t="s">
        <v>6803</v>
      </c>
    </row>
    <row r="1059" spans="1:12" x14ac:dyDescent="0.35">
      <c r="A1059" t="s">
        <v>131</v>
      </c>
      <c r="B1059" s="1">
        <v>45740</v>
      </c>
      <c r="C1059" t="s">
        <v>303</v>
      </c>
      <c r="D1059" t="s">
        <v>303</v>
      </c>
      <c r="F1059" t="s">
        <v>8419</v>
      </c>
      <c r="H1059" t="s">
        <v>233</v>
      </c>
      <c r="I1059" s="1">
        <v>45740</v>
      </c>
      <c r="K1059">
        <v>47520</v>
      </c>
      <c r="L1059" t="s">
        <v>6803</v>
      </c>
    </row>
    <row r="1060" spans="1:12" x14ac:dyDescent="0.35">
      <c r="A1060" t="s">
        <v>131</v>
      </c>
      <c r="B1060" s="1">
        <v>45740</v>
      </c>
      <c r="C1060" t="s">
        <v>303</v>
      </c>
      <c r="D1060" t="s">
        <v>303</v>
      </c>
      <c r="F1060" t="s">
        <v>7701</v>
      </c>
      <c r="H1060" t="s">
        <v>233</v>
      </c>
      <c r="I1060" s="1">
        <v>45740</v>
      </c>
      <c r="K1060">
        <v>118000</v>
      </c>
      <c r="L1060" t="s">
        <v>351</v>
      </c>
    </row>
    <row r="1061" spans="1:12" x14ac:dyDescent="0.35">
      <c r="A1061" t="s">
        <v>131</v>
      </c>
      <c r="B1061" s="1">
        <v>45740</v>
      </c>
      <c r="C1061" t="s">
        <v>303</v>
      </c>
      <c r="D1061" t="s">
        <v>303</v>
      </c>
      <c r="F1061" t="s">
        <v>8423</v>
      </c>
      <c r="H1061" t="s">
        <v>233</v>
      </c>
      <c r="I1061" s="1">
        <v>45740</v>
      </c>
      <c r="K1061">
        <v>264000</v>
      </c>
      <c r="L1061" t="s">
        <v>350</v>
      </c>
    </row>
    <row r="1062" spans="1:12" x14ac:dyDescent="0.35">
      <c r="A1062" t="s">
        <v>131</v>
      </c>
      <c r="B1062" s="1">
        <v>45740</v>
      </c>
      <c r="C1062" t="s">
        <v>304</v>
      </c>
      <c r="D1062" t="s">
        <v>304</v>
      </c>
      <c r="F1062" t="s">
        <v>7831</v>
      </c>
      <c r="G1062" t="s">
        <v>7521</v>
      </c>
      <c r="H1062" t="s">
        <v>180</v>
      </c>
      <c r="I1062" s="1">
        <v>45771</v>
      </c>
      <c r="J1062">
        <v>5065740</v>
      </c>
      <c r="L1062" t="s">
        <v>6803</v>
      </c>
    </row>
    <row r="1063" spans="1:12" x14ac:dyDescent="0.35">
      <c r="A1063" t="s">
        <v>131</v>
      </c>
      <c r="B1063" s="1">
        <v>45740</v>
      </c>
      <c r="C1063" t="s">
        <v>304</v>
      </c>
      <c r="D1063" t="s">
        <v>304</v>
      </c>
      <c r="F1063" t="s">
        <v>8419</v>
      </c>
      <c r="H1063" t="s">
        <v>180</v>
      </c>
      <c r="I1063" s="1">
        <v>45771</v>
      </c>
      <c r="K1063">
        <v>651240</v>
      </c>
      <c r="L1063" t="s">
        <v>6803</v>
      </c>
    </row>
    <row r="1064" spans="1:12" x14ac:dyDescent="0.35">
      <c r="A1064" t="s">
        <v>131</v>
      </c>
      <c r="B1064" s="1">
        <v>45740</v>
      </c>
      <c r="C1064" t="s">
        <v>304</v>
      </c>
      <c r="D1064" t="s">
        <v>304</v>
      </c>
      <c r="F1064" t="s">
        <v>7701</v>
      </c>
      <c r="H1064" t="s">
        <v>180</v>
      </c>
      <c r="I1064" s="1">
        <v>45771</v>
      </c>
      <c r="K1064">
        <v>796500</v>
      </c>
      <c r="L1064" t="s">
        <v>351</v>
      </c>
    </row>
    <row r="1065" spans="1:12" x14ac:dyDescent="0.35">
      <c r="A1065" t="s">
        <v>131</v>
      </c>
      <c r="B1065" s="1">
        <v>45740</v>
      </c>
      <c r="C1065" t="s">
        <v>304</v>
      </c>
      <c r="D1065" t="s">
        <v>304</v>
      </c>
      <c r="F1065" t="s">
        <v>8423</v>
      </c>
      <c r="H1065" t="s">
        <v>180</v>
      </c>
      <c r="I1065" s="1">
        <v>45771</v>
      </c>
      <c r="K1065">
        <v>3618000</v>
      </c>
      <c r="L1065" t="s">
        <v>349</v>
      </c>
    </row>
    <row r="1066" spans="1:12" x14ac:dyDescent="0.35">
      <c r="A1066" t="s">
        <v>131</v>
      </c>
      <c r="B1066" s="1">
        <v>45740</v>
      </c>
      <c r="C1066" t="s">
        <v>305</v>
      </c>
      <c r="D1066" t="s">
        <v>305</v>
      </c>
      <c r="F1066" t="s">
        <v>7831</v>
      </c>
      <c r="G1066" t="s">
        <v>7521</v>
      </c>
      <c r="H1066" t="s">
        <v>180</v>
      </c>
      <c r="I1066" s="1">
        <v>45771</v>
      </c>
      <c r="J1066">
        <v>1217760</v>
      </c>
      <c r="L1066" t="s">
        <v>6803</v>
      </c>
    </row>
    <row r="1067" spans="1:12" x14ac:dyDescent="0.35">
      <c r="A1067" t="s">
        <v>131</v>
      </c>
      <c r="B1067" s="1">
        <v>45740</v>
      </c>
      <c r="C1067" t="s">
        <v>305</v>
      </c>
      <c r="D1067" t="s">
        <v>305</v>
      </c>
      <c r="F1067" t="s">
        <v>8419</v>
      </c>
      <c r="H1067" t="s">
        <v>180</v>
      </c>
      <c r="I1067" s="1">
        <v>45771</v>
      </c>
      <c r="K1067">
        <v>167760</v>
      </c>
      <c r="L1067" t="s">
        <v>6803</v>
      </c>
    </row>
    <row r="1068" spans="1:12" x14ac:dyDescent="0.35">
      <c r="A1068" t="s">
        <v>131</v>
      </c>
      <c r="B1068" s="1">
        <v>45740</v>
      </c>
      <c r="C1068" t="s">
        <v>305</v>
      </c>
      <c r="D1068" t="s">
        <v>305</v>
      </c>
      <c r="F1068" t="s">
        <v>7701</v>
      </c>
      <c r="H1068" t="s">
        <v>180</v>
      </c>
      <c r="I1068" s="1">
        <v>45771</v>
      </c>
      <c r="K1068">
        <v>118000</v>
      </c>
      <c r="L1068" t="s">
        <v>351</v>
      </c>
    </row>
    <row r="1069" spans="1:12" x14ac:dyDescent="0.35">
      <c r="A1069" t="s">
        <v>131</v>
      </c>
      <c r="B1069" s="1">
        <v>45740</v>
      </c>
      <c r="C1069" t="s">
        <v>305</v>
      </c>
      <c r="D1069" t="s">
        <v>305</v>
      </c>
      <c r="F1069" t="s">
        <v>8423</v>
      </c>
      <c r="H1069" t="s">
        <v>180</v>
      </c>
      <c r="I1069" s="1">
        <v>45771</v>
      </c>
      <c r="K1069">
        <v>536000</v>
      </c>
      <c r="L1069" t="s">
        <v>349</v>
      </c>
    </row>
    <row r="1070" spans="1:12" x14ac:dyDescent="0.35">
      <c r="A1070" t="s">
        <v>131</v>
      </c>
      <c r="B1070" s="1">
        <v>45740</v>
      </c>
      <c r="C1070" t="s">
        <v>305</v>
      </c>
      <c r="D1070" t="s">
        <v>305</v>
      </c>
      <c r="F1070" t="s">
        <v>8428</v>
      </c>
      <c r="H1070" t="s">
        <v>180</v>
      </c>
      <c r="I1070" s="1">
        <v>45771</v>
      </c>
      <c r="K1070">
        <v>396000</v>
      </c>
      <c r="L1070" t="s">
        <v>349</v>
      </c>
    </row>
    <row r="1071" spans="1:12" x14ac:dyDescent="0.35">
      <c r="A1071" t="s">
        <v>131</v>
      </c>
      <c r="B1071" s="1">
        <v>45741</v>
      </c>
      <c r="C1071" t="s">
        <v>306</v>
      </c>
      <c r="D1071" t="s">
        <v>306</v>
      </c>
      <c r="F1071" t="s">
        <v>7831</v>
      </c>
      <c r="G1071" t="s">
        <v>9928</v>
      </c>
      <c r="H1071" t="s">
        <v>307</v>
      </c>
      <c r="I1071" s="1">
        <v>45772</v>
      </c>
      <c r="J1071">
        <v>292640</v>
      </c>
      <c r="L1071" t="s">
        <v>6803</v>
      </c>
    </row>
    <row r="1072" spans="1:12" x14ac:dyDescent="0.35">
      <c r="A1072" t="s">
        <v>131</v>
      </c>
      <c r="B1072" s="1">
        <v>45741</v>
      </c>
      <c r="C1072" t="s">
        <v>306</v>
      </c>
      <c r="D1072" t="s">
        <v>306</v>
      </c>
      <c r="F1072" t="s">
        <v>8419</v>
      </c>
      <c r="H1072" t="s">
        <v>307</v>
      </c>
      <c r="I1072" s="1">
        <v>45772</v>
      </c>
      <c r="K1072">
        <v>35640</v>
      </c>
      <c r="L1072" t="s">
        <v>6803</v>
      </c>
    </row>
    <row r="1073" spans="1:12" x14ac:dyDescent="0.35">
      <c r="A1073" t="s">
        <v>131</v>
      </c>
      <c r="B1073" s="1">
        <v>45741</v>
      </c>
      <c r="C1073" t="s">
        <v>306</v>
      </c>
      <c r="D1073" t="s">
        <v>306</v>
      </c>
      <c r="F1073" t="s">
        <v>7701</v>
      </c>
      <c r="H1073" t="s">
        <v>307</v>
      </c>
      <c r="I1073" s="1">
        <v>45772</v>
      </c>
      <c r="K1073">
        <v>59000</v>
      </c>
      <c r="L1073" t="s">
        <v>351</v>
      </c>
    </row>
    <row r="1074" spans="1:12" x14ac:dyDescent="0.35">
      <c r="A1074" t="s">
        <v>131</v>
      </c>
      <c r="B1074" s="1">
        <v>45741</v>
      </c>
      <c r="C1074" t="s">
        <v>306</v>
      </c>
      <c r="D1074" t="s">
        <v>306</v>
      </c>
      <c r="F1074" t="s">
        <v>8423</v>
      </c>
      <c r="H1074" t="s">
        <v>307</v>
      </c>
      <c r="I1074" s="1">
        <v>45772</v>
      </c>
      <c r="K1074">
        <v>198000</v>
      </c>
      <c r="L1074" t="s">
        <v>349</v>
      </c>
    </row>
    <row r="1075" spans="1:12" x14ac:dyDescent="0.35">
      <c r="A1075" t="s">
        <v>131</v>
      </c>
      <c r="B1075" s="1">
        <v>45741</v>
      </c>
      <c r="C1075" t="s">
        <v>308</v>
      </c>
      <c r="D1075" t="s">
        <v>308</v>
      </c>
      <c r="F1075" t="s">
        <v>7831</v>
      </c>
      <c r="G1075" t="s">
        <v>9925</v>
      </c>
      <c r="H1075" t="s">
        <v>139</v>
      </c>
      <c r="I1075" s="1">
        <v>45772</v>
      </c>
      <c r="J1075">
        <v>2626680</v>
      </c>
      <c r="L1075" t="s">
        <v>6803</v>
      </c>
    </row>
    <row r="1076" spans="1:12" x14ac:dyDescent="0.35">
      <c r="A1076" t="s">
        <v>131</v>
      </c>
      <c r="B1076" s="1">
        <v>45741</v>
      </c>
      <c r="C1076" t="s">
        <v>308</v>
      </c>
      <c r="D1076" t="s">
        <v>308</v>
      </c>
      <c r="F1076" t="s">
        <v>8419</v>
      </c>
      <c r="H1076" t="s">
        <v>139</v>
      </c>
      <c r="I1076" s="1">
        <v>45772</v>
      </c>
      <c r="K1076">
        <v>337680</v>
      </c>
      <c r="L1076" t="s">
        <v>6803</v>
      </c>
    </row>
    <row r="1077" spans="1:12" x14ac:dyDescent="0.35">
      <c r="A1077" t="s">
        <v>131</v>
      </c>
      <c r="B1077" s="1">
        <v>45741</v>
      </c>
      <c r="C1077" t="s">
        <v>308</v>
      </c>
      <c r="D1077" t="s">
        <v>308</v>
      </c>
      <c r="F1077" t="s">
        <v>7701</v>
      </c>
      <c r="H1077" t="s">
        <v>139</v>
      </c>
      <c r="I1077" s="1">
        <v>45772</v>
      </c>
      <c r="K1077">
        <v>413000</v>
      </c>
      <c r="L1077" t="s">
        <v>351</v>
      </c>
    </row>
    <row r="1078" spans="1:12" x14ac:dyDescent="0.35">
      <c r="A1078" t="s">
        <v>131</v>
      </c>
      <c r="B1078" s="1">
        <v>45741</v>
      </c>
      <c r="C1078" t="s">
        <v>308</v>
      </c>
      <c r="D1078" t="s">
        <v>308</v>
      </c>
      <c r="F1078" t="s">
        <v>8423</v>
      </c>
      <c r="H1078" t="s">
        <v>139</v>
      </c>
      <c r="I1078" s="1">
        <v>45772</v>
      </c>
      <c r="K1078">
        <v>1876000</v>
      </c>
      <c r="L1078" t="s">
        <v>349</v>
      </c>
    </row>
    <row r="1079" spans="1:12" x14ac:dyDescent="0.35">
      <c r="A1079" t="s">
        <v>131</v>
      </c>
      <c r="B1079" s="1">
        <v>45741</v>
      </c>
      <c r="C1079" t="s">
        <v>309</v>
      </c>
      <c r="D1079" t="s">
        <v>309</v>
      </c>
      <c r="F1079" t="s">
        <v>7831</v>
      </c>
      <c r="G1079" t="s">
        <v>7586</v>
      </c>
      <c r="H1079" t="s">
        <v>148</v>
      </c>
      <c r="I1079" s="1">
        <v>45741</v>
      </c>
      <c r="J1079">
        <v>1699200</v>
      </c>
      <c r="L1079" t="s">
        <v>6803</v>
      </c>
    </row>
    <row r="1080" spans="1:12" x14ac:dyDescent="0.35">
      <c r="A1080" t="s">
        <v>131</v>
      </c>
      <c r="B1080" s="1">
        <v>45741</v>
      </c>
      <c r="C1080" t="s">
        <v>309</v>
      </c>
      <c r="D1080" t="s">
        <v>309</v>
      </c>
      <c r="F1080" t="s">
        <v>8419</v>
      </c>
      <c r="H1080" t="s">
        <v>148</v>
      </c>
      <c r="I1080" s="1">
        <v>45741</v>
      </c>
      <c r="K1080">
        <v>259200</v>
      </c>
      <c r="L1080" t="s">
        <v>6803</v>
      </c>
    </row>
    <row r="1081" spans="1:12" x14ac:dyDescent="0.35">
      <c r="A1081" t="s">
        <v>131</v>
      </c>
      <c r="B1081" s="1">
        <v>45741</v>
      </c>
      <c r="C1081" t="s">
        <v>309</v>
      </c>
      <c r="D1081" t="s">
        <v>309</v>
      </c>
      <c r="F1081" t="s">
        <v>8423</v>
      </c>
      <c r="H1081" t="s">
        <v>148</v>
      </c>
      <c r="I1081" s="1">
        <v>45741</v>
      </c>
      <c r="K1081">
        <v>1440000</v>
      </c>
      <c r="L1081" t="s">
        <v>349</v>
      </c>
    </row>
    <row r="1082" spans="1:12" x14ac:dyDescent="0.35">
      <c r="A1082" t="s">
        <v>131</v>
      </c>
      <c r="B1082" s="1">
        <v>45742</v>
      </c>
      <c r="C1082" t="s">
        <v>310</v>
      </c>
      <c r="D1082" t="s">
        <v>310</v>
      </c>
      <c r="F1082" t="s">
        <v>7831</v>
      </c>
      <c r="G1082" t="s">
        <v>9931</v>
      </c>
      <c r="H1082" t="s">
        <v>146</v>
      </c>
      <c r="I1082" s="1">
        <v>45773</v>
      </c>
      <c r="J1082">
        <v>429520</v>
      </c>
      <c r="L1082" t="s">
        <v>6803</v>
      </c>
    </row>
    <row r="1083" spans="1:12" x14ac:dyDescent="0.35">
      <c r="A1083" t="s">
        <v>131</v>
      </c>
      <c r="B1083" s="1">
        <v>45742</v>
      </c>
      <c r="C1083" t="s">
        <v>310</v>
      </c>
      <c r="D1083" t="s">
        <v>310</v>
      </c>
      <c r="F1083" t="s">
        <v>8419</v>
      </c>
      <c r="H1083" t="s">
        <v>146</v>
      </c>
      <c r="I1083" s="1">
        <v>45773</v>
      </c>
      <c r="K1083">
        <v>47520</v>
      </c>
      <c r="L1083" t="s">
        <v>6803</v>
      </c>
    </row>
    <row r="1084" spans="1:12" x14ac:dyDescent="0.35">
      <c r="A1084" t="s">
        <v>131</v>
      </c>
      <c r="B1084" s="1">
        <v>45742</v>
      </c>
      <c r="C1084" t="s">
        <v>310</v>
      </c>
      <c r="D1084" t="s">
        <v>310</v>
      </c>
      <c r="F1084" t="s">
        <v>7701</v>
      </c>
      <c r="H1084" t="s">
        <v>146</v>
      </c>
      <c r="I1084" s="1">
        <v>45773</v>
      </c>
      <c r="K1084">
        <v>118000</v>
      </c>
      <c r="L1084" t="s">
        <v>351</v>
      </c>
    </row>
    <row r="1085" spans="1:12" x14ac:dyDescent="0.35">
      <c r="A1085" t="s">
        <v>131</v>
      </c>
      <c r="B1085" s="1">
        <v>45742</v>
      </c>
      <c r="C1085" t="s">
        <v>310</v>
      </c>
      <c r="D1085" t="s">
        <v>310</v>
      </c>
      <c r="F1085" t="s">
        <v>8423</v>
      </c>
      <c r="H1085" t="s">
        <v>146</v>
      </c>
      <c r="I1085" s="1">
        <v>45773</v>
      </c>
      <c r="K1085">
        <v>264000</v>
      </c>
      <c r="L1085" t="s">
        <v>350</v>
      </c>
    </row>
    <row r="1086" spans="1:12" x14ac:dyDescent="0.35">
      <c r="A1086" t="s">
        <v>131</v>
      </c>
      <c r="B1086" s="1">
        <v>45742</v>
      </c>
      <c r="C1086" t="s">
        <v>311</v>
      </c>
      <c r="D1086" t="s">
        <v>311</v>
      </c>
      <c r="F1086" t="s">
        <v>7831</v>
      </c>
      <c r="G1086" t="s">
        <v>9922</v>
      </c>
      <c r="H1086" t="s">
        <v>170</v>
      </c>
      <c r="I1086" s="1">
        <v>45752</v>
      </c>
      <c r="J1086">
        <v>1073800</v>
      </c>
      <c r="L1086" t="s">
        <v>6803</v>
      </c>
    </row>
    <row r="1087" spans="1:12" x14ac:dyDescent="0.35">
      <c r="A1087" t="s">
        <v>131</v>
      </c>
      <c r="B1087" s="1">
        <v>45742</v>
      </c>
      <c r="C1087" t="s">
        <v>311</v>
      </c>
      <c r="D1087" t="s">
        <v>311</v>
      </c>
      <c r="F1087" t="s">
        <v>8419</v>
      </c>
      <c r="H1087" t="s">
        <v>170</v>
      </c>
      <c r="I1087" s="1">
        <v>45752</v>
      </c>
      <c r="K1087">
        <v>118800</v>
      </c>
      <c r="L1087" t="s">
        <v>6803</v>
      </c>
    </row>
    <row r="1088" spans="1:12" x14ac:dyDescent="0.35">
      <c r="A1088" t="s">
        <v>131</v>
      </c>
      <c r="B1088" s="1">
        <v>45742</v>
      </c>
      <c r="C1088" t="s">
        <v>311</v>
      </c>
      <c r="D1088" t="s">
        <v>311</v>
      </c>
      <c r="F1088" t="s">
        <v>7701</v>
      </c>
      <c r="H1088" t="s">
        <v>170</v>
      </c>
      <c r="I1088" s="1">
        <v>45752</v>
      </c>
      <c r="K1088">
        <v>295000</v>
      </c>
      <c r="L1088" t="s">
        <v>351</v>
      </c>
    </row>
    <row r="1089" spans="1:12" x14ac:dyDescent="0.35">
      <c r="A1089" t="s">
        <v>131</v>
      </c>
      <c r="B1089" s="1">
        <v>45742</v>
      </c>
      <c r="C1089" t="s">
        <v>311</v>
      </c>
      <c r="D1089" t="s">
        <v>311</v>
      </c>
      <c r="F1089" t="s">
        <v>8423</v>
      </c>
      <c r="H1089" t="s">
        <v>170</v>
      </c>
      <c r="I1089" s="1">
        <v>45752</v>
      </c>
      <c r="K1089">
        <v>660000</v>
      </c>
      <c r="L1089" t="s">
        <v>349</v>
      </c>
    </row>
    <row r="1090" spans="1:12" x14ac:dyDescent="0.35">
      <c r="A1090" t="s">
        <v>131</v>
      </c>
      <c r="B1090" s="1">
        <v>45744</v>
      </c>
      <c r="C1090" t="s">
        <v>312</v>
      </c>
      <c r="D1090" t="s">
        <v>312</v>
      </c>
      <c r="F1090" t="s">
        <v>7831</v>
      </c>
      <c r="G1090" t="s">
        <v>9932</v>
      </c>
      <c r="H1090" t="s">
        <v>167</v>
      </c>
      <c r="I1090" s="1">
        <v>45744</v>
      </c>
      <c r="J1090">
        <v>214760</v>
      </c>
      <c r="L1090" t="s">
        <v>6803</v>
      </c>
    </row>
    <row r="1091" spans="1:12" x14ac:dyDescent="0.35">
      <c r="A1091" t="s">
        <v>131</v>
      </c>
      <c r="B1091" s="1">
        <v>45744</v>
      </c>
      <c r="C1091" t="s">
        <v>312</v>
      </c>
      <c r="D1091" t="s">
        <v>312</v>
      </c>
      <c r="F1091" t="s">
        <v>8419</v>
      </c>
      <c r="H1091" t="s">
        <v>167</v>
      </c>
      <c r="I1091" s="1">
        <v>45744</v>
      </c>
      <c r="K1091">
        <v>23760</v>
      </c>
      <c r="L1091" t="s">
        <v>6803</v>
      </c>
    </row>
    <row r="1092" spans="1:12" x14ac:dyDescent="0.35">
      <c r="A1092" t="s">
        <v>131</v>
      </c>
      <c r="B1092" s="1">
        <v>45744</v>
      </c>
      <c r="C1092" t="s">
        <v>312</v>
      </c>
      <c r="D1092" t="s">
        <v>312</v>
      </c>
      <c r="F1092" t="s">
        <v>7701</v>
      </c>
      <c r="H1092" t="s">
        <v>167</v>
      </c>
      <c r="I1092" s="1">
        <v>45744</v>
      </c>
      <c r="K1092">
        <v>59000</v>
      </c>
      <c r="L1092" t="s">
        <v>351</v>
      </c>
    </row>
    <row r="1093" spans="1:12" x14ac:dyDescent="0.35">
      <c r="A1093" t="s">
        <v>131</v>
      </c>
      <c r="B1093" s="1">
        <v>45744</v>
      </c>
      <c r="C1093" t="s">
        <v>312</v>
      </c>
      <c r="D1093" t="s">
        <v>312</v>
      </c>
      <c r="F1093" t="s">
        <v>8423</v>
      </c>
      <c r="H1093" t="s">
        <v>167</v>
      </c>
      <c r="I1093" s="1">
        <v>45744</v>
      </c>
      <c r="K1093">
        <v>132000</v>
      </c>
      <c r="L1093" t="s">
        <v>350</v>
      </c>
    </row>
    <row r="1094" spans="1:12" x14ac:dyDescent="0.35">
      <c r="A1094" t="s">
        <v>131</v>
      </c>
      <c r="B1094" s="1">
        <v>45744</v>
      </c>
      <c r="C1094" t="s">
        <v>313</v>
      </c>
      <c r="D1094" t="s">
        <v>313</v>
      </c>
      <c r="F1094" t="s">
        <v>7831</v>
      </c>
      <c r="G1094" t="s">
        <v>9921</v>
      </c>
      <c r="H1094" t="s">
        <v>159</v>
      </c>
      <c r="I1094" s="1">
        <v>45744</v>
      </c>
      <c r="J1094">
        <v>292640</v>
      </c>
      <c r="L1094" t="s">
        <v>6803</v>
      </c>
    </row>
    <row r="1095" spans="1:12" x14ac:dyDescent="0.35">
      <c r="A1095" t="s">
        <v>131</v>
      </c>
      <c r="B1095" s="1">
        <v>45744</v>
      </c>
      <c r="C1095" t="s">
        <v>313</v>
      </c>
      <c r="D1095" t="s">
        <v>313</v>
      </c>
      <c r="F1095" t="s">
        <v>8419</v>
      </c>
      <c r="H1095" t="s">
        <v>159</v>
      </c>
      <c r="I1095" s="1">
        <v>45744</v>
      </c>
      <c r="K1095">
        <v>35640</v>
      </c>
      <c r="L1095" t="s">
        <v>6803</v>
      </c>
    </row>
    <row r="1096" spans="1:12" x14ac:dyDescent="0.35">
      <c r="A1096" t="s">
        <v>131</v>
      </c>
      <c r="B1096" s="1">
        <v>45744</v>
      </c>
      <c r="C1096" t="s">
        <v>313</v>
      </c>
      <c r="D1096" t="s">
        <v>313</v>
      </c>
      <c r="F1096" t="s">
        <v>7701</v>
      </c>
      <c r="H1096" t="s">
        <v>159</v>
      </c>
      <c r="I1096" s="1">
        <v>45744</v>
      </c>
      <c r="K1096">
        <v>59000</v>
      </c>
      <c r="L1096" t="s">
        <v>351</v>
      </c>
    </row>
    <row r="1097" spans="1:12" x14ac:dyDescent="0.35">
      <c r="A1097" t="s">
        <v>131</v>
      </c>
      <c r="B1097" s="1">
        <v>45744</v>
      </c>
      <c r="C1097" t="s">
        <v>313</v>
      </c>
      <c r="D1097" t="s">
        <v>313</v>
      </c>
      <c r="F1097" t="s">
        <v>8423</v>
      </c>
      <c r="H1097" t="s">
        <v>159</v>
      </c>
      <c r="I1097" s="1">
        <v>45744</v>
      </c>
      <c r="K1097">
        <v>198000</v>
      </c>
      <c r="L1097" t="s">
        <v>349</v>
      </c>
    </row>
    <row r="1098" spans="1:12" x14ac:dyDescent="0.35">
      <c r="A1098" t="s">
        <v>131</v>
      </c>
      <c r="B1098" s="1">
        <v>45744</v>
      </c>
      <c r="C1098" t="s">
        <v>314</v>
      </c>
      <c r="D1098" t="s">
        <v>314</v>
      </c>
      <c r="F1098" t="s">
        <v>7831</v>
      </c>
      <c r="G1098" t="s">
        <v>9921</v>
      </c>
      <c r="H1098" t="s">
        <v>159</v>
      </c>
      <c r="I1098" s="1">
        <v>45775</v>
      </c>
      <c r="J1098">
        <v>375240</v>
      </c>
      <c r="L1098" t="s">
        <v>6803</v>
      </c>
    </row>
    <row r="1099" spans="1:12" x14ac:dyDescent="0.35">
      <c r="A1099" t="s">
        <v>131</v>
      </c>
      <c r="B1099" s="1">
        <v>45744</v>
      </c>
      <c r="C1099" t="s">
        <v>314</v>
      </c>
      <c r="D1099" t="s">
        <v>314</v>
      </c>
      <c r="F1099" t="s">
        <v>8419</v>
      </c>
      <c r="H1099" t="s">
        <v>159</v>
      </c>
      <c r="I1099" s="1">
        <v>45775</v>
      </c>
      <c r="K1099">
        <v>48240</v>
      </c>
      <c r="L1099" t="s">
        <v>6803</v>
      </c>
    </row>
    <row r="1100" spans="1:12" x14ac:dyDescent="0.35">
      <c r="A1100" t="s">
        <v>131</v>
      </c>
      <c r="B1100" s="1">
        <v>45744</v>
      </c>
      <c r="C1100" t="s">
        <v>314</v>
      </c>
      <c r="D1100" t="s">
        <v>314</v>
      </c>
      <c r="F1100" t="s">
        <v>7701</v>
      </c>
      <c r="H1100" t="s">
        <v>159</v>
      </c>
      <c r="I1100" s="1">
        <v>45775</v>
      </c>
      <c r="K1100">
        <v>59000</v>
      </c>
      <c r="L1100" t="s">
        <v>351</v>
      </c>
    </row>
    <row r="1101" spans="1:12" x14ac:dyDescent="0.35">
      <c r="A1101" t="s">
        <v>131</v>
      </c>
      <c r="B1101" s="1">
        <v>45744</v>
      </c>
      <c r="C1101" t="s">
        <v>314</v>
      </c>
      <c r="D1101" t="s">
        <v>314</v>
      </c>
      <c r="F1101" t="s">
        <v>8423</v>
      </c>
      <c r="H1101" t="s">
        <v>159</v>
      </c>
      <c r="I1101" s="1">
        <v>45775</v>
      </c>
      <c r="K1101">
        <v>268000</v>
      </c>
      <c r="L1101" t="s">
        <v>349</v>
      </c>
    </row>
    <row r="1102" spans="1:12" x14ac:dyDescent="0.35">
      <c r="A1102" t="s">
        <v>131</v>
      </c>
      <c r="B1102" s="1">
        <v>45744</v>
      </c>
      <c r="C1102" t="s">
        <v>315</v>
      </c>
      <c r="D1102" t="s">
        <v>315</v>
      </c>
      <c r="F1102" t="s">
        <v>7831</v>
      </c>
      <c r="G1102" t="s">
        <v>9921</v>
      </c>
      <c r="H1102" t="s">
        <v>159</v>
      </c>
      <c r="I1102" s="1">
        <v>45775</v>
      </c>
      <c r="J1102">
        <v>375240</v>
      </c>
      <c r="L1102" t="s">
        <v>6803</v>
      </c>
    </row>
    <row r="1103" spans="1:12" x14ac:dyDescent="0.35">
      <c r="A1103" t="s">
        <v>131</v>
      </c>
      <c r="B1103" s="1">
        <v>45744</v>
      </c>
      <c r="C1103" t="s">
        <v>315</v>
      </c>
      <c r="D1103" t="s">
        <v>315</v>
      </c>
      <c r="F1103" t="s">
        <v>8419</v>
      </c>
      <c r="H1103" t="s">
        <v>159</v>
      </c>
      <c r="I1103" s="1">
        <v>45775</v>
      </c>
      <c r="K1103">
        <v>48240</v>
      </c>
      <c r="L1103" t="s">
        <v>6803</v>
      </c>
    </row>
    <row r="1104" spans="1:12" x14ac:dyDescent="0.35">
      <c r="A1104" t="s">
        <v>131</v>
      </c>
      <c r="B1104" s="1">
        <v>45744</v>
      </c>
      <c r="C1104" t="s">
        <v>315</v>
      </c>
      <c r="D1104" t="s">
        <v>315</v>
      </c>
      <c r="F1104" t="s">
        <v>7701</v>
      </c>
      <c r="H1104" t="s">
        <v>159</v>
      </c>
      <c r="I1104" s="1">
        <v>45775</v>
      </c>
      <c r="K1104">
        <v>59000</v>
      </c>
      <c r="L1104" t="s">
        <v>351</v>
      </c>
    </row>
    <row r="1105" spans="1:12" x14ac:dyDescent="0.35">
      <c r="A1105" t="s">
        <v>131</v>
      </c>
      <c r="B1105" s="1">
        <v>45744</v>
      </c>
      <c r="C1105" t="s">
        <v>315</v>
      </c>
      <c r="D1105" t="s">
        <v>315</v>
      </c>
      <c r="F1105" t="s">
        <v>8423</v>
      </c>
      <c r="H1105" t="s">
        <v>159</v>
      </c>
      <c r="I1105" s="1">
        <v>45775</v>
      </c>
      <c r="K1105">
        <v>268000</v>
      </c>
      <c r="L1105" t="s">
        <v>349</v>
      </c>
    </row>
    <row r="1106" spans="1:12" x14ac:dyDescent="0.35">
      <c r="A1106" t="s">
        <v>131</v>
      </c>
      <c r="B1106" s="1">
        <v>45744</v>
      </c>
      <c r="C1106" t="s">
        <v>316</v>
      </c>
      <c r="D1106" t="s">
        <v>316</v>
      </c>
      <c r="F1106" t="s">
        <v>7831</v>
      </c>
      <c r="G1106" t="s">
        <v>9931</v>
      </c>
      <c r="H1106" t="s">
        <v>146</v>
      </c>
      <c r="I1106" s="1">
        <v>45775</v>
      </c>
      <c r="J1106">
        <v>214760</v>
      </c>
      <c r="L1106" t="s">
        <v>6803</v>
      </c>
    </row>
    <row r="1107" spans="1:12" x14ac:dyDescent="0.35">
      <c r="A1107" t="s">
        <v>131</v>
      </c>
      <c r="B1107" s="1">
        <v>45744</v>
      </c>
      <c r="C1107" t="s">
        <v>316</v>
      </c>
      <c r="D1107" t="s">
        <v>316</v>
      </c>
      <c r="F1107" t="s">
        <v>8419</v>
      </c>
      <c r="H1107" t="s">
        <v>146</v>
      </c>
      <c r="I1107" s="1">
        <v>45775</v>
      </c>
      <c r="K1107">
        <v>23760</v>
      </c>
      <c r="L1107" t="s">
        <v>6803</v>
      </c>
    </row>
    <row r="1108" spans="1:12" x14ac:dyDescent="0.35">
      <c r="A1108" t="s">
        <v>131</v>
      </c>
      <c r="B1108" s="1">
        <v>45744</v>
      </c>
      <c r="C1108" t="s">
        <v>316</v>
      </c>
      <c r="D1108" t="s">
        <v>316</v>
      </c>
      <c r="F1108" t="s">
        <v>7701</v>
      </c>
      <c r="H1108" t="s">
        <v>146</v>
      </c>
      <c r="I1108" s="1">
        <v>45775</v>
      </c>
      <c r="K1108">
        <v>59000</v>
      </c>
      <c r="L1108" t="s">
        <v>351</v>
      </c>
    </row>
    <row r="1109" spans="1:12" x14ac:dyDescent="0.35">
      <c r="A1109" t="s">
        <v>131</v>
      </c>
      <c r="B1109" s="1">
        <v>45744</v>
      </c>
      <c r="C1109" t="s">
        <v>316</v>
      </c>
      <c r="D1109" t="s">
        <v>316</v>
      </c>
      <c r="F1109" t="s">
        <v>8423</v>
      </c>
      <c r="H1109" t="s">
        <v>146</v>
      </c>
      <c r="I1109" s="1">
        <v>45775</v>
      </c>
      <c r="K1109">
        <v>132000</v>
      </c>
      <c r="L1109" t="s">
        <v>350</v>
      </c>
    </row>
    <row r="1110" spans="1:12" x14ac:dyDescent="0.35">
      <c r="A1110" t="s">
        <v>131</v>
      </c>
      <c r="B1110" s="1">
        <v>45744</v>
      </c>
      <c r="C1110" t="s">
        <v>317</v>
      </c>
      <c r="D1110" t="s">
        <v>317</v>
      </c>
      <c r="F1110" t="s">
        <v>7831</v>
      </c>
      <c r="G1110" t="s">
        <v>7586</v>
      </c>
      <c r="H1110" t="s">
        <v>271</v>
      </c>
      <c r="I1110" s="1">
        <v>45744</v>
      </c>
      <c r="J1110">
        <v>533360</v>
      </c>
      <c r="L1110" t="s">
        <v>6803</v>
      </c>
    </row>
    <row r="1111" spans="1:12" x14ac:dyDescent="0.35">
      <c r="A1111" t="s">
        <v>131</v>
      </c>
      <c r="B1111" s="1">
        <v>45744</v>
      </c>
      <c r="C1111" t="s">
        <v>317</v>
      </c>
      <c r="D1111" t="s">
        <v>317</v>
      </c>
      <c r="F1111" t="s">
        <v>8419</v>
      </c>
      <c r="H1111" t="s">
        <v>271</v>
      </c>
      <c r="I1111" s="1">
        <v>45744</v>
      </c>
      <c r="K1111">
        <v>72360</v>
      </c>
      <c r="L1111" t="s">
        <v>6803</v>
      </c>
    </row>
    <row r="1112" spans="1:12" x14ac:dyDescent="0.35">
      <c r="A1112" t="s">
        <v>131</v>
      </c>
      <c r="B1112" s="1">
        <v>45744</v>
      </c>
      <c r="C1112" t="s">
        <v>317</v>
      </c>
      <c r="D1112" t="s">
        <v>317</v>
      </c>
      <c r="F1112" t="s">
        <v>7701</v>
      </c>
      <c r="H1112" t="s">
        <v>271</v>
      </c>
      <c r="I1112" s="1">
        <v>45744</v>
      </c>
      <c r="K1112">
        <v>59000</v>
      </c>
      <c r="L1112" t="s">
        <v>351</v>
      </c>
    </row>
    <row r="1113" spans="1:12" x14ac:dyDescent="0.35">
      <c r="A1113" t="s">
        <v>131</v>
      </c>
      <c r="B1113" s="1">
        <v>45744</v>
      </c>
      <c r="C1113" t="s">
        <v>317</v>
      </c>
      <c r="D1113" t="s">
        <v>317</v>
      </c>
      <c r="F1113" t="s">
        <v>8423</v>
      </c>
      <c r="H1113" t="s">
        <v>271</v>
      </c>
      <c r="I1113" s="1">
        <v>45744</v>
      </c>
      <c r="K1113">
        <v>402000</v>
      </c>
      <c r="L1113" t="s">
        <v>349</v>
      </c>
    </row>
    <row r="1114" spans="1:12" x14ac:dyDescent="0.35">
      <c r="A1114" t="s">
        <v>131</v>
      </c>
      <c r="B1114" s="1">
        <v>45744</v>
      </c>
      <c r="C1114" t="s">
        <v>318</v>
      </c>
      <c r="D1114" t="s">
        <v>318</v>
      </c>
      <c r="F1114" t="s">
        <v>7831</v>
      </c>
      <c r="G1114" t="s">
        <v>7586</v>
      </c>
      <c r="H1114" t="s">
        <v>195</v>
      </c>
      <c r="I1114" s="1">
        <v>45744</v>
      </c>
      <c r="J1114">
        <v>608880</v>
      </c>
      <c r="L1114" t="s">
        <v>6803</v>
      </c>
    </row>
    <row r="1115" spans="1:12" x14ac:dyDescent="0.35">
      <c r="A1115" t="s">
        <v>131</v>
      </c>
      <c r="B1115" s="1">
        <v>45744</v>
      </c>
      <c r="C1115" t="s">
        <v>318</v>
      </c>
      <c r="D1115" t="s">
        <v>318</v>
      </c>
      <c r="F1115" t="s">
        <v>8419</v>
      </c>
      <c r="H1115" t="s">
        <v>195</v>
      </c>
      <c r="I1115" s="1">
        <v>45744</v>
      </c>
      <c r="K1115">
        <v>83880</v>
      </c>
      <c r="L1115" t="s">
        <v>6803</v>
      </c>
    </row>
    <row r="1116" spans="1:12" x14ac:dyDescent="0.35">
      <c r="A1116" t="s">
        <v>131</v>
      </c>
      <c r="B1116" s="1">
        <v>45744</v>
      </c>
      <c r="C1116" t="s">
        <v>318</v>
      </c>
      <c r="D1116" t="s">
        <v>318</v>
      </c>
      <c r="F1116" t="s">
        <v>7701</v>
      </c>
      <c r="H1116" t="s">
        <v>195</v>
      </c>
      <c r="I1116" s="1">
        <v>45744</v>
      </c>
      <c r="K1116">
        <v>59000</v>
      </c>
      <c r="L1116" t="s">
        <v>351</v>
      </c>
    </row>
    <row r="1117" spans="1:12" x14ac:dyDescent="0.35">
      <c r="A1117" t="s">
        <v>131</v>
      </c>
      <c r="B1117" s="1">
        <v>45744</v>
      </c>
      <c r="C1117" t="s">
        <v>318</v>
      </c>
      <c r="D1117" t="s">
        <v>318</v>
      </c>
      <c r="F1117" t="s">
        <v>8423</v>
      </c>
      <c r="H1117" t="s">
        <v>195</v>
      </c>
      <c r="I1117" s="1">
        <v>45744</v>
      </c>
      <c r="K1117">
        <v>268000</v>
      </c>
      <c r="L1117" t="s">
        <v>349</v>
      </c>
    </row>
    <row r="1118" spans="1:12" x14ac:dyDescent="0.35">
      <c r="A1118" t="s">
        <v>131</v>
      </c>
      <c r="B1118" s="1">
        <v>45744</v>
      </c>
      <c r="C1118" t="s">
        <v>318</v>
      </c>
      <c r="D1118" t="s">
        <v>318</v>
      </c>
      <c r="F1118" t="s">
        <v>8428</v>
      </c>
      <c r="H1118" t="s">
        <v>195</v>
      </c>
      <c r="I1118" s="1">
        <v>45744</v>
      </c>
      <c r="K1118">
        <v>198000</v>
      </c>
      <c r="L1118" t="s">
        <v>349</v>
      </c>
    </row>
    <row r="1119" spans="1:12" x14ac:dyDescent="0.35">
      <c r="A1119" t="s">
        <v>131</v>
      </c>
      <c r="B1119" s="1">
        <v>45744</v>
      </c>
      <c r="C1119" t="s">
        <v>319</v>
      </c>
      <c r="D1119" t="s">
        <v>319</v>
      </c>
      <c r="F1119" t="s">
        <v>7831</v>
      </c>
      <c r="G1119" t="s">
        <v>9925</v>
      </c>
      <c r="H1119" t="s">
        <v>203</v>
      </c>
      <c r="I1119" s="1">
        <v>45744</v>
      </c>
      <c r="J1119">
        <v>146320</v>
      </c>
      <c r="L1119" t="s">
        <v>6803</v>
      </c>
    </row>
    <row r="1120" spans="1:12" x14ac:dyDescent="0.35">
      <c r="A1120" t="s">
        <v>131</v>
      </c>
      <c r="B1120" s="1">
        <v>45744</v>
      </c>
      <c r="C1120" t="s">
        <v>319</v>
      </c>
      <c r="D1120" t="s">
        <v>319</v>
      </c>
      <c r="F1120" t="s">
        <v>8419</v>
      </c>
      <c r="H1120" t="s">
        <v>203</v>
      </c>
      <c r="I1120" s="1">
        <v>45744</v>
      </c>
      <c r="K1120">
        <v>17820</v>
      </c>
      <c r="L1120" t="s">
        <v>6803</v>
      </c>
    </row>
    <row r="1121" spans="1:12" x14ac:dyDescent="0.35">
      <c r="A1121" t="s">
        <v>131</v>
      </c>
      <c r="B1121" s="1">
        <v>45744</v>
      </c>
      <c r="C1121" t="s">
        <v>319</v>
      </c>
      <c r="D1121" t="s">
        <v>319</v>
      </c>
      <c r="F1121" t="s">
        <v>7701</v>
      </c>
      <c r="H1121" t="s">
        <v>203</v>
      </c>
      <c r="I1121" s="1">
        <v>45744</v>
      </c>
      <c r="K1121">
        <v>29500</v>
      </c>
      <c r="L1121" t="s">
        <v>351</v>
      </c>
    </row>
    <row r="1122" spans="1:12" x14ac:dyDescent="0.35">
      <c r="A1122" t="s">
        <v>131</v>
      </c>
      <c r="B1122" s="1">
        <v>45744</v>
      </c>
      <c r="C1122" t="s">
        <v>319</v>
      </c>
      <c r="D1122" t="s">
        <v>319</v>
      </c>
      <c r="F1122" t="s">
        <v>8423</v>
      </c>
      <c r="H1122" t="s">
        <v>203</v>
      </c>
      <c r="I1122" s="1">
        <v>45744</v>
      </c>
      <c r="K1122">
        <v>99000</v>
      </c>
      <c r="L1122" t="s">
        <v>349</v>
      </c>
    </row>
    <row r="1123" spans="1:12" x14ac:dyDescent="0.35">
      <c r="A1123" t="s">
        <v>131</v>
      </c>
      <c r="B1123" s="1">
        <v>45744</v>
      </c>
      <c r="C1123" t="s">
        <v>320</v>
      </c>
      <c r="D1123" t="s">
        <v>320</v>
      </c>
      <c r="F1123" t="s">
        <v>7831</v>
      </c>
      <c r="G1123" t="s">
        <v>9925</v>
      </c>
      <c r="H1123" t="s">
        <v>139</v>
      </c>
      <c r="I1123" s="1">
        <v>45775</v>
      </c>
      <c r="J1123">
        <v>4127640</v>
      </c>
      <c r="L1123" t="s">
        <v>6803</v>
      </c>
    </row>
    <row r="1124" spans="1:12" x14ac:dyDescent="0.35">
      <c r="A1124" t="s">
        <v>131</v>
      </c>
      <c r="B1124" s="1">
        <v>45744</v>
      </c>
      <c r="C1124" t="s">
        <v>320</v>
      </c>
      <c r="D1124" t="s">
        <v>320</v>
      </c>
      <c r="F1124" t="s">
        <v>8419</v>
      </c>
      <c r="H1124" t="s">
        <v>139</v>
      </c>
      <c r="I1124" s="1">
        <v>45775</v>
      </c>
      <c r="K1124">
        <v>530640</v>
      </c>
      <c r="L1124" t="s">
        <v>6803</v>
      </c>
    </row>
    <row r="1125" spans="1:12" x14ac:dyDescent="0.35">
      <c r="A1125" t="s">
        <v>131</v>
      </c>
      <c r="B1125" s="1">
        <v>45744</v>
      </c>
      <c r="C1125" t="s">
        <v>320</v>
      </c>
      <c r="D1125" t="s">
        <v>320</v>
      </c>
      <c r="F1125" t="s">
        <v>7701</v>
      </c>
      <c r="H1125" t="s">
        <v>139</v>
      </c>
      <c r="I1125" s="1">
        <v>45775</v>
      </c>
      <c r="K1125">
        <v>649000</v>
      </c>
      <c r="L1125" t="s">
        <v>351</v>
      </c>
    </row>
    <row r="1126" spans="1:12" x14ac:dyDescent="0.35">
      <c r="A1126" t="s">
        <v>131</v>
      </c>
      <c r="B1126" s="1">
        <v>45744</v>
      </c>
      <c r="C1126" t="s">
        <v>320</v>
      </c>
      <c r="D1126" t="s">
        <v>320</v>
      </c>
      <c r="F1126" t="s">
        <v>8423</v>
      </c>
      <c r="H1126" t="s">
        <v>139</v>
      </c>
      <c r="I1126" s="1">
        <v>45775</v>
      </c>
      <c r="K1126">
        <v>2948000</v>
      </c>
      <c r="L1126" t="s">
        <v>349</v>
      </c>
    </row>
    <row r="1127" spans="1:12" x14ac:dyDescent="0.35">
      <c r="A1127" t="s">
        <v>131</v>
      </c>
      <c r="B1127" s="1">
        <v>45744</v>
      </c>
      <c r="C1127" t="s">
        <v>321</v>
      </c>
      <c r="D1127" t="s">
        <v>321</v>
      </c>
      <c r="F1127" t="s">
        <v>7831</v>
      </c>
      <c r="G1127" t="s">
        <v>9925</v>
      </c>
      <c r="H1127" t="s">
        <v>139</v>
      </c>
      <c r="I1127" s="1">
        <v>45775</v>
      </c>
      <c r="J1127">
        <v>3001920</v>
      </c>
      <c r="L1127" t="s">
        <v>6803</v>
      </c>
    </row>
    <row r="1128" spans="1:12" x14ac:dyDescent="0.35">
      <c r="A1128" t="s">
        <v>131</v>
      </c>
      <c r="B1128" s="1">
        <v>45744</v>
      </c>
      <c r="C1128" t="s">
        <v>321</v>
      </c>
      <c r="D1128" t="s">
        <v>321</v>
      </c>
      <c r="F1128" t="s">
        <v>8419</v>
      </c>
      <c r="H1128" t="s">
        <v>139</v>
      </c>
      <c r="I1128" s="1">
        <v>45775</v>
      </c>
      <c r="K1128">
        <v>385920</v>
      </c>
      <c r="L1128" t="s">
        <v>6803</v>
      </c>
    </row>
    <row r="1129" spans="1:12" x14ac:dyDescent="0.35">
      <c r="A1129" t="s">
        <v>131</v>
      </c>
      <c r="B1129" s="1">
        <v>45744</v>
      </c>
      <c r="C1129" t="s">
        <v>321</v>
      </c>
      <c r="D1129" t="s">
        <v>321</v>
      </c>
      <c r="F1129" t="s">
        <v>7701</v>
      </c>
      <c r="H1129" t="s">
        <v>139</v>
      </c>
      <c r="I1129" s="1">
        <v>45775</v>
      </c>
      <c r="K1129">
        <v>472000</v>
      </c>
      <c r="L1129" t="s">
        <v>351</v>
      </c>
    </row>
    <row r="1130" spans="1:12" x14ac:dyDescent="0.35">
      <c r="A1130" t="s">
        <v>131</v>
      </c>
      <c r="B1130" s="1">
        <v>45744</v>
      </c>
      <c r="C1130" t="s">
        <v>321</v>
      </c>
      <c r="D1130" t="s">
        <v>321</v>
      </c>
      <c r="F1130" t="s">
        <v>8423</v>
      </c>
      <c r="H1130" t="s">
        <v>139</v>
      </c>
      <c r="I1130" s="1">
        <v>45775</v>
      </c>
      <c r="K1130">
        <v>2144000</v>
      </c>
      <c r="L1130" t="s">
        <v>349</v>
      </c>
    </row>
    <row r="1131" spans="1:12" x14ac:dyDescent="0.35">
      <c r="A1131" t="s">
        <v>131</v>
      </c>
      <c r="B1131" s="1">
        <v>45744</v>
      </c>
      <c r="C1131" t="s">
        <v>322</v>
      </c>
      <c r="D1131" t="s">
        <v>322</v>
      </c>
      <c r="F1131" t="s">
        <v>7831</v>
      </c>
      <c r="G1131" t="s">
        <v>9925</v>
      </c>
      <c r="H1131" t="s">
        <v>139</v>
      </c>
      <c r="I1131" s="1">
        <v>45775</v>
      </c>
      <c r="J1131">
        <v>6003840</v>
      </c>
      <c r="L1131" t="s">
        <v>6803</v>
      </c>
    </row>
    <row r="1132" spans="1:12" x14ac:dyDescent="0.35">
      <c r="A1132" t="s">
        <v>131</v>
      </c>
      <c r="B1132" s="1">
        <v>45744</v>
      </c>
      <c r="C1132" t="s">
        <v>322</v>
      </c>
      <c r="D1132" t="s">
        <v>322</v>
      </c>
      <c r="F1132" t="s">
        <v>8419</v>
      </c>
      <c r="H1132" t="s">
        <v>139</v>
      </c>
      <c r="I1132" s="1">
        <v>45775</v>
      </c>
      <c r="K1132">
        <v>771840</v>
      </c>
      <c r="L1132" t="s">
        <v>6803</v>
      </c>
    </row>
    <row r="1133" spans="1:12" x14ac:dyDescent="0.35">
      <c r="A1133" t="s">
        <v>131</v>
      </c>
      <c r="B1133" s="1">
        <v>45744</v>
      </c>
      <c r="C1133" t="s">
        <v>322</v>
      </c>
      <c r="D1133" t="s">
        <v>322</v>
      </c>
      <c r="F1133" t="s">
        <v>7701</v>
      </c>
      <c r="H1133" t="s">
        <v>139</v>
      </c>
      <c r="I1133" s="1">
        <v>45775</v>
      </c>
      <c r="K1133">
        <v>944000</v>
      </c>
      <c r="L1133" t="s">
        <v>351</v>
      </c>
    </row>
    <row r="1134" spans="1:12" x14ac:dyDescent="0.35">
      <c r="A1134" t="s">
        <v>131</v>
      </c>
      <c r="B1134" s="1">
        <v>45744</v>
      </c>
      <c r="C1134" t="s">
        <v>322</v>
      </c>
      <c r="D1134" t="s">
        <v>322</v>
      </c>
      <c r="F1134" t="s">
        <v>8423</v>
      </c>
      <c r="H1134" t="s">
        <v>139</v>
      </c>
      <c r="I1134" s="1">
        <v>45775</v>
      </c>
      <c r="K1134">
        <v>4288000</v>
      </c>
      <c r="L1134" t="s">
        <v>349</v>
      </c>
    </row>
    <row r="1135" spans="1:12" x14ac:dyDescent="0.35">
      <c r="A1135" t="s">
        <v>131</v>
      </c>
      <c r="B1135" s="1">
        <v>45744</v>
      </c>
      <c r="C1135" t="s">
        <v>323</v>
      </c>
      <c r="D1135" t="s">
        <v>323</v>
      </c>
      <c r="F1135" t="s">
        <v>7831</v>
      </c>
      <c r="G1135" t="s">
        <v>9925</v>
      </c>
      <c r="H1135" t="s">
        <v>139</v>
      </c>
      <c r="I1135" s="1">
        <v>45775</v>
      </c>
      <c r="J1135">
        <v>7504800</v>
      </c>
      <c r="L1135" t="s">
        <v>6803</v>
      </c>
    </row>
    <row r="1136" spans="1:12" x14ac:dyDescent="0.35">
      <c r="A1136" t="s">
        <v>131</v>
      </c>
      <c r="B1136" s="1">
        <v>45744</v>
      </c>
      <c r="C1136" t="s">
        <v>323</v>
      </c>
      <c r="D1136" t="s">
        <v>323</v>
      </c>
      <c r="F1136" t="s">
        <v>8419</v>
      </c>
      <c r="H1136" t="s">
        <v>139</v>
      </c>
      <c r="I1136" s="1">
        <v>45775</v>
      </c>
      <c r="K1136">
        <v>964800</v>
      </c>
      <c r="L1136" t="s">
        <v>6803</v>
      </c>
    </row>
    <row r="1137" spans="1:12" x14ac:dyDescent="0.35">
      <c r="A1137" t="s">
        <v>131</v>
      </c>
      <c r="B1137" s="1">
        <v>45744</v>
      </c>
      <c r="C1137" t="s">
        <v>323</v>
      </c>
      <c r="D1137" t="s">
        <v>323</v>
      </c>
      <c r="F1137" t="s">
        <v>7701</v>
      </c>
      <c r="H1137" t="s">
        <v>139</v>
      </c>
      <c r="I1137" s="1">
        <v>45775</v>
      </c>
      <c r="K1137">
        <v>1180000</v>
      </c>
      <c r="L1137" t="s">
        <v>351</v>
      </c>
    </row>
    <row r="1138" spans="1:12" x14ac:dyDescent="0.35">
      <c r="A1138" t="s">
        <v>131</v>
      </c>
      <c r="B1138" s="1">
        <v>45744</v>
      </c>
      <c r="C1138" t="s">
        <v>323</v>
      </c>
      <c r="D1138" t="s">
        <v>323</v>
      </c>
      <c r="F1138" t="s">
        <v>8423</v>
      </c>
      <c r="H1138" t="s">
        <v>139</v>
      </c>
      <c r="I1138" s="1">
        <v>45775</v>
      </c>
      <c r="K1138">
        <v>5360000</v>
      </c>
      <c r="L1138" t="s">
        <v>349</v>
      </c>
    </row>
    <row r="1139" spans="1:12" x14ac:dyDescent="0.35">
      <c r="A1139" t="s">
        <v>131</v>
      </c>
      <c r="B1139" s="1">
        <v>45744</v>
      </c>
      <c r="C1139" t="s">
        <v>324</v>
      </c>
      <c r="D1139" t="s">
        <v>324</v>
      </c>
      <c r="F1139" t="s">
        <v>7831</v>
      </c>
      <c r="G1139" t="s">
        <v>9925</v>
      </c>
      <c r="H1139" t="s">
        <v>139</v>
      </c>
      <c r="I1139" s="1">
        <v>45775</v>
      </c>
      <c r="J1139">
        <v>6379080</v>
      </c>
      <c r="L1139" t="s">
        <v>6803</v>
      </c>
    </row>
    <row r="1140" spans="1:12" x14ac:dyDescent="0.35">
      <c r="A1140" t="s">
        <v>131</v>
      </c>
      <c r="B1140" s="1">
        <v>45744</v>
      </c>
      <c r="C1140" t="s">
        <v>324</v>
      </c>
      <c r="D1140" t="s">
        <v>324</v>
      </c>
      <c r="F1140" t="s">
        <v>8419</v>
      </c>
      <c r="H1140" t="s">
        <v>139</v>
      </c>
      <c r="I1140" s="1">
        <v>45775</v>
      </c>
      <c r="K1140">
        <v>820080</v>
      </c>
      <c r="L1140" t="s">
        <v>6803</v>
      </c>
    </row>
    <row r="1141" spans="1:12" x14ac:dyDescent="0.35">
      <c r="A1141" t="s">
        <v>131</v>
      </c>
      <c r="B1141" s="1">
        <v>45744</v>
      </c>
      <c r="C1141" t="s">
        <v>324</v>
      </c>
      <c r="D1141" t="s">
        <v>324</v>
      </c>
      <c r="F1141" t="s">
        <v>7701</v>
      </c>
      <c r="H1141" t="s">
        <v>139</v>
      </c>
      <c r="I1141" s="1">
        <v>45775</v>
      </c>
      <c r="K1141">
        <v>1003000</v>
      </c>
      <c r="L1141" t="s">
        <v>351</v>
      </c>
    </row>
    <row r="1142" spans="1:12" x14ac:dyDescent="0.35">
      <c r="A1142" t="s">
        <v>131</v>
      </c>
      <c r="B1142" s="1">
        <v>45744</v>
      </c>
      <c r="C1142" t="s">
        <v>324</v>
      </c>
      <c r="D1142" t="s">
        <v>324</v>
      </c>
      <c r="F1142" t="s">
        <v>8423</v>
      </c>
      <c r="H1142" t="s">
        <v>139</v>
      </c>
      <c r="I1142" s="1">
        <v>45775</v>
      </c>
      <c r="K1142">
        <v>4556000</v>
      </c>
      <c r="L1142" t="s">
        <v>349</v>
      </c>
    </row>
    <row r="1143" spans="1:12" x14ac:dyDescent="0.35">
      <c r="A1143" t="s">
        <v>131</v>
      </c>
      <c r="B1143" s="1">
        <v>45747</v>
      </c>
      <c r="C1143" t="s">
        <v>325</v>
      </c>
      <c r="D1143" t="s">
        <v>325</v>
      </c>
      <c r="F1143" t="s">
        <v>7831</v>
      </c>
      <c r="G1143" t="s">
        <v>9900</v>
      </c>
      <c r="H1143" t="s">
        <v>326</v>
      </c>
      <c r="I1143" s="1">
        <v>45747</v>
      </c>
      <c r="K1143">
        <v>214760</v>
      </c>
      <c r="L1143" t="s">
        <v>6803</v>
      </c>
    </row>
    <row r="1144" spans="1:12" x14ac:dyDescent="0.35">
      <c r="A1144" t="s">
        <v>131</v>
      </c>
      <c r="B1144" s="1">
        <v>45747</v>
      </c>
      <c r="C1144" t="s">
        <v>325</v>
      </c>
      <c r="D1144" t="s">
        <v>325</v>
      </c>
      <c r="F1144" t="s">
        <v>8419</v>
      </c>
      <c r="H1144" t="s">
        <v>326</v>
      </c>
      <c r="I1144" s="1">
        <v>45747</v>
      </c>
      <c r="J1144">
        <v>23760</v>
      </c>
      <c r="L1144" t="s">
        <v>6803</v>
      </c>
    </row>
    <row r="1145" spans="1:12" x14ac:dyDescent="0.35">
      <c r="A1145" t="s">
        <v>131</v>
      </c>
      <c r="B1145" s="1">
        <v>45747</v>
      </c>
      <c r="C1145" t="s">
        <v>325</v>
      </c>
      <c r="D1145" t="s">
        <v>325</v>
      </c>
      <c r="F1145" t="s">
        <v>7701</v>
      </c>
      <c r="H1145" t="s">
        <v>326</v>
      </c>
      <c r="I1145" s="1">
        <v>45747</v>
      </c>
      <c r="J1145">
        <v>59000</v>
      </c>
      <c r="L1145" t="s">
        <v>351</v>
      </c>
    </row>
    <row r="1146" spans="1:12" x14ac:dyDescent="0.35">
      <c r="A1146" t="s">
        <v>131</v>
      </c>
      <c r="B1146" s="1">
        <v>45747</v>
      </c>
      <c r="C1146" t="s">
        <v>325</v>
      </c>
      <c r="D1146" t="s">
        <v>325</v>
      </c>
      <c r="F1146" t="s">
        <v>8423</v>
      </c>
      <c r="H1146" t="s">
        <v>326</v>
      </c>
      <c r="I1146" s="1">
        <v>45747</v>
      </c>
      <c r="J1146">
        <v>132000</v>
      </c>
      <c r="L1146" t="s">
        <v>350</v>
      </c>
    </row>
    <row r="1147" spans="1:12" x14ac:dyDescent="0.35">
      <c r="A1147" t="s">
        <v>131</v>
      </c>
      <c r="B1147" s="1">
        <v>45747</v>
      </c>
      <c r="C1147" t="s">
        <v>327</v>
      </c>
      <c r="D1147" t="s">
        <v>327</v>
      </c>
      <c r="F1147" t="s">
        <v>7831</v>
      </c>
      <c r="G1147" t="s">
        <v>9931</v>
      </c>
      <c r="H1147" t="s">
        <v>146</v>
      </c>
      <c r="I1147" s="1">
        <v>45777</v>
      </c>
      <c r="J1147">
        <v>295000</v>
      </c>
      <c r="L1147" t="s">
        <v>6803</v>
      </c>
    </row>
    <row r="1148" spans="1:12" x14ac:dyDescent="0.35">
      <c r="A1148" t="s">
        <v>131</v>
      </c>
      <c r="B1148" s="1">
        <v>45747</v>
      </c>
      <c r="C1148" t="s">
        <v>327</v>
      </c>
      <c r="D1148" t="s">
        <v>327</v>
      </c>
      <c r="F1148" t="s">
        <v>8419</v>
      </c>
      <c r="H1148" t="s">
        <v>146</v>
      </c>
      <c r="I1148" s="1">
        <v>45777</v>
      </c>
      <c r="K1148">
        <v>45000</v>
      </c>
      <c r="L1148" t="s">
        <v>6803</v>
      </c>
    </row>
    <row r="1149" spans="1:12" x14ac:dyDescent="0.35">
      <c r="A1149" t="s">
        <v>131</v>
      </c>
      <c r="B1149" s="1">
        <v>45747</v>
      </c>
      <c r="C1149" t="s">
        <v>327</v>
      </c>
      <c r="D1149" t="s">
        <v>327</v>
      </c>
      <c r="F1149" t="s">
        <v>8423</v>
      </c>
      <c r="H1149" t="s">
        <v>146</v>
      </c>
      <c r="I1149" s="1">
        <v>45777</v>
      </c>
      <c r="K1149">
        <v>30000</v>
      </c>
      <c r="L1149" t="s">
        <v>349</v>
      </c>
    </row>
    <row r="1150" spans="1:12" x14ac:dyDescent="0.35">
      <c r="A1150" t="s">
        <v>131</v>
      </c>
      <c r="B1150" s="1">
        <v>45747</v>
      </c>
      <c r="C1150" t="s">
        <v>327</v>
      </c>
      <c r="D1150" t="s">
        <v>327</v>
      </c>
      <c r="F1150" t="s">
        <v>8427</v>
      </c>
      <c r="H1150" t="s">
        <v>146</v>
      </c>
      <c r="I1150" s="1">
        <v>45777</v>
      </c>
      <c r="K1150">
        <v>220000</v>
      </c>
      <c r="L1150" t="s">
        <v>349</v>
      </c>
    </row>
    <row r="1151" spans="1:12" x14ac:dyDescent="0.35">
      <c r="A1151" t="s">
        <v>131</v>
      </c>
      <c r="B1151" s="1">
        <v>45747</v>
      </c>
      <c r="C1151" t="s">
        <v>328</v>
      </c>
      <c r="D1151" t="s">
        <v>328</v>
      </c>
      <c r="F1151" t="s">
        <v>7831</v>
      </c>
      <c r="G1151" t="s">
        <v>7586</v>
      </c>
      <c r="H1151" t="s">
        <v>148</v>
      </c>
      <c r="I1151" s="1">
        <v>45747</v>
      </c>
      <c r="J1151">
        <v>1277940</v>
      </c>
      <c r="L1151" t="s">
        <v>6803</v>
      </c>
    </row>
    <row r="1152" spans="1:12" x14ac:dyDescent="0.35">
      <c r="A1152" t="s">
        <v>131</v>
      </c>
      <c r="B1152" s="1">
        <v>45747</v>
      </c>
      <c r="C1152" t="s">
        <v>328</v>
      </c>
      <c r="D1152" t="s">
        <v>328</v>
      </c>
      <c r="F1152" t="s">
        <v>8419</v>
      </c>
      <c r="H1152" t="s">
        <v>148</v>
      </c>
      <c r="I1152" s="1">
        <v>45747</v>
      </c>
      <c r="K1152">
        <v>154440</v>
      </c>
      <c r="L1152" t="s">
        <v>6803</v>
      </c>
    </row>
    <row r="1153" spans="1:12" x14ac:dyDescent="0.35">
      <c r="A1153" t="s">
        <v>131</v>
      </c>
      <c r="B1153" s="1">
        <v>45747</v>
      </c>
      <c r="C1153" t="s">
        <v>328</v>
      </c>
      <c r="D1153" t="s">
        <v>328</v>
      </c>
      <c r="F1153" t="s">
        <v>7701</v>
      </c>
      <c r="H1153" t="s">
        <v>148</v>
      </c>
      <c r="I1153" s="1">
        <v>45747</v>
      </c>
      <c r="K1153">
        <v>265500</v>
      </c>
      <c r="L1153" t="s">
        <v>351</v>
      </c>
    </row>
    <row r="1154" spans="1:12" x14ac:dyDescent="0.35">
      <c r="A1154" t="s">
        <v>131</v>
      </c>
      <c r="B1154" s="1">
        <v>45747</v>
      </c>
      <c r="C1154" t="s">
        <v>328</v>
      </c>
      <c r="D1154" t="s">
        <v>328</v>
      </c>
      <c r="F1154" t="s">
        <v>8423</v>
      </c>
      <c r="H1154" t="s">
        <v>148</v>
      </c>
      <c r="I1154" s="1">
        <v>45747</v>
      </c>
      <c r="K1154">
        <v>858000</v>
      </c>
      <c r="L1154" t="s">
        <v>349</v>
      </c>
    </row>
    <row r="1155" spans="1:12" x14ac:dyDescent="0.35">
      <c r="A1155" t="s">
        <v>131</v>
      </c>
      <c r="B1155" s="1">
        <v>45747</v>
      </c>
      <c r="C1155" t="s">
        <v>329</v>
      </c>
      <c r="D1155" t="s">
        <v>329</v>
      </c>
      <c r="F1155" t="s">
        <v>7831</v>
      </c>
      <c r="G1155" t="s">
        <v>9924</v>
      </c>
      <c r="H1155" t="s">
        <v>154</v>
      </c>
      <c r="I1155" s="1">
        <v>45747</v>
      </c>
      <c r="J1155">
        <v>778800</v>
      </c>
      <c r="L1155" t="s">
        <v>6803</v>
      </c>
    </row>
    <row r="1156" spans="1:12" x14ac:dyDescent="0.35">
      <c r="A1156" t="s">
        <v>131</v>
      </c>
      <c r="B1156" s="1">
        <v>45747</v>
      </c>
      <c r="C1156" t="s">
        <v>329</v>
      </c>
      <c r="D1156" t="s">
        <v>329</v>
      </c>
      <c r="F1156" t="s">
        <v>8419</v>
      </c>
      <c r="H1156" t="s">
        <v>154</v>
      </c>
      <c r="I1156" s="1">
        <v>45747</v>
      </c>
      <c r="K1156">
        <v>118800</v>
      </c>
      <c r="L1156" t="s">
        <v>6803</v>
      </c>
    </row>
    <row r="1157" spans="1:12" x14ac:dyDescent="0.35">
      <c r="A1157" t="s">
        <v>131</v>
      </c>
      <c r="B1157" s="1">
        <v>45747</v>
      </c>
      <c r="C1157" t="s">
        <v>329</v>
      </c>
      <c r="D1157" t="s">
        <v>329</v>
      </c>
      <c r="F1157" t="s">
        <v>8423</v>
      </c>
      <c r="H1157" t="s">
        <v>154</v>
      </c>
      <c r="I1157" s="1">
        <v>45747</v>
      </c>
      <c r="K1157">
        <v>660000</v>
      </c>
      <c r="L1157" t="s">
        <v>349</v>
      </c>
    </row>
    <row r="1158" spans="1:12" x14ac:dyDescent="0.35">
      <c r="A1158" t="s">
        <v>131</v>
      </c>
      <c r="B1158" s="1">
        <v>45747</v>
      </c>
      <c r="C1158" t="s">
        <v>330</v>
      </c>
      <c r="D1158" t="s">
        <v>330</v>
      </c>
      <c r="F1158" t="s">
        <v>7831</v>
      </c>
      <c r="G1158" t="s">
        <v>9924</v>
      </c>
      <c r="H1158" t="s">
        <v>154</v>
      </c>
      <c r="I1158" s="1">
        <v>45747</v>
      </c>
      <c r="J1158">
        <v>778800</v>
      </c>
      <c r="L1158" t="s">
        <v>6803</v>
      </c>
    </row>
    <row r="1159" spans="1:12" x14ac:dyDescent="0.35">
      <c r="A1159" t="s">
        <v>131</v>
      </c>
      <c r="B1159" s="1">
        <v>45747</v>
      </c>
      <c r="C1159" t="s">
        <v>330</v>
      </c>
      <c r="D1159" t="s">
        <v>330</v>
      </c>
      <c r="F1159" t="s">
        <v>8419</v>
      </c>
      <c r="H1159" t="s">
        <v>154</v>
      </c>
      <c r="I1159" s="1">
        <v>45747</v>
      </c>
      <c r="K1159">
        <v>118800</v>
      </c>
      <c r="L1159" t="s">
        <v>6803</v>
      </c>
    </row>
    <row r="1160" spans="1:12" x14ac:dyDescent="0.35">
      <c r="A1160" t="s">
        <v>131</v>
      </c>
      <c r="B1160" s="1">
        <v>45747</v>
      </c>
      <c r="C1160" t="s">
        <v>330</v>
      </c>
      <c r="D1160" t="s">
        <v>330</v>
      </c>
      <c r="F1160" t="s">
        <v>8423</v>
      </c>
      <c r="H1160" t="s">
        <v>154</v>
      </c>
      <c r="I1160" s="1">
        <v>45747</v>
      </c>
      <c r="K1160">
        <v>660000</v>
      </c>
      <c r="L1160" t="s">
        <v>349</v>
      </c>
    </row>
    <row r="1161" spans="1:12" x14ac:dyDescent="0.35">
      <c r="A1161" t="s">
        <v>131</v>
      </c>
      <c r="B1161" s="1">
        <v>45747</v>
      </c>
      <c r="C1161" t="s">
        <v>331</v>
      </c>
      <c r="D1161" t="s">
        <v>331</v>
      </c>
      <c r="F1161" t="s">
        <v>7831</v>
      </c>
      <c r="G1161" t="s">
        <v>7521</v>
      </c>
      <c r="H1161" t="s">
        <v>180</v>
      </c>
      <c r="I1161" s="1">
        <v>45777</v>
      </c>
      <c r="J1161">
        <v>1876200</v>
      </c>
      <c r="L1161" t="s">
        <v>6803</v>
      </c>
    </row>
    <row r="1162" spans="1:12" x14ac:dyDescent="0.35">
      <c r="A1162" t="s">
        <v>131</v>
      </c>
      <c r="B1162" s="1">
        <v>45747</v>
      </c>
      <c r="C1162" t="s">
        <v>331</v>
      </c>
      <c r="D1162" t="s">
        <v>331</v>
      </c>
      <c r="F1162" t="s">
        <v>8419</v>
      </c>
      <c r="H1162" t="s">
        <v>180</v>
      </c>
      <c r="I1162" s="1">
        <v>45777</v>
      </c>
      <c r="K1162">
        <v>241200</v>
      </c>
      <c r="L1162" t="s">
        <v>6803</v>
      </c>
    </row>
    <row r="1163" spans="1:12" x14ac:dyDescent="0.35">
      <c r="A1163" t="s">
        <v>131</v>
      </c>
      <c r="B1163" s="1">
        <v>45747</v>
      </c>
      <c r="C1163" t="s">
        <v>331</v>
      </c>
      <c r="D1163" t="s">
        <v>331</v>
      </c>
      <c r="F1163" t="s">
        <v>7701</v>
      </c>
      <c r="H1163" t="s">
        <v>180</v>
      </c>
      <c r="I1163" s="1">
        <v>45777</v>
      </c>
      <c r="K1163">
        <v>295000</v>
      </c>
      <c r="L1163" t="s">
        <v>351</v>
      </c>
    </row>
    <row r="1164" spans="1:12" x14ac:dyDescent="0.35">
      <c r="A1164" t="s">
        <v>131</v>
      </c>
      <c r="B1164" s="1">
        <v>45747</v>
      </c>
      <c r="C1164" t="s">
        <v>331</v>
      </c>
      <c r="D1164" t="s">
        <v>331</v>
      </c>
      <c r="F1164" t="s">
        <v>8423</v>
      </c>
      <c r="H1164" t="s">
        <v>180</v>
      </c>
      <c r="I1164" s="1">
        <v>45777</v>
      </c>
      <c r="K1164">
        <v>1340000</v>
      </c>
      <c r="L1164" t="s">
        <v>349</v>
      </c>
    </row>
    <row r="1165" spans="1:12" x14ac:dyDescent="0.35">
      <c r="A1165" t="s">
        <v>131</v>
      </c>
      <c r="B1165" s="1">
        <v>45747</v>
      </c>
      <c r="C1165" t="s">
        <v>332</v>
      </c>
      <c r="D1165" t="s">
        <v>332</v>
      </c>
      <c r="F1165" t="s">
        <v>7831</v>
      </c>
      <c r="G1165" t="s">
        <v>7586</v>
      </c>
      <c r="H1165" t="s">
        <v>148</v>
      </c>
      <c r="I1165" s="1">
        <v>45747</v>
      </c>
      <c r="J1165">
        <v>1922220</v>
      </c>
      <c r="L1165" t="s">
        <v>6803</v>
      </c>
    </row>
    <row r="1166" spans="1:12" x14ac:dyDescent="0.35">
      <c r="A1166" t="s">
        <v>131</v>
      </c>
      <c r="B1166" s="1">
        <v>45747</v>
      </c>
      <c r="C1166" t="s">
        <v>332</v>
      </c>
      <c r="D1166" t="s">
        <v>332</v>
      </c>
      <c r="F1166" t="s">
        <v>8419</v>
      </c>
      <c r="H1166" t="s">
        <v>148</v>
      </c>
      <c r="I1166" s="1">
        <v>45747</v>
      </c>
      <c r="K1166">
        <v>225720</v>
      </c>
      <c r="L1166" t="s">
        <v>6803</v>
      </c>
    </row>
    <row r="1167" spans="1:12" x14ac:dyDescent="0.35">
      <c r="A1167" t="s">
        <v>131</v>
      </c>
      <c r="B1167" s="1">
        <v>45747</v>
      </c>
      <c r="C1167" t="s">
        <v>332</v>
      </c>
      <c r="D1167" t="s">
        <v>332</v>
      </c>
      <c r="F1167" t="s">
        <v>7701</v>
      </c>
      <c r="H1167" t="s">
        <v>148</v>
      </c>
      <c r="I1167" s="1">
        <v>45747</v>
      </c>
      <c r="K1167">
        <v>442500</v>
      </c>
      <c r="L1167" t="s">
        <v>351</v>
      </c>
    </row>
    <row r="1168" spans="1:12" x14ac:dyDescent="0.35">
      <c r="A1168" t="s">
        <v>131</v>
      </c>
      <c r="B1168" s="1">
        <v>45747</v>
      </c>
      <c r="C1168" t="s">
        <v>332</v>
      </c>
      <c r="D1168" t="s">
        <v>332</v>
      </c>
      <c r="F1168" t="s">
        <v>8423</v>
      </c>
      <c r="H1168" t="s">
        <v>148</v>
      </c>
      <c r="I1168" s="1">
        <v>45747</v>
      </c>
      <c r="K1168">
        <v>1254000</v>
      </c>
      <c r="L1168" t="s">
        <v>349</v>
      </c>
    </row>
    <row r="1169" spans="1:12" x14ac:dyDescent="0.35">
      <c r="A1169" t="s">
        <v>131</v>
      </c>
      <c r="B1169" s="1">
        <v>45747</v>
      </c>
      <c r="C1169" t="s">
        <v>333</v>
      </c>
      <c r="D1169" t="s">
        <v>333</v>
      </c>
      <c r="F1169" t="s">
        <v>7831</v>
      </c>
      <c r="G1169" t="s">
        <v>9924</v>
      </c>
      <c r="H1169" t="s">
        <v>154</v>
      </c>
      <c r="I1169" s="1">
        <v>45747</v>
      </c>
      <c r="J1169">
        <v>2336400</v>
      </c>
      <c r="L1169" t="s">
        <v>6803</v>
      </c>
    </row>
    <row r="1170" spans="1:12" x14ac:dyDescent="0.35">
      <c r="A1170" t="s">
        <v>131</v>
      </c>
      <c r="B1170" s="1">
        <v>45747</v>
      </c>
      <c r="C1170" t="s">
        <v>333</v>
      </c>
      <c r="D1170" t="s">
        <v>333</v>
      </c>
      <c r="F1170" t="s">
        <v>8419</v>
      </c>
      <c r="H1170" t="s">
        <v>154</v>
      </c>
      <c r="I1170" s="1">
        <v>45747</v>
      </c>
      <c r="K1170">
        <v>356400</v>
      </c>
      <c r="L1170" t="s">
        <v>6803</v>
      </c>
    </row>
    <row r="1171" spans="1:12" x14ac:dyDescent="0.35">
      <c r="A1171" t="s">
        <v>131</v>
      </c>
      <c r="B1171" s="1">
        <v>45747</v>
      </c>
      <c r="C1171" t="s">
        <v>333</v>
      </c>
      <c r="D1171" t="s">
        <v>333</v>
      </c>
      <c r="F1171" t="s">
        <v>8423</v>
      </c>
      <c r="H1171" t="s">
        <v>154</v>
      </c>
      <c r="I1171" s="1">
        <v>45747</v>
      </c>
      <c r="K1171">
        <v>1980000</v>
      </c>
      <c r="L1171" t="s">
        <v>349</v>
      </c>
    </row>
    <row r="1172" spans="1:12" x14ac:dyDescent="0.35">
      <c r="A1172" t="s">
        <v>131</v>
      </c>
      <c r="B1172" s="1">
        <v>45747</v>
      </c>
      <c r="C1172" t="s">
        <v>334</v>
      </c>
      <c r="D1172" t="s">
        <v>334</v>
      </c>
      <c r="F1172" t="s">
        <v>7831</v>
      </c>
      <c r="G1172" t="s">
        <v>9928</v>
      </c>
      <c r="H1172" t="s">
        <v>307</v>
      </c>
      <c r="I1172" s="1">
        <v>45777</v>
      </c>
      <c r="J1172">
        <v>292640</v>
      </c>
      <c r="L1172" t="s">
        <v>6803</v>
      </c>
    </row>
    <row r="1173" spans="1:12" x14ac:dyDescent="0.35">
      <c r="A1173" t="s">
        <v>131</v>
      </c>
      <c r="B1173" s="1">
        <v>45747</v>
      </c>
      <c r="C1173" t="s">
        <v>334</v>
      </c>
      <c r="D1173" t="s">
        <v>334</v>
      </c>
      <c r="F1173" t="s">
        <v>8419</v>
      </c>
      <c r="H1173" t="s">
        <v>307</v>
      </c>
      <c r="I1173" s="1">
        <v>45777</v>
      </c>
      <c r="K1173">
        <v>35640</v>
      </c>
      <c r="L1173" t="s">
        <v>6803</v>
      </c>
    </row>
    <row r="1174" spans="1:12" x14ac:dyDescent="0.35">
      <c r="A1174" t="s">
        <v>131</v>
      </c>
      <c r="B1174" s="1">
        <v>45747</v>
      </c>
      <c r="C1174" t="s">
        <v>334</v>
      </c>
      <c r="D1174" t="s">
        <v>334</v>
      </c>
      <c r="F1174" t="s">
        <v>7701</v>
      </c>
      <c r="H1174" t="s">
        <v>307</v>
      </c>
      <c r="I1174" s="1">
        <v>45777</v>
      </c>
      <c r="K1174">
        <v>59000</v>
      </c>
      <c r="L1174" t="s">
        <v>351</v>
      </c>
    </row>
    <row r="1175" spans="1:12" x14ac:dyDescent="0.35">
      <c r="A1175" t="s">
        <v>131</v>
      </c>
      <c r="B1175" s="1">
        <v>45747</v>
      </c>
      <c r="C1175" t="s">
        <v>334</v>
      </c>
      <c r="D1175" t="s">
        <v>334</v>
      </c>
      <c r="F1175" t="s">
        <v>8423</v>
      </c>
      <c r="H1175" t="s">
        <v>307</v>
      </c>
      <c r="I1175" s="1">
        <v>45777</v>
      </c>
      <c r="K1175">
        <v>198000</v>
      </c>
      <c r="L1175" t="s">
        <v>349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11A3E-004C-4E78-9627-34A3D5FF5B6E}">
  <dimension ref="A1:N495"/>
  <sheetViews>
    <sheetView workbookViewId="0">
      <selection activeCell="A2" sqref="A2:A495"/>
    </sheetView>
  </sheetViews>
  <sheetFormatPr baseColWidth="10" defaultRowHeight="14.5" x14ac:dyDescent="0.35"/>
  <cols>
    <col min="1" max="1" width="18.81640625" customWidth="1"/>
  </cols>
  <sheetData>
    <row r="1" spans="1:14" x14ac:dyDescent="0.35">
      <c r="A1" t="s">
        <v>6797</v>
      </c>
      <c r="B1" t="s">
        <v>0</v>
      </c>
      <c r="C1" t="s">
        <v>1</v>
      </c>
      <c r="D1" t="s">
        <v>2</v>
      </c>
      <c r="E1" t="s">
        <v>5</v>
      </c>
      <c r="F1" t="s">
        <v>7</v>
      </c>
      <c r="G1" t="s">
        <v>335</v>
      </c>
      <c r="H1" t="s">
        <v>336</v>
      </c>
      <c r="I1" t="s">
        <v>337</v>
      </c>
      <c r="J1" t="s">
        <v>338</v>
      </c>
      <c r="K1" t="s">
        <v>339</v>
      </c>
      <c r="L1" t="s">
        <v>340</v>
      </c>
      <c r="M1" t="s">
        <v>9</v>
      </c>
      <c r="N1" t="s">
        <v>10</v>
      </c>
    </row>
    <row r="2" spans="1:14" x14ac:dyDescent="0.35">
      <c r="A2" t="str">
        <f>CONCATENATE(B2,C2,D2,E2)</f>
        <v>ABN457171562530000</v>
      </c>
      <c r="B2" t="s">
        <v>11</v>
      </c>
      <c r="C2" s="1">
        <v>45717</v>
      </c>
      <c r="D2" t="str">
        <f>"15"</f>
        <v>15</v>
      </c>
      <c r="E2" t="str">
        <f>"62530000"</f>
        <v>62530000</v>
      </c>
      <c r="F2" t="s">
        <v>13</v>
      </c>
      <c r="G2" t="s">
        <v>341</v>
      </c>
      <c r="H2" t="s">
        <v>342</v>
      </c>
      <c r="I2">
        <v>0</v>
      </c>
      <c r="J2" t="s">
        <v>343</v>
      </c>
      <c r="K2">
        <v>10095</v>
      </c>
      <c r="M2">
        <v>10095</v>
      </c>
    </row>
    <row r="3" spans="1:14" x14ac:dyDescent="0.35">
      <c r="A3" t="str">
        <f t="shared" ref="A3:A66" si="0">CONCATENATE(B3,C3,D3,E3)</f>
        <v>ABN457171662540000</v>
      </c>
      <c r="B3" t="s">
        <v>11</v>
      </c>
      <c r="C3" s="1">
        <v>45717</v>
      </c>
      <c r="D3" t="str">
        <f>"16"</f>
        <v>16</v>
      </c>
      <c r="E3" t="str">
        <f>"62540000"</f>
        <v>62540000</v>
      </c>
      <c r="F3" t="s">
        <v>15</v>
      </c>
      <c r="G3" t="s">
        <v>341</v>
      </c>
      <c r="H3" t="s">
        <v>342</v>
      </c>
      <c r="I3">
        <v>0</v>
      </c>
      <c r="J3" t="s">
        <v>343</v>
      </c>
      <c r="K3">
        <v>269552</v>
      </c>
      <c r="M3">
        <v>269552</v>
      </c>
    </row>
    <row r="4" spans="1:14" x14ac:dyDescent="0.35">
      <c r="A4" t="str">
        <f t="shared" si="0"/>
        <v>ABN457171762230000</v>
      </c>
      <c r="B4" t="s">
        <v>11</v>
      </c>
      <c r="C4" s="1">
        <v>45717</v>
      </c>
      <c r="D4" t="str">
        <f>"17"</f>
        <v>17</v>
      </c>
      <c r="E4" t="str">
        <f>"62230000"</f>
        <v>62230000</v>
      </c>
      <c r="F4" t="s">
        <v>17</v>
      </c>
      <c r="G4" t="s">
        <v>341</v>
      </c>
      <c r="H4" t="s">
        <v>344</v>
      </c>
      <c r="I4">
        <v>0</v>
      </c>
      <c r="J4" t="s">
        <v>343</v>
      </c>
      <c r="K4">
        <v>7800000</v>
      </c>
      <c r="M4">
        <v>7800000</v>
      </c>
    </row>
    <row r="5" spans="1:14" x14ac:dyDescent="0.35">
      <c r="A5" t="str">
        <f t="shared" si="0"/>
        <v>ABN457171864120000</v>
      </c>
      <c r="B5" t="s">
        <v>11</v>
      </c>
      <c r="C5" s="1">
        <v>45717</v>
      </c>
      <c r="D5" t="str">
        <f>"18"</f>
        <v>18</v>
      </c>
      <c r="E5" t="str">
        <f>"64120000"</f>
        <v>64120000</v>
      </c>
      <c r="F5" t="s">
        <v>19</v>
      </c>
      <c r="G5" t="s">
        <v>341</v>
      </c>
      <c r="H5" t="s">
        <v>345</v>
      </c>
      <c r="I5">
        <v>0</v>
      </c>
      <c r="J5" t="s">
        <v>343</v>
      </c>
      <c r="K5">
        <v>5033155</v>
      </c>
      <c r="M5">
        <v>5033155</v>
      </c>
    </row>
    <row r="6" spans="1:14" x14ac:dyDescent="0.35">
      <c r="A6" t="str">
        <f t="shared" si="0"/>
        <v>ABN457171989500000</v>
      </c>
      <c r="B6" t="s">
        <v>11</v>
      </c>
      <c r="C6" s="1">
        <v>45717</v>
      </c>
      <c r="D6" t="str">
        <f>"19"</f>
        <v>19</v>
      </c>
      <c r="E6" t="str">
        <f>"89500000"</f>
        <v>89500000</v>
      </c>
      <c r="F6" t="s">
        <v>21</v>
      </c>
      <c r="G6" t="s">
        <v>341</v>
      </c>
      <c r="H6" t="s">
        <v>345</v>
      </c>
      <c r="I6">
        <v>0</v>
      </c>
      <c r="J6" t="s">
        <v>343</v>
      </c>
      <c r="K6">
        <v>1333333</v>
      </c>
      <c r="M6">
        <v>1333333</v>
      </c>
    </row>
    <row r="7" spans="1:14" x14ac:dyDescent="0.35">
      <c r="A7" t="str">
        <f t="shared" si="0"/>
        <v>ABN457172062220000</v>
      </c>
      <c r="B7" t="s">
        <v>11</v>
      </c>
      <c r="C7" s="1">
        <v>45717</v>
      </c>
      <c r="D7" t="str">
        <f>"20"</f>
        <v>20</v>
      </c>
      <c r="E7" t="str">
        <f>"62220000"</f>
        <v>62220000</v>
      </c>
      <c r="F7" t="s">
        <v>23</v>
      </c>
      <c r="G7" t="s">
        <v>341</v>
      </c>
      <c r="H7" t="s">
        <v>346</v>
      </c>
      <c r="I7">
        <v>0</v>
      </c>
      <c r="J7" t="s">
        <v>343</v>
      </c>
      <c r="K7">
        <v>27168750</v>
      </c>
      <c r="M7">
        <v>27168750</v>
      </c>
    </row>
    <row r="8" spans="1:14" x14ac:dyDescent="0.35">
      <c r="A8" t="str">
        <f t="shared" si="0"/>
        <v>ABN457182163240000</v>
      </c>
      <c r="B8" t="s">
        <v>11</v>
      </c>
      <c r="C8" s="1">
        <v>45718</v>
      </c>
      <c r="D8" t="str">
        <f>"21"</f>
        <v>21</v>
      </c>
      <c r="E8" t="str">
        <f>"63240000"</f>
        <v>63240000</v>
      </c>
      <c r="F8" t="s">
        <v>25</v>
      </c>
      <c r="G8" t="s">
        <v>341</v>
      </c>
      <c r="H8" t="s">
        <v>347</v>
      </c>
      <c r="I8">
        <v>0</v>
      </c>
      <c r="J8" t="s">
        <v>343</v>
      </c>
      <c r="K8">
        <v>207546</v>
      </c>
      <c r="M8">
        <v>207546</v>
      </c>
    </row>
    <row r="9" spans="1:14" x14ac:dyDescent="0.35">
      <c r="A9" t="str">
        <f t="shared" si="0"/>
        <v>AC45719160550000</v>
      </c>
      <c r="B9" t="s">
        <v>26</v>
      </c>
      <c r="C9" s="1">
        <v>45719</v>
      </c>
      <c r="D9" t="str">
        <f>"1"</f>
        <v>1</v>
      </c>
      <c r="E9" t="str">
        <f>"60550000"</f>
        <v>60550000</v>
      </c>
      <c r="F9" t="s">
        <v>29</v>
      </c>
      <c r="G9" t="s">
        <v>341</v>
      </c>
      <c r="H9" t="s">
        <v>348</v>
      </c>
      <c r="I9">
        <v>0</v>
      </c>
      <c r="J9" t="s">
        <v>343</v>
      </c>
      <c r="K9">
        <v>750000</v>
      </c>
      <c r="M9">
        <v>750000</v>
      </c>
    </row>
    <row r="10" spans="1:14" x14ac:dyDescent="0.35">
      <c r="A10" t="str">
        <f t="shared" si="0"/>
        <v>BQ2457372363180000</v>
      </c>
      <c r="B10" t="s">
        <v>32</v>
      </c>
      <c r="C10" s="1">
        <v>45737</v>
      </c>
      <c r="D10" t="str">
        <f>"23"</f>
        <v>23</v>
      </c>
      <c r="E10" t="str">
        <f>"63180000"</f>
        <v>63180000</v>
      </c>
      <c r="F10" t="s">
        <v>58</v>
      </c>
      <c r="G10" t="s">
        <v>341</v>
      </c>
      <c r="H10" t="s">
        <v>347</v>
      </c>
      <c r="I10">
        <v>0</v>
      </c>
      <c r="J10" t="s">
        <v>343</v>
      </c>
      <c r="K10">
        <v>2200</v>
      </c>
      <c r="M10">
        <v>2200</v>
      </c>
    </row>
    <row r="11" spans="1:14" x14ac:dyDescent="0.35">
      <c r="A11" t="str">
        <f t="shared" si="0"/>
        <v>BQ2457472863180000</v>
      </c>
      <c r="B11" t="s">
        <v>32</v>
      </c>
      <c r="C11" s="1">
        <v>45747</v>
      </c>
      <c r="D11" t="str">
        <f>"28"</f>
        <v>28</v>
      </c>
      <c r="E11" t="str">
        <f>"63180000"</f>
        <v>63180000</v>
      </c>
      <c r="F11" t="s">
        <v>58</v>
      </c>
      <c r="G11" t="s">
        <v>341</v>
      </c>
      <c r="H11" t="s">
        <v>347</v>
      </c>
      <c r="I11">
        <v>0</v>
      </c>
      <c r="J11" t="s">
        <v>343</v>
      </c>
      <c r="K11">
        <v>68659</v>
      </c>
      <c r="M11">
        <v>68659</v>
      </c>
    </row>
    <row r="12" spans="1:14" x14ac:dyDescent="0.35">
      <c r="A12" t="str">
        <f t="shared" si="0"/>
        <v>BQ2457472963180000</v>
      </c>
      <c r="B12" t="s">
        <v>32</v>
      </c>
      <c r="C12" s="1">
        <v>45747</v>
      </c>
      <c r="D12" t="str">
        <f>"29"</f>
        <v>29</v>
      </c>
      <c r="E12" t="str">
        <f>"63180000"</f>
        <v>63180000</v>
      </c>
      <c r="F12" t="s">
        <v>58</v>
      </c>
      <c r="G12" t="s">
        <v>341</v>
      </c>
      <c r="H12" t="s">
        <v>347</v>
      </c>
      <c r="I12">
        <v>0</v>
      </c>
      <c r="J12" t="s">
        <v>343</v>
      </c>
      <c r="K12">
        <v>22000</v>
      </c>
      <c r="M12">
        <v>22000</v>
      </c>
    </row>
    <row r="13" spans="1:14" x14ac:dyDescent="0.35">
      <c r="A13" t="str">
        <f t="shared" si="0"/>
        <v>BQ345717263180000</v>
      </c>
      <c r="B13" t="s">
        <v>63</v>
      </c>
      <c r="C13" s="1">
        <v>45717</v>
      </c>
      <c r="D13" t="str">
        <f>"2"</f>
        <v>2</v>
      </c>
      <c r="E13" t="str">
        <f>"63180000"</f>
        <v>63180000</v>
      </c>
      <c r="F13" t="s">
        <v>58</v>
      </c>
      <c r="G13" t="s">
        <v>341</v>
      </c>
      <c r="H13" t="s">
        <v>347</v>
      </c>
      <c r="I13">
        <v>0</v>
      </c>
      <c r="J13" t="s">
        <v>343</v>
      </c>
      <c r="K13">
        <v>22000</v>
      </c>
      <c r="M13">
        <v>22000</v>
      </c>
    </row>
    <row r="14" spans="1:14" x14ac:dyDescent="0.35">
      <c r="A14" t="str">
        <f t="shared" si="0"/>
        <v>BQ345744163180000</v>
      </c>
      <c r="B14" t="s">
        <v>63</v>
      </c>
      <c r="C14" s="1">
        <v>45744</v>
      </c>
      <c r="D14" t="str">
        <f>"1"</f>
        <v>1</v>
      </c>
      <c r="E14" t="str">
        <f>"63180000"</f>
        <v>63180000</v>
      </c>
      <c r="F14" t="s">
        <v>58</v>
      </c>
      <c r="G14" t="s">
        <v>341</v>
      </c>
      <c r="H14" t="s">
        <v>347</v>
      </c>
      <c r="I14">
        <v>0</v>
      </c>
      <c r="J14" t="s">
        <v>343</v>
      </c>
      <c r="K14">
        <v>33000</v>
      </c>
      <c r="M14">
        <v>33000</v>
      </c>
    </row>
    <row r="15" spans="1:14" x14ac:dyDescent="0.35">
      <c r="A15" t="str">
        <f t="shared" si="0"/>
        <v>ND45723165110200</v>
      </c>
      <c r="B15" t="s">
        <v>75</v>
      </c>
      <c r="C15" s="1">
        <v>45723</v>
      </c>
      <c r="D15" t="str">
        <f>"1"</f>
        <v>1</v>
      </c>
      <c r="E15" t="str">
        <f t="shared" ref="E15:E26" si="1">"65110200"</f>
        <v>65110200</v>
      </c>
      <c r="F15" t="s">
        <v>78</v>
      </c>
      <c r="G15" t="s">
        <v>341</v>
      </c>
      <c r="H15" t="s">
        <v>346</v>
      </c>
      <c r="I15">
        <v>0</v>
      </c>
      <c r="J15" t="s">
        <v>343</v>
      </c>
      <c r="K15">
        <v>14160</v>
      </c>
      <c r="M15">
        <v>14160</v>
      </c>
    </row>
    <row r="16" spans="1:14" x14ac:dyDescent="0.35">
      <c r="A16" t="str">
        <f t="shared" si="0"/>
        <v>ND45723265110200</v>
      </c>
      <c r="B16" t="s">
        <v>75</v>
      </c>
      <c r="C16" s="1">
        <v>45723</v>
      </c>
      <c r="D16" t="str">
        <f>"2"</f>
        <v>2</v>
      </c>
      <c r="E16" t="str">
        <f t="shared" si="1"/>
        <v>65110200</v>
      </c>
      <c r="F16" t="s">
        <v>78</v>
      </c>
      <c r="G16" t="s">
        <v>341</v>
      </c>
      <c r="H16" t="s">
        <v>346</v>
      </c>
      <c r="I16">
        <v>0</v>
      </c>
      <c r="J16" t="s">
        <v>343</v>
      </c>
      <c r="K16">
        <v>14160</v>
      </c>
      <c r="M16">
        <v>14160</v>
      </c>
    </row>
    <row r="17" spans="1:14" x14ac:dyDescent="0.35">
      <c r="A17" t="str">
        <f t="shared" si="0"/>
        <v>ND45723365110200</v>
      </c>
      <c r="B17" t="s">
        <v>75</v>
      </c>
      <c r="C17" s="1">
        <v>45723</v>
      </c>
      <c r="D17" t="str">
        <f>"3"</f>
        <v>3</v>
      </c>
      <c r="E17" t="str">
        <f t="shared" si="1"/>
        <v>65110200</v>
      </c>
      <c r="F17" t="s">
        <v>78</v>
      </c>
      <c r="G17" t="s">
        <v>341</v>
      </c>
      <c r="H17" t="s">
        <v>346</v>
      </c>
      <c r="I17">
        <v>0</v>
      </c>
      <c r="J17" t="s">
        <v>343</v>
      </c>
      <c r="K17">
        <v>28320</v>
      </c>
      <c r="M17">
        <v>28320</v>
      </c>
    </row>
    <row r="18" spans="1:14" x14ac:dyDescent="0.35">
      <c r="A18" t="str">
        <f t="shared" si="0"/>
        <v>ND45723465110200</v>
      </c>
      <c r="B18" t="s">
        <v>75</v>
      </c>
      <c r="C18" s="1">
        <v>45723</v>
      </c>
      <c r="D18" t="str">
        <f>"4"</f>
        <v>4</v>
      </c>
      <c r="E18" t="str">
        <f t="shared" si="1"/>
        <v>65110200</v>
      </c>
      <c r="F18" t="s">
        <v>78</v>
      </c>
      <c r="G18" t="s">
        <v>341</v>
      </c>
      <c r="H18" t="s">
        <v>346</v>
      </c>
      <c r="I18">
        <v>0</v>
      </c>
      <c r="J18" t="s">
        <v>343</v>
      </c>
      <c r="K18">
        <v>14160</v>
      </c>
      <c r="M18">
        <v>14160</v>
      </c>
    </row>
    <row r="19" spans="1:14" x14ac:dyDescent="0.35">
      <c r="A19" t="str">
        <f t="shared" si="0"/>
        <v>ND45723565110200</v>
      </c>
      <c r="B19" t="s">
        <v>75</v>
      </c>
      <c r="C19" s="1">
        <v>45723</v>
      </c>
      <c r="D19" t="str">
        <f>"5"</f>
        <v>5</v>
      </c>
      <c r="E19" t="str">
        <f t="shared" si="1"/>
        <v>65110200</v>
      </c>
      <c r="F19" t="s">
        <v>78</v>
      </c>
      <c r="G19" t="s">
        <v>341</v>
      </c>
      <c r="H19" t="s">
        <v>346</v>
      </c>
      <c r="I19">
        <v>0</v>
      </c>
      <c r="J19" t="s">
        <v>343</v>
      </c>
      <c r="K19">
        <v>59000</v>
      </c>
      <c r="M19">
        <v>59000</v>
      </c>
    </row>
    <row r="20" spans="1:14" x14ac:dyDescent="0.35">
      <c r="A20" t="str">
        <f t="shared" si="0"/>
        <v>ND45723665110200</v>
      </c>
      <c r="B20" t="s">
        <v>75</v>
      </c>
      <c r="C20" s="1">
        <v>45723</v>
      </c>
      <c r="D20" t="str">
        <f>"6"</f>
        <v>6</v>
      </c>
      <c r="E20" t="str">
        <f t="shared" si="1"/>
        <v>65110200</v>
      </c>
      <c r="F20" t="s">
        <v>78</v>
      </c>
      <c r="G20" t="s">
        <v>341</v>
      </c>
      <c r="H20" t="s">
        <v>346</v>
      </c>
      <c r="I20">
        <v>0</v>
      </c>
      <c r="J20" t="s">
        <v>343</v>
      </c>
      <c r="K20">
        <v>177000</v>
      </c>
      <c r="M20">
        <v>177000</v>
      </c>
    </row>
    <row r="21" spans="1:14" x14ac:dyDescent="0.35">
      <c r="A21" t="str">
        <f t="shared" si="0"/>
        <v>ND45723765110200</v>
      </c>
      <c r="B21" t="s">
        <v>75</v>
      </c>
      <c r="C21" s="1">
        <v>45723</v>
      </c>
      <c r="D21" t="str">
        <f>"7"</f>
        <v>7</v>
      </c>
      <c r="E21" t="str">
        <f t="shared" si="1"/>
        <v>65110200</v>
      </c>
      <c r="F21" t="s">
        <v>78</v>
      </c>
      <c r="G21" t="s">
        <v>341</v>
      </c>
      <c r="H21" t="s">
        <v>346</v>
      </c>
      <c r="I21">
        <v>0</v>
      </c>
      <c r="J21" t="s">
        <v>343</v>
      </c>
      <c r="K21">
        <v>28320</v>
      </c>
      <c r="M21">
        <v>28320</v>
      </c>
    </row>
    <row r="22" spans="1:14" x14ac:dyDescent="0.35">
      <c r="A22" t="str">
        <f t="shared" si="0"/>
        <v>ND45723865110200</v>
      </c>
      <c r="B22" t="s">
        <v>75</v>
      </c>
      <c r="C22" s="1">
        <v>45723</v>
      </c>
      <c r="D22" t="str">
        <f>"8"</f>
        <v>8</v>
      </c>
      <c r="E22" t="str">
        <f t="shared" si="1"/>
        <v>65110200</v>
      </c>
      <c r="F22" t="s">
        <v>78</v>
      </c>
      <c r="G22" t="s">
        <v>341</v>
      </c>
      <c r="H22" t="s">
        <v>346</v>
      </c>
      <c r="I22">
        <v>0</v>
      </c>
      <c r="J22" t="s">
        <v>343</v>
      </c>
      <c r="K22">
        <v>236000</v>
      </c>
      <c r="M22">
        <v>236000</v>
      </c>
    </row>
    <row r="23" spans="1:14" x14ac:dyDescent="0.35">
      <c r="A23" t="str">
        <f t="shared" si="0"/>
        <v>ND45723965110200</v>
      </c>
      <c r="B23" t="s">
        <v>75</v>
      </c>
      <c r="C23" s="1">
        <v>45723</v>
      </c>
      <c r="D23" t="str">
        <f>"9"</f>
        <v>9</v>
      </c>
      <c r="E23" t="str">
        <f t="shared" si="1"/>
        <v>65110200</v>
      </c>
      <c r="F23" t="s">
        <v>78</v>
      </c>
      <c r="G23" t="s">
        <v>341</v>
      </c>
      <c r="H23" t="s">
        <v>346</v>
      </c>
      <c r="I23">
        <v>0</v>
      </c>
      <c r="J23" t="s">
        <v>343</v>
      </c>
      <c r="K23">
        <v>590000</v>
      </c>
      <c r="M23">
        <v>590000</v>
      </c>
    </row>
    <row r="24" spans="1:14" x14ac:dyDescent="0.35">
      <c r="A24" t="str">
        <f t="shared" si="0"/>
        <v>ND457231065110200</v>
      </c>
      <c r="B24" t="s">
        <v>75</v>
      </c>
      <c r="C24" s="1">
        <v>45723</v>
      </c>
      <c r="D24" t="str">
        <f>"10"</f>
        <v>10</v>
      </c>
      <c r="E24" t="str">
        <f t="shared" si="1"/>
        <v>65110200</v>
      </c>
      <c r="F24" t="s">
        <v>78</v>
      </c>
      <c r="G24" t="s">
        <v>341</v>
      </c>
      <c r="H24" t="s">
        <v>346</v>
      </c>
      <c r="I24">
        <v>0</v>
      </c>
      <c r="J24" t="s">
        <v>343</v>
      </c>
      <c r="K24">
        <v>236000</v>
      </c>
      <c r="M24">
        <v>236000</v>
      </c>
    </row>
    <row r="25" spans="1:14" x14ac:dyDescent="0.35">
      <c r="A25" t="str">
        <f t="shared" si="0"/>
        <v>ND457231165110200</v>
      </c>
      <c r="B25" t="s">
        <v>75</v>
      </c>
      <c r="C25" s="1">
        <v>45723</v>
      </c>
      <c r="D25" t="str">
        <f>"11"</f>
        <v>11</v>
      </c>
      <c r="E25" t="str">
        <f t="shared" si="1"/>
        <v>65110200</v>
      </c>
      <c r="F25" t="s">
        <v>78</v>
      </c>
      <c r="G25" t="s">
        <v>341</v>
      </c>
      <c r="H25" t="s">
        <v>346</v>
      </c>
      <c r="I25">
        <v>0</v>
      </c>
      <c r="J25" t="s">
        <v>343</v>
      </c>
      <c r="K25">
        <v>56640</v>
      </c>
      <c r="M25">
        <v>56640</v>
      </c>
    </row>
    <row r="26" spans="1:14" x14ac:dyDescent="0.35">
      <c r="A26" t="str">
        <f t="shared" si="0"/>
        <v>ND457231265110200</v>
      </c>
      <c r="B26" t="s">
        <v>75</v>
      </c>
      <c r="C26" s="1">
        <v>45723</v>
      </c>
      <c r="D26" t="str">
        <f>"12"</f>
        <v>12</v>
      </c>
      <c r="E26" t="str">
        <f t="shared" si="1"/>
        <v>65110200</v>
      </c>
      <c r="F26" t="s">
        <v>78</v>
      </c>
      <c r="G26" t="s">
        <v>341</v>
      </c>
      <c r="H26" t="s">
        <v>346</v>
      </c>
      <c r="I26">
        <v>0</v>
      </c>
      <c r="J26" t="s">
        <v>343</v>
      </c>
      <c r="K26">
        <v>68145</v>
      </c>
      <c r="M26">
        <v>68145</v>
      </c>
    </row>
    <row r="27" spans="1:14" x14ac:dyDescent="0.35">
      <c r="A27" t="str">
        <f t="shared" si="0"/>
        <v>OD45717870610010</v>
      </c>
      <c r="B27" t="s">
        <v>101</v>
      </c>
      <c r="C27" s="1">
        <v>45717</v>
      </c>
      <c r="D27" t="str">
        <f t="shared" ref="D27:D32" si="2">"8"</f>
        <v>8</v>
      </c>
      <c r="E27" t="str">
        <f>"70610010"</f>
        <v>70610010</v>
      </c>
      <c r="F27" t="s">
        <v>107</v>
      </c>
      <c r="G27" t="s">
        <v>341</v>
      </c>
      <c r="H27" t="s">
        <v>349</v>
      </c>
      <c r="I27">
        <v>0</v>
      </c>
      <c r="J27" t="s">
        <v>343</v>
      </c>
      <c r="L27">
        <v>-24235150</v>
      </c>
      <c r="N27">
        <v>-24235150</v>
      </c>
    </row>
    <row r="28" spans="1:14" x14ac:dyDescent="0.35">
      <c r="A28" t="str">
        <f t="shared" si="0"/>
        <v>OD45717870610010</v>
      </c>
      <c r="B28" t="s">
        <v>101</v>
      </c>
      <c r="C28" s="1">
        <v>45717</v>
      </c>
      <c r="D28" t="str">
        <f t="shared" si="2"/>
        <v>8</v>
      </c>
      <c r="E28" t="str">
        <f>"70610010"</f>
        <v>70610010</v>
      </c>
      <c r="F28" t="s">
        <v>108</v>
      </c>
      <c r="G28" t="s">
        <v>341</v>
      </c>
      <c r="H28" t="s">
        <v>350</v>
      </c>
      <c r="I28">
        <v>0</v>
      </c>
      <c r="J28" t="s">
        <v>343</v>
      </c>
      <c r="L28">
        <v>24232000</v>
      </c>
      <c r="N28">
        <v>24232000</v>
      </c>
    </row>
    <row r="29" spans="1:14" x14ac:dyDescent="0.35">
      <c r="A29" t="str">
        <f t="shared" si="0"/>
        <v>OD45717870610040</v>
      </c>
      <c r="B29" t="s">
        <v>101</v>
      </c>
      <c r="C29" s="1">
        <v>45717</v>
      </c>
      <c r="D29" t="str">
        <f t="shared" si="2"/>
        <v>8</v>
      </c>
      <c r="E29" t="str">
        <f>"70610040"</f>
        <v>70610040</v>
      </c>
      <c r="F29" t="s">
        <v>109</v>
      </c>
      <c r="G29" t="s">
        <v>341</v>
      </c>
      <c r="H29" t="s">
        <v>349</v>
      </c>
      <c r="I29">
        <v>0</v>
      </c>
      <c r="J29" t="s">
        <v>343</v>
      </c>
      <c r="L29">
        <v>-850000</v>
      </c>
      <c r="N29">
        <v>-850000</v>
      </c>
    </row>
    <row r="30" spans="1:14" x14ac:dyDescent="0.35">
      <c r="A30" t="str">
        <f t="shared" si="0"/>
        <v>OD45717870610040</v>
      </c>
      <c r="B30" t="s">
        <v>101</v>
      </c>
      <c r="C30" s="1">
        <v>45717</v>
      </c>
      <c r="D30" t="str">
        <f t="shared" si="2"/>
        <v>8</v>
      </c>
      <c r="E30" t="str">
        <f>"70610040"</f>
        <v>70610040</v>
      </c>
      <c r="F30" t="s">
        <v>110</v>
      </c>
      <c r="G30" t="s">
        <v>341</v>
      </c>
      <c r="H30" t="s">
        <v>351</v>
      </c>
      <c r="I30">
        <v>0</v>
      </c>
      <c r="J30" t="s">
        <v>343</v>
      </c>
      <c r="L30">
        <v>19542500</v>
      </c>
      <c r="N30">
        <v>19542500</v>
      </c>
    </row>
    <row r="31" spans="1:14" x14ac:dyDescent="0.35">
      <c r="A31" t="str">
        <f t="shared" si="0"/>
        <v>OD45717870610050</v>
      </c>
      <c r="B31" t="s">
        <v>101</v>
      </c>
      <c r="C31" s="1">
        <v>45717</v>
      </c>
      <c r="D31" t="str">
        <f t="shared" si="2"/>
        <v>8</v>
      </c>
      <c r="E31" t="str">
        <f>"70610050"</f>
        <v>70610050</v>
      </c>
      <c r="F31" t="s">
        <v>111</v>
      </c>
      <c r="G31" t="s">
        <v>341</v>
      </c>
      <c r="H31" t="s">
        <v>349</v>
      </c>
      <c r="I31">
        <v>0</v>
      </c>
      <c r="J31" t="s">
        <v>343</v>
      </c>
      <c r="L31">
        <v>2376000</v>
      </c>
      <c r="N31">
        <v>2376000</v>
      </c>
    </row>
    <row r="32" spans="1:14" x14ac:dyDescent="0.35">
      <c r="A32" t="str">
        <f t="shared" si="0"/>
        <v>OD45717870690000</v>
      </c>
      <c r="B32" t="s">
        <v>101</v>
      </c>
      <c r="C32" s="1">
        <v>45717</v>
      </c>
      <c r="D32" t="str">
        <f t="shared" si="2"/>
        <v>8</v>
      </c>
      <c r="E32" t="str">
        <f>"70690000"</f>
        <v>70690000</v>
      </c>
      <c r="F32" t="s">
        <v>112</v>
      </c>
      <c r="G32" t="s">
        <v>341</v>
      </c>
      <c r="H32" t="s">
        <v>349</v>
      </c>
      <c r="I32">
        <v>0</v>
      </c>
      <c r="J32" t="s">
        <v>343</v>
      </c>
      <c r="L32">
        <v>-8391974</v>
      </c>
      <c r="N32">
        <v>-8391974</v>
      </c>
    </row>
    <row r="33" spans="1:14" x14ac:dyDescent="0.35">
      <c r="A33" t="str">
        <f t="shared" si="0"/>
        <v>OD45747163240100</v>
      </c>
      <c r="B33" t="s">
        <v>101</v>
      </c>
      <c r="C33" s="1">
        <v>45747</v>
      </c>
      <c r="D33" t="str">
        <f>"1"</f>
        <v>1</v>
      </c>
      <c r="E33" t="str">
        <f>"63240100"</f>
        <v>63240100</v>
      </c>
      <c r="F33" t="s">
        <v>113</v>
      </c>
      <c r="G33" t="s">
        <v>341</v>
      </c>
      <c r="H33" t="s">
        <v>342</v>
      </c>
      <c r="I33">
        <v>0</v>
      </c>
      <c r="J33" t="s">
        <v>343</v>
      </c>
      <c r="K33">
        <v>10000000</v>
      </c>
      <c r="M33">
        <v>10000000</v>
      </c>
    </row>
    <row r="34" spans="1:14" x14ac:dyDescent="0.35">
      <c r="A34" t="str">
        <f t="shared" si="0"/>
        <v>OD45747264501000</v>
      </c>
      <c r="B34" t="s">
        <v>101</v>
      </c>
      <c r="C34" s="1">
        <v>45747</v>
      </c>
      <c r="D34" t="str">
        <f>"2"</f>
        <v>2</v>
      </c>
      <c r="E34" t="str">
        <f>"64501000"</f>
        <v>64501000</v>
      </c>
      <c r="F34" t="s">
        <v>114</v>
      </c>
      <c r="G34" t="s">
        <v>341</v>
      </c>
      <c r="H34" t="s">
        <v>345</v>
      </c>
      <c r="I34">
        <v>0</v>
      </c>
      <c r="J34" t="s">
        <v>343</v>
      </c>
      <c r="K34">
        <v>127764</v>
      </c>
      <c r="M34">
        <v>127764</v>
      </c>
    </row>
    <row r="35" spans="1:14" x14ac:dyDescent="0.35">
      <c r="A35" t="str">
        <f t="shared" si="0"/>
        <v>OD45747365810000</v>
      </c>
      <c r="B35" t="s">
        <v>101</v>
      </c>
      <c r="C35" s="1">
        <v>45747</v>
      </c>
      <c r="D35" t="str">
        <f>"3"</f>
        <v>3</v>
      </c>
      <c r="E35" t="str">
        <f>"65810000"</f>
        <v>65810000</v>
      </c>
      <c r="F35" t="s">
        <v>115</v>
      </c>
      <c r="G35" t="s">
        <v>341</v>
      </c>
      <c r="H35" t="s">
        <v>352</v>
      </c>
      <c r="I35">
        <v>0</v>
      </c>
      <c r="J35" t="s">
        <v>343</v>
      </c>
      <c r="K35">
        <v>2352941</v>
      </c>
      <c r="M35">
        <v>2352941</v>
      </c>
    </row>
    <row r="36" spans="1:14" x14ac:dyDescent="0.35">
      <c r="A36" t="str">
        <f t="shared" si="0"/>
        <v>OD45747668130000</v>
      </c>
      <c r="B36" t="s">
        <v>101</v>
      </c>
      <c r="C36" s="1">
        <v>45747</v>
      </c>
      <c r="D36" t="str">
        <f>"6"</f>
        <v>6</v>
      </c>
      <c r="E36" t="str">
        <f>"68130000"</f>
        <v>68130000</v>
      </c>
      <c r="F36" t="s">
        <v>119</v>
      </c>
      <c r="G36" t="s">
        <v>341</v>
      </c>
      <c r="H36" t="s">
        <v>353</v>
      </c>
      <c r="I36">
        <v>0</v>
      </c>
      <c r="J36" t="s">
        <v>343</v>
      </c>
      <c r="K36">
        <v>184412</v>
      </c>
      <c r="M36">
        <v>184412</v>
      </c>
    </row>
    <row r="37" spans="1:14" x14ac:dyDescent="0.35">
      <c r="A37" t="str">
        <f t="shared" si="0"/>
        <v>OD45747970610010</v>
      </c>
      <c r="B37" t="s">
        <v>101</v>
      </c>
      <c r="C37" s="1">
        <v>45747</v>
      </c>
      <c r="D37" t="str">
        <f t="shared" ref="D37:D42" si="3">"9"</f>
        <v>9</v>
      </c>
      <c r="E37" t="str">
        <f>"70610010"</f>
        <v>70610010</v>
      </c>
      <c r="F37" t="s">
        <v>122</v>
      </c>
      <c r="G37" t="s">
        <v>341</v>
      </c>
      <c r="H37" t="s">
        <v>349</v>
      </c>
      <c r="I37">
        <v>0</v>
      </c>
      <c r="J37" t="s">
        <v>343</v>
      </c>
      <c r="L37">
        <v>7846150</v>
      </c>
      <c r="N37">
        <v>7846150</v>
      </c>
    </row>
    <row r="38" spans="1:14" x14ac:dyDescent="0.35">
      <c r="A38" t="str">
        <f t="shared" si="0"/>
        <v>OD45747970610010</v>
      </c>
      <c r="B38" t="s">
        <v>101</v>
      </c>
      <c r="C38" s="1">
        <v>45747</v>
      </c>
      <c r="D38" t="str">
        <f t="shared" si="3"/>
        <v>9</v>
      </c>
      <c r="E38" t="str">
        <f>"70610010"</f>
        <v>70610010</v>
      </c>
      <c r="F38" t="s">
        <v>123</v>
      </c>
      <c r="G38" t="s">
        <v>341</v>
      </c>
      <c r="H38" t="s">
        <v>350</v>
      </c>
      <c r="I38">
        <v>0</v>
      </c>
      <c r="J38" t="s">
        <v>343</v>
      </c>
      <c r="L38">
        <v>-32880000</v>
      </c>
      <c r="N38">
        <v>-32880000</v>
      </c>
    </row>
    <row r="39" spans="1:14" x14ac:dyDescent="0.35">
      <c r="A39" t="str">
        <f t="shared" si="0"/>
        <v>OD45747970610040</v>
      </c>
      <c r="B39" t="s">
        <v>101</v>
      </c>
      <c r="C39" s="1">
        <v>45747</v>
      </c>
      <c r="D39" t="str">
        <f t="shared" si="3"/>
        <v>9</v>
      </c>
      <c r="E39" t="str">
        <f>"70610040"</f>
        <v>70610040</v>
      </c>
      <c r="F39" t="s">
        <v>121</v>
      </c>
      <c r="G39" t="s">
        <v>341</v>
      </c>
      <c r="H39" t="s">
        <v>349</v>
      </c>
      <c r="I39">
        <v>0</v>
      </c>
      <c r="J39" t="s">
        <v>343</v>
      </c>
      <c r="L39">
        <v>1010000</v>
      </c>
      <c r="N39">
        <v>1010000</v>
      </c>
    </row>
    <row r="40" spans="1:14" x14ac:dyDescent="0.35">
      <c r="A40" t="str">
        <f t="shared" si="0"/>
        <v>OD45747970610040</v>
      </c>
      <c r="B40" t="s">
        <v>101</v>
      </c>
      <c r="C40" s="1">
        <v>45747</v>
      </c>
      <c r="D40" t="str">
        <f t="shared" si="3"/>
        <v>9</v>
      </c>
      <c r="E40" t="str">
        <f>"70610040"</f>
        <v>70610040</v>
      </c>
      <c r="F40" t="s">
        <v>121</v>
      </c>
      <c r="G40" t="s">
        <v>341</v>
      </c>
      <c r="H40" t="s">
        <v>351</v>
      </c>
      <c r="I40">
        <v>0</v>
      </c>
      <c r="J40" t="s">
        <v>343</v>
      </c>
      <c r="L40">
        <v>-20526500</v>
      </c>
      <c r="N40">
        <v>-20526500</v>
      </c>
    </row>
    <row r="41" spans="1:14" x14ac:dyDescent="0.35">
      <c r="A41" t="str">
        <f t="shared" si="0"/>
        <v>OD45747970610050</v>
      </c>
      <c r="B41" t="s">
        <v>101</v>
      </c>
      <c r="C41" s="1">
        <v>45747</v>
      </c>
      <c r="D41" t="str">
        <f t="shared" si="3"/>
        <v>9</v>
      </c>
      <c r="E41" t="str">
        <f>"70610050"</f>
        <v>70610050</v>
      </c>
      <c r="F41" t="s">
        <v>124</v>
      </c>
      <c r="G41" t="s">
        <v>341</v>
      </c>
      <c r="H41" t="s">
        <v>349</v>
      </c>
      <c r="I41">
        <v>0</v>
      </c>
      <c r="J41" t="s">
        <v>343</v>
      </c>
      <c r="L41">
        <v>-4455000</v>
      </c>
      <c r="N41">
        <v>-4455000</v>
      </c>
    </row>
    <row r="42" spans="1:14" x14ac:dyDescent="0.35">
      <c r="A42" t="str">
        <f t="shared" si="0"/>
        <v>OD45747970690000</v>
      </c>
      <c r="B42" t="s">
        <v>101</v>
      </c>
      <c r="C42" s="1">
        <v>45747</v>
      </c>
      <c r="D42" t="str">
        <f t="shared" si="3"/>
        <v>9</v>
      </c>
      <c r="E42" t="str">
        <f>"70690000"</f>
        <v>70690000</v>
      </c>
      <c r="F42" t="s">
        <v>125</v>
      </c>
      <c r="G42" t="s">
        <v>341</v>
      </c>
      <c r="H42" t="s">
        <v>349</v>
      </c>
      <c r="I42">
        <v>0</v>
      </c>
      <c r="J42" t="s">
        <v>343</v>
      </c>
      <c r="L42">
        <v>8391974</v>
      </c>
      <c r="N42">
        <v>8391974</v>
      </c>
    </row>
    <row r="43" spans="1:14" x14ac:dyDescent="0.35">
      <c r="A43" t="str">
        <f t="shared" si="0"/>
        <v>VTE45717FMT250026570610010</v>
      </c>
      <c r="B43" t="s">
        <v>131</v>
      </c>
      <c r="C43" s="1">
        <v>45717</v>
      </c>
      <c r="D43" t="s">
        <v>132</v>
      </c>
      <c r="E43" t="str">
        <f>"70610010"</f>
        <v>70610010</v>
      </c>
      <c r="F43" t="s">
        <v>133</v>
      </c>
      <c r="G43" t="s">
        <v>341</v>
      </c>
      <c r="H43" t="s">
        <v>349</v>
      </c>
      <c r="I43">
        <v>0</v>
      </c>
      <c r="J43" t="s">
        <v>343</v>
      </c>
      <c r="L43">
        <v>264000</v>
      </c>
      <c r="N43">
        <v>264000</v>
      </c>
    </row>
    <row r="44" spans="1:14" x14ac:dyDescent="0.35">
      <c r="A44" t="str">
        <f t="shared" si="0"/>
        <v>VTE45717FMT250026570610010</v>
      </c>
      <c r="B44" t="s">
        <v>131</v>
      </c>
      <c r="C44" s="1">
        <v>45717</v>
      </c>
      <c r="D44" t="s">
        <v>132</v>
      </c>
      <c r="E44" t="str">
        <f>"70610010"</f>
        <v>70610010</v>
      </c>
      <c r="F44" t="s">
        <v>134</v>
      </c>
      <c r="G44" t="s">
        <v>341</v>
      </c>
      <c r="H44" t="s">
        <v>349</v>
      </c>
      <c r="I44">
        <v>0</v>
      </c>
      <c r="J44" t="s">
        <v>343</v>
      </c>
      <c r="L44">
        <v>-264000</v>
      </c>
      <c r="N44">
        <v>-264000</v>
      </c>
    </row>
    <row r="45" spans="1:14" x14ac:dyDescent="0.35">
      <c r="A45" t="str">
        <f t="shared" si="0"/>
        <v>VTE45717FMT250026570610040</v>
      </c>
      <c r="B45" t="s">
        <v>131</v>
      </c>
      <c r="C45" s="1">
        <v>45717</v>
      </c>
      <c r="D45" t="s">
        <v>132</v>
      </c>
      <c r="E45" t="str">
        <f>"70610040"</f>
        <v>70610040</v>
      </c>
      <c r="F45" t="s">
        <v>133</v>
      </c>
      <c r="G45" t="s">
        <v>341</v>
      </c>
      <c r="H45" t="s">
        <v>351</v>
      </c>
      <c r="I45">
        <v>0</v>
      </c>
      <c r="J45" t="s">
        <v>343</v>
      </c>
      <c r="L45">
        <v>118000</v>
      </c>
      <c r="N45">
        <v>118000</v>
      </c>
    </row>
    <row r="46" spans="1:14" x14ac:dyDescent="0.35">
      <c r="A46" t="str">
        <f t="shared" si="0"/>
        <v>VTE45717FMT250026570610040</v>
      </c>
      <c r="B46" t="s">
        <v>131</v>
      </c>
      <c r="C46" s="1">
        <v>45717</v>
      </c>
      <c r="D46" t="s">
        <v>132</v>
      </c>
      <c r="E46" t="str">
        <f>"70610040"</f>
        <v>70610040</v>
      </c>
      <c r="F46" t="s">
        <v>134</v>
      </c>
      <c r="G46" t="s">
        <v>341</v>
      </c>
      <c r="H46" t="s">
        <v>351</v>
      </c>
      <c r="I46">
        <v>0</v>
      </c>
      <c r="J46" t="s">
        <v>343</v>
      </c>
      <c r="L46">
        <v>-118000</v>
      </c>
      <c r="N46">
        <v>-118000</v>
      </c>
    </row>
    <row r="47" spans="1:14" x14ac:dyDescent="0.35">
      <c r="A47" t="str">
        <f t="shared" si="0"/>
        <v>VTE45717FMT250029770610010</v>
      </c>
      <c r="B47" t="s">
        <v>131</v>
      </c>
      <c r="C47" s="1">
        <v>45717</v>
      </c>
      <c r="D47" t="s">
        <v>135</v>
      </c>
      <c r="E47" t="str">
        <f>"70610010"</f>
        <v>70610010</v>
      </c>
      <c r="F47" t="s">
        <v>136</v>
      </c>
      <c r="G47" t="s">
        <v>341</v>
      </c>
      <c r="H47" t="s">
        <v>349</v>
      </c>
      <c r="I47">
        <v>0</v>
      </c>
      <c r="J47" t="s">
        <v>343</v>
      </c>
      <c r="L47">
        <v>-264000</v>
      </c>
      <c r="N47">
        <v>-264000</v>
      </c>
    </row>
    <row r="48" spans="1:14" x14ac:dyDescent="0.35">
      <c r="A48" t="str">
        <f t="shared" si="0"/>
        <v>VTE45717FMT250029770610010</v>
      </c>
      <c r="B48" t="s">
        <v>131</v>
      </c>
      <c r="C48" s="1">
        <v>45717</v>
      </c>
      <c r="D48" t="s">
        <v>135</v>
      </c>
      <c r="E48" t="str">
        <f>"70610010"</f>
        <v>70610010</v>
      </c>
      <c r="F48" t="s">
        <v>137</v>
      </c>
      <c r="G48" t="s">
        <v>341</v>
      </c>
      <c r="H48" t="s">
        <v>349</v>
      </c>
      <c r="I48">
        <v>0</v>
      </c>
      <c r="J48" t="s">
        <v>343</v>
      </c>
      <c r="L48">
        <v>264000</v>
      </c>
      <c r="N48">
        <v>264000</v>
      </c>
    </row>
    <row r="49" spans="1:14" x14ac:dyDescent="0.35">
      <c r="A49" t="str">
        <f t="shared" si="0"/>
        <v>VTE45717FMT250029770610040</v>
      </c>
      <c r="B49" t="s">
        <v>131</v>
      </c>
      <c r="C49" s="1">
        <v>45717</v>
      </c>
      <c r="D49" t="s">
        <v>135</v>
      </c>
      <c r="E49" t="str">
        <f>"70610040"</f>
        <v>70610040</v>
      </c>
      <c r="F49" t="s">
        <v>136</v>
      </c>
      <c r="G49" t="s">
        <v>341</v>
      </c>
      <c r="H49" t="s">
        <v>351</v>
      </c>
      <c r="I49">
        <v>0</v>
      </c>
      <c r="J49" t="s">
        <v>343</v>
      </c>
      <c r="L49">
        <v>-118000</v>
      </c>
      <c r="N49">
        <v>-118000</v>
      </c>
    </row>
    <row r="50" spans="1:14" x14ac:dyDescent="0.35">
      <c r="A50" t="str">
        <f t="shared" si="0"/>
        <v>VTE45717FMT250029770610040</v>
      </c>
      <c r="B50" t="s">
        <v>131</v>
      </c>
      <c r="C50" s="1">
        <v>45717</v>
      </c>
      <c r="D50" t="s">
        <v>135</v>
      </c>
      <c r="E50" t="str">
        <f>"70610040"</f>
        <v>70610040</v>
      </c>
      <c r="F50" t="s">
        <v>137</v>
      </c>
      <c r="G50" t="s">
        <v>341</v>
      </c>
      <c r="H50" t="s">
        <v>351</v>
      </c>
      <c r="I50">
        <v>0</v>
      </c>
      <c r="J50" t="s">
        <v>343</v>
      </c>
      <c r="L50">
        <v>118000</v>
      </c>
      <c r="N50">
        <v>118000</v>
      </c>
    </row>
    <row r="51" spans="1:14" x14ac:dyDescent="0.35">
      <c r="A51" t="str">
        <f t="shared" si="0"/>
        <v>VTE45718FMT250033547310100</v>
      </c>
      <c r="B51" t="s">
        <v>131</v>
      </c>
      <c r="C51" s="1">
        <v>45718</v>
      </c>
      <c r="D51" t="s">
        <v>138</v>
      </c>
      <c r="E51" t="str">
        <f>"47310100"</f>
        <v>47310100</v>
      </c>
      <c r="F51" t="s">
        <v>139</v>
      </c>
      <c r="G51" t="s">
        <v>341</v>
      </c>
      <c r="H51" t="s">
        <v>351</v>
      </c>
      <c r="I51">
        <v>0</v>
      </c>
      <c r="J51" t="s">
        <v>343</v>
      </c>
      <c r="L51">
        <v>1180000</v>
      </c>
      <c r="N51">
        <v>1180000</v>
      </c>
    </row>
    <row r="52" spans="1:14" x14ac:dyDescent="0.35">
      <c r="A52" t="str">
        <f t="shared" si="0"/>
        <v>VTE45718FMT250033570610010</v>
      </c>
      <c r="B52" t="s">
        <v>131</v>
      </c>
      <c r="C52" s="1">
        <v>45718</v>
      </c>
      <c r="D52" t="s">
        <v>138</v>
      </c>
      <c r="E52" t="str">
        <f>"70610010"</f>
        <v>70610010</v>
      </c>
      <c r="F52" t="s">
        <v>139</v>
      </c>
      <c r="G52" t="s">
        <v>341</v>
      </c>
      <c r="H52" t="s">
        <v>349</v>
      </c>
      <c r="I52">
        <v>0</v>
      </c>
      <c r="J52" t="s">
        <v>343</v>
      </c>
      <c r="L52">
        <v>5360000</v>
      </c>
      <c r="N52">
        <v>5360000</v>
      </c>
    </row>
    <row r="53" spans="1:14" x14ac:dyDescent="0.35">
      <c r="A53" t="str">
        <f t="shared" si="0"/>
        <v>VTE45718FMT250033647310100</v>
      </c>
      <c r="B53" t="s">
        <v>131</v>
      </c>
      <c r="C53" s="1">
        <v>45718</v>
      </c>
      <c r="D53" t="s">
        <v>140</v>
      </c>
      <c r="E53" t="str">
        <f>"47310100"</f>
        <v>47310100</v>
      </c>
      <c r="F53" t="s">
        <v>139</v>
      </c>
      <c r="G53" t="s">
        <v>341</v>
      </c>
      <c r="H53" t="s">
        <v>351</v>
      </c>
      <c r="I53">
        <v>0</v>
      </c>
      <c r="J53" t="s">
        <v>343</v>
      </c>
      <c r="L53">
        <v>1121000</v>
      </c>
      <c r="N53">
        <v>1121000</v>
      </c>
    </row>
    <row r="54" spans="1:14" x14ac:dyDescent="0.35">
      <c r="A54" t="str">
        <f t="shared" si="0"/>
        <v>VTE45718FMT250033670610010</v>
      </c>
      <c r="B54" t="s">
        <v>131</v>
      </c>
      <c r="C54" s="1">
        <v>45718</v>
      </c>
      <c r="D54" t="s">
        <v>140</v>
      </c>
      <c r="E54" t="str">
        <f>"70610010"</f>
        <v>70610010</v>
      </c>
      <c r="F54" t="s">
        <v>139</v>
      </c>
      <c r="G54" t="s">
        <v>341</v>
      </c>
      <c r="H54" t="s">
        <v>349</v>
      </c>
      <c r="I54">
        <v>0</v>
      </c>
      <c r="J54" t="s">
        <v>343</v>
      </c>
      <c r="L54">
        <v>5092000</v>
      </c>
      <c r="N54">
        <v>5092000</v>
      </c>
    </row>
    <row r="55" spans="1:14" x14ac:dyDescent="0.35">
      <c r="A55" t="str">
        <f t="shared" si="0"/>
        <v>VTE45720FMT250034347310100</v>
      </c>
      <c r="B55" t="s">
        <v>131</v>
      </c>
      <c r="C55" s="1">
        <v>45720</v>
      </c>
      <c r="D55" t="s">
        <v>141</v>
      </c>
      <c r="E55" t="str">
        <f>"47310100"</f>
        <v>47310100</v>
      </c>
      <c r="F55" t="s">
        <v>142</v>
      </c>
      <c r="G55" t="s">
        <v>341</v>
      </c>
      <c r="H55" t="s">
        <v>351</v>
      </c>
      <c r="I55">
        <v>0</v>
      </c>
      <c r="J55" t="s">
        <v>343</v>
      </c>
      <c r="K55">
        <v>29500</v>
      </c>
      <c r="M55">
        <v>29500</v>
      </c>
    </row>
    <row r="56" spans="1:14" x14ac:dyDescent="0.35">
      <c r="A56" t="str">
        <f t="shared" si="0"/>
        <v>VTE45720FMT250034370610010</v>
      </c>
      <c r="B56" t="s">
        <v>131</v>
      </c>
      <c r="C56" s="1">
        <v>45720</v>
      </c>
      <c r="D56" t="s">
        <v>141</v>
      </c>
      <c r="E56" t="str">
        <f>"70610010"</f>
        <v>70610010</v>
      </c>
      <c r="F56" t="s">
        <v>142</v>
      </c>
      <c r="G56" t="s">
        <v>341</v>
      </c>
      <c r="H56" t="s">
        <v>349</v>
      </c>
      <c r="I56">
        <v>0</v>
      </c>
      <c r="J56" t="s">
        <v>343</v>
      </c>
      <c r="K56">
        <v>150000</v>
      </c>
      <c r="M56">
        <v>150000</v>
      </c>
    </row>
    <row r="57" spans="1:14" x14ac:dyDescent="0.35">
      <c r="A57" t="str">
        <f t="shared" si="0"/>
        <v>VTE45720FMT250034447310100</v>
      </c>
      <c r="B57" t="s">
        <v>131</v>
      </c>
      <c r="C57" s="1">
        <v>45720</v>
      </c>
      <c r="D57" t="s">
        <v>143</v>
      </c>
      <c r="E57" t="str">
        <f>"47310100"</f>
        <v>47310100</v>
      </c>
      <c r="F57" t="s">
        <v>144</v>
      </c>
      <c r="G57" t="s">
        <v>341</v>
      </c>
      <c r="H57" t="s">
        <v>351</v>
      </c>
      <c r="I57">
        <v>0</v>
      </c>
      <c r="J57" t="s">
        <v>343</v>
      </c>
      <c r="L57">
        <v>59000</v>
      </c>
      <c r="N57">
        <v>59000</v>
      </c>
    </row>
    <row r="58" spans="1:14" x14ac:dyDescent="0.35">
      <c r="A58" t="str">
        <f t="shared" si="0"/>
        <v>VTE45720FMT250034470610010</v>
      </c>
      <c r="B58" t="s">
        <v>131</v>
      </c>
      <c r="C58" s="1">
        <v>45720</v>
      </c>
      <c r="D58" t="s">
        <v>143</v>
      </c>
      <c r="E58" t="str">
        <f>"70610010"</f>
        <v>70610010</v>
      </c>
      <c r="F58" t="s">
        <v>144</v>
      </c>
      <c r="G58" t="s">
        <v>341</v>
      </c>
      <c r="H58" t="s">
        <v>350</v>
      </c>
      <c r="I58">
        <v>0</v>
      </c>
      <c r="J58" t="s">
        <v>343</v>
      </c>
      <c r="L58">
        <v>132000</v>
      </c>
      <c r="N58">
        <v>132000</v>
      </c>
    </row>
    <row r="59" spans="1:14" x14ac:dyDescent="0.35">
      <c r="A59" t="str">
        <f t="shared" si="0"/>
        <v>VTE45721FMT250034547310100</v>
      </c>
      <c r="B59" t="s">
        <v>131</v>
      </c>
      <c r="C59" s="1">
        <v>45721</v>
      </c>
      <c r="D59" t="s">
        <v>145</v>
      </c>
      <c r="E59" t="str">
        <f>"47310100"</f>
        <v>47310100</v>
      </c>
      <c r="F59" t="s">
        <v>146</v>
      </c>
      <c r="G59" t="s">
        <v>341</v>
      </c>
      <c r="H59" t="s">
        <v>351</v>
      </c>
      <c r="I59">
        <v>0</v>
      </c>
      <c r="J59" t="s">
        <v>343</v>
      </c>
      <c r="L59">
        <v>59000</v>
      </c>
      <c r="N59">
        <v>59000</v>
      </c>
    </row>
    <row r="60" spans="1:14" x14ac:dyDescent="0.35">
      <c r="A60" t="str">
        <f t="shared" si="0"/>
        <v>VTE45721FMT250034570610010</v>
      </c>
      <c r="B60" t="s">
        <v>131</v>
      </c>
      <c r="C60" s="1">
        <v>45721</v>
      </c>
      <c r="D60" t="s">
        <v>145</v>
      </c>
      <c r="E60" t="str">
        <f>"70610010"</f>
        <v>70610010</v>
      </c>
      <c r="F60" t="s">
        <v>146</v>
      </c>
      <c r="G60" t="s">
        <v>341</v>
      </c>
      <c r="H60" t="s">
        <v>350</v>
      </c>
      <c r="I60">
        <v>0</v>
      </c>
      <c r="J60" t="s">
        <v>343</v>
      </c>
      <c r="L60">
        <v>132000</v>
      </c>
      <c r="N60">
        <v>132000</v>
      </c>
    </row>
    <row r="61" spans="1:14" x14ac:dyDescent="0.35">
      <c r="A61" t="str">
        <f t="shared" si="0"/>
        <v>VTE45721FMT250034647310100</v>
      </c>
      <c r="B61" t="s">
        <v>131</v>
      </c>
      <c r="C61" s="1">
        <v>45721</v>
      </c>
      <c r="D61" t="s">
        <v>147</v>
      </c>
      <c r="E61" t="str">
        <f>"47310100"</f>
        <v>47310100</v>
      </c>
      <c r="F61" t="s">
        <v>148</v>
      </c>
      <c r="G61" t="s">
        <v>341</v>
      </c>
      <c r="H61" t="s">
        <v>351</v>
      </c>
      <c r="I61">
        <v>0</v>
      </c>
      <c r="J61" t="s">
        <v>343</v>
      </c>
      <c r="L61">
        <v>88500</v>
      </c>
      <c r="N61">
        <v>88500</v>
      </c>
    </row>
    <row r="62" spans="1:14" x14ac:dyDescent="0.35">
      <c r="A62" t="str">
        <f t="shared" si="0"/>
        <v>VTE45721FMT250034670610010</v>
      </c>
      <c r="B62" t="s">
        <v>131</v>
      </c>
      <c r="C62" s="1">
        <v>45721</v>
      </c>
      <c r="D62" t="s">
        <v>147</v>
      </c>
      <c r="E62" t="str">
        <f>"70610010"</f>
        <v>70610010</v>
      </c>
      <c r="F62" t="s">
        <v>148</v>
      </c>
      <c r="G62" t="s">
        <v>341</v>
      </c>
      <c r="H62" t="s">
        <v>349</v>
      </c>
      <c r="I62">
        <v>0</v>
      </c>
      <c r="J62" t="s">
        <v>343</v>
      </c>
      <c r="L62">
        <v>198000</v>
      </c>
      <c r="N62">
        <v>198000</v>
      </c>
    </row>
    <row r="63" spans="1:14" x14ac:dyDescent="0.35">
      <c r="A63" t="str">
        <f t="shared" si="0"/>
        <v>VTE45721FMT250034670610050</v>
      </c>
      <c r="B63" t="s">
        <v>131</v>
      </c>
      <c r="C63" s="1">
        <v>45721</v>
      </c>
      <c r="D63" t="s">
        <v>147</v>
      </c>
      <c r="E63" t="str">
        <f>"70610050"</f>
        <v>70610050</v>
      </c>
      <c r="F63" t="s">
        <v>148</v>
      </c>
      <c r="G63" t="s">
        <v>341</v>
      </c>
      <c r="H63" t="s">
        <v>349</v>
      </c>
      <c r="I63">
        <v>0</v>
      </c>
      <c r="J63" t="s">
        <v>343</v>
      </c>
      <c r="L63">
        <v>297000</v>
      </c>
      <c r="N63">
        <v>297000</v>
      </c>
    </row>
    <row r="64" spans="1:14" x14ac:dyDescent="0.35">
      <c r="A64" t="str">
        <f t="shared" si="0"/>
        <v>VTE45721FMT250034770610010</v>
      </c>
      <c r="B64" t="s">
        <v>131</v>
      </c>
      <c r="C64" s="1">
        <v>45721</v>
      </c>
      <c r="D64" t="s">
        <v>149</v>
      </c>
      <c r="E64" t="str">
        <f>"70610010"</f>
        <v>70610010</v>
      </c>
      <c r="F64" t="s">
        <v>150</v>
      </c>
      <c r="G64" t="s">
        <v>341</v>
      </c>
      <c r="H64" t="s">
        <v>349</v>
      </c>
      <c r="I64">
        <v>0</v>
      </c>
      <c r="J64" t="s">
        <v>343</v>
      </c>
      <c r="L64">
        <v>200000</v>
      </c>
      <c r="N64">
        <v>200000</v>
      </c>
    </row>
    <row r="65" spans="1:14" x14ac:dyDescent="0.35">
      <c r="A65" t="str">
        <f t="shared" si="0"/>
        <v>VTE45721FMT250034770610040</v>
      </c>
      <c r="B65" t="s">
        <v>131</v>
      </c>
      <c r="C65" s="1">
        <v>45721</v>
      </c>
      <c r="D65" t="s">
        <v>149</v>
      </c>
      <c r="E65" t="str">
        <f>"70610040"</f>
        <v>70610040</v>
      </c>
      <c r="F65" t="s">
        <v>150</v>
      </c>
      <c r="G65" t="s">
        <v>341</v>
      </c>
      <c r="H65" t="s">
        <v>351</v>
      </c>
      <c r="I65">
        <v>0</v>
      </c>
      <c r="J65" t="s">
        <v>343</v>
      </c>
      <c r="L65">
        <v>59000</v>
      </c>
      <c r="N65">
        <v>59000</v>
      </c>
    </row>
    <row r="66" spans="1:14" x14ac:dyDescent="0.35">
      <c r="A66" t="str">
        <f t="shared" si="0"/>
        <v>VTE45721FMT250034847310100</v>
      </c>
      <c r="B66" t="s">
        <v>131</v>
      </c>
      <c r="C66" s="1">
        <v>45721</v>
      </c>
      <c r="D66" t="s">
        <v>151</v>
      </c>
      <c r="E66" t="str">
        <f>"47310100"</f>
        <v>47310100</v>
      </c>
      <c r="F66" t="s">
        <v>148</v>
      </c>
      <c r="G66" t="s">
        <v>341</v>
      </c>
      <c r="H66" t="s">
        <v>351</v>
      </c>
      <c r="I66">
        <v>0</v>
      </c>
      <c r="J66" t="s">
        <v>343</v>
      </c>
      <c r="L66">
        <v>59000</v>
      </c>
      <c r="N66">
        <v>59000</v>
      </c>
    </row>
    <row r="67" spans="1:14" x14ac:dyDescent="0.35">
      <c r="A67" t="str">
        <f t="shared" ref="A67:A130" si="4">CONCATENATE(B67,C67,D67,E67)</f>
        <v>VTE45721FMT250034870610010</v>
      </c>
      <c r="B67" t="s">
        <v>131</v>
      </c>
      <c r="C67" s="1">
        <v>45721</v>
      </c>
      <c r="D67" t="s">
        <v>151</v>
      </c>
      <c r="E67" t="str">
        <f>"70610010"</f>
        <v>70610010</v>
      </c>
      <c r="F67" t="s">
        <v>148</v>
      </c>
      <c r="G67" t="s">
        <v>341</v>
      </c>
      <c r="H67" t="s">
        <v>349</v>
      </c>
      <c r="I67">
        <v>0</v>
      </c>
      <c r="J67" t="s">
        <v>343</v>
      </c>
      <c r="L67">
        <v>200000</v>
      </c>
      <c r="N67">
        <v>200000</v>
      </c>
    </row>
    <row r="68" spans="1:14" x14ac:dyDescent="0.35">
      <c r="A68" t="str">
        <f t="shared" si="4"/>
        <v>VTE45721FMT250034870610050</v>
      </c>
      <c r="B68" t="s">
        <v>131</v>
      </c>
      <c r="C68" s="1">
        <v>45721</v>
      </c>
      <c r="D68" t="s">
        <v>151</v>
      </c>
      <c r="E68" t="str">
        <f>"70610050"</f>
        <v>70610050</v>
      </c>
      <c r="F68" t="s">
        <v>148</v>
      </c>
      <c r="G68" t="s">
        <v>341</v>
      </c>
      <c r="H68" t="s">
        <v>349</v>
      </c>
      <c r="I68">
        <v>0</v>
      </c>
      <c r="J68" t="s">
        <v>343</v>
      </c>
      <c r="L68">
        <v>198000</v>
      </c>
      <c r="N68">
        <v>198000</v>
      </c>
    </row>
    <row r="69" spans="1:14" x14ac:dyDescent="0.35">
      <c r="A69" t="str">
        <f t="shared" si="4"/>
        <v>VTE45721FMT250034970610010</v>
      </c>
      <c r="B69" t="s">
        <v>131</v>
      </c>
      <c r="C69" s="1">
        <v>45721</v>
      </c>
      <c r="D69" t="s">
        <v>152</v>
      </c>
      <c r="E69" t="str">
        <f>"70610010"</f>
        <v>70610010</v>
      </c>
      <c r="F69" t="s">
        <v>153</v>
      </c>
      <c r="G69" t="s">
        <v>341</v>
      </c>
      <c r="H69" t="s">
        <v>349</v>
      </c>
      <c r="I69">
        <v>0</v>
      </c>
      <c r="J69" t="s">
        <v>343</v>
      </c>
      <c r="L69">
        <v>1320000</v>
      </c>
      <c r="N69">
        <v>1320000</v>
      </c>
    </row>
    <row r="70" spans="1:14" x14ac:dyDescent="0.35">
      <c r="A70" t="str">
        <f t="shared" si="4"/>
        <v>VTE45721FMT250034970610010</v>
      </c>
      <c r="B70" t="s">
        <v>131</v>
      </c>
      <c r="C70" s="1">
        <v>45721</v>
      </c>
      <c r="D70" t="s">
        <v>152</v>
      </c>
      <c r="E70" t="str">
        <f>"70610010"</f>
        <v>70610010</v>
      </c>
      <c r="F70" t="s">
        <v>154</v>
      </c>
      <c r="G70" t="s">
        <v>341</v>
      </c>
      <c r="H70" t="s">
        <v>349</v>
      </c>
      <c r="I70">
        <v>0</v>
      </c>
      <c r="J70" t="s">
        <v>343</v>
      </c>
      <c r="L70">
        <v>1320000</v>
      </c>
      <c r="N70">
        <v>1320000</v>
      </c>
    </row>
    <row r="71" spans="1:14" x14ac:dyDescent="0.35">
      <c r="A71" t="str">
        <f t="shared" si="4"/>
        <v>VTE45721FMT250034970610010</v>
      </c>
      <c r="B71" t="s">
        <v>131</v>
      </c>
      <c r="C71" s="1">
        <v>45721</v>
      </c>
      <c r="D71" t="s">
        <v>152</v>
      </c>
      <c r="E71" t="str">
        <f>"70610010"</f>
        <v>70610010</v>
      </c>
      <c r="F71" t="s">
        <v>155</v>
      </c>
      <c r="G71" t="s">
        <v>341</v>
      </c>
      <c r="H71" t="s">
        <v>349</v>
      </c>
      <c r="I71">
        <v>0</v>
      </c>
      <c r="J71" t="s">
        <v>343</v>
      </c>
      <c r="L71">
        <v>-1320000</v>
      </c>
      <c r="N71">
        <v>-1320000</v>
      </c>
    </row>
    <row r="72" spans="1:14" x14ac:dyDescent="0.35">
      <c r="A72" t="str">
        <f t="shared" si="4"/>
        <v>VTE45722FMT250035047310100</v>
      </c>
      <c r="B72" t="s">
        <v>131</v>
      </c>
      <c r="C72" s="1">
        <v>45722</v>
      </c>
      <c r="D72" t="s">
        <v>156</v>
      </c>
      <c r="E72" t="str">
        <f>"47310100"</f>
        <v>47310100</v>
      </c>
      <c r="F72" t="s">
        <v>157</v>
      </c>
      <c r="G72" t="s">
        <v>341</v>
      </c>
      <c r="H72" t="s">
        <v>351</v>
      </c>
      <c r="I72">
        <v>0</v>
      </c>
      <c r="J72" t="s">
        <v>343</v>
      </c>
      <c r="L72">
        <v>236000</v>
      </c>
      <c r="N72">
        <v>236000</v>
      </c>
    </row>
    <row r="73" spans="1:14" x14ac:dyDescent="0.35">
      <c r="A73" t="str">
        <f t="shared" si="4"/>
        <v>VTE45722FMT250035070610010</v>
      </c>
      <c r="B73" t="s">
        <v>131</v>
      </c>
      <c r="C73" s="1">
        <v>45722</v>
      </c>
      <c r="D73" t="s">
        <v>156</v>
      </c>
      <c r="E73" t="str">
        <f>"70610010"</f>
        <v>70610010</v>
      </c>
      <c r="F73" t="s">
        <v>157</v>
      </c>
      <c r="G73" t="s">
        <v>341</v>
      </c>
      <c r="H73" t="s">
        <v>350</v>
      </c>
      <c r="I73">
        <v>0</v>
      </c>
      <c r="J73" t="s">
        <v>343</v>
      </c>
      <c r="L73">
        <v>528000</v>
      </c>
      <c r="N73">
        <v>528000</v>
      </c>
    </row>
    <row r="74" spans="1:14" x14ac:dyDescent="0.35">
      <c r="A74" t="str">
        <f t="shared" si="4"/>
        <v>VTE45722FMT250035147310100</v>
      </c>
      <c r="B74" t="s">
        <v>131</v>
      </c>
      <c r="C74" s="1">
        <v>45722</v>
      </c>
      <c r="D74" t="s">
        <v>158</v>
      </c>
      <c r="E74" t="str">
        <f>"47310100"</f>
        <v>47310100</v>
      </c>
      <c r="F74" t="s">
        <v>159</v>
      </c>
      <c r="G74" t="s">
        <v>341</v>
      </c>
      <c r="H74" t="s">
        <v>351</v>
      </c>
      <c r="I74">
        <v>0</v>
      </c>
      <c r="J74" t="s">
        <v>343</v>
      </c>
      <c r="L74">
        <v>118000</v>
      </c>
      <c r="N74">
        <v>118000</v>
      </c>
    </row>
    <row r="75" spans="1:14" x14ac:dyDescent="0.35">
      <c r="A75" t="str">
        <f t="shared" si="4"/>
        <v>VTE45722FMT250035170610010</v>
      </c>
      <c r="B75" t="s">
        <v>131</v>
      </c>
      <c r="C75" s="1">
        <v>45722</v>
      </c>
      <c r="D75" t="s">
        <v>158</v>
      </c>
      <c r="E75" t="str">
        <f>"70610010"</f>
        <v>70610010</v>
      </c>
      <c r="F75" t="s">
        <v>159</v>
      </c>
      <c r="G75" t="s">
        <v>341</v>
      </c>
      <c r="H75" t="s">
        <v>349</v>
      </c>
      <c r="I75">
        <v>0</v>
      </c>
      <c r="J75" t="s">
        <v>343</v>
      </c>
      <c r="L75">
        <v>600000</v>
      </c>
      <c r="N75">
        <v>600000</v>
      </c>
    </row>
    <row r="76" spans="1:14" x14ac:dyDescent="0.35">
      <c r="A76" t="str">
        <f t="shared" si="4"/>
        <v>VTE45722FMT250035247310100</v>
      </c>
      <c r="B76" t="s">
        <v>131</v>
      </c>
      <c r="C76" s="1">
        <v>45722</v>
      </c>
      <c r="D76" t="s">
        <v>160</v>
      </c>
      <c r="E76" t="str">
        <f>"47310100"</f>
        <v>47310100</v>
      </c>
      <c r="F76" t="s">
        <v>146</v>
      </c>
      <c r="G76" t="s">
        <v>341</v>
      </c>
      <c r="H76" t="s">
        <v>351</v>
      </c>
      <c r="I76">
        <v>0</v>
      </c>
      <c r="J76" t="s">
        <v>343</v>
      </c>
      <c r="L76">
        <v>59000</v>
      </c>
      <c r="N76">
        <v>59000</v>
      </c>
    </row>
    <row r="77" spans="1:14" x14ac:dyDescent="0.35">
      <c r="A77" t="str">
        <f t="shared" si="4"/>
        <v>VTE45722FMT250035270610010</v>
      </c>
      <c r="B77" t="s">
        <v>131</v>
      </c>
      <c r="C77" s="1">
        <v>45722</v>
      </c>
      <c r="D77" t="s">
        <v>160</v>
      </c>
      <c r="E77" t="str">
        <f>"70610010"</f>
        <v>70610010</v>
      </c>
      <c r="F77" t="s">
        <v>146</v>
      </c>
      <c r="G77" t="s">
        <v>341</v>
      </c>
      <c r="H77" t="s">
        <v>350</v>
      </c>
      <c r="I77">
        <v>0</v>
      </c>
      <c r="J77" t="s">
        <v>343</v>
      </c>
      <c r="L77">
        <v>132000</v>
      </c>
      <c r="N77">
        <v>132000</v>
      </c>
    </row>
    <row r="78" spans="1:14" x14ac:dyDescent="0.35">
      <c r="A78" t="str">
        <f t="shared" si="4"/>
        <v>VTE45722FMT250035347310100</v>
      </c>
      <c r="B78" t="s">
        <v>131</v>
      </c>
      <c r="C78" s="1">
        <v>45722</v>
      </c>
      <c r="D78" t="s">
        <v>161</v>
      </c>
      <c r="E78" t="str">
        <f>"47310100"</f>
        <v>47310100</v>
      </c>
      <c r="F78" t="s">
        <v>146</v>
      </c>
      <c r="G78" t="s">
        <v>341</v>
      </c>
      <c r="H78" t="s">
        <v>351</v>
      </c>
      <c r="I78">
        <v>0</v>
      </c>
      <c r="J78" t="s">
        <v>343</v>
      </c>
      <c r="L78">
        <v>59000</v>
      </c>
      <c r="N78">
        <v>59000</v>
      </c>
    </row>
    <row r="79" spans="1:14" x14ac:dyDescent="0.35">
      <c r="A79" t="str">
        <f t="shared" si="4"/>
        <v>VTE45722FMT250035370610010</v>
      </c>
      <c r="B79" t="s">
        <v>131</v>
      </c>
      <c r="C79" s="1">
        <v>45722</v>
      </c>
      <c r="D79" t="s">
        <v>161</v>
      </c>
      <c r="E79" t="str">
        <f>"70610010"</f>
        <v>70610010</v>
      </c>
      <c r="F79" t="s">
        <v>146</v>
      </c>
      <c r="G79" t="s">
        <v>341</v>
      </c>
      <c r="H79" t="s">
        <v>350</v>
      </c>
      <c r="I79">
        <v>0</v>
      </c>
      <c r="J79" t="s">
        <v>343</v>
      </c>
      <c r="L79">
        <v>132000</v>
      </c>
      <c r="N79">
        <v>132000</v>
      </c>
    </row>
    <row r="80" spans="1:14" x14ac:dyDescent="0.35">
      <c r="A80" t="str">
        <f t="shared" si="4"/>
        <v>VTE45722FMT250035447310100</v>
      </c>
      <c r="B80" t="s">
        <v>131</v>
      </c>
      <c r="C80" s="1">
        <v>45722</v>
      </c>
      <c r="D80" t="s">
        <v>162</v>
      </c>
      <c r="E80" t="str">
        <f>"47310100"</f>
        <v>47310100</v>
      </c>
      <c r="F80" t="s">
        <v>163</v>
      </c>
      <c r="G80" t="s">
        <v>341</v>
      </c>
      <c r="H80" t="s">
        <v>351</v>
      </c>
      <c r="I80">
        <v>0</v>
      </c>
      <c r="J80" t="s">
        <v>343</v>
      </c>
      <c r="L80">
        <v>29500</v>
      </c>
      <c r="N80">
        <v>29500</v>
      </c>
    </row>
    <row r="81" spans="1:14" x14ac:dyDescent="0.35">
      <c r="A81" t="str">
        <f t="shared" si="4"/>
        <v>VTE45722FMT250035470610010</v>
      </c>
      <c r="B81" t="s">
        <v>131</v>
      </c>
      <c r="C81" s="1">
        <v>45722</v>
      </c>
      <c r="D81" t="s">
        <v>162</v>
      </c>
      <c r="E81" t="str">
        <f>"70610010"</f>
        <v>70610010</v>
      </c>
      <c r="F81" t="s">
        <v>163</v>
      </c>
      <c r="G81" t="s">
        <v>341</v>
      </c>
      <c r="H81" t="s">
        <v>349</v>
      </c>
      <c r="I81">
        <v>0</v>
      </c>
      <c r="J81" t="s">
        <v>343</v>
      </c>
      <c r="L81">
        <v>66000</v>
      </c>
      <c r="N81">
        <v>66000</v>
      </c>
    </row>
    <row r="82" spans="1:14" x14ac:dyDescent="0.35">
      <c r="A82" t="str">
        <f t="shared" si="4"/>
        <v>VTE45722FMT250035570610010</v>
      </c>
      <c r="B82" t="s">
        <v>131</v>
      </c>
      <c r="C82" s="1">
        <v>45722</v>
      </c>
      <c r="D82" t="s">
        <v>164</v>
      </c>
      <c r="E82" t="str">
        <f>"70610010"</f>
        <v>70610010</v>
      </c>
      <c r="F82" t="s">
        <v>165</v>
      </c>
      <c r="G82" t="s">
        <v>341</v>
      </c>
      <c r="H82" t="s">
        <v>349</v>
      </c>
      <c r="I82">
        <v>0</v>
      </c>
      <c r="J82" t="s">
        <v>343</v>
      </c>
      <c r="L82">
        <v>201000</v>
      </c>
      <c r="N82">
        <v>201000</v>
      </c>
    </row>
    <row r="83" spans="1:14" x14ac:dyDescent="0.35">
      <c r="A83" t="str">
        <f t="shared" si="4"/>
        <v>VTE45722FMT250035647310100</v>
      </c>
      <c r="B83" t="s">
        <v>131</v>
      </c>
      <c r="C83" s="1">
        <v>45722</v>
      </c>
      <c r="D83" t="s">
        <v>166</v>
      </c>
      <c r="E83" t="str">
        <f>"47310100"</f>
        <v>47310100</v>
      </c>
      <c r="F83" t="s">
        <v>167</v>
      </c>
      <c r="G83" t="s">
        <v>341</v>
      </c>
      <c r="H83" t="s">
        <v>351</v>
      </c>
      <c r="I83">
        <v>0</v>
      </c>
      <c r="J83" t="s">
        <v>343</v>
      </c>
      <c r="L83">
        <v>59000</v>
      </c>
      <c r="N83">
        <v>59000</v>
      </c>
    </row>
    <row r="84" spans="1:14" x14ac:dyDescent="0.35">
      <c r="A84" t="str">
        <f t="shared" si="4"/>
        <v>VTE45722FMT250035670610010</v>
      </c>
      <c r="B84" t="s">
        <v>131</v>
      </c>
      <c r="C84" s="1">
        <v>45722</v>
      </c>
      <c r="D84" t="s">
        <v>166</v>
      </c>
      <c r="E84" t="str">
        <f>"70610010"</f>
        <v>70610010</v>
      </c>
      <c r="F84" t="s">
        <v>167</v>
      </c>
      <c r="G84" t="s">
        <v>341</v>
      </c>
      <c r="H84" t="s">
        <v>350</v>
      </c>
      <c r="I84">
        <v>0</v>
      </c>
      <c r="J84" t="s">
        <v>343</v>
      </c>
      <c r="L84">
        <v>132000</v>
      </c>
      <c r="N84">
        <v>132000</v>
      </c>
    </row>
    <row r="85" spans="1:14" x14ac:dyDescent="0.35">
      <c r="A85" t="str">
        <f t="shared" si="4"/>
        <v>VTE45722FMT250035747310100</v>
      </c>
      <c r="B85" t="s">
        <v>131</v>
      </c>
      <c r="C85" s="1">
        <v>45722</v>
      </c>
      <c r="D85" t="s">
        <v>168</v>
      </c>
      <c r="E85" t="str">
        <f>"47310100"</f>
        <v>47310100</v>
      </c>
      <c r="F85" t="s">
        <v>144</v>
      </c>
      <c r="G85" t="s">
        <v>341</v>
      </c>
      <c r="H85" t="s">
        <v>351</v>
      </c>
      <c r="I85">
        <v>0</v>
      </c>
      <c r="J85" t="s">
        <v>343</v>
      </c>
      <c r="L85">
        <v>59000</v>
      </c>
      <c r="N85">
        <v>59000</v>
      </c>
    </row>
    <row r="86" spans="1:14" x14ac:dyDescent="0.35">
      <c r="A86" t="str">
        <f t="shared" si="4"/>
        <v>VTE45722FMT250035770610010</v>
      </c>
      <c r="B86" t="s">
        <v>131</v>
      </c>
      <c r="C86" s="1">
        <v>45722</v>
      </c>
      <c r="D86" t="s">
        <v>168</v>
      </c>
      <c r="E86" t="str">
        <f>"70610010"</f>
        <v>70610010</v>
      </c>
      <c r="F86" t="s">
        <v>144</v>
      </c>
      <c r="G86" t="s">
        <v>341</v>
      </c>
      <c r="H86" t="s">
        <v>350</v>
      </c>
      <c r="I86">
        <v>0</v>
      </c>
      <c r="J86" t="s">
        <v>343</v>
      </c>
      <c r="L86">
        <v>132000</v>
      </c>
      <c r="N86">
        <v>132000</v>
      </c>
    </row>
    <row r="87" spans="1:14" x14ac:dyDescent="0.35">
      <c r="A87" t="str">
        <f t="shared" si="4"/>
        <v>VTE45723FMT250035847310100</v>
      </c>
      <c r="B87" t="s">
        <v>131</v>
      </c>
      <c r="C87" s="1">
        <v>45723</v>
      </c>
      <c r="D87" t="s">
        <v>169</v>
      </c>
      <c r="E87" t="str">
        <f>"47310100"</f>
        <v>47310100</v>
      </c>
      <c r="F87" t="s">
        <v>170</v>
      </c>
      <c r="G87" t="s">
        <v>341</v>
      </c>
      <c r="H87" t="s">
        <v>351</v>
      </c>
      <c r="I87">
        <v>0</v>
      </c>
      <c r="J87" t="s">
        <v>343</v>
      </c>
      <c r="L87">
        <v>708000</v>
      </c>
      <c r="N87">
        <v>708000</v>
      </c>
    </row>
    <row r="88" spans="1:14" x14ac:dyDescent="0.35">
      <c r="A88" t="str">
        <f t="shared" si="4"/>
        <v>VTE45723FMT250035870610010</v>
      </c>
      <c r="B88" t="s">
        <v>131</v>
      </c>
      <c r="C88" s="1">
        <v>45723</v>
      </c>
      <c r="D88" t="s">
        <v>169</v>
      </c>
      <c r="E88" t="str">
        <f>"70610010"</f>
        <v>70610010</v>
      </c>
      <c r="F88" t="s">
        <v>170</v>
      </c>
      <c r="G88" t="s">
        <v>341</v>
      </c>
      <c r="H88" t="s">
        <v>349</v>
      </c>
      <c r="I88">
        <v>0</v>
      </c>
      <c r="J88" t="s">
        <v>343</v>
      </c>
      <c r="L88">
        <v>1584000</v>
      </c>
      <c r="N88">
        <v>1584000</v>
      </c>
    </row>
    <row r="89" spans="1:14" x14ac:dyDescent="0.35">
      <c r="A89" t="str">
        <f t="shared" si="4"/>
        <v>VTE45723FMT250035947310100</v>
      </c>
      <c r="B89" t="s">
        <v>131</v>
      </c>
      <c r="C89" s="1">
        <v>45723</v>
      </c>
      <c r="D89" t="s">
        <v>171</v>
      </c>
      <c r="E89" t="str">
        <f>"47310100"</f>
        <v>47310100</v>
      </c>
      <c r="F89" t="s">
        <v>159</v>
      </c>
      <c r="G89" t="s">
        <v>341</v>
      </c>
      <c r="H89" t="s">
        <v>351</v>
      </c>
      <c r="I89">
        <v>0</v>
      </c>
      <c r="J89" t="s">
        <v>343</v>
      </c>
      <c r="L89">
        <v>118000</v>
      </c>
      <c r="N89">
        <v>118000</v>
      </c>
    </row>
    <row r="90" spans="1:14" x14ac:dyDescent="0.35">
      <c r="A90" t="str">
        <f t="shared" si="4"/>
        <v>VTE45723FMT250035970610010</v>
      </c>
      <c r="B90" t="s">
        <v>131</v>
      </c>
      <c r="C90" s="1">
        <v>45723</v>
      </c>
      <c r="D90" t="s">
        <v>171</v>
      </c>
      <c r="E90" t="str">
        <f>"70610010"</f>
        <v>70610010</v>
      </c>
      <c r="F90" t="s">
        <v>159</v>
      </c>
      <c r="G90" t="s">
        <v>341</v>
      </c>
      <c r="H90" t="s">
        <v>349</v>
      </c>
      <c r="I90">
        <v>0</v>
      </c>
      <c r="J90" t="s">
        <v>343</v>
      </c>
      <c r="L90">
        <v>600000</v>
      </c>
      <c r="N90">
        <v>600000</v>
      </c>
    </row>
    <row r="91" spans="1:14" x14ac:dyDescent="0.35">
      <c r="A91" t="str">
        <f t="shared" si="4"/>
        <v>VTE45723FMT250036047310100</v>
      </c>
      <c r="B91" t="s">
        <v>131</v>
      </c>
      <c r="C91" s="1">
        <v>45723</v>
      </c>
      <c r="D91" t="s">
        <v>172</v>
      </c>
      <c r="E91" t="str">
        <f>"47310100"</f>
        <v>47310100</v>
      </c>
      <c r="F91" t="s">
        <v>146</v>
      </c>
      <c r="G91" t="s">
        <v>341</v>
      </c>
      <c r="H91" t="s">
        <v>351</v>
      </c>
      <c r="I91">
        <v>0</v>
      </c>
      <c r="J91" t="s">
        <v>343</v>
      </c>
      <c r="L91">
        <v>59000</v>
      </c>
      <c r="N91">
        <v>59000</v>
      </c>
    </row>
    <row r="92" spans="1:14" x14ac:dyDescent="0.35">
      <c r="A92" t="str">
        <f t="shared" si="4"/>
        <v>VTE45723FMT250036070610010</v>
      </c>
      <c r="B92" t="s">
        <v>131</v>
      </c>
      <c r="C92" s="1">
        <v>45723</v>
      </c>
      <c r="D92" t="s">
        <v>172</v>
      </c>
      <c r="E92" t="str">
        <f>"70610010"</f>
        <v>70610010</v>
      </c>
      <c r="F92" t="s">
        <v>146</v>
      </c>
      <c r="G92" t="s">
        <v>341</v>
      </c>
      <c r="H92" t="s">
        <v>350</v>
      </c>
      <c r="I92">
        <v>0</v>
      </c>
      <c r="J92" t="s">
        <v>343</v>
      </c>
      <c r="L92">
        <v>132000</v>
      </c>
      <c r="N92">
        <v>132000</v>
      </c>
    </row>
    <row r="93" spans="1:14" x14ac:dyDescent="0.35">
      <c r="A93" t="str">
        <f t="shared" si="4"/>
        <v>VTE45723FMT250036147310100</v>
      </c>
      <c r="B93" t="s">
        <v>131</v>
      </c>
      <c r="C93" s="1">
        <v>45723</v>
      </c>
      <c r="D93" t="s">
        <v>173</v>
      </c>
      <c r="E93" t="str">
        <f>"47310100"</f>
        <v>47310100</v>
      </c>
      <c r="F93" t="s">
        <v>146</v>
      </c>
      <c r="G93" t="s">
        <v>341</v>
      </c>
      <c r="H93" t="s">
        <v>351</v>
      </c>
      <c r="I93">
        <v>0</v>
      </c>
      <c r="J93" t="s">
        <v>343</v>
      </c>
      <c r="L93">
        <v>59000</v>
      </c>
      <c r="N93">
        <v>59000</v>
      </c>
    </row>
    <row r="94" spans="1:14" x14ac:dyDescent="0.35">
      <c r="A94" t="str">
        <f t="shared" si="4"/>
        <v>VTE45723FMT250036170610010</v>
      </c>
      <c r="B94" t="s">
        <v>131</v>
      </c>
      <c r="C94" s="1">
        <v>45723</v>
      </c>
      <c r="D94" t="s">
        <v>173</v>
      </c>
      <c r="E94" t="str">
        <f>"70610010"</f>
        <v>70610010</v>
      </c>
      <c r="F94" t="s">
        <v>146</v>
      </c>
      <c r="G94" t="s">
        <v>341</v>
      </c>
      <c r="H94" t="s">
        <v>350</v>
      </c>
      <c r="I94">
        <v>0</v>
      </c>
      <c r="J94" t="s">
        <v>343</v>
      </c>
      <c r="L94">
        <v>200000</v>
      </c>
      <c r="N94">
        <v>200000</v>
      </c>
    </row>
    <row r="95" spans="1:14" x14ac:dyDescent="0.35">
      <c r="A95" t="str">
        <f t="shared" si="4"/>
        <v>VTE45723FMT250036270610010</v>
      </c>
      <c r="B95" t="s">
        <v>131</v>
      </c>
      <c r="C95" s="1">
        <v>45723</v>
      </c>
      <c r="D95" t="s">
        <v>174</v>
      </c>
      <c r="E95" t="str">
        <f>"70610010"</f>
        <v>70610010</v>
      </c>
      <c r="F95" t="s">
        <v>175</v>
      </c>
      <c r="G95" t="s">
        <v>341</v>
      </c>
      <c r="H95" t="s">
        <v>350</v>
      </c>
      <c r="I95">
        <v>0</v>
      </c>
      <c r="J95" t="s">
        <v>343</v>
      </c>
      <c r="L95">
        <v>1320000</v>
      </c>
      <c r="N95">
        <v>1320000</v>
      </c>
    </row>
    <row r="96" spans="1:14" x14ac:dyDescent="0.35">
      <c r="A96" t="str">
        <f t="shared" si="4"/>
        <v>VTE45726FMT250036347310100</v>
      </c>
      <c r="B96" t="s">
        <v>131</v>
      </c>
      <c r="C96" s="1">
        <v>45726</v>
      </c>
      <c r="D96" t="s">
        <v>176</v>
      </c>
      <c r="E96" t="str">
        <f>"47310100"</f>
        <v>47310100</v>
      </c>
      <c r="F96" t="s">
        <v>144</v>
      </c>
      <c r="G96" t="s">
        <v>341</v>
      </c>
      <c r="H96" t="s">
        <v>351</v>
      </c>
      <c r="I96">
        <v>0</v>
      </c>
      <c r="J96" t="s">
        <v>343</v>
      </c>
      <c r="L96">
        <v>236000</v>
      </c>
      <c r="N96">
        <v>236000</v>
      </c>
    </row>
    <row r="97" spans="1:14" x14ac:dyDescent="0.35">
      <c r="A97" t="str">
        <f t="shared" si="4"/>
        <v>VTE45726FMT250036370610010</v>
      </c>
      <c r="B97" t="s">
        <v>131</v>
      </c>
      <c r="C97" s="1">
        <v>45726</v>
      </c>
      <c r="D97" t="s">
        <v>176</v>
      </c>
      <c r="E97" t="str">
        <f>"70610010"</f>
        <v>70610010</v>
      </c>
      <c r="F97" t="s">
        <v>144</v>
      </c>
      <c r="G97" t="s">
        <v>341</v>
      </c>
      <c r="H97" t="s">
        <v>350</v>
      </c>
      <c r="I97">
        <v>0</v>
      </c>
      <c r="J97" t="s">
        <v>343</v>
      </c>
      <c r="L97">
        <v>528000</v>
      </c>
      <c r="N97">
        <v>528000</v>
      </c>
    </row>
    <row r="98" spans="1:14" x14ac:dyDescent="0.35">
      <c r="A98" t="str">
        <f t="shared" si="4"/>
        <v>VTE45726FMT250036470610010</v>
      </c>
      <c r="B98" t="s">
        <v>131</v>
      </c>
      <c r="C98" s="1">
        <v>45726</v>
      </c>
      <c r="D98" t="s">
        <v>177</v>
      </c>
      <c r="E98" t="str">
        <f>"70610010"</f>
        <v>70610010</v>
      </c>
      <c r="F98" t="s">
        <v>159</v>
      </c>
      <c r="G98" t="s">
        <v>341</v>
      </c>
      <c r="H98" t="s">
        <v>349</v>
      </c>
      <c r="I98">
        <v>0</v>
      </c>
      <c r="J98" t="s">
        <v>343</v>
      </c>
      <c r="L98">
        <v>201000</v>
      </c>
      <c r="N98">
        <v>201000</v>
      </c>
    </row>
    <row r="99" spans="1:14" x14ac:dyDescent="0.35">
      <c r="A99" t="str">
        <f t="shared" si="4"/>
        <v>VTE45726FMT250036547310100</v>
      </c>
      <c r="B99" t="s">
        <v>131</v>
      </c>
      <c r="C99" s="1">
        <v>45726</v>
      </c>
      <c r="D99" t="s">
        <v>178</v>
      </c>
      <c r="E99" t="str">
        <f>"47310100"</f>
        <v>47310100</v>
      </c>
      <c r="F99" t="s">
        <v>148</v>
      </c>
      <c r="G99" t="s">
        <v>341</v>
      </c>
      <c r="H99" t="s">
        <v>351</v>
      </c>
      <c r="I99">
        <v>0</v>
      </c>
      <c r="J99" t="s">
        <v>343</v>
      </c>
      <c r="L99">
        <v>59000</v>
      </c>
      <c r="N99">
        <v>59000</v>
      </c>
    </row>
    <row r="100" spans="1:14" x14ac:dyDescent="0.35">
      <c r="A100" t="str">
        <f t="shared" si="4"/>
        <v>VTE45726FMT250036570610010</v>
      </c>
      <c r="B100" t="s">
        <v>131</v>
      </c>
      <c r="C100" s="1">
        <v>45726</v>
      </c>
      <c r="D100" t="s">
        <v>178</v>
      </c>
      <c r="E100" t="str">
        <f>"70610010"</f>
        <v>70610010</v>
      </c>
      <c r="F100" t="s">
        <v>148</v>
      </c>
      <c r="G100" t="s">
        <v>341</v>
      </c>
      <c r="H100" t="s">
        <v>349</v>
      </c>
      <c r="I100">
        <v>0</v>
      </c>
      <c r="J100" t="s">
        <v>343</v>
      </c>
      <c r="L100">
        <v>360000</v>
      </c>
      <c r="N100">
        <v>360000</v>
      </c>
    </row>
    <row r="101" spans="1:14" x14ac:dyDescent="0.35">
      <c r="A101" t="str">
        <f t="shared" si="4"/>
        <v>VTE45726FMT250036647310100</v>
      </c>
      <c r="B101" t="s">
        <v>131</v>
      </c>
      <c r="C101" s="1">
        <v>45726</v>
      </c>
      <c r="D101" t="s">
        <v>179</v>
      </c>
      <c r="E101" t="str">
        <f>"47310100"</f>
        <v>47310100</v>
      </c>
      <c r="F101" t="s">
        <v>180</v>
      </c>
      <c r="G101" t="s">
        <v>341</v>
      </c>
      <c r="H101" t="s">
        <v>351</v>
      </c>
      <c r="I101">
        <v>0</v>
      </c>
      <c r="J101" t="s">
        <v>343</v>
      </c>
      <c r="L101">
        <v>413000</v>
      </c>
      <c r="N101">
        <v>413000</v>
      </c>
    </row>
    <row r="102" spans="1:14" x14ac:dyDescent="0.35">
      <c r="A102" t="str">
        <f t="shared" si="4"/>
        <v>VTE45726FMT250036670610010</v>
      </c>
      <c r="B102" t="s">
        <v>131</v>
      </c>
      <c r="C102" s="1">
        <v>45726</v>
      </c>
      <c r="D102" t="s">
        <v>179</v>
      </c>
      <c r="E102" t="str">
        <f>"70610010"</f>
        <v>70610010</v>
      </c>
      <c r="F102" t="s">
        <v>180</v>
      </c>
      <c r="G102" t="s">
        <v>341</v>
      </c>
      <c r="H102" t="s">
        <v>349</v>
      </c>
      <c r="I102">
        <v>0</v>
      </c>
      <c r="J102" t="s">
        <v>343</v>
      </c>
      <c r="L102">
        <v>1876000</v>
      </c>
      <c r="N102">
        <v>1876000</v>
      </c>
    </row>
    <row r="103" spans="1:14" x14ac:dyDescent="0.35">
      <c r="A103" t="str">
        <f t="shared" si="4"/>
        <v>VTE45726FMT250036747310100</v>
      </c>
      <c r="B103" t="s">
        <v>131</v>
      </c>
      <c r="C103" s="1">
        <v>45726</v>
      </c>
      <c r="D103" t="s">
        <v>181</v>
      </c>
      <c r="E103" t="str">
        <f>"47310100"</f>
        <v>47310100</v>
      </c>
      <c r="F103" t="s">
        <v>180</v>
      </c>
      <c r="G103" t="s">
        <v>341</v>
      </c>
      <c r="H103" t="s">
        <v>351</v>
      </c>
      <c r="I103">
        <v>0</v>
      </c>
      <c r="J103" t="s">
        <v>343</v>
      </c>
      <c r="L103">
        <v>413000</v>
      </c>
      <c r="N103">
        <v>413000</v>
      </c>
    </row>
    <row r="104" spans="1:14" x14ac:dyDescent="0.35">
      <c r="A104" t="str">
        <f t="shared" si="4"/>
        <v>VTE45726FMT250036770610010</v>
      </c>
      <c r="B104" t="s">
        <v>131</v>
      </c>
      <c r="C104" s="1">
        <v>45726</v>
      </c>
      <c r="D104" t="s">
        <v>181</v>
      </c>
      <c r="E104" t="str">
        <f>"70610010"</f>
        <v>70610010</v>
      </c>
      <c r="F104" t="s">
        <v>180</v>
      </c>
      <c r="G104" t="s">
        <v>341</v>
      </c>
      <c r="H104" t="s">
        <v>349</v>
      </c>
      <c r="I104">
        <v>0</v>
      </c>
      <c r="J104" t="s">
        <v>343</v>
      </c>
      <c r="L104">
        <v>1876000</v>
      </c>
      <c r="N104">
        <v>1876000</v>
      </c>
    </row>
    <row r="105" spans="1:14" x14ac:dyDescent="0.35">
      <c r="A105" t="str">
        <f t="shared" si="4"/>
        <v>VTE45726FMT250036847310100</v>
      </c>
      <c r="B105" t="s">
        <v>131</v>
      </c>
      <c r="C105" s="1">
        <v>45726</v>
      </c>
      <c r="D105" t="s">
        <v>182</v>
      </c>
      <c r="E105" t="str">
        <f>"47310100"</f>
        <v>47310100</v>
      </c>
      <c r="F105" t="s">
        <v>183</v>
      </c>
      <c r="G105" t="s">
        <v>341</v>
      </c>
      <c r="H105" t="s">
        <v>351</v>
      </c>
      <c r="I105">
        <v>0</v>
      </c>
      <c r="J105" t="s">
        <v>343</v>
      </c>
      <c r="L105">
        <v>59000</v>
      </c>
      <c r="N105">
        <v>59000</v>
      </c>
    </row>
    <row r="106" spans="1:14" x14ac:dyDescent="0.35">
      <c r="A106" t="str">
        <f t="shared" si="4"/>
        <v>VTE45726FMT250036870610010</v>
      </c>
      <c r="B106" t="s">
        <v>131</v>
      </c>
      <c r="C106" s="1">
        <v>45726</v>
      </c>
      <c r="D106" t="s">
        <v>182</v>
      </c>
      <c r="E106" t="str">
        <f>"70610010"</f>
        <v>70610010</v>
      </c>
      <c r="F106" t="s">
        <v>183</v>
      </c>
      <c r="G106" t="s">
        <v>341</v>
      </c>
      <c r="H106" t="s">
        <v>349</v>
      </c>
      <c r="I106">
        <v>0</v>
      </c>
      <c r="J106" t="s">
        <v>343</v>
      </c>
      <c r="L106">
        <v>198000</v>
      </c>
      <c r="N106">
        <v>198000</v>
      </c>
    </row>
    <row r="107" spans="1:14" x14ac:dyDescent="0.35">
      <c r="A107" t="str">
        <f t="shared" si="4"/>
        <v>VTE45727FMT250036947310100</v>
      </c>
      <c r="B107" t="s">
        <v>131</v>
      </c>
      <c r="C107" s="1">
        <v>45727</v>
      </c>
      <c r="D107" t="s">
        <v>184</v>
      </c>
      <c r="E107" t="str">
        <f>"47310100"</f>
        <v>47310100</v>
      </c>
      <c r="F107" t="s">
        <v>185</v>
      </c>
      <c r="G107" t="s">
        <v>341</v>
      </c>
      <c r="H107" t="s">
        <v>351</v>
      </c>
      <c r="I107">
        <v>0</v>
      </c>
      <c r="J107" t="s">
        <v>343</v>
      </c>
      <c r="K107">
        <v>59000</v>
      </c>
      <c r="M107">
        <v>59000</v>
      </c>
    </row>
    <row r="108" spans="1:14" x14ac:dyDescent="0.35">
      <c r="A108" t="str">
        <f t="shared" si="4"/>
        <v>VTE45727FMT250036970610010</v>
      </c>
      <c r="B108" t="s">
        <v>131</v>
      </c>
      <c r="C108" s="1">
        <v>45727</v>
      </c>
      <c r="D108" t="s">
        <v>184</v>
      </c>
      <c r="E108" t="str">
        <f>"70610010"</f>
        <v>70610010</v>
      </c>
      <c r="F108" t="s">
        <v>185</v>
      </c>
      <c r="G108" t="s">
        <v>341</v>
      </c>
      <c r="H108" t="s">
        <v>350</v>
      </c>
      <c r="I108">
        <v>0</v>
      </c>
      <c r="J108" t="s">
        <v>343</v>
      </c>
      <c r="K108">
        <v>132000</v>
      </c>
      <c r="M108">
        <v>132000</v>
      </c>
    </row>
    <row r="109" spans="1:14" x14ac:dyDescent="0.35">
      <c r="A109" t="str">
        <f t="shared" si="4"/>
        <v>VTE45727FMT250037047310100</v>
      </c>
      <c r="B109" t="s">
        <v>131</v>
      </c>
      <c r="C109" s="1">
        <v>45727</v>
      </c>
      <c r="D109" t="s">
        <v>186</v>
      </c>
      <c r="E109" t="str">
        <f>"47310100"</f>
        <v>47310100</v>
      </c>
      <c r="F109" t="s">
        <v>154</v>
      </c>
      <c r="G109" t="s">
        <v>341</v>
      </c>
      <c r="H109" t="s">
        <v>351</v>
      </c>
      <c r="I109">
        <v>0</v>
      </c>
      <c r="J109" t="s">
        <v>343</v>
      </c>
      <c r="L109">
        <v>1032500</v>
      </c>
      <c r="N109">
        <v>1032500</v>
      </c>
    </row>
    <row r="110" spans="1:14" x14ac:dyDescent="0.35">
      <c r="A110" t="str">
        <f t="shared" si="4"/>
        <v>VTE45727FMT250037070610010</v>
      </c>
      <c r="B110" t="s">
        <v>131</v>
      </c>
      <c r="C110" s="1">
        <v>45727</v>
      </c>
      <c r="D110" t="s">
        <v>186</v>
      </c>
      <c r="E110" t="str">
        <f>"70610010"</f>
        <v>70610010</v>
      </c>
      <c r="F110" t="s">
        <v>154</v>
      </c>
      <c r="G110" t="s">
        <v>341</v>
      </c>
      <c r="H110" t="s">
        <v>349</v>
      </c>
      <c r="I110">
        <v>0</v>
      </c>
      <c r="J110" t="s">
        <v>343</v>
      </c>
      <c r="L110">
        <v>2310000</v>
      </c>
      <c r="N110">
        <v>2310000</v>
      </c>
    </row>
    <row r="111" spans="1:14" x14ac:dyDescent="0.35">
      <c r="A111" t="str">
        <f t="shared" si="4"/>
        <v>VTE45727FMT250037147310100</v>
      </c>
      <c r="B111" t="s">
        <v>131</v>
      </c>
      <c r="C111" s="1">
        <v>45727</v>
      </c>
      <c r="D111" t="s">
        <v>187</v>
      </c>
      <c r="E111" t="str">
        <f>"47310100"</f>
        <v>47310100</v>
      </c>
      <c r="F111" t="s">
        <v>188</v>
      </c>
      <c r="G111" t="s">
        <v>341</v>
      </c>
      <c r="H111" t="s">
        <v>351</v>
      </c>
      <c r="I111">
        <v>0</v>
      </c>
      <c r="J111" t="s">
        <v>343</v>
      </c>
      <c r="L111">
        <v>59000</v>
      </c>
      <c r="N111">
        <v>59000</v>
      </c>
    </row>
    <row r="112" spans="1:14" x14ac:dyDescent="0.35">
      <c r="A112" t="str">
        <f t="shared" si="4"/>
        <v>VTE45727FMT250037170610010</v>
      </c>
      <c r="B112" t="s">
        <v>131</v>
      </c>
      <c r="C112" s="1">
        <v>45727</v>
      </c>
      <c r="D112" t="s">
        <v>187</v>
      </c>
      <c r="E112" t="str">
        <f>"70610010"</f>
        <v>70610010</v>
      </c>
      <c r="F112" t="s">
        <v>188</v>
      </c>
      <c r="G112" t="s">
        <v>341</v>
      </c>
      <c r="H112" t="s">
        <v>349</v>
      </c>
      <c r="I112">
        <v>0</v>
      </c>
      <c r="J112" t="s">
        <v>343</v>
      </c>
      <c r="L112">
        <v>300000</v>
      </c>
      <c r="N112">
        <v>300000</v>
      </c>
    </row>
    <row r="113" spans="1:14" x14ac:dyDescent="0.35">
      <c r="A113" t="str">
        <f t="shared" si="4"/>
        <v>VTE45727FMT250037247310100</v>
      </c>
      <c r="B113" t="s">
        <v>131</v>
      </c>
      <c r="C113" s="1">
        <v>45727</v>
      </c>
      <c r="D113" t="s">
        <v>189</v>
      </c>
      <c r="E113" t="str">
        <f>"47310100"</f>
        <v>47310100</v>
      </c>
      <c r="F113" t="s">
        <v>188</v>
      </c>
      <c r="G113" t="s">
        <v>341</v>
      </c>
      <c r="H113" t="s">
        <v>351</v>
      </c>
      <c r="I113">
        <v>0</v>
      </c>
      <c r="J113" t="s">
        <v>343</v>
      </c>
      <c r="L113">
        <v>29500</v>
      </c>
      <c r="N113">
        <v>29500</v>
      </c>
    </row>
    <row r="114" spans="1:14" x14ac:dyDescent="0.35">
      <c r="A114" t="str">
        <f t="shared" si="4"/>
        <v>VTE45727FMT250037270610010</v>
      </c>
      <c r="B114" t="s">
        <v>131</v>
      </c>
      <c r="C114" s="1">
        <v>45727</v>
      </c>
      <c r="D114" t="s">
        <v>189</v>
      </c>
      <c r="E114" t="str">
        <f>"70610010"</f>
        <v>70610010</v>
      </c>
      <c r="F114" t="s">
        <v>188</v>
      </c>
      <c r="G114" t="s">
        <v>341</v>
      </c>
      <c r="H114" t="s">
        <v>349</v>
      </c>
      <c r="I114">
        <v>0</v>
      </c>
      <c r="J114" t="s">
        <v>343</v>
      </c>
      <c r="L114">
        <v>150000</v>
      </c>
      <c r="N114">
        <v>150000</v>
      </c>
    </row>
    <row r="115" spans="1:14" x14ac:dyDescent="0.35">
      <c r="A115" t="str">
        <f t="shared" si="4"/>
        <v>VTE45727FMT250037347310100</v>
      </c>
      <c r="B115" t="s">
        <v>131</v>
      </c>
      <c r="C115" s="1">
        <v>45727</v>
      </c>
      <c r="D115" t="s">
        <v>190</v>
      </c>
      <c r="E115" t="str">
        <f>"47310100"</f>
        <v>47310100</v>
      </c>
      <c r="F115" t="s">
        <v>159</v>
      </c>
      <c r="G115" t="s">
        <v>341</v>
      </c>
      <c r="H115" t="s">
        <v>351</v>
      </c>
      <c r="I115">
        <v>0</v>
      </c>
      <c r="J115" t="s">
        <v>343</v>
      </c>
      <c r="L115">
        <v>118000</v>
      </c>
      <c r="N115">
        <v>118000</v>
      </c>
    </row>
    <row r="116" spans="1:14" x14ac:dyDescent="0.35">
      <c r="A116" t="str">
        <f t="shared" si="4"/>
        <v>VTE45727FMT250037370610010</v>
      </c>
      <c r="B116" t="s">
        <v>131</v>
      </c>
      <c r="C116" s="1">
        <v>45727</v>
      </c>
      <c r="D116" t="s">
        <v>190</v>
      </c>
      <c r="E116" t="str">
        <f>"70610010"</f>
        <v>70610010</v>
      </c>
      <c r="F116" t="s">
        <v>159</v>
      </c>
      <c r="G116" t="s">
        <v>341</v>
      </c>
      <c r="H116" t="s">
        <v>349</v>
      </c>
      <c r="I116">
        <v>0</v>
      </c>
      <c r="J116" t="s">
        <v>343</v>
      </c>
      <c r="L116">
        <v>536000</v>
      </c>
      <c r="N116">
        <v>536000</v>
      </c>
    </row>
    <row r="117" spans="1:14" x14ac:dyDescent="0.35">
      <c r="A117" t="str">
        <f t="shared" si="4"/>
        <v>VTE45727FMT250037447310100</v>
      </c>
      <c r="B117" t="s">
        <v>131</v>
      </c>
      <c r="C117" s="1">
        <v>45727</v>
      </c>
      <c r="D117" t="s">
        <v>191</v>
      </c>
      <c r="E117" t="str">
        <f>"47310100"</f>
        <v>47310100</v>
      </c>
      <c r="F117" t="s">
        <v>163</v>
      </c>
      <c r="G117" t="s">
        <v>341</v>
      </c>
      <c r="H117" t="s">
        <v>351</v>
      </c>
      <c r="I117">
        <v>0</v>
      </c>
      <c r="J117" t="s">
        <v>343</v>
      </c>
      <c r="L117">
        <v>177000</v>
      </c>
      <c r="N117">
        <v>177000</v>
      </c>
    </row>
    <row r="118" spans="1:14" x14ac:dyDescent="0.35">
      <c r="A118" t="str">
        <f t="shared" si="4"/>
        <v>VTE45727FMT250037470610010</v>
      </c>
      <c r="B118" t="s">
        <v>131</v>
      </c>
      <c r="C118" s="1">
        <v>45727</v>
      </c>
      <c r="D118" t="s">
        <v>191</v>
      </c>
      <c r="E118" t="str">
        <f>"70610010"</f>
        <v>70610010</v>
      </c>
      <c r="F118" t="s">
        <v>163</v>
      </c>
      <c r="G118" t="s">
        <v>341</v>
      </c>
      <c r="H118" t="s">
        <v>349</v>
      </c>
      <c r="I118">
        <v>0</v>
      </c>
      <c r="J118" t="s">
        <v>343</v>
      </c>
      <c r="L118">
        <v>396000</v>
      </c>
      <c r="N118">
        <v>396000</v>
      </c>
    </row>
    <row r="119" spans="1:14" x14ac:dyDescent="0.35">
      <c r="A119" t="str">
        <f t="shared" si="4"/>
        <v>VTE45727FMT250037470610050</v>
      </c>
      <c r="B119" t="s">
        <v>131</v>
      </c>
      <c r="C119" s="1">
        <v>45727</v>
      </c>
      <c r="D119" t="s">
        <v>191</v>
      </c>
      <c r="E119" t="str">
        <f>"70610050"</f>
        <v>70610050</v>
      </c>
      <c r="F119" t="s">
        <v>163</v>
      </c>
      <c r="G119" t="s">
        <v>341</v>
      </c>
      <c r="H119" t="s">
        <v>349</v>
      </c>
      <c r="I119">
        <v>0</v>
      </c>
      <c r="J119" t="s">
        <v>343</v>
      </c>
      <c r="L119">
        <v>198000</v>
      </c>
      <c r="N119">
        <v>198000</v>
      </c>
    </row>
    <row r="120" spans="1:14" x14ac:dyDescent="0.35">
      <c r="A120" t="str">
        <f t="shared" si="4"/>
        <v>VTE45727FMT250037547310100</v>
      </c>
      <c r="B120" t="s">
        <v>131</v>
      </c>
      <c r="C120" s="1">
        <v>45727</v>
      </c>
      <c r="D120" t="s">
        <v>192</v>
      </c>
      <c r="E120" t="str">
        <f>"47310100"</f>
        <v>47310100</v>
      </c>
      <c r="F120" t="s">
        <v>163</v>
      </c>
      <c r="G120" t="s">
        <v>341</v>
      </c>
      <c r="H120" t="s">
        <v>351</v>
      </c>
      <c r="I120">
        <v>0</v>
      </c>
      <c r="J120" t="s">
        <v>343</v>
      </c>
      <c r="L120">
        <v>59000</v>
      </c>
      <c r="N120">
        <v>59000</v>
      </c>
    </row>
    <row r="121" spans="1:14" x14ac:dyDescent="0.35">
      <c r="A121" t="str">
        <f t="shared" si="4"/>
        <v>VTE45727FMT250037570610010</v>
      </c>
      <c r="B121" t="s">
        <v>131</v>
      </c>
      <c r="C121" s="1">
        <v>45727</v>
      </c>
      <c r="D121" t="s">
        <v>192</v>
      </c>
      <c r="E121" t="str">
        <f>"70610010"</f>
        <v>70610010</v>
      </c>
      <c r="F121" t="s">
        <v>163</v>
      </c>
      <c r="G121" t="s">
        <v>341</v>
      </c>
      <c r="H121" t="s">
        <v>349</v>
      </c>
      <c r="I121">
        <v>0</v>
      </c>
      <c r="J121" t="s">
        <v>343</v>
      </c>
      <c r="L121">
        <v>132000</v>
      </c>
      <c r="N121">
        <v>132000</v>
      </c>
    </row>
    <row r="122" spans="1:14" x14ac:dyDescent="0.35">
      <c r="A122" t="str">
        <f t="shared" si="4"/>
        <v>VTE45727FMT250037570610050</v>
      </c>
      <c r="B122" t="s">
        <v>131</v>
      </c>
      <c r="C122" s="1">
        <v>45727</v>
      </c>
      <c r="D122" t="s">
        <v>192</v>
      </c>
      <c r="E122" t="str">
        <f>"70610050"</f>
        <v>70610050</v>
      </c>
      <c r="F122" t="s">
        <v>163</v>
      </c>
      <c r="G122" t="s">
        <v>341</v>
      </c>
      <c r="H122" t="s">
        <v>349</v>
      </c>
      <c r="I122">
        <v>0</v>
      </c>
      <c r="J122" t="s">
        <v>343</v>
      </c>
      <c r="L122">
        <v>198000</v>
      </c>
      <c r="N122">
        <v>198000</v>
      </c>
    </row>
    <row r="123" spans="1:14" x14ac:dyDescent="0.35">
      <c r="A123" t="str">
        <f t="shared" si="4"/>
        <v>VTE45727FMT250037647310100</v>
      </c>
      <c r="B123" t="s">
        <v>131</v>
      </c>
      <c r="C123" s="1">
        <v>45727</v>
      </c>
      <c r="D123" t="s">
        <v>193</v>
      </c>
      <c r="E123" t="str">
        <f>"47310100"</f>
        <v>47310100</v>
      </c>
      <c r="F123" t="s">
        <v>167</v>
      </c>
      <c r="G123" t="s">
        <v>341</v>
      </c>
      <c r="H123" t="s">
        <v>351</v>
      </c>
      <c r="I123">
        <v>0</v>
      </c>
      <c r="J123" t="s">
        <v>343</v>
      </c>
      <c r="L123">
        <v>59000</v>
      </c>
      <c r="N123">
        <v>59000</v>
      </c>
    </row>
    <row r="124" spans="1:14" x14ac:dyDescent="0.35">
      <c r="A124" t="str">
        <f t="shared" si="4"/>
        <v>VTE45727FMT250037670610010</v>
      </c>
      <c r="B124" t="s">
        <v>131</v>
      </c>
      <c r="C124" s="1">
        <v>45727</v>
      </c>
      <c r="D124" t="s">
        <v>193</v>
      </c>
      <c r="E124" t="str">
        <f>"70610010"</f>
        <v>70610010</v>
      </c>
      <c r="F124" t="s">
        <v>167</v>
      </c>
      <c r="G124" t="s">
        <v>341</v>
      </c>
      <c r="H124" t="s">
        <v>350</v>
      </c>
      <c r="I124">
        <v>0</v>
      </c>
      <c r="J124" t="s">
        <v>343</v>
      </c>
      <c r="L124">
        <v>132000</v>
      </c>
      <c r="N124">
        <v>132000</v>
      </c>
    </row>
    <row r="125" spans="1:14" x14ac:dyDescent="0.35">
      <c r="A125" t="str">
        <f t="shared" si="4"/>
        <v>VTE45728FMT250037747310100</v>
      </c>
      <c r="B125" t="s">
        <v>131</v>
      </c>
      <c r="C125" s="1">
        <v>45728</v>
      </c>
      <c r="D125" t="s">
        <v>194</v>
      </c>
      <c r="E125" t="str">
        <f>"47310100"</f>
        <v>47310100</v>
      </c>
      <c r="F125" t="s">
        <v>195</v>
      </c>
      <c r="G125" t="s">
        <v>341</v>
      </c>
      <c r="H125" t="s">
        <v>351</v>
      </c>
      <c r="I125">
        <v>0</v>
      </c>
      <c r="J125" t="s">
        <v>343</v>
      </c>
      <c r="L125">
        <v>177000</v>
      </c>
      <c r="N125">
        <v>177000</v>
      </c>
    </row>
    <row r="126" spans="1:14" x14ac:dyDescent="0.35">
      <c r="A126" t="str">
        <f t="shared" si="4"/>
        <v>VTE45728FMT250037770610010</v>
      </c>
      <c r="B126" t="s">
        <v>131</v>
      </c>
      <c r="C126" s="1">
        <v>45728</v>
      </c>
      <c r="D126" t="s">
        <v>194</v>
      </c>
      <c r="E126" t="str">
        <f>"70610010"</f>
        <v>70610010</v>
      </c>
      <c r="F126" t="s">
        <v>195</v>
      </c>
      <c r="G126" t="s">
        <v>341</v>
      </c>
      <c r="H126" t="s">
        <v>349</v>
      </c>
      <c r="I126">
        <v>0</v>
      </c>
      <c r="J126" t="s">
        <v>343</v>
      </c>
      <c r="L126">
        <v>396000</v>
      </c>
      <c r="N126">
        <v>396000</v>
      </c>
    </row>
    <row r="127" spans="1:14" x14ac:dyDescent="0.35">
      <c r="A127" t="str">
        <f t="shared" si="4"/>
        <v>VTE45728FMT250037847310100</v>
      </c>
      <c r="B127" t="s">
        <v>131</v>
      </c>
      <c r="C127" s="1">
        <v>45728</v>
      </c>
      <c r="D127" t="s">
        <v>196</v>
      </c>
      <c r="E127" t="str">
        <f>"47310100"</f>
        <v>47310100</v>
      </c>
      <c r="F127" t="s">
        <v>195</v>
      </c>
      <c r="G127" t="s">
        <v>341</v>
      </c>
      <c r="H127" t="s">
        <v>351</v>
      </c>
      <c r="I127">
        <v>0</v>
      </c>
      <c r="J127" t="s">
        <v>343</v>
      </c>
      <c r="L127">
        <v>59000</v>
      </c>
      <c r="N127">
        <v>59000</v>
      </c>
    </row>
    <row r="128" spans="1:14" x14ac:dyDescent="0.35">
      <c r="A128" t="str">
        <f t="shared" si="4"/>
        <v>VTE45728FMT250037870610010</v>
      </c>
      <c r="B128" t="s">
        <v>131</v>
      </c>
      <c r="C128" s="1">
        <v>45728</v>
      </c>
      <c r="D128" t="s">
        <v>196</v>
      </c>
      <c r="E128" t="str">
        <f>"70610010"</f>
        <v>70610010</v>
      </c>
      <c r="F128" t="s">
        <v>195</v>
      </c>
      <c r="G128" t="s">
        <v>341</v>
      </c>
      <c r="H128" t="s">
        <v>349</v>
      </c>
      <c r="I128">
        <v>0</v>
      </c>
      <c r="J128" t="s">
        <v>343</v>
      </c>
      <c r="L128">
        <v>198000</v>
      </c>
      <c r="N128">
        <v>198000</v>
      </c>
    </row>
    <row r="129" spans="1:14" x14ac:dyDescent="0.35">
      <c r="A129" t="str">
        <f t="shared" si="4"/>
        <v>VTE45728FMT250037970610010</v>
      </c>
      <c r="B129" t="s">
        <v>131</v>
      </c>
      <c r="C129" s="1">
        <v>45728</v>
      </c>
      <c r="D129" t="s">
        <v>197</v>
      </c>
      <c r="E129" t="str">
        <f>"70610010"</f>
        <v>70610010</v>
      </c>
      <c r="F129" t="s">
        <v>148</v>
      </c>
      <c r="G129" t="s">
        <v>341</v>
      </c>
      <c r="H129" t="s">
        <v>349</v>
      </c>
      <c r="I129">
        <v>0</v>
      </c>
      <c r="J129" t="s">
        <v>343</v>
      </c>
      <c r="L129">
        <v>180000</v>
      </c>
      <c r="N129">
        <v>180000</v>
      </c>
    </row>
    <row r="130" spans="1:14" x14ac:dyDescent="0.35">
      <c r="A130" t="str">
        <f t="shared" si="4"/>
        <v>VTE45728FMT250038070610010</v>
      </c>
      <c r="B130" t="s">
        <v>131</v>
      </c>
      <c r="C130" s="1">
        <v>45728</v>
      </c>
      <c r="D130" t="s">
        <v>198</v>
      </c>
      <c r="E130" t="str">
        <f>"70610010"</f>
        <v>70610010</v>
      </c>
      <c r="F130" t="s">
        <v>148</v>
      </c>
      <c r="G130" t="s">
        <v>341</v>
      </c>
      <c r="H130" t="s">
        <v>349</v>
      </c>
      <c r="I130">
        <v>0</v>
      </c>
      <c r="J130" t="s">
        <v>343</v>
      </c>
      <c r="L130">
        <v>180000</v>
      </c>
      <c r="N130">
        <v>180000</v>
      </c>
    </row>
    <row r="131" spans="1:14" x14ac:dyDescent="0.35">
      <c r="A131" t="str">
        <f t="shared" ref="A131:A194" si="5">CONCATENATE(B131,C131,D131,E131)</f>
        <v>VTE45728FMT250038147310100</v>
      </c>
      <c r="B131" t="s">
        <v>131</v>
      </c>
      <c r="C131" s="1">
        <v>45728</v>
      </c>
      <c r="D131" t="s">
        <v>199</v>
      </c>
      <c r="E131" t="str">
        <f>"47310100"</f>
        <v>47310100</v>
      </c>
      <c r="F131" t="s">
        <v>148</v>
      </c>
      <c r="G131" t="s">
        <v>341</v>
      </c>
      <c r="H131" t="s">
        <v>351</v>
      </c>
      <c r="I131">
        <v>0</v>
      </c>
      <c r="J131" t="s">
        <v>343</v>
      </c>
      <c r="L131">
        <v>59000</v>
      </c>
      <c r="N131">
        <v>59000</v>
      </c>
    </row>
    <row r="132" spans="1:14" x14ac:dyDescent="0.35">
      <c r="A132" t="str">
        <f t="shared" si="5"/>
        <v>VTE45728FMT250038170610010</v>
      </c>
      <c r="B132" t="s">
        <v>131</v>
      </c>
      <c r="C132" s="1">
        <v>45728</v>
      </c>
      <c r="D132" t="s">
        <v>199</v>
      </c>
      <c r="E132" t="str">
        <f>"70610010"</f>
        <v>70610010</v>
      </c>
      <c r="F132" t="s">
        <v>148</v>
      </c>
      <c r="G132" t="s">
        <v>341</v>
      </c>
      <c r="H132" t="s">
        <v>349</v>
      </c>
      <c r="I132">
        <v>0</v>
      </c>
      <c r="J132" t="s">
        <v>343</v>
      </c>
      <c r="L132">
        <v>323850</v>
      </c>
      <c r="N132">
        <v>323850</v>
      </c>
    </row>
    <row r="133" spans="1:14" x14ac:dyDescent="0.35">
      <c r="A133" t="str">
        <f t="shared" si="5"/>
        <v>VTE45728FMT250038170610050</v>
      </c>
      <c r="B133" t="s">
        <v>131</v>
      </c>
      <c r="C133" s="1">
        <v>45728</v>
      </c>
      <c r="D133" t="s">
        <v>199</v>
      </c>
      <c r="E133" t="str">
        <f>"70610050"</f>
        <v>70610050</v>
      </c>
      <c r="F133" t="s">
        <v>148</v>
      </c>
      <c r="G133" t="s">
        <v>341</v>
      </c>
      <c r="H133" t="s">
        <v>349</v>
      </c>
      <c r="I133">
        <v>0</v>
      </c>
      <c r="J133" t="s">
        <v>343</v>
      </c>
      <c r="L133">
        <v>198000</v>
      </c>
      <c r="N133">
        <v>198000</v>
      </c>
    </row>
    <row r="134" spans="1:14" x14ac:dyDescent="0.35">
      <c r="A134" t="str">
        <f t="shared" si="5"/>
        <v>VTE45728FMT250038270610010</v>
      </c>
      <c r="B134" t="s">
        <v>131</v>
      </c>
      <c r="C134" s="1">
        <v>45728</v>
      </c>
      <c r="D134" t="s">
        <v>200</v>
      </c>
      <c r="E134" t="str">
        <f>"70610010"</f>
        <v>70610010</v>
      </c>
      <c r="F134" t="s">
        <v>148</v>
      </c>
      <c r="G134" t="s">
        <v>341</v>
      </c>
      <c r="H134" t="s">
        <v>349</v>
      </c>
      <c r="I134">
        <v>0</v>
      </c>
      <c r="J134" t="s">
        <v>343</v>
      </c>
      <c r="L134">
        <v>180000</v>
      </c>
      <c r="N134">
        <v>180000</v>
      </c>
    </row>
    <row r="135" spans="1:14" x14ac:dyDescent="0.35">
      <c r="A135" t="str">
        <f t="shared" si="5"/>
        <v>VTE45728FMT250038370610010</v>
      </c>
      <c r="B135" t="s">
        <v>131</v>
      </c>
      <c r="C135" s="1">
        <v>45728</v>
      </c>
      <c r="D135" t="s">
        <v>201</v>
      </c>
      <c r="E135" t="str">
        <f>"70610010"</f>
        <v>70610010</v>
      </c>
      <c r="F135" t="s">
        <v>148</v>
      </c>
      <c r="G135" t="s">
        <v>341</v>
      </c>
      <c r="H135" t="s">
        <v>349</v>
      </c>
      <c r="I135">
        <v>0</v>
      </c>
      <c r="J135" t="s">
        <v>343</v>
      </c>
      <c r="L135">
        <v>1260000</v>
      </c>
      <c r="N135">
        <v>1260000</v>
      </c>
    </row>
    <row r="136" spans="1:14" x14ac:dyDescent="0.35">
      <c r="A136" t="str">
        <f t="shared" si="5"/>
        <v>VTE45728FMT250038447310100</v>
      </c>
      <c r="B136" t="s">
        <v>131</v>
      </c>
      <c r="C136" s="1">
        <v>45728</v>
      </c>
      <c r="D136" t="s">
        <v>202</v>
      </c>
      <c r="E136" t="str">
        <f>"47310100"</f>
        <v>47310100</v>
      </c>
      <c r="F136" t="s">
        <v>203</v>
      </c>
      <c r="G136" t="s">
        <v>341</v>
      </c>
      <c r="H136" t="s">
        <v>351</v>
      </c>
      <c r="I136">
        <v>0</v>
      </c>
      <c r="J136" t="s">
        <v>343</v>
      </c>
      <c r="L136">
        <v>29500</v>
      </c>
      <c r="N136">
        <v>29500</v>
      </c>
    </row>
    <row r="137" spans="1:14" x14ac:dyDescent="0.35">
      <c r="A137" t="str">
        <f t="shared" si="5"/>
        <v>VTE45728FMT250038470610010</v>
      </c>
      <c r="B137" t="s">
        <v>131</v>
      </c>
      <c r="C137" s="1">
        <v>45728</v>
      </c>
      <c r="D137" t="s">
        <v>202</v>
      </c>
      <c r="E137" t="str">
        <f>"70610010"</f>
        <v>70610010</v>
      </c>
      <c r="F137" t="s">
        <v>203</v>
      </c>
      <c r="G137" t="s">
        <v>341</v>
      </c>
      <c r="H137" t="s">
        <v>349</v>
      </c>
      <c r="I137">
        <v>0</v>
      </c>
      <c r="J137" t="s">
        <v>343</v>
      </c>
      <c r="L137">
        <v>99000</v>
      </c>
      <c r="N137">
        <v>99000</v>
      </c>
    </row>
    <row r="138" spans="1:14" x14ac:dyDescent="0.35">
      <c r="A138" t="str">
        <f t="shared" si="5"/>
        <v>VTE45728FMT250038547310100</v>
      </c>
      <c r="B138" t="s">
        <v>131</v>
      </c>
      <c r="C138" s="1">
        <v>45728</v>
      </c>
      <c r="D138" t="s">
        <v>204</v>
      </c>
      <c r="E138" t="str">
        <f>"47310100"</f>
        <v>47310100</v>
      </c>
      <c r="F138" t="s">
        <v>139</v>
      </c>
      <c r="G138" t="s">
        <v>341</v>
      </c>
      <c r="H138" t="s">
        <v>351</v>
      </c>
      <c r="I138">
        <v>0</v>
      </c>
      <c r="J138" t="s">
        <v>343</v>
      </c>
      <c r="L138">
        <v>59000</v>
      </c>
      <c r="N138">
        <v>59000</v>
      </c>
    </row>
    <row r="139" spans="1:14" x14ac:dyDescent="0.35">
      <c r="A139" t="str">
        <f t="shared" si="5"/>
        <v>VTE45728FMT250038570610010</v>
      </c>
      <c r="B139" t="s">
        <v>131</v>
      </c>
      <c r="C139" s="1">
        <v>45728</v>
      </c>
      <c r="D139" t="s">
        <v>204</v>
      </c>
      <c r="E139" t="str">
        <f>"70610010"</f>
        <v>70610010</v>
      </c>
      <c r="F139" t="s">
        <v>139</v>
      </c>
      <c r="G139" t="s">
        <v>341</v>
      </c>
      <c r="H139" t="s">
        <v>349</v>
      </c>
      <c r="I139">
        <v>0</v>
      </c>
      <c r="J139" t="s">
        <v>343</v>
      </c>
      <c r="L139">
        <v>600000</v>
      </c>
      <c r="N139">
        <v>600000</v>
      </c>
    </row>
    <row r="140" spans="1:14" x14ac:dyDescent="0.35">
      <c r="A140" t="str">
        <f t="shared" si="5"/>
        <v>VTE45728FMT250038647310100</v>
      </c>
      <c r="B140" t="s">
        <v>131</v>
      </c>
      <c r="C140" s="1">
        <v>45728</v>
      </c>
      <c r="D140" t="s">
        <v>205</v>
      </c>
      <c r="E140" t="str">
        <f>"47310100"</f>
        <v>47310100</v>
      </c>
      <c r="F140" t="s">
        <v>139</v>
      </c>
      <c r="G140" t="s">
        <v>341</v>
      </c>
      <c r="H140" t="s">
        <v>351</v>
      </c>
      <c r="I140">
        <v>0</v>
      </c>
      <c r="J140" t="s">
        <v>343</v>
      </c>
      <c r="L140">
        <v>236000</v>
      </c>
      <c r="N140">
        <v>236000</v>
      </c>
    </row>
    <row r="141" spans="1:14" x14ac:dyDescent="0.35">
      <c r="A141" t="str">
        <f t="shared" si="5"/>
        <v>VTE45728FMT250038670610010</v>
      </c>
      <c r="B141" t="s">
        <v>131</v>
      </c>
      <c r="C141" s="1">
        <v>45728</v>
      </c>
      <c r="D141" t="s">
        <v>205</v>
      </c>
      <c r="E141" t="str">
        <f>"70610010"</f>
        <v>70610010</v>
      </c>
      <c r="F141" t="s">
        <v>139</v>
      </c>
      <c r="G141" t="s">
        <v>341</v>
      </c>
      <c r="H141" t="s">
        <v>349</v>
      </c>
      <c r="I141">
        <v>0</v>
      </c>
      <c r="J141" t="s">
        <v>343</v>
      </c>
      <c r="L141">
        <v>1072000</v>
      </c>
      <c r="N141">
        <v>1072000</v>
      </c>
    </row>
    <row r="142" spans="1:14" x14ac:dyDescent="0.35">
      <c r="A142" t="str">
        <f t="shared" si="5"/>
        <v>VTE45729FMT250038747310100</v>
      </c>
      <c r="B142" t="s">
        <v>131</v>
      </c>
      <c r="C142" s="1">
        <v>45729</v>
      </c>
      <c r="D142" t="s">
        <v>206</v>
      </c>
      <c r="E142" t="str">
        <f>"47310100"</f>
        <v>47310100</v>
      </c>
      <c r="F142" t="s">
        <v>207</v>
      </c>
      <c r="G142" t="s">
        <v>341</v>
      </c>
      <c r="H142" t="s">
        <v>351</v>
      </c>
      <c r="I142">
        <v>0</v>
      </c>
      <c r="J142" t="s">
        <v>343</v>
      </c>
      <c r="L142">
        <v>118000</v>
      </c>
      <c r="N142">
        <v>118000</v>
      </c>
    </row>
    <row r="143" spans="1:14" x14ac:dyDescent="0.35">
      <c r="A143" t="str">
        <f t="shared" si="5"/>
        <v>VTE45729FMT250038770610010</v>
      </c>
      <c r="B143" t="s">
        <v>131</v>
      </c>
      <c r="C143" s="1">
        <v>45729</v>
      </c>
      <c r="D143" t="s">
        <v>206</v>
      </c>
      <c r="E143" t="str">
        <f>"70610010"</f>
        <v>70610010</v>
      </c>
      <c r="F143" t="s">
        <v>207</v>
      </c>
      <c r="G143" t="s">
        <v>341</v>
      </c>
      <c r="H143" t="s">
        <v>350</v>
      </c>
      <c r="I143">
        <v>0</v>
      </c>
      <c r="J143" t="s">
        <v>343</v>
      </c>
      <c r="L143">
        <v>264000</v>
      </c>
      <c r="N143">
        <v>264000</v>
      </c>
    </row>
    <row r="144" spans="1:14" x14ac:dyDescent="0.35">
      <c r="A144" t="str">
        <f t="shared" si="5"/>
        <v>VTE45729FMT250038847310100</v>
      </c>
      <c r="B144" t="s">
        <v>131</v>
      </c>
      <c r="C144" s="1">
        <v>45729</v>
      </c>
      <c r="D144" t="s">
        <v>208</v>
      </c>
      <c r="E144" t="str">
        <f>"47310100"</f>
        <v>47310100</v>
      </c>
      <c r="F144" t="s">
        <v>144</v>
      </c>
      <c r="G144" t="s">
        <v>341</v>
      </c>
      <c r="H144" t="s">
        <v>351</v>
      </c>
      <c r="I144">
        <v>0</v>
      </c>
      <c r="J144" t="s">
        <v>343</v>
      </c>
      <c r="L144">
        <v>59000</v>
      </c>
      <c r="N144">
        <v>59000</v>
      </c>
    </row>
    <row r="145" spans="1:14" x14ac:dyDescent="0.35">
      <c r="A145" t="str">
        <f t="shared" si="5"/>
        <v>VTE45729FMT250038870610010</v>
      </c>
      <c r="B145" t="s">
        <v>131</v>
      </c>
      <c r="C145" s="1">
        <v>45729</v>
      </c>
      <c r="D145" t="s">
        <v>208</v>
      </c>
      <c r="E145" t="str">
        <f>"70610010"</f>
        <v>70610010</v>
      </c>
      <c r="F145" t="s">
        <v>144</v>
      </c>
      <c r="G145" t="s">
        <v>341</v>
      </c>
      <c r="H145" t="s">
        <v>350</v>
      </c>
      <c r="I145">
        <v>0</v>
      </c>
      <c r="J145" t="s">
        <v>343</v>
      </c>
      <c r="L145">
        <v>132000</v>
      </c>
      <c r="N145">
        <v>132000</v>
      </c>
    </row>
    <row r="146" spans="1:14" x14ac:dyDescent="0.35">
      <c r="A146" t="str">
        <f t="shared" si="5"/>
        <v>VTE45729FMT250038947310100</v>
      </c>
      <c r="B146" t="s">
        <v>131</v>
      </c>
      <c r="C146" s="1">
        <v>45729</v>
      </c>
      <c r="D146" t="s">
        <v>209</v>
      </c>
      <c r="E146" t="str">
        <f>"47310100"</f>
        <v>47310100</v>
      </c>
      <c r="F146" t="s">
        <v>170</v>
      </c>
      <c r="G146" t="s">
        <v>341</v>
      </c>
      <c r="H146" t="s">
        <v>351</v>
      </c>
      <c r="I146">
        <v>0</v>
      </c>
      <c r="J146" t="s">
        <v>343</v>
      </c>
      <c r="L146">
        <v>265500</v>
      </c>
      <c r="N146">
        <v>265500</v>
      </c>
    </row>
    <row r="147" spans="1:14" x14ac:dyDescent="0.35">
      <c r="A147" t="str">
        <f t="shared" si="5"/>
        <v>VTE45729FMT250038970610010</v>
      </c>
      <c r="B147" t="s">
        <v>131</v>
      </c>
      <c r="C147" s="1">
        <v>45729</v>
      </c>
      <c r="D147" t="s">
        <v>209</v>
      </c>
      <c r="E147" t="str">
        <f>"70610010"</f>
        <v>70610010</v>
      </c>
      <c r="F147" t="s">
        <v>170</v>
      </c>
      <c r="G147" t="s">
        <v>341</v>
      </c>
      <c r="H147" t="s">
        <v>349</v>
      </c>
      <c r="I147">
        <v>0</v>
      </c>
      <c r="J147" t="s">
        <v>343</v>
      </c>
      <c r="L147">
        <v>594000</v>
      </c>
      <c r="N147">
        <v>594000</v>
      </c>
    </row>
    <row r="148" spans="1:14" x14ac:dyDescent="0.35">
      <c r="A148" t="str">
        <f t="shared" si="5"/>
        <v>VTE45729FMT250039047310100</v>
      </c>
      <c r="B148" t="s">
        <v>131</v>
      </c>
      <c r="C148" s="1">
        <v>45729</v>
      </c>
      <c r="D148" t="s">
        <v>210</v>
      </c>
      <c r="E148" t="str">
        <f>"47310100"</f>
        <v>47310100</v>
      </c>
      <c r="F148" t="s">
        <v>139</v>
      </c>
      <c r="G148" t="s">
        <v>341</v>
      </c>
      <c r="H148" t="s">
        <v>351</v>
      </c>
      <c r="I148">
        <v>0</v>
      </c>
      <c r="J148" t="s">
        <v>343</v>
      </c>
      <c r="L148">
        <v>1180000</v>
      </c>
      <c r="N148">
        <v>1180000</v>
      </c>
    </row>
    <row r="149" spans="1:14" x14ac:dyDescent="0.35">
      <c r="A149" t="str">
        <f t="shared" si="5"/>
        <v>VTE45729FMT250039070610010</v>
      </c>
      <c r="B149" t="s">
        <v>131</v>
      </c>
      <c r="C149" s="1">
        <v>45729</v>
      </c>
      <c r="D149" t="s">
        <v>210</v>
      </c>
      <c r="E149" t="str">
        <f>"70610010"</f>
        <v>70610010</v>
      </c>
      <c r="F149" t="s">
        <v>139</v>
      </c>
      <c r="G149" t="s">
        <v>341</v>
      </c>
      <c r="H149" t="s">
        <v>349</v>
      </c>
      <c r="I149">
        <v>0</v>
      </c>
      <c r="J149" t="s">
        <v>343</v>
      </c>
      <c r="L149">
        <v>5360000</v>
      </c>
      <c r="N149">
        <v>5360000</v>
      </c>
    </row>
    <row r="150" spans="1:14" x14ac:dyDescent="0.35">
      <c r="A150" t="str">
        <f t="shared" si="5"/>
        <v>VTE45729FMT250039147310100</v>
      </c>
      <c r="B150" t="s">
        <v>131</v>
      </c>
      <c r="C150" s="1">
        <v>45729</v>
      </c>
      <c r="D150" t="s">
        <v>211</v>
      </c>
      <c r="E150" t="str">
        <f>"47310100"</f>
        <v>47310100</v>
      </c>
      <c r="F150" t="s">
        <v>139</v>
      </c>
      <c r="G150" t="s">
        <v>341</v>
      </c>
      <c r="H150" t="s">
        <v>351</v>
      </c>
      <c r="I150">
        <v>0</v>
      </c>
      <c r="J150" t="s">
        <v>343</v>
      </c>
      <c r="L150">
        <v>1121000</v>
      </c>
      <c r="N150">
        <v>1121000</v>
      </c>
    </row>
    <row r="151" spans="1:14" x14ac:dyDescent="0.35">
      <c r="A151" t="str">
        <f t="shared" si="5"/>
        <v>VTE45729FMT250039170610010</v>
      </c>
      <c r="B151" t="s">
        <v>131</v>
      </c>
      <c r="C151" s="1">
        <v>45729</v>
      </c>
      <c r="D151" t="s">
        <v>211</v>
      </c>
      <c r="E151" t="str">
        <f>"70610010"</f>
        <v>70610010</v>
      </c>
      <c r="F151" t="s">
        <v>139</v>
      </c>
      <c r="G151" t="s">
        <v>341</v>
      </c>
      <c r="H151" t="s">
        <v>349</v>
      </c>
      <c r="I151">
        <v>0</v>
      </c>
      <c r="J151" t="s">
        <v>343</v>
      </c>
      <c r="L151">
        <v>5092000</v>
      </c>
      <c r="N151">
        <v>5092000</v>
      </c>
    </row>
    <row r="152" spans="1:14" x14ac:dyDescent="0.35">
      <c r="A152" t="str">
        <f t="shared" si="5"/>
        <v>VTE45729FMT250039270610010</v>
      </c>
      <c r="B152" t="s">
        <v>131</v>
      </c>
      <c r="C152" s="1">
        <v>45729</v>
      </c>
      <c r="D152" t="s">
        <v>212</v>
      </c>
      <c r="E152" t="str">
        <f>"70610010"</f>
        <v>70610010</v>
      </c>
      <c r="F152" t="s">
        <v>148</v>
      </c>
      <c r="G152" t="s">
        <v>341</v>
      </c>
      <c r="H152" t="s">
        <v>349</v>
      </c>
      <c r="I152">
        <v>0</v>
      </c>
      <c r="J152" t="s">
        <v>343</v>
      </c>
      <c r="L152">
        <v>2160000</v>
      </c>
      <c r="N152">
        <v>2160000</v>
      </c>
    </row>
    <row r="153" spans="1:14" x14ac:dyDescent="0.35">
      <c r="A153" t="str">
        <f t="shared" si="5"/>
        <v>VTE45730FMT250039347310100</v>
      </c>
      <c r="B153" t="s">
        <v>131</v>
      </c>
      <c r="C153" s="1">
        <v>45730</v>
      </c>
      <c r="D153" t="s">
        <v>213</v>
      </c>
      <c r="E153" t="str">
        <f>"47310100"</f>
        <v>47310100</v>
      </c>
      <c r="F153" t="s">
        <v>167</v>
      </c>
      <c r="G153" t="s">
        <v>341</v>
      </c>
      <c r="H153" t="s">
        <v>351</v>
      </c>
      <c r="I153">
        <v>0</v>
      </c>
      <c r="J153" t="s">
        <v>343</v>
      </c>
      <c r="L153">
        <v>59000</v>
      </c>
      <c r="N153">
        <v>59000</v>
      </c>
    </row>
    <row r="154" spans="1:14" x14ac:dyDescent="0.35">
      <c r="A154" t="str">
        <f t="shared" si="5"/>
        <v>VTE45730FMT250039370610010</v>
      </c>
      <c r="B154" t="s">
        <v>131</v>
      </c>
      <c r="C154" s="1">
        <v>45730</v>
      </c>
      <c r="D154" t="s">
        <v>213</v>
      </c>
      <c r="E154" t="str">
        <f>"70610010"</f>
        <v>70610010</v>
      </c>
      <c r="F154" t="s">
        <v>167</v>
      </c>
      <c r="G154" t="s">
        <v>341</v>
      </c>
      <c r="H154" t="s">
        <v>350</v>
      </c>
      <c r="I154">
        <v>0</v>
      </c>
      <c r="J154" t="s">
        <v>343</v>
      </c>
      <c r="L154">
        <v>132000</v>
      </c>
      <c r="N154">
        <v>132000</v>
      </c>
    </row>
    <row r="155" spans="1:14" x14ac:dyDescent="0.35">
      <c r="A155" t="str">
        <f t="shared" si="5"/>
        <v>VTE45730FMT250039447310100</v>
      </c>
      <c r="B155" t="s">
        <v>131</v>
      </c>
      <c r="C155" s="1">
        <v>45730</v>
      </c>
      <c r="D155" t="s">
        <v>214</v>
      </c>
      <c r="E155" t="str">
        <f>"47310100"</f>
        <v>47310100</v>
      </c>
      <c r="F155" t="s">
        <v>167</v>
      </c>
      <c r="G155" t="s">
        <v>341</v>
      </c>
      <c r="H155" t="s">
        <v>351</v>
      </c>
      <c r="I155">
        <v>0</v>
      </c>
      <c r="J155" t="s">
        <v>343</v>
      </c>
      <c r="L155">
        <v>59000</v>
      </c>
      <c r="N155">
        <v>59000</v>
      </c>
    </row>
    <row r="156" spans="1:14" x14ac:dyDescent="0.35">
      <c r="A156" t="str">
        <f t="shared" si="5"/>
        <v>VTE45730FMT250039470610010</v>
      </c>
      <c r="B156" t="s">
        <v>131</v>
      </c>
      <c r="C156" s="1">
        <v>45730</v>
      </c>
      <c r="D156" t="s">
        <v>214</v>
      </c>
      <c r="E156" t="str">
        <f>"70610010"</f>
        <v>70610010</v>
      </c>
      <c r="F156" t="s">
        <v>167</v>
      </c>
      <c r="G156" t="s">
        <v>341</v>
      </c>
      <c r="H156" t="s">
        <v>350</v>
      </c>
      <c r="I156">
        <v>0</v>
      </c>
      <c r="J156" t="s">
        <v>343</v>
      </c>
      <c r="L156">
        <v>132000</v>
      </c>
      <c r="N156">
        <v>132000</v>
      </c>
    </row>
    <row r="157" spans="1:14" x14ac:dyDescent="0.35">
      <c r="A157" t="str">
        <f t="shared" si="5"/>
        <v>VTE45730FMT250039547310100</v>
      </c>
      <c r="B157" t="s">
        <v>131</v>
      </c>
      <c r="C157" s="1">
        <v>45730</v>
      </c>
      <c r="D157" t="s">
        <v>215</v>
      </c>
      <c r="E157" t="str">
        <f>"47310100"</f>
        <v>47310100</v>
      </c>
      <c r="F157" t="s">
        <v>167</v>
      </c>
      <c r="G157" t="s">
        <v>341</v>
      </c>
      <c r="H157" t="s">
        <v>351</v>
      </c>
      <c r="I157">
        <v>0</v>
      </c>
      <c r="J157" t="s">
        <v>343</v>
      </c>
      <c r="L157">
        <v>59000</v>
      </c>
      <c r="N157">
        <v>59000</v>
      </c>
    </row>
    <row r="158" spans="1:14" x14ac:dyDescent="0.35">
      <c r="A158" t="str">
        <f t="shared" si="5"/>
        <v>VTE45730FMT250039570610010</v>
      </c>
      <c r="B158" t="s">
        <v>131</v>
      </c>
      <c r="C158" s="1">
        <v>45730</v>
      </c>
      <c r="D158" t="s">
        <v>215</v>
      </c>
      <c r="E158" t="str">
        <f>"70610010"</f>
        <v>70610010</v>
      </c>
      <c r="F158" t="s">
        <v>167</v>
      </c>
      <c r="G158" t="s">
        <v>341</v>
      </c>
      <c r="H158" t="s">
        <v>350</v>
      </c>
      <c r="I158">
        <v>0</v>
      </c>
      <c r="J158" t="s">
        <v>343</v>
      </c>
      <c r="L158">
        <v>132000</v>
      </c>
      <c r="N158">
        <v>132000</v>
      </c>
    </row>
    <row r="159" spans="1:14" x14ac:dyDescent="0.35">
      <c r="A159" t="str">
        <f t="shared" si="5"/>
        <v>VTE45730FMT250039647310100</v>
      </c>
      <c r="B159" t="s">
        <v>131</v>
      </c>
      <c r="C159" s="1">
        <v>45730</v>
      </c>
      <c r="D159" t="s">
        <v>216</v>
      </c>
      <c r="E159" t="str">
        <f>"47310100"</f>
        <v>47310100</v>
      </c>
      <c r="F159" t="s">
        <v>217</v>
      </c>
      <c r="G159" t="s">
        <v>341</v>
      </c>
      <c r="H159" t="s">
        <v>351</v>
      </c>
      <c r="I159">
        <v>0</v>
      </c>
      <c r="J159" t="s">
        <v>343</v>
      </c>
      <c r="L159">
        <v>59000</v>
      </c>
      <c r="N159">
        <v>59000</v>
      </c>
    </row>
    <row r="160" spans="1:14" x14ac:dyDescent="0.35">
      <c r="A160" t="str">
        <f t="shared" si="5"/>
        <v>VTE45730FMT250039670610010</v>
      </c>
      <c r="B160" t="s">
        <v>131</v>
      </c>
      <c r="C160" s="1">
        <v>45730</v>
      </c>
      <c r="D160" t="s">
        <v>216</v>
      </c>
      <c r="E160" t="str">
        <f>"70610010"</f>
        <v>70610010</v>
      </c>
      <c r="F160" t="s">
        <v>217</v>
      </c>
      <c r="G160" t="s">
        <v>341</v>
      </c>
      <c r="H160" t="s">
        <v>350</v>
      </c>
      <c r="I160">
        <v>0</v>
      </c>
      <c r="J160" t="s">
        <v>343</v>
      </c>
      <c r="L160">
        <v>132000</v>
      </c>
      <c r="N160">
        <v>132000</v>
      </c>
    </row>
    <row r="161" spans="1:14" x14ac:dyDescent="0.35">
      <c r="A161" t="str">
        <f t="shared" si="5"/>
        <v>VTE45730FMT250039747310100</v>
      </c>
      <c r="B161" t="s">
        <v>131</v>
      </c>
      <c r="C161" s="1">
        <v>45730</v>
      </c>
      <c r="D161" t="s">
        <v>218</v>
      </c>
      <c r="E161" t="str">
        <f>"47310100"</f>
        <v>47310100</v>
      </c>
      <c r="F161" t="s">
        <v>219</v>
      </c>
      <c r="G161" t="s">
        <v>341</v>
      </c>
      <c r="H161" t="s">
        <v>351</v>
      </c>
      <c r="I161">
        <v>0</v>
      </c>
      <c r="J161" t="s">
        <v>343</v>
      </c>
      <c r="L161">
        <v>59000</v>
      </c>
      <c r="N161">
        <v>59000</v>
      </c>
    </row>
    <row r="162" spans="1:14" x14ac:dyDescent="0.35">
      <c r="A162" t="str">
        <f t="shared" si="5"/>
        <v>VTE45730FMT250039770610010</v>
      </c>
      <c r="B162" t="s">
        <v>131</v>
      </c>
      <c r="C162" s="1">
        <v>45730</v>
      </c>
      <c r="D162" t="s">
        <v>218</v>
      </c>
      <c r="E162" t="str">
        <f>"70610010"</f>
        <v>70610010</v>
      </c>
      <c r="F162" t="s">
        <v>219</v>
      </c>
      <c r="G162" t="s">
        <v>341</v>
      </c>
      <c r="H162" t="s">
        <v>350</v>
      </c>
      <c r="I162">
        <v>0</v>
      </c>
      <c r="J162" t="s">
        <v>343</v>
      </c>
      <c r="L162">
        <v>132000</v>
      </c>
      <c r="N162">
        <v>132000</v>
      </c>
    </row>
    <row r="163" spans="1:14" x14ac:dyDescent="0.35">
      <c r="A163" t="str">
        <f t="shared" si="5"/>
        <v>VTE45730FMT250039847310100</v>
      </c>
      <c r="B163" t="s">
        <v>131</v>
      </c>
      <c r="C163" s="1">
        <v>45730</v>
      </c>
      <c r="D163" t="s">
        <v>220</v>
      </c>
      <c r="E163" t="str">
        <f>"47310100"</f>
        <v>47310100</v>
      </c>
      <c r="F163" t="s">
        <v>219</v>
      </c>
      <c r="G163" t="s">
        <v>341</v>
      </c>
      <c r="H163" t="s">
        <v>351</v>
      </c>
      <c r="I163">
        <v>0</v>
      </c>
      <c r="J163" t="s">
        <v>343</v>
      </c>
      <c r="L163">
        <v>118000</v>
      </c>
      <c r="N163">
        <v>118000</v>
      </c>
    </row>
    <row r="164" spans="1:14" x14ac:dyDescent="0.35">
      <c r="A164" t="str">
        <f t="shared" si="5"/>
        <v>VTE45730FMT250039870610010</v>
      </c>
      <c r="B164" t="s">
        <v>131</v>
      </c>
      <c r="C164" s="1">
        <v>45730</v>
      </c>
      <c r="D164" t="s">
        <v>220</v>
      </c>
      <c r="E164" t="str">
        <f>"70610010"</f>
        <v>70610010</v>
      </c>
      <c r="F164" t="s">
        <v>219</v>
      </c>
      <c r="G164" t="s">
        <v>341</v>
      </c>
      <c r="H164" t="s">
        <v>350</v>
      </c>
      <c r="I164">
        <v>0</v>
      </c>
      <c r="J164" t="s">
        <v>343</v>
      </c>
      <c r="L164">
        <v>264000</v>
      </c>
      <c r="N164">
        <v>264000</v>
      </c>
    </row>
    <row r="165" spans="1:14" x14ac:dyDescent="0.35">
      <c r="A165" t="str">
        <f t="shared" si="5"/>
        <v>VTE45730FMT250039970610010</v>
      </c>
      <c r="B165" t="s">
        <v>131</v>
      </c>
      <c r="C165" s="1">
        <v>45730</v>
      </c>
      <c r="D165" t="s">
        <v>221</v>
      </c>
      <c r="E165" t="str">
        <f>"70610010"</f>
        <v>70610010</v>
      </c>
      <c r="F165" t="s">
        <v>159</v>
      </c>
      <c r="G165" t="s">
        <v>341</v>
      </c>
      <c r="H165" t="s">
        <v>349</v>
      </c>
      <c r="I165">
        <v>0</v>
      </c>
      <c r="J165" t="s">
        <v>343</v>
      </c>
      <c r="L165">
        <v>498000</v>
      </c>
      <c r="N165">
        <v>498000</v>
      </c>
    </row>
    <row r="166" spans="1:14" x14ac:dyDescent="0.35">
      <c r="A166" t="str">
        <f t="shared" si="5"/>
        <v>VTE45730FMT250040070610010</v>
      </c>
      <c r="B166" t="s">
        <v>131</v>
      </c>
      <c r="C166" s="1">
        <v>45730</v>
      </c>
      <c r="D166" t="s">
        <v>222</v>
      </c>
      <c r="E166" t="str">
        <f>"70610010"</f>
        <v>70610010</v>
      </c>
      <c r="F166" t="s">
        <v>159</v>
      </c>
      <c r="G166" t="s">
        <v>341</v>
      </c>
      <c r="H166" t="s">
        <v>349</v>
      </c>
      <c r="I166">
        <v>0</v>
      </c>
      <c r="J166" t="s">
        <v>343</v>
      </c>
      <c r="L166">
        <v>1500000</v>
      </c>
      <c r="N166">
        <v>1500000</v>
      </c>
    </row>
    <row r="167" spans="1:14" x14ac:dyDescent="0.35">
      <c r="A167" t="str">
        <f t="shared" si="5"/>
        <v>VTE45730FMT250040147310100</v>
      </c>
      <c r="B167" t="s">
        <v>131</v>
      </c>
      <c r="C167" s="1">
        <v>45730</v>
      </c>
      <c r="D167" t="s">
        <v>223</v>
      </c>
      <c r="E167" t="str">
        <f>"47310100"</f>
        <v>47310100</v>
      </c>
      <c r="F167" t="s">
        <v>224</v>
      </c>
      <c r="G167" t="s">
        <v>341</v>
      </c>
      <c r="H167" t="s">
        <v>351</v>
      </c>
      <c r="I167">
        <v>0</v>
      </c>
      <c r="J167" t="s">
        <v>343</v>
      </c>
      <c r="L167">
        <v>59000</v>
      </c>
      <c r="N167">
        <v>59000</v>
      </c>
    </row>
    <row r="168" spans="1:14" x14ac:dyDescent="0.35">
      <c r="A168" t="str">
        <f t="shared" si="5"/>
        <v>VTE45730FMT250040170610010</v>
      </c>
      <c r="B168" t="s">
        <v>131</v>
      </c>
      <c r="C168" s="1">
        <v>45730</v>
      </c>
      <c r="D168" t="s">
        <v>223</v>
      </c>
      <c r="E168" t="str">
        <f>"70610010"</f>
        <v>70610010</v>
      </c>
      <c r="F168" t="s">
        <v>224</v>
      </c>
      <c r="G168" t="s">
        <v>341</v>
      </c>
      <c r="H168" t="s">
        <v>349</v>
      </c>
      <c r="I168">
        <v>0</v>
      </c>
      <c r="J168" t="s">
        <v>343</v>
      </c>
      <c r="L168">
        <v>297000</v>
      </c>
      <c r="N168">
        <v>297000</v>
      </c>
    </row>
    <row r="169" spans="1:14" x14ac:dyDescent="0.35">
      <c r="A169" t="str">
        <f t="shared" si="5"/>
        <v>VTE45730FMT250040247310100</v>
      </c>
      <c r="B169" t="s">
        <v>131</v>
      </c>
      <c r="C169" s="1">
        <v>45730</v>
      </c>
      <c r="D169" t="s">
        <v>225</v>
      </c>
      <c r="E169" t="str">
        <f>"47310100"</f>
        <v>47310100</v>
      </c>
      <c r="F169" t="s">
        <v>146</v>
      </c>
      <c r="G169" t="s">
        <v>341</v>
      </c>
      <c r="H169" t="s">
        <v>351</v>
      </c>
      <c r="I169">
        <v>0</v>
      </c>
      <c r="J169" t="s">
        <v>343</v>
      </c>
      <c r="L169">
        <v>59000</v>
      </c>
      <c r="N169">
        <v>59000</v>
      </c>
    </row>
    <row r="170" spans="1:14" x14ac:dyDescent="0.35">
      <c r="A170" t="str">
        <f t="shared" si="5"/>
        <v>VTE45730FMT250040270610010</v>
      </c>
      <c r="B170" t="s">
        <v>131</v>
      </c>
      <c r="C170" s="1">
        <v>45730</v>
      </c>
      <c r="D170" t="s">
        <v>225</v>
      </c>
      <c r="E170" t="str">
        <f t="shared" ref="E170:E176" si="6">"70610010"</f>
        <v>70610010</v>
      </c>
      <c r="F170" t="s">
        <v>146</v>
      </c>
      <c r="G170" t="s">
        <v>341</v>
      </c>
      <c r="H170" t="s">
        <v>350</v>
      </c>
      <c r="I170">
        <v>0</v>
      </c>
      <c r="J170" t="s">
        <v>343</v>
      </c>
      <c r="L170">
        <v>132000</v>
      </c>
      <c r="N170">
        <v>132000</v>
      </c>
    </row>
    <row r="171" spans="1:14" x14ac:dyDescent="0.35">
      <c r="A171" t="str">
        <f t="shared" si="5"/>
        <v>VTE45730FMT250040370610010</v>
      </c>
      <c r="B171" t="s">
        <v>131</v>
      </c>
      <c r="C171" s="1">
        <v>45730</v>
      </c>
      <c r="D171" t="s">
        <v>226</v>
      </c>
      <c r="E171" t="str">
        <f t="shared" si="6"/>
        <v>70610010</v>
      </c>
      <c r="F171" t="s">
        <v>148</v>
      </c>
      <c r="G171" t="s">
        <v>341</v>
      </c>
      <c r="H171" t="s">
        <v>349</v>
      </c>
      <c r="I171">
        <v>0</v>
      </c>
      <c r="J171" t="s">
        <v>343</v>
      </c>
      <c r="L171">
        <v>180000</v>
      </c>
      <c r="N171">
        <v>180000</v>
      </c>
    </row>
    <row r="172" spans="1:14" x14ac:dyDescent="0.35">
      <c r="A172" t="str">
        <f t="shared" si="5"/>
        <v>VTE45730FMT250040470610010</v>
      </c>
      <c r="B172" t="s">
        <v>131</v>
      </c>
      <c r="C172" s="1">
        <v>45730</v>
      </c>
      <c r="D172" t="s">
        <v>227</v>
      </c>
      <c r="E172" t="str">
        <f t="shared" si="6"/>
        <v>70610010</v>
      </c>
      <c r="F172" t="s">
        <v>148</v>
      </c>
      <c r="G172" t="s">
        <v>341</v>
      </c>
      <c r="H172" t="s">
        <v>349</v>
      </c>
      <c r="I172">
        <v>0</v>
      </c>
      <c r="J172" t="s">
        <v>343</v>
      </c>
      <c r="L172">
        <v>180000</v>
      </c>
      <c r="N172">
        <v>180000</v>
      </c>
    </row>
    <row r="173" spans="1:14" x14ac:dyDescent="0.35">
      <c r="A173" t="str">
        <f t="shared" si="5"/>
        <v>VTE45730FMT250040570610010</v>
      </c>
      <c r="B173" t="s">
        <v>131</v>
      </c>
      <c r="C173" s="1">
        <v>45730</v>
      </c>
      <c r="D173" t="s">
        <v>228</v>
      </c>
      <c r="E173" t="str">
        <f t="shared" si="6"/>
        <v>70610010</v>
      </c>
      <c r="F173" t="s">
        <v>148</v>
      </c>
      <c r="G173" t="s">
        <v>341</v>
      </c>
      <c r="H173" t="s">
        <v>349</v>
      </c>
      <c r="I173">
        <v>0</v>
      </c>
      <c r="J173" t="s">
        <v>343</v>
      </c>
      <c r="L173">
        <v>360000</v>
      </c>
      <c r="N173">
        <v>360000</v>
      </c>
    </row>
    <row r="174" spans="1:14" x14ac:dyDescent="0.35">
      <c r="A174" t="str">
        <f t="shared" si="5"/>
        <v>VTE45730FMT250040670610010</v>
      </c>
      <c r="B174" t="s">
        <v>131</v>
      </c>
      <c r="C174" s="1">
        <v>45730</v>
      </c>
      <c r="D174" t="s">
        <v>229</v>
      </c>
      <c r="E174" t="str">
        <f t="shared" si="6"/>
        <v>70610010</v>
      </c>
      <c r="F174" t="s">
        <v>148</v>
      </c>
      <c r="G174" t="s">
        <v>341</v>
      </c>
      <c r="H174" t="s">
        <v>349</v>
      </c>
      <c r="I174">
        <v>0</v>
      </c>
      <c r="J174" t="s">
        <v>343</v>
      </c>
      <c r="L174">
        <v>360000</v>
      </c>
      <c r="N174">
        <v>360000</v>
      </c>
    </row>
    <row r="175" spans="1:14" x14ac:dyDescent="0.35">
      <c r="A175" t="str">
        <f t="shared" si="5"/>
        <v>VTE45730FMT250040770610010</v>
      </c>
      <c r="B175" t="s">
        <v>131</v>
      </c>
      <c r="C175" s="1">
        <v>45730</v>
      </c>
      <c r="D175" t="s">
        <v>230</v>
      </c>
      <c r="E175" t="str">
        <f t="shared" si="6"/>
        <v>70610010</v>
      </c>
      <c r="F175" t="s">
        <v>148</v>
      </c>
      <c r="G175" t="s">
        <v>341</v>
      </c>
      <c r="H175" t="s">
        <v>349</v>
      </c>
      <c r="I175">
        <v>0</v>
      </c>
      <c r="J175" t="s">
        <v>343</v>
      </c>
      <c r="L175">
        <v>720000</v>
      </c>
      <c r="N175">
        <v>720000</v>
      </c>
    </row>
    <row r="176" spans="1:14" x14ac:dyDescent="0.35">
      <c r="A176" t="str">
        <f t="shared" si="5"/>
        <v>VTE45730FMT250040870610010</v>
      </c>
      <c r="B176" t="s">
        <v>131</v>
      </c>
      <c r="C176" s="1">
        <v>45730</v>
      </c>
      <c r="D176" t="s">
        <v>231</v>
      </c>
      <c r="E176" t="str">
        <f t="shared" si="6"/>
        <v>70610010</v>
      </c>
      <c r="F176" t="s">
        <v>163</v>
      </c>
      <c r="G176" t="s">
        <v>341</v>
      </c>
      <c r="H176" t="s">
        <v>349</v>
      </c>
      <c r="I176">
        <v>0</v>
      </c>
      <c r="J176" t="s">
        <v>343</v>
      </c>
      <c r="L176">
        <v>132000</v>
      </c>
      <c r="N176">
        <v>132000</v>
      </c>
    </row>
    <row r="177" spans="1:14" x14ac:dyDescent="0.35">
      <c r="A177" t="str">
        <f t="shared" si="5"/>
        <v>VTE45730FMT250040870610050</v>
      </c>
      <c r="B177" t="s">
        <v>131</v>
      </c>
      <c r="C177" s="1">
        <v>45730</v>
      </c>
      <c r="D177" t="s">
        <v>231</v>
      </c>
      <c r="E177" t="str">
        <f>"70610050"</f>
        <v>70610050</v>
      </c>
      <c r="F177" t="s">
        <v>163</v>
      </c>
      <c r="G177" t="s">
        <v>341</v>
      </c>
      <c r="H177" t="s">
        <v>349</v>
      </c>
      <c r="I177">
        <v>0</v>
      </c>
      <c r="J177" t="s">
        <v>343</v>
      </c>
      <c r="L177">
        <v>198000</v>
      </c>
      <c r="N177">
        <v>198000</v>
      </c>
    </row>
    <row r="178" spans="1:14" x14ac:dyDescent="0.35">
      <c r="A178" t="str">
        <f t="shared" si="5"/>
        <v>VTE45730FMT250040947310100</v>
      </c>
      <c r="B178" t="s">
        <v>131</v>
      </c>
      <c r="C178" s="1">
        <v>45730</v>
      </c>
      <c r="D178" t="s">
        <v>232</v>
      </c>
      <c r="E178" t="str">
        <f>"47310100"</f>
        <v>47310100</v>
      </c>
      <c r="F178" t="s">
        <v>233</v>
      </c>
      <c r="G178" t="s">
        <v>341</v>
      </c>
      <c r="H178" t="s">
        <v>351</v>
      </c>
      <c r="I178">
        <v>0</v>
      </c>
      <c r="J178" t="s">
        <v>343</v>
      </c>
      <c r="L178">
        <v>88500</v>
      </c>
      <c r="N178">
        <v>88500</v>
      </c>
    </row>
    <row r="179" spans="1:14" x14ac:dyDescent="0.35">
      <c r="A179" t="str">
        <f t="shared" si="5"/>
        <v>VTE45730FMT250040970610010</v>
      </c>
      <c r="B179" t="s">
        <v>131</v>
      </c>
      <c r="C179" s="1">
        <v>45730</v>
      </c>
      <c r="D179" t="s">
        <v>232</v>
      </c>
      <c r="E179" t="str">
        <f>"70610010"</f>
        <v>70610010</v>
      </c>
      <c r="F179" t="s">
        <v>233</v>
      </c>
      <c r="G179" t="s">
        <v>341</v>
      </c>
      <c r="H179" t="s">
        <v>349</v>
      </c>
      <c r="I179">
        <v>0</v>
      </c>
      <c r="J179" t="s">
        <v>343</v>
      </c>
      <c r="L179">
        <v>66000</v>
      </c>
      <c r="N179">
        <v>198000</v>
      </c>
    </row>
    <row r="180" spans="1:14" x14ac:dyDescent="0.35">
      <c r="A180" t="str">
        <f t="shared" si="5"/>
        <v>VTE45730FMT250040970610010</v>
      </c>
      <c r="B180" t="s">
        <v>131</v>
      </c>
      <c r="C180" s="1">
        <v>45730</v>
      </c>
      <c r="D180" t="s">
        <v>232</v>
      </c>
      <c r="E180" t="str">
        <f>"70610010"</f>
        <v>70610010</v>
      </c>
      <c r="F180" t="s">
        <v>233</v>
      </c>
      <c r="G180" t="s">
        <v>341</v>
      </c>
      <c r="H180" t="s">
        <v>350</v>
      </c>
      <c r="I180">
        <v>0</v>
      </c>
      <c r="J180" t="s">
        <v>343</v>
      </c>
      <c r="L180">
        <v>132000</v>
      </c>
      <c r="N180">
        <v>198000</v>
      </c>
    </row>
    <row r="181" spans="1:14" x14ac:dyDescent="0.35">
      <c r="A181" t="str">
        <f t="shared" si="5"/>
        <v>VTE45730FMT250041047310100</v>
      </c>
      <c r="B181" t="s">
        <v>131</v>
      </c>
      <c r="C181" s="1">
        <v>45730</v>
      </c>
      <c r="D181" t="s">
        <v>234</v>
      </c>
      <c r="E181" t="str">
        <f>"47310100"</f>
        <v>47310100</v>
      </c>
      <c r="F181" t="s">
        <v>233</v>
      </c>
      <c r="G181" t="s">
        <v>341</v>
      </c>
      <c r="H181" t="s">
        <v>351</v>
      </c>
      <c r="I181">
        <v>0</v>
      </c>
      <c r="J181" t="s">
        <v>343</v>
      </c>
      <c r="L181">
        <v>59000</v>
      </c>
      <c r="N181">
        <v>59000</v>
      </c>
    </row>
    <row r="182" spans="1:14" x14ac:dyDescent="0.35">
      <c r="A182" t="str">
        <f t="shared" si="5"/>
        <v>VTE45730FMT250041070610010</v>
      </c>
      <c r="B182" t="s">
        <v>131</v>
      </c>
      <c r="C182" s="1">
        <v>45730</v>
      </c>
      <c r="D182" t="s">
        <v>234</v>
      </c>
      <c r="E182" t="str">
        <f>"70610010"</f>
        <v>70610010</v>
      </c>
      <c r="F182" t="s">
        <v>233</v>
      </c>
      <c r="G182" t="s">
        <v>341</v>
      </c>
      <c r="H182" t="s">
        <v>350</v>
      </c>
      <c r="I182">
        <v>0</v>
      </c>
      <c r="J182" t="s">
        <v>343</v>
      </c>
      <c r="L182">
        <v>132000</v>
      </c>
      <c r="N182">
        <v>132000</v>
      </c>
    </row>
    <row r="183" spans="1:14" x14ac:dyDescent="0.35">
      <c r="A183" t="str">
        <f t="shared" si="5"/>
        <v>VTE45730FMT250041147310100</v>
      </c>
      <c r="B183" t="s">
        <v>131</v>
      </c>
      <c r="C183" s="1">
        <v>45730</v>
      </c>
      <c r="D183" t="s">
        <v>235</v>
      </c>
      <c r="E183" t="str">
        <f>"47310100"</f>
        <v>47310100</v>
      </c>
      <c r="F183" t="s">
        <v>139</v>
      </c>
      <c r="G183" t="s">
        <v>341</v>
      </c>
      <c r="H183" t="s">
        <v>351</v>
      </c>
      <c r="I183">
        <v>0</v>
      </c>
      <c r="J183" t="s">
        <v>343</v>
      </c>
      <c r="L183">
        <v>118000</v>
      </c>
      <c r="N183">
        <v>118000</v>
      </c>
    </row>
    <row r="184" spans="1:14" x14ac:dyDescent="0.35">
      <c r="A184" t="str">
        <f t="shared" si="5"/>
        <v>VTE45730FMT250041170610010</v>
      </c>
      <c r="B184" t="s">
        <v>131</v>
      </c>
      <c r="C184" s="1">
        <v>45730</v>
      </c>
      <c r="D184" t="s">
        <v>235</v>
      </c>
      <c r="E184" t="str">
        <f>"70610010"</f>
        <v>70610010</v>
      </c>
      <c r="F184" t="s">
        <v>139</v>
      </c>
      <c r="G184" t="s">
        <v>341</v>
      </c>
      <c r="H184" t="s">
        <v>349</v>
      </c>
      <c r="I184">
        <v>0</v>
      </c>
      <c r="J184" t="s">
        <v>343</v>
      </c>
      <c r="L184">
        <v>536000</v>
      </c>
      <c r="N184">
        <v>536000</v>
      </c>
    </row>
    <row r="185" spans="1:14" x14ac:dyDescent="0.35">
      <c r="A185" t="str">
        <f t="shared" si="5"/>
        <v>VTE45730FMT250041247310100</v>
      </c>
      <c r="B185" t="s">
        <v>131</v>
      </c>
      <c r="C185" s="1">
        <v>45730</v>
      </c>
      <c r="D185" t="s">
        <v>236</v>
      </c>
      <c r="E185" t="str">
        <f>"47310100"</f>
        <v>47310100</v>
      </c>
      <c r="F185" t="s">
        <v>139</v>
      </c>
      <c r="G185" t="s">
        <v>341</v>
      </c>
      <c r="H185" t="s">
        <v>351</v>
      </c>
      <c r="I185">
        <v>0</v>
      </c>
      <c r="J185" t="s">
        <v>343</v>
      </c>
      <c r="L185">
        <v>118000</v>
      </c>
      <c r="N185">
        <v>118000</v>
      </c>
    </row>
    <row r="186" spans="1:14" x14ac:dyDescent="0.35">
      <c r="A186" t="str">
        <f t="shared" si="5"/>
        <v>VTE45730FMT250041270610010</v>
      </c>
      <c r="B186" t="s">
        <v>131</v>
      </c>
      <c r="C186" s="1">
        <v>45730</v>
      </c>
      <c r="D186" t="s">
        <v>236</v>
      </c>
      <c r="E186" t="str">
        <f>"70610010"</f>
        <v>70610010</v>
      </c>
      <c r="F186" t="s">
        <v>139</v>
      </c>
      <c r="G186" t="s">
        <v>341</v>
      </c>
      <c r="H186" t="s">
        <v>349</v>
      </c>
      <c r="I186">
        <v>0</v>
      </c>
      <c r="J186" t="s">
        <v>343</v>
      </c>
      <c r="L186">
        <v>536000</v>
      </c>
      <c r="N186">
        <v>536000</v>
      </c>
    </row>
    <row r="187" spans="1:14" x14ac:dyDescent="0.35">
      <c r="A187" t="str">
        <f t="shared" si="5"/>
        <v>VTE45730FMT250041347310100</v>
      </c>
      <c r="B187" t="s">
        <v>131</v>
      </c>
      <c r="C187" s="1">
        <v>45730</v>
      </c>
      <c r="D187" t="s">
        <v>237</v>
      </c>
      <c r="E187" t="str">
        <f>"47310100"</f>
        <v>47310100</v>
      </c>
      <c r="F187" t="s">
        <v>139</v>
      </c>
      <c r="G187" t="s">
        <v>341</v>
      </c>
      <c r="H187" t="s">
        <v>351</v>
      </c>
      <c r="I187">
        <v>0</v>
      </c>
      <c r="J187" t="s">
        <v>343</v>
      </c>
      <c r="L187">
        <v>118000</v>
      </c>
      <c r="N187">
        <v>118000</v>
      </c>
    </row>
    <row r="188" spans="1:14" x14ac:dyDescent="0.35">
      <c r="A188" t="str">
        <f t="shared" si="5"/>
        <v>VTE45730FMT250041370610010</v>
      </c>
      <c r="B188" t="s">
        <v>131</v>
      </c>
      <c r="C188" s="1">
        <v>45730</v>
      </c>
      <c r="D188" t="s">
        <v>237</v>
      </c>
      <c r="E188" t="str">
        <f>"70610010"</f>
        <v>70610010</v>
      </c>
      <c r="F188" t="s">
        <v>139</v>
      </c>
      <c r="G188" t="s">
        <v>341</v>
      </c>
      <c r="H188" t="s">
        <v>349</v>
      </c>
      <c r="I188">
        <v>0</v>
      </c>
      <c r="J188" t="s">
        <v>343</v>
      </c>
      <c r="L188">
        <v>536000</v>
      </c>
      <c r="N188">
        <v>536000</v>
      </c>
    </row>
    <row r="189" spans="1:14" x14ac:dyDescent="0.35">
      <c r="A189" t="str">
        <f t="shared" si="5"/>
        <v>VTE45734FMT250041447310100</v>
      </c>
      <c r="B189" t="s">
        <v>131</v>
      </c>
      <c r="C189" s="1">
        <v>45734</v>
      </c>
      <c r="D189" t="s">
        <v>238</v>
      </c>
      <c r="E189" t="str">
        <f>"47310100"</f>
        <v>47310100</v>
      </c>
      <c r="F189" t="s">
        <v>159</v>
      </c>
      <c r="G189" t="s">
        <v>341</v>
      </c>
      <c r="H189" t="s">
        <v>351</v>
      </c>
      <c r="I189">
        <v>0</v>
      </c>
      <c r="J189" t="s">
        <v>343</v>
      </c>
      <c r="L189">
        <v>29500</v>
      </c>
      <c r="N189">
        <v>29500</v>
      </c>
    </row>
    <row r="190" spans="1:14" x14ac:dyDescent="0.35">
      <c r="A190" t="str">
        <f t="shared" si="5"/>
        <v>VTE45734FMT250041447310100</v>
      </c>
      <c r="B190" t="s">
        <v>131</v>
      </c>
      <c r="C190" s="1">
        <v>45734</v>
      </c>
      <c r="D190" t="s">
        <v>238</v>
      </c>
      <c r="E190" t="str">
        <f>"47310100"</f>
        <v>47310100</v>
      </c>
      <c r="F190" t="s">
        <v>159</v>
      </c>
      <c r="G190" t="s">
        <v>341</v>
      </c>
      <c r="H190" t="s">
        <v>351</v>
      </c>
      <c r="I190">
        <v>0</v>
      </c>
      <c r="J190" t="s">
        <v>343</v>
      </c>
      <c r="L190">
        <v>29500</v>
      </c>
      <c r="N190">
        <v>29500</v>
      </c>
    </row>
    <row r="191" spans="1:14" x14ac:dyDescent="0.35">
      <c r="A191" t="str">
        <f t="shared" si="5"/>
        <v>VTE45734FMT250041447310100</v>
      </c>
      <c r="B191" t="s">
        <v>131</v>
      </c>
      <c r="C191" s="1">
        <v>45734</v>
      </c>
      <c r="D191" t="s">
        <v>238</v>
      </c>
      <c r="E191" t="str">
        <f>"47310100"</f>
        <v>47310100</v>
      </c>
      <c r="F191" t="s">
        <v>239</v>
      </c>
      <c r="G191" t="s">
        <v>341</v>
      </c>
      <c r="H191" t="s">
        <v>351</v>
      </c>
      <c r="I191">
        <v>0</v>
      </c>
      <c r="J191" t="s">
        <v>343</v>
      </c>
      <c r="L191">
        <v>-29500</v>
      </c>
      <c r="N191">
        <v>-29500</v>
      </c>
    </row>
    <row r="192" spans="1:14" x14ac:dyDescent="0.35">
      <c r="A192" t="str">
        <f t="shared" si="5"/>
        <v>VTE45734FMT250041470610010</v>
      </c>
      <c r="B192" t="s">
        <v>131</v>
      </c>
      <c r="C192" s="1">
        <v>45734</v>
      </c>
      <c r="D192" t="s">
        <v>238</v>
      </c>
      <c r="E192" t="str">
        <f>"70610010"</f>
        <v>70610010</v>
      </c>
      <c r="F192" t="s">
        <v>159</v>
      </c>
      <c r="G192" t="s">
        <v>341</v>
      </c>
      <c r="H192" t="s">
        <v>349</v>
      </c>
      <c r="I192">
        <v>0</v>
      </c>
      <c r="J192" t="s">
        <v>343</v>
      </c>
      <c r="L192">
        <v>66000</v>
      </c>
      <c r="N192">
        <v>66000</v>
      </c>
    </row>
    <row r="193" spans="1:14" x14ac:dyDescent="0.35">
      <c r="A193" t="str">
        <f t="shared" si="5"/>
        <v>VTE45734FMT250041470610010</v>
      </c>
      <c r="B193" t="s">
        <v>131</v>
      </c>
      <c r="C193" s="1">
        <v>45734</v>
      </c>
      <c r="D193" t="s">
        <v>238</v>
      </c>
      <c r="E193" t="str">
        <f>"70610010"</f>
        <v>70610010</v>
      </c>
      <c r="F193" t="s">
        <v>159</v>
      </c>
      <c r="G193" t="s">
        <v>341</v>
      </c>
      <c r="H193" t="s">
        <v>349</v>
      </c>
      <c r="I193">
        <v>0</v>
      </c>
      <c r="J193" t="s">
        <v>343</v>
      </c>
      <c r="L193">
        <v>66000</v>
      </c>
      <c r="N193">
        <v>66000</v>
      </c>
    </row>
    <row r="194" spans="1:14" x14ac:dyDescent="0.35">
      <c r="A194" t="str">
        <f t="shared" si="5"/>
        <v>VTE45734FMT250041470610010</v>
      </c>
      <c r="B194" t="s">
        <v>131</v>
      </c>
      <c r="C194" s="1">
        <v>45734</v>
      </c>
      <c r="D194" t="s">
        <v>238</v>
      </c>
      <c r="E194" t="str">
        <f>"70610010"</f>
        <v>70610010</v>
      </c>
      <c r="F194" t="s">
        <v>239</v>
      </c>
      <c r="G194" t="s">
        <v>341</v>
      </c>
      <c r="H194" t="s">
        <v>349</v>
      </c>
      <c r="I194">
        <v>0</v>
      </c>
      <c r="J194" t="s">
        <v>343</v>
      </c>
      <c r="L194">
        <v>-66000</v>
      </c>
      <c r="N194">
        <v>-66000</v>
      </c>
    </row>
    <row r="195" spans="1:14" x14ac:dyDescent="0.35">
      <c r="A195" t="str">
        <f t="shared" ref="A195:A258" si="7">CONCATENATE(B195,C195,D195,E195)</f>
        <v>VTE45734FMT250041547310100</v>
      </c>
      <c r="B195" t="s">
        <v>131</v>
      </c>
      <c r="C195" s="1">
        <v>45734</v>
      </c>
      <c r="D195" t="s">
        <v>240</v>
      </c>
      <c r="E195" t="str">
        <f>"47310100"</f>
        <v>47310100</v>
      </c>
      <c r="F195" t="s">
        <v>188</v>
      </c>
      <c r="G195" t="s">
        <v>341</v>
      </c>
      <c r="H195" t="s">
        <v>351</v>
      </c>
      <c r="I195">
        <v>0</v>
      </c>
      <c r="J195" t="s">
        <v>343</v>
      </c>
      <c r="L195">
        <v>59000</v>
      </c>
      <c r="N195">
        <v>59000</v>
      </c>
    </row>
    <row r="196" spans="1:14" x14ac:dyDescent="0.35">
      <c r="A196" t="str">
        <f t="shared" si="7"/>
        <v>VTE45734FMT250041547310100</v>
      </c>
      <c r="B196" t="s">
        <v>131</v>
      </c>
      <c r="C196" s="1">
        <v>45734</v>
      </c>
      <c r="D196" t="s">
        <v>240</v>
      </c>
      <c r="E196" t="str">
        <f>"47310100"</f>
        <v>47310100</v>
      </c>
      <c r="F196" t="s">
        <v>188</v>
      </c>
      <c r="G196" t="s">
        <v>341</v>
      </c>
      <c r="H196" t="s">
        <v>351</v>
      </c>
      <c r="I196">
        <v>0</v>
      </c>
      <c r="J196" t="s">
        <v>343</v>
      </c>
      <c r="L196">
        <v>59000</v>
      </c>
      <c r="N196">
        <v>59000</v>
      </c>
    </row>
    <row r="197" spans="1:14" x14ac:dyDescent="0.35">
      <c r="A197" t="str">
        <f t="shared" si="7"/>
        <v>VTE45734FMT250041547310100</v>
      </c>
      <c r="B197" t="s">
        <v>131</v>
      </c>
      <c r="C197" s="1">
        <v>45734</v>
      </c>
      <c r="D197" t="s">
        <v>240</v>
      </c>
      <c r="E197" t="str">
        <f>"47310100"</f>
        <v>47310100</v>
      </c>
      <c r="F197" t="s">
        <v>241</v>
      </c>
      <c r="G197" t="s">
        <v>341</v>
      </c>
      <c r="H197" t="s">
        <v>351</v>
      </c>
      <c r="I197">
        <v>0</v>
      </c>
      <c r="J197" t="s">
        <v>343</v>
      </c>
      <c r="L197">
        <v>-59000</v>
      </c>
      <c r="N197">
        <v>-59000</v>
      </c>
    </row>
    <row r="198" spans="1:14" x14ac:dyDescent="0.35">
      <c r="A198" t="str">
        <f t="shared" si="7"/>
        <v>VTE45734FMT250041570610010</v>
      </c>
      <c r="B198" t="s">
        <v>131</v>
      </c>
      <c r="C198" s="1">
        <v>45734</v>
      </c>
      <c r="D198" t="s">
        <v>240</v>
      </c>
      <c r="E198" t="str">
        <f>"70610010"</f>
        <v>70610010</v>
      </c>
      <c r="F198" t="s">
        <v>188</v>
      </c>
      <c r="G198" t="s">
        <v>341</v>
      </c>
      <c r="H198" t="s">
        <v>349</v>
      </c>
      <c r="I198">
        <v>0</v>
      </c>
      <c r="J198" t="s">
        <v>343</v>
      </c>
      <c r="L198">
        <v>300000</v>
      </c>
      <c r="N198">
        <v>300000</v>
      </c>
    </row>
    <row r="199" spans="1:14" x14ac:dyDescent="0.35">
      <c r="A199" t="str">
        <f t="shared" si="7"/>
        <v>VTE45734FMT250041570610010</v>
      </c>
      <c r="B199" t="s">
        <v>131</v>
      </c>
      <c r="C199" s="1">
        <v>45734</v>
      </c>
      <c r="D199" t="s">
        <v>240</v>
      </c>
      <c r="E199" t="str">
        <f>"70610010"</f>
        <v>70610010</v>
      </c>
      <c r="F199" t="s">
        <v>188</v>
      </c>
      <c r="G199" t="s">
        <v>341</v>
      </c>
      <c r="H199" t="s">
        <v>349</v>
      </c>
      <c r="I199">
        <v>0</v>
      </c>
      <c r="J199" t="s">
        <v>343</v>
      </c>
      <c r="L199">
        <v>300000</v>
      </c>
      <c r="N199">
        <v>300000</v>
      </c>
    </row>
    <row r="200" spans="1:14" x14ac:dyDescent="0.35">
      <c r="A200" t="str">
        <f t="shared" si="7"/>
        <v>VTE45734FMT250041570610010</v>
      </c>
      <c r="B200" t="s">
        <v>131</v>
      </c>
      <c r="C200" s="1">
        <v>45734</v>
      </c>
      <c r="D200" t="s">
        <v>240</v>
      </c>
      <c r="E200" t="str">
        <f>"70610010"</f>
        <v>70610010</v>
      </c>
      <c r="F200" t="s">
        <v>241</v>
      </c>
      <c r="G200" t="s">
        <v>341</v>
      </c>
      <c r="H200" t="s">
        <v>349</v>
      </c>
      <c r="I200">
        <v>0</v>
      </c>
      <c r="J200" t="s">
        <v>343</v>
      </c>
      <c r="L200">
        <v>-300000</v>
      </c>
      <c r="N200">
        <v>-300000</v>
      </c>
    </row>
    <row r="201" spans="1:14" x14ac:dyDescent="0.35">
      <c r="A201" t="str">
        <f t="shared" si="7"/>
        <v>VTE45734FMT250041647310100</v>
      </c>
      <c r="B201" t="s">
        <v>131</v>
      </c>
      <c r="C201" s="1">
        <v>45734</v>
      </c>
      <c r="D201" t="s">
        <v>242</v>
      </c>
      <c r="E201" t="str">
        <f>"47310100"</f>
        <v>47310100</v>
      </c>
      <c r="F201" t="s">
        <v>188</v>
      </c>
      <c r="G201" t="s">
        <v>341</v>
      </c>
      <c r="H201" t="s">
        <v>351</v>
      </c>
      <c r="I201">
        <v>0</v>
      </c>
      <c r="J201" t="s">
        <v>343</v>
      </c>
      <c r="L201">
        <v>59000</v>
      </c>
      <c r="N201">
        <v>59000</v>
      </c>
    </row>
    <row r="202" spans="1:14" x14ac:dyDescent="0.35">
      <c r="A202" t="str">
        <f t="shared" si="7"/>
        <v>VTE45734FMT250041647310100</v>
      </c>
      <c r="B202" t="s">
        <v>131</v>
      </c>
      <c r="C202" s="1">
        <v>45734</v>
      </c>
      <c r="D202" t="s">
        <v>242</v>
      </c>
      <c r="E202" t="str">
        <f>"47310100"</f>
        <v>47310100</v>
      </c>
      <c r="F202" t="s">
        <v>188</v>
      </c>
      <c r="G202" t="s">
        <v>341</v>
      </c>
      <c r="H202" t="s">
        <v>351</v>
      </c>
      <c r="I202">
        <v>0</v>
      </c>
      <c r="J202" t="s">
        <v>343</v>
      </c>
      <c r="L202">
        <v>59000</v>
      </c>
      <c r="N202">
        <v>59000</v>
      </c>
    </row>
    <row r="203" spans="1:14" x14ac:dyDescent="0.35">
      <c r="A203" t="str">
        <f t="shared" si="7"/>
        <v>VTE45734FMT250041647310100</v>
      </c>
      <c r="B203" t="s">
        <v>131</v>
      </c>
      <c r="C203" s="1">
        <v>45734</v>
      </c>
      <c r="D203" t="s">
        <v>242</v>
      </c>
      <c r="E203" t="str">
        <f>"47310100"</f>
        <v>47310100</v>
      </c>
      <c r="F203" t="s">
        <v>241</v>
      </c>
      <c r="G203" t="s">
        <v>341</v>
      </c>
      <c r="H203" t="s">
        <v>351</v>
      </c>
      <c r="I203">
        <v>0</v>
      </c>
      <c r="J203" t="s">
        <v>343</v>
      </c>
      <c r="L203">
        <v>-59000</v>
      </c>
      <c r="N203">
        <v>-59000</v>
      </c>
    </row>
    <row r="204" spans="1:14" x14ac:dyDescent="0.35">
      <c r="A204" t="str">
        <f t="shared" si="7"/>
        <v>VTE45734FMT250041670610010</v>
      </c>
      <c r="B204" t="s">
        <v>131</v>
      </c>
      <c r="C204" s="1">
        <v>45734</v>
      </c>
      <c r="D204" t="s">
        <v>242</v>
      </c>
      <c r="E204" t="str">
        <f>"70610010"</f>
        <v>70610010</v>
      </c>
      <c r="F204" t="s">
        <v>188</v>
      </c>
      <c r="G204" t="s">
        <v>341</v>
      </c>
      <c r="H204" t="s">
        <v>349</v>
      </c>
      <c r="I204">
        <v>0</v>
      </c>
      <c r="J204" t="s">
        <v>343</v>
      </c>
      <c r="L204">
        <v>300000</v>
      </c>
      <c r="N204">
        <v>300000</v>
      </c>
    </row>
    <row r="205" spans="1:14" x14ac:dyDescent="0.35">
      <c r="A205" t="str">
        <f t="shared" si="7"/>
        <v>VTE45734FMT250041670610010</v>
      </c>
      <c r="B205" t="s">
        <v>131</v>
      </c>
      <c r="C205" s="1">
        <v>45734</v>
      </c>
      <c r="D205" t="s">
        <v>242</v>
      </c>
      <c r="E205" t="str">
        <f>"70610010"</f>
        <v>70610010</v>
      </c>
      <c r="F205" t="s">
        <v>188</v>
      </c>
      <c r="G205" t="s">
        <v>341</v>
      </c>
      <c r="H205" t="s">
        <v>349</v>
      </c>
      <c r="I205">
        <v>0</v>
      </c>
      <c r="J205" t="s">
        <v>343</v>
      </c>
      <c r="L205">
        <v>300000</v>
      </c>
      <c r="N205">
        <v>300000</v>
      </c>
    </row>
    <row r="206" spans="1:14" x14ac:dyDescent="0.35">
      <c r="A206" t="str">
        <f t="shared" si="7"/>
        <v>VTE45734FMT250041670610010</v>
      </c>
      <c r="B206" t="s">
        <v>131</v>
      </c>
      <c r="C206" s="1">
        <v>45734</v>
      </c>
      <c r="D206" t="s">
        <v>242</v>
      </c>
      <c r="E206" t="str">
        <f>"70610010"</f>
        <v>70610010</v>
      </c>
      <c r="F206" t="s">
        <v>241</v>
      </c>
      <c r="G206" t="s">
        <v>341</v>
      </c>
      <c r="H206" t="s">
        <v>349</v>
      </c>
      <c r="I206">
        <v>0</v>
      </c>
      <c r="J206" t="s">
        <v>343</v>
      </c>
      <c r="L206">
        <v>-300000</v>
      </c>
      <c r="N206">
        <v>-300000</v>
      </c>
    </row>
    <row r="207" spans="1:14" x14ac:dyDescent="0.35">
      <c r="A207" t="str">
        <f t="shared" si="7"/>
        <v>VTE45734FMT250041747310100</v>
      </c>
      <c r="B207" t="s">
        <v>131</v>
      </c>
      <c r="C207" s="1">
        <v>45734</v>
      </c>
      <c r="D207" t="s">
        <v>243</v>
      </c>
      <c r="E207" t="str">
        <f>"47310100"</f>
        <v>47310100</v>
      </c>
      <c r="F207" t="s">
        <v>159</v>
      </c>
      <c r="G207" t="s">
        <v>341</v>
      </c>
      <c r="H207" t="s">
        <v>351</v>
      </c>
      <c r="I207">
        <v>0</v>
      </c>
      <c r="J207" t="s">
        <v>343</v>
      </c>
      <c r="L207">
        <v>29500</v>
      </c>
      <c r="N207">
        <v>29500</v>
      </c>
    </row>
    <row r="208" spans="1:14" x14ac:dyDescent="0.35">
      <c r="A208" t="str">
        <f t="shared" si="7"/>
        <v>VTE45734FMT250041747310100</v>
      </c>
      <c r="B208" t="s">
        <v>131</v>
      </c>
      <c r="C208" s="1">
        <v>45734</v>
      </c>
      <c r="D208" t="s">
        <v>243</v>
      </c>
      <c r="E208" t="str">
        <f>"47310100"</f>
        <v>47310100</v>
      </c>
      <c r="F208" t="s">
        <v>159</v>
      </c>
      <c r="G208" t="s">
        <v>341</v>
      </c>
      <c r="H208" t="s">
        <v>351</v>
      </c>
      <c r="I208">
        <v>0</v>
      </c>
      <c r="J208" t="s">
        <v>343</v>
      </c>
      <c r="L208">
        <v>29500</v>
      </c>
      <c r="N208">
        <v>29500</v>
      </c>
    </row>
    <row r="209" spans="1:14" x14ac:dyDescent="0.35">
      <c r="A209" t="str">
        <f t="shared" si="7"/>
        <v>VTE45734FMT250041747310100</v>
      </c>
      <c r="B209" t="s">
        <v>131</v>
      </c>
      <c r="C209" s="1">
        <v>45734</v>
      </c>
      <c r="D209" t="s">
        <v>243</v>
      </c>
      <c r="E209" t="str">
        <f>"47310100"</f>
        <v>47310100</v>
      </c>
      <c r="F209" t="s">
        <v>239</v>
      </c>
      <c r="G209" t="s">
        <v>341</v>
      </c>
      <c r="H209" t="s">
        <v>351</v>
      </c>
      <c r="I209">
        <v>0</v>
      </c>
      <c r="J209" t="s">
        <v>343</v>
      </c>
      <c r="L209">
        <v>-29500</v>
      </c>
      <c r="N209">
        <v>-29500</v>
      </c>
    </row>
    <row r="210" spans="1:14" x14ac:dyDescent="0.35">
      <c r="A210" t="str">
        <f t="shared" si="7"/>
        <v>VTE45734FMT250041770610010</v>
      </c>
      <c r="B210" t="s">
        <v>131</v>
      </c>
      <c r="C210" s="1">
        <v>45734</v>
      </c>
      <c r="D210" t="s">
        <v>243</v>
      </c>
      <c r="E210" t="str">
        <f>"70610010"</f>
        <v>70610010</v>
      </c>
      <c r="F210" t="s">
        <v>159</v>
      </c>
      <c r="G210" t="s">
        <v>341</v>
      </c>
      <c r="H210" t="s">
        <v>349</v>
      </c>
      <c r="I210">
        <v>0</v>
      </c>
      <c r="J210" t="s">
        <v>343</v>
      </c>
      <c r="L210">
        <v>148500</v>
      </c>
      <c r="N210">
        <v>148500</v>
      </c>
    </row>
    <row r="211" spans="1:14" x14ac:dyDescent="0.35">
      <c r="A211" t="str">
        <f t="shared" si="7"/>
        <v>VTE45734FMT250041770610010</v>
      </c>
      <c r="B211" t="s">
        <v>131</v>
      </c>
      <c r="C211" s="1">
        <v>45734</v>
      </c>
      <c r="D211" t="s">
        <v>243</v>
      </c>
      <c r="E211" t="str">
        <f>"70610010"</f>
        <v>70610010</v>
      </c>
      <c r="F211" t="s">
        <v>159</v>
      </c>
      <c r="G211" t="s">
        <v>341</v>
      </c>
      <c r="H211" t="s">
        <v>349</v>
      </c>
      <c r="I211">
        <v>0</v>
      </c>
      <c r="J211" t="s">
        <v>343</v>
      </c>
      <c r="L211">
        <v>148500</v>
      </c>
      <c r="N211">
        <v>148500</v>
      </c>
    </row>
    <row r="212" spans="1:14" x14ac:dyDescent="0.35">
      <c r="A212" t="str">
        <f t="shared" si="7"/>
        <v>VTE45734FMT250041770610010</v>
      </c>
      <c r="B212" t="s">
        <v>131</v>
      </c>
      <c r="C212" s="1">
        <v>45734</v>
      </c>
      <c r="D212" t="s">
        <v>243</v>
      </c>
      <c r="E212" t="str">
        <f>"70610010"</f>
        <v>70610010</v>
      </c>
      <c r="F212" t="s">
        <v>239</v>
      </c>
      <c r="G212" t="s">
        <v>341</v>
      </c>
      <c r="H212" t="s">
        <v>349</v>
      </c>
      <c r="I212">
        <v>0</v>
      </c>
      <c r="J212" t="s">
        <v>343</v>
      </c>
      <c r="L212">
        <v>-148500</v>
      </c>
      <c r="N212">
        <v>-148500</v>
      </c>
    </row>
    <row r="213" spans="1:14" x14ac:dyDescent="0.35">
      <c r="A213" t="str">
        <f t="shared" si="7"/>
        <v>VTE45734FMT250041847310100</v>
      </c>
      <c r="B213" t="s">
        <v>131</v>
      </c>
      <c r="C213" s="1">
        <v>45734</v>
      </c>
      <c r="D213" t="s">
        <v>244</v>
      </c>
      <c r="E213" t="str">
        <f>"47310100"</f>
        <v>47310100</v>
      </c>
      <c r="F213" t="s">
        <v>159</v>
      </c>
      <c r="G213" t="s">
        <v>341</v>
      </c>
      <c r="H213" t="s">
        <v>351</v>
      </c>
      <c r="I213">
        <v>0</v>
      </c>
      <c r="J213" t="s">
        <v>343</v>
      </c>
      <c r="L213">
        <v>59000</v>
      </c>
      <c r="N213">
        <v>59000</v>
      </c>
    </row>
    <row r="214" spans="1:14" x14ac:dyDescent="0.35">
      <c r="A214" t="str">
        <f t="shared" si="7"/>
        <v>VTE45734FMT250041847310100</v>
      </c>
      <c r="B214" t="s">
        <v>131</v>
      </c>
      <c r="C214" s="1">
        <v>45734</v>
      </c>
      <c r="D214" t="s">
        <v>244</v>
      </c>
      <c r="E214" t="str">
        <f>"47310100"</f>
        <v>47310100</v>
      </c>
      <c r="F214" t="s">
        <v>159</v>
      </c>
      <c r="G214" t="s">
        <v>341</v>
      </c>
      <c r="H214" t="s">
        <v>351</v>
      </c>
      <c r="I214">
        <v>0</v>
      </c>
      <c r="J214" t="s">
        <v>343</v>
      </c>
      <c r="L214">
        <v>59000</v>
      </c>
      <c r="N214">
        <v>59000</v>
      </c>
    </row>
    <row r="215" spans="1:14" x14ac:dyDescent="0.35">
      <c r="A215" t="str">
        <f t="shared" si="7"/>
        <v>VTE45734FMT250041847310100</v>
      </c>
      <c r="B215" t="s">
        <v>131</v>
      </c>
      <c r="C215" s="1">
        <v>45734</v>
      </c>
      <c r="D215" t="s">
        <v>244</v>
      </c>
      <c r="E215" t="str">
        <f>"47310100"</f>
        <v>47310100</v>
      </c>
      <c r="F215" t="s">
        <v>239</v>
      </c>
      <c r="G215" t="s">
        <v>341</v>
      </c>
      <c r="H215" t="s">
        <v>351</v>
      </c>
      <c r="I215">
        <v>0</v>
      </c>
      <c r="J215" t="s">
        <v>343</v>
      </c>
      <c r="L215">
        <v>-59000</v>
      </c>
      <c r="N215">
        <v>-59000</v>
      </c>
    </row>
    <row r="216" spans="1:14" x14ac:dyDescent="0.35">
      <c r="A216" t="str">
        <f t="shared" si="7"/>
        <v>VTE45734FMT250041870610010</v>
      </c>
      <c r="B216" t="s">
        <v>131</v>
      </c>
      <c r="C216" s="1">
        <v>45734</v>
      </c>
      <c r="D216" t="s">
        <v>244</v>
      </c>
      <c r="E216" t="str">
        <f>"70610010"</f>
        <v>70610010</v>
      </c>
      <c r="F216" t="s">
        <v>159</v>
      </c>
      <c r="G216" t="s">
        <v>341</v>
      </c>
      <c r="H216" t="s">
        <v>349</v>
      </c>
      <c r="I216">
        <v>0</v>
      </c>
      <c r="J216" t="s">
        <v>343</v>
      </c>
      <c r="L216">
        <v>297000</v>
      </c>
      <c r="N216">
        <v>297000</v>
      </c>
    </row>
    <row r="217" spans="1:14" x14ac:dyDescent="0.35">
      <c r="A217" t="str">
        <f t="shared" si="7"/>
        <v>VTE45734FMT250041870610010</v>
      </c>
      <c r="B217" t="s">
        <v>131</v>
      </c>
      <c r="C217" s="1">
        <v>45734</v>
      </c>
      <c r="D217" t="s">
        <v>244</v>
      </c>
      <c r="E217" t="str">
        <f>"70610010"</f>
        <v>70610010</v>
      </c>
      <c r="F217" t="s">
        <v>159</v>
      </c>
      <c r="G217" t="s">
        <v>341</v>
      </c>
      <c r="H217" t="s">
        <v>349</v>
      </c>
      <c r="I217">
        <v>0</v>
      </c>
      <c r="J217" t="s">
        <v>343</v>
      </c>
      <c r="L217">
        <v>297000</v>
      </c>
      <c r="N217">
        <v>297000</v>
      </c>
    </row>
    <row r="218" spans="1:14" x14ac:dyDescent="0.35">
      <c r="A218" t="str">
        <f t="shared" si="7"/>
        <v>VTE45734FMT250041870610010</v>
      </c>
      <c r="B218" t="s">
        <v>131</v>
      </c>
      <c r="C218" s="1">
        <v>45734</v>
      </c>
      <c r="D218" t="s">
        <v>244</v>
      </c>
      <c r="E218" t="str">
        <f>"70610010"</f>
        <v>70610010</v>
      </c>
      <c r="F218" t="s">
        <v>239</v>
      </c>
      <c r="G218" t="s">
        <v>341</v>
      </c>
      <c r="H218" t="s">
        <v>349</v>
      </c>
      <c r="I218">
        <v>0</v>
      </c>
      <c r="J218" t="s">
        <v>343</v>
      </c>
      <c r="L218">
        <v>-297000</v>
      </c>
      <c r="N218">
        <v>-297000</v>
      </c>
    </row>
    <row r="219" spans="1:14" x14ac:dyDescent="0.35">
      <c r="A219" t="str">
        <f t="shared" si="7"/>
        <v>VTE45734FMT250041947310100</v>
      </c>
      <c r="B219" t="s">
        <v>131</v>
      </c>
      <c r="C219" s="1">
        <v>45734</v>
      </c>
      <c r="D219" t="s">
        <v>245</v>
      </c>
      <c r="E219" t="str">
        <f>"47310100"</f>
        <v>47310100</v>
      </c>
      <c r="F219" t="s">
        <v>195</v>
      </c>
      <c r="G219" t="s">
        <v>341</v>
      </c>
      <c r="H219" t="s">
        <v>351</v>
      </c>
      <c r="I219">
        <v>0</v>
      </c>
      <c r="J219" t="s">
        <v>343</v>
      </c>
      <c r="L219">
        <v>59000</v>
      </c>
      <c r="N219">
        <v>59000</v>
      </c>
    </row>
    <row r="220" spans="1:14" x14ac:dyDescent="0.35">
      <c r="A220" t="str">
        <f t="shared" si="7"/>
        <v>VTE45734FMT250041947310100</v>
      </c>
      <c r="B220" t="s">
        <v>131</v>
      </c>
      <c r="C220" s="1">
        <v>45734</v>
      </c>
      <c r="D220" t="s">
        <v>245</v>
      </c>
      <c r="E220" t="str">
        <f>"47310100"</f>
        <v>47310100</v>
      </c>
      <c r="F220" t="s">
        <v>195</v>
      </c>
      <c r="G220" t="s">
        <v>341</v>
      </c>
      <c r="H220" t="s">
        <v>351</v>
      </c>
      <c r="I220">
        <v>0</v>
      </c>
      <c r="J220" t="s">
        <v>343</v>
      </c>
      <c r="L220">
        <v>59000</v>
      </c>
      <c r="N220">
        <v>59000</v>
      </c>
    </row>
    <row r="221" spans="1:14" x14ac:dyDescent="0.35">
      <c r="A221" t="str">
        <f t="shared" si="7"/>
        <v>VTE45734FMT250041947310100</v>
      </c>
      <c r="B221" t="s">
        <v>131</v>
      </c>
      <c r="C221" s="1">
        <v>45734</v>
      </c>
      <c r="D221" t="s">
        <v>245</v>
      </c>
      <c r="E221" t="str">
        <f>"47310100"</f>
        <v>47310100</v>
      </c>
      <c r="F221" t="s">
        <v>246</v>
      </c>
      <c r="G221" t="s">
        <v>341</v>
      </c>
      <c r="H221" t="s">
        <v>351</v>
      </c>
      <c r="I221">
        <v>0</v>
      </c>
      <c r="J221" t="s">
        <v>343</v>
      </c>
      <c r="L221">
        <v>-59000</v>
      </c>
      <c r="N221">
        <v>-59000</v>
      </c>
    </row>
    <row r="222" spans="1:14" x14ac:dyDescent="0.35">
      <c r="A222" t="str">
        <f t="shared" si="7"/>
        <v>VTE45734FMT250041970610010</v>
      </c>
      <c r="B222" t="s">
        <v>131</v>
      </c>
      <c r="C222" s="1">
        <v>45734</v>
      </c>
      <c r="D222" t="s">
        <v>245</v>
      </c>
      <c r="E222" t="str">
        <f>"70610010"</f>
        <v>70610010</v>
      </c>
      <c r="F222" t="s">
        <v>195</v>
      </c>
      <c r="G222" t="s">
        <v>341</v>
      </c>
      <c r="H222" t="s">
        <v>349</v>
      </c>
      <c r="I222">
        <v>0</v>
      </c>
      <c r="J222" t="s">
        <v>343</v>
      </c>
      <c r="L222">
        <v>198000</v>
      </c>
      <c r="N222">
        <v>198000</v>
      </c>
    </row>
    <row r="223" spans="1:14" x14ac:dyDescent="0.35">
      <c r="A223" t="str">
        <f t="shared" si="7"/>
        <v>VTE45734FMT250041970610010</v>
      </c>
      <c r="B223" t="s">
        <v>131</v>
      </c>
      <c r="C223" s="1">
        <v>45734</v>
      </c>
      <c r="D223" t="s">
        <v>245</v>
      </c>
      <c r="E223" t="str">
        <f>"70610010"</f>
        <v>70610010</v>
      </c>
      <c r="F223" t="s">
        <v>195</v>
      </c>
      <c r="G223" t="s">
        <v>341</v>
      </c>
      <c r="H223" t="s">
        <v>349</v>
      </c>
      <c r="I223">
        <v>0</v>
      </c>
      <c r="J223" t="s">
        <v>343</v>
      </c>
      <c r="L223">
        <v>198000</v>
      </c>
      <c r="N223">
        <v>198000</v>
      </c>
    </row>
    <row r="224" spans="1:14" x14ac:dyDescent="0.35">
      <c r="A224" t="str">
        <f t="shared" si="7"/>
        <v>VTE45734FMT250041970610010</v>
      </c>
      <c r="B224" t="s">
        <v>131</v>
      </c>
      <c r="C224" s="1">
        <v>45734</v>
      </c>
      <c r="D224" t="s">
        <v>245</v>
      </c>
      <c r="E224" t="str">
        <f>"70610010"</f>
        <v>70610010</v>
      </c>
      <c r="F224" t="s">
        <v>246</v>
      </c>
      <c r="G224" t="s">
        <v>341</v>
      </c>
      <c r="H224" t="s">
        <v>349</v>
      </c>
      <c r="I224">
        <v>0</v>
      </c>
      <c r="J224" t="s">
        <v>343</v>
      </c>
      <c r="L224">
        <v>-198000</v>
      </c>
      <c r="N224">
        <v>-198000</v>
      </c>
    </row>
    <row r="225" spans="1:14" x14ac:dyDescent="0.35">
      <c r="A225" t="str">
        <f t="shared" si="7"/>
        <v>VTE45734FMT250041970610050</v>
      </c>
      <c r="B225" t="s">
        <v>131</v>
      </c>
      <c r="C225" s="1">
        <v>45734</v>
      </c>
      <c r="D225" t="s">
        <v>245</v>
      </c>
      <c r="E225" t="str">
        <f>"70610050"</f>
        <v>70610050</v>
      </c>
      <c r="F225" t="s">
        <v>195</v>
      </c>
      <c r="G225" t="s">
        <v>341</v>
      </c>
      <c r="H225" t="s">
        <v>349</v>
      </c>
      <c r="I225">
        <v>0</v>
      </c>
      <c r="J225" t="s">
        <v>343</v>
      </c>
      <c r="L225">
        <v>198000</v>
      </c>
      <c r="N225">
        <v>198000</v>
      </c>
    </row>
    <row r="226" spans="1:14" x14ac:dyDescent="0.35">
      <c r="A226" t="str">
        <f t="shared" si="7"/>
        <v>VTE45734FMT250041970610050</v>
      </c>
      <c r="B226" t="s">
        <v>131</v>
      </c>
      <c r="C226" s="1">
        <v>45734</v>
      </c>
      <c r="D226" t="s">
        <v>245</v>
      </c>
      <c r="E226" t="str">
        <f>"70610050"</f>
        <v>70610050</v>
      </c>
      <c r="F226" t="s">
        <v>195</v>
      </c>
      <c r="G226" t="s">
        <v>341</v>
      </c>
      <c r="H226" t="s">
        <v>349</v>
      </c>
      <c r="I226">
        <v>0</v>
      </c>
      <c r="J226" t="s">
        <v>343</v>
      </c>
      <c r="L226">
        <v>198000</v>
      </c>
      <c r="N226">
        <v>198000</v>
      </c>
    </row>
    <row r="227" spans="1:14" x14ac:dyDescent="0.35">
      <c r="A227" t="str">
        <f t="shared" si="7"/>
        <v>VTE45734FMT250041970610050</v>
      </c>
      <c r="B227" t="s">
        <v>131</v>
      </c>
      <c r="C227" s="1">
        <v>45734</v>
      </c>
      <c r="D227" t="s">
        <v>245</v>
      </c>
      <c r="E227" t="str">
        <f>"70610050"</f>
        <v>70610050</v>
      </c>
      <c r="F227" t="s">
        <v>246</v>
      </c>
      <c r="G227" t="s">
        <v>341</v>
      </c>
      <c r="H227" t="s">
        <v>349</v>
      </c>
      <c r="I227">
        <v>0</v>
      </c>
      <c r="J227" t="s">
        <v>343</v>
      </c>
      <c r="L227">
        <v>-198000</v>
      </c>
      <c r="N227">
        <v>-198000</v>
      </c>
    </row>
    <row r="228" spans="1:14" x14ac:dyDescent="0.35">
      <c r="A228" t="str">
        <f t="shared" si="7"/>
        <v>VTE45734FMT250042047310100</v>
      </c>
      <c r="B228" t="s">
        <v>131</v>
      </c>
      <c r="C228" s="1">
        <v>45734</v>
      </c>
      <c r="D228" t="s">
        <v>247</v>
      </c>
      <c r="E228" t="str">
        <f>"47310100"</f>
        <v>47310100</v>
      </c>
      <c r="F228" t="s">
        <v>148</v>
      </c>
      <c r="G228" t="s">
        <v>341</v>
      </c>
      <c r="H228" t="s">
        <v>351</v>
      </c>
      <c r="I228">
        <v>0</v>
      </c>
      <c r="J228" t="s">
        <v>343</v>
      </c>
      <c r="L228">
        <v>118000</v>
      </c>
      <c r="N228">
        <v>118000</v>
      </c>
    </row>
    <row r="229" spans="1:14" x14ac:dyDescent="0.35">
      <c r="A229" t="str">
        <f t="shared" si="7"/>
        <v>VTE45734FMT250042047310100</v>
      </c>
      <c r="B229" t="s">
        <v>131</v>
      </c>
      <c r="C229" s="1">
        <v>45734</v>
      </c>
      <c r="D229" t="s">
        <v>247</v>
      </c>
      <c r="E229" t="str">
        <f>"47310100"</f>
        <v>47310100</v>
      </c>
      <c r="F229" t="s">
        <v>148</v>
      </c>
      <c r="G229" t="s">
        <v>341</v>
      </c>
      <c r="H229" t="s">
        <v>351</v>
      </c>
      <c r="I229">
        <v>0</v>
      </c>
      <c r="J229" t="s">
        <v>343</v>
      </c>
      <c r="L229">
        <v>118000</v>
      </c>
      <c r="N229">
        <v>118000</v>
      </c>
    </row>
    <row r="230" spans="1:14" x14ac:dyDescent="0.35">
      <c r="A230" t="str">
        <f t="shared" si="7"/>
        <v>VTE45734FMT250042047310100</v>
      </c>
      <c r="B230" t="s">
        <v>131</v>
      </c>
      <c r="C230" s="1">
        <v>45734</v>
      </c>
      <c r="D230" t="s">
        <v>247</v>
      </c>
      <c r="E230" t="str">
        <f>"47310100"</f>
        <v>47310100</v>
      </c>
      <c r="F230" t="s">
        <v>248</v>
      </c>
      <c r="G230" t="s">
        <v>341</v>
      </c>
      <c r="H230" t="s">
        <v>351</v>
      </c>
      <c r="I230">
        <v>0</v>
      </c>
      <c r="J230" t="s">
        <v>343</v>
      </c>
      <c r="L230">
        <v>-118000</v>
      </c>
      <c r="N230">
        <v>-118000</v>
      </c>
    </row>
    <row r="231" spans="1:14" x14ac:dyDescent="0.35">
      <c r="A231" t="str">
        <f t="shared" si="7"/>
        <v>VTE45734FMT250042070610010</v>
      </c>
      <c r="B231" t="s">
        <v>131</v>
      </c>
      <c r="C231" s="1">
        <v>45734</v>
      </c>
      <c r="D231" t="s">
        <v>247</v>
      </c>
      <c r="E231" t="str">
        <f>"70610010"</f>
        <v>70610010</v>
      </c>
      <c r="F231" t="s">
        <v>148</v>
      </c>
      <c r="G231" t="s">
        <v>341</v>
      </c>
      <c r="H231" t="s">
        <v>349</v>
      </c>
      <c r="I231">
        <v>0</v>
      </c>
      <c r="J231" t="s">
        <v>343</v>
      </c>
      <c r="L231">
        <v>720000</v>
      </c>
      <c r="N231">
        <v>720000</v>
      </c>
    </row>
    <row r="232" spans="1:14" x14ac:dyDescent="0.35">
      <c r="A232" t="str">
        <f t="shared" si="7"/>
        <v>VTE45734FMT250042070610010</v>
      </c>
      <c r="B232" t="s">
        <v>131</v>
      </c>
      <c r="C232" s="1">
        <v>45734</v>
      </c>
      <c r="D232" t="s">
        <v>247</v>
      </c>
      <c r="E232" t="str">
        <f>"70610010"</f>
        <v>70610010</v>
      </c>
      <c r="F232" t="s">
        <v>148</v>
      </c>
      <c r="G232" t="s">
        <v>341</v>
      </c>
      <c r="H232" t="s">
        <v>349</v>
      </c>
      <c r="I232">
        <v>0</v>
      </c>
      <c r="J232" t="s">
        <v>343</v>
      </c>
      <c r="L232">
        <v>720000</v>
      </c>
      <c r="N232">
        <v>720000</v>
      </c>
    </row>
    <row r="233" spans="1:14" x14ac:dyDescent="0.35">
      <c r="A233" t="str">
        <f t="shared" si="7"/>
        <v>VTE45734FMT250042070610010</v>
      </c>
      <c r="B233" t="s">
        <v>131</v>
      </c>
      <c r="C233" s="1">
        <v>45734</v>
      </c>
      <c r="D233" t="s">
        <v>247</v>
      </c>
      <c r="E233" t="str">
        <f>"70610010"</f>
        <v>70610010</v>
      </c>
      <c r="F233" t="s">
        <v>248</v>
      </c>
      <c r="G233" t="s">
        <v>341</v>
      </c>
      <c r="H233" t="s">
        <v>349</v>
      </c>
      <c r="I233">
        <v>0</v>
      </c>
      <c r="J233" t="s">
        <v>343</v>
      </c>
      <c r="L233">
        <v>-720000</v>
      </c>
      <c r="N233">
        <v>-720000</v>
      </c>
    </row>
    <row r="234" spans="1:14" x14ac:dyDescent="0.35">
      <c r="A234" t="str">
        <f t="shared" si="7"/>
        <v>VTE45734FMT250042147310100</v>
      </c>
      <c r="B234" t="s">
        <v>131</v>
      </c>
      <c r="C234" s="1">
        <v>45734</v>
      </c>
      <c r="D234" t="s">
        <v>249</v>
      </c>
      <c r="E234" t="str">
        <f>"47310100"</f>
        <v>47310100</v>
      </c>
      <c r="F234" t="s">
        <v>148</v>
      </c>
      <c r="G234" t="s">
        <v>341</v>
      </c>
      <c r="H234" t="s">
        <v>351</v>
      </c>
      <c r="I234">
        <v>0</v>
      </c>
      <c r="J234" t="s">
        <v>343</v>
      </c>
      <c r="L234">
        <v>29500</v>
      </c>
      <c r="N234">
        <v>29500</v>
      </c>
    </row>
    <row r="235" spans="1:14" x14ac:dyDescent="0.35">
      <c r="A235" t="str">
        <f t="shared" si="7"/>
        <v>VTE45734FMT250042147310100</v>
      </c>
      <c r="B235" t="s">
        <v>131</v>
      </c>
      <c r="C235" s="1">
        <v>45734</v>
      </c>
      <c r="D235" t="s">
        <v>249</v>
      </c>
      <c r="E235" t="str">
        <f>"47310100"</f>
        <v>47310100</v>
      </c>
      <c r="F235" t="s">
        <v>148</v>
      </c>
      <c r="G235" t="s">
        <v>341</v>
      </c>
      <c r="H235" t="s">
        <v>351</v>
      </c>
      <c r="I235">
        <v>0</v>
      </c>
      <c r="J235" t="s">
        <v>343</v>
      </c>
      <c r="L235">
        <v>29500</v>
      </c>
      <c r="N235">
        <v>29500</v>
      </c>
    </row>
    <row r="236" spans="1:14" x14ac:dyDescent="0.35">
      <c r="A236" t="str">
        <f t="shared" si="7"/>
        <v>VTE45734FMT250042147310100</v>
      </c>
      <c r="B236" t="s">
        <v>131</v>
      </c>
      <c r="C236" s="1">
        <v>45734</v>
      </c>
      <c r="D236" t="s">
        <v>249</v>
      </c>
      <c r="E236" t="str">
        <f>"47310100"</f>
        <v>47310100</v>
      </c>
      <c r="F236" t="s">
        <v>248</v>
      </c>
      <c r="G236" t="s">
        <v>341</v>
      </c>
      <c r="H236" t="s">
        <v>351</v>
      </c>
      <c r="I236">
        <v>0</v>
      </c>
      <c r="J236" t="s">
        <v>343</v>
      </c>
      <c r="L236">
        <v>-29500</v>
      </c>
      <c r="N236">
        <v>-29500</v>
      </c>
    </row>
    <row r="237" spans="1:14" x14ac:dyDescent="0.35">
      <c r="A237" t="str">
        <f t="shared" si="7"/>
        <v>VTE45734FMT250042170610010</v>
      </c>
      <c r="B237" t="s">
        <v>131</v>
      </c>
      <c r="C237" s="1">
        <v>45734</v>
      </c>
      <c r="D237" t="s">
        <v>249</v>
      </c>
      <c r="E237" t="str">
        <f>"70610010"</f>
        <v>70610010</v>
      </c>
      <c r="F237" t="s">
        <v>148</v>
      </c>
      <c r="G237" t="s">
        <v>341</v>
      </c>
      <c r="H237" t="s">
        <v>349</v>
      </c>
      <c r="I237">
        <v>0</v>
      </c>
      <c r="J237" t="s">
        <v>343</v>
      </c>
      <c r="L237">
        <v>180000</v>
      </c>
      <c r="N237">
        <v>180000</v>
      </c>
    </row>
    <row r="238" spans="1:14" x14ac:dyDescent="0.35">
      <c r="A238" t="str">
        <f t="shared" si="7"/>
        <v>VTE45734FMT250042170610010</v>
      </c>
      <c r="B238" t="s">
        <v>131</v>
      </c>
      <c r="C238" s="1">
        <v>45734</v>
      </c>
      <c r="D238" t="s">
        <v>249</v>
      </c>
      <c r="E238" t="str">
        <f>"70610010"</f>
        <v>70610010</v>
      </c>
      <c r="F238" t="s">
        <v>148</v>
      </c>
      <c r="G238" t="s">
        <v>341</v>
      </c>
      <c r="H238" t="s">
        <v>349</v>
      </c>
      <c r="I238">
        <v>0</v>
      </c>
      <c r="J238" t="s">
        <v>343</v>
      </c>
      <c r="L238">
        <v>180000</v>
      </c>
      <c r="N238">
        <v>180000</v>
      </c>
    </row>
    <row r="239" spans="1:14" x14ac:dyDescent="0.35">
      <c r="A239" t="str">
        <f t="shared" si="7"/>
        <v>VTE45734FMT250042170610010</v>
      </c>
      <c r="B239" t="s">
        <v>131</v>
      </c>
      <c r="C239" s="1">
        <v>45734</v>
      </c>
      <c r="D239" t="s">
        <v>249</v>
      </c>
      <c r="E239" t="str">
        <f>"70610010"</f>
        <v>70610010</v>
      </c>
      <c r="F239" t="s">
        <v>248</v>
      </c>
      <c r="G239" t="s">
        <v>341</v>
      </c>
      <c r="H239" t="s">
        <v>349</v>
      </c>
      <c r="I239">
        <v>0</v>
      </c>
      <c r="J239" t="s">
        <v>343</v>
      </c>
      <c r="L239">
        <v>-180000</v>
      </c>
      <c r="N239">
        <v>-180000</v>
      </c>
    </row>
    <row r="240" spans="1:14" x14ac:dyDescent="0.35">
      <c r="A240" t="str">
        <f t="shared" si="7"/>
        <v>VTE45734FMT250042247310100</v>
      </c>
      <c r="B240" t="s">
        <v>131</v>
      </c>
      <c r="C240" s="1">
        <v>45734</v>
      </c>
      <c r="D240" t="s">
        <v>250</v>
      </c>
      <c r="E240" t="str">
        <f>"47310100"</f>
        <v>47310100</v>
      </c>
      <c r="F240" t="s">
        <v>148</v>
      </c>
      <c r="G240" t="s">
        <v>341</v>
      </c>
      <c r="H240" t="s">
        <v>351</v>
      </c>
      <c r="I240">
        <v>0</v>
      </c>
      <c r="J240" t="s">
        <v>343</v>
      </c>
      <c r="L240">
        <v>59000</v>
      </c>
      <c r="N240">
        <v>59000</v>
      </c>
    </row>
    <row r="241" spans="1:14" x14ac:dyDescent="0.35">
      <c r="A241" t="str">
        <f t="shared" si="7"/>
        <v>VTE45734FMT250042247310100</v>
      </c>
      <c r="B241" t="s">
        <v>131</v>
      </c>
      <c r="C241" s="1">
        <v>45734</v>
      </c>
      <c r="D241" t="s">
        <v>250</v>
      </c>
      <c r="E241" t="str">
        <f>"47310100"</f>
        <v>47310100</v>
      </c>
      <c r="F241" t="s">
        <v>148</v>
      </c>
      <c r="G241" t="s">
        <v>341</v>
      </c>
      <c r="H241" t="s">
        <v>351</v>
      </c>
      <c r="I241">
        <v>0</v>
      </c>
      <c r="J241" t="s">
        <v>343</v>
      </c>
      <c r="L241">
        <v>59000</v>
      </c>
      <c r="N241">
        <v>59000</v>
      </c>
    </row>
    <row r="242" spans="1:14" x14ac:dyDescent="0.35">
      <c r="A242" t="str">
        <f t="shared" si="7"/>
        <v>VTE45734FMT250042247310100</v>
      </c>
      <c r="B242" t="s">
        <v>131</v>
      </c>
      <c r="C242" s="1">
        <v>45734</v>
      </c>
      <c r="D242" t="s">
        <v>250</v>
      </c>
      <c r="E242" t="str">
        <f>"47310100"</f>
        <v>47310100</v>
      </c>
      <c r="F242" t="s">
        <v>248</v>
      </c>
      <c r="G242" t="s">
        <v>341</v>
      </c>
      <c r="H242" t="s">
        <v>351</v>
      </c>
      <c r="I242">
        <v>0</v>
      </c>
      <c r="J242" t="s">
        <v>343</v>
      </c>
      <c r="L242">
        <v>-59000</v>
      </c>
      <c r="N242">
        <v>-59000</v>
      </c>
    </row>
    <row r="243" spans="1:14" x14ac:dyDescent="0.35">
      <c r="A243" t="str">
        <f t="shared" si="7"/>
        <v>VTE45734FMT250042270610010</v>
      </c>
      <c r="B243" t="s">
        <v>131</v>
      </c>
      <c r="C243" s="1">
        <v>45734</v>
      </c>
      <c r="D243" t="s">
        <v>250</v>
      </c>
      <c r="E243" t="str">
        <f>"70610010"</f>
        <v>70610010</v>
      </c>
      <c r="F243" t="s">
        <v>148</v>
      </c>
      <c r="G243" t="s">
        <v>341</v>
      </c>
      <c r="H243" t="s">
        <v>349</v>
      </c>
      <c r="I243">
        <v>0</v>
      </c>
      <c r="J243" t="s">
        <v>343</v>
      </c>
      <c r="L243">
        <v>323850</v>
      </c>
      <c r="N243">
        <v>323850</v>
      </c>
    </row>
    <row r="244" spans="1:14" x14ac:dyDescent="0.35">
      <c r="A244" t="str">
        <f t="shared" si="7"/>
        <v>VTE45734FMT250042270610010</v>
      </c>
      <c r="B244" t="s">
        <v>131</v>
      </c>
      <c r="C244" s="1">
        <v>45734</v>
      </c>
      <c r="D244" t="s">
        <v>250</v>
      </c>
      <c r="E244" t="str">
        <f>"70610010"</f>
        <v>70610010</v>
      </c>
      <c r="F244" t="s">
        <v>148</v>
      </c>
      <c r="G244" t="s">
        <v>341</v>
      </c>
      <c r="H244" t="s">
        <v>349</v>
      </c>
      <c r="I244">
        <v>0</v>
      </c>
      <c r="J244" t="s">
        <v>343</v>
      </c>
      <c r="L244">
        <v>323850</v>
      </c>
      <c r="N244">
        <v>323850</v>
      </c>
    </row>
    <row r="245" spans="1:14" x14ac:dyDescent="0.35">
      <c r="A245" t="str">
        <f t="shared" si="7"/>
        <v>VTE45734FMT250042270610010</v>
      </c>
      <c r="B245" t="s">
        <v>131</v>
      </c>
      <c r="C245" s="1">
        <v>45734</v>
      </c>
      <c r="D245" t="s">
        <v>250</v>
      </c>
      <c r="E245" t="str">
        <f>"70610010"</f>
        <v>70610010</v>
      </c>
      <c r="F245" t="s">
        <v>248</v>
      </c>
      <c r="G245" t="s">
        <v>341</v>
      </c>
      <c r="H245" t="s">
        <v>349</v>
      </c>
      <c r="I245">
        <v>0</v>
      </c>
      <c r="J245" t="s">
        <v>343</v>
      </c>
      <c r="L245">
        <v>-323850</v>
      </c>
      <c r="N245">
        <v>-323850</v>
      </c>
    </row>
    <row r="246" spans="1:14" x14ac:dyDescent="0.35">
      <c r="A246" t="str">
        <f t="shared" si="7"/>
        <v>VTE45734FMT250042347310100</v>
      </c>
      <c r="B246" t="s">
        <v>131</v>
      </c>
      <c r="C246" s="1">
        <v>45734</v>
      </c>
      <c r="D246" t="s">
        <v>251</v>
      </c>
      <c r="E246" t="str">
        <f>"47310100"</f>
        <v>47310100</v>
      </c>
      <c r="F246" t="s">
        <v>163</v>
      </c>
      <c r="G246" t="s">
        <v>341</v>
      </c>
      <c r="H246" t="s">
        <v>351</v>
      </c>
      <c r="I246">
        <v>0</v>
      </c>
      <c r="J246" t="s">
        <v>343</v>
      </c>
      <c r="L246">
        <v>59000</v>
      </c>
      <c r="N246">
        <v>59000</v>
      </c>
    </row>
    <row r="247" spans="1:14" x14ac:dyDescent="0.35">
      <c r="A247" t="str">
        <f t="shared" si="7"/>
        <v>VTE45734FMT250042347310100</v>
      </c>
      <c r="B247" t="s">
        <v>131</v>
      </c>
      <c r="C247" s="1">
        <v>45734</v>
      </c>
      <c r="D247" t="s">
        <v>251</v>
      </c>
      <c r="E247" t="str">
        <f>"47310100"</f>
        <v>47310100</v>
      </c>
      <c r="F247" t="s">
        <v>163</v>
      </c>
      <c r="G247" t="s">
        <v>341</v>
      </c>
      <c r="H247" t="s">
        <v>351</v>
      </c>
      <c r="I247">
        <v>0</v>
      </c>
      <c r="J247" t="s">
        <v>343</v>
      </c>
      <c r="L247">
        <v>59000</v>
      </c>
      <c r="N247">
        <v>59000</v>
      </c>
    </row>
    <row r="248" spans="1:14" x14ac:dyDescent="0.35">
      <c r="A248" t="str">
        <f t="shared" si="7"/>
        <v>VTE45734FMT250042347310100</v>
      </c>
      <c r="B248" t="s">
        <v>131</v>
      </c>
      <c r="C248" s="1">
        <v>45734</v>
      </c>
      <c r="D248" t="s">
        <v>251</v>
      </c>
      <c r="E248" t="str">
        <f>"47310100"</f>
        <v>47310100</v>
      </c>
      <c r="F248" t="s">
        <v>252</v>
      </c>
      <c r="G248" t="s">
        <v>341</v>
      </c>
      <c r="H248" t="s">
        <v>351</v>
      </c>
      <c r="I248">
        <v>0</v>
      </c>
      <c r="J248" t="s">
        <v>343</v>
      </c>
      <c r="L248">
        <v>-59000</v>
      </c>
      <c r="N248">
        <v>-59000</v>
      </c>
    </row>
    <row r="249" spans="1:14" x14ac:dyDescent="0.35">
      <c r="A249" t="str">
        <f t="shared" si="7"/>
        <v>VTE45734FMT250042370610010</v>
      </c>
      <c r="B249" t="s">
        <v>131</v>
      </c>
      <c r="C249" s="1">
        <v>45734</v>
      </c>
      <c r="D249" t="s">
        <v>251</v>
      </c>
      <c r="E249" t="str">
        <f>"70610010"</f>
        <v>70610010</v>
      </c>
      <c r="F249" t="s">
        <v>163</v>
      </c>
      <c r="G249" t="s">
        <v>341</v>
      </c>
      <c r="H249" t="s">
        <v>349</v>
      </c>
      <c r="I249">
        <v>0</v>
      </c>
      <c r="J249" t="s">
        <v>343</v>
      </c>
      <c r="L249">
        <v>132000</v>
      </c>
      <c r="N249">
        <v>132000</v>
      </c>
    </row>
    <row r="250" spans="1:14" x14ac:dyDescent="0.35">
      <c r="A250" t="str">
        <f t="shared" si="7"/>
        <v>VTE45734FMT250042370610010</v>
      </c>
      <c r="B250" t="s">
        <v>131</v>
      </c>
      <c r="C250" s="1">
        <v>45734</v>
      </c>
      <c r="D250" t="s">
        <v>251</v>
      </c>
      <c r="E250" t="str">
        <f>"70610010"</f>
        <v>70610010</v>
      </c>
      <c r="F250" t="s">
        <v>163</v>
      </c>
      <c r="G250" t="s">
        <v>341</v>
      </c>
      <c r="H250" t="s">
        <v>349</v>
      </c>
      <c r="I250">
        <v>0</v>
      </c>
      <c r="J250" t="s">
        <v>343</v>
      </c>
      <c r="L250">
        <v>132000</v>
      </c>
      <c r="N250">
        <v>132000</v>
      </c>
    </row>
    <row r="251" spans="1:14" x14ac:dyDescent="0.35">
      <c r="A251" t="str">
        <f t="shared" si="7"/>
        <v>VTE45734FMT250042370610010</v>
      </c>
      <c r="B251" t="s">
        <v>131</v>
      </c>
      <c r="C251" s="1">
        <v>45734</v>
      </c>
      <c r="D251" t="s">
        <v>251</v>
      </c>
      <c r="E251" t="str">
        <f>"70610010"</f>
        <v>70610010</v>
      </c>
      <c r="F251" t="s">
        <v>252</v>
      </c>
      <c r="G251" t="s">
        <v>341</v>
      </c>
      <c r="H251" t="s">
        <v>349</v>
      </c>
      <c r="I251">
        <v>0</v>
      </c>
      <c r="J251" t="s">
        <v>343</v>
      </c>
      <c r="L251">
        <v>-132000</v>
      </c>
      <c r="N251">
        <v>-132000</v>
      </c>
    </row>
    <row r="252" spans="1:14" x14ac:dyDescent="0.35">
      <c r="A252" t="str">
        <f t="shared" si="7"/>
        <v>VTE45734FMT250042447310100</v>
      </c>
      <c r="B252" t="s">
        <v>131</v>
      </c>
      <c r="C252" s="1">
        <v>45734</v>
      </c>
      <c r="D252" t="s">
        <v>253</v>
      </c>
      <c r="E252" t="str">
        <f>"47310100"</f>
        <v>47310100</v>
      </c>
      <c r="F252" t="s">
        <v>139</v>
      </c>
      <c r="G252" t="s">
        <v>341</v>
      </c>
      <c r="H252" t="s">
        <v>351</v>
      </c>
      <c r="I252">
        <v>0</v>
      </c>
      <c r="J252" t="s">
        <v>343</v>
      </c>
      <c r="L252">
        <v>177000</v>
      </c>
      <c r="N252">
        <v>177000</v>
      </c>
    </row>
    <row r="253" spans="1:14" x14ac:dyDescent="0.35">
      <c r="A253" t="str">
        <f t="shared" si="7"/>
        <v>VTE45734FMT250042447310100</v>
      </c>
      <c r="B253" t="s">
        <v>131</v>
      </c>
      <c r="C253" s="1">
        <v>45734</v>
      </c>
      <c r="D253" t="s">
        <v>253</v>
      </c>
      <c r="E253" t="str">
        <f>"47310100"</f>
        <v>47310100</v>
      </c>
      <c r="F253" t="s">
        <v>139</v>
      </c>
      <c r="G253" t="s">
        <v>341</v>
      </c>
      <c r="H253" t="s">
        <v>351</v>
      </c>
      <c r="I253">
        <v>0</v>
      </c>
      <c r="J253" t="s">
        <v>343</v>
      </c>
      <c r="L253">
        <v>177000</v>
      </c>
      <c r="N253">
        <v>177000</v>
      </c>
    </row>
    <row r="254" spans="1:14" x14ac:dyDescent="0.35">
      <c r="A254" t="str">
        <f t="shared" si="7"/>
        <v>VTE45734FMT250042447310100</v>
      </c>
      <c r="B254" t="s">
        <v>131</v>
      </c>
      <c r="C254" s="1">
        <v>45734</v>
      </c>
      <c r="D254" t="s">
        <v>253</v>
      </c>
      <c r="E254" t="str">
        <f>"47310100"</f>
        <v>47310100</v>
      </c>
      <c r="F254" t="s">
        <v>254</v>
      </c>
      <c r="G254" t="s">
        <v>341</v>
      </c>
      <c r="H254" t="s">
        <v>351</v>
      </c>
      <c r="I254">
        <v>0</v>
      </c>
      <c r="J254" t="s">
        <v>343</v>
      </c>
      <c r="L254">
        <v>-177000</v>
      </c>
      <c r="N254">
        <v>-177000</v>
      </c>
    </row>
    <row r="255" spans="1:14" x14ac:dyDescent="0.35">
      <c r="A255" t="str">
        <f t="shared" si="7"/>
        <v>VTE45734FMT250042470610010</v>
      </c>
      <c r="B255" t="s">
        <v>131</v>
      </c>
      <c r="C255" s="1">
        <v>45734</v>
      </c>
      <c r="D255" t="s">
        <v>253</v>
      </c>
      <c r="E255" t="str">
        <f>"70610010"</f>
        <v>70610010</v>
      </c>
      <c r="F255" t="s">
        <v>139</v>
      </c>
      <c r="G255" t="s">
        <v>341</v>
      </c>
      <c r="H255" t="s">
        <v>349</v>
      </c>
      <c r="I255">
        <v>0</v>
      </c>
      <c r="J255" t="s">
        <v>343</v>
      </c>
      <c r="L255">
        <v>804000</v>
      </c>
      <c r="N255">
        <v>804000</v>
      </c>
    </row>
    <row r="256" spans="1:14" x14ac:dyDescent="0.35">
      <c r="A256" t="str">
        <f t="shared" si="7"/>
        <v>VTE45734FMT250042470610010</v>
      </c>
      <c r="B256" t="s">
        <v>131</v>
      </c>
      <c r="C256" s="1">
        <v>45734</v>
      </c>
      <c r="D256" t="s">
        <v>253</v>
      </c>
      <c r="E256" t="str">
        <f>"70610010"</f>
        <v>70610010</v>
      </c>
      <c r="F256" t="s">
        <v>139</v>
      </c>
      <c r="G256" t="s">
        <v>341</v>
      </c>
      <c r="H256" t="s">
        <v>349</v>
      </c>
      <c r="I256">
        <v>0</v>
      </c>
      <c r="J256" t="s">
        <v>343</v>
      </c>
      <c r="L256">
        <v>804000</v>
      </c>
      <c r="N256">
        <v>804000</v>
      </c>
    </row>
    <row r="257" spans="1:14" x14ac:dyDescent="0.35">
      <c r="A257" t="str">
        <f t="shared" si="7"/>
        <v>VTE45734FMT250042470610010</v>
      </c>
      <c r="B257" t="s">
        <v>131</v>
      </c>
      <c r="C257" s="1">
        <v>45734</v>
      </c>
      <c r="D257" t="s">
        <v>253</v>
      </c>
      <c r="E257" t="str">
        <f>"70610010"</f>
        <v>70610010</v>
      </c>
      <c r="F257" t="s">
        <v>254</v>
      </c>
      <c r="G257" t="s">
        <v>341</v>
      </c>
      <c r="H257" t="s">
        <v>349</v>
      </c>
      <c r="I257">
        <v>0</v>
      </c>
      <c r="J257" t="s">
        <v>343</v>
      </c>
      <c r="L257">
        <v>-804000</v>
      </c>
      <c r="N257">
        <v>-804000</v>
      </c>
    </row>
    <row r="258" spans="1:14" x14ac:dyDescent="0.35">
      <c r="A258" t="str">
        <f t="shared" si="7"/>
        <v>VTE45735FMT250042547310100</v>
      </c>
      <c r="B258" t="s">
        <v>131</v>
      </c>
      <c r="C258" s="1">
        <v>45735</v>
      </c>
      <c r="D258" t="s">
        <v>255</v>
      </c>
      <c r="E258" t="str">
        <f>"47310100"</f>
        <v>47310100</v>
      </c>
      <c r="F258" t="s">
        <v>154</v>
      </c>
      <c r="G258" t="s">
        <v>341</v>
      </c>
      <c r="H258" t="s">
        <v>351</v>
      </c>
      <c r="I258">
        <v>0</v>
      </c>
      <c r="J258" t="s">
        <v>343</v>
      </c>
      <c r="L258">
        <v>590000</v>
      </c>
      <c r="N258">
        <v>590000</v>
      </c>
    </row>
    <row r="259" spans="1:14" x14ac:dyDescent="0.35">
      <c r="A259" t="str">
        <f t="shared" ref="A259:A322" si="8">CONCATENATE(B259,C259,D259,E259)</f>
        <v>VTE45735FMT250042547310100</v>
      </c>
      <c r="B259" t="s">
        <v>131</v>
      </c>
      <c r="C259" s="1">
        <v>45735</v>
      </c>
      <c r="D259" t="s">
        <v>255</v>
      </c>
      <c r="E259" t="str">
        <f>"47310100"</f>
        <v>47310100</v>
      </c>
      <c r="F259" t="s">
        <v>154</v>
      </c>
      <c r="G259" t="s">
        <v>341</v>
      </c>
      <c r="H259" t="s">
        <v>351</v>
      </c>
      <c r="I259">
        <v>0</v>
      </c>
      <c r="J259" t="s">
        <v>343</v>
      </c>
      <c r="L259">
        <v>590000</v>
      </c>
      <c r="N259">
        <v>590000</v>
      </c>
    </row>
    <row r="260" spans="1:14" x14ac:dyDescent="0.35">
      <c r="A260" t="str">
        <f t="shared" si="8"/>
        <v>VTE45735FMT250042547310100</v>
      </c>
      <c r="B260" t="s">
        <v>131</v>
      </c>
      <c r="C260" s="1">
        <v>45735</v>
      </c>
      <c r="D260" t="s">
        <v>255</v>
      </c>
      <c r="E260" t="str">
        <f>"47310100"</f>
        <v>47310100</v>
      </c>
      <c r="F260" t="s">
        <v>155</v>
      </c>
      <c r="G260" t="s">
        <v>341</v>
      </c>
      <c r="H260" t="s">
        <v>351</v>
      </c>
      <c r="I260">
        <v>0</v>
      </c>
      <c r="J260" t="s">
        <v>343</v>
      </c>
      <c r="L260">
        <v>-590000</v>
      </c>
      <c r="N260">
        <v>-590000</v>
      </c>
    </row>
    <row r="261" spans="1:14" x14ac:dyDescent="0.35">
      <c r="A261" t="str">
        <f t="shared" si="8"/>
        <v>VTE45735FMT250042570610010</v>
      </c>
      <c r="B261" t="s">
        <v>131</v>
      </c>
      <c r="C261" s="1">
        <v>45735</v>
      </c>
      <c r="D261" t="s">
        <v>255</v>
      </c>
      <c r="E261" t="str">
        <f>"70610010"</f>
        <v>70610010</v>
      </c>
      <c r="F261" t="s">
        <v>154</v>
      </c>
      <c r="G261" t="s">
        <v>341</v>
      </c>
      <c r="H261" t="s">
        <v>349</v>
      </c>
      <c r="I261">
        <v>0</v>
      </c>
      <c r="J261" t="s">
        <v>343</v>
      </c>
      <c r="L261">
        <v>1320000</v>
      </c>
      <c r="N261">
        <v>1320000</v>
      </c>
    </row>
    <row r="262" spans="1:14" x14ac:dyDescent="0.35">
      <c r="A262" t="str">
        <f t="shared" si="8"/>
        <v>VTE45735FMT250042570610010</v>
      </c>
      <c r="B262" t="s">
        <v>131</v>
      </c>
      <c r="C262" s="1">
        <v>45735</v>
      </c>
      <c r="D262" t="s">
        <v>255</v>
      </c>
      <c r="E262" t="str">
        <f>"70610010"</f>
        <v>70610010</v>
      </c>
      <c r="F262" t="s">
        <v>154</v>
      </c>
      <c r="G262" t="s">
        <v>341</v>
      </c>
      <c r="H262" t="s">
        <v>349</v>
      </c>
      <c r="I262">
        <v>0</v>
      </c>
      <c r="J262" t="s">
        <v>343</v>
      </c>
      <c r="L262">
        <v>1320000</v>
      </c>
      <c r="N262">
        <v>1320000</v>
      </c>
    </row>
    <row r="263" spans="1:14" x14ac:dyDescent="0.35">
      <c r="A263" t="str">
        <f t="shared" si="8"/>
        <v>VTE45735FMT250042570610010</v>
      </c>
      <c r="B263" t="s">
        <v>131</v>
      </c>
      <c r="C263" s="1">
        <v>45735</v>
      </c>
      <c r="D263" t="s">
        <v>255</v>
      </c>
      <c r="E263" t="str">
        <f>"70610010"</f>
        <v>70610010</v>
      </c>
      <c r="F263" t="s">
        <v>155</v>
      </c>
      <c r="G263" t="s">
        <v>341</v>
      </c>
      <c r="H263" t="s">
        <v>349</v>
      </c>
      <c r="I263">
        <v>0</v>
      </c>
      <c r="J263" t="s">
        <v>343</v>
      </c>
      <c r="L263">
        <v>-1320000</v>
      </c>
      <c r="N263">
        <v>-1320000</v>
      </c>
    </row>
    <row r="264" spans="1:14" x14ac:dyDescent="0.35">
      <c r="A264" t="str">
        <f t="shared" si="8"/>
        <v>VTE45735FMT250042647310100</v>
      </c>
      <c r="B264" t="s">
        <v>131</v>
      </c>
      <c r="C264" s="1">
        <v>45735</v>
      </c>
      <c r="D264" t="s">
        <v>256</v>
      </c>
      <c r="E264" t="str">
        <f>"47310100"</f>
        <v>47310100</v>
      </c>
      <c r="F264" t="s">
        <v>180</v>
      </c>
      <c r="G264" t="s">
        <v>341</v>
      </c>
      <c r="H264" t="s">
        <v>351</v>
      </c>
      <c r="I264">
        <v>0</v>
      </c>
      <c r="J264" t="s">
        <v>343</v>
      </c>
      <c r="L264">
        <v>796500</v>
      </c>
      <c r="N264">
        <v>796500</v>
      </c>
    </row>
    <row r="265" spans="1:14" x14ac:dyDescent="0.35">
      <c r="A265" t="str">
        <f t="shared" si="8"/>
        <v>VTE45735FMT250042647310100</v>
      </c>
      <c r="B265" t="s">
        <v>131</v>
      </c>
      <c r="C265" s="1">
        <v>45735</v>
      </c>
      <c r="D265" t="s">
        <v>256</v>
      </c>
      <c r="E265" t="str">
        <f>"47310100"</f>
        <v>47310100</v>
      </c>
      <c r="F265" t="s">
        <v>180</v>
      </c>
      <c r="G265" t="s">
        <v>341</v>
      </c>
      <c r="H265" t="s">
        <v>351</v>
      </c>
      <c r="I265">
        <v>0</v>
      </c>
      <c r="J265" t="s">
        <v>343</v>
      </c>
      <c r="L265">
        <v>796500</v>
      </c>
      <c r="N265">
        <v>796500</v>
      </c>
    </row>
    <row r="266" spans="1:14" x14ac:dyDescent="0.35">
      <c r="A266" t="str">
        <f t="shared" si="8"/>
        <v>VTE45735FMT250042647310100</v>
      </c>
      <c r="B266" t="s">
        <v>131</v>
      </c>
      <c r="C266" s="1">
        <v>45735</v>
      </c>
      <c r="D266" t="s">
        <v>256</v>
      </c>
      <c r="E266" t="str">
        <f>"47310100"</f>
        <v>47310100</v>
      </c>
      <c r="F266" t="s">
        <v>257</v>
      </c>
      <c r="G266" t="s">
        <v>341</v>
      </c>
      <c r="H266" t="s">
        <v>351</v>
      </c>
      <c r="I266">
        <v>0</v>
      </c>
      <c r="J266" t="s">
        <v>343</v>
      </c>
      <c r="L266">
        <v>-796500</v>
      </c>
      <c r="N266">
        <v>-796500</v>
      </c>
    </row>
    <row r="267" spans="1:14" x14ac:dyDescent="0.35">
      <c r="A267" t="str">
        <f t="shared" si="8"/>
        <v>VTE45735FMT250042670610010</v>
      </c>
      <c r="B267" t="s">
        <v>131</v>
      </c>
      <c r="C267" s="1">
        <v>45735</v>
      </c>
      <c r="D267" t="s">
        <v>256</v>
      </c>
      <c r="E267" t="str">
        <f>"70610010"</f>
        <v>70610010</v>
      </c>
      <c r="F267" t="s">
        <v>180</v>
      </c>
      <c r="G267" t="s">
        <v>341</v>
      </c>
      <c r="H267" t="s">
        <v>349</v>
      </c>
      <c r="I267">
        <v>0</v>
      </c>
      <c r="J267" t="s">
        <v>343</v>
      </c>
      <c r="L267">
        <v>3618000</v>
      </c>
      <c r="N267">
        <v>3618000</v>
      </c>
    </row>
    <row r="268" spans="1:14" x14ac:dyDescent="0.35">
      <c r="A268" t="str">
        <f t="shared" si="8"/>
        <v>VTE45735FMT250042670610010</v>
      </c>
      <c r="B268" t="s">
        <v>131</v>
      </c>
      <c r="C268" s="1">
        <v>45735</v>
      </c>
      <c r="D268" t="s">
        <v>256</v>
      </c>
      <c r="E268" t="str">
        <f>"70610010"</f>
        <v>70610010</v>
      </c>
      <c r="F268" t="s">
        <v>180</v>
      </c>
      <c r="G268" t="s">
        <v>341</v>
      </c>
      <c r="H268" t="s">
        <v>349</v>
      </c>
      <c r="I268">
        <v>0</v>
      </c>
      <c r="J268" t="s">
        <v>343</v>
      </c>
      <c r="L268">
        <v>3618000</v>
      </c>
      <c r="N268">
        <v>3618000</v>
      </c>
    </row>
    <row r="269" spans="1:14" x14ac:dyDescent="0.35">
      <c r="A269" t="str">
        <f t="shared" si="8"/>
        <v>VTE45735FMT250042670610010</v>
      </c>
      <c r="B269" t="s">
        <v>131</v>
      </c>
      <c r="C269" s="1">
        <v>45735</v>
      </c>
      <c r="D269" t="s">
        <v>256</v>
      </c>
      <c r="E269" t="str">
        <f>"70610010"</f>
        <v>70610010</v>
      </c>
      <c r="F269" t="s">
        <v>257</v>
      </c>
      <c r="G269" t="s">
        <v>341</v>
      </c>
      <c r="H269" t="s">
        <v>349</v>
      </c>
      <c r="I269">
        <v>0</v>
      </c>
      <c r="J269" t="s">
        <v>343</v>
      </c>
      <c r="L269">
        <v>-3618000</v>
      </c>
      <c r="N269">
        <v>-3618000</v>
      </c>
    </row>
    <row r="270" spans="1:14" x14ac:dyDescent="0.35">
      <c r="A270" t="str">
        <f t="shared" si="8"/>
        <v>VTE45735FMT250042747310100</v>
      </c>
      <c r="B270" t="s">
        <v>131</v>
      </c>
      <c r="C270" s="1">
        <v>45735</v>
      </c>
      <c r="D270" t="s">
        <v>258</v>
      </c>
      <c r="E270" t="str">
        <f>"47310100"</f>
        <v>47310100</v>
      </c>
      <c r="F270" t="s">
        <v>148</v>
      </c>
      <c r="G270" t="s">
        <v>341</v>
      </c>
      <c r="H270" t="s">
        <v>351</v>
      </c>
      <c r="I270">
        <v>0</v>
      </c>
      <c r="J270" t="s">
        <v>343</v>
      </c>
      <c r="L270">
        <v>324500</v>
      </c>
      <c r="N270">
        <v>324500</v>
      </c>
    </row>
    <row r="271" spans="1:14" x14ac:dyDescent="0.35">
      <c r="A271" t="str">
        <f t="shared" si="8"/>
        <v>VTE45735FMT250042747310100</v>
      </c>
      <c r="B271" t="s">
        <v>131</v>
      </c>
      <c r="C271" s="1">
        <v>45735</v>
      </c>
      <c r="D271" t="s">
        <v>258</v>
      </c>
      <c r="E271" t="str">
        <f>"47310100"</f>
        <v>47310100</v>
      </c>
      <c r="F271" t="s">
        <v>148</v>
      </c>
      <c r="G271" t="s">
        <v>341</v>
      </c>
      <c r="H271" t="s">
        <v>351</v>
      </c>
      <c r="I271">
        <v>0</v>
      </c>
      <c r="J271" t="s">
        <v>343</v>
      </c>
      <c r="L271">
        <v>324500</v>
      </c>
      <c r="N271">
        <v>324500</v>
      </c>
    </row>
    <row r="272" spans="1:14" x14ac:dyDescent="0.35">
      <c r="A272" t="str">
        <f t="shared" si="8"/>
        <v>VTE45735FMT250042747310100</v>
      </c>
      <c r="B272" t="s">
        <v>131</v>
      </c>
      <c r="C272" s="1">
        <v>45735</v>
      </c>
      <c r="D272" t="s">
        <v>258</v>
      </c>
      <c r="E272" t="str">
        <f>"47310100"</f>
        <v>47310100</v>
      </c>
      <c r="F272" t="s">
        <v>248</v>
      </c>
      <c r="G272" t="s">
        <v>341</v>
      </c>
      <c r="H272" t="s">
        <v>351</v>
      </c>
      <c r="I272">
        <v>0</v>
      </c>
      <c r="J272" t="s">
        <v>343</v>
      </c>
      <c r="L272">
        <v>-324500</v>
      </c>
      <c r="N272">
        <v>-324500</v>
      </c>
    </row>
    <row r="273" spans="1:14" x14ac:dyDescent="0.35">
      <c r="A273" t="str">
        <f t="shared" si="8"/>
        <v>VTE45735FMT250042770610010</v>
      </c>
      <c r="B273" t="s">
        <v>131</v>
      </c>
      <c r="C273" s="1">
        <v>45735</v>
      </c>
      <c r="D273" t="s">
        <v>258</v>
      </c>
      <c r="E273" t="str">
        <f>"70610010"</f>
        <v>70610010</v>
      </c>
      <c r="F273" t="s">
        <v>148</v>
      </c>
      <c r="G273" t="s">
        <v>341</v>
      </c>
      <c r="H273" t="s">
        <v>349</v>
      </c>
      <c r="I273">
        <v>0</v>
      </c>
      <c r="J273" t="s">
        <v>343</v>
      </c>
      <c r="L273">
        <v>1089000</v>
      </c>
      <c r="N273">
        <v>1089000</v>
      </c>
    </row>
    <row r="274" spans="1:14" x14ac:dyDescent="0.35">
      <c r="A274" t="str">
        <f t="shared" si="8"/>
        <v>VTE45735FMT250042770610010</v>
      </c>
      <c r="B274" t="s">
        <v>131</v>
      </c>
      <c r="C274" s="1">
        <v>45735</v>
      </c>
      <c r="D274" t="s">
        <v>258</v>
      </c>
      <c r="E274" t="str">
        <f>"70610010"</f>
        <v>70610010</v>
      </c>
      <c r="F274" t="s">
        <v>148</v>
      </c>
      <c r="G274" t="s">
        <v>341</v>
      </c>
      <c r="H274" t="s">
        <v>349</v>
      </c>
      <c r="I274">
        <v>0</v>
      </c>
      <c r="J274" t="s">
        <v>343</v>
      </c>
      <c r="L274">
        <v>1089000</v>
      </c>
      <c r="N274">
        <v>1089000</v>
      </c>
    </row>
    <row r="275" spans="1:14" x14ac:dyDescent="0.35">
      <c r="A275" t="str">
        <f t="shared" si="8"/>
        <v>VTE45735FMT250042770610010</v>
      </c>
      <c r="B275" t="s">
        <v>131</v>
      </c>
      <c r="C275" s="1">
        <v>45735</v>
      </c>
      <c r="D275" t="s">
        <v>258</v>
      </c>
      <c r="E275" t="str">
        <f>"70610010"</f>
        <v>70610010</v>
      </c>
      <c r="F275" t="s">
        <v>248</v>
      </c>
      <c r="G275" t="s">
        <v>341</v>
      </c>
      <c r="H275" t="s">
        <v>349</v>
      </c>
      <c r="I275">
        <v>0</v>
      </c>
      <c r="J275" t="s">
        <v>343</v>
      </c>
      <c r="L275">
        <v>-1089000</v>
      </c>
      <c r="N275">
        <v>-1089000</v>
      </c>
    </row>
    <row r="276" spans="1:14" x14ac:dyDescent="0.35">
      <c r="A276" t="str">
        <f t="shared" si="8"/>
        <v>VTE45735FMT250042847310100</v>
      </c>
      <c r="B276" t="s">
        <v>131</v>
      </c>
      <c r="C276" s="1">
        <v>45735</v>
      </c>
      <c r="D276" t="s">
        <v>259</v>
      </c>
      <c r="E276" t="str">
        <f>"47310100"</f>
        <v>47310100</v>
      </c>
      <c r="F276" t="s">
        <v>207</v>
      </c>
      <c r="G276" t="s">
        <v>341</v>
      </c>
      <c r="H276" t="s">
        <v>351</v>
      </c>
      <c r="I276">
        <v>0</v>
      </c>
      <c r="J276" t="s">
        <v>343</v>
      </c>
      <c r="L276">
        <v>118000</v>
      </c>
      <c r="N276">
        <v>118000</v>
      </c>
    </row>
    <row r="277" spans="1:14" x14ac:dyDescent="0.35">
      <c r="A277" t="str">
        <f t="shared" si="8"/>
        <v>VTE45735FMT250042847310100</v>
      </c>
      <c r="B277" t="s">
        <v>131</v>
      </c>
      <c r="C277" s="1">
        <v>45735</v>
      </c>
      <c r="D277" t="s">
        <v>259</v>
      </c>
      <c r="E277" t="str">
        <f>"47310100"</f>
        <v>47310100</v>
      </c>
      <c r="F277" t="s">
        <v>207</v>
      </c>
      <c r="G277" t="s">
        <v>341</v>
      </c>
      <c r="H277" t="s">
        <v>351</v>
      </c>
      <c r="I277">
        <v>0</v>
      </c>
      <c r="J277" t="s">
        <v>343</v>
      </c>
      <c r="L277">
        <v>118000</v>
      </c>
      <c r="N277">
        <v>118000</v>
      </c>
    </row>
    <row r="278" spans="1:14" x14ac:dyDescent="0.35">
      <c r="A278" t="str">
        <f t="shared" si="8"/>
        <v>VTE45735FMT250042847310100</v>
      </c>
      <c r="B278" t="s">
        <v>131</v>
      </c>
      <c r="C278" s="1">
        <v>45735</v>
      </c>
      <c r="D278" t="s">
        <v>259</v>
      </c>
      <c r="E278" t="str">
        <f>"47310100"</f>
        <v>47310100</v>
      </c>
      <c r="F278" t="s">
        <v>260</v>
      </c>
      <c r="G278" t="s">
        <v>341</v>
      </c>
      <c r="H278" t="s">
        <v>351</v>
      </c>
      <c r="I278">
        <v>0</v>
      </c>
      <c r="J278" t="s">
        <v>343</v>
      </c>
      <c r="L278">
        <v>-118000</v>
      </c>
      <c r="N278">
        <v>-118000</v>
      </c>
    </row>
    <row r="279" spans="1:14" x14ac:dyDescent="0.35">
      <c r="A279" t="str">
        <f t="shared" si="8"/>
        <v>VTE45735FMT250042870610010</v>
      </c>
      <c r="B279" t="s">
        <v>131</v>
      </c>
      <c r="C279" s="1">
        <v>45735</v>
      </c>
      <c r="D279" t="s">
        <v>259</v>
      </c>
      <c r="E279" t="str">
        <f>"70610010"</f>
        <v>70610010</v>
      </c>
      <c r="F279" t="s">
        <v>207</v>
      </c>
      <c r="G279" t="s">
        <v>341</v>
      </c>
      <c r="H279" t="s">
        <v>350</v>
      </c>
      <c r="I279">
        <v>0</v>
      </c>
      <c r="J279" t="s">
        <v>343</v>
      </c>
      <c r="L279">
        <v>264000</v>
      </c>
      <c r="N279">
        <v>264000</v>
      </c>
    </row>
    <row r="280" spans="1:14" x14ac:dyDescent="0.35">
      <c r="A280" t="str">
        <f t="shared" si="8"/>
        <v>VTE45735FMT250042870610010</v>
      </c>
      <c r="B280" t="s">
        <v>131</v>
      </c>
      <c r="C280" s="1">
        <v>45735</v>
      </c>
      <c r="D280" t="s">
        <v>259</v>
      </c>
      <c r="E280" t="str">
        <f>"70610010"</f>
        <v>70610010</v>
      </c>
      <c r="F280" t="s">
        <v>207</v>
      </c>
      <c r="G280" t="s">
        <v>341</v>
      </c>
      <c r="H280" t="s">
        <v>350</v>
      </c>
      <c r="I280">
        <v>0</v>
      </c>
      <c r="J280" t="s">
        <v>343</v>
      </c>
      <c r="L280">
        <v>264000</v>
      </c>
      <c r="N280">
        <v>264000</v>
      </c>
    </row>
    <row r="281" spans="1:14" x14ac:dyDescent="0.35">
      <c r="A281" t="str">
        <f t="shared" si="8"/>
        <v>VTE45735FMT250042870610010</v>
      </c>
      <c r="B281" t="s">
        <v>131</v>
      </c>
      <c r="C281" s="1">
        <v>45735</v>
      </c>
      <c r="D281" t="s">
        <v>259</v>
      </c>
      <c r="E281" t="str">
        <f>"70610010"</f>
        <v>70610010</v>
      </c>
      <c r="F281" t="s">
        <v>260</v>
      </c>
      <c r="G281" t="s">
        <v>341</v>
      </c>
      <c r="H281" t="s">
        <v>350</v>
      </c>
      <c r="I281">
        <v>0</v>
      </c>
      <c r="J281" t="s">
        <v>343</v>
      </c>
      <c r="L281">
        <v>-264000</v>
      </c>
      <c r="N281">
        <v>-264000</v>
      </c>
    </row>
    <row r="282" spans="1:14" x14ac:dyDescent="0.35">
      <c r="A282" t="str">
        <f t="shared" si="8"/>
        <v>VTE45736FMT250042947310100</v>
      </c>
      <c r="B282" t="s">
        <v>131</v>
      </c>
      <c r="C282" s="1">
        <v>45736</v>
      </c>
      <c r="D282" t="s">
        <v>261</v>
      </c>
      <c r="E282" t="str">
        <f>"47310100"</f>
        <v>47310100</v>
      </c>
      <c r="F282" t="s">
        <v>144</v>
      </c>
      <c r="G282" t="s">
        <v>341</v>
      </c>
      <c r="H282" t="s">
        <v>351</v>
      </c>
      <c r="I282">
        <v>0</v>
      </c>
      <c r="J282" t="s">
        <v>343</v>
      </c>
      <c r="L282">
        <v>177000</v>
      </c>
      <c r="N282">
        <v>177000</v>
      </c>
    </row>
    <row r="283" spans="1:14" x14ac:dyDescent="0.35">
      <c r="A283" t="str">
        <f t="shared" si="8"/>
        <v>VTE45736FMT250042947310100</v>
      </c>
      <c r="B283" t="s">
        <v>131</v>
      </c>
      <c r="C283" s="1">
        <v>45736</v>
      </c>
      <c r="D283" t="s">
        <v>261</v>
      </c>
      <c r="E283" t="str">
        <f>"47310100"</f>
        <v>47310100</v>
      </c>
      <c r="F283" t="s">
        <v>144</v>
      </c>
      <c r="G283" t="s">
        <v>341</v>
      </c>
      <c r="H283" t="s">
        <v>351</v>
      </c>
      <c r="I283">
        <v>0</v>
      </c>
      <c r="J283" t="s">
        <v>343</v>
      </c>
      <c r="L283">
        <v>177000</v>
      </c>
      <c r="N283">
        <v>177000</v>
      </c>
    </row>
    <row r="284" spans="1:14" x14ac:dyDescent="0.35">
      <c r="A284" t="str">
        <f t="shared" si="8"/>
        <v>VTE45736FMT250042947310100</v>
      </c>
      <c r="B284" t="s">
        <v>131</v>
      </c>
      <c r="C284" s="1">
        <v>45736</v>
      </c>
      <c r="D284" t="s">
        <v>261</v>
      </c>
      <c r="E284" t="str">
        <f>"47310100"</f>
        <v>47310100</v>
      </c>
      <c r="F284" t="s">
        <v>262</v>
      </c>
      <c r="G284" t="s">
        <v>341</v>
      </c>
      <c r="H284" t="s">
        <v>351</v>
      </c>
      <c r="I284">
        <v>0</v>
      </c>
      <c r="J284" t="s">
        <v>343</v>
      </c>
      <c r="L284">
        <v>-177000</v>
      </c>
      <c r="N284">
        <v>-177000</v>
      </c>
    </row>
    <row r="285" spans="1:14" x14ac:dyDescent="0.35">
      <c r="A285" t="str">
        <f t="shared" si="8"/>
        <v>VTE45736FMT250042970610010</v>
      </c>
      <c r="B285" t="s">
        <v>131</v>
      </c>
      <c r="C285" s="1">
        <v>45736</v>
      </c>
      <c r="D285" t="s">
        <v>261</v>
      </c>
      <c r="E285" t="str">
        <f>"70610010"</f>
        <v>70610010</v>
      </c>
      <c r="F285" t="s">
        <v>144</v>
      </c>
      <c r="G285" t="s">
        <v>341</v>
      </c>
      <c r="H285" t="s">
        <v>350</v>
      </c>
      <c r="I285">
        <v>0</v>
      </c>
      <c r="J285" t="s">
        <v>343</v>
      </c>
      <c r="L285">
        <v>396000</v>
      </c>
      <c r="N285">
        <v>396000</v>
      </c>
    </row>
    <row r="286" spans="1:14" x14ac:dyDescent="0.35">
      <c r="A286" t="str">
        <f t="shared" si="8"/>
        <v>VTE45736FMT250042970610010</v>
      </c>
      <c r="B286" t="s">
        <v>131</v>
      </c>
      <c r="C286" s="1">
        <v>45736</v>
      </c>
      <c r="D286" t="s">
        <v>261</v>
      </c>
      <c r="E286" t="str">
        <f>"70610010"</f>
        <v>70610010</v>
      </c>
      <c r="F286" t="s">
        <v>144</v>
      </c>
      <c r="G286" t="s">
        <v>341</v>
      </c>
      <c r="H286" t="s">
        <v>350</v>
      </c>
      <c r="I286">
        <v>0</v>
      </c>
      <c r="J286" t="s">
        <v>343</v>
      </c>
      <c r="L286">
        <v>396000</v>
      </c>
      <c r="N286">
        <v>396000</v>
      </c>
    </row>
    <row r="287" spans="1:14" x14ac:dyDescent="0.35">
      <c r="A287" t="str">
        <f t="shared" si="8"/>
        <v>VTE45736FMT250042970610010</v>
      </c>
      <c r="B287" t="s">
        <v>131</v>
      </c>
      <c r="C287" s="1">
        <v>45736</v>
      </c>
      <c r="D287" t="s">
        <v>261</v>
      </c>
      <c r="E287" t="str">
        <f>"70610010"</f>
        <v>70610010</v>
      </c>
      <c r="F287" t="s">
        <v>262</v>
      </c>
      <c r="G287" t="s">
        <v>341</v>
      </c>
      <c r="H287" t="s">
        <v>350</v>
      </c>
      <c r="I287">
        <v>0</v>
      </c>
      <c r="J287" t="s">
        <v>343</v>
      </c>
      <c r="L287">
        <v>-396000</v>
      </c>
      <c r="N287">
        <v>-396000</v>
      </c>
    </row>
    <row r="288" spans="1:14" x14ac:dyDescent="0.35">
      <c r="A288" t="str">
        <f t="shared" si="8"/>
        <v>VTE45736FMT250043047310100</v>
      </c>
      <c r="B288" t="s">
        <v>131</v>
      </c>
      <c r="C288" s="1">
        <v>45736</v>
      </c>
      <c r="D288" t="s">
        <v>263</v>
      </c>
      <c r="E288" t="str">
        <f>"47310100"</f>
        <v>47310100</v>
      </c>
      <c r="F288" t="s">
        <v>159</v>
      </c>
      <c r="G288" t="s">
        <v>341</v>
      </c>
      <c r="H288" t="s">
        <v>351</v>
      </c>
      <c r="I288">
        <v>0</v>
      </c>
      <c r="J288" t="s">
        <v>343</v>
      </c>
      <c r="L288">
        <v>59000</v>
      </c>
      <c r="N288">
        <v>59000</v>
      </c>
    </row>
    <row r="289" spans="1:14" x14ac:dyDescent="0.35">
      <c r="A289" t="str">
        <f t="shared" si="8"/>
        <v>VTE45736FMT250043047310100</v>
      </c>
      <c r="B289" t="s">
        <v>131</v>
      </c>
      <c r="C289" s="1">
        <v>45736</v>
      </c>
      <c r="D289" t="s">
        <v>263</v>
      </c>
      <c r="E289" t="str">
        <f>"47310100"</f>
        <v>47310100</v>
      </c>
      <c r="F289" t="s">
        <v>159</v>
      </c>
      <c r="G289" t="s">
        <v>341</v>
      </c>
      <c r="H289" t="s">
        <v>351</v>
      </c>
      <c r="I289">
        <v>0</v>
      </c>
      <c r="J289" t="s">
        <v>343</v>
      </c>
      <c r="L289">
        <v>59000</v>
      </c>
      <c r="N289">
        <v>59000</v>
      </c>
    </row>
    <row r="290" spans="1:14" x14ac:dyDescent="0.35">
      <c r="A290" t="str">
        <f t="shared" si="8"/>
        <v>VTE45736FMT250043047310100</v>
      </c>
      <c r="B290" t="s">
        <v>131</v>
      </c>
      <c r="C290" s="1">
        <v>45736</v>
      </c>
      <c r="D290" t="s">
        <v>263</v>
      </c>
      <c r="E290" t="str">
        <f>"47310100"</f>
        <v>47310100</v>
      </c>
      <c r="F290" t="s">
        <v>239</v>
      </c>
      <c r="G290" t="s">
        <v>341</v>
      </c>
      <c r="H290" t="s">
        <v>351</v>
      </c>
      <c r="I290">
        <v>0</v>
      </c>
      <c r="J290" t="s">
        <v>343</v>
      </c>
      <c r="L290">
        <v>-59000</v>
      </c>
      <c r="N290">
        <v>-59000</v>
      </c>
    </row>
    <row r="291" spans="1:14" x14ac:dyDescent="0.35">
      <c r="A291" t="str">
        <f t="shared" si="8"/>
        <v>VTE45736FMT250043070610010</v>
      </c>
      <c r="B291" t="s">
        <v>131</v>
      </c>
      <c r="C291" s="1">
        <v>45736</v>
      </c>
      <c r="D291" t="s">
        <v>263</v>
      </c>
      <c r="E291" t="str">
        <f t="shared" ref="E291:E296" si="9">"70610010"</f>
        <v>70610010</v>
      </c>
      <c r="F291" t="s">
        <v>159</v>
      </c>
      <c r="G291" t="s">
        <v>341</v>
      </c>
      <c r="H291" t="s">
        <v>349</v>
      </c>
      <c r="I291">
        <v>0</v>
      </c>
      <c r="J291" t="s">
        <v>343</v>
      </c>
      <c r="L291">
        <v>402000</v>
      </c>
      <c r="N291">
        <v>402000</v>
      </c>
    </row>
    <row r="292" spans="1:14" x14ac:dyDescent="0.35">
      <c r="A292" t="str">
        <f t="shared" si="8"/>
        <v>VTE45736FMT250043070610010</v>
      </c>
      <c r="B292" t="s">
        <v>131</v>
      </c>
      <c r="C292" s="1">
        <v>45736</v>
      </c>
      <c r="D292" t="s">
        <v>263</v>
      </c>
      <c r="E292" t="str">
        <f t="shared" si="9"/>
        <v>70610010</v>
      </c>
      <c r="F292" t="s">
        <v>159</v>
      </c>
      <c r="G292" t="s">
        <v>341</v>
      </c>
      <c r="H292" t="s">
        <v>349</v>
      </c>
      <c r="I292">
        <v>0</v>
      </c>
      <c r="J292" t="s">
        <v>343</v>
      </c>
      <c r="L292">
        <v>402000</v>
      </c>
      <c r="N292">
        <v>402000</v>
      </c>
    </row>
    <row r="293" spans="1:14" x14ac:dyDescent="0.35">
      <c r="A293" t="str">
        <f t="shared" si="8"/>
        <v>VTE45736FMT250043070610010</v>
      </c>
      <c r="B293" t="s">
        <v>131</v>
      </c>
      <c r="C293" s="1">
        <v>45736</v>
      </c>
      <c r="D293" t="s">
        <v>263</v>
      </c>
      <c r="E293" t="str">
        <f t="shared" si="9"/>
        <v>70610010</v>
      </c>
      <c r="F293" t="s">
        <v>239</v>
      </c>
      <c r="G293" t="s">
        <v>341</v>
      </c>
      <c r="H293" t="s">
        <v>349</v>
      </c>
      <c r="I293">
        <v>0</v>
      </c>
      <c r="J293" t="s">
        <v>343</v>
      </c>
      <c r="L293">
        <v>-402000</v>
      </c>
      <c r="N293">
        <v>-402000</v>
      </c>
    </row>
    <row r="294" spans="1:14" x14ac:dyDescent="0.35">
      <c r="A294" t="str">
        <f t="shared" si="8"/>
        <v>VTE45736FMT250043170610010</v>
      </c>
      <c r="B294" t="s">
        <v>131</v>
      </c>
      <c r="C294" s="1">
        <v>45736</v>
      </c>
      <c r="D294" t="s">
        <v>264</v>
      </c>
      <c r="E294" t="str">
        <f t="shared" si="9"/>
        <v>70610010</v>
      </c>
      <c r="F294" t="s">
        <v>159</v>
      </c>
      <c r="G294" t="s">
        <v>341</v>
      </c>
      <c r="H294" t="s">
        <v>349</v>
      </c>
      <c r="I294">
        <v>0</v>
      </c>
      <c r="J294" t="s">
        <v>343</v>
      </c>
      <c r="L294">
        <v>402000</v>
      </c>
      <c r="N294">
        <v>402000</v>
      </c>
    </row>
    <row r="295" spans="1:14" x14ac:dyDescent="0.35">
      <c r="A295" t="str">
        <f t="shared" si="8"/>
        <v>VTE45736FMT250043170610010</v>
      </c>
      <c r="B295" t="s">
        <v>131</v>
      </c>
      <c r="C295" s="1">
        <v>45736</v>
      </c>
      <c r="D295" t="s">
        <v>264</v>
      </c>
      <c r="E295" t="str">
        <f t="shared" si="9"/>
        <v>70610010</v>
      </c>
      <c r="F295" t="s">
        <v>159</v>
      </c>
      <c r="G295" t="s">
        <v>341</v>
      </c>
      <c r="H295" t="s">
        <v>349</v>
      </c>
      <c r="I295">
        <v>0</v>
      </c>
      <c r="J295" t="s">
        <v>343</v>
      </c>
      <c r="L295">
        <v>402000</v>
      </c>
      <c r="N295">
        <v>402000</v>
      </c>
    </row>
    <row r="296" spans="1:14" x14ac:dyDescent="0.35">
      <c r="A296" t="str">
        <f t="shared" si="8"/>
        <v>VTE45736FMT250043170610010</v>
      </c>
      <c r="B296" t="s">
        <v>131</v>
      </c>
      <c r="C296" s="1">
        <v>45736</v>
      </c>
      <c r="D296" t="s">
        <v>264</v>
      </c>
      <c r="E296" t="str">
        <f t="shared" si="9"/>
        <v>70610010</v>
      </c>
      <c r="F296" t="s">
        <v>239</v>
      </c>
      <c r="G296" t="s">
        <v>341</v>
      </c>
      <c r="H296" t="s">
        <v>349</v>
      </c>
      <c r="I296">
        <v>0</v>
      </c>
      <c r="J296" t="s">
        <v>343</v>
      </c>
      <c r="L296">
        <v>-402000</v>
      </c>
      <c r="N296">
        <v>-402000</v>
      </c>
    </row>
    <row r="297" spans="1:14" x14ac:dyDescent="0.35">
      <c r="A297" t="str">
        <f t="shared" si="8"/>
        <v>VTE45736FMT250043247310100</v>
      </c>
      <c r="B297" t="s">
        <v>131</v>
      </c>
      <c r="C297" s="1">
        <v>45736</v>
      </c>
      <c r="D297" t="s">
        <v>265</v>
      </c>
      <c r="E297" t="str">
        <f>"47310100"</f>
        <v>47310100</v>
      </c>
      <c r="F297" t="s">
        <v>159</v>
      </c>
      <c r="G297" t="s">
        <v>341</v>
      </c>
      <c r="H297" t="s">
        <v>351</v>
      </c>
      <c r="I297">
        <v>0</v>
      </c>
      <c r="J297" t="s">
        <v>343</v>
      </c>
      <c r="L297">
        <v>177000</v>
      </c>
      <c r="N297">
        <v>177000</v>
      </c>
    </row>
    <row r="298" spans="1:14" x14ac:dyDescent="0.35">
      <c r="A298" t="str">
        <f t="shared" si="8"/>
        <v>VTE45736FMT250043247310100</v>
      </c>
      <c r="B298" t="s">
        <v>131</v>
      </c>
      <c r="C298" s="1">
        <v>45736</v>
      </c>
      <c r="D298" t="s">
        <v>265</v>
      </c>
      <c r="E298" t="str">
        <f>"47310100"</f>
        <v>47310100</v>
      </c>
      <c r="F298" t="s">
        <v>159</v>
      </c>
      <c r="G298" t="s">
        <v>341</v>
      </c>
      <c r="H298" t="s">
        <v>351</v>
      </c>
      <c r="I298">
        <v>0</v>
      </c>
      <c r="J298" t="s">
        <v>343</v>
      </c>
      <c r="L298">
        <v>177000</v>
      </c>
      <c r="N298">
        <v>177000</v>
      </c>
    </row>
    <row r="299" spans="1:14" x14ac:dyDescent="0.35">
      <c r="A299" t="str">
        <f t="shared" si="8"/>
        <v>VTE45736FMT250043247310100</v>
      </c>
      <c r="B299" t="s">
        <v>131</v>
      </c>
      <c r="C299" s="1">
        <v>45736</v>
      </c>
      <c r="D299" t="s">
        <v>265</v>
      </c>
      <c r="E299" t="str">
        <f>"47310100"</f>
        <v>47310100</v>
      </c>
      <c r="F299" t="s">
        <v>239</v>
      </c>
      <c r="G299" t="s">
        <v>341</v>
      </c>
      <c r="H299" t="s">
        <v>351</v>
      </c>
      <c r="I299">
        <v>0</v>
      </c>
      <c r="J299" t="s">
        <v>343</v>
      </c>
      <c r="L299">
        <v>-177000</v>
      </c>
      <c r="N299">
        <v>-177000</v>
      </c>
    </row>
    <row r="300" spans="1:14" x14ac:dyDescent="0.35">
      <c r="A300" t="str">
        <f t="shared" si="8"/>
        <v>VTE45736FMT250043270610010</v>
      </c>
      <c r="B300" t="s">
        <v>131</v>
      </c>
      <c r="C300" s="1">
        <v>45736</v>
      </c>
      <c r="D300" t="s">
        <v>265</v>
      </c>
      <c r="E300" t="str">
        <f>"70610010"</f>
        <v>70610010</v>
      </c>
      <c r="F300" t="s">
        <v>159</v>
      </c>
      <c r="G300" t="s">
        <v>341</v>
      </c>
      <c r="H300" t="s">
        <v>349</v>
      </c>
      <c r="I300">
        <v>0</v>
      </c>
      <c r="J300" t="s">
        <v>343</v>
      </c>
      <c r="L300">
        <v>900000</v>
      </c>
      <c r="N300">
        <v>900000</v>
      </c>
    </row>
    <row r="301" spans="1:14" x14ac:dyDescent="0.35">
      <c r="A301" t="str">
        <f t="shared" si="8"/>
        <v>VTE45736FMT250043270610010</v>
      </c>
      <c r="B301" t="s">
        <v>131</v>
      </c>
      <c r="C301" s="1">
        <v>45736</v>
      </c>
      <c r="D301" t="s">
        <v>265</v>
      </c>
      <c r="E301" t="str">
        <f>"70610010"</f>
        <v>70610010</v>
      </c>
      <c r="F301" t="s">
        <v>159</v>
      </c>
      <c r="G301" t="s">
        <v>341</v>
      </c>
      <c r="H301" t="s">
        <v>349</v>
      </c>
      <c r="I301">
        <v>0</v>
      </c>
      <c r="J301" t="s">
        <v>343</v>
      </c>
      <c r="L301">
        <v>900000</v>
      </c>
      <c r="N301">
        <v>900000</v>
      </c>
    </row>
    <row r="302" spans="1:14" x14ac:dyDescent="0.35">
      <c r="A302" t="str">
        <f t="shared" si="8"/>
        <v>VTE45736FMT250043270610010</v>
      </c>
      <c r="B302" t="s">
        <v>131</v>
      </c>
      <c r="C302" s="1">
        <v>45736</v>
      </c>
      <c r="D302" t="s">
        <v>265</v>
      </c>
      <c r="E302" t="str">
        <f>"70610010"</f>
        <v>70610010</v>
      </c>
      <c r="F302" t="s">
        <v>239</v>
      </c>
      <c r="G302" t="s">
        <v>341</v>
      </c>
      <c r="H302" t="s">
        <v>349</v>
      </c>
      <c r="I302">
        <v>0</v>
      </c>
      <c r="J302" t="s">
        <v>343</v>
      </c>
      <c r="L302">
        <v>-900000</v>
      </c>
      <c r="N302">
        <v>-900000</v>
      </c>
    </row>
    <row r="303" spans="1:14" x14ac:dyDescent="0.35">
      <c r="A303" t="str">
        <f t="shared" si="8"/>
        <v>VTE45736FMT250043347310100</v>
      </c>
      <c r="B303" t="s">
        <v>131</v>
      </c>
      <c r="C303" s="1">
        <v>45736</v>
      </c>
      <c r="D303" t="s">
        <v>266</v>
      </c>
      <c r="E303" t="str">
        <f>"47310100"</f>
        <v>47310100</v>
      </c>
      <c r="F303" t="s">
        <v>159</v>
      </c>
      <c r="G303" t="s">
        <v>341</v>
      </c>
      <c r="H303" t="s">
        <v>351</v>
      </c>
      <c r="I303">
        <v>0</v>
      </c>
      <c r="J303" t="s">
        <v>343</v>
      </c>
      <c r="L303">
        <v>59000</v>
      </c>
      <c r="N303">
        <v>59000</v>
      </c>
    </row>
    <row r="304" spans="1:14" x14ac:dyDescent="0.35">
      <c r="A304" t="str">
        <f t="shared" si="8"/>
        <v>VTE45736FMT250043347310100</v>
      </c>
      <c r="B304" t="s">
        <v>131</v>
      </c>
      <c r="C304" s="1">
        <v>45736</v>
      </c>
      <c r="D304" t="s">
        <v>266</v>
      </c>
      <c r="E304" t="str">
        <f>"47310100"</f>
        <v>47310100</v>
      </c>
      <c r="F304" t="s">
        <v>159</v>
      </c>
      <c r="G304" t="s">
        <v>341</v>
      </c>
      <c r="H304" t="s">
        <v>351</v>
      </c>
      <c r="I304">
        <v>0</v>
      </c>
      <c r="J304" t="s">
        <v>343</v>
      </c>
      <c r="L304">
        <v>59000</v>
      </c>
      <c r="N304">
        <v>59000</v>
      </c>
    </row>
    <row r="305" spans="1:14" x14ac:dyDescent="0.35">
      <c r="A305" t="str">
        <f t="shared" si="8"/>
        <v>VTE45736FMT250043347310100</v>
      </c>
      <c r="B305" t="s">
        <v>131</v>
      </c>
      <c r="C305" s="1">
        <v>45736</v>
      </c>
      <c r="D305" t="s">
        <v>266</v>
      </c>
      <c r="E305" t="str">
        <f>"47310100"</f>
        <v>47310100</v>
      </c>
      <c r="F305" t="s">
        <v>239</v>
      </c>
      <c r="G305" t="s">
        <v>341</v>
      </c>
      <c r="H305" t="s">
        <v>351</v>
      </c>
      <c r="I305">
        <v>0</v>
      </c>
      <c r="J305" t="s">
        <v>343</v>
      </c>
      <c r="L305">
        <v>-59000</v>
      </c>
      <c r="N305">
        <v>-59000</v>
      </c>
    </row>
    <row r="306" spans="1:14" x14ac:dyDescent="0.35">
      <c r="A306" t="str">
        <f t="shared" si="8"/>
        <v>VTE45736FMT250043370610010</v>
      </c>
      <c r="B306" t="s">
        <v>131</v>
      </c>
      <c r="C306" s="1">
        <v>45736</v>
      </c>
      <c r="D306" t="s">
        <v>266</v>
      </c>
      <c r="E306" t="str">
        <f>"70610010"</f>
        <v>70610010</v>
      </c>
      <c r="F306" t="s">
        <v>159</v>
      </c>
      <c r="G306" t="s">
        <v>341</v>
      </c>
      <c r="H306" t="s">
        <v>349</v>
      </c>
      <c r="I306">
        <v>0</v>
      </c>
      <c r="J306" t="s">
        <v>343</v>
      </c>
      <c r="L306">
        <v>198000</v>
      </c>
      <c r="N306">
        <v>198000</v>
      </c>
    </row>
    <row r="307" spans="1:14" x14ac:dyDescent="0.35">
      <c r="A307" t="str">
        <f t="shared" si="8"/>
        <v>VTE45736FMT250043370610010</v>
      </c>
      <c r="B307" t="s">
        <v>131</v>
      </c>
      <c r="C307" s="1">
        <v>45736</v>
      </c>
      <c r="D307" t="s">
        <v>266</v>
      </c>
      <c r="E307" t="str">
        <f>"70610010"</f>
        <v>70610010</v>
      </c>
      <c r="F307" t="s">
        <v>159</v>
      </c>
      <c r="G307" t="s">
        <v>341</v>
      </c>
      <c r="H307" t="s">
        <v>349</v>
      </c>
      <c r="I307">
        <v>0</v>
      </c>
      <c r="J307" t="s">
        <v>343</v>
      </c>
      <c r="L307">
        <v>198000</v>
      </c>
      <c r="N307">
        <v>198000</v>
      </c>
    </row>
    <row r="308" spans="1:14" x14ac:dyDescent="0.35">
      <c r="A308" t="str">
        <f t="shared" si="8"/>
        <v>VTE45736FMT250043370610010</v>
      </c>
      <c r="B308" t="s">
        <v>131</v>
      </c>
      <c r="C308" s="1">
        <v>45736</v>
      </c>
      <c r="D308" t="s">
        <v>266</v>
      </c>
      <c r="E308" t="str">
        <f>"70610010"</f>
        <v>70610010</v>
      </c>
      <c r="F308" t="s">
        <v>239</v>
      </c>
      <c r="G308" t="s">
        <v>341</v>
      </c>
      <c r="H308" t="s">
        <v>349</v>
      </c>
      <c r="I308">
        <v>0</v>
      </c>
      <c r="J308" t="s">
        <v>343</v>
      </c>
      <c r="L308">
        <v>-198000</v>
      </c>
      <c r="N308">
        <v>-198000</v>
      </c>
    </row>
    <row r="309" spans="1:14" x14ac:dyDescent="0.35">
      <c r="A309" t="str">
        <f t="shared" si="8"/>
        <v>VTE45736FMT250043447310100</v>
      </c>
      <c r="B309" t="s">
        <v>131</v>
      </c>
      <c r="C309" s="1">
        <v>45736</v>
      </c>
      <c r="D309" t="s">
        <v>267</v>
      </c>
      <c r="E309" t="str">
        <f>"47310100"</f>
        <v>47310100</v>
      </c>
      <c r="F309" t="s">
        <v>146</v>
      </c>
      <c r="G309" t="s">
        <v>341</v>
      </c>
      <c r="H309" t="s">
        <v>351</v>
      </c>
      <c r="I309">
        <v>0</v>
      </c>
      <c r="J309" t="s">
        <v>343</v>
      </c>
      <c r="L309">
        <v>118000</v>
      </c>
      <c r="N309">
        <v>118000</v>
      </c>
    </row>
    <row r="310" spans="1:14" x14ac:dyDescent="0.35">
      <c r="A310" t="str">
        <f t="shared" si="8"/>
        <v>VTE45736FMT250043447310100</v>
      </c>
      <c r="B310" t="s">
        <v>131</v>
      </c>
      <c r="C310" s="1">
        <v>45736</v>
      </c>
      <c r="D310" t="s">
        <v>267</v>
      </c>
      <c r="E310" t="str">
        <f>"47310100"</f>
        <v>47310100</v>
      </c>
      <c r="F310" t="s">
        <v>146</v>
      </c>
      <c r="G310" t="s">
        <v>341</v>
      </c>
      <c r="H310" t="s">
        <v>351</v>
      </c>
      <c r="I310">
        <v>0</v>
      </c>
      <c r="J310" t="s">
        <v>343</v>
      </c>
      <c r="L310">
        <v>118000</v>
      </c>
      <c r="N310">
        <v>118000</v>
      </c>
    </row>
    <row r="311" spans="1:14" x14ac:dyDescent="0.35">
      <c r="A311" t="str">
        <f t="shared" si="8"/>
        <v>VTE45736FMT250043447310100</v>
      </c>
      <c r="B311" t="s">
        <v>131</v>
      </c>
      <c r="C311" s="1">
        <v>45736</v>
      </c>
      <c r="D311" t="s">
        <v>267</v>
      </c>
      <c r="E311" t="str">
        <f>"47310100"</f>
        <v>47310100</v>
      </c>
      <c r="F311" t="s">
        <v>268</v>
      </c>
      <c r="G311" t="s">
        <v>341</v>
      </c>
      <c r="H311" t="s">
        <v>351</v>
      </c>
      <c r="I311">
        <v>0</v>
      </c>
      <c r="J311" t="s">
        <v>343</v>
      </c>
      <c r="L311">
        <v>-118000</v>
      </c>
      <c r="N311">
        <v>-118000</v>
      </c>
    </row>
    <row r="312" spans="1:14" x14ac:dyDescent="0.35">
      <c r="A312" t="str">
        <f t="shared" si="8"/>
        <v>VTE45736FMT250043470610010</v>
      </c>
      <c r="B312" t="s">
        <v>131</v>
      </c>
      <c r="C312" s="1">
        <v>45736</v>
      </c>
      <c r="D312" t="s">
        <v>267</v>
      </c>
      <c r="E312" t="str">
        <f>"70610010"</f>
        <v>70610010</v>
      </c>
      <c r="F312" t="s">
        <v>146</v>
      </c>
      <c r="G312" t="s">
        <v>341</v>
      </c>
      <c r="H312" t="s">
        <v>350</v>
      </c>
      <c r="I312">
        <v>0</v>
      </c>
      <c r="J312" t="s">
        <v>343</v>
      </c>
      <c r="L312">
        <v>264000</v>
      </c>
      <c r="N312">
        <v>264000</v>
      </c>
    </row>
    <row r="313" spans="1:14" x14ac:dyDescent="0.35">
      <c r="A313" t="str">
        <f t="shared" si="8"/>
        <v>VTE45736FMT250043470610010</v>
      </c>
      <c r="B313" t="s">
        <v>131</v>
      </c>
      <c r="C313" s="1">
        <v>45736</v>
      </c>
      <c r="D313" t="s">
        <v>267</v>
      </c>
      <c r="E313" t="str">
        <f>"70610010"</f>
        <v>70610010</v>
      </c>
      <c r="F313" t="s">
        <v>146</v>
      </c>
      <c r="G313" t="s">
        <v>341</v>
      </c>
      <c r="H313" t="s">
        <v>350</v>
      </c>
      <c r="I313">
        <v>0</v>
      </c>
      <c r="J313" t="s">
        <v>343</v>
      </c>
      <c r="L313">
        <v>264000</v>
      </c>
      <c r="N313">
        <v>264000</v>
      </c>
    </row>
    <row r="314" spans="1:14" x14ac:dyDescent="0.35">
      <c r="A314" t="str">
        <f t="shared" si="8"/>
        <v>VTE45736FMT250043470610010</v>
      </c>
      <c r="B314" t="s">
        <v>131</v>
      </c>
      <c r="C314" s="1">
        <v>45736</v>
      </c>
      <c r="D314" t="s">
        <v>267</v>
      </c>
      <c r="E314" t="str">
        <f>"70610010"</f>
        <v>70610010</v>
      </c>
      <c r="F314" t="s">
        <v>268</v>
      </c>
      <c r="G314" t="s">
        <v>341</v>
      </c>
      <c r="H314" t="s">
        <v>350</v>
      </c>
      <c r="I314">
        <v>0</v>
      </c>
      <c r="J314" t="s">
        <v>343</v>
      </c>
      <c r="L314">
        <v>-264000</v>
      </c>
      <c r="N314">
        <v>-264000</v>
      </c>
    </row>
    <row r="315" spans="1:14" x14ac:dyDescent="0.35">
      <c r="A315" t="str">
        <f t="shared" si="8"/>
        <v>VTE45736FMT250043547310100</v>
      </c>
      <c r="B315" t="s">
        <v>131</v>
      </c>
      <c r="C315" s="1">
        <v>45736</v>
      </c>
      <c r="D315" t="s">
        <v>269</v>
      </c>
      <c r="E315" t="str">
        <f>"47310100"</f>
        <v>47310100</v>
      </c>
      <c r="F315" t="s">
        <v>148</v>
      </c>
      <c r="G315" t="s">
        <v>341</v>
      </c>
      <c r="H315" t="s">
        <v>351</v>
      </c>
      <c r="I315">
        <v>0</v>
      </c>
      <c r="J315" t="s">
        <v>343</v>
      </c>
      <c r="L315">
        <v>177000</v>
      </c>
      <c r="N315">
        <v>177000</v>
      </c>
    </row>
    <row r="316" spans="1:14" x14ac:dyDescent="0.35">
      <c r="A316" t="str">
        <f t="shared" si="8"/>
        <v>VTE45736FMT250043547310100</v>
      </c>
      <c r="B316" t="s">
        <v>131</v>
      </c>
      <c r="C316" s="1">
        <v>45736</v>
      </c>
      <c r="D316" t="s">
        <v>269</v>
      </c>
      <c r="E316" t="str">
        <f>"47310100"</f>
        <v>47310100</v>
      </c>
      <c r="F316" t="s">
        <v>148</v>
      </c>
      <c r="G316" t="s">
        <v>341</v>
      </c>
      <c r="H316" t="s">
        <v>351</v>
      </c>
      <c r="I316">
        <v>0</v>
      </c>
      <c r="J316" t="s">
        <v>343</v>
      </c>
      <c r="L316">
        <v>177000</v>
      </c>
      <c r="N316">
        <v>177000</v>
      </c>
    </row>
    <row r="317" spans="1:14" x14ac:dyDescent="0.35">
      <c r="A317" t="str">
        <f t="shared" si="8"/>
        <v>VTE45736FMT250043547310100</v>
      </c>
      <c r="B317" t="s">
        <v>131</v>
      </c>
      <c r="C317" s="1">
        <v>45736</v>
      </c>
      <c r="D317" t="s">
        <v>269</v>
      </c>
      <c r="E317" t="str">
        <f>"47310100"</f>
        <v>47310100</v>
      </c>
      <c r="F317" t="s">
        <v>248</v>
      </c>
      <c r="G317" t="s">
        <v>341</v>
      </c>
      <c r="H317" t="s">
        <v>351</v>
      </c>
      <c r="I317">
        <v>0</v>
      </c>
      <c r="J317" t="s">
        <v>343</v>
      </c>
      <c r="L317">
        <v>-177000</v>
      </c>
      <c r="N317">
        <v>-177000</v>
      </c>
    </row>
    <row r="318" spans="1:14" x14ac:dyDescent="0.35">
      <c r="A318" t="str">
        <f t="shared" si="8"/>
        <v>VTE45736FMT250043570610010</v>
      </c>
      <c r="B318" t="s">
        <v>131</v>
      </c>
      <c r="C318" s="1">
        <v>45736</v>
      </c>
      <c r="D318" t="s">
        <v>269</v>
      </c>
      <c r="E318" t="str">
        <f>"70610010"</f>
        <v>70610010</v>
      </c>
      <c r="F318" t="s">
        <v>148</v>
      </c>
      <c r="G318" t="s">
        <v>341</v>
      </c>
      <c r="H318" t="s">
        <v>349</v>
      </c>
      <c r="I318">
        <v>0</v>
      </c>
      <c r="J318" t="s">
        <v>343</v>
      </c>
      <c r="L318">
        <v>900000</v>
      </c>
      <c r="N318">
        <v>900000</v>
      </c>
    </row>
    <row r="319" spans="1:14" x14ac:dyDescent="0.35">
      <c r="A319" t="str">
        <f t="shared" si="8"/>
        <v>VTE45736FMT250043570610010</v>
      </c>
      <c r="B319" t="s">
        <v>131</v>
      </c>
      <c r="C319" s="1">
        <v>45736</v>
      </c>
      <c r="D319" t="s">
        <v>269</v>
      </c>
      <c r="E319" t="str">
        <f>"70610010"</f>
        <v>70610010</v>
      </c>
      <c r="F319" t="s">
        <v>148</v>
      </c>
      <c r="G319" t="s">
        <v>341</v>
      </c>
      <c r="H319" t="s">
        <v>349</v>
      </c>
      <c r="I319">
        <v>0</v>
      </c>
      <c r="J319" t="s">
        <v>343</v>
      </c>
      <c r="L319">
        <v>900000</v>
      </c>
      <c r="N319">
        <v>900000</v>
      </c>
    </row>
    <row r="320" spans="1:14" x14ac:dyDescent="0.35">
      <c r="A320" t="str">
        <f t="shared" si="8"/>
        <v>VTE45736FMT250043570610010</v>
      </c>
      <c r="B320" t="s">
        <v>131</v>
      </c>
      <c r="C320" s="1">
        <v>45736</v>
      </c>
      <c r="D320" t="s">
        <v>269</v>
      </c>
      <c r="E320" t="str">
        <f>"70610010"</f>
        <v>70610010</v>
      </c>
      <c r="F320" t="s">
        <v>248</v>
      </c>
      <c r="G320" t="s">
        <v>341</v>
      </c>
      <c r="H320" t="s">
        <v>349</v>
      </c>
      <c r="I320">
        <v>0</v>
      </c>
      <c r="J320" t="s">
        <v>343</v>
      </c>
      <c r="L320">
        <v>-900000</v>
      </c>
      <c r="N320">
        <v>-900000</v>
      </c>
    </row>
    <row r="321" spans="1:14" x14ac:dyDescent="0.35">
      <c r="A321" t="str">
        <f t="shared" si="8"/>
        <v>VTE45736FMT250043647310100</v>
      </c>
      <c r="B321" t="s">
        <v>131</v>
      </c>
      <c r="C321" s="1">
        <v>45736</v>
      </c>
      <c r="D321" t="s">
        <v>270</v>
      </c>
      <c r="E321" t="str">
        <f>"47310100"</f>
        <v>47310100</v>
      </c>
      <c r="F321" t="s">
        <v>271</v>
      </c>
      <c r="G321" t="s">
        <v>341</v>
      </c>
      <c r="H321" t="s">
        <v>351</v>
      </c>
      <c r="I321">
        <v>0</v>
      </c>
      <c r="J321" t="s">
        <v>343</v>
      </c>
      <c r="L321">
        <v>59000</v>
      </c>
      <c r="N321">
        <v>59000</v>
      </c>
    </row>
    <row r="322" spans="1:14" x14ac:dyDescent="0.35">
      <c r="A322" t="str">
        <f t="shared" si="8"/>
        <v>VTE45736FMT250043647310100</v>
      </c>
      <c r="B322" t="s">
        <v>131</v>
      </c>
      <c r="C322" s="1">
        <v>45736</v>
      </c>
      <c r="D322" t="s">
        <v>270</v>
      </c>
      <c r="E322" t="str">
        <f>"47310100"</f>
        <v>47310100</v>
      </c>
      <c r="F322" t="s">
        <v>272</v>
      </c>
      <c r="G322" t="s">
        <v>341</v>
      </c>
      <c r="H322" t="s">
        <v>351</v>
      </c>
      <c r="I322">
        <v>0</v>
      </c>
      <c r="J322" t="s">
        <v>343</v>
      </c>
      <c r="L322">
        <v>59000</v>
      </c>
      <c r="N322">
        <v>59000</v>
      </c>
    </row>
    <row r="323" spans="1:14" x14ac:dyDescent="0.35">
      <c r="A323" t="str">
        <f t="shared" ref="A323:A386" si="10">CONCATENATE(B323,C323,D323,E323)</f>
        <v>VTE45736FMT250043647310100</v>
      </c>
      <c r="B323" t="s">
        <v>131</v>
      </c>
      <c r="C323" s="1">
        <v>45736</v>
      </c>
      <c r="D323" t="s">
        <v>270</v>
      </c>
      <c r="E323" t="str">
        <f>"47310100"</f>
        <v>47310100</v>
      </c>
      <c r="F323" t="s">
        <v>273</v>
      </c>
      <c r="G323" t="s">
        <v>341</v>
      </c>
      <c r="H323" t="s">
        <v>351</v>
      </c>
      <c r="I323">
        <v>0</v>
      </c>
      <c r="J323" t="s">
        <v>343</v>
      </c>
      <c r="L323">
        <v>-59000</v>
      </c>
      <c r="N323">
        <v>-59000</v>
      </c>
    </row>
    <row r="324" spans="1:14" x14ac:dyDescent="0.35">
      <c r="A324" t="str">
        <f t="shared" si="10"/>
        <v>VTE45736FMT250043670610010</v>
      </c>
      <c r="B324" t="s">
        <v>131</v>
      </c>
      <c r="C324" s="1">
        <v>45736</v>
      </c>
      <c r="D324" t="s">
        <v>270</v>
      </c>
      <c r="E324" t="str">
        <f>"70610010"</f>
        <v>70610010</v>
      </c>
      <c r="F324" t="s">
        <v>271</v>
      </c>
      <c r="G324" t="s">
        <v>341</v>
      </c>
      <c r="H324" t="s">
        <v>349</v>
      </c>
      <c r="I324">
        <v>0</v>
      </c>
      <c r="J324" t="s">
        <v>343</v>
      </c>
      <c r="L324">
        <v>268000</v>
      </c>
      <c r="N324">
        <v>268000</v>
      </c>
    </row>
    <row r="325" spans="1:14" x14ac:dyDescent="0.35">
      <c r="A325" t="str">
        <f t="shared" si="10"/>
        <v>VTE45736FMT250043670610010</v>
      </c>
      <c r="B325" t="s">
        <v>131</v>
      </c>
      <c r="C325" s="1">
        <v>45736</v>
      </c>
      <c r="D325" t="s">
        <v>270</v>
      </c>
      <c r="E325" t="str">
        <f>"70610010"</f>
        <v>70610010</v>
      </c>
      <c r="F325" t="s">
        <v>272</v>
      </c>
      <c r="G325" t="s">
        <v>341</v>
      </c>
      <c r="H325" t="s">
        <v>349</v>
      </c>
      <c r="I325">
        <v>0</v>
      </c>
      <c r="J325" t="s">
        <v>343</v>
      </c>
      <c r="L325">
        <v>268000</v>
      </c>
      <c r="N325">
        <v>268000</v>
      </c>
    </row>
    <row r="326" spans="1:14" x14ac:dyDescent="0.35">
      <c r="A326" t="str">
        <f t="shared" si="10"/>
        <v>VTE45736FMT250043670610010</v>
      </c>
      <c r="B326" t="s">
        <v>131</v>
      </c>
      <c r="C326" s="1">
        <v>45736</v>
      </c>
      <c r="D326" t="s">
        <v>270</v>
      </c>
      <c r="E326" t="str">
        <f>"70610010"</f>
        <v>70610010</v>
      </c>
      <c r="F326" t="s">
        <v>273</v>
      </c>
      <c r="G326" t="s">
        <v>341</v>
      </c>
      <c r="H326" t="s">
        <v>349</v>
      </c>
      <c r="I326">
        <v>0</v>
      </c>
      <c r="J326" t="s">
        <v>343</v>
      </c>
      <c r="L326">
        <v>-268000</v>
      </c>
      <c r="N326">
        <v>-268000</v>
      </c>
    </row>
    <row r="327" spans="1:14" x14ac:dyDescent="0.35">
      <c r="A327" t="str">
        <f t="shared" si="10"/>
        <v>VTE45736FMT250043747310100</v>
      </c>
      <c r="B327" t="s">
        <v>131</v>
      </c>
      <c r="C327" s="1">
        <v>45736</v>
      </c>
      <c r="D327" t="s">
        <v>274</v>
      </c>
      <c r="E327" t="str">
        <f>"47310100"</f>
        <v>47310100</v>
      </c>
      <c r="F327" t="s">
        <v>148</v>
      </c>
      <c r="G327" t="s">
        <v>341</v>
      </c>
      <c r="H327" t="s">
        <v>351</v>
      </c>
      <c r="I327">
        <v>0</v>
      </c>
      <c r="J327" t="s">
        <v>343</v>
      </c>
      <c r="L327">
        <v>29500</v>
      </c>
      <c r="N327">
        <v>29500</v>
      </c>
    </row>
    <row r="328" spans="1:14" x14ac:dyDescent="0.35">
      <c r="A328" t="str">
        <f t="shared" si="10"/>
        <v>VTE45736FMT250043747310100</v>
      </c>
      <c r="B328" t="s">
        <v>131</v>
      </c>
      <c r="C328" s="1">
        <v>45736</v>
      </c>
      <c r="D328" t="s">
        <v>274</v>
      </c>
      <c r="E328" t="str">
        <f>"47310100"</f>
        <v>47310100</v>
      </c>
      <c r="F328" t="s">
        <v>148</v>
      </c>
      <c r="G328" t="s">
        <v>341</v>
      </c>
      <c r="H328" t="s">
        <v>351</v>
      </c>
      <c r="I328">
        <v>0</v>
      </c>
      <c r="J328" t="s">
        <v>343</v>
      </c>
      <c r="L328">
        <v>29500</v>
      </c>
      <c r="N328">
        <v>29500</v>
      </c>
    </row>
    <row r="329" spans="1:14" x14ac:dyDescent="0.35">
      <c r="A329" t="str">
        <f t="shared" si="10"/>
        <v>VTE45736FMT250043747310100</v>
      </c>
      <c r="B329" t="s">
        <v>131</v>
      </c>
      <c r="C329" s="1">
        <v>45736</v>
      </c>
      <c r="D329" t="s">
        <v>274</v>
      </c>
      <c r="E329" t="str">
        <f>"47310100"</f>
        <v>47310100</v>
      </c>
      <c r="F329" t="s">
        <v>248</v>
      </c>
      <c r="G329" t="s">
        <v>341</v>
      </c>
      <c r="H329" t="s">
        <v>351</v>
      </c>
      <c r="I329">
        <v>0</v>
      </c>
      <c r="J329" t="s">
        <v>343</v>
      </c>
      <c r="L329">
        <v>-29500</v>
      </c>
      <c r="N329">
        <v>-29500</v>
      </c>
    </row>
    <row r="330" spans="1:14" x14ac:dyDescent="0.35">
      <c r="A330" t="str">
        <f t="shared" si="10"/>
        <v>VTE45736FMT250043770610010</v>
      </c>
      <c r="B330" t="s">
        <v>131</v>
      </c>
      <c r="C330" s="1">
        <v>45736</v>
      </c>
      <c r="D330" t="s">
        <v>274</v>
      </c>
      <c r="E330" t="str">
        <f>"70610010"</f>
        <v>70610010</v>
      </c>
      <c r="F330" t="s">
        <v>148</v>
      </c>
      <c r="G330" t="s">
        <v>341</v>
      </c>
      <c r="H330" t="s">
        <v>349</v>
      </c>
      <c r="I330">
        <v>0</v>
      </c>
      <c r="J330" t="s">
        <v>343</v>
      </c>
      <c r="L330">
        <v>180000</v>
      </c>
      <c r="N330">
        <v>180000</v>
      </c>
    </row>
    <row r="331" spans="1:14" x14ac:dyDescent="0.35">
      <c r="A331" t="str">
        <f t="shared" si="10"/>
        <v>VTE45736FMT250043770610010</v>
      </c>
      <c r="B331" t="s">
        <v>131</v>
      </c>
      <c r="C331" s="1">
        <v>45736</v>
      </c>
      <c r="D331" t="s">
        <v>274</v>
      </c>
      <c r="E331" t="str">
        <f>"70610010"</f>
        <v>70610010</v>
      </c>
      <c r="F331" t="s">
        <v>148</v>
      </c>
      <c r="G331" t="s">
        <v>341</v>
      </c>
      <c r="H331" t="s">
        <v>349</v>
      </c>
      <c r="I331">
        <v>0</v>
      </c>
      <c r="J331" t="s">
        <v>343</v>
      </c>
      <c r="L331">
        <v>180000</v>
      </c>
      <c r="N331">
        <v>180000</v>
      </c>
    </row>
    <row r="332" spans="1:14" x14ac:dyDescent="0.35">
      <c r="A332" t="str">
        <f t="shared" si="10"/>
        <v>VTE45736FMT250043770610010</v>
      </c>
      <c r="B332" t="s">
        <v>131</v>
      </c>
      <c r="C332" s="1">
        <v>45736</v>
      </c>
      <c r="D332" t="s">
        <v>274</v>
      </c>
      <c r="E332" t="str">
        <f>"70610010"</f>
        <v>70610010</v>
      </c>
      <c r="F332" t="s">
        <v>248</v>
      </c>
      <c r="G332" t="s">
        <v>341</v>
      </c>
      <c r="H332" t="s">
        <v>349</v>
      </c>
      <c r="I332">
        <v>0</v>
      </c>
      <c r="J332" t="s">
        <v>343</v>
      </c>
      <c r="L332">
        <v>-180000</v>
      </c>
      <c r="N332">
        <v>-180000</v>
      </c>
    </row>
    <row r="333" spans="1:14" x14ac:dyDescent="0.35">
      <c r="A333" t="str">
        <f t="shared" si="10"/>
        <v>VTE45736FMT250043847310100</v>
      </c>
      <c r="B333" t="s">
        <v>131</v>
      </c>
      <c r="C333" s="1">
        <v>45736</v>
      </c>
      <c r="D333" t="s">
        <v>275</v>
      </c>
      <c r="E333" t="str">
        <f>"47310100"</f>
        <v>47310100</v>
      </c>
      <c r="F333" t="s">
        <v>139</v>
      </c>
      <c r="G333" t="s">
        <v>341</v>
      </c>
      <c r="H333" t="s">
        <v>351</v>
      </c>
      <c r="I333">
        <v>0</v>
      </c>
      <c r="J333" t="s">
        <v>343</v>
      </c>
      <c r="L333">
        <v>118000</v>
      </c>
      <c r="N333">
        <v>118000</v>
      </c>
    </row>
    <row r="334" spans="1:14" x14ac:dyDescent="0.35">
      <c r="A334" t="str">
        <f t="shared" si="10"/>
        <v>VTE45736FMT250043847310100</v>
      </c>
      <c r="B334" t="s">
        <v>131</v>
      </c>
      <c r="C334" s="1">
        <v>45736</v>
      </c>
      <c r="D334" t="s">
        <v>275</v>
      </c>
      <c r="E334" t="str">
        <f>"47310100"</f>
        <v>47310100</v>
      </c>
      <c r="F334" t="s">
        <v>139</v>
      </c>
      <c r="G334" t="s">
        <v>341</v>
      </c>
      <c r="H334" t="s">
        <v>351</v>
      </c>
      <c r="I334">
        <v>0</v>
      </c>
      <c r="J334" t="s">
        <v>343</v>
      </c>
      <c r="L334">
        <v>118000</v>
      </c>
      <c r="N334">
        <v>118000</v>
      </c>
    </row>
    <row r="335" spans="1:14" x14ac:dyDescent="0.35">
      <c r="A335" t="str">
        <f t="shared" si="10"/>
        <v>VTE45736FMT250043847310100</v>
      </c>
      <c r="B335" t="s">
        <v>131</v>
      </c>
      <c r="C335" s="1">
        <v>45736</v>
      </c>
      <c r="D335" t="s">
        <v>275</v>
      </c>
      <c r="E335" t="str">
        <f>"47310100"</f>
        <v>47310100</v>
      </c>
      <c r="F335" t="s">
        <v>254</v>
      </c>
      <c r="G335" t="s">
        <v>341</v>
      </c>
      <c r="H335" t="s">
        <v>351</v>
      </c>
      <c r="I335">
        <v>0</v>
      </c>
      <c r="J335" t="s">
        <v>343</v>
      </c>
      <c r="L335">
        <v>-118000</v>
      </c>
      <c r="N335">
        <v>-118000</v>
      </c>
    </row>
    <row r="336" spans="1:14" x14ac:dyDescent="0.35">
      <c r="A336" t="str">
        <f t="shared" si="10"/>
        <v>VTE45736FMT250043870610010</v>
      </c>
      <c r="B336" t="s">
        <v>131</v>
      </c>
      <c r="C336" s="1">
        <v>45736</v>
      </c>
      <c r="D336" t="s">
        <v>275</v>
      </c>
      <c r="E336" t="str">
        <f>"70610010"</f>
        <v>70610010</v>
      </c>
      <c r="F336" t="s">
        <v>139</v>
      </c>
      <c r="G336" t="s">
        <v>341</v>
      </c>
      <c r="H336" t="s">
        <v>349</v>
      </c>
      <c r="I336">
        <v>0</v>
      </c>
      <c r="J336" t="s">
        <v>343</v>
      </c>
      <c r="L336">
        <v>536000</v>
      </c>
      <c r="N336">
        <v>536000</v>
      </c>
    </row>
    <row r="337" spans="1:14" x14ac:dyDescent="0.35">
      <c r="A337" t="str">
        <f t="shared" si="10"/>
        <v>VTE45736FMT250043870610010</v>
      </c>
      <c r="B337" t="s">
        <v>131</v>
      </c>
      <c r="C337" s="1">
        <v>45736</v>
      </c>
      <c r="D337" t="s">
        <v>275</v>
      </c>
      <c r="E337" t="str">
        <f>"70610010"</f>
        <v>70610010</v>
      </c>
      <c r="F337" t="s">
        <v>139</v>
      </c>
      <c r="G337" t="s">
        <v>341</v>
      </c>
      <c r="H337" t="s">
        <v>349</v>
      </c>
      <c r="I337">
        <v>0</v>
      </c>
      <c r="J337" t="s">
        <v>343</v>
      </c>
      <c r="L337">
        <v>536000</v>
      </c>
      <c r="N337">
        <v>536000</v>
      </c>
    </row>
    <row r="338" spans="1:14" x14ac:dyDescent="0.35">
      <c r="A338" t="str">
        <f t="shared" si="10"/>
        <v>VTE45736FMT250043870610010</v>
      </c>
      <c r="B338" t="s">
        <v>131</v>
      </c>
      <c r="C338" s="1">
        <v>45736</v>
      </c>
      <c r="D338" t="s">
        <v>275</v>
      </c>
      <c r="E338" t="str">
        <f>"70610010"</f>
        <v>70610010</v>
      </c>
      <c r="F338" t="s">
        <v>254</v>
      </c>
      <c r="G338" t="s">
        <v>341</v>
      </c>
      <c r="H338" t="s">
        <v>349</v>
      </c>
      <c r="I338">
        <v>0</v>
      </c>
      <c r="J338" t="s">
        <v>343</v>
      </c>
      <c r="L338">
        <v>-536000</v>
      </c>
      <c r="N338">
        <v>-536000</v>
      </c>
    </row>
    <row r="339" spans="1:14" x14ac:dyDescent="0.35">
      <c r="A339" t="str">
        <f t="shared" si="10"/>
        <v>VTE45736FMT250043947310100</v>
      </c>
      <c r="B339" t="s">
        <v>131</v>
      </c>
      <c r="C339" s="1">
        <v>45736</v>
      </c>
      <c r="D339" t="s">
        <v>276</v>
      </c>
      <c r="E339" t="str">
        <f>"47310100"</f>
        <v>47310100</v>
      </c>
      <c r="F339" t="s">
        <v>154</v>
      </c>
      <c r="G339" t="s">
        <v>341</v>
      </c>
      <c r="H339" t="s">
        <v>351</v>
      </c>
      <c r="I339">
        <v>0</v>
      </c>
      <c r="J339" t="s">
        <v>343</v>
      </c>
      <c r="L339">
        <v>590000</v>
      </c>
      <c r="N339">
        <v>590000</v>
      </c>
    </row>
    <row r="340" spans="1:14" x14ac:dyDescent="0.35">
      <c r="A340" t="str">
        <f t="shared" si="10"/>
        <v>VTE45736FMT250043947310100</v>
      </c>
      <c r="B340" t="s">
        <v>131</v>
      </c>
      <c r="C340" s="1">
        <v>45736</v>
      </c>
      <c r="D340" t="s">
        <v>276</v>
      </c>
      <c r="E340" t="str">
        <f>"47310100"</f>
        <v>47310100</v>
      </c>
      <c r="F340" t="s">
        <v>154</v>
      </c>
      <c r="G340" t="s">
        <v>341</v>
      </c>
      <c r="H340" t="s">
        <v>351</v>
      </c>
      <c r="I340">
        <v>0</v>
      </c>
      <c r="J340" t="s">
        <v>343</v>
      </c>
      <c r="L340">
        <v>590000</v>
      </c>
      <c r="N340">
        <v>590000</v>
      </c>
    </row>
    <row r="341" spans="1:14" x14ac:dyDescent="0.35">
      <c r="A341" t="str">
        <f t="shared" si="10"/>
        <v>VTE45736FMT250043947310100</v>
      </c>
      <c r="B341" t="s">
        <v>131</v>
      </c>
      <c r="C341" s="1">
        <v>45736</v>
      </c>
      <c r="D341" t="s">
        <v>276</v>
      </c>
      <c r="E341" t="str">
        <f>"47310100"</f>
        <v>47310100</v>
      </c>
      <c r="F341" t="s">
        <v>155</v>
      </c>
      <c r="G341" t="s">
        <v>341</v>
      </c>
      <c r="H341" t="s">
        <v>351</v>
      </c>
      <c r="I341">
        <v>0</v>
      </c>
      <c r="J341" t="s">
        <v>343</v>
      </c>
      <c r="L341">
        <v>-590000</v>
      </c>
      <c r="N341">
        <v>-590000</v>
      </c>
    </row>
    <row r="342" spans="1:14" x14ac:dyDescent="0.35">
      <c r="A342" t="str">
        <f t="shared" si="10"/>
        <v>VTE45736FMT250043970610010</v>
      </c>
      <c r="B342" t="s">
        <v>131</v>
      </c>
      <c r="C342" s="1">
        <v>45736</v>
      </c>
      <c r="D342" t="s">
        <v>276</v>
      </c>
      <c r="E342" t="str">
        <f>"70610010"</f>
        <v>70610010</v>
      </c>
      <c r="F342" t="s">
        <v>154</v>
      </c>
      <c r="G342" t="s">
        <v>341</v>
      </c>
      <c r="H342" t="s">
        <v>349</v>
      </c>
      <c r="I342">
        <v>0</v>
      </c>
      <c r="J342" t="s">
        <v>343</v>
      </c>
      <c r="L342">
        <v>1320000</v>
      </c>
      <c r="N342">
        <v>1320000</v>
      </c>
    </row>
    <row r="343" spans="1:14" x14ac:dyDescent="0.35">
      <c r="A343" t="str">
        <f t="shared" si="10"/>
        <v>VTE45736FMT250043970610010</v>
      </c>
      <c r="B343" t="s">
        <v>131</v>
      </c>
      <c r="C343" s="1">
        <v>45736</v>
      </c>
      <c r="D343" t="s">
        <v>276</v>
      </c>
      <c r="E343" t="str">
        <f>"70610010"</f>
        <v>70610010</v>
      </c>
      <c r="F343" t="s">
        <v>154</v>
      </c>
      <c r="G343" t="s">
        <v>341</v>
      </c>
      <c r="H343" t="s">
        <v>349</v>
      </c>
      <c r="I343">
        <v>0</v>
      </c>
      <c r="J343" t="s">
        <v>343</v>
      </c>
      <c r="L343">
        <v>1320000</v>
      </c>
      <c r="N343">
        <v>1320000</v>
      </c>
    </row>
    <row r="344" spans="1:14" x14ac:dyDescent="0.35">
      <c r="A344" t="str">
        <f t="shared" si="10"/>
        <v>VTE45736FMT250043970610010</v>
      </c>
      <c r="B344" t="s">
        <v>131</v>
      </c>
      <c r="C344" s="1">
        <v>45736</v>
      </c>
      <c r="D344" t="s">
        <v>276</v>
      </c>
      <c r="E344" t="str">
        <f>"70610010"</f>
        <v>70610010</v>
      </c>
      <c r="F344" t="s">
        <v>155</v>
      </c>
      <c r="G344" t="s">
        <v>341</v>
      </c>
      <c r="H344" t="s">
        <v>349</v>
      </c>
      <c r="I344">
        <v>0</v>
      </c>
      <c r="J344" t="s">
        <v>343</v>
      </c>
      <c r="L344">
        <v>-1320000</v>
      </c>
      <c r="N344">
        <v>-1320000</v>
      </c>
    </row>
    <row r="345" spans="1:14" x14ac:dyDescent="0.35">
      <c r="A345" t="str">
        <f t="shared" si="10"/>
        <v>VTE45736FMT250044047310100</v>
      </c>
      <c r="B345" t="s">
        <v>131</v>
      </c>
      <c r="C345" s="1">
        <v>45736</v>
      </c>
      <c r="D345" t="s">
        <v>277</v>
      </c>
      <c r="E345" t="str">
        <f>"47310100"</f>
        <v>47310100</v>
      </c>
      <c r="F345" t="s">
        <v>271</v>
      </c>
      <c r="G345" t="s">
        <v>341</v>
      </c>
      <c r="H345" t="s">
        <v>351</v>
      </c>
      <c r="I345">
        <v>0</v>
      </c>
      <c r="J345" t="s">
        <v>343</v>
      </c>
      <c r="L345">
        <v>265500</v>
      </c>
      <c r="N345">
        <v>265500</v>
      </c>
    </row>
    <row r="346" spans="1:14" x14ac:dyDescent="0.35">
      <c r="A346" t="str">
        <f t="shared" si="10"/>
        <v>VTE45736FMT250044047310100</v>
      </c>
      <c r="B346" t="s">
        <v>131</v>
      </c>
      <c r="C346" s="1">
        <v>45736</v>
      </c>
      <c r="D346" t="s">
        <v>277</v>
      </c>
      <c r="E346" t="str">
        <f>"47310100"</f>
        <v>47310100</v>
      </c>
      <c r="F346" t="s">
        <v>272</v>
      </c>
      <c r="G346" t="s">
        <v>341</v>
      </c>
      <c r="H346" t="s">
        <v>351</v>
      </c>
      <c r="I346">
        <v>0</v>
      </c>
      <c r="J346" t="s">
        <v>343</v>
      </c>
      <c r="L346">
        <v>265500</v>
      </c>
      <c r="N346">
        <v>265500</v>
      </c>
    </row>
    <row r="347" spans="1:14" x14ac:dyDescent="0.35">
      <c r="A347" t="str">
        <f t="shared" si="10"/>
        <v>VTE45736FMT250044047310100</v>
      </c>
      <c r="B347" t="s">
        <v>131</v>
      </c>
      <c r="C347" s="1">
        <v>45736</v>
      </c>
      <c r="D347" t="s">
        <v>277</v>
      </c>
      <c r="E347" t="str">
        <f>"47310100"</f>
        <v>47310100</v>
      </c>
      <c r="F347" t="s">
        <v>273</v>
      </c>
      <c r="G347" t="s">
        <v>341</v>
      </c>
      <c r="H347" t="s">
        <v>351</v>
      </c>
      <c r="I347">
        <v>0</v>
      </c>
      <c r="J347" t="s">
        <v>343</v>
      </c>
      <c r="L347">
        <v>-265500</v>
      </c>
      <c r="N347">
        <v>-265500</v>
      </c>
    </row>
    <row r="348" spans="1:14" x14ac:dyDescent="0.35">
      <c r="A348" t="str">
        <f t="shared" si="10"/>
        <v>VTE45736FMT250044070610010</v>
      </c>
      <c r="B348" t="s">
        <v>131</v>
      </c>
      <c r="C348" s="1">
        <v>45736</v>
      </c>
      <c r="D348" t="s">
        <v>277</v>
      </c>
      <c r="E348" t="str">
        <f>"70610010"</f>
        <v>70610010</v>
      </c>
      <c r="F348" t="s">
        <v>271</v>
      </c>
      <c r="G348" t="s">
        <v>341</v>
      </c>
      <c r="H348" t="s">
        <v>349</v>
      </c>
      <c r="I348">
        <v>0</v>
      </c>
      <c r="J348" t="s">
        <v>343</v>
      </c>
      <c r="L348">
        <v>1206000</v>
      </c>
      <c r="N348">
        <v>1206000</v>
      </c>
    </row>
    <row r="349" spans="1:14" x14ac:dyDescent="0.35">
      <c r="A349" t="str">
        <f t="shared" si="10"/>
        <v>VTE45736FMT250044070610010</v>
      </c>
      <c r="B349" t="s">
        <v>131</v>
      </c>
      <c r="C349" s="1">
        <v>45736</v>
      </c>
      <c r="D349" t="s">
        <v>277</v>
      </c>
      <c r="E349" t="str">
        <f>"70610010"</f>
        <v>70610010</v>
      </c>
      <c r="F349" t="s">
        <v>272</v>
      </c>
      <c r="G349" t="s">
        <v>341</v>
      </c>
      <c r="H349" t="s">
        <v>349</v>
      </c>
      <c r="I349">
        <v>0</v>
      </c>
      <c r="J349" t="s">
        <v>343</v>
      </c>
      <c r="L349">
        <v>1206000</v>
      </c>
      <c r="N349">
        <v>1206000</v>
      </c>
    </row>
    <row r="350" spans="1:14" x14ac:dyDescent="0.35">
      <c r="A350" t="str">
        <f t="shared" si="10"/>
        <v>VTE45736FMT250044070610010</v>
      </c>
      <c r="B350" t="s">
        <v>131</v>
      </c>
      <c r="C350" s="1">
        <v>45736</v>
      </c>
      <c r="D350" t="s">
        <v>277</v>
      </c>
      <c r="E350" t="str">
        <f>"70610010"</f>
        <v>70610010</v>
      </c>
      <c r="F350" t="s">
        <v>273</v>
      </c>
      <c r="G350" t="s">
        <v>341</v>
      </c>
      <c r="H350" t="s">
        <v>349</v>
      </c>
      <c r="I350">
        <v>0</v>
      </c>
      <c r="J350" t="s">
        <v>343</v>
      </c>
      <c r="L350">
        <v>-1206000</v>
      </c>
      <c r="N350">
        <v>-1206000</v>
      </c>
    </row>
    <row r="351" spans="1:14" x14ac:dyDescent="0.35">
      <c r="A351" t="str">
        <f t="shared" si="10"/>
        <v>VTE45736FMT250044147310100</v>
      </c>
      <c r="B351" t="s">
        <v>131</v>
      </c>
      <c r="C351" s="1">
        <v>45736</v>
      </c>
      <c r="D351" t="s">
        <v>278</v>
      </c>
      <c r="E351" t="str">
        <f>"47310100"</f>
        <v>47310100</v>
      </c>
      <c r="F351" t="s">
        <v>139</v>
      </c>
      <c r="G351" t="s">
        <v>341</v>
      </c>
      <c r="H351" t="s">
        <v>351</v>
      </c>
      <c r="I351">
        <v>0</v>
      </c>
      <c r="J351" t="s">
        <v>343</v>
      </c>
      <c r="L351">
        <v>590000</v>
      </c>
      <c r="N351">
        <v>590000</v>
      </c>
    </row>
    <row r="352" spans="1:14" x14ac:dyDescent="0.35">
      <c r="A352" t="str">
        <f t="shared" si="10"/>
        <v>VTE45736FMT250044147310100</v>
      </c>
      <c r="B352" t="s">
        <v>131</v>
      </c>
      <c r="C352" s="1">
        <v>45736</v>
      </c>
      <c r="D352" t="s">
        <v>278</v>
      </c>
      <c r="E352" t="str">
        <f>"47310100"</f>
        <v>47310100</v>
      </c>
      <c r="F352" t="s">
        <v>139</v>
      </c>
      <c r="G352" t="s">
        <v>341</v>
      </c>
      <c r="H352" t="s">
        <v>351</v>
      </c>
      <c r="I352">
        <v>0</v>
      </c>
      <c r="J352" t="s">
        <v>343</v>
      </c>
      <c r="L352">
        <v>590000</v>
      </c>
      <c r="N352">
        <v>590000</v>
      </c>
    </row>
    <row r="353" spans="1:14" x14ac:dyDescent="0.35">
      <c r="A353" t="str">
        <f t="shared" si="10"/>
        <v>VTE45736FMT250044147310100</v>
      </c>
      <c r="B353" t="s">
        <v>131</v>
      </c>
      <c r="C353" s="1">
        <v>45736</v>
      </c>
      <c r="D353" t="s">
        <v>278</v>
      </c>
      <c r="E353" t="str">
        <f>"47310100"</f>
        <v>47310100</v>
      </c>
      <c r="F353" t="s">
        <v>254</v>
      </c>
      <c r="G353" t="s">
        <v>341</v>
      </c>
      <c r="H353" t="s">
        <v>351</v>
      </c>
      <c r="I353">
        <v>0</v>
      </c>
      <c r="J353" t="s">
        <v>343</v>
      </c>
      <c r="L353">
        <v>-590000</v>
      </c>
      <c r="N353">
        <v>-590000</v>
      </c>
    </row>
    <row r="354" spans="1:14" x14ac:dyDescent="0.35">
      <c r="A354" t="str">
        <f t="shared" si="10"/>
        <v>VTE45736FMT250044170610010</v>
      </c>
      <c r="B354" t="s">
        <v>131</v>
      </c>
      <c r="C354" s="1">
        <v>45736</v>
      </c>
      <c r="D354" t="s">
        <v>278</v>
      </c>
      <c r="E354" t="str">
        <f>"70610010"</f>
        <v>70610010</v>
      </c>
      <c r="F354" t="s">
        <v>139</v>
      </c>
      <c r="G354" t="s">
        <v>341</v>
      </c>
      <c r="H354" t="s">
        <v>349</v>
      </c>
      <c r="I354">
        <v>0</v>
      </c>
      <c r="J354" t="s">
        <v>343</v>
      </c>
      <c r="L354">
        <v>2680000</v>
      </c>
      <c r="N354">
        <v>2680000</v>
      </c>
    </row>
    <row r="355" spans="1:14" x14ac:dyDescent="0.35">
      <c r="A355" t="str">
        <f t="shared" si="10"/>
        <v>VTE45736FMT250044170610010</v>
      </c>
      <c r="B355" t="s">
        <v>131</v>
      </c>
      <c r="C355" s="1">
        <v>45736</v>
      </c>
      <c r="D355" t="s">
        <v>278</v>
      </c>
      <c r="E355" t="str">
        <f>"70610010"</f>
        <v>70610010</v>
      </c>
      <c r="F355" t="s">
        <v>139</v>
      </c>
      <c r="G355" t="s">
        <v>341</v>
      </c>
      <c r="H355" t="s">
        <v>349</v>
      </c>
      <c r="I355">
        <v>0</v>
      </c>
      <c r="J355" t="s">
        <v>343</v>
      </c>
      <c r="L355">
        <v>2680000</v>
      </c>
      <c r="N355">
        <v>2680000</v>
      </c>
    </row>
    <row r="356" spans="1:14" x14ac:dyDescent="0.35">
      <c r="A356" t="str">
        <f t="shared" si="10"/>
        <v>VTE45736FMT250044170610010</v>
      </c>
      <c r="B356" t="s">
        <v>131</v>
      </c>
      <c r="C356" s="1">
        <v>45736</v>
      </c>
      <c r="D356" t="s">
        <v>278</v>
      </c>
      <c r="E356" t="str">
        <f>"70610010"</f>
        <v>70610010</v>
      </c>
      <c r="F356" t="s">
        <v>254</v>
      </c>
      <c r="G356" t="s">
        <v>341</v>
      </c>
      <c r="H356" t="s">
        <v>349</v>
      </c>
      <c r="I356">
        <v>0</v>
      </c>
      <c r="J356" t="s">
        <v>343</v>
      </c>
      <c r="L356">
        <v>-2680000</v>
      </c>
      <c r="N356">
        <v>-2680000</v>
      </c>
    </row>
    <row r="357" spans="1:14" x14ac:dyDescent="0.35">
      <c r="A357" t="str">
        <f t="shared" si="10"/>
        <v>VTE45736FMT250044247310100</v>
      </c>
      <c r="B357" t="s">
        <v>131</v>
      </c>
      <c r="C357" s="1">
        <v>45736</v>
      </c>
      <c r="D357" t="s">
        <v>279</v>
      </c>
      <c r="E357" t="str">
        <f>"47310100"</f>
        <v>47310100</v>
      </c>
      <c r="F357" t="s">
        <v>139</v>
      </c>
      <c r="G357" t="s">
        <v>341</v>
      </c>
      <c r="H357" t="s">
        <v>351</v>
      </c>
      <c r="I357">
        <v>0</v>
      </c>
      <c r="J357" t="s">
        <v>343</v>
      </c>
      <c r="L357">
        <v>531000</v>
      </c>
      <c r="N357">
        <v>531000</v>
      </c>
    </row>
    <row r="358" spans="1:14" x14ac:dyDescent="0.35">
      <c r="A358" t="str">
        <f t="shared" si="10"/>
        <v>VTE45736FMT250044247310100</v>
      </c>
      <c r="B358" t="s">
        <v>131</v>
      </c>
      <c r="C358" s="1">
        <v>45736</v>
      </c>
      <c r="D358" t="s">
        <v>279</v>
      </c>
      <c r="E358" t="str">
        <f>"47310100"</f>
        <v>47310100</v>
      </c>
      <c r="F358" t="s">
        <v>139</v>
      </c>
      <c r="G358" t="s">
        <v>341</v>
      </c>
      <c r="H358" t="s">
        <v>351</v>
      </c>
      <c r="I358">
        <v>0</v>
      </c>
      <c r="J358" t="s">
        <v>343</v>
      </c>
      <c r="L358">
        <v>531000</v>
      </c>
      <c r="N358">
        <v>531000</v>
      </c>
    </row>
    <row r="359" spans="1:14" x14ac:dyDescent="0.35">
      <c r="A359" t="str">
        <f t="shared" si="10"/>
        <v>VTE45736FMT250044247310100</v>
      </c>
      <c r="B359" t="s">
        <v>131</v>
      </c>
      <c r="C359" s="1">
        <v>45736</v>
      </c>
      <c r="D359" t="s">
        <v>279</v>
      </c>
      <c r="E359" t="str">
        <f>"47310100"</f>
        <v>47310100</v>
      </c>
      <c r="F359" t="s">
        <v>254</v>
      </c>
      <c r="G359" t="s">
        <v>341</v>
      </c>
      <c r="H359" t="s">
        <v>351</v>
      </c>
      <c r="I359">
        <v>0</v>
      </c>
      <c r="J359" t="s">
        <v>343</v>
      </c>
      <c r="L359">
        <v>-531000</v>
      </c>
      <c r="N359">
        <v>-531000</v>
      </c>
    </row>
    <row r="360" spans="1:14" x14ac:dyDescent="0.35">
      <c r="A360" t="str">
        <f t="shared" si="10"/>
        <v>VTE45736FMT250044270610010</v>
      </c>
      <c r="B360" t="s">
        <v>131</v>
      </c>
      <c r="C360" s="1">
        <v>45736</v>
      </c>
      <c r="D360" t="s">
        <v>279</v>
      </c>
      <c r="E360" t="str">
        <f>"70610010"</f>
        <v>70610010</v>
      </c>
      <c r="F360" t="s">
        <v>139</v>
      </c>
      <c r="G360" t="s">
        <v>341</v>
      </c>
      <c r="H360" t="s">
        <v>349</v>
      </c>
      <c r="I360">
        <v>0</v>
      </c>
      <c r="J360" t="s">
        <v>343</v>
      </c>
      <c r="L360">
        <v>2412000</v>
      </c>
      <c r="N360">
        <v>2412000</v>
      </c>
    </row>
    <row r="361" spans="1:14" x14ac:dyDescent="0.35">
      <c r="A361" t="str">
        <f t="shared" si="10"/>
        <v>VTE45736FMT250044270610010</v>
      </c>
      <c r="B361" t="s">
        <v>131</v>
      </c>
      <c r="C361" s="1">
        <v>45736</v>
      </c>
      <c r="D361" t="s">
        <v>279</v>
      </c>
      <c r="E361" t="str">
        <f>"70610010"</f>
        <v>70610010</v>
      </c>
      <c r="F361" t="s">
        <v>139</v>
      </c>
      <c r="G361" t="s">
        <v>341</v>
      </c>
      <c r="H361" t="s">
        <v>349</v>
      </c>
      <c r="I361">
        <v>0</v>
      </c>
      <c r="J361" t="s">
        <v>343</v>
      </c>
      <c r="L361">
        <v>2412000</v>
      </c>
      <c r="N361">
        <v>2412000</v>
      </c>
    </row>
    <row r="362" spans="1:14" x14ac:dyDescent="0.35">
      <c r="A362" t="str">
        <f t="shared" si="10"/>
        <v>VTE45736FMT250044270610010</v>
      </c>
      <c r="B362" t="s">
        <v>131</v>
      </c>
      <c r="C362" s="1">
        <v>45736</v>
      </c>
      <c r="D362" t="s">
        <v>279</v>
      </c>
      <c r="E362" t="str">
        <f>"70610010"</f>
        <v>70610010</v>
      </c>
      <c r="F362" t="s">
        <v>254</v>
      </c>
      <c r="G362" t="s">
        <v>341</v>
      </c>
      <c r="H362" t="s">
        <v>349</v>
      </c>
      <c r="I362">
        <v>0</v>
      </c>
      <c r="J362" t="s">
        <v>343</v>
      </c>
      <c r="L362">
        <v>-2412000</v>
      </c>
      <c r="N362">
        <v>-2412000</v>
      </c>
    </row>
    <row r="363" spans="1:14" x14ac:dyDescent="0.35">
      <c r="A363" t="str">
        <f t="shared" si="10"/>
        <v>VTE45736FMT250044347310100</v>
      </c>
      <c r="B363" t="s">
        <v>131</v>
      </c>
      <c r="C363" s="1">
        <v>45736</v>
      </c>
      <c r="D363" t="s">
        <v>280</v>
      </c>
      <c r="E363" t="str">
        <f>"47310100"</f>
        <v>47310100</v>
      </c>
      <c r="F363" t="s">
        <v>139</v>
      </c>
      <c r="G363" t="s">
        <v>341</v>
      </c>
      <c r="H363" t="s">
        <v>351</v>
      </c>
      <c r="I363">
        <v>0</v>
      </c>
      <c r="J363" t="s">
        <v>343</v>
      </c>
      <c r="L363">
        <v>295000</v>
      </c>
      <c r="N363">
        <v>295000</v>
      </c>
    </row>
    <row r="364" spans="1:14" x14ac:dyDescent="0.35">
      <c r="A364" t="str">
        <f t="shared" si="10"/>
        <v>VTE45736FMT250044347310100</v>
      </c>
      <c r="B364" t="s">
        <v>131</v>
      </c>
      <c r="C364" s="1">
        <v>45736</v>
      </c>
      <c r="D364" t="s">
        <v>280</v>
      </c>
      <c r="E364" t="str">
        <f>"47310100"</f>
        <v>47310100</v>
      </c>
      <c r="F364" t="s">
        <v>139</v>
      </c>
      <c r="G364" t="s">
        <v>341</v>
      </c>
      <c r="H364" t="s">
        <v>351</v>
      </c>
      <c r="I364">
        <v>0</v>
      </c>
      <c r="J364" t="s">
        <v>343</v>
      </c>
      <c r="L364">
        <v>295000</v>
      </c>
      <c r="N364">
        <v>295000</v>
      </c>
    </row>
    <row r="365" spans="1:14" x14ac:dyDescent="0.35">
      <c r="A365" t="str">
        <f t="shared" si="10"/>
        <v>VTE45736FMT250044347310100</v>
      </c>
      <c r="B365" t="s">
        <v>131</v>
      </c>
      <c r="C365" s="1">
        <v>45736</v>
      </c>
      <c r="D365" t="s">
        <v>280</v>
      </c>
      <c r="E365" t="str">
        <f>"47310100"</f>
        <v>47310100</v>
      </c>
      <c r="F365" t="s">
        <v>254</v>
      </c>
      <c r="G365" t="s">
        <v>341</v>
      </c>
      <c r="H365" t="s">
        <v>351</v>
      </c>
      <c r="I365">
        <v>0</v>
      </c>
      <c r="J365" t="s">
        <v>343</v>
      </c>
      <c r="L365">
        <v>-295000</v>
      </c>
      <c r="N365">
        <v>-295000</v>
      </c>
    </row>
    <row r="366" spans="1:14" x14ac:dyDescent="0.35">
      <c r="A366" t="str">
        <f t="shared" si="10"/>
        <v>VTE45736FMT250044370610010</v>
      </c>
      <c r="B366" t="s">
        <v>131</v>
      </c>
      <c r="C366" s="1">
        <v>45736</v>
      </c>
      <c r="D366" t="s">
        <v>280</v>
      </c>
      <c r="E366" t="str">
        <f>"70610010"</f>
        <v>70610010</v>
      </c>
      <c r="F366" t="s">
        <v>139</v>
      </c>
      <c r="G366" t="s">
        <v>341</v>
      </c>
      <c r="H366" t="s">
        <v>349</v>
      </c>
      <c r="I366">
        <v>0</v>
      </c>
      <c r="J366" t="s">
        <v>343</v>
      </c>
      <c r="L366">
        <v>1340000</v>
      </c>
      <c r="N366">
        <v>1340000</v>
      </c>
    </row>
    <row r="367" spans="1:14" x14ac:dyDescent="0.35">
      <c r="A367" t="str">
        <f t="shared" si="10"/>
        <v>VTE45736FMT250044370610010</v>
      </c>
      <c r="B367" t="s">
        <v>131</v>
      </c>
      <c r="C367" s="1">
        <v>45736</v>
      </c>
      <c r="D367" t="s">
        <v>280</v>
      </c>
      <c r="E367" t="str">
        <f>"70610010"</f>
        <v>70610010</v>
      </c>
      <c r="F367" t="s">
        <v>139</v>
      </c>
      <c r="G367" t="s">
        <v>341</v>
      </c>
      <c r="H367" t="s">
        <v>349</v>
      </c>
      <c r="I367">
        <v>0</v>
      </c>
      <c r="J367" t="s">
        <v>343</v>
      </c>
      <c r="L367">
        <v>1340000</v>
      </c>
      <c r="N367">
        <v>1340000</v>
      </c>
    </row>
    <row r="368" spans="1:14" x14ac:dyDescent="0.35">
      <c r="A368" t="str">
        <f t="shared" si="10"/>
        <v>VTE45736FMT250044370610010</v>
      </c>
      <c r="B368" t="s">
        <v>131</v>
      </c>
      <c r="C368" s="1">
        <v>45736</v>
      </c>
      <c r="D368" t="s">
        <v>280</v>
      </c>
      <c r="E368" t="str">
        <f>"70610010"</f>
        <v>70610010</v>
      </c>
      <c r="F368" t="s">
        <v>254</v>
      </c>
      <c r="G368" t="s">
        <v>341</v>
      </c>
      <c r="H368" t="s">
        <v>349</v>
      </c>
      <c r="I368">
        <v>0</v>
      </c>
      <c r="J368" t="s">
        <v>343</v>
      </c>
      <c r="L368">
        <v>-1340000</v>
      </c>
      <c r="N368">
        <v>-1340000</v>
      </c>
    </row>
    <row r="369" spans="1:14" x14ac:dyDescent="0.35">
      <c r="A369" t="str">
        <f t="shared" si="10"/>
        <v>VTE45736FMT250044447310100</v>
      </c>
      <c r="B369" t="s">
        <v>131</v>
      </c>
      <c r="C369" s="1">
        <v>45736</v>
      </c>
      <c r="D369" t="s">
        <v>281</v>
      </c>
      <c r="E369" t="str">
        <f>"47310100"</f>
        <v>47310100</v>
      </c>
      <c r="F369" t="s">
        <v>180</v>
      </c>
      <c r="G369" t="s">
        <v>341</v>
      </c>
      <c r="H369" t="s">
        <v>351</v>
      </c>
      <c r="I369">
        <v>0</v>
      </c>
      <c r="J369" t="s">
        <v>343</v>
      </c>
      <c r="L369">
        <v>206500</v>
      </c>
      <c r="N369">
        <v>206500</v>
      </c>
    </row>
    <row r="370" spans="1:14" x14ac:dyDescent="0.35">
      <c r="A370" t="str">
        <f t="shared" si="10"/>
        <v>VTE45736FMT250044447310100</v>
      </c>
      <c r="B370" t="s">
        <v>131</v>
      </c>
      <c r="C370" s="1">
        <v>45736</v>
      </c>
      <c r="D370" t="s">
        <v>281</v>
      </c>
      <c r="E370" t="str">
        <f>"47310100"</f>
        <v>47310100</v>
      </c>
      <c r="F370" t="s">
        <v>180</v>
      </c>
      <c r="G370" t="s">
        <v>341</v>
      </c>
      <c r="H370" t="s">
        <v>351</v>
      </c>
      <c r="I370">
        <v>0</v>
      </c>
      <c r="J370" t="s">
        <v>343</v>
      </c>
      <c r="L370">
        <v>206500</v>
      </c>
      <c r="N370">
        <v>206500</v>
      </c>
    </row>
    <row r="371" spans="1:14" x14ac:dyDescent="0.35">
      <c r="A371" t="str">
        <f t="shared" si="10"/>
        <v>VTE45736FMT250044447310100</v>
      </c>
      <c r="B371" t="s">
        <v>131</v>
      </c>
      <c r="C371" s="1">
        <v>45736</v>
      </c>
      <c r="D371" t="s">
        <v>281</v>
      </c>
      <c r="E371" t="str">
        <f>"47310100"</f>
        <v>47310100</v>
      </c>
      <c r="F371" t="s">
        <v>257</v>
      </c>
      <c r="G371" t="s">
        <v>341</v>
      </c>
      <c r="H371" t="s">
        <v>351</v>
      </c>
      <c r="I371">
        <v>0</v>
      </c>
      <c r="J371" t="s">
        <v>343</v>
      </c>
      <c r="L371">
        <v>-206500</v>
      </c>
      <c r="N371">
        <v>-206500</v>
      </c>
    </row>
    <row r="372" spans="1:14" x14ac:dyDescent="0.35">
      <c r="A372" t="str">
        <f t="shared" si="10"/>
        <v>VTE45736FMT250044470610010</v>
      </c>
      <c r="B372" t="s">
        <v>131</v>
      </c>
      <c r="C372" s="1">
        <v>45736</v>
      </c>
      <c r="D372" t="s">
        <v>281</v>
      </c>
      <c r="E372" t="str">
        <f t="shared" ref="E372:E377" si="11">"70610010"</f>
        <v>70610010</v>
      </c>
      <c r="F372" t="s">
        <v>180</v>
      </c>
      <c r="G372" t="s">
        <v>341</v>
      </c>
      <c r="H372" t="s">
        <v>349</v>
      </c>
      <c r="I372">
        <v>0</v>
      </c>
      <c r="J372" t="s">
        <v>343</v>
      </c>
      <c r="L372">
        <v>1407000</v>
      </c>
      <c r="N372">
        <v>1407000</v>
      </c>
    </row>
    <row r="373" spans="1:14" x14ac:dyDescent="0.35">
      <c r="A373" t="str">
        <f t="shared" si="10"/>
        <v>VTE45736FMT250044470610010</v>
      </c>
      <c r="B373" t="s">
        <v>131</v>
      </c>
      <c r="C373" s="1">
        <v>45736</v>
      </c>
      <c r="D373" t="s">
        <v>281</v>
      </c>
      <c r="E373" t="str">
        <f t="shared" si="11"/>
        <v>70610010</v>
      </c>
      <c r="F373" t="s">
        <v>180</v>
      </c>
      <c r="G373" t="s">
        <v>341</v>
      </c>
      <c r="H373" t="s">
        <v>349</v>
      </c>
      <c r="I373">
        <v>0</v>
      </c>
      <c r="J373" t="s">
        <v>343</v>
      </c>
      <c r="L373">
        <v>1407000</v>
      </c>
      <c r="N373">
        <v>1407000</v>
      </c>
    </row>
    <row r="374" spans="1:14" x14ac:dyDescent="0.35">
      <c r="A374" t="str">
        <f t="shared" si="10"/>
        <v>VTE45736FMT250044470610010</v>
      </c>
      <c r="B374" t="s">
        <v>131</v>
      </c>
      <c r="C374" s="1">
        <v>45736</v>
      </c>
      <c r="D374" t="s">
        <v>281</v>
      </c>
      <c r="E374" t="str">
        <f t="shared" si="11"/>
        <v>70610010</v>
      </c>
      <c r="F374" t="s">
        <v>257</v>
      </c>
      <c r="G374" t="s">
        <v>341</v>
      </c>
      <c r="H374" t="s">
        <v>349</v>
      </c>
      <c r="I374">
        <v>0</v>
      </c>
      <c r="J374" t="s">
        <v>343</v>
      </c>
      <c r="L374">
        <v>-1407000</v>
      </c>
      <c r="N374">
        <v>-1407000</v>
      </c>
    </row>
    <row r="375" spans="1:14" x14ac:dyDescent="0.35">
      <c r="A375" t="str">
        <f t="shared" si="10"/>
        <v>VTE45737FMT250044570610010</v>
      </c>
      <c r="B375" t="s">
        <v>131</v>
      </c>
      <c r="C375" s="1">
        <v>45737</v>
      </c>
      <c r="D375" t="s">
        <v>282</v>
      </c>
      <c r="E375" t="str">
        <f t="shared" si="11"/>
        <v>70610010</v>
      </c>
      <c r="F375" t="s">
        <v>175</v>
      </c>
      <c r="G375" t="s">
        <v>341</v>
      </c>
      <c r="H375" t="s">
        <v>350</v>
      </c>
      <c r="I375">
        <v>0</v>
      </c>
      <c r="J375" t="s">
        <v>343</v>
      </c>
      <c r="L375">
        <v>1056000</v>
      </c>
      <c r="N375">
        <v>1056000</v>
      </c>
    </row>
    <row r="376" spans="1:14" x14ac:dyDescent="0.35">
      <c r="A376" t="str">
        <f t="shared" si="10"/>
        <v>VTE45737FMT250044570610010</v>
      </c>
      <c r="B376" t="s">
        <v>131</v>
      </c>
      <c r="C376" s="1">
        <v>45737</v>
      </c>
      <c r="D376" t="s">
        <v>282</v>
      </c>
      <c r="E376" t="str">
        <f t="shared" si="11"/>
        <v>70610010</v>
      </c>
      <c r="F376" t="s">
        <v>175</v>
      </c>
      <c r="G376" t="s">
        <v>341</v>
      </c>
      <c r="H376" t="s">
        <v>350</v>
      </c>
      <c r="I376">
        <v>0</v>
      </c>
      <c r="J376" t="s">
        <v>343</v>
      </c>
      <c r="L376">
        <v>1056000</v>
      </c>
      <c r="N376">
        <v>1056000</v>
      </c>
    </row>
    <row r="377" spans="1:14" x14ac:dyDescent="0.35">
      <c r="A377" t="str">
        <f t="shared" si="10"/>
        <v>VTE45737FMT250044570610010</v>
      </c>
      <c r="B377" t="s">
        <v>131</v>
      </c>
      <c r="C377" s="1">
        <v>45737</v>
      </c>
      <c r="D377" t="s">
        <v>282</v>
      </c>
      <c r="E377" t="str">
        <f t="shared" si="11"/>
        <v>70610010</v>
      </c>
      <c r="F377" t="s">
        <v>283</v>
      </c>
      <c r="G377" t="s">
        <v>341</v>
      </c>
      <c r="H377" t="s">
        <v>350</v>
      </c>
      <c r="I377">
        <v>0</v>
      </c>
      <c r="J377" t="s">
        <v>343</v>
      </c>
      <c r="L377">
        <v>-1056000</v>
      </c>
      <c r="N377">
        <v>-1056000</v>
      </c>
    </row>
    <row r="378" spans="1:14" x14ac:dyDescent="0.35">
      <c r="A378" t="str">
        <f t="shared" si="10"/>
        <v>VTE45737FMT250044647310100</v>
      </c>
      <c r="B378" t="s">
        <v>131</v>
      </c>
      <c r="C378" s="1">
        <v>45737</v>
      </c>
      <c r="D378" t="s">
        <v>284</v>
      </c>
      <c r="E378" t="str">
        <f>"47310100"</f>
        <v>47310100</v>
      </c>
      <c r="F378" t="s">
        <v>146</v>
      </c>
      <c r="G378" t="s">
        <v>341</v>
      </c>
      <c r="H378" t="s">
        <v>351</v>
      </c>
      <c r="I378">
        <v>0</v>
      </c>
      <c r="J378" t="s">
        <v>343</v>
      </c>
      <c r="L378">
        <v>59000</v>
      </c>
      <c r="N378">
        <v>59000</v>
      </c>
    </row>
    <row r="379" spans="1:14" x14ac:dyDescent="0.35">
      <c r="A379" t="str">
        <f t="shared" si="10"/>
        <v>VTE45737FMT250044647310100</v>
      </c>
      <c r="B379" t="s">
        <v>131</v>
      </c>
      <c r="C379" s="1">
        <v>45737</v>
      </c>
      <c r="D379" t="s">
        <v>284</v>
      </c>
      <c r="E379" t="str">
        <f>"47310100"</f>
        <v>47310100</v>
      </c>
      <c r="F379" t="s">
        <v>146</v>
      </c>
      <c r="G379" t="s">
        <v>341</v>
      </c>
      <c r="H379" t="s">
        <v>351</v>
      </c>
      <c r="I379">
        <v>0</v>
      </c>
      <c r="J379" t="s">
        <v>343</v>
      </c>
      <c r="L379">
        <v>59000</v>
      </c>
      <c r="N379">
        <v>59000</v>
      </c>
    </row>
    <row r="380" spans="1:14" x14ac:dyDescent="0.35">
      <c r="A380" t="str">
        <f t="shared" si="10"/>
        <v>VTE45737FMT250044647310100</v>
      </c>
      <c r="B380" t="s">
        <v>131</v>
      </c>
      <c r="C380" s="1">
        <v>45737</v>
      </c>
      <c r="D380" t="s">
        <v>284</v>
      </c>
      <c r="E380" t="str">
        <f>"47310100"</f>
        <v>47310100</v>
      </c>
      <c r="F380" t="s">
        <v>268</v>
      </c>
      <c r="G380" t="s">
        <v>341</v>
      </c>
      <c r="H380" t="s">
        <v>351</v>
      </c>
      <c r="I380">
        <v>0</v>
      </c>
      <c r="J380" t="s">
        <v>343</v>
      </c>
      <c r="L380">
        <v>-59000</v>
      </c>
      <c r="N380">
        <v>-59000</v>
      </c>
    </row>
    <row r="381" spans="1:14" x14ac:dyDescent="0.35">
      <c r="A381" t="str">
        <f t="shared" si="10"/>
        <v>VTE45737FMT250044670610010</v>
      </c>
      <c r="B381" t="s">
        <v>131</v>
      </c>
      <c r="C381" s="1">
        <v>45737</v>
      </c>
      <c r="D381" t="s">
        <v>284</v>
      </c>
      <c r="E381" t="str">
        <f>"70610010"</f>
        <v>70610010</v>
      </c>
      <c r="F381" t="s">
        <v>146</v>
      </c>
      <c r="G381" t="s">
        <v>341</v>
      </c>
      <c r="H381" t="s">
        <v>350</v>
      </c>
      <c r="I381">
        <v>0</v>
      </c>
      <c r="J381" t="s">
        <v>343</v>
      </c>
      <c r="L381">
        <v>132000</v>
      </c>
      <c r="N381">
        <v>132000</v>
      </c>
    </row>
    <row r="382" spans="1:14" x14ac:dyDescent="0.35">
      <c r="A382" t="str">
        <f t="shared" si="10"/>
        <v>VTE45737FMT250044670610010</v>
      </c>
      <c r="B382" t="s">
        <v>131</v>
      </c>
      <c r="C382" s="1">
        <v>45737</v>
      </c>
      <c r="D382" t="s">
        <v>284</v>
      </c>
      <c r="E382" t="str">
        <f>"70610010"</f>
        <v>70610010</v>
      </c>
      <c r="F382" t="s">
        <v>146</v>
      </c>
      <c r="G382" t="s">
        <v>341</v>
      </c>
      <c r="H382" t="s">
        <v>350</v>
      </c>
      <c r="I382">
        <v>0</v>
      </c>
      <c r="J382" t="s">
        <v>343</v>
      </c>
      <c r="L382">
        <v>132000</v>
      </c>
      <c r="N382">
        <v>132000</v>
      </c>
    </row>
    <row r="383" spans="1:14" x14ac:dyDescent="0.35">
      <c r="A383" t="str">
        <f t="shared" si="10"/>
        <v>VTE45737FMT250044670610010</v>
      </c>
      <c r="B383" t="s">
        <v>131</v>
      </c>
      <c r="C383" s="1">
        <v>45737</v>
      </c>
      <c r="D383" t="s">
        <v>284</v>
      </c>
      <c r="E383" t="str">
        <f>"70610010"</f>
        <v>70610010</v>
      </c>
      <c r="F383" t="s">
        <v>268</v>
      </c>
      <c r="G383" t="s">
        <v>341</v>
      </c>
      <c r="H383" t="s">
        <v>350</v>
      </c>
      <c r="I383">
        <v>0</v>
      </c>
      <c r="J383" t="s">
        <v>343</v>
      </c>
      <c r="L383">
        <v>-132000</v>
      </c>
      <c r="N383">
        <v>-132000</v>
      </c>
    </row>
    <row r="384" spans="1:14" x14ac:dyDescent="0.35">
      <c r="A384" t="str">
        <f t="shared" si="10"/>
        <v>VTE45737FMT250044747310100</v>
      </c>
      <c r="B384" t="s">
        <v>131</v>
      </c>
      <c r="C384" s="1">
        <v>45737</v>
      </c>
      <c r="D384" t="s">
        <v>285</v>
      </c>
      <c r="E384" t="str">
        <f>"47310100"</f>
        <v>47310100</v>
      </c>
      <c r="F384" t="s">
        <v>146</v>
      </c>
      <c r="G384" t="s">
        <v>341</v>
      </c>
      <c r="H384" t="s">
        <v>351</v>
      </c>
      <c r="I384">
        <v>0</v>
      </c>
      <c r="J384" t="s">
        <v>343</v>
      </c>
      <c r="L384">
        <v>236000</v>
      </c>
      <c r="N384">
        <v>236000</v>
      </c>
    </row>
    <row r="385" spans="1:14" x14ac:dyDescent="0.35">
      <c r="A385" t="str">
        <f t="shared" si="10"/>
        <v>VTE45737FMT250044747310100</v>
      </c>
      <c r="B385" t="s">
        <v>131</v>
      </c>
      <c r="C385" s="1">
        <v>45737</v>
      </c>
      <c r="D385" t="s">
        <v>285</v>
      </c>
      <c r="E385" t="str">
        <f>"47310100"</f>
        <v>47310100</v>
      </c>
      <c r="F385" t="s">
        <v>146</v>
      </c>
      <c r="G385" t="s">
        <v>341</v>
      </c>
      <c r="H385" t="s">
        <v>351</v>
      </c>
      <c r="I385">
        <v>0</v>
      </c>
      <c r="J385" t="s">
        <v>343</v>
      </c>
      <c r="L385">
        <v>236000</v>
      </c>
      <c r="N385">
        <v>236000</v>
      </c>
    </row>
    <row r="386" spans="1:14" x14ac:dyDescent="0.35">
      <c r="A386" t="str">
        <f t="shared" si="10"/>
        <v>VTE45737FMT250044747310100</v>
      </c>
      <c r="B386" t="s">
        <v>131</v>
      </c>
      <c r="C386" s="1">
        <v>45737</v>
      </c>
      <c r="D386" t="s">
        <v>285</v>
      </c>
      <c r="E386" t="str">
        <f>"47310100"</f>
        <v>47310100</v>
      </c>
      <c r="F386" t="s">
        <v>268</v>
      </c>
      <c r="G386" t="s">
        <v>341</v>
      </c>
      <c r="H386" t="s">
        <v>351</v>
      </c>
      <c r="I386">
        <v>0</v>
      </c>
      <c r="J386" t="s">
        <v>343</v>
      </c>
      <c r="L386">
        <v>-236000</v>
      </c>
      <c r="N386">
        <v>-236000</v>
      </c>
    </row>
    <row r="387" spans="1:14" x14ac:dyDescent="0.35">
      <c r="A387" t="str">
        <f t="shared" ref="A387:A450" si="12">CONCATENATE(B387,C387,D387,E387)</f>
        <v>VTE45737FMT250044770610010</v>
      </c>
      <c r="B387" t="s">
        <v>131</v>
      </c>
      <c r="C387" s="1">
        <v>45737</v>
      </c>
      <c r="D387" t="s">
        <v>285</v>
      </c>
      <c r="E387" t="str">
        <f>"70610010"</f>
        <v>70610010</v>
      </c>
      <c r="F387" t="s">
        <v>146</v>
      </c>
      <c r="G387" t="s">
        <v>341</v>
      </c>
      <c r="H387" t="s">
        <v>350</v>
      </c>
      <c r="I387">
        <v>0</v>
      </c>
      <c r="J387" t="s">
        <v>343</v>
      </c>
      <c r="L387">
        <v>528000</v>
      </c>
      <c r="N387">
        <v>528000</v>
      </c>
    </row>
    <row r="388" spans="1:14" x14ac:dyDescent="0.35">
      <c r="A388" t="str">
        <f t="shared" si="12"/>
        <v>VTE45737FMT250044770610010</v>
      </c>
      <c r="B388" t="s">
        <v>131</v>
      </c>
      <c r="C388" s="1">
        <v>45737</v>
      </c>
      <c r="D388" t="s">
        <v>285</v>
      </c>
      <c r="E388" t="str">
        <f>"70610010"</f>
        <v>70610010</v>
      </c>
      <c r="F388" t="s">
        <v>146</v>
      </c>
      <c r="G388" t="s">
        <v>341</v>
      </c>
      <c r="H388" t="s">
        <v>350</v>
      </c>
      <c r="I388">
        <v>0</v>
      </c>
      <c r="J388" t="s">
        <v>343</v>
      </c>
      <c r="L388">
        <v>528000</v>
      </c>
      <c r="N388">
        <v>528000</v>
      </c>
    </row>
    <row r="389" spans="1:14" x14ac:dyDescent="0.35">
      <c r="A389" t="str">
        <f t="shared" si="12"/>
        <v>VTE45737FMT250044770610010</v>
      </c>
      <c r="B389" t="s">
        <v>131</v>
      </c>
      <c r="C389" s="1">
        <v>45737</v>
      </c>
      <c r="D389" t="s">
        <v>285</v>
      </c>
      <c r="E389" t="str">
        <f>"70610010"</f>
        <v>70610010</v>
      </c>
      <c r="F389" t="s">
        <v>268</v>
      </c>
      <c r="G389" t="s">
        <v>341</v>
      </c>
      <c r="H389" t="s">
        <v>350</v>
      </c>
      <c r="I389">
        <v>0</v>
      </c>
      <c r="J389" t="s">
        <v>343</v>
      </c>
      <c r="L389">
        <v>-528000</v>
      </c>
      <c r="N389">
        <v>-528000</v>
      </c>
    </row>
    <row r="390" spans="1:14" x14ac:dyDescent="0.35">
      <c r="A390" t="str">
        <f t="shared" si="12"/>
        <v>VTE45737FMT250044847310100</v>
      </c>
      <c r="B390" t="s">
        <v>131</v>
      </c>
      <c r="C390" s="1">
        <v>45737</v>
      </c>
      <c r="D390" t="s">
        <v>286</v>
      </c>
      <c r="E390" t="str">
        <f>"47310100"</f>
        <v>47310100</v>
      </c>
      <c r="F390" t="s">
        <v>139</v>
      </c>
      <c r="G390" t="s">
        <v>341</v>
      </c>
      <c r="H390" t="s">
        <v>351</v>
      </c>
      <c r="I390">
        <v>0</v>
      </c>
      <c r="J390" t="s">
        <v>343</v>
      </c>
      <c r="L390">
        <v>59000</v>
      </c>
      <c r="N390">
        <v>59000</v>
      </c>
    </row>
    <row r="391" spans="1:14" x14ac:dyDescent="0.35">
      <c r="A391" t="str">
        <f t="shared" si="12"/>
        <v>VTE45737FMT250044847310100</v>
      </c>
      <c r="B391" t="s">
        <v>131</v>
      </c>
      <c r="C391" s="1">
        <v>45737</v>
      </c>
      <c r="D391" t="s">
        <v>286</v>
      </c>
      <c r="E391" t="str">
        <f>"47310100"</f>
        <v>47310100</v>
      </c>
      <c r="F391" t="s">
        <v>139</v>
      </c>
      <c r="G391" t="s">
        <v>341</v>
      </c>
      <c r="H391" t="s">
        <v>351</v>
      </c>
      <c r="I391">
        <v>0</v>
      </c>
      <c r="J391" t="s">
        <v>343</v>
      </c>
      <c r="L391">
        <v>59000</v>
      </c>
      <c r="N391">
        <v>59000</v>
      </c>
    </row>
    <row r="392" spans="1:14" x14ac:dyDescent="0.35">
      <c r="A392" t="str">
        <f t="shared" si="12"/>
        <v>VTE45737FMT250044847310100</v>
      </c>
      <c r="B392" t="s">
        <v>131</v>
      </c>
      <c r="C392" s="1">
        <v>45737</v>
      </c>
      <c r="D392" t="s">
        <v>286</v>
      </c>
      <c r="E392" t="str">
        <f>"47310100"</f>
        <v>47310100</v>
      </c>
      <c r="F392" t="s">
        <v>254</v>
      </c>
      <c r="G392" t="s">
        <v>341</v>
      </c>
      <c r="H392" t="s">
        <v>351</v>
      </c>
      <c r="I392">
        <v>0</v>
      </c>
      <c r="J392" t="s">
        <v>343</v>
      </c>
      <c r="L392">
        <v>-59000</v>
      </c>
      <c r="N392">
        <v>-59000</v>
      </c>
    </row>
    <row r="393" spans="1:14" x14ac:dyDescent="0.35">
      <c r="A393" t="str">
        <f t="shared" si="12"/>
        <v>VTE45737FMT250044870610010</v>
      </c>
      <c r="B393" t="s">
        <v>131</v>
      </c>
      <c r="C393" s="1">
        <v>45737</v>
      </c>
      <c r="D393" t="s">
        <v>286</v>
      </c>
      <c r="E393" t="str">
        <f>"70610010"</f>
        <v>70610010</v>
      </c>
      <c r="F393" t="s">
        <v>139</v>
      </c>
      <c r="G393" t="s">
        <v>341</v>
      </c>
      <c r="H393" t="s">
        <v>349</v>
      </c>
      <c r="I393">
        <v>0</v>
      </c>
      <c r="J393" t="s">
        <v>343</v>
      </c>
      <c r="L393">
        <v>603000</v>
      </c>
      <c r="N393">
        <v>603000</v>
      </c>
    </row>
    <row r="394" spans="1:14" x14ac:dyDescent="0.35">
      <c r="A394" t="str">
        <f t="shared" si="12"/>
        <v>VTE45737FMT250044870610010</v>
      </c>
      <c r="B394" t="s">
        <v>131</v>
      </c>
      <c r="C394" s="1">
        <v>45737</v>
      </c>
      <c r="D394" t="s">
        <v>286</v>
      </c>
      <c r="E394" t="str">
        <f>"70610010"</f>
        <v>70610010</v>
      </c>
      <c r="F394" t="s">
        <v>139</v>
      </c>
      <c r="G394" t="s">
        <v>341</v>
      </c>
      <c r="H394" t="s">
        <v>349</v>
      </c>
      <c r="I394">
        <v>0</v>
      </c>
      <c r="J394" t="s">
        <v>343</v>
      </c>
      <c r="L394">
        <v>603000</v>
      </c>
      <c r="N394">
        <v>603000</v>
      </c>
    </row>
    <row r="395" spans="1:14" x14ac:dyDescent="0.35">
      <c r="A395" t="str">
        <f t="shared" si="12"/>
        <v>VTE45737FMT250044870610010</v>
      </c>
      <c r="B395" t="s">
        <v>131</v>
      </c>
      <c r="C395" s="1">
        <v>45737</v>
      </c>
      <c r="D395" t="s">
        <v>286</v>
      </c>
      <c r="E395" t="str">
        <f>"70610010"</f>
        <v>70610010</v>
      </c>
      <c r="F395" t="s">
        <v>254</v>
      </c>
      <c r="G395" t="s">
        <v>341</v>
      </c>
      <c r="H395" t="s">
        <v>349</v>
      </c>
      <c r="I395">
        <v>0</v>
      </c>
      <c r="J395" t="s">
        <v>343</v>
      </c>
      <c r="L395">
        <v>-603000</v>
      </c>
      <c r="N395">
        <v>-603000</v>
      </c>
    </row>
    <row r="396" spans="1:14" x14ac:dyDescent="0.35">
      <c r="A396" t="str">
        <f t="shared" si="12"/>
        <v>VTE45737FMT250044947310100</v>
      </c>
      <c r="B396" t="s">
        <v>131</v>
      </c>
      <c r="C396" s="1">
        <v>45737</v>
      </c>
      <c r="D396" t="s">
        <v>287</v>
      </c>
      <c r="E396" t="str">
        <f>"47310100"</f>
        <v>47310100</v>
      </c>
      <c r="F396" t="s">
        <v>180</v>
      </c>
      <c r="G396" t="s">
        <v>341</v>
      </c>
      <c r="H396" t="s">
        <v>351</v>
      </c>
      <c r="I396">
        <v>0</v>
      </c>
      <c r="J396" t="s">
        <v>343</v>
      </c>
      <c r="L396">
        <v>177000</v>
      </c>
      <c r="N396">
        <v>177000</v>
      </c>
    </row>
    <row r="397" spans="1:14" x14ac:dyDescent="0.35">
      <c r="A397" t="str">
        <f t="shared" si="12"/>
        <v>VTE45737FMT250044947310100</v>
      </c>
      <c r="B397" t="s">
        <v>131</v>
      </c>
      <c r="C397" s="1">
        <v>45737</v>
      </c>
      <c r="D397" t="s">
        <v>287</v>
      </c>
      <c r="E397" t="str">
        <f>"47310100"</f>
        <v>47310100</v>
      </c>
      <c r="F397" t="s">
        <v>180</v>
      </c>
      <c r="G397" t="s">
        <v>341</v>
      </c>
      <c r="H397" t="s">
        <v>351</v>
      </c>
      <c r="I397">
        <v>0</v>
      </c>
      <c r="J397" t="s">
        <v>343</v>
      </c>
      <c r="L397">
        <v>177000</v>
      </c>
      <c r="N397">
        <v>177000</v>
      </c>
    </row>
    <row r="398" spans="1:14" x14ac:dyDescent="0.35">
      <c r="A398" t="str">
        <f t="shared" si="12"/>
        <v>VTE45737FMT250044947310100</v>
      </c>
      <c r="B398" t="s">
        <v>131</v>
      </c>
      <c r="C398" s="1">
        <v>45737</v>
      </c>
      <c r="D398" t="s">
        <v>287</v>
      </c>
      <c r="E398" t="str">
        <f>"47310100"</f>
        <v>47310100</v>
      </c>
      <c r="F398" t="s">
        <v>257</v>
      </c>
      <c r="G398" t="s">
        <v>341</v>
      </c>
      <c r="H398" t="s">
        <v>351</v>
      </c>
      <c r="I398">
        <v>0</v>
      </c>
      <c r="J398" t="s">
        <v>343</v>
      </c>
      <c r="L398">
        <v>-177000</v>
      </c>
      <c r="N398">
        <v>-177000</v>
      </c>
    </row>
    <row r="399" spans="1:14" x14ac:dyDescent="0.35">
      <c r="A399" t="str">
        <f t="shared" si="12"/>
        <v>VTE45737FMT250044970610010</v>
      </c>
      <c r="B399" t="s">
        <v>131</v>
      </c>
      <c r="C399" s="1">
        <v>45737</v>
      </c>
      <c r="D399" t="s">
        <v>287</v>
      </c>
      <c r="E399" t="str">
        <f>"70610010"</f>
        <v>70610010</v>
      </c>
      <c r="F399" t="s">
        <v>180</v>
      </c>
      <c r="G399" t="s">
        <v>341</v>
      </c>
      <c r="H399" t="s">
        <v>349</v>
      </c>
      <c r="I399">
        <v>0</v>
      </c>
      <c r="J399" t="s">
        <v>343</v>
      </c>
      <c r="L399">
        <v>804000</v>
      </c>
      <c r="N399">
        <v>804000</v>
      </c>
    </row>
    <row r="400" spans="1:14" x14ac:dyDescent="0.35">
      <c r="A400" t="str">
        <f t="shared" si="12"/>
        <v>VTE45737FMT250044970610010</v>
      </c>
      <c r="B400" t="s">
        <v>131</v>
      </c>
      <c r="C400" s="1">
        <v>45737</v>
      </c>
      <c r="D400" t="s">
        <v>287</v>
      </c>
      <c r="E400" t="str">
        <f>"70610010"</f>
        <v>70610010</v>
      </c>
      <c r="F400" t="s">
        <v>180</v>
      </c>
      <c r="G400" t="s">
        <v>341</v>
      </c>
      <c r="H400" t="s">
        <v>349</v>
      </c>
      <c r="I400">
        <v>0</v>
      </c>
      <c r="J400" t="s">
        <v>343</v>
      </c>
      <c r="L400">
        <v>804000</v>
      </c>
      <c r="N400">
        <v>804000</v>
      </c>
    </row>
    <row r="401" spans="1:14" x14ac:dyDescent="0.35">
      <c r="A401" t="str">
        <f t="shared" si="12"/>
        <v>VTE45737FMT250044970610010</v>
      </c>
      <c r="B401" t="s">
        <v>131</v>
      </c>
      <c r="C401" s="1">
        <v>45737</v>
      </c>
      <c r="D401" t="s">
        <v>287</v>
      </c>
      <c r="E401" t="str">
        <f>"70610010"</f>
        <v>70610010</v>
      </c>
      <c r="F401" t="s">
        <v>257</v>
      </c>
      <c r="G401" t="s">
        <v>341</v>
      </c>
      <c r="H401" t="s">
        <v>349</v>
      </c>
      <c r="I401">
        <v>0</v>
      </c>
      <c r="J401" t="s">
        <v>343</v>
      </c>
      <c r="L401">
        <v>-804000</v>
      </c>
      <c r="N401">
        <v>-804000</v>
      </c>
    </row>
    <row r="402" spans="1:14" x14ac:dyDescent="0.35">
      <c r="A402" t="str">
        <f t="shared" si="12"/>
        <v>VTE45737FMT250045047310100</v>
      </c>
      <c r="B402" t="s">
        <v>131</v>
      </c>
      <c r="C402" s="1">
        <v>45737</v>
      </c>
      <c r="D402" t="s">
        <v>288</v>
      </c>
      <c r="E402" t="str">
        <f>"47310100"</f>
        <v>47310100</v>
      </c>
      <c r="F402" t="s">
        <v>139</v>
      </c>
      <c r="G402" t="s">
        <v>341</v>
      </c>
      <c r="H402" t="s">
        <v>351</v>
      </c>
      <c r="I402">
        <v>0</v>
      </c>
      <c r="J402" t="s">
        <v>343</v>
      </c>
      <c r="L402">
        <v>826000</v>
      </c>
      <c r="N402">
        <v>826000</v>
      </c>
    </row>
    <row r="403" spans="1:14" x14ac:dyDescent="0.35">
      <c r="A403" t="str">
        <f t="shared" si="12"/>
        <v>VTE45737FMT250045047310100</v>
      </c>
      <c r="B403" t="s">
        <v>131</v>
      </c>
      <c r="C403" s="1">
        <v>45737</v>
      </c>
      <c r="D403" t="s">
        <v>288</v>
      </c>
      <c r="E403" t="str">
        <f>"47310100"</f>
        <v>47310100</v>
      </c>
      <c r="F403" t="s">
        <v>139</v>
      </c>
      <c r="G403" t="s">
        <v>341</v>
      </c>
      <c r="H403" t="s">
        <v>351</v>
      </c>
      <c r="I403">
        <v>0</v>
      </c>
      <c r="J403" t="s">
        <v>343</v>
      </c>
      <c r="L403">
        <v>826000</v>
      </c>
      <c r="N403">
        <v>826000</v>
      </c>
    </row>
    <row r="404" spans="1:14" x14ac:dyDescent="0.35">
      <c r="A404" t="str">
        <f t="shared" si="12"/>
        <v>VTE45737FMT250045047310100</v>
      </c>
      <c r="B404" t="s">
        <v>131</v>
      </c>
      <c r="C404" s="1">
        <v>45737</v>
      </c>
      <c r="D404" t="s">
        <v>288</v>
      </c>
      <c r="E404" t="str">
        <f>"47310100"</f>
        <v>47310100</v>
      </c>
      <c r="F404" t="s">
        <v>254</v>
      </c>
      <c r="G404" t="s">
        <v>341</v>
      </c>
      <c r="H404" t="s">
        <v>351</v>
      </c>
      <c r="I404">
        <v>0</v>
      </c>
      <c r="J404" t="s">
        <v>343</v>
      </c>
      <c r="L404">
        <v>-826000</v>
      </c>
      <c r="N404">
        <v>-826000</v>
      </c>
    </row>
    <row r="405" spans="1:14" x14ac:dyDescent="0.35">
      <c r="A405" t="str">
        <f t="shared" si="12"/>
        <v>VTE45737FMT250045070610010</v>
      </c>
      <c r="B405" t="s">
        <v>131</v>
      </c>
      <c r="C405" s="1">
        <v>45737</v>
      </c>
      <c r="D405" t="s">
        <v>288</v>
      </c>
      <c r="E405" t="str">
        <f>"70610010"</f>
        <v>70610010</v>
      </c>
      <c r="F405" t="s">
        <v>139</v>
      </c>
      <c r="G405" t="s">
        <v>341</v>
      </c>
      <c r="H405" t="s">
        <v>349</v>
      </c>
      <c r="I405">
        <v>0</v>
      </c>
      <c r="J405" t="s">
        <v>343</v>
      </c>
      <c r="L405">
        <v>3752000</v>
      </c>
      <c r="N405">
        <v>3752000</v>
      </c>
    </row>
    <row r="406" spans="1:14" x14ac:dyDescent="0.35">
      <c r="A406" t="str">
        <f t="shared" si="12"/>
        <v>VTE45737FMT250045070610010</v>
      </c>
      <c r="B406" t="s">
        <v>131</v>
      </c>
      <c r="C406" s="1">
        <v>45737</v>
      </c>
      <c r="D406" t="s">
        <v>288</v>
      </c>
      <c r="E406" t="str">
        <f>"70610010"</f>
        <v>70610010</v>
      </c>
      <c r="F406" t="s">
        <v>139</v>
      </c>
      <c r="G406" t="s">
        <v>341</v>
      </c>
      <c r="H406" t="s">
        <v>349</v>
      </c>
      <c r="I406">
        <v>0</v>
      </c>
      <c r="J406" t="s">
        <v>343</v>
      </c>
      <c r="L406">
        <v>3752000</v>
      </c>
      <c r="N406">
        <v>3752000</v>
      </c>
    </row>
    <row r="407" spans="1:14" x14ac:dyDescent="0.35">
      <c r="A407" t="str">
        <f t="shared" si="12"/>
        <v>VTE45737FMT250045070610010</v>
      </c>
      <c r="B407" t="s">
        <v>131</v>
      </c>
      <c r="C407" s="1">
        <v>45737</v>
      </c>
      <c r="D407" t="s">
        <v>288</v>
      </c>
      <c r="E407" t="str">
        <f>"70610010"</f>
        <v>70610010</v>
      </c>
      <c r="F407" t="s">
        <v>254</v>
      </c>
      <c r="G407" t="s">
        <v>341</v>
      </c>
      <c r="H407" t="s">
        <v>349</v>
      </c>
      <c r="I407">
        <v>0</v>
      </c>
      <c r="J407" t="s">
        <v>343</v>
      </c>
      <c r="L407">
        <v>-3752000</v>
      </c>
      <c r="N407">
        <v>-3752000</v>
      </c>
    </row>
    <row r="408" spans="1:14" x14ac:dyDescent="0.35">
      <c r="A408" t="str">
        <f t="shared" si="12"/>
        <v>VTE45740FMT250045147310100</v>
      </c>
      <c r="B408" t="s">
        <v>131</v>
      </c>
      <c r="C408" s="1">
        <v>45740</v>
      </c>
      <c r="D408" t="s">
        <v>289</v>
      </c>
      <c r="E408" t="str">
        <f>"47310100"</f>
        <v>47310100</v>
      </c>
      <c r="F408" t="s">
        <v>290</v>
      </c>
      <c r="G408" t="s">
        <v>341</v>
      </c>
      <c r="H408" t="s">
        <v>351</v>
      </c>
      <c r="I408">
        <v>0</v>
      </c>
      <c r="J408" t="s">
        <v>343</v>
      </c>
      <c r="L408">
        <v>59000</v>
      </c>
      <c r="N408">
        <v>59000</v>
      </c>
    </row>
    <row r="409" spans="1:14" x14ac:dyDescent="0.35">
      <c r="A409" t="str">
        <f t="shared" si="12"/>
        <v>VTE45740FMT250045170610010</v>
      </c>
      <c r="B409" t="s">
        <v>131</v>
      </c>
      <c r="C409" s="1">
        <v>45740</v>
      </c>
      <c r="D409" t="s">
        <v>289</v>
      </c>
      <c r="E409" t="str">
        <f>"70610010"</f>
        <v>70610010</v>
      </c>
      <c r="F409" t="s">
        <v>290</v>
      </c>
      <c r="G409" t="s">
        <v>341</v>
      </c>
      <c r="H409" t="s">
        <v>350</v>
      </c>
      <c r="I409">
        <v>0</v>
      </c>
      <c r="J409" t="s">
        <v>343</v>
      </c>
      <c r="L409">
        <v>132000</v>
      </c>
      <c r="N409">
        <v>132000</v>
      </c>
    </row>
    <row r="410" spans="1:14" x14ac:dyDescent="0.35">
      <c r="A410" t="str">
        <f t="shared" si="12"/>
        <v>VTE45740FMT250045270610010</v>
      </c>
      <c r="B410" t="s">
        <v>131</v>
      </c>
      <c r="C410" s="1">
        <v>45740</v>
      </c>
      <c r="D410" t="s">
        <v>291</v>
      </c>
      <c r="E410" t="str">
        <f>"70610010"</f>
        <v>70610010</v>
      </c>
      <c r="F410" t="s">
        <v>144</v>
      </c>
      <c r="G410" t="s">
        <v>341</v>
      </c>
      <c r="H410" t="s">
        <v>349</v>
      </c>
      <c r="I410">
        <v>0</v>
      </c>
      <c r="J410" t="s">
        <v>343</v>
      </c>
      <c r="L410">
        <v>60000</v>
      </c>
      <c r="N410">
        <v>60000</v>
      </c>
    </row>
    <row r="411" spans="1:14" x14ac:dyDescent="0.35">
      <c r="A411" t="str">
        <f t="shared" si="12"/>
        <v>VTE45740FMT250045270610040</v>
      </c>
      <c r="B411" t="s">
        <v>131</v>
      </c>
      <c r="C411" s="1">
        <v>45740</v>
      </c>
      <c r="D411" t="s">
        <v>291</v>
      </c>
      <c r="E411" t="str">
        <f>"70610040"</f>
        <v>70610040</v>
      </c>
      <c r="F411" t="s">
        <v>144</v>
      </c>
      <c r="G411" t="s">
        <v>341</v>
      </c>
      <c r="H411" t="s">
        <v>349</v>
      </c>
      <c r="I411">
        <v>0</v>
      </c>
      <c r="J411" t="s">
        <v>343</v>
      </c>
      <c r="L411">
        <v>40000</v>
      </c>
      <c r="N411">
        <v>340000</v>
      </c>
    </row>
    <row r="412" spans="1:14" x14ac:dyDescent="0.35">
      <c r="A412" t="str">
        <f t="shared" si="12"/>
        <v>VTE45740FMT250045270610040</v>
      </c>
      <c r="B412" t="s">
        <v>131</v>
      </c>
      <c r="C412" s="1">
        <v>45740</v>
      </c>
      <c r="D412" t="s">
        <v>291</v>
      </c>
      <c r="E412" t="str">
        <f>"70610040"</f>
        <v>70610040</v>
      </c>
      <c r="F412" t="s">
        <v>144</v>
      </c>
      <c r="G412" t="s">
        <v>341</v>
      </c>
      <c r="H412" t="s">
        <v>351</v>
      </c>
      <c r="I412">
        <v>0</v>
      </c>
      <c r="J412" t="s">
        <v>343</v>
      </c>
      <c r="L412">
        <v>300000</v>
      </c>
      <c r="N412">
        <v>340000</v>
      </c>
    </row>
    <row r="413" spans="1:14" x14ac:dyDescent="0.35">
      <c r="A413" t="str">
        <f t="shared" si="12"/>
        <v>VTE45740FMT250045347310100</v>
      </c>
      <c r="B413" t="s">
        <v>131</v>
      </c>
      <c r="C413" s="1">
        <v>45740</v>
      </c>
      <c r="D413" t="s">
        <v>292</v>
      </c>
      <c r="E413" t="str">
        <f>"47310100"</f>
        <v>47310100</v>
      </c>
      <c r="F413" t="s">
        <v>159</v>
      </c>
      <c r="G413" t="s">
        <v>341</v>
      </c>
      <c r="H413" t="s">
        <v>351</v>
      </c>
      <c r="I413">
        <v>0</v>
      </c>
      <c r="J413" t="s">
        <v>343</v>
      </c>
      <c r="L413">
        <v>59000</v>
      </c>
      <c r="N413">
        <v>59000</v>
      </c>
    </row>
    <row r="414" spans="1:14" x14ac:dyDescent="0.35">
      <c r="A414" t="str">
        <f t="shared" si="12"/>
        <v>VTE45740FMT250045370610010</v>
      </c>
      <c r="B414" t="s">
        <v>131</v>
      </c>
      <c r="C414" s="1">
        <v>45740</v>
      </c>
      <c r="D414" t="s">
        <v>292</v>
      </c>
      <c r="E414" t="str">
        <f>"70610010"</f>
        <v>70610010</v>
      </c>
      <c r="F414" t="s">
        <v>159</v>
      </c>
      <c r="G414" t="s">
        <v>341</v>
      </c>
      <c r="H414" t="s">
        <v>349</v>
      </c>
      <c r="I414">
        <v>0</v>
      </c>
      <c r="J414" t="s">
        <v>343</v>
      </c>
      <c r="L414">
        <v>198000</v>
      </c>
      <c r="N414">
        <v>198000</v>
      </c>
    </row>
    <row r="415" spans="1:14" x14ac:dyDescent="0.35">
      <c r="A415" t="str">
        <f t="shared" si="12"/>
        <v>VTE45740FMT250045447310100</v>
      </c>
      <c r="B415" t="s">
        <v>131</v>
      </c>
      <c r="C415" s="1">
        <v>45740</v>
      </c>
      <c r="D415" t="s">
        <v>293</v>
      </c>
      <c r="E415" t="str">
        <f>"47310100"</f>
        <v>47310100</v>
      </c>
      <c r="F415" t="s">
        <v>188</v>
      </c>
      <c r="G415" t="s">
        <v>341</v>
      </c>
      <c r="H415" t="s">
        <v>351</v>
      </c>
      <c r="I415">
        <v>0</v>
      </c>
      <c r="J415" t="s">
        <v>343</v>
      </c>
      <c r="L415">
        <v>59000</v>
      </c>
      <c r="N415">
        <v>59000</v>
      </c>
    </row>
    <row r="416" spans="1:14" x14ac:dyDescent="0.35">
      <c r="A416" t="str">
        <f t="shared" si="12"/>
        <v>VTE45740FMT250045470610010</v>
      </c>
      <c r="B416" t="s">
        <v>131</v>
      </c>
      <c r="C416" s="1">
        <v>45740</v>
      </c>
      <c r="D416" t="s">
        <v>293</v>
      </c>
      <c r="E416" t="str">
        <f>"70610010"</f>
        <v>70610010</v>
      </c>
      <c r="F416" t="s">
        <v>188</v>
      </c>
      <c r="G416" t="s">
        <v>341</v>
      </c>
      <c r="H416" t="s">
        <v>349</v>
      </c>
      <c r="I416">
        <v>0</v>
      </c>
      <c r="J416" t="s">
        <v>343</v>
      </c>
      <c r="L416">
        <v>300000</v>
      </c>
      <c r="N416">
        <v>300000</v>
      </c>
    </row>
    <row r="417" spans="1:14" x14ac:dyDescent="0.35">
      <c r="A417" t="str">
        <f t="shared" si="12"/>
        <v>VTE45740FMT250045547310100</v>
      </c>
      <c r="B417" t="s">
        <v>131</v>
      </c>
      <c r="C417" s="1">
        <v>45740</v>
      </c>
      <c r="D417" t="s">
        <v>294</v>
      </c>
      <c r="E417" t="str">
        <f>"47310100"</f>
        <v>47310100</v>
      </c>
      <c r="F417" t="s">
        <v>159</v>
      </c>
      <c r="G417" t="s">
        <v>341</v>
      </c>
      <c r="H417" t="s">
        <v>351</v>
      </c>
      <c r="I417">
        <v>0</v>
      </c>
      <c r="J417" t="s">
        <v>343</v>
      </c>
      <c r="L417">
        <v>29500</v>
      </c>
      <c r="N417">
        <v>29500</v>
      </c>
    </row>
    <row r="418" spans="1:14" x14ac:dyDescent="0.35">
      <c r="A418" t="str">
        <f t="shared" si="12"/>
        <v>VTE45740FMT250045570610010</v>
      </c>
      <c r="B418" t="s">
        <v>131</v>
      </c>
      <c r="C418" s="1">
        <v>45740</v>
      </c>
      <c r="D418" t="s">
        <v>294</v>
      </c>
      <c r="E418" t="str">
        <f>"70610010"</f>
        <v>70610010</v>
      </c>
      <c r="F418" t="s">
        <v>159</v>
      </c>
      <c r="G418" t="s">
        <v>341</v>
      </c>
      <c r="H418" t="s">
        <v>349</v>
      </c>
      <c r="I418">
        <v>0</v>
      </c>
      <c r="J418" t="s">
        <v>343</v>
      </c>
      <c r="L418">
        <v>201000</v>
      </c>
      <c r="N418">
        <v>201000</v>
      </c>
    </row>
    <row r="419" spans="1:14" x14ac:dyDescent="0.35">
      <c r="A419" t="str">
        <f t="shared" si="12"/>
        <v>VTE45740FMT250045647310100</v>
      </c>
      <c r="B419" t="s">
        <v>131</v>
      </c>
      <c r="C419" s="1">
        <v>45740</v>
      </c>
      <c r="D419" t="s">
        <v>295</v>
      </c>
      <c r="E419" t="str">
        <f>"47310100"</f>
        <v>47310100</v>
      </c>
      <c r="F419" t="s">
        <v>159</v>
      </c>
      <c r="G419" t="s">
        <v>341</v>
      </c>
      <c r="H419" t="s">
        <v>351</v>
      </c>
      <c r="I419">
        <v>0</v>
      </c>
      <c r="J419" t="s">
        <v>343</v>
      </c>
      <c r="L419">
        <v>59000</v>
      </c>
      <c r="N419">
        <v>59000</v>
      </c>
    </row>
    <row r="420" spans="1:14" x14ac:dyDescent="0.35">
      <c r="A420" t="str">
        <f t="shared" si="12"/>
        <v>VTE45740FMT250045670610010</v>
      </c>
      <c r="B420" t="s">
        <v>131</v>
      </c>
      <c r="C420" s="1">
        <v>45740</v>
      </c>
      <c r="D420" t="s">
        <v>295</v>
      </c>
      <c r="E420" t="str">
        <f>"70610010"</f>
        <v>70610010</v>
      </c>
      <c r="F420" t="s">
        <v>159</v>
      </c>
      <c r="G420" t="s">
        <v>341</v>
      </c>
      <c r="H420" t="s">
        <v>349</v>
      </c>
      <c r="I420">
        <v>0</v>
      </c>
      <c r="J420" t="s">
        <v>343</v>
      </c>
      <c r="L420">
        <v>268000</v>
      </c>
      <c r="N420">
        <v>268000</v>
      </c>
    </row>
    <row r="421" spans="1:14" x14ac:dyDescent="0.35">
      <c r="A421" t="str">
        <f t="shared" si="12"/>
        <v>VTE45740FMT250045747310100</v>
      </c>
      <c r="B421" t="s">
        <v>131</v>
      </c>
      <c r="C421" s="1">
        <v>45740</v>
      </c>
      <c r="D421" t="s">
        <v>296</v>
      </c>
      <c r="E421" t="str">
        <f>"47310100"</f>
        <v>47310100</v>
      </c>
      <c r="F421" t="s">
        <v>159</v>
      </c>
      <c r="G421" t="s">
        <v>341</v>
      </c>
      <c r="H421" t="s">
        <v>351</v>
      </c>
      <c r="I421">
        <v>0</v>
      </c>
      <c r="J421" t="s">
        <v>343</v>
      </c>
      <c r="L421">
        <v>59000</v>
      </c>
      <c r="N421">
        <v>59000</v>
      </c>
    </row>
    <row r="422" spans="1:14" x14ac:dyDescent="0.35">
      <c r="A422" t="str">
        <f t="shared" si="12"/>
        <v>VTE45740FMT250045770610010</v>
      </c>
      <c r="B422" t="s">
        <v>131</v>
      </c>
      <c r="C422" s="1">
        <v>45740</v>
      </c>
      <c r="D422" t="s">
        <v>296</v>
      </c>
      <c r="E422" t="str">
        <f>"70610010"</f>
        <v>70610010</v>
      </c>
      <c r="F422" t="s">
        <v>159</v>
      </c>
      <c r="G422" t="s">
        <v>341</v>
      </c>
      <c r="H422" t="s">
        <v>349</v>
      </c>
      <c r="I422">
        <v>0</v>
      </c>
      <c r="J422" t="s">
        <v>343</v>
      </c>
      <c r="L422">
        <v>268000</v>
      </c>
      <c r="N422">
        <v>268000</v>
      </c>
    </row>
    <row r="423" spans="1:14" x14ac:dyDescent="0.35">
      <c r="A423" t="str">
        <f t="shared" si="12"/>
        <v>VTE45740FMT250045847310100</v>
      </c>
      <c r="B423" t="s">
        <v>131</v>
      </c>
      <c r="C423" s="1">
        <v>45740</v>
      </c>
      <c r="D423" t="s">
        <v>297</v>
      </c>
      <c r="E423" t="str">
        <f>"47310100"</f>
        <v>47310100</v>
      </c>
      <c r="F423" t="s">
        <v>159</v>
      </c>
      <c r="G423" t="s">
        <v>341</v>
      </c>
      <c r="H423" t="s">
        <v>351</v>
      </c>
      <c r="I423">
        <v>0</v>
      </c>
      <c r="J423" t="s">
        <v>343</v>
      </c>
      <c r="L423">
        <v>29500</v>
      </c>
      <c r="N423">
        <v>29500</v>
      </c>
    </row>
    <row r="424" spans="1:14" x14ac:dyDescent="0.35">
      <c r="A424" t="str">
        <f t="shared" si="12"/>
        <v>VTE45740FMT250045870610010</v>
      </c>
      <c r="B424" t="s">
        <v>131</v>
      </c>
      <c r="C424" s="1">
        <v>45740</v>
      </c>
      <c r="D424" t="s">
        <v>297</v>
      </c>
      <c r="E424" t="str">
        <f>"70610010"</f>
        <v>70610010</v>
      </c>
      <c r="F424" t="s">
        <v>159</v>
      </c>
      <c r="G424" t="s">
        <v>341</v>
      </c>
      <c r="H424" t="s">
        <v>349</v>
      </c>
      <c r="I424">
        <v>0</v>
      </c>
      <c r="J424" t="s">
        <v>343</v>
      </c>
      <c r="L424">
        <v>134000</v>
      </c>
      <c r="N424">
        <v>134000</v>
      </c>
    </row>
    <row r="425" spans="1:14" x14ac:dyDescent="0.35">
      <c r="A425" t="str">
        <f t="shared" si="12"/>
        <v>VTE45740FMT250045947310100</v>
      </c>
      <c r="B425" t="s">
        <v>131</v>
      </c>
      <c r="C425" s="1">
        <v>45740</v>
      </c>
      <c r="D425" t="s">
        <v>298</v>
      </c>
      <c r="E425" t="str">
        <f>"47310100"</f>
        <v>47310100</v>
      </c>
      <c r="F425" t="s">
        <v>159</v>
      </c>
      <c r="G425" t="s">
        <v>341</v>
      </c>
      <c r="H425" t="s">
        <v>351</v>
      </c>
      <c r="I425">
        <v>0</v>
      </c>
      <c r="J425" t="s">
        <v>343</v>
      </c>
      <c r="L425">
        <v>29500</v>
      </c>
      <c r="N425">
        <v>29500</v>
      </c>
    </row>
    <row r="426" spans="1:14" x14ac:dyDescent="0.35">
      <c r="A426" t="str">
        <f t="shared" si="12"/>
        <v>VTE45740FMT250045970610010</v>
      </c>
      <c r="B426" t="s">
        <v>131</v>
      </c>
      <c r="C426" s="1">
        <v>45740</v>
      </c>
      <c r="D426" t="s">
        <v>298</v>
      </c>
      <c r="E426" t="str">
        <f>"70610010"</f>
        <v>70610010</v>
      </c>
      <c r="F426" t="s">
        <v>159</v>
      </c>
      <c r="G426" t="s">
        <v>341</v>
      </c>
      <c r="H426" t="s">
        <v>349</v>
      </c>
      <c r="I426">
        <v>0</v>
      </c>
      <c r="J426" t="s">
        <v>343</v>
      </c>
      <c r="L426">
        <v>134000</v>
      </c>
      <c r="N426">
        <v>134000</v>
      </c>
    </row>
    <row r="427" spans="1:14" x14ac:dyDescent="0.35">
      <c r="A427" t="str">
        <f t="shared" si="12"/>
        <v>VTE45740FMT250046047310100</v>
      </c>
      <c r="B427" t="s">
        <v>131</v>
      </c>
      <c r="C427" s="1">
        <v>45740</v>
      </c>
      <c r="D427" t="s">
        <v>299</v>
      </c>
      <c r="E427" t="str">
        <f>"47310100"</f>
        <v>47310100</v>
      </c>
      <c r="F427" t="s">
        <v>224</v>
      </c>
      <c r="G427" t="s">
        <v>341</v>
      </c>
      <c r="H427" t="s">
        <v>351</v>
      </c>
      <c r="I427">
        <v>0</v>
      </c>
      <c r="J427" t="s">
        <v>343</v>
      </c>
      <c r="L427">
        <v>59000</v>
      </c>
      <c r="N427">
        <v>59000</v>
      </c>
    </row>
    <row r="428" spans="1:14" x14ac:dyDescent="0.35">
      <c r="A428" t="str">
        <f t="shared" si="12"/>
        <v>VTE45740FMT250046070610010</v>
      </c>
      <c r="B428" t="s">
        <v>131</v>
      </c>
      <c r="C428" s="1">
        <v>45740</v>
      </c>
      <c r="D428" t="s">
        <v>299</v>
      </c>
      <c r="E428" t="str">
        <f>"70610010"</f>
        <v>70610010</v>
      </c>
      <c r="F428" t="s">
        <v>224</v>
      </c>
      <c r="G428" t="s">
        <v>341</v>
      </c>
      <c r="H428" t="s">
        <v>349</v>
      </c>
      <c r="I428">
        <v>0</v>
      </c>
      <c r="J428" t="s">
        <v>343</v>
      </c>
      <c r="L428">
        <v>297000</v>
      </c>
      <c r="N428">
        <v>297000</v>
      </c>
    </row>
    <row r="429" spans="1:14" x14ac:dyDescent="0.35">
      <c r="A429" t="str">
        <f t="shared" si="12"/>
        <v>VTE45740FMT250046170610010</v>
      </c>
      <c r="B429" t="s">
        <v>131</v>
      </c>
      <c r="C429" s="1">
        <v>45740</v>
      </c>
      <c r="D429" t="s">
        <v>300</v>
      </c>
      <c r="E429" t="str">
        <f>"70610010"</f>
        <v>70610010</v>
      </c>
      <c r="F429" t="s">
        <v>146</v>
      </c>
      <c r="G429" t="s">
        <v>341</v>
      </c>
      <c r="H429" t="s">
        <v>349</v>
      </c>
      <c r="I429">
        <v>0</v>
      </c>
      <c r="J429" t="s">
        <v>343</v>
      </c>
      <c r="L429">
        <v>30000</v>
      </c>
      <c r="N429">
        <v>30000</v>
      </c>
    </row>
    <row r="430" spans="1:14" x14ac:dyDescent="0.35">
      <c r="A430" t="str">
        <f t="shared" si="12"/>
        <v>VTE45740FMT250046170610040</v>
      </c>
      <c r="B430" t="s">
        <v>131</v>
      </c>
      <c r="C430" s="1">
        <v>45740</v>
      </c>
      <c r="D430" t="s">
        <v>300</v>
      </c>
      <c r="E430" t="str">
        <f>"70610040"</f>
        <v>70610040</v>
      </c>
      <c r="F430" t="s">
        <v>146</v>
      </c>
      <c r="G430" t="s">
        <v>341</v>
      </c>
      <c r="H430" t="s">
        <v>349</v>
      </c>
      <c r="I430">
        <v>0</v>
      </c>
      <c r="J430" t="s">
        <v>343</v>
      </c>
      <c r="L430">
        <v>20000</v>
      </c>
      <c r="N430">
        <v>195000</v>
      </c>
    </row>
    <row r="431" spans="1:14" x14ac:dyDescent="0.35">
      <c r="A431" t="str">
        <f t="shared" si="12"/>
        <v>VTE45740FMT250046170610040</v>
      </c>
      <c r="B431" t="s">
        <v>131</v>
      </c>
      <c r="C431" s="1">
        <v>45740</v>
      </c>
      <c r="D431" t="s">
        <v>300</v>
      </c>
      <c r="E431" t="str">
        <f>"70610040"</f>
        <v>70610040</v>
      </c>
      <c r="F431" t="s">
        <v>146</v>
      </c>
      <c r="G431" t="s">
        <v>341</v>
      </c>
      <c r="H431" t="s">
        <v>351</v>
      </c>
      <c r="I431">
        <v>0</v>
      </c>
      <c r="J431" t="s">
        <v>343</v>
      </c>
      <c r="L431">
        <v>175000</v>
      </c>
      <c r="N431">
        <v>195000</v>
      </c>
    </row>
    <row r="432" spans="1:14" x14ac:dyDescent="0.35">
      <c r="A432" t="str">
        <f t="shared" si="12"/>
        <v>VTE45740FMT250046270610010</v>
      </c>
      <c r="B432" t="s">
        <v>131</v>
      </c>
      <c r="C432" s="1">
        <v>45740</v>
      </c>
      <c r="D432" t="s">
        <v>301</v>
      </c>
      <c r="E432" t="str">
        <f>"70610010"</f>
        <v>70610010</v>
      </c>
      <c r="F432" t="s">
        <v>146</v>
      </c>
      <c r="G432" t="s">
        <v>341</v>
      </c>
      <c r="H432" t="s">
        <v>349</v>
      </c>
      <c r="I432">
        <v>0</v>
      </c>
      <c r="J432" t="s">
        <v>343</v>
      </c>
      <c r="L432">
        <v>30000</v>
      </c>
      <c r="N432">
        <v>30000</v>
      </c>
    </row>
    <row r="433" spans="1:14" x14ac:dyDescent="0.35">
      <c r="A433" t="str">
        <f t="shared" si="12"/>
        <v>VTE45740FMT250046270610040</v>
      </c>
      <c r="B433" t="s">
        <v>131</v>
      </c>
      <c r="C433" s="1">
        <v>45740</v>
      </c>
      <c r="D433" t="s">
        <v>301</v>
      </c>
      <c r="E433" t="str">
        <f>"70610040"</f>
        <v>70610040</v>
      </c>
      <c r="F433" t="s">
        <v>146</v>
      </c>
      <c r="G433" t="s">
        <v>341</v>
      </c>
      <c r="H433" t="s">
        <v>349</v>
      </c>
      <c r="I433">
        <v>0</v>
      </c>
      <c r="J433" t="s">
        <v>343</v>
      </c>
      <c r="L433">
        <v>20000</v>
      </c>
      <c r="N433">
        <v>270000</v>
      </c>
    </row>
    <row r="434" spans="1:14" x14ac:dyDescent="0.35">
      <c r="A434" t="str">
        <f t="shared" si="12"/>
        <v>VTE45740FMT250046270610040</v>
      </c>
      <c r="B434" t="s">
        <v>131</v>
      </c>
      <c r="C434" s="1">
        <v>45740</v>
      </c>
      <c r="D434" t="s">
        <v>301</v>
      </c>
      <c r="E434" t="str">
        <f>"70610040"</f>
        <v>70610040</v>
      </c>
      <c r="F434" t="s">
        <v>146</v>
      </c>
      <c r="G434" t="s">
        <v>341</v>
      </c>
      <c r="H434" t="s">
        <v>351</v>
      </c>
      <c r="I434">
        <v>0</v>
      </c>
      <c r="J434" t="s">
        <v>343</v>
      </c>
      <c r="L434">
        <v>250000</v>
      </c>
      <c r="N434">
        <v>270000</v>
      </c>
    </row>
    <row r="435" spans="1:14" x14ac:dyDescent="0.35">
      <c r="A435" t="str">
        <f t="shared" si="12"/>
        <v>VTE45740FMT250046347310100</v>
      </c>
      <c r="B435" t="s">
        <v>131</v>
      </c>
      <c r="C435" s="1">
        <v>45740</v>
      </c>
      <c r="D435" t="s">
        <v>302</v>
      </c>
      <c r="E435" t="str">
        <f>"47310100"</f>
        <v>47310100</v>
      </c>
      <c r="F435" t="s">
        <v>148</v>
      </c>
      <c r="G435" t="s">
        <v>341</v>
      </c>
      <c r="H435" t="s">
        <v>351</v>
      </c>
      <c r="I435">
        <v>0</v>
      </c>
      <c r="J435" t="s">
        <v>343</v>
      </c>
      <c r="L435">
        <v>59000</v>
      </c>
      <c r="N435">
        <v>59000</v>
      </c>
    </row>
    <row r="436" spans="1:14" x14ac:dyDescent="0.35">
      <c r="A436" t="str">
        <f t="shared" si="12"/>
        <v>VTE45740FMT250046370610010</v>
      </c>
      <c r="B436" t="s">
        <v>131</v>
      </c>
      <c r="C436" s="1">
        <v>45740</v>
      </c>
      <c r="D436" t="s">
        <v>302</v>
      </c>
      <c r="E436" t="str">
        <f>"70610010"</f>
        <v>70610010</v>
      </c>
      <c r="F436" t="s">
        <v>148</v>
      </c>
      <c r="G436" t="s">
        <v>341</v>
      </c>
      <c r="H436" t="s">
        <v>349</v>
      </c>
      <c r="I436">
        <v>0</v>
      </c>
      <c r="J436" t="s">
        <v>343</v>
      </c>
      <c r="L436">
        <v>323850</v>
      </c>
      <c r="N436">
        <v>323850</v>
      </c>
    </row>
    <row r="437" spans="1:14" x14ac:dyDescent="0.35">
      <c r="A437" t="str">
        <f t="shared" si="12"/>
        <v>VTE45740FMT250046447310100</v>
      </c>
      <c r="B437" t="s">
        <v>131</v>
      </c>
      <c r="C437" s="1">
        <v>45740</v>
      </c>
      <c r="D437" t="s">
        <v>303</v>
      </c>
      <c r="E437" t="str">
        <f>"47310100"</f>
        <v>47310100</v>
      </c>
      <c r="F437" t="s">
        <v>233</v>
      </c>
      <c r="G437" t="s">
        <v>341</v>
      </c>
      <c r="H437" t="s">
        <v>351</v>
      </c>
      <c r="I437">
        <v>0</v>
      </c>
      <c r="J437" t="s">
        <v>343</v>
      </c>
      <c r="L437">
        <v>118000</v>
      </c>
      <c r="N437">
        <v>118000</v>
      </c>
    </row>
    <row r="438" spans="1:14" x14ac:dyDescent="0.35">
      <c r="A438" t="str">
        <f t="shared" si="12"/>
        <v>VTE45740FMT250046470610010</v>
      </c>
      <c r="B438" t="s">
        <v>131</v>
      </c>
      <c r="C438" s="1">
        <v>45740</v>
      </c>
      <c r="D438" t="s">
        <v>303</v>
      </c>
      <c r="E438" t="str">
        <f>"70610010"</f>
        <v>70610010</v>
      </c>
      <c r="F438" t="s">
        <v>233</v>
      </c>
      <c r="G438" t="s">
        <v>341</v>
      </c>
      <c r="H438" t="s">
        <v>350</v>
      </c>
      <c r="I438">
        <v>0</v>
      </c>
      <c r="J438" t="s">
        <v>343</v>
      </c>
      <c r="L438">
        <v>264000</v>
      </c>
      <c r="N438">
        <v>264000</v>
      </c>
    </row>
    <row r="439" spans="1:14" x14ac:dyDescent="0.35">
      <c r="A439" t="str">
        <f t="shared" si="12"/>
        <v>VTE45740FMT250046547310100</v>
      </c>
      <c r="B439" t="s">
        <v>131</v>
      </c>
      <c r="C439" s="1">
        <v>45740</v>
      </c>
      <c r="D439" t="s">
        <v>304</v>
      </c>
      <c r="E439" t="str">
        <f>"47310100"</f>
        <v>47310100</v>
      </c>
      <c r="F439" t="s">
        <v>180</v>
      </c>
      <c r="G439" t="s">
        <v>341</v>
      </c>
      <c r="H439" t="s">
        <v>351</v>
      </c>
      <c r="I439">
        <v>0</v>
      </c>
      <c r="J439" t="s">
        <v>343</v>
      </c>
      <c r="L439">
        <v>796500</v>
      </c>
      <c r="N439">
        <v>796500</v>
      </c>
    </row>
    <row r="440" spans="1:14" x14ac:dyDescent="0.35">
      <c r="A440" t="str">
        <f t="shared" si="12"/>
        <v>VTE45740FMT250046570610010</v>
      </c>
      <c r="B440" t="s">
        <v>131</v>
      </c>
      <c r="C440" s="1">
        <v>45740</v>
      </c>
      <c r="D440" t="s">
        <v>304</v>
      </c>
      <c r="E440" t="str">
        <f>"70610010"</f>
        <v>70610010</v>
      </c>
      <c r="F440" t="s">
        <v>180</v>
      </c>
      <c r="G440" t="s">
        <v>341</v>
      </c>
      <c r="H440" t="s">
        <v>349</v>
      </c>
      <c r="I440">
        <v>0</v>
      </c>
      <c r="J440" t="s">
        <v>343</v>
      </c>
      <c r="L440">
        <v>3618000</v>
      </c>
      <c r="N440">
        <v>3618000</v>
      </c>
    </row>
    <row r="441" spans="1:14" x14ac:dyDescent="0.35">
      <c r="A441" t="str">
        <f t="shared" si="12"/>
        <v>VTE45740FMT250046647310100</v>
      </c>
      <c r="B441" t="s">
        <v>131</v>
      </c>
      <c r="C441" s="1">
        <v>45740</v>
      </c>
      <c r="D441" t="s">
        <v>305</v>
      </c>
      <c r="E441" t="str">
        <f>"47310100"</f>
        <v>47310100</v>
      </c>
      <c r="F441" t="s">
        <v>180</v>
      </c>
      <c r="G441" t="s">
        <v>341</v>
      </c>
      <c r="H441" t="s">
        <v>351</v>
      </c>
      <c r="I441">
        <v>0</v>
      </c>
      <c r="J441" t="s">
        <v>343</v>
      </c>
      <c r="L441">
        <v>118000</v>
      </c>
      <c r="N441">
        <v>118000</v>
      </c>
    </row>
    <row r="442" spans="1:14" x14ac:dyDescent="0.35">
      <c r="A442" t="str">
        <f t="shared" si="12"/>
        <v>VTE45740FMT250046670610010</v>
      </c>
      <c r="B442" t="s">
        <v>131</v>
      </c>
      <c r="C442" s="1">
        <v>45740</v>
      </c>
      <c r="D442" t="s">
        <v>305</v>
      </c>
      <c r="E442" t="str">
        <f>"70610010"</f>
        <v>70610010</v>
      </c>
      <c r="F442" t="s">
        <v>180</v>
      </c>
      <c r="G442" t="s">
        <v>341</v>
      </c>
      <c r="H442" t="s">
        <v>349</v>
      </c>
      <c r="I442">
        <v>0</v>
      </c>
      <c r="J442" t="s">
        <v>343</v>
      </c>
      <c r="L442">
        <v>536000</v>
      </c>
      <c r="N442">
        <v>536000</v>
      </c>
    </row>
    <row r="443" spans="1:14" x14ac:dyDescent="0.35">
      <c r="A443" t="str">
        <f t="shared" si="12"/>
        <v>VTE45740FMT250046670610050</v>
      </c>
      <c r="B443" t="s">
        <v>131</v>
      </c>
      <c r="C443" s="1">
        <v>45740</v>
      </c>
      <c r="D443" t="s">
        <v>305</v>
      </c>
      <c r="E443" t="str">
        <f>"70610050"</f>
        <v>70610050</v>
      </c>
      <c r="F443" t="s">
        <v>180</v>
      </c>
      <c r="G443" t="s">
        <v>341</v>
      </c>
      <c r="H443" t="s">
        <v>349</v>
      </c>
      <c r="I443">
        <v>0</v>
      </c>
      <c r="J443" t="s">
        <v>343</v>
      </c>
      <c r="L443">
        <v>396000</v>
      </c>
      <c r="N443">
        <v>396000</v>
      </c>
    </row>
    <row r="444" spans="1:14" x14ac:dyDescent="0.35">
      <c r="A444" t="str">
        <f t="shared" si="12"/>
        <v>VTE45741FMT250046747310100</v>
      </c>
      <c r="B444" t="s">
        <v>131</v>
      </c>
      <c r="C444" s="1">
        <v>45741</v>
      </c>
      <c r="D444" t="s">
        <v>306</v>
      </c>
      <c r="E444" t="str">
        <f>"47310100"</f>
        <v>47310100</v>
      </c>
      <c r="F444" t="s">
        <v>307</v>
      </c>
      <c r="G444" t="s">
        <v>341</v>
      </c>
      <c r="H444" t="s">
        <v>351</v>
      </c>
      <c r="I444">
        <v>0</v>
      </c>
      <c r="J444" t="s">
        <v>343</v>
      </c>
      <c r="L444">
        <v>59000</v>
      </c>
      <c r="N444">
        <v>59000</v>
      </c>
    </row>
    <row r="445" spans="1:14" x14ac:dyDescent="0.35">
      <c r="A445" t="str">
        <f t="shared" si="12"/>
        <v>VTE45741FMT250046770610010</v>
      </c>
      <c r="B445" t="s">
        <v>131</v>
      </c>
      <c r="C445" s="1">
        <v>45741</v>
      </c>
      <c r="D445" t="s">
        <v>306</v>
      </c>
      <c r="E445" t="str">
        <f>"70610010"</f>
        <v>70610010</v>
      </c>
      <c r="F445" t="s">
        <v>307</v>
      </c>
      <c r="G445" t="s">
        <v>341</v>
      </c>
      <c r="H445" t="s">
        <v>349</v>
      </c>
      <c r="I445">
        <v>0</v>
      </c>
      <c r="J445" t="s">
        <v>343</v>
      </c>
      <c r="L445">
        <v>198000</v>
      </c>
      <c r="N445">
        <v>198000</v>
      </c>
    </row>
    <row r="446" spans="1:14" x14ac:dyDescent="0.35">
      <c r="A446" t="str">
        <f t="shared" si="12"/>
        <v>VTE45741FMT250046847310100</v>
      </c>
      <c r="B446" t="s">
        <v>131</v>
      </c>
      <c r="C446" s="1">
        <v>45741</v>
      </c>
      <c r="D446" t="s">
        <v>308</v>
      </c>
      <c r="E446" t="str">
        <f>"47310100"</f>
        <v>47310100</v>
      </c>
      <c r="F446" t="s">
        <v>139</v>
      </c>
      <c r="G446" t="s">
        <v>341</v>
      </c>
      <c r="H446" t="s">
        <v>351</v>
      </c>
      <c r="I446">
        <v>0</v>
      </c>
      <c r="J446" t="s">
        <v>343</v>
      </c>
      <c r="L446">
        <v>413000</v>
      </c>
      <c r="N446">
        <v>413000</v>
      </c>
    </row>
    <row r="447" spans="1:14" x14ac:dyDescent="0.35">
      <c r="A447" t="str">
        <f t="shared" si="12"/>
        <v>VTE45741FMT250046870610010</v>
      </c>
      <c r="B447" t="s">
        <v>131</v>
      </c>
      <c r="C447" s="1">
        <v>45741</v>
      </c>
      <c r="D447" t="s">
        <v>308</v>
      </c>
      <c r="E447" t="str">
        <f>"70610010"</f>
        <v>70610010</v>
      </c>
      <c r="F447" t="s">
        <v>139</v>
      </c>
      <c r="G447" t="s">
        <v>341</v>
      </c>
      <c r="H447" t="s">
        <v>349</v>
      </c>
      <c r="I447">
        <v>0</v>
      </c>
      <c r="J447" t="s">
        <v>343</v>
      </c>
      <c r="L447">
        <v>1876000</v>
      </c>
      <c r="N447">
        <v>1876000</v>
      </c>
    </row>
    <row r="448" spans="1:14" x14ac:dyDescent="0.35">
      <c r="A448" t="str">
        <f t="shared" si="12"/>
        <v>VTE45741FMT250046970610010</v>
      </c>
      <c r="B448" t="s">
        <v>131</v>
      </c>
      <c r="C448" s="1">
        <v>45741</v>
      </c>
      <c r="D448" t="s">
        <v>309</v>
      </c>
      <c r="E448" t="str">
        <f>"70610010"</f>
        <v>70610010</v>
      </c>
      <c r="F448" t="s">
        <v>148</v>
      </c>
      <c r="G448" t="s">
        <v>341</v>
      </c>
      <c r="H448" t="s">
        <v>349</v>
      </c>
      <c r="I448">
        <v>0</v>
      </c>
      <c r="J448" t="s">
        <v>343</v>
      </c>
      <c r="L448">
        <v>1440000</v>
      </c>
      <c r="N448">
        <v>1440000</v>
      </c>
    </row>
    <row r="449" spans="1:14" x14ac:dyDescent="0.35">
      <c r="A449" t="str">
        <f t="shared" si="12"/>
        <v>VTE45742FMT250047047310100</v>
      </c>
      <c r="B449" t="s">
        <v>131</v>
      </c>
      <c r="C449" s="1">
        <v>45742</v>
      </c>
      <c r="D449" t="s">
        <v>310</v>
      </c>
      <c r="E449" t="str">
        <f>"47310100"</f>
        <v>47310100</v>
      </c>
      <c r="F449" t="s">
        <v>146</v>
      </c>
      <c r="G449" t="s">
        <v>341</v>
      </c>
      <c r="H449" t="s">
        <v>351</v>
      </c>
      <c r="I449">
        <v>0</v>
      </c>
      <c r="J449" t="s">
        <v>343</v>
      </c>
      <c r="L449">
        <v>118000</v>
      </c>
      <c r="N449">
        <v>118000</v>
      </c>
    </row>
    <row r="450" spans="1:14" x14ac:dyDescent="0.35">
      <c r="A450" t="str">
        <f t="shared" si="12"/>
        <v>VTE45742FMT250047070610010</v>
      </c>
      <c r="B450" t="s">
        <v>131</v>
      </c>
      <c r="C450" s="1">
        <v>45742</v>
      </c>
      <c r="D450" t="s">
        <v>310</v>
      </c>
      <c r="E450" t="str">
        <f>"70610010"</f>
        <v>70610010</v>
      </c>
      <c r="F450" t="s">
        <v>146</v>
      </c>
      <c r="G450" t="s">
        <v>341</v>
      </c>
      <c r="H450" t="s">
        <v>350</v>
      </c>
      <c r="I450">
        <v>0</v>
      </c>
      <c r="J450" t="s">
        <v>343</v>
      </c>
      <c r="L450">
        <v>264000</v>
      </c>
      <c r="N450">
        <v>264000</v>
      </c>
    </row>
    <row r="451" spans="1:14" x14ac:dyDescent="0.35">
      <c r="A451" t="str">
        <f t="shared" ref="A451:A495" si="13">CONCATENATE(B451,C451,D451,E451)</f>
        <v>VTE45742FMT250047147310100</v>
      </c>
      <c r="B451" t="s">
        <v>131</v>
      </c>
      <c r="C451" s="1">
        <v>45742</v>
      </c>
      <c r="D451" t="s">
        <v>311</v>
      </c>
      <c r="E451" t="str">
        <f>"47310100"</f>
        <v>47310100</v>
      </c>
      <c r="F451" t="s">
        <v>170</v>
      </c>
      <c r="G451" t="s">
        <v>341</v>
      </c>
      <c r="H451" t="s">
        <v>351</v>
      </c>
      <c r="I451">
        <v>0</v>
      </c>
      <c r="J451" t="s">
        <v>343</v>
      </c>
      <c r="L451">
        <v>295000</v>
      </c>
      <c r="N451">
        <v>295000</v>
      </c>
    </row>
    <row r="452" spans="1:14" x14ac:dyDescent="0.35">
      <c r="A452" t="str">
        <f t="shared" si="13"/>
        <v>VTE45742FMT250047170610010</v>
      </c>
      <c r="B452" t="s">
        <v>131</v>
      </c>
      <c r="C452" s="1">
        <v>45742</v>
      </c>
      <c r="D452" t="s">
        <v>311</v>
      </c>
      <c r="E452" t="str">
        <f>"70610010"</f>
        <v>70610010</v>
      </c>
      <c r="F452" t="s">
        <v>170</v>
      </c>
      <c r="G452" t="s">
        <v>341</v>
      </c>
      <c r="H452" t="s">
        <v>349</v>
      </c>
      <c r="I452">
        <v>0</v>
      </c>
      <c r="J452" t="s">
        <v>343</v>
      </c>
      <c r="L452">
        <v>660000</v>
      </c>
      <c r="N452">
        <v>660000</v>
      </c>
    </row>
    <row r="453" spans="1:14" x14ac:dyDescent="0.35">
      <c r="A453" t="str">
        <f t="shared" si="13"/>
        <v>VTE45744FMT250047247310100</v>
      </c>
      <c r="B453" t="s">
        <v>131</v>
      </c>
      <c r="C453" s="1">
        <v>45744</v>
      </c>
      <c r="D453" t="s">
        <v>312</v>
      </c>
      <c r="E453" t="str">
        <f>"47310100"</f>
        <v>47310100</v>
      </c>
      <c r="F453" t="s">
        <v>167</v>
      </c>
      <c r="G453" t="s">
        <v>341</v>
      </c>
      <c r="H453" t="s">
        <v>351</v>
      </c>
      <c r="I453">
        <v>0</v>
      </c>
      <c r="J453" t="s">
        <v>343</v>
      </c>
      <c r="L453">
        <v>59000</v>
      </c>
      <c r="N453">
        <v>59000</v>
      </c>
    </row>
    <row r="454" spans="1:14" x14ac:dyDescent="0.35">
      <c r="A454" t="str">
        <f t="shared" si="13"/>
        <v>VTE45744FMT250047270610010</v>
      </c>
      <c r="B454" t="s">
        <v>131</v>
      </c>
      <c r="C454" s="1">
        <v>45744</v>
      </c>
      <c r="D454" t="s">
        <v>312</v>
      </c>
      <c r="E454" t="str">
        <f>"70610010"</f>
        <v>70610010</v>
      </c>
      <c r="F454" t="s">
        <v>167</v>
      </c>
      <c r="G454" t="s">
        <v>341</v>
      </c>
      <c r="H454" t="s">
        <v>350</v>
      </c>
      <c r="I454">
        <v>0</v>
      </c>
      <c r="J454" t="s">
        <v>343</v>
      </c>
      <c r="L454">
        <v>132000</v>
      </c>
      <c r="N454">
        <v>132000</v>
      </c>
    </row>
    <row r="455" spans="1:14" x14ac:dyDescent="0.35">
      <c r="A455" t="str">
        <f t="shared" si="13"/>
        <v>VTE45744FMT250047347310100</v>
      </c>
      <c r="B455" t="s">
        <v>131</v>
      </c>
      <c r="C455" s="1">
        <v>45744</v>
      </c>
      <c r="D455" t="s">
        <v>313</v>
      </c>
      <c r="E455" t="str">
        <f>"47310100"</f>
        <v>47310100</v>
      </c>
      <c r="F455" t="s">
        <v>159</v>
      </c>
      <c r="G455" t="s">
        <v>341</v>
      </c>
      <c r="H455" t="s">
        <v>351</v>
      </c>
      <c r="I455">
        <v>0</v>
      </c>
      <c r="J455" t="s">
        <v>343</v>
      </c>
      <c r="L455">
        <v>59000</v>
      </c>
      <c r="N455">
        <v>59000</v>
      </c>
    </row>
    <row r="456" spans="1:14" x14ac:dyDescent="0.35">
      <c r="A456" t="str">
        <f t="shared" si="13"/>
        <v>VTE45744FMT250047370610010</v>
      </c>
      <c r="B456" t="s">
        <v>131</v>
      </c>
      <c r="C456" s="1">
        <v>45744</v>
      </c>
      <c r="D456" t="s">
        <v>313</v>
      </c>
      <c r="E456" t="str">
        <f>"70610010"</f>
        <v>70610010</v>
      </c>
      <c r="F456" t="s">
        <v>159</v>
      </c>
      <c r="G456" t="s">
        <v>341</v>
      </c>
      <c r="H456" t="s">
        <v>349</v>
      </c>
      <c r="I456">
        <v>0</v>
      </c>
      <c r="J456" t="s">
        <v>343</v>
      </c>
      <c r="L456">
        <v>198000</v>
      </c>
      <c r="N456">
        <v>198000</v>
      </c>
    </row>
    <row r="457" spans="1:14" x14ac:dyDescent="0.35">
      <c r="A457" t="str">
        <f t="shared" si="13"/>
        <v>VTE45744FMT250047447310100</v>
      </c>
      <c r="B457" t="s">
        <v>131</v>
      </c>
      <c r="C457" s="1">
        <v>45744</v>
      </c>
      <c r="D457" t="s">
        <v>314</v>
      </c>
      <c r="E457" t="str">
        <f>"47310100"</f>
        <v>47310100</v>
      </c>
      <c r="F457" t="s">
        <v>159</v>
      </c>
      <c r="G457" t="s">
        <v>341</v>
      </c>
      <c r="H457" t="s">
        <v>351</v>
      </c>
      <c r="I457">
        <v>0</v>
      </c>
      <c r="J457" t="s">
        <v>343</v>
      </c>
      <c r="L457">
        <v>59000</v>
      </c>
      <c r="N457">
        <v>59000</v>
      </c>
    </row>
    <row r="458" spans="1:14" x14ac:dyDescent="0.35">
      <c r="A458" t="str">
        <f t="shared" si="13"/>
        <v>VTE45744FMT250047470610010</v>
      </c>
      <c r="B458" t="s">
        <v>131</v>
      </c>
      <c r="C458" s="1">
        <v>45744</v>
      </c>
      <c r="D458" t="s">
        <v>314</v>
      </c>
      <c r="E458" t="str">
        <f>"70610010"</f>
        <v>70610010</v>
      </c>
      <c r="F458" t="s">
        <v>159</v>
      </c>
      <c r="G458" t="s">
        <v>341</v>
      </c>
      <c r="H458" t="s">
        <v>349</v>
      </c>
      <c r="I458">
        <v>0</v>
      </c>
      <c r="J458" t="s">
        <v>343</v>
      </c>
      <c r="L458">
        <v>268000</v>
      </c>
      <c r="N458">
        <v>268000</v>
      </c>
    </row>
    <row r="459" spans="1:14" x14ac:dyDescent="0.35">
      <c r="A459" t="str">
        <f t="shared" si="13"/>
        <v>VTE45744FMT250047547310100</v>
      </c>
      <c r="B459" t="s">
        <v>131</v>
      </c>
      <c r="C459" s="1">
        <v>45744</v>
      </c>
      <c r="D459" t="s">
        <v>315</v>
      </c>
      <c r="E459" t="str">
        <f>"47310100"</f>
        <v>47310100</v>
      </c>
      <c r="F459" t="s">
        <v>159</v>
      </c>
      <c r="G459" t="s">
        <v>341</v>
      </c>
      <c r="H459" t="s">
        <v>351</v>
      </c>
      <c r="I459">
        <v>0</v>
      </c>
      <c r="J459" t="s">
        <v>343</v>
      </c>
      <c r="L459">
        <v>59000</v>
      </c>
      <c r="N459">
        <v>59000</v>
      </c>
    </row>
    <row r="460" spans="1:14" x14ac:dyDescent="0.35">
      <c r="A460" t="str">
        <f t="shared" si="13"/>
        <v>VTE45744FMT250047570610010</v>
      </c>
      <c r="B460" t="s">
        <v>131</v>
      </c>
      <c r="C460" s="1">
        <v>45744</v>
      </c>
      <c r="D460" t="s">
        <v>315</v>
      </c>
      <c r="E460" t="str">
        <f>"70610010"</f>
        <v>70610010</v>
      </c>
      <c r="F460" t="s">
        <v>159</v>
      </c>
      <c r="G460" t="s">
        <v>341</v>
      </c>
      <c r="H460" t="s">
        <v>349</v>
      </c>
      <c r="I460">
        <v>0</v>
      </c>
      <c r="J460" t="s">
        <v>343</v>
      </c>
      <c r="L460">
        <v>268000</v>
      </c>
      <c r="N460">
        <v>268000</v>
      </c>
    </row>
    <row r="461" spans="1:14" x14ac:dyDescent="0.35">
      <c r="A461" t="str">
        <f t="shared" si="13"/>
        <v>VTE45744FMT250047647310100</v>
      </c>
      <c r="B461" t="s">
        <v>131</v>
      </c>
      <c r="C461" s="1">
        <v>45744</v>
      </c>
      <c r="D461" t="s">
        <v>316</v>
      </c>
      <c r="E461" t="str">
        <f>"47310100"</f>
        <v>47310100</v>
      </c>
      <c r="F461" t="s">
        <v>146</v>
      </c>
      <c r="G461" t="s">
        <v>341</v>
      </c>
      <c r="H461" t="s">
        <v>351</v>
      </c>
      <c r="I461">
        <v>0</v>
      </c>
      <c r="J461" t="s">
        <v>343</v>
      </c>
      <c r="L461">
        <v>59000</v>
      </c>
      <c r="N461">
        <v>59000</v>
      </c>
    </row>
    <row r="462" spans="1:14" x14ac:dyDescent="0.35">
      <c r="A462" t="str">
        <f t="shared" si="13"/>
        <v>VTE45744FMT250047670610010</v>
      </c>
      <c r="B462" t="s">
        <v>131</v>
      </c>
      <c r="C462" s="1">
        <v>45744</v>
      </c>
      <c r="D462" t="s">
        <v>316</v>
      </c>
      <c r="E462" t="str">
        <f>"70610010"</f>
        <v>70610010</v>
      </c>
      <c r="F462" t="s">
        <v>146</v>
      </c>
      <c r="G462" t="s">
        <v>341</v>
      </c>
      <c r="H462" t="s">
        <v>350</v>
      </c>
      <c r="I462">
        <v>0</v>
      </c>
      <c r="J462" t="s">
        <v>343</v>
      </c>
      <c r="L462">
        <v>132000</v>
      </c>
      <c r="N462">
        <v>132000</v>
      </c>
    </row>
    <row r="463" spans="1:14" x14ac:dyDescent="0.35">
      <c r="A463" t="str">
        <f t="shared" si="13"/>
        <v>VTE45744FMT250047747310100</v>
      </c>
      <c r="B463" t="s">
        <v>131</v>
      </c>
      <c r="C463" s="1">
        <v>45744</v>
      </c>
      <c r="D463" t="s">
        <v>317</v>
      </c>
      <c r="E463" t="str">
        <f>"47310100"</f>
        <v>47310100</v>
      </c>
      <c r="F463" t="s">
        <v>271</v>
      </c>
      <c r="G463" t="s">
        <v>341</v>
      </c>
      <c r="H463" t="s">
        <v>351</v>
      </c>
      <c r="I463">
        <v>0</v>
      </c>
      <c r="J463" t="s">
        <v>343</v>
      </c>
      <c r="L463">
        <v>59000</v>
      </c>
      <c r="N463">
        <v>59000</v>
      </c>
    </row>
    <row r="464" spans="1:14" x14ac:dyDescent="0.35">
      <c r="A464" t="str">
        <f t="shared" si="13"/>
        <v>VTE45744FMT250047770610010</v>
      </c>
      <c r="B464" t="s">
        <v>131</v>
      </c>
      <c r="C464" s="1">
        <v>45744</v>
      </c>
      <c r="D464" t="s">
        <v>317</v>
      </c>
      <c r="E464" t="str">
        <f>"70610010"</f>
        <v>70610010</v>
      </c>
      <c r="F464" t="s">
        <v>271</v>
      </c>
      <c r="G464" t="s">
        <v>341</v>
      </c>
      <c r="H464" t="s">
        <v>349</v>
      </c>
      <c r="I464">
        <v>0</v>
      </c>
      <c r="J464" t="s">
        <v>343</v>
      </c>
      <c r="L464">
        <v>402000</v>
      </c>
      <c r="N464">
        <v>402000</v>
      </c>
    </row>
    <row r="465" spans="1:14" x14ac:dyDescent="0.35">
      <c r="A465" t="str">
        <f t="shared" si="13"/>
        <v>VTE45744FMT250047847310100</v>
      </c>
      <c r="B465" t="s">
        <v>131</v>
      </c>
      <c r="C465" s="1">
        <v>45744</v>
      </c>
      <c r="D465" t="s">
        <v>318</v>
      </c>
      <c r="E465" t="str">
        <f>"47310100"</f>
        <v>47310100</v>
      </c>
      <c r="F465" t="s">
        <v>195</v>
      </c>
      <c r="G465" t="s">
        <v>341</v>
      </c>
      <c r="H465" t="s">
        <v>351</v>
      </c>
      <c r="I465">
        <v>0</v>
      </c>
      <c r="J465" t="s">
        <v>343</v>
      </c>
      <c r="L465">
        <v>59000</v>
      </c>
      <c r="N465">
        <v>59000</v>
      </c>
    </row>
    <row r="466" spans="1:14" x14ac:dyDescent="0.35">
      <c r="A466" t="str">
        <f t="shared" si="13"/>
        <v>VTE45744FMT250047870610010</v>
      </c>
      <c r="B466" t="s">
        <v>131</v>
      </c>
      <c r="C466" s="1">
        <v>45744</v>
      </c>
      <c r="D466" t="s">
        <v>318</v>
      </c>
      <c r="E466" t="str">
        <f>"70610010"</f>
        <v>70610010</v>
      </c>
      <c r="F466" t="s">
        <v>195</v>
      </c>
      <c r="G466" t="s">
        <v>341</v>
      </c>
      <c r="H466" t="s">
        <v>349</v>
      </c>
      <c r="I466">
        <v>0</v>
      </c>
      <c r="J466" t="s">
        <v>343</v>
      </c>
      <c r="L466">
        <v>268000</v>
      </c>
      <c r="N466">
        <v>268000</v>
      </c>
    </row>
    <row r="467" spans="1:14" x14ac:dyDescent="0.35">
      <c r="A467" t="str">
        <f t="shared" si="13"/>
        <v>VTE45744FMT250047870610050</v>
      </c>
      <c r="B467" t="s">
        <v>131</v>
      </c>
      <c r="C467" s="1">
        <v>45744</v>
      </c>
      <c r="D467" t="s">
        <v>318</v>
      </c>
      <c r="E467" t="str">
        <f>"70610050"</f>
        <v>70610050</v>
      </c>
      <c r="F467" t="s">
        <v>195</v>
      </c>
      <c r="G467" t="s">
        <v>341</v>
      </c>
      <c r="H467" t="s">
        <v>349</v>
      </c>
      <c r="I467">
        <v>0</v>
      </c>
      <c r="J467" t="s">
        <v>343</v>
      </c>
      <c r="L467">
        <v>198000</v>
      </c>
      <c r="N467">
        <v>198000</v>
      </c>
    </row>
    <row r="468" spans="1:14" x14ac:dyDescent="0.35">
      <c r="A468" t="str">
        <f t="shared" si="13"/>
        <v>VTE45744FMT250047947310100</v>
      </c>
      <c r="B468" t="s">
        <v>131</v>
      </c>
      <c r="C468" s="1">
        <v>45744</v>
      </c>
      <c r="D468" t="s">
        <v>319</v>
      </c>
      <c r="E468" t="str">
        <f>"47310100"</f>
        <v>47310100</v>
      </c>
      <c r="F468" t="s">
        <v>203</v>
      </c>
      <c r="G468" t="s">
        <v>341</v>
      </c>
      <c r="H468" t="s">
        <v>351</v>
      </c>
      <c r="I468">
        <v>0</v>
      </c>
      <c r="J468" t="s">
        <v>343</v>
      </c>
      <c r="L468">
        <v>29500</v>
      </c>
      <c r="N468">
        <v>29500</v>
      </c>
    </row>
    <row r="469" spans="1:14" x14ac:dyDescent="0.35">
      <c r="A469" t="str">
        <f t="shared" si="13"/>
        <v>VTE45744FMT250047970610010</v>
      </c>
      <c r="B469" t="s">
        <v>131</v>
      </c>
      <c r="C469" s="1">
        <v>45744</v>
      </c>
      <c r="D469" t="s">
        <v>319</v>
      </c>
      <c r="E469" t="str">
        <f>"70610010"</f>
        <v>70610010</v>
      </c>
      <c r="F469" t="s">
        <v>203</v>
      </c>
      <c r="G469" t="s">
        <v>341</v>
      </c>
      <c r="H469" t="s">
        <v>349</v>
      </c>
      <c r="I469">
        <v>0</v>
      </c>
      <c r="J469" t="s">
        <v>343</v>
      </c>
      <c r="L469">
        <v>99000</v>
      </c>
      <c r="N469">
        <v>99000</v>
      </c>
    </row>
    <row r="470" spans="1:14" x14ac:dyDescent="0.35">
      <c r="A470" t="str">
        <f t="shared" si="13"/>
        <v>VTE45744FMT250048047310100</v>
      </c>
      <c r="B470" t="s">
        <v>131</v>
      </c>
      <c r="C470" s="1">
        <v>45744</v>
      </c>
      <c r="D470" t="s">
        <v>320</v>
      </c>
      <c r="E470" t="str">
        <f>"47310100"</f>
        <v>47310100</v>
      </c>
      <c r="F470" t="s">
        <v>139</v>
      </c>
      <c r="G470" t="s">
        <v>341</v>
      </c>
      <c r="H470" t="s">
        <v>351</v>
      </c>
      <c r="I470">
        <v>0</v>
      </c>
      <c r="J470" t="s">
        <v>343</v>
      </c>
      <c r="L470">
        <v>649000</v>
      </c>
      <c r="N470">
        <v>649000</v>
      </c>
    </row>
    <row r="471" spans="1:14" x14ac:dyDescent="0.35">
      <c r="A471" t="str">
        <f t="shared" si="13"/>
        <v>VTE45744FMT250048070610010</v>
      </c>
      <c r="B471" t="s">
        <v>131</v>
      </c>
      <c r="C471" s="1">
        <v>45744</v>
      </c>
      <c r="D471" t="s">
        <v>320</v>
      </c>
      <c r="E471" t="str">
        <f>"70610010"</f>
        <v>70610010</v>
      </c>
      <c r="F471" t="s">
        <v>139</v>
      </c>
      <c r="G471" t="s">
        <v>341</v>
      </c>
      <c r="H471" t="s">
        <v>349</v>
      </c>
      <c r="I471">
        <v>0</v>
      </c>
      <c r="J471" t="s">
        <v>343</v>
      </c>
      <c r="L471">
        <v>2948000</v>
      </c>
      <c r="N471">
        <v>2948000</v>
      </c>
    </row>
    <row r="472" spans="1:14" x14ac:dyDescent="0.35">
      <c r="A472" t="str">
        <f t="shared" si="13"/>
        <v>VTE45744FMT250048147310100</v>
      </c>
      <c r="B472" t="s">
        <v>131</v>
      </c>
      <c r="C472" s="1">
        <v>45744</v>
      </c>
      <c r="D472" t="s">
        <v>321</v>
      </c>
      <c r="E472" t="str">
        <f>"47310100"</f>
        <v>47310100</v>
      </c>
      <c r="F472" t="s">
        <v>139</v>
      </c>
      <c r="G472" t="s">
        <v>341</v>
      </c>
      <c r="H472" t="s">
        <v>351</v>
      </c>
      <c r="I472">
        <v>0</v>
      </c>
      <c r="J472" t="s">
        <v>343</v>
      </c>
      <c r="L472">
        <v>472000</v>
      </c>
      <c r="N472">
        <v>472000</v>
      </c>
    </row>
    <row r="473" spans="1:14" x14ac:dyDescent="0.35">
      <c r="A473" t="str">
        <f t="shared" si="13"/>
        <v>VTE45744FMT250048170610010</v>
      </c>
      <c r="B473" t="s">
        <v>131</v>
      </c>
      <c r="C473" s="1">
        <v>45744</v>
      </c>
      <c r="D473" t="s">
        <v>321</v>
      </c>
      <c r="E473" t="str">
        <f>"70610010"</f>
        <v>70610010</v>
      </c>
      <c r="F473" t="s">
        <v>139</v>
      </c>
      <c r="G473" t="s">
        <v>341</v>
      </c>
      <c r="H473" t="s">
        <v>349</v>
      </c>
      <c r="I473">
        <v>0</v>
      </c>
      <c r="J473" t="s">
        <v>343</v>
      </c>
      <c r="L473">
        <v>2144000</v>
      </c>
      <c r="N473">
        <v>2144000</v>
      </c>
    </row>
    <row r="474" spans="1:14" x14ac:dyDescent="0.35">
      <c r="A474" t="str">
        <f t="shared" si="13"/>
        <v>VTE45744FMT250048247310100</v>
      </c>
      <c r="B474" t="s">
        <v>131</v>
      </c>
      <c r="C474" s="1">
        <v>45744</v>
      </c>
      <c r="D474" t="s">
        <v>322</v>
      </c>
      <c r="E474" t="str">
        <f>"47310100"</f>
        <v>47310100</v>
      </c>
      <c r="F474" t="s">
        <v>139</v>
      </c>
      <c r="G474" t="s">
        <v>341</v>
      </c>
      <c r="H474" t="s">
        <v>351</v>
      </c>
      <c r="I474">
        <v>0</v>
      </c>
      <c r="J474" t="s">
        <v>343</v>
      </c>
      <c r="L474">
        <v>944000</v>
      </c>
      <c r="N474">
        <v>944000</v>
      </c>
    </row>
    <row r="475" spans="1:14" x14ac:dyDescent="0.35">
      <c r="A475" t="str">
        <f t="shared" si="13"/>
        <v>VTE45744FMT250048270610010</v>
      </c>
      <c r="B475" t="s">
        <v>131</v>
      </c>
      <c r="C475" s="1">
        <v>45744</v>
      </c>
      <c r="D475" t="s">
        <v>322</v>
      </c>
      <c r="E475" t="str">
        <f>"70610010"</f>
        <v>70610010</v>
      </c>
      <c r="F475" t="s">
        <v>139</v>
      </c>
      <c r="G475" t="s">
        <v>341</v>
      </c>
      <c r="H475" t="s">
        <v>349</v>
      </c>
      <c r="I475">
        <v>0</v>
      </c>
      <c r="J475" t="s">
        <v>343</v>
      </c>
      <c r="L475">
        <v>4288000</v>
      </c>
      <c r="N475">
        <v>4288000</v>
      </c>
    </row>
    <row r="476" spans="1:14" x14ac:dyDescent="0.35">
      <c r="A476" t="str">
        <f t="shared" si="13"/>
        <v>VTE45744FMT250048347310100</v>
      </c>
      <c r="B476" t="s">
        <v>131</v>
      </c>
      <c r="C476" s="1">
        <v>45744</v>
      </c>
      <c r="D476" t="s">
        <v>323</v>
      </c>
      <c r="E476" t="str">
        <f>"47310100"</f>
        <v>47310100</v>
      </c>
      <c r="F476" t="s">
        <v>139</v>
      </c>
      <c r="G476" t="s">
        <v>341</v>
      </c>
      <c r="H476" t="s">
        <v>351</v>
      </c>
      <c r="I476">
        <v>0</v>
      </c>
      <c r="J476" t="s">
        <v>343</v>
      </c>
      <c r="L476">
        <v>1180000</v>
      </c>
      <c r="N476">
        <v>1180000</v>
      </c>
    </row>
    <row r="477" spans="1:14" x14ac:dyDescent="0.35">
      <c r="A477" t="str">
        <f t="shared" si="13"/>
        <v>VTE45744FMT250048370610010</v>
      </c>
      <c r="B477" t="s">
        <v>131</v>
      </c>
      <c r="C477" s="1">
        <v>45744</v>
      </c>
      <c r="D477" t="s">
        <v>323</v>
      </c>
      <c r="E477" t="str">
        <f>"70610010"</f>
        <v>70610010</v>
      </c>
      <c r="F477" t="s">
        <v>139</v>
      </c>
      <c r="G477" t="s">
        <v>341</v>
      </c>
      <c r="H477" t="s">
        <v>349</v>
      </c>
      <c r="I477">
        <v>0</v>
      </c>
      <c r="J477" t="s">
        <v>343</v>
      </c>
      <c r="L477">
        <v>5360000</v>
      </c>
      <c r="N477">
        <v>5360000</v>
      </c>
    </row>
    <row r="478" spans="1:14" x14ac:dyDescent="0.35">
      <c r="A478" t="str">
        <f t="shared" si="13"/>
        <v>VTE45744FMT250048447310100</v>
      </c>
      <c r="B478" t="s">
        <v>131</v>
      </c>
      <c r="C478" s="1">
        <v>45744</v>
      </c>
      <c r="D478" t="s">
        <v>324</v>
      </c>
      <c r="E478" t="str">
        <f>"47310100"</f>
        <v>47310100</v>
      </c>
      <c r="F478" t="s">
        <v>139</v>
      </c>
      <c r="G478" t="s">
        <v>341</v>
      </c>
      <c r="H478" t="s">
        <v>351</v>
      </c>
      <c r="I478">
        <v>0</v>
      </c>
      <c r="J478" t="s">
        <v>343</v>
      </c>
      <c r="L478">
        <v>1003000</v>
      </c>
      <c r="N478">
        <v>1003000</v>
      </c>
    </row>
    <row r="479" spans="1:14" x14ac:dyDescent="0.35">
      <c r="A479" t="str">
        <f t="shared" si="13"/>
        <v>VTE45744FMT250048470610010</v>
      </c>
      <c r="B479" t="s">
        <v>131</v>
      </c>
      <c r="C479" s="1">
        <v>45744</v>
      </c>
      <c r="D479" t="s">
        <v>324</v>
      </c>
      <c r="E479" t="str">
        <f>"70610010"</f>
        <v>70610010</v>
      </c>
      <c r="F479" t="s">
        <v>139</v>
      </c>
      <c r="G479" t="s">
        <v>341</v>
      </c>
      <c r="H479" t="s">
        <v>349</v>
      </c>
      <c r="I479">
        <v>0</v>
      </c>
      <c r="J479" t="s">
        <v>343</v>
      </c>
      <c r="L479">
        <v>4556000</v>
      </c>
      <c r="N479">
        <v>4556000</v>
      </c>
    </row>
    <row r="480" spans="1:14" x14ac:dyDescent="0.35">
      <c r="A480" t="str">
        <f t="shared" si="13"/>
        <v>VTE45747FMT250048547310100</v>
      </c>
      <c r="B480" t="s">
        <v>131</v>
      </c>
      <c r="C480" s="1">
        <v>45747</v>
      </c>
      <c r="D480" t="s">
        <v>325</v>
      </c>
      <c r="E480" t="str">
        <f>"47310100"</f>
        <v>47310100</v>
      </c>
      <c r="F480" t="s">
        <v>326</v>
      </c>
      <c r="G480" t="s">
        <v>341</v>
      </c>
      <c r="H480" t="s">
        <v>351</v>
      </c>
      <c r="I480">
        <v>0</v>
      </c>
      <c r="J480" t="s">
        <v>343</v>
      </c>
      <c r="K480">
        <v>59000</v>
      </c>
      <c r="M480">
        <v>59000</v>
      </c>
    </row>
    <row r="481" spans="1:14" x14ac:dyDescent="0.35">
      <c r="A481" t="str">
        <f t="shared" si="13"/>
        <v>VTE45747FMT250048570610010</v>
      </c>
      <c r="B481" t="s">
        <v>131</v>
      </c>
      <c r="C481" s="1">
        <v>45747</v>
      </c>
      <c r="D481" t="s">
        <v>325</v>
      </c>
      <c r="E481" t="str">
        <f>"70610010"</f>
        <v>70610010</v>
      </c>
      <c r="F481" t="s">
        <v>326</v>
      </c>
      <c r="G481" t="s">
        <v>341</v>
      </c>
      <c r="H481" t="s">
        <v>350</v>
      </c>
      <c r="I481">
        <v>0</v>
      </c>
      <c r="J481" t="s">
        <v>343</v>
      </c>
      <c r="K481">
        <v>132000</v>
      </c>
      <c r="M481">
        <v>132000</v>
      </c>
    </row>
    <row r="482" spans="1:14" x14ac:dyDescent="0.35">
      <c r="A482" t="str">
        <f t="shared" si="13"/>
        <v>VTE45747FMT250048670610010</v>
      </c>
      <c r="B482" t="s">
        <v>131</v>
      </c>
      <c r="C482" s="1">
        <v>45747</v>
      </c>
      <c r="D482" t="s">
        <v>327</v>
      </c>
      <c r="E482" t="str">
        <f>"70610010"</f>
        <v>70610010</v>
      </c>
      <c r="F482" t="s">
        <v>146</v>
      </c>
      <c r="G482" t="s">
        <v>341</v>
      </c>
      <c r="H482" t="s">
        <v>349</v>
      </c>
      <c r="I482">
        <v>0</v>
      </c>
      <c r="J482" t="s">
        <v>343</v>
      </c>
      <c r="L482">
        <v>30000</v>
      </c>
      <c r="N482">
        <v>30000</v>
      </c>
    </row>
    <row r="483" spans="1:14" x14ac:dyDescent="0.35">
      <c r="A483" t="str">
        <f t="shared" si="13"/>
        <v>VTE45747FMT250048670610040</v>
      </c>
      <c r="B483" t="s">
        <v>131</v>
      </c>
      <c r="C483" s="1">
        <v>45747</v>
      </c>
      <c r="D483" t="s">
        <v>327</v>
      </c>
      <c r="E483" t="str">
        <f>"70610040"</f>
        <v>70610040</v>
      </c>
      <c r="F483" t="s">
        <v>146</v>
      </c>
      <c r="G483" t="s">
        <v>341</v>
      </c>
      <c r="H483" t="s">
        <v>349</v>
      </c>
      <c r="I483">
        <v>0</v>
      </c>
      <c r="J483" t="s">
        <v>343</v>
      </c>
      <c r="L483">
        <v>20000</v>
      </c>
      <c r="N483">
        <v>220000</v>
      </c>
    </row>
    <row r="484" spans="1:14" x14ac:dyDescent="0.35">
      <c r="A484" t="str">
        <f t="shared" si="13"/>
        <v>VTE45747FMT250048670610040</v>
      </c>
      <c r="B484" t="s">
        <v>131</v>
      </c>
      <c r="C484" s="1">
        <v>45747</v>
      </c>
      <c r="D484" t="s">
        <v>327</v>
      </c>
      <c r="E484" t="str">
        <f>"70610040"</f>
        <v>70610040</v>
      </c>
      <c r="F484" t="s">
        <v>146</v>
      </c>
      <c r="G484" t="s">
        <v>341</v>
      </c>
      <c r="H484" t="s">
        <v>351</v>
      </c>
      <c r="I484">
        <v>0</v>
      </c>
      <c r="J484" t="s">
        <v>343</v>
      </c>
      <c r="L484">
        <v>200000</v>
      </c>
      <c r="N484">
        <v>220000</v>
      </c>
    </row>
    <row r="485" spans="1:14" x14ac:dyDescent="0.35">
      <c r="A485" t="str">
        <f t="shared" si="13"/>
        <v>VTE45747FMT250048747310100</v>
      </c>
      <c r="B485" t="s">
        <v>131</v>
      </c>
      <c r="C485" s="1">
        <v>45747</v>
      </c>
      <c r="D485" t="s">
        <v>328</v>
      </c>
      <c r="E485" t="str">
        <f>"47310100"</f>
        <v>47310100</v>
      </c>
      <c r="F485" t="s">
        <v>148</v>
      </c>
      <c r="G485" t="s">
        <v>341</v>
      </c>
      <c r="H485" t="s">
        <v>351</v>
      </c>
      <c r="I485">
        <v>0</v>
      </c>
      <c r="J485" t="s">
        <v>343</v>
      </c>
      <c r="L485">
        <v>265500</v>
      </c>
      <c r="N485">
        <v>265500</v>
      </c>
    </row>
    <row r="486" spans="1:14" x14ac:dyDescent="0.35">
      <c r="A486" t="str">
        <f t="shared" si="13"/>
        <v>VTE45747FMT250048770610010</v>
      </c>
      <c r="B486" t="s">
        <v>131</v>
      </c>
      <c r="C486" s="1">
        <v>45747</v>
      </c>
      <c r="D486" t="s">
        <v>328</v>
      </c>
      <c r="E486" t="str">
        <f>"70610010"</f>
        <v>70610010</v>
      </c>
      <c r="F486" t="s">
        <v>148</v>
      </c>
      <c r="G486" t="s">
        <v>341</v>
      </c>
      <c r="H486" t="s">
        <v>349</v>
      </c>
      <c r="I486">
        <v>0</v>
      </c>
      <c r="J486" t="s">
        <v>343</v>
      </c>
      <c r="L486">
        <v>858000</v>
      </c>
      <c r="N486">
        <v>858000</v>
      </c>
    </row>
    <row r="487" spans="1:14" x14ac:dyDescent="0.35">
      <c r="A487" t="str">
        <f t="shared" si="13"/>
        <v>VTE45747FMT250048870610010</v>
      </c>
      <c r="B487" t="s">
        <v>131</v>
      </c>
      <c r="C487" s="1">
        <v>45747</v>
      </c>
      <c r="D487" t="s">
        <v>329</v>
      </c>
      <c r="E487" t="str">
        <f>"70610010"</f>
        <v>70610010</v>
      </c>
      <c r="F487" t="s">
        <v>154</v>
      </c>
      <c r="G487" t="s">
        <v>341</v>
      </c>
      <c r="H487" t="s">
        <v>349</v>
      </c>
      <c r="I487">
        <v>0</v>
      </c>
      <c r="J487" t="s">
        <v>343</v>
      </c>
      <c r="L487">
        <v>660000</v>
      </c>
      <c r="N487">
        <v>660000</v>
      </c>
    </row>
    <row r="488" spans="1:14" x14ac:dyDescent="0.35">
      <c r="A488" t="str">
        <f t="shared" si="13"/>
        <v>VTE45747FMT250048970610010</v>
      </c>
      <c r="B488" t="s">
        <v>131</v>
      </c>
      <c r="C488" s="1">
        <v>45747</v>
      </c>
      <c r="D488" t="s">
        <v>330</v>
      </c>
      <c r="E488" t="str">
        <f>"70610010"</f>
        <v>70610010</v>
      </c>
      <c r="F488" t="s">
        <v>154</v>
      </c>
      <c r="G488" t="s">
        <v>341</v>
      </c>
      <c r="H488" t="s">
        <v>349</v>
      </c>
      <c r="I488">
        <v>0</v>
      </c>
      <c r="J488" t="s">
        <v>343</v>
      </c>
      <c r="L488">
        <v>660000</v>
      </c>
      <c r="N488">
        <v>660000</v>
      </c>
    </row>
    <row r="489" spans="1:14" x14ac:dyDescent="0.35">
      <c r="A489" t="str">
        <f t="shared" si="13"/>
        <v>VTE45747FMT250049047310100</v>
      </c>
      <c r="B489" t="s">
        <v>131</v>
      </c>
      <c r="C489" s="1">
        <v>45747</v>
      </c>
      <c r="D489" t="s">
        <v>331</v>
      </c>
      <c r="E489" t="str">
        <f>"47310100"</f>
        <v>47310100</v>
      </c>
      <c r="F489" t="s">
        <v>180</v>
      </c>
      <c r="G489" t="s">
        <v>341</v>
      </c>
      <c r="H489" t="s">
        <v>351</v>
      </c>
      <c r="I489">
        <v>0</v>
      </c>
      <c r="J489" t="s">
        <v>343</v>
      </c>
      <c r="L489">
        <v>295000</v>
      </c>
      <c r="N489">
        <v>295000</v>
      </c>
    </row>
    <row r="490" spans="1:14" x14ac:dyDescent="0.35">
      <c r="A490" t="str">
        <f t="shared" si="13"/>
        <v>VTE45747FMT250049070610010</v>
      </c>
      <c r="B490" t="s">
        <v>131</v>
      </c>
      <c r="C490" s="1">
        <v>45747</v>
      </c>
      <c r="D490" t="s">
        <v>331</v>
      </c>
      <c r="E490" t="str">
        <f>"70610010"</f>
        <v>70610010</v>
      </c>
      <c r="F490" t="s">
        <v>180</v>
      </c>
      <c r="G490" t="s">
        <v>341</v>
      </c>
      <c r="H490" t="s">
        <v>349</v>
      </c>
      <c r="I490">
        <v>0</v>
      </c>
      <c r="J490" t="s">
        <v>343</v>
      </c>
      <c r="L490">
        <v>1340000</v>
      </c>
      <c r="N490">
        <v>1340000</v>
      </c>
    </row>
    <row r="491" spans="1:14" x14ac:dyDescent="0.35">
      <c r="A491" t="str">
        <f t="shared" si="13"/>
        <v>VTE45747FMT250049147310100</v>
      </c>
      <c r="B491" t="s">
        <v>131</v>
      </c>
      <c r="C491" s="1">
        <v>45747</v>
      </c>
      <c r="D491" t="s">
        <v>332</v>
      </c>
      <c r="E491" t="str">
        <f>"47310100"</f>
        <v>47310100</v>
      </c>
      <c r="F491" t="s">
        <v>148</v>
      </c>
      <c r="G491" t="s">
        <v>341</v>
      </c>
      <c r="H491" t="s">
        <v>351</v>
      </c>
      <c r="I491">
        <v>0</v>
      </c>
      <c r="J491" t="s">
        <v>343</v>
      </c>
      <c r="L491">
        <v>442500</v>
      </c>
      <c r="N491">
        <v>442500</v>
      </c>
    </row>
    <row r="492" spans="1:14" x14ac:dyDescent="0.35">
      <c r="A492" t="str">
        <f t="shared" si="13"/>
        <v>VTE45747FMT250049170610010</v>
      </c>
      <c r="B492" t="s">
        <v>131</v>
      </c>
      <c r="C492" s="1">
        <v>45747</v>
      </c>
      <c r="D492" t="s">
        <v>332</v>
      </c>
      <c r="E492" t="str">
        <f>"70610010"</f>
        <v>70610010</v>
      </c>
      <c r="F492" t="s">
        <v>148</v>
      </c>
      <c r="G492" t="s">
        <v>341</v>
      </c>
      <c r="H492" t="s">
        <v>349</v>
      </c>
      <c r="I492">
        <v>0</v>
      </c>
      <c r="J492" t="s">
        <v>343</v>
      </c>
      <c r="L492">
        <v>1254000</v>
      </c>
      <c r="N492">
        <v>1254000</v>
      </c>
    </row>
    <row r="493" spans="1:14" x14ac:dyDescent="0.35">
      <c r="A493" t="str">
        <f t="shared" si="13"/>
        <v>VTE45747FMT250049270610010</v>
      </c>
      <c r="B493" t="s">
        <v>131</v>
      </c>
      <c r="C493" s="1">
        <v>45747</v>
      </c>
      <c r="D493" t="s">
        <v>333</v>
      </c>
      <c r="E493" t="str">
        <f>"70610010"</f>
        <v>70610010</v>
      </c>
      <c r="F493" t="s">
        <v>154</v>
      </c>
      <c r="G493" t="s">
        <v>341</v>
      </c>
      <c r="H493" t="s">
        <v>349</v>
      </c>
      <c r="I493">
        <v>0</v>
      </c>
      <c r="J493" t="s">
        <v>343</v>
      </c>
      <c r="L493">
        <v>1980000</v>
      </c>
      <c r="N493">
        <v>1980000</v>
      </c>
    </row>
    <row r="494" spans="1:14" x14ac:dyDescent="0.35">
      <c r="A494" t="str">
        <f t="shared" si="13"/>
        <v>VTE45747FMT250049347310100</v>
      </c>
      <c r="B494" t="s">
        <v>131</v>
      </c>
      <c r="C494" s="1">
        <v>45747</v>
      </c>
      <c r="D494" t="s">
        <v>334</v>
      </c>
      <c r="E494" t="str">
        <f>"47310100"</f>
        <v>47310100</v>
      </c>
      <c r="F494" t="s">
        <v>307</v>
      </c>
      <c r="G494" t="s">
        <v>341</v>
      </c>
      <c r="H494" t="s">
        <v>351</v>
      </c>
      <c r="I494">
        <v>0</v>
      </c>
      <c r="J494" t="s">
        <v>343</v>
      </c>
      <c r="L494">
        <v>59000</v>
      </c>
      <c r="N494">
        <v>59000</v>
      </c>
    </row>
    <row r="495" spans="1:14" x14ac:dyDescent="0.35">
      <c r="A495" t="str">
        <f t="shared" si="13"/>
        <v>VTE45747FMT250049370610010</v>
      </c>
      <c r="B495" t="s">
        <v>131</v>
      </c>
      <c r="C495" s="1">
        <v>45747</v>
      </c>
      <c r="D495" t="s">
        <v>334</v>
      </c>
      <c r="E495" t="str">
        <f>"70610010"</f>
        <v>70610010</v>
      </c>
      <c r="F495" t="s">
        <v>307</v>
      </c>
      <c r="G495" t="s">
        <v>341</v>
      </c>
      <c r="H495" t="s">
        <v>349</v>
      </c>
      <c r="I495">
        <v>0</v>
      </c>
      <c r="J495" t="s">
        <v>343</v>
      </c>
      <c r="L495">
        <v>198000</v>
      </c>
      <c r="N495">
        <v>198000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68E26-C439-4504-8BB0-C4E7FD017CF5}">
  <dimension ref="A1:L371"/>
  <sheetViews>
    <sheetView workbookViewId="0">
      <selection sqref="A1:A1048576"/>
    </sheetView>
  </sheetViews>
  <sheetFormatPr baseColWidth="10"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6799</v>
      </c>
    </row>
    <row r="2" spans="1:12" x14ac:dyDescent="0.35">
      <c r="A2" t="s">
        <v>6019</v>
      </c>
      <c r="B2" s="1">
        <v>45717</v>
      </c>
      <c r="C2" t="s">
        <v>7569</v>
      </c>
      <c r="D2" t="s">
        <v>6020</v>
      </c>
      <c r="F2" t="s">
        <v>7338</v>
      </c>
      <c r="H2" t="s">
        <v>6021</v>
      </c>
      <c r="K2">
        <v>400000</v>
      </c>
      <c r="L2" t="s">
        <v>6803</v>
      </c>
    </row>
    <row r="3" spans="1:12" x14ac:dyDescent="0.35">
      <c r="A3" t="s">
        <v>6019</v>
      </c>
      <c r="B3" s="1">
        <v>45717</v>
      </c>
      <c r="C3" t="s">
        <v>7569</v>
      </c>
      <c r="D3" t="s">
        <v>6020</v>
      </c>
      <c r="F3" t="s">
        <v>7372</v>
      </c>
      <c r="H3" t="s">
        <v>6021</v>
      </c>
      <c r="J3">
        <v>400000</v>
      </c>
      <c r="L3" t="s">
        <v>6272</v>
      </c>
    </row>
    <row r="4" spans="1:12" x14ac:dyDescent="0.35">
      <c r="A4" t="s">
        <v>6019</v>
      </c>
      <c r="B4" s="1">
        <v>45717</v>
      </c>
      <c r="C4" t="s">
        <v>7570</v>
      </c>
      <c r="E4" t="s">
        <v>1201</v>
      </c>
      <c r="F4" t="s">
        <v>9939</v>
      </c>
      <c r="G4" t="s">
        <v>6022</v>
      </c>
      <c r="H4" t="s">
        <v>6023</v>
      </c>
      <c r="K4">
        <v>606104</v>
      </c>
      <c r="L4" t="s">
        <v>6803</v>
      </c>
    </row>
    <row r="5" spans="1:12" x14ac:dyDescent="0.35">
      <c r="A5" t="s">
        <v>6019</v>
      </c>
      <c r="B5" s="1">
        <v>45717</v>
      </c>
      <c r="C5" t="s">
        <v>7570</v>
      </c>
      <c r="E5" t="s">
        <v>1201</v>
      </c>
      <c r="F5" t="s">
        <v>7380</v>
      </c>
      <c r="H5" t="s">
        <v>6023</v>
      </c>
      <c r="J5">
        <v>606104</v>
      </c>
      <c r="L5" t="s">
        <v>6273</v>
      </c>
    </row>
    <row r="6" spans="1:12" x14ac:dyDescent="0.35">
      <c r="A6" t="s">
        <v>6019</v>
      </c>
      <c r="B6" s="1">
        <v>45717</v>
      </c>
      <c r="C6" t="s">
        <v>7573</v>
      </c>
      <c r="E6" t="s">
        <v>6024</v>
      </c>
      <c r="F6" t="s">
        <v>7338</v>
      </c>
      <c r="H6" t="s">
        <v>6025</v>
      </c>
      <c r="K6">
        <v>2420000</v>
      </c>
      <c r="L6" t="s">
        <v>6803</v>
      </c>
    </row>
    <row r="7" spans="1:12" x14ac:dyDescent="0.35">
      <c r="A7" t="s">
        <v>6019</v>
      </c>
      <c r="B7" s="1">
        <v>45717</v>
      </c>
      <c r="C7" t="s">
        <v>7573</v>
      </c>
      <c r="E7" t="s">
        <v>6024</v>
      </c>
      <c r="F7" t="s">
        <v>9940</v>
      </c>
      <c r="H7" t="s">
        <v>6025</v>
      </c>
      <c r="J7">
        <v>2420000</v>
      </c>
      <c r="L7" t="s">
        <v>6273</v>
      </c>
    </row>
    <row r="8" spans="1:12" x14ac:dyDescent="0.35">
      <c r="A8" t="s">
        <v>6019</v>
      </c>
      <c r="B8" s="1">
        <v>45717</v>
      </c>
      <c r="C8" t="s">
        <v>7575</v>
      </c>
      <c r="F8" t="s">
        <v>7338</v>
      </c>
      <c r="H8" t="s">
        <v>6026</v>
      </c>
      <c r="K8">
        <v>16000000</v>
      </c>
      <c r="L8" t="s">
        <v>6803</v>
      </c>
    </row>
    <row r="9" spans="1:12" x14ac:dyDescent="0.35">
      <c r="A9" t="s">
        <v>6019</v>
      </c>
      <c r="B9" s="1">
        <v>45717</v>
      </c>
      <c r="C9" t="s">
        <v>7575</v>
      </c>
      <c r="F9" t="s">
        <v>7320</v>
      </c>
      <c r="H9" t="s">
        <v>6026</v>
      </c>
      <c r="J9">
        <v>16000000</v>
      </c>
      <c r="L9" t="s">
        <v>6274</v>
      </c>
    </row>
    <row r="10" spans="1:12" x14ac:dyDescent="0.35">
      <c r="A10" t="s">
        <v>6019</v>
      </c>
      <c r="B10" s="1">
        <v>45717</v>
      </c>
      <c r="C10" t="s">
        <v>7576</v>
      </c>
      <c r="E10" t="s">
        <v>6027</v>
      </c>
      <c r="F10" t="s">
        <v>9939</v>
      </c>
      <c r="G10" t="s">
        <v>6028</v>
      </c>
      <c r="H10" t="s">
        <v>6029</v>
      </c>
      <c r="K10">
        <v>7600000</v>
      </c>
      <c r="L10" t="s">
        <v>6803</v>
      </c>
    </row>
    <row r="11" spans="1:12" x14ac:dyDescent="0.35">
      <c r="A11" t="s">
        <v>6019</v>
      </c>
      <c r="B11" s="1">
        <v>45717</v>
      </c>
      <c r="C11" t="s">
        <v>7576</v>
      </c>
      <c r="E11" t="s">
        <v>6027</v>
      </c>
      <c r="F11" t="s">
        <v>7554</v>
      </c>
      <c r="H11" t="s">
        <v>6029</v>
      </c>
      <c r="J11">
        <v>7600000</v>
      </c>
      <c r="L11" t="s">
        <v>6276</v>
      </c>
    </row>
    <row r="12" spans="1:12" x14ac:dyDescent="0.35">
      <c r="A12" t="s">
        <v>6019</v>
      </c>
      <c r="B12" s="1">
        <v>45717</v>
      </c>
      <c r="C12" t="s">
        <v>7577</v>
      </c>
      <c r="E12" t="s">
        <v>1239</v>
      </c>
      <c r="F12" t="s">
        <v>9939</v>
      </c>
      <c r="G12" t="s">
        <v>6030</v>
      </c>
      <c r="H12" t="s">
        <v>6031</v>
      </c>
      <c r="K12">
        <v>3950000</v>
      </c>
      <c r="L12" t="s">
        <v>6803</v>
      </c>
    </row>
    <row r="13" spans="1:12" x14ac:dyDescent="0.35">
      <c r="A13" t="s">
        <v>6019</v>
      </c>
      <c r="B13" s="1">
        <v>45717</v>
      </c>
      <c r="C13" t="s">
        <v>7577</v>
      </c>
      <c r="E13" t="s">
        <v>1239</v>
      </c>
      <c r="F13" t="s">
        <v>9941</v>
      </c>
      <c r="H13" t="s">
        <v>6031</v>
      </c>
      <c r="J13">
        <v>3950000</v>
      </c>
      <c r="L13" t="s">
        <v>6277</v>
      </c>
    </row>
    <row r="14" spans="1:12" x14ac:dyDescent="0.35">
      <c r="A14" t="s">
        <v>6019</v>
      </c>
      <c r="B14" s="1">
        <v>45717</v>
      </c>
      <c r="C14" t="s">
        <v>7607</v>
      </c>
      <c r="E14" t="s">
        <v>1239</v>
      </c>
      <c r="F14" t="s">
        <v>9939</v>
      </c>
      <c r="G14" t="s">
        <v>6030</v>
      </c>
      <c r="H14" t="s">
        <v>6031</v>
      </c>
      <c r="K14">
        <v>2250000</v>
      </c>
      <c r="L14" t="s">
        <v>6803</v>
      </c>
    </row>
    <row r="15" spans="1:12" x14ac:dyDescent="0.35">
      <c r="A15" t="s">
        <v>6019</v>
      </c>
      <c r="B15" s="1">
        <v>45717</v>
      </c>
      <c r="C15" t="s">
        <v>7607</v>
      </c>
      <c r="E15" t="s">
        <v>1239</v>
      </c>
      <c r="F15" t="s">
        <v>9941</v>
      </c>
      <c r="H15" t="s">
        <v>6031</v>
      </c>
      <c r="J15">
        <v>2250000</v>
      </c>
      <c r="L15" t="s">
        <v>6277</v>
      </c>
    </row>
    <row r="16" spans="1:12" x14ac:dyDescent="0.35">
      <c r="A16" t="s">
        <v>6019</v>
      </c>
      <c r="B16" s="1">
        <v>45717</v>
      </c>
      <c r="C16" t="s">
        <v>7173</v>
      </c>
      <c r="E16" t="s">
        <v>6032</v>
      </c>
      <c r="F16" t="s">
        <v>7338</v>
      </c>
      <c r="H16" t="s">
        <v>6033</v>
      </c>
      <c r="K16">
        <v>3861714</v>
      </c>
      <c r="L16" t="s">
        <v>6803</v>
      </c>
    </row>
    <row r="17" spans="1:12" x14ac:dyDescent="0.35">
      <c r="A17" t="s">
        <v>6019</v>
      </c>
      <c r="B17" s="1">
        <v>45717</v>
      </c>
      <c r="C17" t="s">
        <v>7173</v>
      </c>
      <c r="E17" t="s">
        <v>6032</v>
      </c>
      <c r="F17" t="s">
        <v>9912</v>
      </c>
      <c r="H17" t="s">
        <v>6033</v>
      </c>
      <c r="J17">
        <v>3861714</v>
      </c>
      <c r="L17" t="s">
        <v>6272</v>
      </c>
    </row>
    <row r="18" spans="1:12" x14ac:dyDescent="0.35">
      <c r="A18" t="s">
        <v>6019</v>
      </c>
      <c r="B18" s="1">
        <v>45718</v>
      </c>
      <c r="C18" t="s">
        <v>7613</v>
      </c>
      <c r="E18" t="s">
        <v>24</v>
      </c>
      <c r="F18" t="s">
        <v>9939</v>
      </c>
      <c r="G18" t="s">
        <v>6034</v>
      </c>
      <c r="H18" t="s">
        <v>25</v>
      </c>
      <c r="K18">
        <v>962500</v>
      </c>
      <c r="L18" t="s">
        <v>6803</v>
      </c>
    </row>
    <row r="19" spans="1:12" x14ac:dyDescent="0.35">
      <c r="A19" t="s">
        <v>6019</v>
      </c>
      <c r="B19" s="1">
        <v>45718</v>
      </c>
      <c r="C19" t="s">
        <v>7613</v>
      </c>
      <c r="E19" t="s">
        <v>24</v>
      </c>
      <c r="F19" t="s">
        <v>7355</v>
      </c>
      <c r="H19" t="s">
        <v>25</v>
      </c>
      <c r="J19">
        <v>962500</v>
      </c>
      <c r="L19" t="s">
        <v>347</v>
      </c>
    </row>
    <row r="20" spans="1:12" x14ac:dyDescent="0.35">
      <c r="A20" t="s">
        <v>6019</v>
      </c>
      <c r="B20" s="1">
        <v>45718</v>
      </c>
      <c r="C20" t="s">
        <v>7616</v>
      </c>
      <c r="E20" t="s">
        <v>6035</v>
      </c>
      <c r="F20" t="s">
        <v>9939</v>
      </c>
      <c r="G20" t="s">
        <v>6036</v>
      </c>
      <c r="H20" t="s">
        <v>6037</v>
      </c>
      <c r="K20">
        <v>10500000</v>
      </c>
      <c r="L20" t="s">
        <v>6803</v>
      </c>
    </row>
    <row r="21" spans="1:12" x14ac:dyDescent="0.35">
      <c r="A21" t="s">
        <v>6019</v>
      </c>
      <c r="B21" s="1">
        <v>45718</v>
      </c>
      <c r="C21" t="s">
        <v>7616</v>
      </c>
      <c r="E21" t="s">
        <v>6035</v>
      </c>
      <c r="F21" t="s">
        <v>7320</v>
      </c>
      <c r="H21" t="s">
        <v>6037</v>
      </c>
      <c r="J21">
        <v>10500000</v>
      </c>
      <c r="L21" t="s">
        <v>6278</v>
      </c>
    </row>
    <row r="22" spans="1:12" x14ac:dyDescent="0.35">
      <c r="A22" t="s">
        <v>26</v>
      </c>
      <c r="B22" s="1">
        <v>45717</v>
      </c>
      <c r="C22" t="s">
        <v>7486</v>
      </c>
      <c r="D22" t="s">
        <v>6038</v>
      </c>
      <c r="E22" t="s">
        <v>1773</v>
      </c>
      <c r="F22" t="s">
        <v>6804</v>
      </c>
      <c r="G22" t="s">
        <v>6036</v>
      </c>
      <c r="H22" t="s">
        <v>6039</v>
      </c>
      <c r="I22" s="1">
        <v>45717</v>
      </c>
      <c r="K22">
        <v>52500000</v>
      </c>
      <c r="L22" t="s">
        <v>6803</v>
      </c>
    </row>
    <row r="23" spans="1:12" x14ac:dyDescent="0.35">
      <c r="A23" t="s">
        <v>26</v>
      </c>
      <c r="B23" s="1">
        <v>45717</v>
      </c>
      <c r="C23" t="s">
        <v>7486</v>
      </c>
      <c r="D23" t="s">
        <v>6038</v>
      </c>
      <c r="E23" t="s">
        <v>1773</v>
      </c>
      <c r="F23" t="s">
        <v>9939</v>
      </c>
      <c r="G23" t="s">
        <v>6036</v>
      </c>
      <c r="H23" t="s">
        <v>6039</v>
      </c>
      <c r="J23">
        <v>52500000</v>
      </c>
      <c r="L23" t="s">
        <v>6803</v>
      </c>
    </row>
    <row r="24" spans="1:12" x14ac:dyDescent="0.35">
      <c r="A24" t="s">
        <v>26</v>
      </c>
      <c r="B24" s="1">
        <v>45717</v>
      </c>
      <c r="C24" t="s">
        <v>7489</v>
      </c>
      <c r="D24" t="s">
        <v>6038</v>
      </c>
      <c r="E24" t="s">
        <v>1773</v>
      </c>
      <c r="F24" t="s">
        <v>6804</v>
      </c>
      <c r="G24" t="s">
        <v>6036</v>
      </c>
      <c r="H24" t="s">
        <v>6040</v>
      </c>
      <c r="I24" s="1">
        <v>45717</v>
      </c>
      <c r="K24">
        <v>-52500000</v>
      </c>
      <c r="L24" t="s">
        <v>6803</v>
      </c>
    </row>
    <row r="25" spans="1:12" x14ac:dyDescent="0.35">
      <c r="A25" t="s">
        <v>26</v>
      </c>
      <c r="B25" s="1">
        <v>45717</v>
      </c>
      <c r="C25" t="s">
        <v>7489</v>
      </c>
      <c r="D25" t="s">
        <v>6038</v>
      </c>
      <c r="E25" t="s">
        <v>1773</v>
      </c>
      <c r="F25" t="s">
        <v>9939</v>
      </c>
      <c r="G25" t="s">
        <v>6036</v>
      </c>
      <c r="H25" t="s">
        <v>6040</v>
      </c>
      <c r="J25">
        <v>-52500000</v>
      </c>
      <c r="L25" t="s">
        <v>6803</v>
      </c>
    </row>
    <row r="26" spans="1:12" x14ac:dyDescent="0.35">
      <c r="A26" t="s">
        <v>26</v>
      </c>
      <c r="B26" s="1">
        <v>45720</v>
      </c>
      <c r="C26" t="s">
        <v>7483</v>
      </c>
      <c r="D26" t="s">
        <v>6041</v>
      </c>
      <c r="E26" t="s">
        <v>9942</v>
      </c>
      <c r="F26" t="s">
        <v>6804</v>
      </c>
      <c r="G26" t="s">
        <v>6030</v>
      </c>
      <c r="H26" t="s">
        <v>6042</v>
      </c>
      <c r="I26" s="1">
        <v>45720</v>
      </c>
      <c r="K26">
        <v>4661000</v>
      </c>
      <c r="L26" t="s">
        <v>6803</v>
      </c>
    </row>
    <row r="27" spans="1:12" x14ac:dyDescent="0.35">
      <c r="A27" t="s">
        <v>26</v>
      </c>
      <c r="B27" s="1">
        <v>45720</v>
      </c>
      <c r="C27" t="s">
        <v>7483</v>
      </c>
      <c r="D27" t="s">
        <v>6041</v>
      </c>
      <c r="E27" t="s">
        <v>9942</v>
      </c>
      <c r="F27" t="s">
        <v>6819</v>
      </c>
      <c r="H27" t="s">
        <v>6042</v>
      </c>
      <c r="J27">
        <v>711000</v>
      </c>
      <c r="L27" t="s">
        <v>6803</v>
      </c>
    </row>
    <row r="28" spans="1:12" x14ac:dyDescent="0.35">
      <c r="A28" t="s">
        <v>26</v>
      </c>
      <c r="B28" s="1">
        <v>45720</v>
      </c>
      <c r="C28" t="s">
        <v>7483</v>
      </c>
      <c r="D28" t="s">
        <v>6041</v>
      </c>
      <c r="E28" t="s">
        <v>9942</v>
      </c>
      <c r="F28" t="s">
        <v>9939</v>
      </c>
      <c r="G28" t="s">
        <v>6030</v>
      </c>
      <c r="H28" t="s">
        <v>6042</v>
      </c>
      <c r="J28">
        <v>3950000</v>
      </c>
      <c r="L28" t="s">
        <v>6803</v>
      </c>
    </row>
    <row r="29" spans="1:12" x14ac:dyDescent="0.35">
      <c r="A29" t="s">
        <v>26</v>
      </c>
      <c r="B29" s="1">
        <v>45720</v>
      </c>
      <c r="C29" t="s">
        <v>7485</v>
      </c>
      <c r="D29" t="s">
        <v>6043</v>
      </c>
      <c r="E29" t="s">
        <v>9943</v>
      </c>
      <c r="F29" t="s">
        <v>6804</v>
      </c>
      <c r="G29" t="s">
        <v>6030</v>
      </c>
      <c r="H29" t="s">
        <v>6044</v>
      </c>
      <c r="I29" s="1">
        <v>45720</v>
      </c>
      <c r="K29">
        <v>2655000</v>
      </c>
      <c r="L29" t="s">
        <v>6803</v>
      </c>
    </row>
    <row r="30" spans="1:12" x14ac:dyDescent="0.35">
      <c r="A30" t="s">
        <v>26</v>
      </c>
      <c r="B30" s="1">
        <v>45720</v>
      </c>
      <c r="C30" t="s">
        <v>7485</v>
      </c>
      <c r="D30" t="s">
        <v>6043</v>
      </c>
      <c r="E30" t="s">
        <v>9943</v>
      </c>
      <c r="F30" t="s">
        <v>6819</v>
      </c>
      <c r="H30" t="s">
        <v>6044</v>
      </c>
      <c r="J30">
        <v>405000</v>
      </c>
      <c r="L30" t="s">
        <v>6803</v>
      </c>
    </row>
    <row r="31" spans="1:12" x14ac:dyDescent="0.35">
      <c r="A31" t="s">
        <v>26</v>
      </c>
      <c r="B31" s="1">
        <v>45720</v>
      </c>
      <c r="C31" t="s">
        <v>7485</v>
      </c>
      <c r="D31" t="s">
        <v>6043</v>
      </c>
      <c r="E31" t="s">
        <v>9943</v>
      </c>
      <c r="F31" t="s">
        <v>9939</v>
      </c>
      <c r="G31" t="s">
        <v>6030</v>
      </c>
      <c r="H31" t="s">
        <v>6044</v>
      </c>
      <c r="J31">
        <v>2250000</v>
      </c>
      <c r="L31" t="s">
        <v>6803</v>
      </c>
    </row>
    <row r="32" spans="1:12" x14ac:dyDescent="0.35">
      <c r="A32" t="s">
        <v>26</v>
      </c>
      <c r="B32" s="1">
        <v>45720</v>
      </c>
      <c r="C32" t="s">
        <v>7593</v>
      </c>
      <c r="D32" t="s">
        <v>6045</v>
      </c>
      <c r="E32" t="s">
        <v>9944</v>
      </c>
      <c r="F32" t="s">
        <v>6804</v>
      </c>
      <c r="G32" t="s">
        <v>6030</v>
      </c>
      <c r="H32" t="s">
        <v>6046</v>
      </c>
      <c r="I32" s="1">
        <v>45720</v>
      </c>
      <c r="K32">
        <v>106200</v>
      </c>
      <c r="L32" t="s">
        <v>6803</v>
      </c>
    </row>
    <row r="33" spans="1:12" x14ac:dyDescent="0.35">
      <c r="A33" t="s">
        <v>26</v>
      </c>
      <c r="B33" s="1">
        <v>45720</v>
      </c>
      <c r="C33" t="s">
        <v>7593</v>
      </c>
      <c r="D33" t="s">
        <v>6045</v>
      </c>
      <c r="E33" t="s">
        <v>9944</v>
      </c>
      <c r="F33" t="s">
        <v>6819</v>
      </c>
      <c r="H33" t="s">
        <v>6046</v>
      </c>
      <c r="J33">
        <v>16200</v>
      </c>
      <c r="L33" t="s">
        <v>6803</v>
      </c>
    </row>
    <row r="34" spans="1:12" x14ac:dyDescent="0.35">
      <c r="A34" t="s">
        <v>26</v>
      </c>
      <c r="B34" s="1">
        <v>45720</v>
      </c>
      <c r="C34" t="s">
        <v>7593</v>
      </c>
      <c r="D34" t="s">
        <v>6045</v>
      </c>
      <c r="E34" t="s">
        <v>9944</v>
      </c>
      <c r="F34" t="s">
        <v>9941</v>
      </c>
      <c r="H34" t="s">
        <v>6046</v>
      </c>
      <c r="J34">
        <v>90000</v>
      </c>
      <c r="L34" t="s">
        <v>6272</v>
      </c>
    </row>
    <row r="35" spans="1:12" x14ac:dyDescent="0.35">
      <c r="A35" t="s">
        <v>26</v>
      </c>
      <c r="B35" s="1">
        <v>45720</v>
      </c>
      <c r="C35" t="s">
        <v>7596</v>
      </c>
      <c r="D35" t="s">
        <v>6047</v>
      </c>
      <c r="E35" t="s">
        <v>9945</v>
      </c>
      <c r="F35" t="s">
        <v>6804</v>
      </c>
      <c r="G35" t="s">
        <v>6030</v>
      </c>
      <c r="H35" t="s">
        <v>6048</v>
      </c>
      <c r="I35" s="1">
        <v>45720</v>
      </c>
      <c r="K35">
        <v>66080</v>
      </c>
      <c r="L35" t="s">
        <v>6803</v>
      </c>
    </row>
    <row r="36" spans="1:12" x14ac:dyDescent="0.35">
      <c r="A36" t="s">
        <v>26</v>
      </c>
      <c r="B36" s="1">
        <v>45720</v>
      </c>
      <c r="C36" t="s">
        <v>7596</v>
      </c>
      <c r="D36" t="s">
        <v>6047</v>
      </c>
      <c r="E36" t="s">
        <v>9945</v>
      </c>
      <c r="F36" t="s">
        <v>6819</v>
      </c>
      <c r="H36" t="s">
        <v>6048</v>
      </c>
      <c r="J36">
        <v>10080</v>
      </c>
      <c r="L36" t="s">
        <v>6803</v>
      </c>
    </row>
    <row r="37" spans="1:12" x14ac:dyDescent="0.35">
      <c r="A37" t="s">
        <v>26</v>
      </c>
      <c r="B37" s="1">
        <v>45720</v>
      </c>
      <c r="C37" t="s">
        <v>7596</v>
      </c>
      <c r="D37" t="s">
        <v>6047</v>
      </c>
      <c r="E37" t="s">
        <v>9945</v>
      </c>
      <c r="F37" t="s">
        <v>9941</v>
      </c>
      <c r="H37" t="s">
        <v>6048</v>
      </c>
      <c r="J37">
        <v>56000</v>
      </c>
      <c r="L37" t="s">
        <v>6272</v>
      </c>
    </row>
    <row r="38" spans="1:12" x14ac:dyDescent="0.35">
      <c r="A38" t="s">
        <v>26</v>
      </c>
      <c r="B38" s="1">
        <v>45722</v>
      </c>
      <c r="C38" t="s">
        <v>7598</v>
      </c>
      <c r="D38" t="s">
        <v>6049</v>
      </c>
      <c r="E38" t="s">
        <v>9946</v>
      </c>
      <c r="F38" t="s">
        <v>6804</v>
      </c>
      <c r="G38" t="s">
        <v>6028</v>
      </c>
      <c r="H38" t="s">
        <v>6050</v>
      </c>
      <c r="I38" s="1">
        <v>45722</v>
      </c>
      <c r="K38">
        <v>2800000</v>
      </c>
      <c r="L38" t="s">
        <v>6803</v>
      </c>
    </row>
    <row r="39" spans="1:12" x14ac:dyDescent="0.35">
      <c r="A39" t="s">
        <v>26</v>
      </c>
      <c r="B39" s="1">
        <v>45722</v>
      </c>
      <c r="C39" t="s">
        <v>7598</v>
      </c>
      <c r="D39" t="s">
        <v>6049</v>
      </c>
      <c r="E39" t="s">
        <v>9946</v>
      </c>
      <c r="F39" t="s">
        <v>9939</v>
      </c>
      <c r="G39" t="s">
        <v>6028</v>
      </c>
      <c r="H39" t="s">
        <v>6050</v>
      </c>
      <c r="J39">
        <v>2800000</v>
      </c>
      <c r="L39" t="s">
        <v>6803</v>
      </c>
    </row>
    <row r="40" spans="1:12" x14ac:dyDescent="0.35">
      <c r="A40" t="s">
        <v>26</v>
      </c>
      <c r="B40" s="1">
        <v>45722</v>
      </c>
      <c r="C40" t="s">
        <v>7599</v>
      </c>
      <c r="D40" t="s">
        <v>6051</v>
      </c>
      <c r="E40" t="s">
        <v>9947</v>
      </c>
      <c r="F40" t="s">
        <v>6804</v>
      </c>
      <c r="G40" t="s">
        <v>6028</v>
      </c>
      <c r="H40" t="s">
        <v>6050</v>
      </c>
      <c r="I40" s="1">
        <v>45722</v>
      </c>
      <c r="K40">
        <v>4800000</v>
      </c>
      <c r="L40" t="s">
        <v>6803</v>
      </c>
    </row>
    <row r="41" spans="1:12" x14ac:dyDescent="0.35">
      <c r="A41" t="s">
        <v>26</v>
      </c>
      <c r="B41" s="1">
        <v>45722</v>
      </c>
      <c r="C41" t="s">
        <v>7599</v>
      </c>
      <c r="D41" t="s">
        <v>6051</v>
      </c>
      <c r="E41" t="s">
        <v>9947</v>
      </c>
      <c r="F41" t="s">
        <v>9939</v>
      </c>
      <c r="G41" t="s">
        <v>6028</v>
      </c>
      <c r="H41" t="s">
        <v>6050</v>
      </c>
      <c r="J41">
        <v>4800000</v>
      </c>
      <c r="L41" t="s">
        <v>6803</v>
      </c>
    </row>
    <row r="42" spans="1:12" x14ac:dyDescent="0.35">
      <c r="A42" t="s">
        <v>26</v>
      </c>
      <c r="B42" s="1">
        <v>45723</v>
      </c>
      <c r="C42" t="s">
        <v>7491</v>
      </c>
      <c r="D42" t="s">
        <v>6052</v>
      </c>
      <c r="E42" t="s">
        <v>9948</v>
      </c>
      <c r="F42" t="s">
        <v>6804</v>
      </c>
      <c r="G42" t="s">
        <v>6053</v>
      </c>
      <c r="H42" t="s">
        <v>6054</v>
      </c>
      <c r="I42" s="1">
        <v>45722</v>
      </c>
      <c r="K42">
        <v>82600</v>
      </c>
      <c r="L42" t="s">
        <v>6803</v>
      </c>
    </row>
    <row r="43" spans="1:12" x14ac:dyDescent="0.35">
      <c r="A43" t="s">
        <v>26</v>
      </c>
      <c r="B43" s="1">
        <v>45723</v>
      </c>
      <c r="C43" t="s">
        <v>7491</v>
      </c>
      <c r="D43" t="s">
        <v>6052</v>
      </c>
      <c r="E43" t="s">
        <v>9948</v>
      </c>
      <c r="F43" t="s">
        <v>6819</v>
      </c>
      <c r="H43" t="s">
        <v>6054</v>
      </c>
      <c r="J43">
        <v>12600</v>
      </c>
      <c r="L43" t="s">
        <v>6803</v>
      </c>
    </row>
    <row r="44" spans="1:12" x14ac:dyDescent="0.35">
      <c r="A44" t="s">
        <v>26</v>
      </c>
      <c r="B44" s="1">
        <v>45723</v>
      </c>
      <c r="C44" t="s">
        <v>7491</v>
      </c>
      <c r="D44" t="s">
        <v>6052</v>
      </c>
      <c r="E44" t="s">
        <v>9948</v>
      </c>
      <c r="F44" t="s">
        <v>7760</v>
      </c>
      <c r="H44" t="s">
        <v>6054</v>
      </c>
      <c r="J44">
        <v>70000</v>
      </c>
      <c r="L44" t="s">
        <v>6275</v>
      </c>
    </row>
    <row r="45" spans="1:12" x14ac:dyDescent="0.35">
      <c r="A45" t="s">
        <v>26</v>
      </c>
      <c r="B45" s="1">
        <v>45723</v>
      </c>
      <c r="C45" t="s">
        <v>7493</v>
      </c>
      <c r="D45" t="s">
        <v>6055</v>
      </c>
      <c r="E45" t="s">
        <v>9949</v>
      </c>
      <c r="F45" t="s">
        <v>6804</v>
      </c>
      <c r="G45" t="s">
        <v>6053</v>
      </c>
      <c r="H45" t="s">
        <v>6056</v>
      </c>
      <c r="I45" s="1">
        <v>45723</v>
      </c>
      <c r="K45">
        <v>494538</v>
      </c>
      <c r="L45" t="s">
        <v>6803</v>
      </c>
    </row>
    <row r="46" spans="1:12" x14ac:dyDescent="0.35">
      <c r="A46" t="s">
        <v>26</v>
      </c>
      <c r="B46" s="1">
        <v>45723</v>
      </c>
      <c r="C46" t="s">
        <v>7493</v>
      </c>
      <c r="D46" t="s">
        <v>6055</v>
      </c>
      <c r="E46" t="s">
        <v>9949</v>
      </c>
      <c r="F46" t="s">
        <v>6819</v>
      </c>
      <c r="H46" t="s">
        <v>6056</v>
      </c>
      <c r="J46">
        <v>75438</v>
      </c>
      <c r="L46" t="s">
        <v>6803</v>
      </c>
    </row>
    <row r="47" spans="1:12" x14ac:dyDescent="0.35">
      <c r="A47" t="s">
        <v>26</v>
      </c>
      <c r="B47" s="1">
        <v>45723</v>
      </c>
      <c r="C47" t="s">
        <v>7493</v>
      </c>
      <c r="D47" t="s">
        <v>6055</v>
      </c>
      <c r="E47" t="s">
        <v>9949</v>
      </c>
      <c r="F47" t="s">
        <v>7760</v>
      </c>
      <c r="H47" t="s">
        <v>6056</v>
      </c>
      <c r="J47">
        <v>419100</v>
      </c>
      <c r="L47" t="s">
        <v>6279</v>
      </c>
    </row>
    <row r="48" spans="1:12" x14ac:dyDescent="0.35">
      <c r="A48" t="s">
        <v>26</v>
      </c>
      <c r="B48" s="1">
        <v>45723</v>
      </c>
      <c r="C48" t="s">
        <v>7551</v>
      </c>
      <c r="D48" t="s">
        <v>6057</v>
      </c>
      <c r="E48" t="s">
        <v>9950</v>
      </c>
      <c r="F48" t="s">
        <v>6804</v>
      </c>
      <c r="G48" t="s">
        <v>6058</v>
      </c>
      <c r="H48" t="s">
        <v>6059</v>
      </c>
      <c r="I48" s="1">
        <v>45723</v>
      </c>
      <c r="K48">
        <v>303897</v>
      </c>
      <c r="L48" t="s">
        <v>6803</v>
      </c>
    </row>
    <row r="49" spans="1:12" x14ac:dyDescent="0.35">
      <c r="A49" t="s">
        <v>26</v>
      </c>
      <c r="B49" s="1">
        <v>45723</v>
      </c>
      <c r="C49" t="s">
        <v>7551</v>
      </c>
      <c r="D49" t="s">
        <v>6057</v>
      </c>
      <c r="E49" t="s">
        <v>9950</v>
      </c>
      <c r="F49" t="s">
        <v>6819</v>
      </c>
      <c r="H49" t="s">
        <v>6059</v>
      </c>
      <c r="J49">
        <v>46357</v>
      </c>
      <c r="L49" t="s">
        <v>6803</v>
      </c>
    </row>
    <row r="50" spans="1:12" x14ac:dyDescent="0.35">
      <c r="A50" t="s">
        <v>26</v>
      </c>
      <c r="B50" s="1">
        <v>45723</v>
      </c>
      <c r="C50" t="s">
        <v>7551</v>
      </c>
      <c r="D50" t="s">
        <v>6057</v>
      </c>
      <c r="E50" t="s">
        <v>9950</v>
      </c>
      <c r="F50" t="s">
        <v>7789</v>
      </c>
      <c r="H50" t="s">
        <v>6059</v>
      </c>
      <c r="J50">
        <v>257540</v>
      </c>
      <c r="L50" t="s">
        <v>6279</v>
      </c>
    </row>
    <row r="51" spans="1:12" x14ac:dyDescent="0.35">
      <c r="A51" t="s">
        <v>26</v>
      </c>
      <c r="B51" s="1">
        <v>45726</v>
      </c>
      <c r="C51" t="s">
        <v>7600</v>
      </c>
      <c r="D51" t="s">
        <v>6060</v>
      </c>
      <c r="E51" t="s">
        <v>9951</v>
      </c>
      <c r="F51" t="s">
        <v>6804</v>
      </c>
      <c r="G51" t="s">
        <v>6061</v>
      </c>
      <c r="H51" t="s">
        <v>6062</v>
      </c>
      <c r="I51" s="1">
        <v>45726</v>
      </c>
      <c r="K51">
        <v>1323417</v>
      </c>
      <c r="L51" t="s">
        <v>6803</v>
      </c>
    </row>
    <row r="52" spans="1:12" x14ac:dyDescent="0.35">
      <c r="A52" t="s">
        <v>26</v>
      </c>
      <c r="B52" s="1">
        <v>45726</v>
      </c>
      <c r="C52" t="s">
        <v>7600</v>
      </c>
      <c r="D52" t="s">
        <v>6060</v>
      </c>
      <c r="E52" t="s">
        <v>9951</v>
      </c>
      <c r="F52" t="s">
        <v>6819</v>
      </c>
      <c r="H52" t="s">
        <v>6062</v>
      </c>
      <c r="J52">
        <v>196872</v>
      </c>
      <c r="L52" t="s">
        <v>6803</v>
      </c>
    </row>
    <row r="53" spans="1:12" x14ac:dyDescent="0.35">
      <c r="A53" t="s">
        <v>26</v>
      </c>
      <c r="B53" s="1">
        <v>45726</v>
      </c>
      <c r="C53" t="s">
        <v>7600</v>
      </c>
      <c r="D53" t="s">
        <v>6060</v>
      </c>
      <c r="E53" t="s">
        <v>9951</v>
      </c>
      <c r="F53" t="s">
        <v>8070</v>
      </c>
      <c r="H53" t="s">
        <v>6062</v>
      </c>
      <c r="J53">
        <v>1126545</v>
      </c>
      <c r="L53" t="s">
        <v>6279</v>
      </c>
    </row>
    <row r="54" spans="1:12" x14ac:dyDescent="0.35">
      <c r="A54" t="s">
        <v>26</v>
      </c>
      <c r="B54" s="1">
        <v>45726</v>
      </c>
      <c r="C54" t="s">
        <v>7601</v>
      </c>
      <c r="D54" t="s">
        <v>6063</v>
      </c>
      <c r="E54" t="s">
        <v>9952</v>
      </c>
      <c r="F54" t="s">
        <v>6804</v>
      </c>
      <c r="G54" t="s">
        <v>6061</v>
      </c>
      <c r="H54" t="s">
        <v>6064</v>
      </c>
      <c r="I54" s="1">
        <v>45726</v>
      </c>
      <c r="K54">
        <v>369141</v>
      </c>
      <c r="L54" t="s">
        <v>6803</v>
      </c>
    </row>
    <row r="55" spans="1:12" x14ac:dyDescent="0.35">
      <c r="A55" t="s">
        <v>26</v>
      </c>
      <c r="B55" s="1">
        <v>45726</v>
      </c>
      <c r="C55" t="s">
        <v>7601</v>
      </c>
      <c r="D55" t="s">
        <v>6063</v>
      </c>
      <c r="E55" t="s">
        <v>9952</v>
      </c>
      <c r="F55" t="s">
        <v>6819</v>
      </c>
      <c r="H55" t="s">
        <v>6064</v>
      </c>
      <c r="J55">
        <v>54914</v>
      </c>
      <c r="L55" t="s">
        <v>6803</v>
      </c>
    </row>
    <row r="56" spans="1:12" x14ac:dyDescent="0.35">
      <c r="A56" t="s">
        <v>26</v>
      </c>
      <c r="B56" s="1">
        <v>45726</v>
      </c>
      <c r="C56" t="s">
        <v>7601</v>
      </c>
      <c r="D56" t="s">
        <v>6063</v>
      </c>
      <c r="E56" t="s">
        <v>9952</v>
      </c>
      <c r="F56" t="s">
        <v>8070</v>
      </c>
      <c r="H56" t="s">
        <v>6064</v>
      </c>
      <c r="J56">
        <v>314227</v>
      </c>
      <c r="L56" t="s">
        <v>6279</v>
      </c>
    </row>
    <row r="57" spans="1:12" x14ac:dyDescent="0.35">
      <c r="A57" t="s">
        <v>26</v>
      </c>
      <c r="B57" s="1">
        <v>45726</v>
      </c>
      <c r="C57" t="s">
        <v>7603</v>
      </c>
      <c r="D57" t="s">
        <v>6065</v>
      </c>
      <c r="E57" t="s">
        <v>9953</v>
      </c>
      <c r="F57" t="s">
        <v>6804</v>
      </c>
      <c r="G57" t="s">
        <v>6066</v>
      </c>
      <c r="H57" t="s">
        <v>6067</v>
      </c>
      <c r="I57" s="1">
        <v>45726</v>
      </c>
      <c r="K57">
        <v>182633</v>
      </c>
      <c r="L57" t="s">
        <v>6803</v>
      </c>
    </row>
    <row r="58" spans="1:12" x14ac:dyDescent="0.35">
      <c r="A58" t="s">
        <v>26</v>
      </c>
      <c r="B58" s="1">
        <v>45726</v>
      </c>
      <c r="C58" t="s">
        <v>7603</v>
      </c>
      <c r="D58" t="s">
        <v>6065</v>
      </c>
      <c r="E58" t="s">
        <v>9953</v>
      </c>
      <c r="F58" t="s">
        <v>6806</v>
      </c>
      <c r="H58" t="s">
        <v>6067</v>
      </c>
      <c r="J58">
        <v>27859</v>
      </c>
      <c r="L58" t="s">
        <v>6803</v>
      </c>
    </row>
    <row r="59" spans="1:12" x14ac:dyDescent="0.35">
      <c r="A59" t="s">
        <v>26</v>
      </c>
      <c r="B59" s="1">
        <v>45726</v>
      </c>
      <c r="C59" t="s">
        <v>7603</v>
      </c>
      <c r="D59" t="s">
        <v>6065</v>
      </c>
      <c r="E59" t="s">
        <v>9953</v>
      </c>
      <c r="F59" t="s">
        <v>9916</v>
      </c>
      <c r="H59" t="s">
        <v>6067</v>
      </c>
      <c r="J59">
        <v>154774</v>
      </c>
      <c r="L59" t="s">
        <v>6279</v>
      </c>
    </row>
    <row r="60" spans="1:12" x14ac:dyDescent="0.35">
      <c r="A60" t="s">
        <v>26</v>
      </c>
      <c r="B60" s="1">
        <v>45726</v>
      </c>
      <c r="C60" t="s">
        <v>7559</v>
      </c>
      <c r="D60" t="s">
        <v>6068</v>
      </c>
      <c r="E60" t="s">
        <v>9954</v>
      </c>
      <c r="F60" t="s">
        <v>6804</v>
      </c>
      <c r="G60" t="s">
        <v>6069</v>
      </c>
      <c r="H60" t="s">
        <v>6070</v>
      </c>
      <c r="I60" s="1">
        <v>45726</v>
      </c>
      <c r="K60">
        <v>200010</v>
      </c>
      <c r="L60" t="s">
        <v>6803</v>
      </c>
    </row>
    <row r="61" spans="1:12" x14ac:dyDescent="0.35">
      <c r="A61" t="s">
        <v>26</v>
      </c>
      <c r="B61" s="1">
        <v>45726</v>
      </c>
      <c r="C61" t="s">
        <v>7559</v>
      </c>
      <c r="D61" t="s">
        <v>6068</v>
      </c>
      <c r="E61" t="s">
        <v>9954</v>
      </c>
      <c r="F61" t="s">
        <v>6806</v>
      </c>
      <c r="H61" t="s">
        <v>6070</v>
      </c>
      <c r="J61">
        <v>30510</v>
      </c>
      <c r="L61" t="s">
        <v>6803</v>
      </c>
    </row>
    <row r="62" spans="1:12" x14ac:dyDescent="0.35">
      <c r="A62" t="s">
        <v>26</v>
      </c>
      <c r="B62" s="1">
        <v>45726</v>
      </c>
      <c r="C62" t="s">
        <v>7559</v>
      </c>
      <c r="D62" t="s">
        <v>6068</v>
      </c>
      <c r="E62" t="s">
        <v>9954</v>
      </c>
      <c r="F62" t="s">
        <v>9916</v>
      </c>
      <c r="H62" t="s">
        <v>6070</v>
      </c>
      <c r="J62">
        <v>169500</v>
      </c>
      <c r="L62" t="s">
        <v>6279</v>
      </c>
    </row>
    <row r="63" spans="1:12" x14ac:dyDescent="0.35">
      <c r="A63" t="s">
        <v>26</v>
      </c>
      <c r="B63" s="1">
        <v>45726</v>
      </c>
      <c r="C63" t="s">
        <v>7622</v>
      </c>
      <c r="D63" t="s">
        <v>6071</v>
      </c>
      <c r="E63" t="s">
        <v>6072</v>
      </c>
      <c r="F63" t="s">
        <v>6819</v>
      </c>
      <c r="H63" t="s">
        <v>6073</v>
      </c>
      <c r="J63">
        <v>27720</v>
      </c>
      <c r="L63" t="s">
        <v>6803</v>
      </c>
    </row>
    <row r="64" spans="1:12" x14ac:dyDescent="0.35">
      <c r="A64" t="s">
        <v>26</v>
      </c>
      <c r="B64" s="1">
        <v>45726</v>
      </c>
      <c r="C64" t="s">
        <v>7622</v>
      </c>
      <c r="D64" t="s">
        <v>6071</v>
      </c>
      <c r="E64" t="s">
        <v>6072</v>
      </c>
      <c r="F64" t="s">
        <v>9955</v>
      </c>
      <c r="G64" t="s">
        <v>6074</v>
      </c>
      <c r="H64" t="s">
        <v>6073</v>
      </c>
      <c r="K64">
        <v>797720</v>
      </c>
      <c r="L64" t="s">
        <v>6803</v>
      </c>
    </row>
    <row r="65" spans="1:12" x14ac:dyDescent="0.35">
      <c r="A65" t="s">
        <v>26</v>
      </c>
      <c r="B65" s="1">
        <v>45726</v>
      </c>
      <c r="C65" t="s">
        <v>7622</v>
      </c>
      <c r="D65" t="s">
        <v>6071</v>
      </c>
      <c r="E65" t="s">
        <v>6072</v>
      </c>
      <c r="F65" t="s">
        <v>7760</v>
      </c>
      <c r="H65" t="s">
        <v>6073</v>
      </c>
      <c r="J65">
        <v>770000</v>
      </c>
      <c r="L65" t="s">
        <v>6274</v>
      </c>
    </row>
    <row r="66" spans="1:12" x14ac:dyDescent="0.35">
      <c r="A66" t="s">
        <v>26</v>
      </c>
      <c r="B66" s="1">
        <v>45726</v>
      </c>
      <c r="C66" t="s">
        <v>7625</v>
      </c>
      <c r="D66" t="s">
        <v>6071</v>
      </c>
      <c r="E66" t="s">
        <v>6072</v>
      </c>
      <c r="F66" t="s">
        <v>6819</v>
      </c>
      <c r="H66" t="s">
        <v>6075</v>
      </c>
      <c r="J66">
        <v>-27720</v>
      </c>
      <c r="L66" t="s">
        <v>6803</v>
      </c>
    </row>
    <row r="67" spans="1:12" x14ac:dyDescent="0.35">
      <c r="A67" t="s">
        <v>26</v>
      </c>
      <c r="B67" s="1">
        <v>45726</v>
      </c>
      <c r="C67" t="s">
        <v>7625</v>
      </c>
      <c r="D67" t="s">
        <v>6071</v>
      </c>
      <c r="E67" t="s">
        <v>6072</v>
      </c>
      <c r="F67" t="s">
        <v>9955</v>
      </c>
      <c r="G67" t="s">
        <v>6074</v>
      </c>
      <c r="H67" t="s">
        <v>6075</v>
      </c>
      <c r="K67">
        <v>-797720</v>
      </c>
      <c r="L67" t="s">
        <v>6803</v>
      </c>
    </row>
    <row r="68" spans="1:12" x14ac:dyDescent="0.35">
      <c r="A68" t="s">
        <v>26</v>
      </c>
      <c r="B68" s="1">
        <v>45726</v>
      </c>
      <c r="C68" t="s">
        <v>7625</v>
      </c>
      <c r="D68" t="s">
        <v>6071</v>
      </c>
      <c r="E68" t="s">
        <v>6072</v>
      </c>
      <c r="F68" t="s">
        <v>7760</v>
      </c>
      <c r="H68" t="s">
        <v>6075</v>
      </c>
      <c r="J68">
        <v>-770000</v>
      </c>
      <c r="L68" t="s">
        <v>6274</v>
      </c>
    </row>
    <row r="69" spans="1:12" x14ac:dyDescent="0.35">
      <c r="A69" t="s">
        <v>26</v>
      </c>
      <c r="B69" s="1">
        <v>45727</v>
      </c>
      <c r="C69" t="s">
        <v>7561</v>
      </c>
      <c r="D69" t="s">
        <v>6076</v>
      </c>
      <c r="E69" t="s">
        <v>6077</v>
      </c>
      <c r="F69" t="s">
        <v>6804</v>
      </c>
      <c r="G69" t="s">
        <v>6078</v>
      </c>
      <c r="H69" t="s">
        <v>6079</v>
      </c>
      <c r="I69" s="1">
        <v>45727</v>
      </c>
      <c r="K69">
        <v>7260000</v>
      </c>
      <c r="L69" t="s">
        <v>6803</v>
      </c>
    </row>
    <row r="70" spans="1:12" x14ac:dyDescent="0.35">
      <c r="A70" t="s">
        <v>26</v>
      </c>
      <c r="B70" s="1">
        <v>45727</v>
      </c>
      <c r="C70" t="s">
        <v>7561</v>
      </c>
      <c r="D70" t="s">
        <v>6076</v>
      </c>
      <c r="E70" t="s">
        <v>6077</v>
      </c>
      <c r="F70" t="s">
        <v>7338</v>
      </c>
      <c r="H70" t="s">
        <v>6079</v>
      </c>
      <c r="J70">
        <v>7260000</v>
      </c>
      <c r="L70" t="s">
        <v>6803</v>
      </c>
    </row>
    <row r="71" spans="1:12" x14ac:dyDescent="0.35">
      <c r="A71" t="s">
        <v>26</v>
      </c>
      <c r="B71" s="1">
        <v>45728</v>
      </c>
      <c r="C71" t="s">
        <v>7564</v>
      </c>
      <c r="D71" t="s">
        <v>6080</v>
      </c>
      <c r="E71" t="s">
        <v>6081</v>
      </c>
      <c r="F71" t="s">
        <v>6804</v>
      </c>
      <c r="G71" t="s">
        <v>6082</v>
      </c>
      <c r="H71" t="s">
        <v>6083</v>
      </c>
      <c r="I71" s="1">
        <v>45728</v>
      </c>
      <c r="K71">
        <v>1310333</v>
      </c>
      <c r="L71" t="s">
        <v>6803</v>
      </c>
    </row>
    <row r="72" spans="1:12" x14ac:dyDescent="0.35">
      <c r="A72" t="s">
        <v>26</v>
      </c>
      <c r="B72" s="1">
        <v>45728</v>
      </c>
      <c r="C72" t="s">
        <v>7564</v>
      </c>
      <c r="D72" t="s">
        <v>6080</v>
      </c>
      <c r="E72" t="s">
        <v>6081</v>
      </c>
      <c r="F72" t="s">
        <v>6819</v>
      </c>
      <c r="H72" t="s">
        <v>6083</v>
      </c>
      <c r="J72">
        <v>199881</v>
      </c>
      <c r="L72" t="s">
        <v>6803</v>
      </c>
    </row>
    <row r="73" spans="1:12" x14ac:dyDescent="0.35">
      <c r="A73" t="s">
        <v>26</v>
      </c>
      <c r="B73" s="1">
        <v>45728</v>
      </c>
      <c r="C73" t="s">
        <v>7564</v>
      </c>
      <c r="D73" t="s">
        <v>6080</v>
      </c>
      <c r="E73" t="s">
        <v>6081</v>
      </c>
      <c r="F73" t="s">
        <v>9956</v>
      </c>
      <c r="H73" t="s">
        <v>6083</v>
      </c>
      <c r="J73">
        <v>1110452</v>
      </c>
      <c r="L73" t="s">
        <v>6279</v>
      </c>
    </row>
    <row r="74" spans="1:12" x14ac:dyDescent="0.35">
      <c r="A74" t="s">
        <v>26</v>
      </c>
      <c r="B74" s="1">
        <v>45728</v>
      </c>
      <c r="C74" t="s">
        <v>7566</v>
      </c>
      <c r="D74" t="s">
        <v>6084</v>
      </c>
      <c r="E74" t="s">
        <v>6085</v>
      </c>
      <c r="F74" t="s">
        <v>6804</v>
      </c>
      <c r="G74" t="s">
        <v>6082</v>
      </c>
      <c r="H74" t="s">
        <v>6083</v>
      </c>
      <c r="I74" s="1">
        <v>45728</v>
      </c>
      <c r="K74">
        <v>14402962</v>
      </c>
      <c r="L74" t="s">
        <v>6803</v>
      </c>
    </row>
    <row r="75" spans="1:12" x14ac:dyDescent="0.35">
      <c r="A75" t="s">
        <v>26</v>
      </c>
      <c r="B75" s="1">
        <v>45728</v>
      </c>
      <c r="C75" t="s">
        <v>7566</v>
      </c>
      <c r="D75" t="s">
        <v>6084</v>
      </c>
      <c r="E75" t="s">
        <v>6085</v>
      </c>
      <c r="F75" t="s">
        <v>6819</v>
      </c>
      <c r="H75" t="s">
        <v>6083</v>
      </c>
      <c r="J75">
        <v>2197062</v>
      </c>
      <c r="L75" t="s">
        <v>6803</v>
      </c>
    </row>
    <row r="76" spans="1:12" x14ac:dyDescent="0.35">
      <c r="A76" t="s">
        <v>26</v>
      </c>
      <c r="B76" s="1">
        <v>45728</v>
      </c>
      <c r="C76" t="s">
        <v>7566</v>
      </c>
      <c r="D76" t="s">
        <v>6084</v>
      </c>
      <c r="E76" t="s">
        <v>6085</v>
      </c>
      <c r="F76" t="s">
        <v>9956</v>
      </c>
      <c r="H76" t="s">
        <v>6083</v>
      </c>
      <c r="J76">
        <v>12205900</v>
      </c>
      <c r="L76" t="s">
        <v>6279</v>
      </c>
    </row>
    <row r="77" spans="1:12" x14ac:dyDescent="0.35">
      <c r="A77" t="s">
        <v>26</v>
      </c>
      <c r="B77" s="1">
        <v>45729</v>
      </c>
      <c r="C77" t="s">
        <v>7569</v>
      </c>
      <c r="D77" t="s">
        <v>6086</v>
      </c>
      <c r="E77" t="s">
        <v>9957</v>
      </c>
      <c r="F77" t="s">
        <v>6804</v>
      </c>
      <c r="G77" t="s">
        <v>6087</v>
      </c>
      <c r="H77" t="s">
        <v>6088</v>
      </c>
      <c r="I77" s="1">
        <v>45734</v>
      </c>
      <c r="K77">
        <v>12141802</v>
      </c>
      <c r="L77" t="s">
        <v>6803</v>
      </c>
    </row>
    <row r="78" spans="1:12" x14ac:dyDescent="0.35">
      <c r="A78" t="s">
        <v>26</v>
      </c>
      <c r="B78" s="1">
        <v>45729</v>
      </c>
      <c r="C78" t="s">
        <v>7569</v>
      </c>
      <c r="D78" t="s">
        <v>6086</v>
      </c>
      <c r="E78" t="s">
        <v>9957</v>
      </c>
      <c r="F78" t="s">
        <v>6819</v>
      </c>
      <c r="H78" t="s">
        <v>6088</v>
      </c>
      <c r="J78">
        <v>1852139</v>
      </c>
      <c r="L78" t="s">
        <v>6803</v>
      </c>
    </row>
    <row r="79" spans="1:12" x14ac:dyDescent="0.35">
      <c r="A79" t="s">
        <v>26</v>
      </c>
      <c r="B79" s="1">
        <v>45729</v>
      </c>
      <c r="C79" t="s">
        <v>7569</v>
      </c>
      <c r="D79" t="s">
        <v>6086</v>
      </c>
      <c r="E79" t="s">
        <v>9957</v>
      </c>
      <c r="F79" t="s">
        <v>9956</v>
      </c>
      <c r="H79" t="s">
        <v>6088</v>
      </c>
      <c r="J79">
        <v>10289663</v>
      </c>
      <c r="L79" t="s">
        <v>6279</v>
      </c>
    </row>
    <row r="80" spans="1:12" x14ac:dyDescent="0.35">
      <c r="A80" t="s">
        <v>26</v>
      </c>
      <c r="B80" s="1">
        <v>45729</v>
      </c>
      <c r="C80" t="s">
        <v>7570</v>
      </c>
      <c r="D80" t="s">
        <v>6089</v>
      </c>
      <c r="E80" t="s">
        <v>9958</v>
      </c>
      <c r="F80" t="s">
        <v>6804</v>
      </c>
      <c r="G80" t="s">
        <v>6087</v>
      </c>
      <c r="H80" t="s">
        <v>6088</v>
      </c>
      <c r="I80" s="1">
        <v>45729</v>
      </c>
      <c r="K80">
        <v>803821</v>
      </c>
      <c r="L80" t="s">
        <v>6803</v>
      </c>
    </row>
    <row r="81" spans="1:12" x14ac:dyDescent="0.35">
      <c r="A81" t="s">
        <v>26</v>
      </c>
      <c r="B81" s="1">
        <v>45729</v>
      </c>
      <c r="C81" t="s">
        <v>7570</v>
      </c>
      <c r="D81" t="s">
        <v>6089</v>
      </c>
      <c r="E81" t="s">
        <v>9958</v>
      </c>
      <c r="F81" t="s">
        <v>6819</v>
      </c>
      <c r="H81" t="s">
        <v>6088</v>
      </c>
      <c r="J81">
        <v>122617</v>
      </c>
      <c r="L81" t="s">
        <v>6803</v>
      </c>
    </row>
    <row r="82" spans="1:12" x14ac:dyDescent="0.35">
      <c r="A82" t="s">
        <v>26</v>
      </c>
      <c r="B82" s="1">
        <v>45729</v>
      </c>
      <c r="C82" t="s">
        <v>7570</v>
      </c>
      <c r="D82" t="s">
        <v>6089</v>
      </c>
      <c r="E82" t="s">
        <v>9958</v>
      </c>
      <c r="F82" t="s">
        <v>9956</v>
      </c>
      <c r="H82" t="s">
        <v>6088</v>
      </c>
      <c r="J82">
        <v>681204</v>
      </c>
      <c r="L82" t="s">
        <v>6279</v>
      </c>
    </row>
    <row r="83" spans="1:12" x14ac:dyDescent="0.35">
      <c r="A83" t="s">
        <v>26</v>
      </c>
      <c r="B83" s="1">
        <v>45730</v>
      </c>
      <c r="C83" t="s">
        <v>7573</v>
      </c>
      <c r="D83" t="s">
        <v>6090</v>
      </c>
      <c r="E83" t="s">
        <v>6091</v>
      </c>
      <c r="F83" t="s">
        <v>6804</v>
      </c>
      <c r="G83" t="s">
        <v>6092</v>
      </c>
      <c r="H83" t="s">
        <v>6093</v>
      </c>
      <c r="I83" s="1">
        <v>45730</v>
      </c>
      <c r="K83">
        <v>1180944</v>
      </c>
      <c r="L83" t="s">
        <v>6803</v>
      </c>
    </row>
    <row r="84" spans="1:12" x14ac:dyDescent="0.35">
      <c r="A84" t="s">
        <v>26</v>
      </c>
      <c r="B84" s="1">
        <v>45730</v>
      </c>
      <c r="C84" t="s">
        <v>7573</v>
      </c>
      <c r="D84" t="s">
        <v>6090</v>
      </c>
      <c r="E84" t="s">
        <v>6091</v>
      </c>
      <c r="F84" t="s">
        <v>6819</v>
      </c>
      <c r="H84" t="s">
        <v>6093</v>
      </c>
      <c r="J84">
        <v>180144</v>
      </c>
      <c r="L84" t="s">
        <v>6803</v>
      </c>
    </row>
    <row r="85" spans="1:12" x14ac:dyDescent="0.35">
      <c r="A85" t="s">
        <v>26</v>
      </c>
      <c r="B85" s="1">
        <v>45730</v>
      </c>
      <c r="C85" t="s">
        <v>7573</v>
      </c>
      <c r="D85" t="s">
        <v>6090</v>
      </c>
      <c r="E85" t="s">
        <v>6091</v>
      </c>
      <c r="F85" t="s">
        <v>7789</v>
      </c>
      <c r="H85" t="s">
        <v>6093</v>
      </c>
      <c r="J85">
        <v>1000800</v>
      </c>
      <c r="L85" t="s">
        <v>6272</v>
      </c>
    </row>
    <row r="86" spans="1:12" x14ac:dyDescent="0.35">
      <c r="A86" t="s">
        <v>26</v>
      </c>
      <c r="B86" s="1">
        <v>45730</v>
      </c>
      <c r="C86" t="s">
        <v>7575</v>
      </c>
      <c r="D86" t="s">
        <v>6094</v>
      </c>
      <c r="E86" t="s">
        <v>9959</v>
      </c>
      <c r="F86" t="s">
        <v>6804</v>
      </c>
      <c r="G86" t="s">
        <v>6095</v>
      </c>
      <c r="H86" t="s">
        <v>6096</v>
      </c>
      <c r="I86" s="1">
        <v>45730</v>
      </c>
      <c r="K86">
        <v>944005</v>
      </c>
      <c r="L86" t="s">
        <v>6803</v>
      </c>
    </row>
    <row r="87" spans="1:12" x14ac:dyDescent="0.35">
      <c r="A87" t="s">
        <v>26</v>
      </c>
      <c r="B87" s="1">
        <v>45730</v>
      </c>
      <c r="C87" t="s">
        <v>7575</v>
      </c>
      <c r="D87" t="s">
        <v>6094</v>
      </c>
      <c r="E87" t="s">
        <v>9959</v>
      </c>
      <c r="F87" t="s">
        <v>6806</v>
      </c>
      <c r="H87" t="s">
        <v>6096</v>
      </c>
      <c r="J87">
        <v>144001</v>
      </c>
      <c r="L87" t="s">
        <v>6803</v>
      </c>
    </row>
    <row r="88" spans="1:12" x14ac:dyDescent="0.35">
      <c r="A88" t="s">
        <v>26</v>
      </c>
      <c r="B88" s="1">
        <v>45730</v>
      </c>
      <c r="C88" t="s">
        <v>7575</v>
      </c>
      <c r="D88" t="s">
        <v>6094</v>
      </c>
      <c r="E88" t="s">
        <v>9959</v>
      </c>
      <c r="F88" t="s">
        <v>9960</v>
      </c>
      <c r="H88" t="s">
        <v>6096</v>
      </c>
      <c r="J88">
        <v>800004</v>
      </c>
      <c r="L88" t="s">
        <v>6279</v>
      </c>
    </row>
    <row r="89" spans="1:12" x14ac:dyDescent="0.35">
      <c r="A89" t="s">
        <v>26</v>
      </c>
      <c r="B89" s="1">
        <v>45730</v>
      </c>
      <c r="C89" t="s">
        <v>7576</v>
      </c>
      <c r="D89" t="s">
        <v>6097</v>
      </c>
      <c r="E89" t="s">
        <v>9961</v>
      </c>
      <c r="F89" t="s">
        <v>6804</v>
      </c>
      <c r="G89" t="s">
        <v>6095</v>
      </c>
      <c r="H89" t="s">
        <v>6098</v>
      </c>
      <c r="I89" s="1">
        <v>45730</v>
      </c>
      <c r="K89">
        <v>225498</v>
      </c>
      <c r="L89" t="s">
        <v>6803</v>
      </c>
    </row>
    <row r="90" spans="1:12" x14ac:dyDescent="0.35">
      <c r="A90" t="s">
        <v>26</v>
      </c>
      <c r="B90" s="1">
        <v>45730</v>
      </c>
      <c r="C90" t="s">
        <v>7576</v>
      </c>
      <c r="D90" t="s">
        <v>6097</v>
      </c>
      <c r="E90" t="s">
        <v>9961</v>
      </c>
      <c r="F90" t="s">
        <v>6806</v>
      </c>
      <c r="H90" t="s">
        <v>6098</v>
      </c>
      <c r="J90">
        <v>34398</v>
      </c>
      <c r="L90" t="s">
        <v>6803</v>
      </c>
    </row>
    <row r="91" spans="1:12" x14ac:dyDescent="0.35">
      <c r="A91" t="s">
        <v>26</v>
      </c>
      <c r="B91" s="1">
        <v>45730</v>
      </c>
      <c r="C91" t="s">
        <v>7576</v>
      </c>
      <c r="D91" t="s">
        <v>6097</v>
      </c>
      <c r="E91" t="s">
        <v>9961</v>
      </c>
      <c r="F91" t="s">
        <v>9960</v>
      </c>
      <c r="H91" t="s">
        <v>6098</v>
      </c>
      <c r="J91">
        <v>191100</v>
      </c>
      <c r="L91" t="s">
        <v>6279</v>
      </c>
    </row>
    <row r="92" spans="1:12" x14ac:dyDescent="0.35">
      <c r="A92" t="s">
        <v>26</v>
      </c>
      <c r="B92" s="1">
        <v>45730</v>
      </c>
      <c r="C92" t="s">
        <v>7577</v>
      </c>
      <c r="D92" t="s">
        <v>6099</v>
      </c>
      <c r="E92" t="s">
        <v>9962</v>
      </c>
      <c r="F92" t="s">
        <v>6804</v>
      </c>
      <c r="G92" t="s">
        <v>6095</v>
      </c>
      <c r="H92" t="s">
        <v>6096</v>
      </c>
      <c r="I92" s="1">
        <v>45730</v>
      </c>
      <c r="K92">
        <v>1776785</v>
      </c>
      <c r="L92" t="s">
        <v>6803</v>
      </c>
    </row>
    <row r="93" spans="1:12" x14ac:dyDescent="0.35">
      <c r="A93" t="s">
        <v>26</v>
      </c>
      <c r="B93" s="1">
        <v>45730</v>
      </c>
      <c r="C93" t="s">
        <v>7577</v>
      </c>
      <c r="D93" t="s">
        <v>6099</v>
      </c>
      <c r="E93" t="s">
        <v>9962</v>
      </c>
      <c r="F93" t="s">
        <v>6806</v>
      </c>
      <c r="H93" t="s">
        <v>6096</v>
      </c>
      <c r="J93">
        <v>271035</v>
      </c>
      <c r="L93" t="s">
        <v>6803</v>
      </c>
    </row>
    <row r="94" spans="1:12" x14ac:dyDescent="0.35">
      <c r="A94" t="s">
        <v>26</v>
      </c>
      <c r="B94" s="1">
        <v>45730</v>
      </c>
      <c r="C94" t="s">
        <v>7577</v>
      </c>
      <c r="D94" t="s">
        <v>6099</v>
      </c>
      <c r="E94" t="s">
        <v>9962</v>
      </c>
      <c r="F94" t="s">
        <v>9960</v>
      </c>
      <c r="H94" t="s">
        <v>6096</v>
      </c>
      <c r="J94">
        <v>1505750</v>
      </c>
      <c r="L94" t="s">
        <v>6279</v>
      </c>
    </row>
    <row r="95" spans="1:12" x14ac:dyDescent="0.35">
      <c r="A95" t="s">
        <v>26</v>
      </c>
      <c r="B95" s="1">
        <v>45734</v>
      </c>
      <c r="C95" t="s">
        <v>7549</v>
      </c>
      <c r="D95" t="s">
        <v>6100</v>
      </c>
      <c r="E95" t="s">
        <v>7531</v>
      </c>
      <c r="F95" t="s">
        <v>6804</v>
      </c>
      <c r="G95" t="s">
        <v>6101</v>
      </c>
      <c r="H95" t="s">
        <v>6102</v>
      </c>
      <c r="I95" s="1">
        <v>45734</v>
      </c>
      <c r="K95">
        <v>660805</v>
      </c>
      <c r="L95" t="s">
        <v>6803</v>
      </c>
    </row>
    <row r="96" spans="1:12" x14ac:dyDescent="0.35">
      <c r="A96" t="s">
        <v>26</v>
      </c>
      <c r="B96" s="1">
        <v>45734</v>
      </c>
      <c r="C96" t="s">
        <v>7549</v>
      </c>
      <c r="D96" t="s">
        <v>6100</v>
      </c>
      <c r="E96" t="s">
        <v>7531</v>
      </c>
      <c r="F96" t="s">
        <v>9940</v>
      </c>
      <c r="H96" t="s">
        <v>6102</v>
      </c>
      <c r="J96">
        <v>660805</v>
      </c>
      <c r="L96" t="s">
        <v>6280</v>
      </c>
    </row>
    <row r="97" spans="1:12" x14ac:dyDescent="0.35">
      <c r="A97" t="s">
        <v>26</v>
      </c>
      <c r="B97" s="1">
        <v>45736</v>
      </c>
      <c r="C97" t="s">
        <v>7607</v>
      </c>
      <c r="D97" t="s">
        <v>6103</v>
      </c>
      <c r="E97" t="s">
        <v>9963</v>
      </c>
      <c r="F97" t="s">
        <v>6804</v>
      </c>
      <c r="G97" t="s">
        <v>6104</v>
      </c>
      <c r="H97" t="s">
        <v>6105</v>
      </c>
      <c r="I97" s="1">
        <v>45736</v>
      </c>
      <c r="K97">
        <v>500000</v>
      </c>
      <c r="L97" t="s">
        <v>6803</v>
      </c>
    </row>
    <row r="98" spans="1:12" x14ac:dyDescent="0.35">
      <c r="A98" t="s">
        <v>26</v>
      </c>
      <c r="B98" s="1">
        <v>45736</v>
      </c>
      <c r="C98" t="s">
        <v>7607</v>
      </c>
      <c r="D98" t="s">
        <v>6103</v>
      </c>
      <c r="E98" t="s">
        <v>9963</v>
      </c>
      <c r="F98" t="s">
        <v>7556</v>
      </c>
      <c r="H98" t="s">
        <v>6105</v>
      </c>
      <c r="J98">
        <v>500000</v>
      </c>
      <c r="L98" t="s">
        <v>6275</v>
      </c>
    </row>
    <row r="99" spans="1:12" x14ac:dyDescent="0.35">
      <c r="A99" t="s">
        <v>26</v>
      </c>
      <c r="B99" s="1">
        <v>45736</v>
      </c>
      <c r="C99" t="s">
        <v>7173</v>
      </c>
      <c r="D99" t="s">
        <v>6106</v>
      </c>
      <c r="E99" t="s">
        <v>9964</v>
      </c>
      <c r="F99" t="s">
        <v>6804</v>
      </c>
      <c r="G99" t="s">
        <v>6107</v>
      </c>
      <c r="H99" t="s">
        <v>6108</v>
      </c>
      <c r="I99" s="1">
        <v>45736</v>
      </c>
      <c r="K99">
        <v>459880</v>
      </c>
      <c r="L99" t="s">
        <v>6803</v>
      </c>
    </row>
    <row r="100" spans="1:12" x14ac:dyDescent="0.35">
      <c r="A100" t="s">
        <v>26</v>
      </c>
      <c r="B100" s="1">
        <v>45736</v>
      </c>
      <c r="C100" t="s">
        <v>7173</v>
      </c>
      <c r="D100" t="s">
        <v>6106</v>
      </c>
      <c r="E100" t="s">
        <v>9964</v>
      </c>
      <c r="F100" t="s">
        <v>6819</v>
      </c>
      <c r="H100" t="s">
        <v>6108</v>
      </c>
      <c r="J100">
        <v>14400</v>
      </c>
      <c r="L100" t="s">
        <v>6803</v>
      </c>
    </row>
    <row r="101" spans="1:12" x14ac:dyDescent="0.35">
      <c r="A101" t="s">
        <v>26</v>
      </c>
      <c r="B101" s="1">
        <v>45736</v>
      </c>
      <c r="C101" t="s">
        <v>7173</v>
      </c>
      <c r="D101" t="s">
        <v>6106</v>
      </c>
      <c r="E101" t="s">
        <v>9964</v>
      </c>
      <c r="F101" t="s">
        <v>7760</v>
      </c>
      <c r="H101" t="s">
        <v>6108</v>
      </c>
      <c r="J101">
        <v>445480</v>
      </c>
      <c r="L101" t="s">
        <v>6279</v>
      </c>
    </row>
    <row r="102" spans="1:12" x14ac:dyDescent="0.35">
      <c r="A102" t="s">
        <v>26</v>
      </c>
      <c r="B102" s="1">
        <v>45741</v>
      </c>
      <c r="C102" t="s">
        <v>7613</v>
      </c>
      <c r="D102" t="s">
        <v>6109</v>
      </c>
      <c r="E102" t="s">
        <v>9965</v>
      </c>
      <c r="F102" t="s">
        <v>6804</v>
      </c>
      <c r="G102" t="s">
        <v>6110</v>
      </c>
      <c r="H102" t="s">
        <v>6111</v>
      </c>
      <c r="I102" s="1">
        <v>45741</v>
      </c>
      <c r="K102">
        <v>30521</v>
      </c>
      <c r="L102" t="s">
        <v>6803</v>
      </c>
    </row>
    <row r="103" spans="1:12" x14ac:dyDescent="0.35">
      <c r="A103" t="s">
        <v>26</v>
      </c>
      <c r="B103" s="1">
        <v>45741</v>
      </c>
      <c r="C103" t="s">
        <v>7613</v>
      </c>
      <c r="D103" t="s">
        <v>6109</v>
      </c>
      <c r="E103" t="s">
        <v>9965</v>
      </c>
      <c r="F103" t="s">
        <v>9940</v>
      </c>
      <c r="H103" t="s">
        <v>6111</v>
      </c>
      <c r="J103">
        <v>30521</v>
      </c>
      <c r="L103" t="s">
        <v>6280</v>
      </c>
    </row>
    <row r="104" spans="1:12" x14ac:dyDescent="0.35">
      <c r="A104" t="s">
        <v>26</v>
      </c>
      <c r="B104" s="1">
        <v>45741</v>
      </c>
      <c r="C104" t="s">
        <v>7616</v>
      </c>
      <c r="D104" t="s">
        <v>6112</v>
      </c>
      <c r="E104" t="s">
        <v>9966</v>
      </c>
      <c r="F104" t="s">
        <v>6804</v>
      </c>
      <c r="G104" t="s">
        <v>6113</v>
      </c>
      <c r="H104" t="s">
        <v>6114</v>
      </c>
      <c r="I104" s="1">
        <v>45741</v>
      </c>
      <c r="K104">
        <v>140000</v>
      </c>
      <c r="L104" t="s">
        <v>6803</v>
      </c>
    </row>
    <row r="105" spans="1:12" x14ac:dyDescent="0.35">
      <c r="A105" t="s">
        <v>26</v>
      </c>
      <c r="B105" s="1">
        <v>45741</v>
      </c>
      <c r="C105" t="s">
        <v>7616</v>
      </c>
      <c r="D105" t="s">
        <v>6112</v>
      </c>
      <c r="E105" t="s">
        <v>9966</v>
      </c>
      <c r="F105" t="s">
        <v>9967</v>
      </c>
      <c r="H105" t="s">
        <v>6114</v>
      </c>
      <c r="J105">
        <v>140000</v>
      </c>
      <c r="L105" t="s">
        <v>6279</v>
      </c>
    </row>
    <row r="106" spans="1:12" x14ac:dyDescent="0.35">
      <c r="A106" t="s">
        <v>26</v>
      </c>
      <c r="B106" s="1">
        <v>45741</v>
      </c>
      <c r="C106" t="s">
        <v>7619</v>
      </c>
      <c r="D106" t="s">
        <v>6115</v>
      </c>
      <c r="E106" t="s">
        <v>9968</v>
      </c>
      <c r="F106" t="s">
        <v>6804</v>
      </c>
      <c r="G106" t="s">
        <v>6066</v>
      </c>
      <c r="H106" t="s">
        <v>6116</v>
      </c>
      <c r="I106" s="1">
        <v>45741</v>
      </c>
      <c r="K106">
        <v>23866</v>
      </c>
      <c r="L106" t="s">
        <v>6803</v>
      </c>
    </row>
    <row r="107" spans="1:12" x14ac:dyDescent="0.35">
      <c r="A107" t="s">
        <v>26</v>
      </c>
      <c r="B107" s="1">
        <v>45741</v>
      </c>
      <c r="C107" t="s">
        <v>7619</v>
      </c>
      <c r="D107" t="s">
        <v>6115</v>
      </c>
      <c r="E107" t="s">
        <v>9968</v>
      </c>
      <c r="F107" t="s">
        <v>6806</v>
      </c>
      <c r="H107" t="s">
        <v>6116</v>
      </c>
      <c r="J107">
        <v>3641</v>
      </c>
      <c r="L107" t="s">
        <v>6803</v>
      </c>
    </row>
    <row r="108" spans="1:12" x14ac:dyDescent="0.35">
      <c r="A108" t="s">
        <v>26</v>
      </c>
      <c r="B108" s="1">
        <v>45741</v>
      </c>
      <c r="C108" t="s">
        <v>7619</v>
      </c>
      <c r="D108" t="s">
        <v>6115</v>
      </c>
      <c r="E108" t="s">
        <v>9968</v>
      </c>
      <c r="F108" t="s">
        <v>9916</v>
      </c>
      <c r="H108" t="s">
        <v>6116</v>
      </c>
      <c r="J108">
        <v>20225</v>
      </c>
      <c r="L108" t="s">
        <v>6279</v>
      </c>
    </row>
    <row r="109" spans="1:12" x14ac:dyDescent="0.35">
      <c r="A109" t="s">
        <v>26</v>
      </c>
      <c r="B109" s="1">
        <v>45742</v>
      </c>
      <c r="C109" t="s">
        <v>7621</v>
      </c>
      <c r="D109" t="s">
        <v>6117</v>
      </c>
      <c r="E109" t="s">
        <v>9969</v>
      </c>
      <c r="F109" t="s">
        <v>6804</v>
      </c>
      <c r="G109" t="s">
        <v>6118</v>
      </c>
      <c r="H109" t="s">
        <v>6119</v>
      </c>
      <c r="I109" s="1">
        <v>45742</v>
      </c>
      <c r="K109">
        <v>48000</v>
      </c>
      <c r="L109" t="s">
        <v>6803</v>
      </c>
    </row>
    <row r="110" spans="1:12" x14ac:dyDescent="0.35">
      <c r="A110" t="s">
        <v>26</v>
      </c>
      <c r="B110" s="1">
        <v>45742</v>
      </c>
      <c r="C110" t="s">
        <v>7621</v>
      </c>
      <c r="D110" t="s">
        <v>6117</v>
      </c>
      <c r="E110" t="s">
        <v>9969</v>
      </c>
      <c r="F110" t="s">
        <v>7760</v>
      </c>
      <c r="H110" t="s">
        <v>6119</v>
      </c>
      <c r="J110">
        <v>48000</v>
      </c>
      <c r="L110" t="s">
        <v>6279</v>
      </c>
    </row>
    <row r="111" spans="1:12" x14ac:dyDescent="0.35">
      <c r="A111" t="s">
        <v>75</v>
      </c>
      <c r="B111" s="1">
        <v>45717</v>
      </c>
      <c r="C111" t="s">
        <v>7491</v>
      </c>
      <c r="D111" t="s">
        <v>6120</v>
      </c>
      <c r="E111" t="s">
        <v>6121</v>
      </c>
      <c r="F111" t="s">
        <v>6804</v>
      </c>
      <c r="G111" t="s">
        <v>6104</v>
      </c>
      <c r="H111" t="s">
        <v>6122</v>
      </c>
      <c r="I111" s="1">
        <v>45717</v>
      </c>
      <c r="J111">
        <v>110000</v>
      </c>
      <c r="L111" t="s">
        <v>6803</v>
      </c>
    </row>
    <row r="112" spans="1:12" x14ac:dyDescent="0.35">
      <c r="A112" t="s">
        <v>75</v>
      </c>
      <c r="B112" s="1">
        <v>45717</v>
      </c>
      <c r="C112" t="s">
        <v>7491</v>
      </c>
      <c r="D112" t="s">
        <v>6120</v>
      </c>
      <c r="E112" t="s">
        <v>6121</v>
      </c>
      <c r="F112" t="s">
        <v>9955</v>
      </c>
      <c r="G112" t="s">
        <v>6074</v>
      </c>
      <c r="H112" t="s">
        <v>6122</v>
      </c>
      <c r="K112">
        <v>110000</v>
      </c>
      <c r="L112" t="s">
        <v>6803</v>
      </c>
    </row>
    <row r="113" spans="1:12" x14ac:dyDescent="0.35">
      <c r="A113" t="s">
        <v>75</v>
      </c>
      <c r="B113" s="1">
        <v>45722</v>
      </c>
      <c r="C113" t="s">
        <v>7483</v>
      </c>
      <c r="D113" t="s">
        <v>6123</v>
      </c>
      <c r="E113" t="s">
        <v>6124</v>
      </c>
      <c r="F113" t="s">
        <v>6819</v>
      </c>
      <c r="H113" t="s">
        <v>6125</v>
      </c>
      <c r="J113">
        <v>122270</v>
      </c>
      <c r="L113" t="s">
        <v>6803</v>
      </c>
    </row>
    <row r="114" spans="1:12" x14ac:dyDescent="0.35">
      <c r="A114" t="s">
        <v>75</v>
      </c>
      <c r="B114" s="1">
        <v>45722</v>
      </c>
      <c r="C114" t="s">
        <v>7483</v>
      </c>
      <c r="D114" t="s">
        <v>6123</v>
      </c>
      <c r="E114" t="s">
        <v>6124</v>
      </c>
      <c r="F114" t="s">
        <v>9955</v>
      </c>
      <c r="G114" t="s">
        <v>6074</v>
      </c>
      <c r="H114" t="s">
        <v>6125</v>
      </c>
      <c r="K114">
        <v>817475</v>
      </c>
      <c r="L114" t="s">
        <v>6803</v>
      </c>
    </row>
    <row r="115" spans="1:12" x14ac:dyDescent="0.35">
      <c r="A115" t="s">
        <v>75</v>
      </c>
      <c r="B115" s="1">
        <v>45722</v>
      </c>
      <c r="C115" t="s">
        <v>7483</v>
      </c>
      <c r="D115" t="s">
        <v>6123</v>
      </c>
      <c r="E115" t="s">
        <v>6124</v>
      </c>
      <c r="F115" t="s">
        <v>7595</v>
      </c>
      <c r="H115" t="s">
        <v>6125</v>
      </c>
      <c r="J115">
        <v>695205</v>
      </c>
      <c r="L115" t="s">
        <v>6281</v>
      </c>
    </row>
    <row r="116" spans="1:12" x14ac:dyDescent="0.35">
      <c r="A116" t="s">
        <v>75</v>
      </c>
      <c r="B116" s="1">
        <v>45722</v>
      </c>
      <c r="C116" t="s">
        <v>7485</v>
      </c>
      <c r="D116" t="s">
        <v>6126</v>
      </c>
      <c r="E116" t="s">
        <v>6127</v>
      </c>
      <c r="F116" t="s">
        <v>6819</v>
      </c>
      <c r="H116" t="s">
        <v>6128</v>
      </c>
      <c r="J116">
        <v>128610</v>
      </c>
      <c r="L116" t="s">
        <v>6803</v>
      </c>
    </row>
    <row r="117" spans="1:12" x14ac:dyDescent="0.35">
      <c r="A117" t="s">
        <v>75</v>
      </c>
      <c r="B117" s="1">
        <v>45722</v>
      </c>
      <c r="C117" t="s">
        <v>7485</v>
      </c>
      <c r="D117" t="s">
        <v>6126</v>
      </c>
      <c r="E117" t="s">
        <v>6127</v>
      </c>
      <c r="F117" t="s">
        <v>9955</v>
      </c>
      <c r="G117" t="s">
        <v>6074</v>
      </c>
      <c r="H117" t="s">
        <v>6128</v>
      </c>
      <c r="K117">
        <v>875620</v>
      </c>
      <c r="L117" t="s">
        <v>6803</v>
      </c>
    </row>
    <row r="118" spans="1:12" x14ac:dyDescent="0.35">
      <c r="A118" t="s">
        <v>75</v>
      </c>
      <c r="B118" s="1">
        <v>45722</v>
      </c>
      <c r="C118" t="s">
        <v>7485</v>
      </c>
      <c r="D118" t="s">
        <v>6126</v>
      </c>
      <c r="E118" t="s">
        <v>6127</v>
      </c>
      <c r="F118" t="s">
        <v>7595</v>
      </c>
      <c r="H118" t="s">
        <v>6128</v>
      </c>
      <c r="J118">
        <v>747010</v>
      </c>
      <c r="L118" t="s">
        <v>6278</v>
      </c>
    </row>
    <row r="119" spans="1:12" x14ac:dyDescent="0.35">
      <c r="A119" t="s">
        <v>75</v>
      </c>
      <c r="B119" s="1">
        <v>45723</v>
      </c>
      <c r="C119" t="s">
        <v>7596</v>
      </c>
      <c r="D119" t="s">
        <v>6129</v>
      </c>
      <c r="E119" t="s">
        <v>6130</v>
      </c>
      <c r="F119" t="s">
        <v>7867</v>
      </c>
      <c r="G119" t="s">
        <v>6131</v>
      </c>
      <c r="H119" t="s">
        <v>6132</v>
      </c>
      <c r="I119" s="1">
        <v>45723</v>
      </c>
      <c r="J119">
        <v>3009472</v>
      </c>
      <c r="L119" t="s">
        <v>6803</v>
      </c>
    </row>
    <row r="120" spans="1:12" x14ac:dyDescent="0.35">
      <c r="A120" t="s">
        <v>75</v>
      </c>
      <c r="B120" s="1">
        <v>45723</v>
      </c>
      <c r="C120" t="s">
        <v>7596</v>
      </c>
      <c r="D120" t="s">
        <v>6129</v>
      </c>
      <c r="E120" t="s">
        <v>6130</v>
      </c>
      <c r="F120" t="s">
        <v>9955</v>
      </c>
      <c r="G120" t="s">
        <v>6074</v>
      </c>
      <c r="H120" t="s">
        <v>6132</v>
      </c>
      <c r="K120">
        <v>3009472</v>
      </c>
      <c r="L120" t="s">
        <v>6803</v>
      </c>
    </row>
    <row r="121" spans="1:12" x14ac:dyDescent="0.35">
      <c r="A121" t="s">
        <v>75</v>
      </c>
      <c r="B121" s="1">
        <v>45726</v>
      </c>
      <c r="C121" t="s">
        <v>7593</v>
      </c>
      <c r="D121" t="s">
        <v>6133</v>
      </c>
      <c r="E121" t="s">
        <v>6134</v>
      </c>
      <c r="F121" t="s">
        <v>6819</v>
      </c>
      <c r="H121" t="s">
        <v>6135</v>
      </c>
      <c r="J121">
        <v>438</v>
      </c>
      <c r="L121" t="s">
        <v>6803</v>
      </c>
    </row>
    <row r="122" spans="1:12" x14ac:dyDescent="0.35">
      <c r="A122" t="s">
        <v>75</v>
      </c>
      <c r="B122" s="1">
        <v>45726</v>
      </c>
      <c r="C122" t="s">
        <v>7593</v>
      </c>
      <c r="D122" t="s">
        <v>6133</v>
      </c>
      <c r="E122" t="s">
        <v>6134</v>
      </c>
      <c r="F122" t="s">
        <v>9955</v>
      </c>
      <c r="G122" t="s">
        <v>6074</v>
      </c>
      <c r="H122" t="s">
        <v>6135</v>
      </c>
      <c r="K122">
        <v>4784</v>
      </c>
      <c r="L122" t="s">
        <v>6803</v>
      </c>
    </row>
    <row r="123" spans="1:12" x14ac:dyDescent="0.35">
      <c r="A123" t="s">
        <v>75</v>
      </c>
      <c r="B123" s="1">
        <v>45726</v>
      </c>
      <c r="C123" t="s">
        <v>7593</v>
      </c>
      <c r="D123" t="s">
        <v>6133</v>
      </c>
      <c r="E123" t="s">
        <v>6134</v>
      </c>
      <c r="F123" t="s">
        <v>7606</v>
      </c>
      <c r="H123" t="s">
        <v>6135</v>
      </c>
      <c r="J123">
        <v>4346</v>
      </c>
      <c r="L123" t="s">
        <v>6278</v>
      </c>
    </row>
    <row r="124" spans="1:12" x14ac:dyDescent="0.35">
      <c r="A124" t="s">
        <v>75</v>
      </c>
      <c r="B124" s="1">
        <v>45726</v>
      </c>
      <c r="C124" t="s">
        <v>7603</v>
      </c>
      <c r="D124" t="s">
        <v>6071</v>
      </c>
      <c r="E124" t="s">
        <v>6072</v>
      </c>
      <c r="F124" t="s">
        <v>6819</v>
      </c>
      <c r="H124" t="s">
        <v>6136</v>
      </c>
      <c r="J124">
        <v>27720</v>
      </c>
      <c r="L124" t="s">
        <v>6803</v>
      </c>
    </row>
    <row r="125" spans="1:12" x14ac:dyDescent="0.35">
      <c r="A125" t="s">
        <v>75</v>
      </c>
      <c r="B125" s="1">
        <v>45726</v>
      </c>
      <c r="C125" t="s">
        <v>7603</v>
      </c>
      <c r="D125" t="s">
        <v>6071</v>
      </c>
      <c r="E125" t="s">
        <v>6072</v>
      </c>
      <c r="F125" t="s">
        <v>9955</v>
      </c>
      <c r="G125" t="s">
        <v>6074</v>
      </c>
      <c r="H125" t="s">
        <v>6136</v>
      </c>
      <c r="K125">
        <v>797720</v>
      </c>
      <c r="L125" t="s">
        <v>6803</v>
      </c>
    </row>
    <row r="126" spans="1:12" x14ac:dyDescent="0.35">
      <c r="A126" t="s">
        <v>75</v>
      </c>
      <c r="B126" s="1">
        <v>45726</v>
      </c>
      <c r="C126" t="s">
        <v>7603</v>
      </c>
      <c r="D126" t="s">
        <v>6071</v>
      </c>
      <c r="E126" t="s">
        <v>6072</v>
      </c>
      <c r="F126" t="s">
        <v>7760</v>
      </c>
      <c r="H126" t="s">
        <v>6136</v>
      </c>
      <c r="J126">
        <v>770000</v>
      </c>
      <c r="L126" t="s">
        <v>6274</v>
      </c>
    </row>
    <row r="127" spans="1:12" x14ac:dyDescent="0.35">
      <c r="A127" t="s">
        <v>75</v>
      </c>
      <c r="B127" s="1">
        <v>45726</v>
      </c>
      <c r="C127" t="s">
        <v>7549</v>
      </c>
      <c r="D127" t="s">
        <v>6137</v>
      </c>
      <c r="E127" t="s">
        <v>6138</v>
      </c>
      <c r="F127" t="s">
        <v>6819</v>
      </c>
      <c r="H127" t="s">
        <v>6139</v>
      </c>
      <c r="J127">
        <v>9000</v>
      </c>
      <c r="L127" t="s">
        <v>6803</v>
      </c>
    </row>
    <row r="128" spans="1:12" x14ac:dyDescent="0.35">
      <c r="A128" t="s">
        <v>75</v>
      </c>
      <c r="B128" s="1">
        <v>45726</v>
      </c>
      <c r="C128" t="s">
        <v>7549</v>
      </c>
      <c r="D128" t="s">
        <v>6137</v>
      </c>
      <c r="E128" t="s">
        <v>6138</v>
      </c>
      <c r="F128" t="s">
        <v>9955</v>
      </c>
      <c r="G128" t="s">
        <v>6074</v>
      </c>
      <c r="H128" t="s">
        <v>6139</v>
      </c>
      <c r="K128">
        <v>163400</v>
      </c>
      <c r="L128" t="s">
        <v>6803</v>
      </c>
    </row>
    <row r="129" spans="1:12" x14ac:dyDescent="0.35">
      <c r="A129" t="s">
        <v>75</v>
      </c>
      <c r="B129" s="1">
        <v>45726</v>
      </c>
      <c r="C129" t="s">
        <v>7549</v>
      </c>
      <c r="D129" t="s">
        <v>6137</v>
      </c>
      <c r="E129" t="s">
        <v>6138</v>
      </c>
      <c r="F129" t="s">
        <v>7760</v>
      </c>
      <c r="H129" t="s">
        <v>6139</v>
      </c>
      <c r="J129">
        <v>154400</v>
      </c>
      <c r="L129" t="s">
        <v>6278</v>
      </c>
    </row>
    <row r="130" spans="1:12" x14ac:dyDescent="0.35">
      <c r="A130" t="s">
        <v>75</v>
      </c>
      <c r="B130" s="1">
        <v>45727</v>
      </c>
      <c r="C130" t="s">
        <v>7598</v>
      </c>
      <c r="D130" t="s">
        <v>6140</v>
      </c>
      <c r="E130" t="s">
        <v>6141</v>
      </c>
      <c r="F130" t="s">
        <v>9955</v>
      </c>
      <c r="G130" t="s">
        <v>6074</v>
      </c>
      <c r="H130" t="s">
        <v>6142</v>
      </c>
      <c r="K130">
        <v>518636</v>
      </c>
      <c r="L130" t="s">
        <v>6803</v>
      </c>
    </row>
    <row r="131" spans="1:12" x14ac:dyDescent="0.35">
      <c r="A131" t="s">
        <v>75</v>
      </c>
      <c r="B131" s="1">
        <v>45727</v>
      </c>
      <c r="C131" t="s">
        <v>7598</v>
      </c>
      <c r="D131" t="s">
        <v>6140</v>
      </c>
      <c r="E131" t="s">
        <v>6141</v>
      </c>
      <c r="F131" t="s">
        <v>9970</v>
      </c>
      <c r="H131" t="s">
        <v>6142</v>
      </c>
      <c r="J131">
        <v>518636</v>
      </c>
      <c r="L131" t="s">
        <v>6282</v>
      </c>
    </row>
    <row r="132" spans="1:12" x14ac:dyDescent="0.35">
      <c r="A132" t="s">
        <v>75</v>
      </c>
      <c r="B132" s="1">
        <v>45733</v>
      </c>
      <c r="C132" t="s">
        <v>7599</v>
      </c>
      <c r="D132" t="s">
        <v>6143</v>
      </c>
      <c r="E132" t="s">
        <v>6144</v>
      </c>
      <c r="F132" t="s">
        <v>6819</v>
      </c>
      <c r="H132" t="s">
        <v>6145</v>
      </c>
      <c r="J132">
        <v>763200</v>
      </c>
      <c r="L132" t="s">
        <v>6803</v>
      </c>
    </row>
    <row r="133" spans="1:12" x14ac:dyDescent="0.35">
      <c r="A133" t="s">
        <v>75</v>
      </c>
      <c r="B133" s="1">
        <v>45733</v>
      </c>
      <c r="C133" t="s">
        <v>7599</v>
      </c>
      <c r="D133" t="s">
        <v>6143</v>
      </c>
      <c r="E133" t="s">
        <v>6144</v>
      </c>
      <c r="F133" t="s">
        <v>9955</v>
      </c>
      <c r="G133" t="s">
        <v>6074</v>
      </c>
      <c r="H133" t="s">
        <v>6145</v>
      </c>
      <c r="K133">
        <v>5003200</v>
      </c>
      <c r="L133" t="s">
        <v>6803</v>
      </c>
    </row>
    <row r="134" spans="1:12" x14ac:dyDescent="0.35">
      <c r="A134" t="s">
        <v>75</v>
      </c>
      <c r="B134" s="1">
        <v>45733</v>
      </c>
      <c r="C134" t="s">
        <v>7599</v>
      </c>
      <c r="D134" t="s">
        <v>6143</v>
      </c>
      <c r="E134" t="s">
        <v>6144</v>
      </c>
      <c r="F134" t="s">
        <v>7789</v>
      </c>
      <c r="H134" t="s">
        <v>6145</v>
      </c>
      <c r="J134">
        <v>4240000</v>
      </c>
      <c r="L134" t="s">
        <v>6275</v>
      </c>
    </row>
    <row r="135" spans="1:12" x14ac:dyDescent="0.35">
      <c r="A135" t="s">
        <v>75</v>
      </c>
      <c r="B135" s="1">
        <v>45740</v>
      </c>
      <c r="C135" t="s">
        <v>7600</v>
      </c>
      <c r="D135" t="s">
        <v>6146</v>
      </c>
      <c r="E135" t="s">
        <v>6147</v>
      </c>
      <c r="F135" t="s">
        <v>6819</v>
      </c>
      <c r="H135" t="s">
        <v>6148</v>
      </c>
      <c r="J135">
        <v>190800</v>
      </c>
      <c r="L135" t="s">
        <v>6803</v>
      </c>
    </row>
    <row r="136" spans="1:12" x14ac:dyDescent="0.35">
      <c r="A136" t="s">
        <v>75</v>
      </c>
      <c r="B136" s="1">
        <v>45740</v>
      </c>
      <c r="C136" t="s">
        <v>7600</v>
      </c>
      <c r="D136" t="s">
        <v>6146</v>
      </c>
      <c r="E136" t="s">
        <v>6147</v>
      </c>
      <c r="F136" t="s">
        <v>9955</v>
      </c>
      <c r="G136" t="s">
        <v>6074</v>
      </c>
      <c r="H136" t="s">
        <v>6148</v>
      </c>
      <c r="K136">
        <v>1250800</v>
      </c>
      <c r="L136" t="s">
        <v>6803</v>
      </c>
    </row>
    <row r="137" spans="1:12" x14ac:dyDescent="0.35">
      <c r="A137" t="s">
        <v>75</v>
      </c>
      <c r="B137" s="1">
        <v>45740</v>
      </c>
      <c r="C137" t="s">
        <v>7600</v>
      </c>
      <c r="D137" t="s">
        <v>6146</v>
      </c>
      <c r="E137" t="s">
        <v>6147</v>
      </c>
      <c r="F137" t="s">
        <v>7789</v>
      </c>
      <c r="H137" t="s">
        <v>6148</v>
      </c>
      <c r="J137">
        <v>1060000</v>
      </c>
      <c r="L137" t="s">
        <v>6275</v>
      </c>
    </row>
    <row r="138" spans="1:12" x14ac:dyDescent="0.35">
      <c r="A138" t="s">
        <v>75</v>
      </c>
      <c r="B138" s="1">
        <v>45740</v>
      </c>
      <c r="C138" t="s">
        <v>7601</v>
      </c>
      <c r="D138" t="s">
        <v>6149</v>
      </c>
      <c r="E138" t="s">
        <v>6150</v>
      </c>
      <c r="F138" t="s">
        <v>6819</v>
      </c>
      <c r="H138" t="s">
        <v>6151</v>
      </c>
      <c r="J138">
        <v>190800</v>
      </c>
      <c r="L138" t="s">
        <v>6803</v>
      </c>
    </row>
    <row r="139" spans="1:12" x14ac:dyDescent="0.35">
      <c r="A139" t="s">
        <v>75</v>
      </c>
      <c r="B139" s="1">
        <v>45740</v>
      </c>
      <c r="C139" t="s">
        <v>7601</v>
      </c>
      <c r="D139" t="s">
        <v>6149</v>
      </c>
      <c r="E139" t="s">
        <v>6150</v>
      </c>
      <c r="F139" t="s">
        <v>9955</v>
      </c>
      <c r="G139" t="s">
        <v>6074</v>
      </c>
      <c r="H139" t="s">
        <v>6151</v>
      </c>
      <c r="K139">
        <v>1250800</v>
      </c>
      <c r="L139" t="s">
        <v>6803</v>
      </c>
    </row>
    <row r="140" spans="1:12" x14ac:dyDescent="0.35">
      <c r="A140" t="s">
        <v>75</v>
      </c>
      <c r="B140" s="1">
        <v>45740</v>
      </c>
      <c r="C140" t="s">
        <v>7601</v>
      </c>
      <c r="D140" t="s">
        <v>6149</v>
      </c>
      <c r="E140" t="s">
        <v>6150</v>
      </c>
      <c r="F140" t="s">
        <v>7789</v>
      </c>
      <c r="H140" t="s">
        <v>6151</v>
      </c>
      <c r="J140">
        <v>1060000</v>
      </c>
      <c r="L140" t="s">
        <v>6275</v>
      </c>
    </row>
    <row r="141" spans="1:12" x14ac:dyDescent="0.35">
      <c r="A141" t="s">
        <v>75</v>
      </c>
      <c r="B141" s="1">
        <v>45742</v>
      </c>
      <c r="C141" t="s">
        <v>7559</v>
      </c>
      <c r="D141" t="s">
        <v>6152</v>
      </c>
      <c r="E141" t="s">
        <v>6153</v>
      </c>
      <c r="F141" t="s">
        <v>9955</v>
      </c>
      <c r="G141" t="s">
        <v>6074</v>
      </c>
      <c r="H141" t="s">
        <v>6154</v>
      </c>
      <c r="K141">
        <v>15000</v>
      </c>
      <c r="L141" t="s">
        <v>6803</v>
      </c>
    </row>
    <row r="142" spans="1:12" x14ac:dyDescent="0.35">
      <c r="A142" t="s">
        <v>75</v>
      </c>
      <c r="B142" s="1">
        <v>45742</v>
      </c>
      <c r="C142" t="s">
        <v>7559</v>
      </c>
      <c r="D142" t="s">
        <v>6152</v>
      </c>
      <c r="E142" t="s">
        <v>6153</v>
      </c>
      <c r="F142" t="s">
        <v>7447</v>
      </c>
      <c r="H142" t="s">
        <v>6154</v>
      </c>
      <c r="J142">
        <v>15000</v>
      </c>
      <c r="L142" t="s">
        <v>6276</v>
      </c>
    </row>
    <row r="143" spans="1:12" x14ac:dyDescent="0.35">
      <c r="A143" t="s">
        <v>75</v>
      </c>
      <c r="B143" s="1">
        <v>45744</v>
      </c>
      <c r="C143" t="s">
        <v>7486</v>
      </c>
      <c r="D143" t="s">
        <v>6155</v>
      </c>
      <c r="E143" t="s">
        <v>6156</v>
      </c>
      <c r="F143" t="s">
        <v>9955</v>
      </c>
      <c r="G143" t="s">
        <v>6074</v>
      </c>
      <c r="H143" t="s">
        <v>6157</v>
      </c>
      <c r="K143">
        <v>45000</v>
      </c>
      <c r="L143" t="s">
        <v>6803</v>
      </c>
    </row>
    <row r="144" spans="1:12" x14ac:dyDescent="0.35">
      <c r="A144" t="s">
        <v>75</v>
      </c>
      <c r="B144" s="1">
        <v>45744</v>
      </c>
      <c r="C144" t="s">
        <v>7486</v>
      </c>
      <c r="D144" t="s">
        <v>6155</v>
      </c>
      <c r="E144" t="s">
        <v>6156</v>
      </c>
      <c r="F144" t="s">
        <v>7358</v>
      </c>
      <c r="H144" t="s">
        <v>6157</v>
      </c>
      <c r="J144">
        <v>45000</v>
      </c>
      <c r="L144" t="s">
        <v>6279</v>
      </c>
    </row>
    <row r="145" spans="1:12" x14ac:dyDescent="0.35">
      <c r="A145" t="s">
        <v>75</v>
      </c>
      <c r="B145" s="1">
        <v>45744</v>
      </c>
      <c r="C145" t="s">
        <v>7489</v>
      </c>
      <c r="D145" t="s">
        <v>6155</v>
      </c>
      <c r="E145" t="s">
        <v>6156</v>
      </c>
      <c r="F145" t="s">
        <v>9955</v>
      </c>
      <c r="G145" t="s">
        <v>6074</v>
      </c>
      <c r="H145" t="s">
        <v>6158</v>
      </c>
      <c r="K145">
        <v>49000</v>
      </c>
      <c r="L145" t="s">
        <v>6803</v>
      </c>
    </row>
    <row r="146" spans="1:12" x14ac:dyDescent="0.35">
      <c r="A146" t="s">
        <v>75</v>
      </c>
      <c r="B146" s="1">
        <v>45744</v>
      </c>
      <c r="C146" t="s">
        <v>7489</v>
      </c>
      <c r="D146" t="s">
        <v>6155</v>
      </c>
      <c r="E146" t="s">
        <v>6156</v>
      </c>
      <c r="F146" t="s">
        <v>7358</v>
      </c>
      <c r="H146" t="s">
        <v>6158</v>
      </c>
      <c r="J146">
        <v>49000</v>
      </c>
      <c r="L146" t="s">
        <v>6279</v>
      </c>
    </row>
    <row r="147" spans="1:12" x14ac:dyDescent="0.35">
      <c r="A147" t="s">
        <v>75</v>
      </c>
      <c r="B147" s="1">
        <v>45744</v>
      </c>
      <c r="C147" t="s">
        <v>7493</v>
      </c>
      <c r="F147" t="s">
        <v>7831</v>
      </c>
      <c r="G147" t="s">
        <v>6159</v>
      </c>
      <c r="H147" t="s">
        <v>6160</v>
      </c>
      <c r="I147" s="1">
        <v>45774</v>
      </c>
      <c r="K147">
        <v>7670000</v>
      </c>
      <c r="L147" t="s">
        <v>6803</v>
      </c>
    </row>
    <row r="148" spans="1:12" x14ac:dyDescent="0.35">
      <c r="A148" t="s">
        <v>75</v>
      </c>
      <c r="B148" s="1">
        <v>45744</v>
      </c>
      <c r="C148" t="s">
        <v>7493</v>
      </c>
      <c r="F148" t="s">
        <v>9955</v>
      </c>
      <c r="G148" t="s">
        <v>6074</v>
      </c>
      <c r="H148" t="s">
        <v>6160</v>
      </c>
      <c r="J148">
        <v>7670000</v>
      </c>
      <c r="L148" t="s">
        <v>6803</v>
      </c>
    </row>
    <row r="149" spans="1:12" x14ac:dyDescent="0.35">
      <c r="A149" t="s">
        <v>75</v>
      </c>
      <c r="B149" s="1">
        <v>45744</v>
      </c>
      <c r="C149" t="s">
        <v>7551</v>
      </c>
      <c r="D149" t="s">
        <v>6161</v>
      </c>
      <c r="E149" t="s">
        <v>6162</v>
      </c>
      <c r="F149" t="s">
        <v>9955</v>
      </c>
      <c r="G149" t="s">
        <v>6074</v>
      </c>
      <c r="H149" t="s">
        <v>6163</v>
      </c>
      <c r="K149">
        <v>201700</v>
      </c>
      <c r="L149" t="s">
        <v>6803</v>
      </c>
    </row>
    <row r="150" spans="1:12" x14ac:dyDescent="0.35">
      <c r="A150" t="s">
        <v>75</v>
      </c>
      <c r="B150" s="1">
        <v>45744</v>
      </c>
      <c r="C150" t="s">
        <v>7551</v>
      </c>
      <c r="D150" t="s">
        <v>6161</v>
      </c>
      <c r="E150" t="s">
        <v>6162</v>
      </c>
      <c r="F150" t="s">
        <v>8050</v>
      </c>
      <c r="H150" t="s">
        <v>6163</v>
      </c>
      <c r="J150">
        <v>1700</v>
      </c>
      <c r="L150" t="s">
        <v>347</v>
      </c>
    </row>
    <row r="151" spans="1:12" x14ac:dyDescent="0.35">
      <c r="A151" t="s">
        <v>75</v>
      </c>
      <c r="B151" s="1">
        <v>45744</v>
      </c>
      <c r="C151" t="s">
        <v>7551</v>
      </c>
      <c r="D151" t="s">
        <v>6161</v>
      </c>
      <c r="E151" t="s">
        <v>6162</v>
      </c>
      <c r="F151" t="s">
        <v>9971</v>
      </c>
      <c r="H151" t="s">
        <v>6163</v>
      </c>
      <c r="J151">
        <v>200000</v>
      </c>
      <c r="L151" t="s">
        <v>6276</v>
      </c>
    </row>
    <row r="152" spans="1:12" x14ac:dyDescent="0.35">
      <c r="A152" t="s">
        <v>6164</v>
      </c>
      <c r="B152" s="1">
        <v>45721</v>
      </c>
      <c r="C152" t="s">
        <v>7575</v>
      </c>
      <c r="F152" t="s">
        <v>6804</v>
      </c>
      <c r="G152" t="s">
        <v>6165</v>
      </c>
      <c r="H152" t="s">
        <v>6166</v>
      </c>
      <c r="J152">
        <v>520003</v>
      </c>
      <c r="L152" t="s">
        <v>6803</v>
      </c>
    </row>
    <row r="153" spans="1:12" x14ac:dyDescent="0.35">
      <c r="A153" t="s">
        <v>6164</v>
      </c>
      <c r="B153" s="1">
        <v>45721</v>
      </c>
      <c r="C153" t="s">
        <v>7575</v>
      </c>
      <c r="F153" t="s">
        <v>9972</v>
      </c>
      <c r="H153" t="s">
        <v>6166</v>
      </c>
      <c r="K153">
        <v>520003</v>
      </c>
      <c r="L153" t="s">
        <v>6803</v>
      </c>
    </row>
    <row r="154" spans="1:12" x14ac:dyDescent="0.35">
      <c r="A154" t="s">
        <v>6164</v>
      </c>
      <c r="B154" s="1">
        <v>45721</v>
      </c>
      <c r="C154" t="s">
        <v>7576</v>
      </c>
      <c r="F154" t="s">
        <v>6804</v>
      </c>
      <c r="G154" t="s">
        <v>6167</v>
      </c>
      <c r="H154" t="s">
        <v>6168</v>
      </c>
      <c r="J154">
        <v>749600</v>
      </c>
      <c r="L154" t="s">
        <v>6803</v>
      </c>
    </row>
    <row r="155" spans="1:12" x14ac:dyDescent="0.35">
      <c r="A155" t="s">
        <v>6164</v>
      </c>
      <c r="B155" s="1">
        <v>45721</v>
      </c>
      <c r="C155" t="s">
        <v>7576</v>
      </c>
      <c r="F155" t="s">
        <v>9972</v>
      </c>
      <c r="H155" t="s">
        <v>6168</v>
      </c>
      <c r="K155">
        <v>749600</v>
      </c>
      <c r="L155" t="s">
        <v>6803</v>
      </c>
    </row>
    <row r="156" spans="1:12" x14ac:dyDescent="0.35">
      <c r="A156" t="s">
        <v>6164</v>
      </c>
      <c r="B156" s="1">
        <v>45721</v>
      </c>
      <c r="C156" t="s">
        <v>7577</v>
      </c>
      <c r="F156" t="s">
        <v>6804</v>
      </c>
      <c r="G156" t="s">
        <v>6058</v>
      </c>
      <c r="H156" t="s">
        <v>6169</v>
      </c>
      <c r="J156">
        <v>355758</v>
      </c>
      <c r="L156" t="s">
        <v>6803</v>
      </c>
    </row>
    <row r="157" spans="1:12" x14ac:dyDescent="0.35">
      <c r="A157" t="s">
        <v>6164</v>
      </c>
      <c r="B157" s="1">
        <v>45721</v>
      </c>
      <c r="C157" t="s">
        <v>7577</v>
      </c>
      <c r="F157" t="s">
        <v>9972</v>
      </c>
      <c r="H157" t="s">
        <v>6169</v>
      </c>
      <c r="K157">
        <v>355758</v>
      </c>
      <c r="L157" t="s">
        <v>6803</v>
      </c>
    </row>
    <row r="158" spans="1:12" x14ac:dyDescent="0.35">
      <c r="A158" t="s">
        <v>6164</v>
      </c>
      <c r="B158" s="1">
        <v>45744</v>
      </c>
      <c r="C158" t="s">
        <v>7607</v>
      </c>
      <c r="F158" t="s">
        <v>9972</v>
      </c>
      <c r="H158" t="s">
        <v>58</v>
      </c>
      <c r="K158">
        <v>11000</v>
      </c>
      <c r="L158" t="s">
        <v>6803</v>
      </c>
    </row>
    <row r="159" spans="1:12" x14ac:dyDescent="0.35">
      <c r="A159" t="s">
        <v>6164</v>
      </c>
      <c r="B159" s="1">
        <v>45744</v>
      </c>
      <c r="C159" t="s">
        <v>7607</v>
      </c>
      <c r="F159" t="s">
        <v>7828</v>
      </c>
      <c r="H159" t="s">
        <v>58</v>
      </c>
      <c r="J159">
        <v>11000</v>
      </c>
      <c r="L159" t="s">
        <v>347</v>
      </c>
    </row>
    <row r="160" spans="1:12" x14ac:dyDescent="0.35">
      <c r="A160" t="s">
        <v>6164</v>
      </c>
      <c r="B160" s="1">
        <v>45744</v>
      </c>
      <c r="C160" t="s">
        <v>7173</v>
      </c>
      <c r="F160" t="s">
        <v>9972</v>
      </c>
      <c r="H160" t="s">
        <v>58</v>
      </c>
      <c r="K160">
        <v>19800</v>
      </c>
      <c r="L160" t="s">
        <v>6803</v>
      </c>
    </row>
    <row r="161" spans="1:12" x14ac:dyDescent="0.35">
      <c r="A161" t="s">
        <v>6164</v>
      </c>
      <c r="B161" s="1">
        <v>45744</v>
      </c>
      <c r="C161" t="s">
        <v>7173</v>
      </c>
      <c r="F161" t="s">
        <v>7828</v>
      </c>
      <c r="H161" t="s">
        <v>58</v>
      </c>
      <c r="J161">
        <v>19800</v>
      </c>
      <c r="L161" t="s">
        <v>347</v>
      </c>
    </row>
    <row r="162" spans="1:12" x14ac:dyDescent="0.35">
      <c r="A162" t="s">
        <v>6164</v>
      </c>
      <c r="B162" s="1">
        <v>45747</v>
      </c>
      <c r="C162" t="s">
        <v>7613</v>
      </c>
      <c r="F162" t="s">
        <v>9972</v>
      </c>
      <c r="H162" t="s">
        <v>58</v>
      </c>
      <c r="K162">
        <v>2200</v>
      </c>
      <c r="L162" t="s">
        <v>6803</v>
      </c>
    </row>
    <row r="163" spans="1:12" x14ac:dyDescent="0.35">
      <c r="A163" t="s">
        <v>6164</v>
      </c>
      <c r="B163" s="1">
        <v>45747</v>
      </c>
      <c r="C163" t="s">
        <v>7613</v>
      </c>
      <c r="F163" t="s">
        <v>7828</v>
      </c>
      <c r="H163" t="s">
        <v>58</v>
      </c>
      <c r="J163">
        <v>2200</v>
      </c>
      <c r="L163" t="s">
        <v>347</v>
      </c>
    </row>
    <row r="164" spans="1:12" x14ac:dyDescent="0.35">
      <c r="A164" t="s">
        <v>101</v>
      </c>
      <c r="B164" s="1">
        <v>45717</v>
      </c>
      <c r="C164" t="s">
        <v>7577</v>
      </c>
      <c r="F164" t="s">
        <v>6804</v>
      </c>
      <c r="G164" t="s">
        <v>6104</v>
      </c>
      <c r="H164" t="s">
        <v>6170</v>
      </c>
      <c r="I164" s="1">
        <v>45657</v>
      </c>
      <c r="K164">
        <v>-1695771</v>
      </c>
      <c r="L164" t="s">
        <v>6803</v>
      </c>
    </row>
    <row r="165" spans="1:12" x14ac:dyDescent="0.35">
      <c r="A165" t="s">
        <v>101</v>
      </c>
      <c r="B165" s="1">
        <v>45717</v>
      </c>
      <c r="C165" t="s">
        <v>7577</v>
      </c>
      <c r="F165" t="s">
        <v>7867</v>
      </c>
      <c r="G165" t="s">
        <v>6104</v>
      </c>
      <c r="H165" t="s">
        <v>6171</v>
      </c>
      <c r="I165" s="1">
        <v>45657</v>
      </c>
      <c r="K165">
        <v>-73081750</v>
      </c>
      <c r="L165" t="s">
        <v>6803</v>
      </c>
    </row>
    <row r="166" spans="1:12" x14ac:dyDescent="0.35">
      <c r="A166" t="s">
        <v>101</v>
      </c>
      <c r="B166" s="1">
        <v>45717</v>
      </c>
      <c r="C166" t="s">
        <v>7577</v>
      </c>
      <c r="F166" t="s">
        <v>9973</v>
      </c>
      <c r="G166" t="s">
        <v>6104</v>
      </c>
      <c r="H166" t="s">
        <v>6171</v>
      </c>
      <c r="I166" s="1">
        <v>45657</v>
      </c>
      <c r="J166">
        <v>-73081750</v>
      </c>
      <c r="L166" t="s">
        <v>6803</v>
      </c>
    </row>
    <row r="167" spans="1:12" x14ac:dyDescent="0.35">
      <c r="A167" t="s">
        <v>101</v>
      </c>
      <c r="B167" s="1">
        <v>45717</v>
      </c>
      <c r="C167" t="s">
        <v>7577</v>
      </c>
      <c r="F167" t="s">
        <v>9973</v>
      </c>
      <c r="G167" t="s">
        <v>6104</v>
      </c>
      <c r="H167" t="s">
        <v>6170</v>
      </c>
      <c r="I167" s="1">
        <v>45657</v>
      </c>
      <c r="J167">
        <v>-1695771</v>
      </c>
      <c r="L167" t="s">
        <v>6803</v>
      </c>
    </row>
    <row r="168" spans="1:12" x14ac:dyDescent="0.35">
      <c r="A168" t="s">
        <v>101</v>
      </c>
      <c r="B168" s="1">
        <v>45717</v>
      </c>
      <c r="C168" t="s">
        <v>7577</v>
      </c>
      <c r="F168" t="s">
        <v>9955</v>
      </c>
      <c r="G168" t="s">
        <v>6074</v>
      </c>
      <c r="H168" t="s">
        <v>6172</v>
      </c>
      <c r="K168">
        <v>-4240000</v>
      </c>
      <c r="L168" t="s">
        <v>6803</v>
      </c>
    </row>
    <row r="169" spans="1:12" x14ac:dyDescent="0.35">
      <c r="A169" t="s">
        <v>101</v>
      </c>
      <c r="B169" s="1">
        <v>45717</v>
      </c>
      <c r="C169" t="s">
        <v>7577</v>
      </c>
      <c r="F169" t="s">
        <v>7789</v>
      </c>
      <c r="H169" t="s">
        <v>6172</v>
      </c>
      <c r="J169">
        <v>-4240000</v>
      </c>
      <c r="L169" t="s">
        <v>6285</v>
      </c>
    </row>
    <row r="170" spans="1:12" x14ac:dyDescent="0.35">
      <c r="A170" t="s">
        <v>101</v>
      </c>
      <c r="B170" s="1">
        <v>45717</v>
      </c>
      <c r="C170" t="s">
        <v>7499</v>
      </c>
      <c r="F170" t="s">
        <v>8415</v>
      </c>
      <c r="G170" t="s">
        <v>6104</v>
      </c>
      <c r="H170" t="s">
        <v>6173</v>
      </c>
      <c r="I170" s="1">
        <v>45688</v>
      </c>
      <c r="K170">
        <v>-1060000</v>
      </c>
      <c r="L170" t="s">
        <v>6803</v>
      </c>
    </row>
    <row r="171" spans="1:12" x14ac:dyDescent="0.35">
      <c r="A171" t="s">
        <v>101</v>
      </c>
      <c r="B171" s="1">
        <v>45717</v>
      </c>
      <c r="C171" t="s">
        <v>7499</v>
      </c>
      <c r="F171" t="s">
        <v>7789</v>
      </c>
      <c r="H171" t="s">
        <v>6173</v>
      </c>
      <c r="J171">
        <v>-1060000</v>
      </c>
      <c r="L171" t="s">
        <v>6285</v>
      </c>
    </row>
    <row r="172" spans="1:12" x14ac:dyDescent="0.35">
      <c r="A172" t="s">
        <v>101</v>
      </c>
      <c r="B172" s="1">
        <v>45717</v>
      </c>
      <c r="C172" t="s">
        <v>7649</v>
      </c>
      <c r="F172" t="s">
        <v>8415</v>
      </c>
      <c r="G172" t="s">
        <v>6104</v>
      </c>
      <c r="H172" t="s">
        <v>6174</v>
      </c>
      <c r="I172" s="1">
        <v>45716</v>
      </c>
      <c r="K172">
        <v>-1060000</v>
      </c>
      <c r="L172" t="s">
        <v>6803</v>
      </c>
    </row>
    <row r="173" spans="1:12" x14ac:dyDescent="0.35">
      <c r="A173" t="s">
        <v>101</v>
      </c>
      <c r="B173" s="1">
        <v>45717</v>
      </c>
      <c r="C173" t="s">
        <v>7649</v>
      </c>
      <c r="F173" t="s">
        <v>7789</v>
      </c>
      <c r="H173" t="s">
        <v>6174</v>
      </c>
      <c r="J173">
        <v>-1060000</v>
      </c>
      <c r="L173" t="s">
        <v>6285</v>
      </c>
    </row>
    <row r="174" spans="1:12" x14ac:dyDescent="0.35">
      <c r="A174" t="s">
        <v>101</v>
      </c>
      <c r="B174" s="1">
        <v>45717</v>
      </c>
      <c r="C174" t="s">
        <v>7657</v>
      </c>
      <c r="F174" t="s">
        <v>8415</v>
      </c>
      <c r="G174" t="s">
        <v>6069</v>
      </c>
      <c r="H174" t="s">
        <v>6175</v>
      </c>
      <c r="I174" s="1">
        <v>45777</v>
      </c>
      <c r="K174">
        <v>-169500</v>
      </c>
      <c r="L174" t="s">
        <v>6803</v>
      </c>
    </row>
    <row r="175" spans="1:12" x14ac:dyDescent="0.35">
      <c r="A175" t="s">
        <v>101</v>
      </c>
      <c r="B175" s="1">
        <v>45717</v>
      </c>
      <c r="C175" t="s">
        <v>7657</v>
      </c>
      <c r="F175" t="s">
        <v>9916</v>
      </c>
      <c r="H175" t="s">
        <v>6175</v>
      </c>
      <c r="J175">
        <v>-169500</v>
      </c>
      <c r="L175" t="s">
        <v>6279</v>
      </c>
    </row>
    <row r="176" spans="1:12" x14ac:dyDescent="0.35">
      <c r="A176" t="s">
        <v>101</v>
      </c>
      <c r="B176" s="1">
        <v>45717</v>
      </c>
      <c r="C176" t="s">
        <v>7659</v>
      </c>
      <c r="F176" t="s">
        <v>8415</v>
      </c>
      <c r="G176" t="s">
        <v>6069</v>
      </c>
      <c r="H176" t="s">
        <v>6175</v>
      </c>
      <c r="I176" s="1">
        <v>45777</v>
      </c>
      <c r="K176">
        <v>-169500</v>
      </c>
      <c r="L176" t="s">
        <v>6803</v>
      </c>
    </row>
    <row r="177" spans="1:12" x14ac:dyDescent="0.35">
      <c r="A177" t="s">
        <v>101</v>
      </c>
      <c r="B177" s="1">
        <v>45717</v>
      </c>
      <c r="C177" t="s">
        <v>7659</v>
      </c>
      <c r="F177" t="s">
        <v>9916</v>
      </c>
      <c r="H177" t="s">
        <v>6175</v>
      </c>
      <c r="J177">
        <v>-169500</v>
      </c>
      <c r="L177" t="s">
        <v>6279</v>
      </c>
    </row>
    <row r="178" spans="1:12" x14ac:dyDescent="0.35">
      <c r="A178" t="s">
        <v>101</v>
      </c>
      <c r="B178" s="1">
        <v>45717</v>
      </c>
      <c r="C178" t="s">
        <v>7500</v>
      </c>
      <c r="F178" t="s">
        <v>8415</v>
      </c>
      <c r="G178" t="s">
        <v>6053</v>
      </c>
      <c r="H178" t="s">
        <v>6176</v>
      </c>
      <c r="I178" s="1">
        <v>45747</v>
      </c>
      <c r="K178">
        <v>-280000</v>
      </c>
      <c r="L178" t="s">
        <v>6803</v>
      </c>
    </row>
    <row r="179" spans="1:12" x14ac:dyDescent="0.35">
      <c r="A179" t="s">
        <v>101</v>
      </c>
      <c r="B179" s="1">
        <v>45717</v>
      </c>
      <c r="C179" t="s">
        <v>7500</v>
      </c>
      <c r="F179" t="s">
        <v>7760</v>
      </c>
      <c r="H179" t="s">
        <v>6176</v>
      </c>
      <c r="J179">
        <v>-280000</v>
      </c>
      <c r="L179" t="s">
        <v>6286</v>
      </c>
    </row>
    <row r="180" spans="1:12" x14ac:dyDescent="0.35">
      <c r="A180" t="s">
        <v>101</v>
      </c>
      <c r="B180" s="1">
        <v>45717</v>
      </c>
      <c r="C180" t="s">
        <v>7503</v>
      </c>
      <c r="F180" t="s">
        <v>8415</v>
      </c>
      <c r="G180" t="s">
        <v>6082</v>
      </c>
      <c r="H180" t="s">
        <v>6177</v>
      </c>
      <c r="I180" s="1">
        <v>45960</v>
      </c>
      <c r="K180">
        <v>-13188459</v>
      </c>
      <c r="L180" t="s">
        <v>6803</v>
      </c>
    </row>
    <row r="181" spans="1:12" x14ac:dyDescent="0.35">
      <c r="A181" t="s">
        <v>101</v>
      </c>
      <c r="B181" s="1">
        <v>45717</v>
      </c>
      <c r="C181" t="s">
        <v>7503</v>
      </c>
      <c r="F181" t="s">
        <v>9956</v>
      </c>
      <c r="H181" t="s">
        <v>6178</v>
      </c>
      <c r="J181">
        <v>-13188459</v>
      </c>
      <c r="L181" t="s">
        <v>6276</v>
      </c>
    </row>
    <row r="182" spans="1:12" x14ac:dyDescent="0.35">
      <c r="A182" t="s">
        <v>101</v>
      </c>
      <c r="B182" s="1">
        <v>45717</v>
      </c>
      <c r="C182" t="s">
        <v>7505</v>
      </c>
      <c r="F182" t="s">
        <v>8415</v>
      </c>
      <c r="G182" t="s">
        <v>6087</v>
      </c>
      <c r="H182" t="s">
        <v>6179</v>
      </c>
      <c r="I182" s="1">
        <v>45961</v>
      </c>
      <c r="K182">
        <v>-10959663</v>
      </c>
      <c r="L182" t="s">
        <v>6803</v>
      </c>
    </row>
    <row r="183" spans="1:12" x14ac:dyDescent="0.35">
      <c r="A183" t="s">
        <v>101</v>
      </c>
      <c r="B183" s="1">
        <v>45717</v>
      </c>
      <c r="C183" t="s">
        <v>7505</v>
      </c>
      <c r="F183" t="s">
        <v>9956</v>
      </c>
      <c r="H183" t="s">
        <v>6179</v>
      </c>
      <c r="J183">
        <v>-10959663</v>
      </c>
      <c r="L183" t="s">
        <v>6276</v>
      </c>
    </row>
    <row r="184" spans="1:12" x14ac:dyDescent="0.35">
      <c r="A184" t="s">
        <v>101</v>
      </c>
      <c r="B184" s="1">
        <v>45717</v>
      </c>
      <c r="C184" t="s">
        <v>7676</v>
      </c>
      <c r="F184" t="s">
        <v>8422</v>
      </c>
      <c r="H184" t="s">
        <v>6180</v>
      </c>
      <c r="I184" s="1">
        <v>45716</v>
      </c>
      <c r="J184">
        <v>7566483</v>
      </c>
      <c r="L184" t="s">
        <v>6803</v>
      </c>
    </row>
    <row r="185" spans="1:12" x14ac:dyDescent="0.35">
      <c r="A185" t="s">
        <v>101</v>
      </c>
      <c r="B185" s="1">
        <v>45717</v>
      </c>
      <c r="C185" t="s">
        <v>7676</v>
      </c>
      <c r="F185" t="s">
        <v>9974</v>
      </c>
      <c r="H185" t="s">
        <v>6180</v>
      </c>
      <c r="K185">
        <v>7566483</v>
      </c>
      <c r="L185" t="s">
        <v>6287</v>
      </c>
    </row>
    <row r="186" spans="1:12" x14ac:dyDescent="0.35">
      <c r="A186" t="s">
        <v>101</v>
      </c>
      <c r="B186" s="1">
        <v>45717</v>
      </c>
      <c r="C186" t="s">
        <v>7679</v>
      </c>
      <c r="F186" t="s">
        <v>8422</v>
      </c>
      <c r="H186" t="s">
        <v>106</v>
      </c>
      <c r="I186" s="1">
        <v>45716</v>
      </c>
      <c r="J186">
        <v>40979000</v>
      </c>
      <c r="L186" t="s">
        <v>6803</v>
      </c>
    </row>
    <row r="187" spans="1:12" x14ac:dyDescent="0.35">
      <c r="A187" t="s">
        <v>101</v>
      </c>
      <c r="B187" s="1">
        <v>45717</v>
      </c>
      <c r="C187" t="s">
        <v>7679</v>
      </c>
      <c r="F187" t="s">
        <v>9974</v>
      </c>
      <c r="H187" t="s">
        <v>6181</v>
      </c>
      <c r="K187">
        <v>4000000</v>
      </c>
      <c r="L187" t="s">
        <v>6288</v>
      </c>
    </row>
    <row r="188" spans="1:12" x14ac:dyDescent="0.35">
      <c r="A188" t="s">
        <v>101</v>
      </c>
      <c r="B188" s="1">
        <v>45717</v>
      </c>
      <c r="C188" t="s">
        <v>7679</v>
      </c>
      <c r="F188" t="s">
        <v>9974</v>
      </c>
      <c r="H188" t="s">
        <v>6181</v>
      </c>
      <c r="K188">
        <v>13455000</v>
      </c>
      <c r="L188" t="s">
        <v>6288</v>
      </c>
    </row>
    <row r="189" spans="1:12" x14ac:dyDescent="0.35">
      <c r="A189" t="s">
        <v>101</v>
      </c>
      <c r="B189" s="1">
        <v>45717</v>
      </c>
      <c r="C189" t="s">
        <v>7679</v>
      </c>
      <c r="F189" t="s">
        <v>9974</v>
      </c>
      <c r="H189" t="s">
        <v>6181</v>
      </c>
      <c r="K189">
        <v>15624000</v>
      </c>
      <c r="L189" t="s">
        <v>6288</v>
      </c>
    </row>
    <row r="190" spans="1:12" x14ac:dyDescent="0.35">
      <c r="A190" t="s">
        <v>101</v>
      </c>
      <c r="B190" s="1">
        <v>45717</v>
      </c>
      <c r="C190" t="s">
        <v>7679</v>
      </c>
      <c r="F190" t="s">
        <v>9974</v>
      </c>
      <c r="H190" t="s">
        <v>6181</v>
      </c>
      <c r="K190">
        <v>7900000</v>
      </c>
      <c r="L190" t="s">
        <v>6288</v>
      </c>
    </row>
    <row r="191" spans="1:12" x14ac:dyDescent="0.35">
      <c r="A191" t="s">
        <v>101</v>
      </c>
      <c r="B191" s="1">
        <v>45747</v>
      </c>
      <c r="C191" t="s">
        <v>7483</v>
      </c>
      <c r="F191" t="s">
        <v>8503</v>
      </c>
      <c r="H191" t="s">
        <v>6182</v>
      </c>
      <c r="K191">
        <v>1066169</v>
      </c>
      <c r="L191" t="s">
        <v>6803</v>
      </c>
    </row>
    <row r="192" spans="1:12" x14ac:dyDescent="0.35">
      <c r="A192" t="s">
        <v>101</v>
      </c>
      <c r="B192" s="1">
        <v>45747</v>
      </c>
      <c r="C192" t="s">
        <v>7483</v>
      </c>
      <c r="F192" t="s">
        <v>7370</v>
      </c>
      <c r="H192" t="s">
        <v>6182</v>
      </c>
      <c r="J192">
        <v>1066169</v>
      </c>
      <c r="L192" t="s">
        <v>6292</v>
      </c>
    </row>
    <row r="193" spans="1:12" x14ac:dyDescent="0.35">
      <c r="A193" t="s">
        <v>101</v>
      </c>
      <c r="B193" s="1">
        <v>45747</v>
      </c>
      <c r="C193" t="s">
        <v>7485</v>
      </c>
      <c r="F193" t="s">
        <v>9975</v>
      </c>
      <c r="H193" t="s">
        <v>2849</v>
      </c>
      <c r="K193">
        <v>15500</v>
      </c>
      <c r="L193" t="s">
        <v>6803</v>
      </c>
    </row>
    <row r="194" spans="1:12" x14ac:dyDescent="0.35">
      <c r="A194" t="s">
        <v>101</v>
      </c>
      <c r="B194" s="1">
        <v>45747</v>
      </c>
      <c r="C194" t="s">
        <v>7485</v>
      </c>
      <c r="F194" t="s">
        <v>9976</v>
      </c>
      <c r="H194" t="s">
        <v>2849</v>
      </c>
      <c r="J194">
        <v>15500</v>
      </c>
      <c r="L194" t="s">
        <v>6276</v>
      </c>
    </row>
    <row r="195" spans="1:12" x14ac:dyDescent="0.35">
      <c r="A195" t="s">
        <v>101</v>
      </c>
      <c r="B195" s="1">
        <v>45747</v>
      </c>
      <c r="C195" t="s">
        <v>7593</v>
      </c>
      <c r="F195" t="s">
        <v>8503</v>
      </c>
      <c r="H195" t="s">
        <v>6183</v>
      </c>
      <c r="K195">
        <v>137884</v>
      </c>
      <c r="L195" t="s">
        <v>6803</v>
      </c>
    </row>
    <row r="196" spans="1:12" x14ac:dyDescent="0.35">
      <c r="A196" t="s">
        <v>101</v>
      </c>
      <c r="B196" s="1">
        <v>45747</v>
      </c>
      <c r="C196" t="s">
        <v>7593</v>
      </c>
      <c r="F196" t="s">
        <v>8503</v>
      </c>
      <c r="H196" t="s">
        <v>6183</v>
      </c>
      <c r="K196">
        <v>206826</v>
      </c>
      <c r="L196" t="s">
        <v>6803</v>
      </c>
    </row>
    <row r="197" spans="1:12" x14ac:dyDescent="0.35">
      <c r="A197" t="s">
        <v>101</v>
      </c>
      <c r="B197" s="1">
        <v>45747</v>
      </c>
      <c r="C197" t="s">
        <v>7593</v>
      </c>
      <c r="F197" t="s">
        <v>8506</v>
      </c>
      <c r="H197" t="s">
        <v>6183</v>
      </c>
      <c r="J197">
        <v>137884</v>
      </c>
      <c r="L197" t="s">
        <v>6280</v>
      </c>
    </row>
    <row r="198" spans="1:12" x14ac:dyDescent="0.35">
      <c r="A198" t="s">
        <v>101</v>
      </c>
      <c r="B198" s="1">
        <v>45747</v>
      </c>
      <c r="C198" t="s">
        <v>7593</v>
      </c>
      <c r="F198" t="s">
        <v>8507</v>
      </c>
      <c r="H198" t="s">
        <v>6183</v>
      </c>
      <c r="J198">
        <v>206826</v>
      </c>
      <c r="L198" t="s">
        <v>6280</v>
      </c>
    </row>
    <row r="199" spans="1:12" x14ac:dyDescent="0.35">
      <c r="A199" t="s">
        <v>101</v>
      </c>
      <c r="B199" s="1">
        <v>45747</v>
      </c>
      <c r="C199" t="s">
        <v>7596</v>
      </c>
      <c r="F199" t="s">
        <v>9977</v>
      </c>
      <c r="H199" t="s">
        <v>6184</v>
      </c>
      <c r="K199">
        <v>405375</v>
      </c>
      <c r="L199" t="s">
        <v>6803</v>
      </c>
    </row>
    <row r="200" spans="1:12" x14ac:dyDescent="0.35">
      <c r="A200" t="s">
        <v>101</v>
      </c>
      <c r="B200" s="1">
        <v>45747</v>
      </c>
      <c r="C200" t="s">
        <v>7596</v>
      </c>
      <c r="F200" t="s">
        <v>9978</v>
      </c>
      <c r="H200" t="s">
        <v>6184</v>
      </c>
      <c r="K200">
        <v>211500</v>
      </c>
      <c r="L200" t="s">
        <v>6803</v>
      </c>
    </row>
    <row r="201" spans="1:12" x14ac:dyDescent="0.35">
      <c r="A201" t="s">
        <v>101</v>
      </c>
      <c r="B201" s="1">
        <v>45747</v>
      </c>
      <c r="C201" t="s">
        <v>7596</v>
      </c>
      <c r="F201" t="s">
        <v>7883</v>
      </c>
      <c r="H201" t="s">
        <v>6184</v>
      </c>
      <c r="K201">
        <v>2460819</v>
      </c>
      <c r="L201" t="s">
        <v>6803</v>
      </c>
    </row>
    <row r="202" spans="1:12" x14ac:dyDescent="0.35">
      <c r="A202" t="s">
        <v>101</v>
      </c>
      <c r="B202" s="1">
        <v>45747</v>
      </c>
      <c r="C202" t="s">
        <v>7596</v>
      </c>
      <c r="F202" t="s">
        <v>7345</v>
      </c>
      <c r="H202" t="s">
        <v>6184</v>
      </c>
      <c r="J202">
        <v>3077694</v>
      </c>
      <c r="L202" t="s">
        <v>6280</v>
      </c>
    </row>
    <row r="203" spans="1:12" x14ac:dyDescent="0.35">
      <c r="A203" t="s">
        <v>101</v>
      </c>
      <c r="B203" s="1">
        <v>45747</v>
      </c>
      <c r="C203" t="s">
        <v>7598</v>
      </c>
      <c r="F203" t="s">
        <v>8415</v>
      </c>
      <c r="G203" t="s">
        <v>6185</v>
      </c>
      <c r="H203" t="s">
        <v>6186</v>
      </c>
      <c r="I203" s="1">
        <v>45777</v>
      </c>
      <c r="K203">
        <v>1120000</v>
      </c>
      <c r="L203" t="s">
        <v>6803</v>
      </c>
    </row>
    <row r="204" spans="1:12" x14ac:dyDescent="0.35">
      <c r="A204" t="s">
        <v>101</v>
      </c>
      <c r="B204" s="1">
        <v>45747</v>
      </c>
      <c r="C204" t="s">
        <v>7598</v>
      </c>
      <c r="F204" t="s">
        <v>7789</v>
      </c>
      <c r="H204" t="s">
        <v>6186</v>
      </c>
      <c r="J204">
        <v>1120000</v>
      </c>
      <c r="L204" t="s">
        <v>6279</v>
      </c>
    </row>
    <row r="205" spans="1:12" x14ac:dyDescent="0.35">
      <c r="A205" t="s">
        <v>101</v>
      </c>
      <c r="B205" s="1">
        <v>45747</v>
      </c>
      <c r="C205" t="s">
        <v>7599</v>
      </c>
      <c r="F205" t="s">
        <v>8415</v>
      </c>
      <c r="G205" t="s">
        <v>6074</v>
      </c>
      <c r="H205" t="s">
        <v>6187</v>
      </c>
      <c r="I205" s="1">
        <v>45747</v>
      </c>
      <c r="K205">
        <v>1022673</v>
      </c>
      <c r="L205" t="s">
        <v>6803</v>
      </c>
    </row>
    <row r="206" spans="1:12" x14ac:dyDescent="0.35">
      <c r="A206" t="s">
        <v>101</v>
      </c>
      <c r="B206" s="1">
        <v>45747</v>
      </c>
      <c r="C206" t="s">
        <v>7599</v>
      </c>
      <c r="F206" t="s">
        <v>8105</v>
      </c>
      <c r="H206" t="s">
        <v>6187</v>
      </c>
      <c r="J206">
        <v>1022673</v>
      </c>
      <c r="L206" t="s">
        <v>6279</v>
      </c>
    </row>
    <row r="207" spans="1:12" x14ac:dyDescent="0.35">
      <c r="A207" t="s">
        <v>101</v>
      </c>
      <c r="B207" s="1">
        <v>45747</v>
      </c>
      <c r="C207" t="s">
        <v>7600</v>
      </c>
      <c r="F207" t="s">
        <v>8415</v>
      </c>
      <c r="G207" t="s">
        <v>6069</v>
      </c>
      <c r="H207" t="s">
        <v>6188</v>
      </c>
      <c r="I207" s="1">
        <v>45777</v>
      </c>
      <c r="K207">
        <v>169500</v>
      </c>
      <c r="L207" t="s">
        <v>6803</v>
      </c>
    </row>
    <row r="208" spans="1:12" x14ac:dyDescent="0.35">
      <c r="A208" t="s">
        <v>101</v>
      </c>
      <c r="B208" s="1">
        <v>45747</v>
      </c>
      <c r="C208" t="s">
        <v>7600</v>
      </c>
      <c r="F208" t="s">
        <v>9916</v>
      </c>
      <c r="H208" t="s">
        <v>6188</v>
      </c>
      <c r="J208">
        <v>169500</v>
      </c>
      <c r="L208" t="s">
        <v>6279</v>
      </c>
    </row>
    <row r="209" spans="1:12" x14ac:dyDescent="0.35">
      <c r="A209" t="s">
        <v>101</v>
      </c>
      <c r="B209" s="1">
        <v>45747</v>
      </c>
      <c r="C209" t="s">
        <v>7601</v>
      </c>
      <c r="F209" t="s">
        <v>8415</v>
      </c>
      <c r="G209" t="s">
        <v>6053</v>
      </c>
      <c r="H209" t="s">
        <v>6189</v>
      </c>
      <c r="I209" s="1">
        <v>45747</v>
      </c>
      <c r="K209">
        <v>419100</v>
      </c>
      <c r="L209" t="s">
        <v>6803</v>
      </c>
    </row>
    <row r="210" spans="1:12" x14ac:dyDescent="0.35">
      <c r="A210" t="s">
        <v>101</v>
      </c>
      <c r="B210" s="1">
        <v>45747</v>
      </c>
      <c r="C210" t="s">
        <v>7601</v>
      </c>
      <c r="F210" t="s">
        <v>7760</v>
      </c>
      <c r="H210" t="s">
        <v>6189</v>
      </c>
      <c r="J210">
        <v>419100</v>
      </c>
      <c r="L210" t="s">
        <v>6286</v>
      </c>
    </row>
    <row r="211" spans="1:12" x14ac:dyDescent="0.35">
      <c r="A211" t="s">
        <v>101</v>
      </c>
      <c r="B211" s="1">
        <v>45747</v>
      </c>
      <c r="C211" t="s">
        <v>7603</v>
      </c>
      <c r="F211" t="s">
        <v>8415</v>
      </c>
      <c r="G211" t="s">
        <v>6061</v>
      </c>
      <c r="H211" t="s">
        <v>6190</v>
      </c>
      <c r="I211" s="1">
        <v>45747</v>
      </c>
      <c r="K211">
        <v>508450</v>
      </c>
      <c r="L211" t="s">
        <v>6803</v>
      </c>
    </row>
    <row r="212" spans="1:12" x14ac:dyDescent="0.35">
      <c r="A212" t="s">
        <v>101</v>
      </c>
      <c r="B212" s="1">
        <v>45747</v>
      </c>
      <c r="C212" t="s">
        <v>7603</v>
      </c>
      <c r="F212" t="s">
        <v>8070</v>
      </c>
      <c r="H212" t="s">
        <v>6190</v>
      </c>
      <c r="J212">
        <v>508450</v>
      </c>
      <c r="L212" t="s">
        <v>6296</v>
      </c>
    </row>
    <row r="213" spans="1:12" x14ac:dyDescent="0.35">
      <c r="A213" t="s">
        <v>101</v>
      </c>
      <c r="B213" s="1">
        <v>45747</v>
      </c>
      <c r="C213" t="s">
        <v>7549</v>
      </c>
      <c r="F213" t="s">
        <v>9979</v>
      </c>
      <c r="H213" t="s">
        <v>114</v>
      </c>
      <c r="K213">
        <v>154646</v>
      </c>
      <c r="L213" t="s">
        <v>6803</v>
      </c>
    </row>
    <row r="214" spans="1:12" x14ac:dyDescent="0.35">
      <c r="A214" t="s">
        <v>101</v>
      </c>
      <c r="B214" s="1">
        <v>45747</v>
      </c>
      <c r="C214" t="s">
        <v>7549</v>
      </c>
      <c r="F214" t="s">
        <v>9980</v>
      </c>
      <c r="H214" t="s">
        <v>114</v>
      </c>
      <c r="J214">
        <v>154646</v>
      </c>
      <c r="L214" t="s">
        <v>6272</v>
      </c>
    </row>
    <row r="215" spans="1:12" x14ac:dyDescent="0.35">
      <c r="A215" t="s">
        <v>101</v>
      </c>
      <c r="B215" s="1">
        <v>45747</v>
      </c>
      <c r="C215" t="s">
        <v>7486</v>
      </c>
      <c r="E215" t="s">
        <v>6191</v>
      </c>
      <c r="F215" t="s">
        <v>7338</v>
      </c>
      <c r="H215" t="s">
        <v>113</v>
      </c>
      <c r="K215">
        <v>7984000</v>
      </c>
      <c r="L215" t="s">
        <v>6803</v>
      </c>
    </row>
    <row r="216" spans="1:12" x14ac:dyDescent="0.35">
      <c r="A216" t="s">
        <v>101</v>
      </c>
      <c r="B216" s="1">
        <v>45747</v>
      </c>
      <c r="C216" t="s">
        <v>7486</v>
      </c>
      <c r="E216" t="s">
        <v>6191</v>
      </c>
      <c r="F216" t="s">
        <v>8494</v>
      </c>
      <c r="H216" t="s">
        <v>113</v>
      </c>
      <c r="J216">
        <v>7984000</v>
      </c>
      <c r="L216" t="s">
        <v>6272</v>
      </c>
    </row>
    <row r="217" spans="1:12" x14ac:dyDescent="0.35">
      <c r="A217" t="s">
        <v>101</v>
      </c>
      <c r="B217" s="1">
        <v>45747</v>
      </c>
      <c r="C217" t="s">
        <v>7607</v>
      </c>
      <c r="F217" t="s">
        <v>9939</v>
      </c>
      <c r="G217" t="s">
        <v>6078</v>
      </c>
      <c r="H217" t="s">
        <v>6192</v>
      </c>
      <c r="K217">
        <v>7260000</v>
      </c>
      <c r="L217" t="s">
        <v>6803</v>
      </c>
    </row>
    <row r="218" spans="1:12" x14ac:dyDescent="0.35">
      <c r="A218" t="s">
        <v>101</v>
      </c>
      <c r="B218" s="1">
        <v>45747</v>
      </c>
      <c r="C218" t="s">
        <v>7607</v>
      </c>
      <c r="F218" t="s">
        <v>7338</v>
      </c>
      <c r="H218" t="s">
        <v>6192</v>
      </c>
      <c r="J218">
        <v>7260000</v>
      </c>
      <c r="L218" t="s">
        <v>6803</v>
      </c>
    </row>
    <row r="219" spans="1:12" x14ac:dyDescent="0.35">
      <c r="A219" t="s">
        <v>101</v>
      </c>
      <c r="B219" s="1">
        <v>45747</v>
      </c>
      <c r="C219" t="s">
        <v>7173</v>
      </c>
      <c r="E219" t="s">
        <v>116</v>
      </c>
      <c r="F219" t="s">
        <v>9981</v>
      </c>
      <c r="H219" t="s">
        <v>6193</v>
      </c>
      <c r="K219">
        <v>40000</v>
      </c>
      <c r="L219" t="s">
        <v>6803</v>
      </c>
    </row>
    <row r="220" spans="1:12" x14ac:dyDescent="0.35">
      <c r="A220" t="s">
        <v>101</v>
      </c>
      <c r="B220" s="1">
        <v>45747</v>
      </c>
      <c r="C220" t="s">
        <v>7173</v>
      </c>
      <c r="E220" t="s">
        <v>116</v>
      </c>
      <c r="F220" t="s">
        <v>9982</v>
      </c>
      <c r="H220" t="s">
        <v>6194</v>
      </c>
      <c r="K220">
        <v>389874</v>
      </c>
      <c r="L220" t="s">
        <v>6803</v>
      </c>
    </row>
    <row r="221" spans="1:12" x14ac:dyDescent="0.35">
      <c r="A221" t="s">
        <v>101</v>
      </c>
      <c r="B221" s="1">
        <v>45747</v>
      </c>
      <c r="C221" t="s">
        <v>7173</v>
      </c>
      <c r="E221" t="s">
        <v>116</v>
      </c>
      <c r="F221" t="s">
        <v>9983</v>
      </c>
      <c r="H221" t="s">
        <v>6195</v>
      </c>
      <c r="K221">
        <v>1020611</v>
      </c>
      <c r="L221" t="s">
        <v>6803</v>
      </c>
    </row>
    <row r="222" spans="1:12" x14ac:dyDescent="0.35">
      <c r="A222" t="s">
        <v>101</v>
      </c>
      <c r="B222" s="1">
        <v>45747</v>
      </c>
      <c r="C222" t="s">
        <v>7173</v>
      </c>
      <c r="E222" t="s">
        <v>116</v>
      </c>
      <c r="F222" t="s">
        <v>8477</v>
      </c>
      <c r="H222" t="s">
        <v>6196</v>
      </c>
      <c r="K222">
        <v>422659</v>
      </c>
      <c r="L222" t="s">
        <v>6803</v>
      </c>
    </row>
    <row r="223" spans="1:12" x14ac:dyDescent="0.35">
      <c r="A223" t="s">
        <v>101</v>
      </c>
      <c r="B223" s="1">
        <v>45747</v>
      </c>
      <c r="C223" t="s">
        <v>7173</v>
      </c>
      <c r="E223" t="s">
        <v>116</v>
      </c>
      <c r="F223" t="s">
        <v>8478</v>
      </c>
      <c r="H223" t="s">
        <v>6197</v>
      </c>
      <c r="K223">
        <v>512835</v>
      </c>
      <c r="L223" t="s">
        <v>6803</v>
      </c>
    </row>
    <row r="224" spans="1:12" x14ac:dyDescent="0.35">
      <c r="A224" t="s">
        <v>101</v>
      </c>
      <c r="B224" s="1">
        <v>45747</v>
      </c>
      <c r="C224" t="s">
        <v>7173</v>
      </c>
      <c r="E224" t="s">
        <v>116</v>
      </c>
      <c r="F224" t="s">
        <v>8485</v>
      </c>
      <c r="H224" t="s">
        <v>6198</v>
      </c>
      <c r="J224">
        <v>40000</v>
      </c>
      <c r="L224" t="s">
        <v>6297</v>
      </c>
    </row>
    <row r="225" spans="1:12" x14ac:dyDescent="0.35">
      <c r="A225" t="s">
        <v>101</v>
      </c>
      <c r="B225" s="1">
        <v>45747</v>
      </c>
      <c r="C225" t="s">
        <v>7173</v>
      </c>
      <c r="E225" t="s">
        <v>116</v>
      </c>
      <c r="F225" t="s">
        <v>8486</v>
      </c>
      <c r="H225" t="s">
        <v>6199</v>
      </c>
      <c r="J225">
        <v>2345979</v>
      </c>
      <c r="L225" t="s">
        <v>6297</v>
      </c>
    </row>
    <row r="226" spans="1:12" x14ac:dyDescent="0.35">
      <c r="A226" t="s">
        <v>101</v>
      </c>
      <c r="B226" s="1">
        <v>45747</v>
      </c>
      <c r="C226" t="s">
        <v>7651</v>
      </c>
      <c r="F226" t="s">
        <v>7867</v>
      </c>
      <c r="G226" t="s">
        <v>6200</v>
      </c>
      <c r="H226" t="s">
        <v>6201</v>
      </c>
      <c r="I226" s="1">
        <v>45747</v>
      </c>
      <c r="J226">
        <v>1</v>
      </c>
      <c r="L226" t="s">
        <v>6803</v>
      </c>
    </row>
    <row r="227" spans="1:12" x14ac:dyDescent="0.35">
      <c r="A227" t="s">
        <v>101</v>
      </c>
      <c r="B227" s="1">
        <v>45747</v>
      </c>
      <c r="C227" t="s">
        <v>7651</v>
      </c>
      <c r="F227" t="s">
        <v>7324</v>
      </c>
      <c r="H227" t="s">
        <v>6201</v>
      </c>
      <c r="K227">
        <v>1</v>
      </c>
      <c r="L227" t="s">
        <v>6272</v>
      </c>
    </row>
    <row r="228" spans="1:12" x14ac:dyDescent="0.35">
      <c r="A228" t="s">
        <v>101</v>
      </c>
      <c r="B228" s="1">
        <v>45747</v>
      </c>
      <c r="C228" t="s">
        <v>7653</v>
      </c>
      <c r="F228" t="s">
        <v>8419</v>
      </c>
      <c r="H228" t="s">
        <v>120</v>
      </c>
      <c r="J228">
        <v>27836358</v>
      </c>
      <c r="L228" t="s">
        <v>6803</v>
      </c>
    </row>
    <row r="229" spans="1:12" x14ac:dyDescent="0.35">
      <c r="A229" t="s">
        <v>101</v>
      </c>
      <c r="B229" s="1">
        <v>45747</v>
      </c>
      <c r="C229" t="s">
        <v>7653</v>
      </c>
      <c r="F229" t="s">
        <v>7836</v>
      </c>
      <c r="H229" t="s">
        <v>120</v>
      </c>
      <c r="K229">
        <v>7402553</v>
      </c>
      <c r="L229" t="s">
        <v>6803</v>
      </c>
    </row>
    <row r="230" spans="1:12" x14ac:dyDescent="0.35">
      <c r="A230" t="s">
        <v>101</v>
      </c>
      <c r="B230" s="1">
        <v>45747</v>
      </c>
      <c r="C230" t="s">
        <v>7653</v>
      </c>
      <c r="F230" t="s">
        <v>9984</v>
      </c>
      <c r="H230" t="s">
        <v>120</v>
      </c>
      <c r="K230">
        <v>12394819</v>
      </c>
      <c r="L230" t="s">
        <v>6803</v>
      </c>
    </row>
    <row r="231" spans="1:12" x14ac:dyDescent="0.35">
      <c r="A231" t="s">
        <v>101</v>
      </c>
      <c r="B231" s="1">
        <v>45747</v>
      </c>
      <c r="C231" t="s">
        <v>7653</v>
      </c>
      <c r="F231" t="s">
        <v>8402</v>
      </c>
      <c r="H231" t="s">
        <v>120</v>
      </c>
      <c r="K231">
        <v>27720</v>
      </c>
      <c r="L231" t="s">
        <v>6803</v>
      </c>
    </row>
    <row r="232" spans="1:12" x14ac:dyDescent="0.35">
      <c r="A232" t="s">
        <v>101</v>
      </c>
      <c r="B232" s="1">
        <v>45747</v>
      </c>
      <c r="C232" t="s">
        <v>7653</v>
      </c>
      <c r="F232" t="s">
        <v>6806</v>
      </c>
      <c r="H232" t="s">
        <v>120</v>
      </c>
      <c r="K232">
        <v>511444</v>
      </c>
      <c r="L232" t="s">
        <v>6803</v>
      </c>
    </row>
    <row r="233" spans="1:12" x14ac:dyDescent="0.35">
      <c r="A233" t="s">
        <v>101</v>
      </c>
      <c r="B233" s="1">
        <v>45747</v>
      </c>
      <c r="C233" t="s">
        <v>7653</v>
      </c>
      <c r="F233" t="s">
        <v>6819</v>
      </c>
      <c r="H233" t="s">
        <v>120</v>
      </c>
      <c r="K233">
        <v>7499822</v>
      </c>
      <c r="L233" t="s">
        <v>6803</v>
      </c>
    </row>
    <row r="234" spans="1:12" x14ac:dyDescent="0.35">
      <c r="A234" t="s">
        <v>101</v>
      </c>
      <c r="B234" s="1">
        <v>45747</v>
      </c>
      <c r="C234" t="s">
        <v>7655</v>
      </c>
      <c r="F234" t="s">
        <v>8503</v>
      </c>
      <c r="H234" t="s">
        <v>6202</v>
      </c>
      <c r="K234">
        <v>31548</v>
      </c>
      <c r="L234" t="s">
        <v>6803</v>
      </c>
    </row>
    <row r="235" spans="1:12" x14ac:dyDescent="0.35">
      <c r="A235" t="s">
        <v>101</v>
      </c>
      <c r="B235" s="1">
        <v>45747</v>
      </c>
      <c r="C235" t="s">
        <v>7655</v>
      </c>
      <c r="F235" t="s">
        <v>7370</v>
      </c>
      <c r="H235" t="s">
        <v>6202</v>
      </c>
      <c r="J235">
        <v>31548</v>
      </c>
      <c r="L235" t="s">
        <v>6280</v>
      </c>
    </row>
    <row r="236" spans="1:12" x14ac:dyDescent="0.35">
      <c r="A236" t="s">
        <v>101</v>
      </c>
      <c r="B236" s="1">
        <v>45747</v>
      </c>
      <c r="C236" t="s">
        <v>7507</v>
      </c>
      <c r="F236" t="s">
        <v>8415</v>
      </c>
      <c r="G236" t="s">
        <v>6203</v>
      </c>
      <c r="H236" t="s">
        <v>6204</v>
      </c>
      <c r="I236" s="1">
        <v>46022</v>
      </c>
      <c r="K236">
        <v>1521035</v>
      </c>
      <c r="L236" t="s">
        <v>6803</v>
      </c>
    </row>
    <row r="237" spans="1:12" x14ac:dyDescent="0.35">
      <c r="A237" t="s">
        <v>101</v>
      </c>
      <c r="B237" s="1">
        <v>45747</v>
      </c>
      <c r="C237" t="s">
        <v>7507</v>
      </c>
      <c r="F237" t="s">
        <v>7760</v>
      </c>
      <c r="H237" t="s">
        <v>6204</v>
      </c>
      <c r="J237">
        <v>1521035</v>
      </c>
      <c r="L237" t="s">
        <v>6279</v>
      </c>
    </row>
    <row r="238" spans="1:12" x14ac:dyDescent="0.35">
      <c r="A238" t="s">
        <v>101</v>
      </c>
      <c r="B238" s="1">
        <v>45747</v>
      </c>
      <c r="C238" t="s">
        <v>7661</v>
      </c>
      <c r="F238" t="s">
        <v>8415</v>
      </c>
      <c r="G238" t="s">
        <v>6082</v>
      </c>
      <c r="H238" t="s">
        <v>6205</v>
      </c>
      <c r="I238" s="1">
        <v>45960</v>
      </c>
      <c r="K238">
        <v>10595753</v>
      </c>
      <c r="L238" t="s">
        <v>6803</v>
      </c>
    </row>
    <row r="239" spans="1:12" x14ac:dyDescent="0.35">
      <c r="A239" t="s">
        <v>101</v>
      </c>
      <c r="B239" s="1">
        <v>45747</v>
      </c>
      <c r="C239" t="s">
        <v>7661</v>
      </c>
      <c r="F239" t="s">
        <v>9956</v>
      </c>
      <c r="H239" t="s">
        <v>6206</v>
      </c>
      <c r="J239">
        <v>10595753</v>
      </c>
      <c r="L239" t="s">
        <v>6276</v>
      </c>
    </row>
    <row r="240" spans="1:12" x14ac:dyDescent="0.35">
      <c r="A240" t="s">
        <v>101</v>
      </c>
      <c r="B240" s="1">
        <v>45747</v>
      </c>
      <c r="C240" t="s">
        <v>7665</v>
      </c>
      <c r="F240" t="s">
        <v>8415</v>
      </c>
      <c r="G240" t="s">
        <v>6087</v>
      </c>
      <c r="H240" t="s">
        <v>6207</v>
      </c>
      <c r="I240" s="1">
        <v>45961</v>
      </c>
      <c r="K240">
        <v>13154875</v>
      </c>
      <c r="L240" t="s">
        <v>6803</v>
      </c>
    </row>
    <row r="241" spans="1:12" x14ac:dyDescent="0.35">
      <c r="A241" t="s">
        <v>101</v>
      </c>
      <c r="B241" s="1">
        <v>45747</v>
      </c>
      <c r="C241" t="s">
        <v>7665</v>
      </c>
      <c r="F241" t="s">
        <v>9956</v>
      </c>
      <c r="H241" t="s">
        <v>6207</v>
      </c>
      <c r="J241">
        <v>13154875</v>
      </c>
      <c r="L241" t="s">
        <v>6276</v>
      </c>
    </row>
    <row r="242" spans="1:12" x14ac:dyDescent="0.35">
      <c r="A242" t="s">
        <v>101</v>
      </c>
      <c r="B242" s="1">
        <v>45747</v>
      </c>
      <c r="C242" t="s">
        <v>7682</v>
      </c>
      <c r="F242" t="s">
        <v>8422</v>
      </c>
      <c r="H242" t="s">
        <v>6208</v>
      </c>
      <c r="I242" s="1">
        <v>45747</v>
      </c>
      <c r="J242">
        <v>-82657810</v>
      </c>
      <c r="L242" t="s">
        <v>6803</v>
      </c>
    </row>
    <row r="243" spans="1:12" x14ac:dyDescent="0.35">
      <c r="A243" t="s">
        <v>101</v>
      </c>
      <c r="B243" s="1">
        <v>45747</v>
      </c>
      <c r="C243" t="s">
        <v>7682</v>
      </c>
      <c r="F243" t="s">
        <v>9974</v>
      </c>
      <c r="H243" t="s">
        <v>6209</v>
      </c>
      <c r="K243">
        <v>-8000000</v>
      </c>
      <c r="L243" t="s">
        <v>6288</v>
      </c>
    </row>
    <row r="244" spans="1:12" x14ac:dyDescent="0.35">
      <c r="A244" t="s">
        <v>101</v>
      </c>
      <c r="B244" s="1">
        <v>45747</v>
      </c>
      <c r="C244" t="s">
        <v>7682</v>
      </c>
      <c r="F244" t="s">
        <v>9974</v>
      </c>
      <c r="H244" t="s">
        <v>6209</v>
      </c>
      <c r="K244">
        <v>-27909810</v>
      </c>
      <c r="L244" t="s">
        <v>6288</v>
      </c>
    </row>
    <row r="245" spans="1:12" x14ac:dyDescent="0.35">
      <c r="A245" t="s">
        <v>101</v>
      </c>
      <c r="B245" s="1">
        <v>45747</v>
      </c>
      <c r="C245" t="s">
        <v>7682</v>
      </c>
      <c r="F245" t="s">
        <v>9974</v>
      </c>
      <c r="H245" t="s">
        <v>6209</v>
      </c>
      <c r="K245">
        <v>-31248000</v>
      </c>
      <c r="L245" t="s">
        <v>6288</v>
      </c>
    </row>
    <row r="246" spans="1:12" x14ac:dyDescent="0.35">
      <c r="A246" t="s">
        <v>101</v>
      </c>
      <c r="B246" s="1">
        <v>45747</v>
      </c>
      <c r="C246" t="s">
        <v>7682</v>
      </c>
      <c r="F246" t="s">
        <v>9974</v>
      </c>
      <c r="H246" t="s">
        <v>6209</v>
      </c>
      <c r="K246">
        <v>-15500000</v>
      </c>
      <c r="L246" t="s">
        <v>6288</v>
      </c>
    </row>
    <row r="247" spans="1:12" x14ac:dyDescent="0.35">
      <c r="A247" t="s">
        <v>101</v>
      </c>
      <c r="B247" s="1">
        <v>45747</v>
      </c>
      <c r="C247" t="s">
        <v>7684</v>
      </c>
      <c r="F247" t="s">
        <v>8422</v>
      </c>
      <c r="H247" t="s">
        <v>6210</v>
      </c>
      <c r="I247" s="1">
        <v>45747</v>
      </c>
      <c r="J247">
        <v>29662326</v>
      </c>
      <c r="L247" t="s">
        <v>6803</v>
      </c>
    </row>
    <row r="248" spans="1:12" x14ac:dyDescent="0.35">
      <c r="A248" t="s">
        <v>101</v>
      </c>
      <c r="B248" s="1">
        <v>45747</v>
      </c>
      <c r="C248" t="s">
        <v>7684</v>
      </c>
      <c r="F248" t="s">
        <v>9974</v>
      </c>
      <c r="H248" t="s">
        <v>6210</v>
      </c>
      <c r="K248">
        <v>29662326</v>
      </c>
      <c r="L248" t="s">
        <v>6287</v>
      </c>
    </row>
    <row r="249" spans="1:12" x14ac:dyDescent="0.35">
      <c r="A249" t="s">
        <v>101</v>
      </c>
      <c r="B249" s="1">
        <v>45747</v>
      </c>
      <c r="C249" t="s">
        <v>7578</v>
      </c>
      <c r="F249" t="s">
        <v>6804</v>
      </c>
      <c r="G249" t="s">
        <v>6104</v>
      </c>
      <c r="H249" t="s">
        <v>6211</v>
      </c>
      <c r="I249" s="1">
        <v>45747</v>
      </c>
      <c r="K249">
        <v>1060000</v>
      </c>
      <c r="L249" t="s">
        <v>6803</v>
      </c>
    </row>
    <row r="250" spans="1:12" x14ac:dyDescent="0.35">
      <c r="A250" t="s">
        <v>101</v>
      </c>
      <c r="B250" s="1">
        <v>45747</v>
      </c>
      <c r="C250" t="s">
        <v>7578</v>
      </c>
      <c r="F250" t="s">
        <v>7789</v>
      </c>
      <c r="H250" t="s">
        <v>6211</v>
      </c>
      <c r="J250">
        <v>1060000</v>
      </c>
      <c r="L250" t="s">
        <v>6285</v>
      </c>
    </row>
    <row r="251" spans="1:12" x14ac:dyDescent="0.35">
      <c r="A251" t="s">
        <v>6212</v>
      </c>
      <c r="B251" s="1">
        <v>45746</v>
      </c>
      <c r="C251" t="s">
        <v>7593</v>
      </c>
      <c r="E251" t="s">
        <v>6213</v>
      </c>
      <c r="F251" t="s">
        <v>9985</v>
      </c>
      <c r="H251" t="s">
        <v>6214</v>
      </c>
      <c r="I251" s="1">
        <v>45746</v>
      </c>
      <c r="K251">
        <v>884000</v>
      </c>
      <c r="L251" t="s">
        <v>6803</v>
      </c>
    </row>
    <row r="252" spans="1:12" x14ac:dyDescent="0.35">
      <c r="A252" t="s">
        <v>6212</v>
      </c>
      <c r="B252" s="1">
        <v>45746</v>
      </c>
      <c r="C252" t="s">
        <v>7593</v>
      </c>
      <c r="E252" t="s">
        <v>6213</v>
      </c>
      <c r="F252" t="s">
        <v>7847</v>
      </c>
      <c r="H252" t="s">
        <v>6214</v>
      </c>
      <c r="I252" s="1">
        <v>45746</v>
      </c>
      <c r="K252">
        <v>31825334</v>
      </c>
      <c r="L252" t="s">
        <v>6803</v>
      </c>
    </row>
    <row r="253" spans="1:12" x14ac:dyDescent="0.35">
      <c r="A253" t="s">
        <v>6212</v>
      </c>
      <c r="B253" s="1">
        <v>45746</v>
      </c>
      <c r="C253" t="s">
        <v>7593</v>
      </c>
      <c r="E253" t="s">
        <v>6213</v>
      </c>
      <c r="F253" t="s">
        <v>9975</v>
      </c>
      <c r="H253" t="s">
        <v>6214</v>
      </c>
      <c r="K253">
        <v>91500</v>
      </c>
      <c r="L253" t="s">
        <v>6803</v>
      </c>
    </row>
    <row r="254" spans="1:12" x14ac:dyDescent="0.35">
      <c r="A254" t="s">
        <v>6212</v>
      </c>
      <c r="B254" s="1">
        <v>45746</v>
      </c>
      <c r="C254" t="s">
        <v>7593</v>
      </c>
      <c r="E254" t="s">
        <v>6213</v>
      </c>
      <c r="F254" t="s">
        <v>7883</v>
      </c>
      <c r="H254" t="s">
        <v>6214</v>
      </c>
      <c r="K254">
        <v>2013396</v>
      </c>
      <c r="L254" t="s">
        <v>6803</v>
      </c>
    </row>
    <row r="255" spans="1:12" x14ac:dyDescent="0.35">
      <c r="A255" t="s">
        <v>6212</v>
      </c>
      <c r="B255" s="1">
        <v>45746</v>
      </c>
      <c r="C255" t="s">
        <v>7593</v>
      </c>
      <c r="E255" t="s">
        <v>6213</v>
      </c>
      <c r="F255" t="s">
        <v>8503</v>
      </c>
      <c r="H255" t="s">
        <v>6214</v>
      </c>
      <c r="K255">
        <v>4642870</v>
      </c>
      <c r="L255" t="s">
        <v>6803</v>
      </c>
    </row>
    <row r="256" spans="1:12" x14ac:dyDescent="0.35">
      <c r="A256" t="s">
        <v>6212</v>
      </c>
      <c r="B256" s="1">
        <v>45746</v>
      </c>
      <c r="C256" t="s">
        <v>7593</v>
      </c>
      <c r="E256" t="s">
        <v>6213</v>
      </c>
      <c r="F256" t="s">
        <v>8508</v>
      </c>
      <c r="H256" t="s">
        <v>6214</v>
      </c>
      <c r="J256">
        <v>31187393</v>
      </c>
      <c r="L256" t="s">
        <v>6280</v>
      </c>
    </row>
    <row r="257" spans="1:12" x14ac:dyDescent="0.35">
      <c r="A257" t="s">
        <v>6212</v>
      </c>
      <c r="B257" s="1">
        <v>45746</v>
      </c>
      <c r="C257" t="s">
        <v>7593</v>
      </c>
      <c r="E257" t="s">
        <v>6213</v>
      </c>
      <c r="F257" t="s">
        <v>9986</v>
      </c>
      <c r="H257" t="s">
        <v>6214</v>
      </c>
      <c r="J257">
        <v>3717194</v>
      </c>
      <c r="L257" t="s">
        <v>6280</v>
      </c>
    </row>
    <row r="258" spans="1:12" x14ac:dyDescent="0.35">
      <c r="A258" t="s">
        <v>6212</v>
      </c>
      <c r="B258" s="1">
        <v>45746</v>
      </c>
      <c r="C258" t="s">
        <v>7593</v>
      </c>
      <c r="E258" t="s">
        <v>6213</v>
      </c>
      <c r="F258" t="s">
        <v>9986</v>
      </c>
      <c r="H258" t="s">
        <v>6214</v>
      </c>
      <c r="J258">
        <v>1043465</v>
      </c>
      <c r="L258" t="s">
        <v>6280</v>
      </c>
    </row>
    <row r="259" spans="1:12" x14ac:dyDescent="0.35">
      <c r="A259" t="s">
        <v>6212</v>
      </c>
      <c r="B259" s="1">
        <v>45746</v>
      </c>
      <c r="C259" t="s">
        <v>7593</v>
      </c>
      <c r="E259" t="s">
        <v>6213</v>
      </c>
      <c r="F259" t="s">
        <v>9987</v>
      </c>
      <c r="H259" t="s">
        <v>6214</v>
      </c>
      <c r="J259">
        <v>15827</v>
      </c>
      <c r="L259" t="s">
        <v>6294</v>
      </c>
    </row>
    <row r="260" spans="1:12" x14ac:dyDescent="0.35">
      <c r="A260" t="s">
        <v>6212</v>
      </c>
      <c r="B260" s="1">
        <v>45746</v>
      </c>
      <c r="C260" t="s">
        <v>7593</v>
      </c>
      <c r="E260" t="s">
        <v>6213</v>
      </c>
      <c r="F260" t="s">
        <v>8514</v>
      </c>
      <c r="H260" t="s">
        <v>6214</v>
      </c>
      <c r="J260">
        <v>261221</v>
      </c>
      <c r="L260" t="s">
        <v>6294</v>
      </c>
    </row>
    <row r="261" spans="1:12" x14ac:dyDescent="0.35">
      <c r="A261" t="s">
        <v>6212</v>
      </c>
      <c r="B261" s="1">
        <v>45746</v>
      </c>
      <c r="C261" t="s">
        <v>7593</v>
      </c>
      <c r="E261" t="s">
        <v>6213</v>
      </c>
      <c r="F261" t="s">
        <v>8516</v>
      </c>
      <c r="H261" t="s">
        <v>6214</v>
      </c>
      <c r="J261">
        <v>500000</v>
      </c>
      <c r="L261" t="s">
        <v>6280</v>
      </c>
    </row>
    <row r="262" spans="1:12" x14ac:dyDescent="0.35">
      <c r="A262" t="s">
        <v>6212</v>
      </c>
      <c r="B262" s="1">
        <v>45746</v>
      </c>
      <c r="C262" t="s">
        <v>7593</v>
      </c>
      <c r="E262" t="s">
        <v>6213</v>
      </c>
      <c r="F262" t="s">
        <v>7335</v>
      </c>
      <c r="H262" t="s">
        <v>6214</v>
      </c>
      <c r="J262">
        <v>2732000</v>
      </c>
      <c r="L262" t="s">
        <v>6280</v>
      </c>
    </row>
    <row r="263" spans="1:12" x14ac:dyDescent="0.35">
      <c r="A263" t="s">
        <v>6215</v>
      </c>
      <c r="B263" s="1">
        <v>45717</v>
      </c>
      <c r="C263" t="s">
        <v>7555</v>
      </c>
      <c r="F263" t="s">
        <v>6804</v>
      </c>
      <c r="G263" t="s">
        <v>6107</v>
      </c>
      <c r="H263" t="s">
        <v>6216</v>
      </c>
      <c r="J263">
        <v>919760</v>
      </c>
      <c r="L263" t="s">
        <v>6803</v>
      </c>
    </row>
    <row r="264" spans="1:12" x14ac:dyDescent="0.35">
      <c r="A264" t="s">
        <v>6215</v>
      </c>
      <c r="B264" s="1">
        <v>45717</v>
      </c>
      <c r="C264" t="s">
        <v>7555</v>
      </c>
      <c r="F264" t="s">
        <v>9988</v>
      </c>
      <c r="H264" t="s">
        <v>6216</v>
      </c>
      <c r="K264">
        <v>919760</v>
      </c>
      <c r="L264" t="s">
        <v>6803</v>
      </c>
    </row>
    <row r="265" spans="1:12" x14ac:dyDescent="0.35">
      <c r="A265" t="s">
        <v>6215</v>
      </c>
      <c r="B265" s="1">
        <v>45720</v>
      </c>
      <c r="C265" t="s">
        <v>7596</v>
      </c>
      <c r="F265" t="s">
        <v>6804</v>
      </c>
      <c r="G265" t="s">
        <v>6104</v>
      </c>
      <c r="H265" t="s">
        <v>6217</v>
      </c>
      <c r="J265">
        <v>1728833</v>
      </c>
      <c r="L265" t="s">
        <v>6803</v>
      </c>
    </row>
    <row r="266" spans="1:12" x14ac:dyDescent="0.35">
      <c r="A266" t="s">
        <v>6215</v>
      </c>
      <c r="B266" s="1">
        <v>45720</v>
      </c>
      <c r="C266" t="s">
        <v>7596</v>
      </c>
      <c r="F266" t="s">
        <v>9988</v>
      </c>
      <c r="H266" t="s">
        <v>6217</v>
      </c>
      <c r="K266">
        <v>1728833</v>
      </c>
      <c r="L266" t="s">
        <v>6803</v>
      </c>
    </row>
    <row r="267" spans="1:12" x14ac:dyDescent="0.35">
      <c r="A267" t="s">
        <v>6215</v>
      </c>
      <c r="B267" s="1">
        <v>45721</v>
      </c>
      <c r="C267" t="s">
        <v>7483</v>
      </c>
      <c r="F267" t="s">
        <v>6804</v>
      </c>
      <c r="G267" t="s">
        <v>6218</v>
      </c>
      <c r="H267" t="s">
        <v>6219</v>
      </c>
      <c r="J267">
        <v>953959</v>
      </c>
      <c r="L267" t="s">
        <v>6803</v>
      </c>
    </row>
    <row r="268" spans="1:12" x14ac:dyDescent="0.35">
      <c r="A268" t="s">
        <v>6215</v>
      </c>
      <c r="B268" s="1">
        <v>45721</v>
      </c>
      <c r="C268" t="s">
        <v>7483</v>
      </c>
      <c r="F268" t="s">
        <v>9988</v>
      </c>
      <c r="H268" t="s">
        <v>6219</v>
      </c>
      <c r="K268">
        <v>953959</v>
      </c>
      <c r="L268" t="s">
        <v>6803</v>
      </c>
    </row>
    <row r="269" spans="1:12" x14ac:dyDescent="0.35">
      <c r="A269" t="s">
        <v>6215</v>
      </c>
      <c r="B269" s="1">
        <v>45721</v>
      </c>
      <c r="C269" t="s">
        <v>7485</v>
      </c>
      <c r="F269" t="s">
        <v>6804</v>
      </c>
      <c r="G269" t="s">
        <v>6220</v>
      </c>
      <c r="H269" t="s">
        <v>6221</v>
      </c>
      <c r="J269">
        <v>1320000</v>
      </c>
      <c r="L269" t="s">
        <v>6803</v>
      </c>
    </row>
    <row r="270" spans="1:12" x14ac:dyDescent="0.35">
      <c r="A270" t="s">
        <v>6215</v>
      </c>
      <c r="B270" s="1">
        <v>45721</v>
      </c>
      <c r="C270" t="s">
        <v>7485</v>
      </c>
      <c r="F270" t="s">
        <v>9988</v>
      </c>
      <c r="H270" t="s">
        <v>6221</v>
      </c>
      <c r="K270">
        <v>1320000</v>
      </c>
      <c r="L270" t="s">
        <v>6803</v>
      </c>
    </row>
    <row r="271" spans="1:12" x14ac:dyDescent="0.35">
      <c r="A271" t="s">
        <v>6215</v>
      </c>
      <c r="B271" s="1">
        <v>45721</v>
      </c>
      <c r="C271" t="s">
        <v>7593</v>
      </c>
      <c r="F271" t="s">
        <v>6804</v>
      </c>
      <c r="G271" t="s">
        <v>6203</v>
      </c>
      <c r="H271" t="s">
        <v>6222</v>
      </c>
      <c r="J271">
        <v>3589642</v>
      </c>
      <c r="L271" t="s">
        <v>6803</v>
      </c>
    </row>
    <row r="272" spans="1:12" x14ac:dyDescent="0.35">
      <c r="A272" t="s">
        <v>6215</v>
      </c>
      <c r="B272" s="1">
        <v>45721</v>
      </c>
      <c r="C272" t="s">
        <v>7593</v>
      </c>
      <c r="F272" t="s">
        <v>9988</v>
      </c>
      <c r="H272" t="s">
        <v>6222</v>
      </c>
      <c r="K272">
        <v>3589642</v>
      </c>
      <c r="L272" t="s">
        <v>6803</v>
      </c>
    </row>
    <row r="273" spans="1:12" x14ac:dyDescent="0.35">
      <c r="A273" t="s">
        <v>6215</v>
      </c>
      <c r="B273" s="1">
        <v>45721</v>
      </c>
      <c r="C273" t="s">
        <v>7598</v>
      </c>
      <c r="F273" t="s">
        <v>6804</v>
      </c>
      <c r="G273" t="s">
        <v>6078</v>
      </c>
      <c r="H273" t="s">
        <v>6223</v>
      </c>
      <c r="J273">
        <v>1308008</v>
      </c>
      <c r="L273" t="s">
        <v>6803</v>
      </c>
    </row>
    <row r="274" spans="1:12" x14ac:dyDescent="0.35">
      <c r="A274" t="s">
        <v>6215</v>
      </c>
      <c r="B274" s="1">
        <v>45721</v>
      </c>
      <c r="C274" t="s">
        <v>7598</v>
      </c>
      <c r="F274" t="s">
        <v>9988</v>
      </c>
      <c r="H274" t="s">
        <v>6223</v>
      </c>
      <c r="K274">
        <v>1308008</v>
      </c>
      <c r="L274" t="s">
        <v>6803</v>
      </c>
    </row>
    <row r="275" spans="1:12" x14ac:dyDescent="0.35">
      <c r="A275" t="s">
        <v>6215</v>
      </c>
      <c r="B275" s="1">
        <v>45721</v>
      </c>
      <c r="C275" t="s">
        <v>7599</v>
      </c>
      <c r="F275" t="s">
        <v>6804</v>
      </c>
      <c r="G275" t="s">
        <v>6224</v>
      </c>
      <c r="H275" t="s">
        <v>6225</v>
      </c>
      <c r="J275">
        <v>2572636</v>
      </c>
      <c r="L275" t="s">
        <v>6803</v>
      </c>
    </row>
    <row r="276" spans="1:12" x14ac:dyDescent="0.35">
      <c r="A276" t="s">
        <v>6215</v>
      </c>
      <c r="B276" s="1">
        <v>45721</v>
      </c>
      <c r="C276" t="s">
        <v>7599</v>
      </c>
      <c r="F276" t="s">
        <v>9988</v>
      </c>
      <c r="H276" t="s">
        <v>6225</v>
      </c>
      <c r="K276">
        <v>2572636</v>
      </c>
      <c r="L276" t="s">
        <v>6803</v>
      </c>
    </row>
    <row r="277" spans="1:12" x14ac:dyDescent="0.35">
      <c r="A277" t="s">
        <v>6215</v>
      </c>
      <c r="B277" s="1">
        <v>45721</v>
      </c>
      <c r="C277" t="s">
        <v>7600</v>
      </c>
      <c r="F277" t="s">
        <v>6804</v>
      </c>
      <c r="G277" t="s">
        <v>6053</v>
      </c>
      <c r="H277" t="s">
        <v>6226</v>
      </c>
      <c r="J277">
        <v>1498600</v>
      </c>
      <c r="L277" t="s">
        <v>6803</v>
      </c>
    </row>
    <row r="278" spans="1:12" x14ac:dyDescent="0.35">
      <c r="A278" t="s">
        <v>6215</v>
      </c>
      <c r="B278" s="1">
        <v>45721</v>
      </c>
      <c r="C278" t="s">
        <v>7600</v>
      </c>
      <c r="F278" t="s">
        <v>9988</v>
      </c>
      <c r="H278" t="s">
        <v>6226</v>
      </c>
      <c r="K278">
        <v>1498600</v>
      </c>
      <c r="L278" t="s">
        <v>6803</v>
      </c>
    </row>
    <row r="279" spans="1:12" x14ac:dyDescent="0.35">
      <c r="A279" t="s">
        <v>6215</v>
      </c>
      <c r="B279" s="1">
        <v>45721</v>
      </c>
      <c r="C279" t="s">
        <v>7601</v>
      </c>
      <c r="F279" t="s">
        <v>6804</v>
      </c>
      <c r="G279" t="s">
        <v>6113</v>
      </c>
      <c r="H279" t="s">
        <v>6227</v>
      </c>
      <c r="J279">
        <v>150000</v>
      </c>
      <c r="L279" t="s">
        <v>6803</v>
      </c>
    </row>
    <row r="280" spans="1:12" x14ac:dyDescent="0.35">
      <c r="A280" t="s">
        <v>6215</v>
      </c>
      <c r="B280" s="1">
        <v>45721</v>
      </c>
      <c r="C280" t="s">
        <v>7601</v>
      </c>
      <c r="F280" t="s">
        <v>9988</v>
      </c>
      <c r="H280" t="s">
        <v>6227</v>
      </c>
      <c r="K280">
        <v>150000</v>
      </c>
      <c r="L280" t="s">
        <v>6803</v>
      </c>
    </row>
    <row r="281" spans="1:12" x14ac:dyDescent="0.35">
      <c r="A281" t="s">
        <v>6215</v>
      </c>
      <c r="B281" s="1">
        <v>45721</v>
      </c>
      <c r="C281" t="s">
        <v>7603</v>
      </c>
      <c r="F281" t="s">
        <v>6804</v>
      </c>
      <c r="G281" t="s">
        <v>6028</v>
      </c>
      <c r="H281" t="s">
        <v>6228</v>
      </c>
      <c r="J281">
        <v>12400000</v>
      </c>
      <c r="L281" t="s">
        <v>6803</v>
      </c>
    </row>
    <row r="282" spans="1:12" x14ac:dyDescent="0.35">
      <c r="A282" t="s">
        <v>6215</v>
      </c>
      <c r="B282" s="1">
        <v>45721</v>
      </c>
      <c r="C282" t="s">
        <v>7603</v>
      </c>
      <c r="F282" t="s">
        <v>9988</v>
      </c>
      <c r="H282" t="s">
        <v>6228</v>
      </c>
      <c r="K282">
        <v>12400000</v>
      </c>
      <c r="L282" t="s">
        <v>6803</v>
      </c>
    </row>
    <row r="283" spans="1:12" x14ac:dyDescent="0.35">
      <c r="A283" t="s">
        <v>6215</v>
      </c>
      <c r="B283" s="1">
        <v>45721</v>
      </c>
      <c r="C283" t="s">
        <v>7549</v>
      </c>
      <c r="F283" t="s">
        <v>6804</v>
      </c>
      <c r="G283" t="s">
        <v>6118</v>
      </c>
      <c r="H283" t="s">
        <v>6229</v>
      </c>
      <c r="J283">
        <v>294000</v>
      </c>
      <c r="L283" t="s">
        <v>6803</v>
      </c>
    </row>
    <row r="284" spans="1:12" x14ac:dyDescent="0.35">
      <c r="A284" t="s">
        <v>6215</v>
      </c>
      <c r="B284" s="1">
        <v>45721</v>
      </c>
      <c r="C284" t="s">
        <v>7549</v>
      </c>
      <c r="F284" t="s">
        <v>9989</v>
      </c>
      <c r="H284" t="s">
        <v>6229</v>
      </c>
      <c r="K284">
        <v>5120</v>
      </c>
      <c r="L284" t="s">
        <v>6803</v>
      </c>
    </row>
    <row r="285" spans="1:12" x14ac:dyDescent="0.35">
      <c r="A285" t="s">
        <v>6215</v>
      </c>
      <c r="B285" s="1">
        <v>45721</v>
      </c>
      <c r="C285" t="s">
        <v>7549</v>
      </c>
      <c r="F285" t="s">
        <v>9988</v>
      </c>
      <c r="H285" t="s">
        <v>6229</v>
      </c>
      <c r="K285">
        <v>288880</v>
      </c>
      <c r="L285" t="s">
        <v>6803</v>
      </c>
    </row>
    <row r="286" spans="1:12" x14ac:dyDescent="0.35">
      <c r="A286" t="s">
        <v>6215</v>
      </c>
      <c r="B286" s="1">
        <v>45726</v>
      </c>
      <c r="C286" t="s">
        <v>7551</v>
      </c>
      <c r="F286" t="s">
        <v>9955</v>
      </c>
      <c r="G286" t="s">
        <v>6074</v>
      </c>
      <c r="H286" t="s">
        <v>6230</v>
      </c>
      <c r="K286">
        <v>36872640</v>
      </c>
      <c r="L286" t="s">
        <v>6803</v>
      </c>
    </row>
    <row r="287" spans="1:12" x14ac:dyDescent="0.35">
      <c r="A287" t="s">
        <v>6215</v>
      </c>
      <c r="B287" s="1">
        <v>45726</v>
      </c>
      <c r="C287" t="s">
        <v>7551</v>
      </c>
      <c r="F287" t="s">
        <v>9988</v>
      </c>
      <c r="H287" t="s">
        <v>6230</v>
      </c>
      <c r="J287">
        <v>36872640</v>
      </c>
      <c r="L287" t="s">
        <v>6803</v>
      </c>
    </row>
    <row r="288" spans="1:12" x14ac:dyDescent="0.35">
      <c r="A288" t="s">
        <v>6215</v>
      </c>
      <c r="B288" s="1">
        <v>45726</v>
      </c>
      <c r="C288" t="s">
        <v>7559</v>
      </c>
      <c r="F288" t="s">
        <v>7831</v>
      </c>
      <c r="G288" t="s">
        <v>6231</v>
      </c>
      <c r="H288" t="s">
        <v>6230</v>
      </c>
      <c r="K288">
        <v>36872640</v>
      </c>
      <c r="L288" t="s">
        <v>6803</v>
      </c>
    </row>
    <row r="289" spans="1:12" x14ac:dyDescent="0.35">
      <c r="A289" t="s">
        <v>6215</v>
      </c>
      <c r="B289" s="1">
        <v>45726</v>
      </c>
      <c r="C289" t="s">
        <v>7559</v>
      </c>
      <c r="F289" t="s">
        <v>9955</v>
      </c>
      <c r="G289" t="s">
        <v>6074</v>
      </c>
      <c r="H289" t="s">
        <v>6230</v>
      </c>
      <c r="J289">
        <v>36872640</v>
      </c>
      <c r="L289" t="s">
        <v>6803</v>
      </c>
    </row>
    <row r="290" spans="1:12" x14ac:dyDescent="0.35">
      <c r="A290" t="s">
        <v>6215</v>
      </c>
      <c r="B290" s="1">
        <v>45727</v>
      </c>
      <c r="C290" t="s">
        <v>7486</v>
      </c>
      <c r="F290" t="s">
        <v>6804</v>
      </c>
      <c r="G290" t="s">
        <v>6087</v>
      </c>
      <c r="H290" t="s">
        <v>6232</v>
      </c>
      <c r="J290">
        <v>19751719</v>
      </c>
      <c r="L290" t="s">
        <v>6803</v>
      </c>
    </row>
    <row r="291" spans="1:12" x14ac:dyDescent="0.35">
      <c r="A291" t="s">
        <v>6215</v>
      </c>
      <c r="B291" s="1">
        <v>45727</v>
      </c>
      <c r="C291" t="s">
        <v>7486</v>
      </c>
      <c r="F291" t="s">
        <v>9988</v>
      </c>
      <c r="H291" t="s">
        <v>6232</v>
      </c>
      <c r="K291">
        <v>19751719</v>
      </c>
      <c r="L291" t="s">
        <v>6803</v>
      </c>
    </row>
    <row r="292" spans="1:12" x14ac:dyDescent="0.35">
      <c r="A292" t="s">
        <v>6215</v>
      </c>
      <c r="B292" s="1">
        <v>45727</v>
      </c>
      <c r="C292" t="s">
        <v>7489</v>
      </c>
      <c r="F292" t="s">
        <v>6804</v>
      </c>
      <c r="G292" t="s">
        <v>6034</v>
      </c>
      <c r="H292" t="s">
        <v>6233</v>
      </c>
      <c r="J292">
        <v>8177400</v>
      </c>
      <c r="L292" t="s">
        <v>6803</v>
      </c>
    </row>
    <row r="293" spans="1:12" x14ac:dyDescent="0.35">
      <c r="A293" t="s">
        <v>6215</v>
      </c>
      <c r="B293" s="1">
        <v>45727</v>
      </c>
      <c r="C293" t="s">
        <v>7489</v>
      </c>
      <c r="F293" t="s">
        <v>9988</v>
      </c>
      <c r="H293" t="s">
        <v>6233</v>
      </c>
      <c r="K293">
        <v>8177400</v>
      </c>
      <c r="L293" t="s">
        <v>6803</v>
      </c>
    </row>
    <row r="294" spans="1:12" x14ac:dyDescent="0.35">
      <c r="A294" t="s">
        <v>6215</v>
      </c>
      <c r="B294" s="1">
        <v>45727</v>
      </c>
      <c r="C294" t="s">
        <v>7491</v>
      </c>
      <c r="F294" t="s">
        <v>6804</v>
      </c>
      <c r="G294" t="s">
        <v>6082</v>
      </c>
      <c r="H294" t="s">
        <v>6234</v>
      </c>
      <c r="J294">
        <v>15200000</v>
      </c>
      <c r="L294" t="s">
        <v>6803</v>
      </c>
    </row>
    <row r="295" spans="1:12" x14ac:dyDescent="0.35">
      <c r="A295" t="s">
        <v>6215</v>
      </c>
      <c r="B295" s="1">
        <v>45727</v>
      </c>
      <c r="C295" t="s">
        <v>7491</v>
      </c>
      <c r="F295" t="s">
        <v>9988</v>
      </c>
      <c r="H295" t="s">
        <v>6234</v>
      </c>
      <c r="K295">
        <v>15200000</v>
      </c>
      <c r="L295" t="s">
        <v>6803</v>
      </c>
    </row>
    <row r="296" spans="1:12" x14ac:dyDescent="0.35">
      <c r="A296" t="s">
        <v>6215</v>
      </c>
      <c r="B296" s="1">
        <v>45730</v>
      </c>
      <c r="C296" t="s">
        <v>7561</v>
      </c>
      <c r="F296" t="s">
        <v>9977</v>
      </c>
      <c r="H296" t="s">
        <v>6235</v>
      </c>
      <c r="J296">
        <v>409688</v>
      </c>
      <c r="L296" t="s">
        <v>6803</v>
      </c>
    </row>
    <row r="297" spans="1:12" x14ac:dyDescent="0.35">
      <c r="A297" t="s">
        <v>6215</v>
      </c>
      <c r="B297" s="1">
        <v>45730</v>
      </c>
      <c r="C297" t="s">
        <v>7561</v>
      </c>
      <c r="F297" t="s">
        <v>9978</v>
      </c>
      <c r="H297" t="s">
        <v>6236</v>
      </c>
      <c r="J297">
        <v>213750</v>
      </c>
      <c r="L297" t="s">
        <v>6803</v>
      </c>
    </row>
    <row r="298" spans="1:12" x14ac:dyDescent="0.35">
      <c r="A298" t="s">
        <v>6215</v>
      </c>
      <c r="B298" s="1">
        <v>45730</v>
      </c>
      <c r="C298" t="s">
        <v>7561</v>
      </c>
      <c r="F298" t="s">
        <v>7883</v>
      </c>
      <c r="H298" t="s">
        <v>6237</v>
      </c>
      <c r="J298">
        <v>4739500</v>
      </c>
      <c r="L298" t="s">
        <v>6803</v>
      </c>
    </row>
    <row r="299" spans="1:12" x14ac:dyDescent="0.35">
      <c r="A299" t="s">
        <v>6215</v>
      </c>
      <c r="B299" s="1">
        <v>45730</v>
      </c>
      <c r="C299" t="s">
        <v>7561</v>
      </c>
      <c r="F299" t="s">
        <v>9988</v>
      </c>
      <c r="H299" t="s">
        <v>6237</v>
      </c>
      <c r="K299">
        <v>5362938</v>
      </c>
      <c r="L299" t="s">
        <v>6803</v>
      </c>
    </row>
    <row r="300" spans="1:12" x14ac:dyDescent="0.35">
      <c r="A300" t="s">
        <v>6215</v>
      </c>
      <c r="B300" s="1">
        <v>45730</v>
      </c>
      <c r="C300" t="s">
        <v>7564</v>
      </c>
      <c r="F300" t="s">
        <v>9975</v>
      </c>
      <c r="H300" t="s">
        <v>6238</v>
      </c>
      <c r="J300">
        <v>33000</v>
      </c>
      <c r="L300" t="s">
        <v>6803</v>
      </c>
    </row>
    <row r="301" spans="1:12" x14ac:dyDescent="0.35">
      <c r="A301" t="s">
        <v>6215</v>
      </c>
      <c r="B301" s="1">
        <v>45730</v>
      </c>
      <c r="C301" t="s">
        <v>7564</v>
      </c>
      <c r="F301" t="s">
        <v>9988</v>
      </c>
      <c r="H301" t="s">
        <v>6238</v>
      </c>
      <c r="K301">
        <v>33000</v>
      </c>
      <c r="L301" t="s">
        <v>6803</v>
      </c>
    </row>
    <row r="302" spans="1:12" x14ac:dyDescent="0.35">
      <c r="A302" t="s">
        <v>6215</v>
      </c>
      <c r="B302" s="1">
        <v>45734</v>
      </c>
      <c r="C302" t="s">
        <v>7575</v>
      </c>
      <c r="F302" t="s">
        <v>9955</v>
      </c>
      <c r="G302" t="s">
        <v>6074</v>
      </c>
      <c r="H302" t="s">
        <v>6239</v>
      </c>
      <c r="K302">
        <v>10000000</v>
      </c>
      <c r="L302" t="s">
        <v>6803</v>
      </c>
    </row>
    <row r="303" spans="1:12" x14ac:dyDescent="0.35">
      <c r="A303" t="s">
        <v>6215</v>
      </c>
      <c r="B303" s="1">
        <v>45734</v>
      </c>
      <c r="C303" t="s">
        <v>7575</v>
      </c>
      <c r="F303" t="s">
        <v>9988</v>
      </c>
      <c r="H303" t="s">
        <v>6239</v>
      </c>
      <c r="J303">
        <v>10000000</v>
      </c>
      <c r="L303" t="s">
        <v>6803</v>
      </c>
    </row>
    <row r="304" spans="1:12" x14ac:dyDescent="0.35">
      <c r="A304" t="s">
        <v>6215</v>
      </c>
      <c r="B304" s="1">
        <v>45734</v>
      </c>
      <c r="C304" t="s">
        <v>7613</v>
      </c>
      <c r="F304" t="s">
        <v>9988</v>
      </c>
      <c r="H304" t="s">
        <v>6240</v>
      </c>
      <c r="K304">
        <v>1499</v>
      </c>
      <c r="L304" t="s">
        <v>6803</v>
      </c>
    </row>
    <row r="305" spans="1:12" x14ac:dyDescent="0.35">
      <c r="A305" t="s">
        <v>6215</v>
      </c>
      <c r="B305" s="1">
        <v>45734</v>
      </c>
      <c r="C305" t="s">
        <v>7613</v>
      </c>
      <c r="F305" t="s">
        <v>7828</v>
      </c>
      <c r="H305" t="s">
        <v>6240</v>
      </c>
      <c r="J305">
        <v>1499</v>
      </c>
      <c r="L305" t="s">
        <v>347</v>
      </c>
    </row>
    <row r="306" spans="1:12" x14ac:dyDescent="0.35">
      <c r="A306" t="s">
        <v>6215</v>
      </c>
      <c r="B306" s="1">
        <v>45736</v>
      </c>
      <c r="C306" t="s">
        <v>7566</v>
      </c>
      <c r="F306" t="s">
        <v>6804</v>
      </c>
      <c r="G306" t="s">
        <v>6061</v>
      </c>
      <c r="H306" t="s">
        <v>6241</v>
      </c>
      <c r="J306">
        <v>1692558</v>
      </c>
      <c r="L306" t="s">
        <v>6803</v>
      </c>
    </row>
    <row r="307" spans="1:12" x14ac:dyDescent="0.35">
      <c r="A307" t="s">
        <v>6215</v>
      </c>
      <c r="B307" s="1">
        <v>45736</v>
      </c>
      <c r="C307" t="s">
        <v>7566</v>
      </c>
      <c r="F307" t="s">
        <v>9988</v>
      </c>
      <c r="H307" t="s">
        <v>6241</v>
      </c>
      <c r="K307">
        <v>1692558</v>
      </c>
      <c r="L307" t="s">
        <v>6803</v>
      </c>
    </row>
    <row r="308" spans="1:12" x14ac:dyDescent="0.35">
      <c r="A308" t="s">
        <v>6215</v>
      </c>
      <c r="B308" s="1">
        <v>45736</v>
      </c>
      <c r="C308" t="s">
        <v>7569</v>
      </c>
      <c r="F308" t="s">
        <v>6804</v>
      </c>
      <c r="G308" t="s">
        <v>6101</v>
      </c>
      <c r="H308" t="s">
        <v>6242</v>
      </c>
      <c r="J308">
        <v>660805</v>
      </c>
      <c r="L308" t="s">
        <v>6803</v>
      </c>
    </row>
    <row r="309" spans="1:12" x14ac:dyDescent="0.35">
      <c r="A309" t="s">
        <v>6215</v>
      </c>
      <c r="B309" s="1">
        <v>45736</v>
      </c>
      <c r="C309" t="s">
        <v>7569</v>
      </c>
      <c r="F309" t="s">
        <v>9988</v>
      </c>
      <c r="H309" t="s">
        <v>6242</v>
      </c>
      <c r="K309">
        <v>660805</v>
      </c>
      <c r="L309" t="s">
        <v>6803</v>
      </c>
    </row>
    <row r="310" spans="1:12" x14ac:dyDescent="0.35">
      <c r="A310" t="s">
        <v>6215</v>
      </c>
      <c r="B310" s="1">
        <v>45742</v>
      </c>
      <c r="C310" t="s">
        <v>7570</v>
      </c>
      <c r="F310" t="s">
        <v>7831</v>
      </c>
      <c r="G310" t="s">
        <v>6231</v>
      </c>
      <c r="H310" t="s">
        <v>6243</v>
      </c>
      <c r="K310">
        <v>143250154</v>
      </c>
      <c r="L310" t="s">
        <v>6803</v>
      </c>
    </row>
    <row r="311" spans="1:12" x14ac:dyDescent="0.35">
      <c r="A311" t="s">
        <v>6215</v>
      </c>
      <c r="B311" s="1">
        <v>45742</v>
      </c>
      <c r="C311" t="s">
        <v>7570</v>
      </c>
      <c r="F311" t="s">
        <v>9955</v>
      </c>
      <c r="G311" t="s">
        <v>6074</v>
      </c>
      <c r="H311" t="s">
        <v>6243</v>
      </c>
      <c r="K311">
        <v>69639883</v>
      </c>
      <c r="L311" t="s">
        <v>6803</v>
      </c>
    </row>
    <row r="312" spans="1:12" x14ac:dyDescent="0.35">
      <c r="A312" t="s">
        <v>6215</v>
      </c>
      <c r="B312" s="1">
        <v>45742</v>
      </c>
      <c r="C312" t="s">
        <v>7570</v>
      </c>
      <c r="F312" t="s">
        <v>9988</v>
      </c>
      <c r="H312" t="s">
        <v>6243</v>
      </c>
      <c r="J312">
        <v>212890037</v>
      </c>
      <c r="L312" t="s">
        <v>6803</v>
      </c>
    </row>
    <row r="313" spans="1:12" x14ac:dyDescent="0.35">
      <c r="A313" t="s">
        <v>6215</v>
      </c>
      <c r="B313" s="1">
        <v>45742</v>
      </c>
      <c r="C313" t="s">
        <v>7173</v>
      </c>
      <c r="F313" t="s">
        <v>9955</v>
      </c>
      <c r="G313" t="s">
        <v>6074</v>
      </c>
      <c r="H313" t="s">
        <v>6244</v>
      </c>
      <c r="J313">
        <v>158180181</v>
      </c>
      <c r="L313" t="s">
        <v>6803</v>
      </c>
    </row>
    <row r="314" spans="1:12" x14ac:dyDescent="0.35">
      <c r="A314" t="s">
        <v>6215</v>
      </c>
      <c r="B314" s="1">
        <v>45742</v>
      </c>
      <c r="C314" t="s">
        <v>7173</v>
      </c>
      <c r="F314" t="s">
        <v>9990</v>
      </c>
      <c r="G314" t="s">
        <v>6245</v>
      </c>
      <c r="H314" t="s">
        <v>6246</v>
      </c>
      <c r="J314">
        <v>20312274</v>
      </c>
      <c r="L314" t="s">
        <v>6803</v>
      </c>
    </row>
    <row r="315" spans="1:12" x14ac:dyDescent="0.35">
      <c r="A315" t="s">
        <v>6215</v>
      </c>
      <c r="B315" s="1">
        <v>45742</v>
      </c>
      <c r="C315" t="s">
        <v>7173</v>
      </c>
      <c r="F315" t="s">
        <v>9988</v>
      </c>
      <c r="H315" t="s">
        <v>6244</v>
      </c>
      <c r="K315">
        <v>178492455</v>
      </c>
      <c r="L315" t="s">
        <v>6803</v>
      </c>
    </row>
    <row r="316" spans="1:12" x14ac:dyDescent="0.35">
      <c r="A316" t="s">
        <v>6215</v>
      </c>
      <c r="B316" s="1">
        <v>45742</v>
      </c>
      <c r="C316" t="s">
        <v>7621</v>
      </c>
      <c r="F316" t="s">
        <v>9988</v>
      </c>
      <c r="H316" t="s">
        <v>6247</v>
      </c>
      <c r="K316">
        <v>43175</v>
      </c>
      <c r="L316" t="s">
        <v>6803</v>
      </c>
    </row>
    <row r="317" spans="1:12" x14ac:dyDescent="0.35">
      <c r="A317" t="s">
        <v>6215</v>
      </c>
      <c r="B317" s="1">
        <v>45742</v>
      </c>
      <c r="C317" t="s">
        <v>7621</v>
      </c>
      <c r="F317" t="s">
        <v>7828</v>
      </c>
      <c r="H317" t="s">
        <v>6247</v>
      </c>
      <c r="J317">
        <v>43175</v>
      </c>
      <c r="L317" t="s">
        <v>347</v>
      </c>
    </row>
    <row r="318" spans="1:12" x14ac:dyDescent="0.35">
      <c r="A318" t="s">
        <v>6215</v>
      </c>
      <c r="B318" s="1">
        <v>45742</v>
      </c>
      <c r="C318" t="s">
        <v>7622</v>
      </c>
      <c r="F318" t="s">
        <v>9988</v>
      </c>
      <c r="H318" t="s">
        <v>6247</v>
      </c>
      <c r="K318">
        <v>7425</v>
      </c>
      <c r="L318" t="s">
        <v>6803</v>
      </c>
    </row>
    <row r="319" spans="1:12" x14ac:dyDescent="0.35">
      <c r="A319" t="s">
        <v>6215</v>
      </c>
      <c r="B319" s="1">
        <v>45742</v>
      </c>
      <c r="C319" t="s">
        <v>7622</v>
      </c>
      <c r="F319" t="s">
        <v>7828</v>
      </c>
      <c r="H319" t="s">
        <v>6247</v>
      </c>
      <c r="J319">
        <v>7425</v>
      </c>
      <c r="L319" t="s">
        <v>347</v>
      </c>
    </row>
    <row r="320" spans="1:12" x14ac:dyDescent="0.35">
      <c r="A320" t="s">
        <v>6215</v>
      </c>
      <c r="B320" s="1">
        <v>45742</v>
      </c>
      <c r="C320" t="s">
        <v>7625</v>
      </c>
      <c r="F320" t="s">
        <v>9988</v>
      </c>
      <c r="H320" t="s">
        <v>6248</v>
      </c>
      <c r="K320">
        <v>31900</v>
      </c>
      <c r="L320" t="s">
        <v>6803</v>
      </c>
    </row>
    <row r="321" spans="1:12" x14ac:dyDescent="0.35">
      <c r="A321" t="s">
        <v>6215</v>
      </c>
      <c r="B321" s="1">
        <v>45742</v>
      </c>
      <c r="C321" t="s">
        <v>7625</v>
      </c>
      <c r="F321" t="s">
        <v>7828</v>
      </c>
      <c r="H321" t="s">
        <v>6248</v>
      </c>
      <c r="J321">
        <v>31900</v>
      </c>
      <c r="L321" t="s">
        <v>347</v>
      </c>
    </row>
    <row r="322" spans="1:12" x14ac:dyDescent="0.35">
      <c r="A322" t="s">
        <v>6215</v>
      </c>
      <c r="B322" s="1">
        <v>45742</v>
      </c>
      <c r="C322" t="s">
        <v>7627</v>
      </c>
      <c r="F322" t="s">
        <v>7847</v>
      </c>
      <c r="H322" t="s">
        <v>6249</v>
      </c>
      <c r="J322">
        <v>30883024</v>
      </c>
      <c r="L322" t="s">
        <v>6803</v>
      </c>
    </row>
    <row r="323" spans="1:12" x14ac:dyDescent="0.35">
      <c r="A323" t="s">
        <v>6215</v>
      </c>
      <c r="B323" s="1">
        <v>45742</v>
      </c>
      <c r="C323" t="s">
        <v>7627</v>
      </c>
      <c r="F323" t="s">
        <v>9988</v>
      </c>
      <c r="H323" t="s">
        <v>6249</v>
      </c>
      <c r="K323">
        <v>30883024</v>
      </c>
      <c r="L323" t="s">
        <v>6803</v>
      </c>
    </row>
    <row r="324" spans="1:12" x14ac:dyDescent="0.35">
      <c r="A324" t="s">
        <v>6215</v>
      </c>
      <c r="B324" s="1">
        <v>45744</v>
      </c>
      <c r="C324" t="s">
        <v>7573</v>
      </c>
      <c r="F324" t="s">
        <v>7831</v>
      </c>
      <c r="G324" t="s">
        <v>6250</v>
      </c>
      <c r="H324" t="s">
        <v>6251</v>
      </c>
      <c r="K324">
        <v>2360000</v>
      </c>
      <c r="L324" t="s">
        <v>6803</v>
      </c>
    </row>
    <row r="325" spans="1:12" x14ac:dyDescent="0.35">
      <c r="A325" t="s">
        <v>6215</v>
      </c>
      <c r="B325" s="1">
        <v>45744</v>
      </c>
      <c r="C325" t="s">
        <v>7573</v>
      </c>
      <c r="F325" t="s">
        <v>9988</v>
      </c>
      <c r="H325" t="s">
        <v>6251</v>
      </c>
      <c r="J325">
        <v>2360000</v>
      </c>
      <c r="L325" t="s">
        <v>6803</v>
      </c>
    </row>
    <row r="326" spans="1:12" x14ac:dyDescent="0.35">
      <c r="A326" t="s">
        <v>6215</v>
      </c>
      <c r="B326" s="1">
        <v>45744</v>
      </c>
      <c r="C326" t="s">
        <v>7576</v>
      </c>
      <c r="F326" t="s">
        <v>7847</v>
      </c>
      <c r="H326" t="s">
        <v>6252</v>
      </c>
      <c r="J326">
        <v>183881</v>
      </c>
      <c r="L326" t="s">
        <v>6803</v>
      </c>
    </row>
    <row r="327" spans="1:12" x14ac:dyDescent="0.35">
      <c r="A327" t="s">
        <v>6215</v>
      </c>
      <c r="B327" s="1">
        <v>45744</v>
      </c>
      <c r="C327" t="s">
        <v>7576</v>
      </c>
      <c r="F327" t="s">
        <v>9988</v>
      </c>
      <c r="H327" t="s">
        <v>6252</v>
      </c>
      <c r="K327">
        <v>183881</v>
      </c>
      <c r="L327" t="s">
        <v>6803</v>
      </c>
    </row>
    <row r="328" spans="1:12" x14ac:dyDescent="0.35">
      <c r="A328" t="s">
        <v>6215</v>
      </c>
      <c r="B328" s="1">
        <v>45744</v>
      </c>
      <c r="C328" t="s">
        <v>7577</v>
      </c>
      <c r="F328" t="s">
        <v>7847</v>
      </c>
      <c r="H328" t="s">
        <v>6253</v>
      </c>
      <c r="J328">
        <v>306657</v>
      </c>
      <c r="L328" t="s">
        <v>6803</v>
      </c>
    </row>
    <row r="329" spans="1:12" x14ac:dyDescent="0.35">
      <c r="A329" t="s">
        <v>6215</v>
      </c>
      <c r="B329" s="1">
        <v>45744</v>
      </c>
      <c r="C329" t="s">
        <v>7577</v>
      </c>
      <c r="F329" t="s">
        <v>9988</v>
      </c>
      <c r="H329" t="s">
        <v>6253</v>
      </c>
      <c r="K329">
        <v>306657</v>
      </c>
      <c r="L329" t="s">
        <v>6803</v>
      </c>
    </row>
    <row r="330" spans="1:12" x14ac:dyDescent="0.35">
      <c r="A330" t="s">
        <v>6215</v>
      </c>
      <c r="B330" s="1">
        <v>45744</v>
      </c>
      <c r="C330" t="s">
        <v>7607</v>
      </c>
      <c r="F330" t="s">
        <v>7847</v>
      </c>
      <c r="H330" t="s">
        <v>6254</v>
      </c>
      <c r="J330">
        <v>279773</v>
      </c>
      <c r="L330" t="s">
        <v>6803</v>
      </c>
    </row>
    <row r="331" spans="1:12" x14ac:dyDescent="0.35">
      <c r="A331" t="s">
        <v>6215</v>
      </c>
      <c r="B331" s="1">
        <v>45744</v>
      </c>
      <c r="C331" t="s">
        <v>7607</v>
      </c>
      <c r="F331" t="s">
        <v>9988</v>
      </c>
      <c r="H331" t="s">
        <v>6254</v>
      </c>
      <c r="K331">
        <v>279773</v>
      </c>
      <c r="L331" t="s">
        <v>6803</v>
      </c>
    </row>
    <row r="332" spans="1:12" x14ac:dyDescent="0.35">
      <c r="A332" t="s">
        <v>6215</v>
      </c>
      <c r="B332" s="1">
        <v>45744</v>
      </c>
      <c r="C332" t="s">
        <v>7619</v>
      </c>
      <c r="F332" t="s">
        <v>9988</v>
      </c>
      <c r="H332" t="s">
        <v>6240</v>
      </c>
      <c r="K332">
        <v>4400</v>
      </c>
      <c r="L332" t="s">
        <v>6803</v>
      </c>
    </row>
    <row r="333" spans="1:12" x14ac:dyDescent="0.35">
      <c r="A333" t="s">
        <v>6215</v>
      </c>
      <c r="B333" s="1">
        <v>45744</v>
      </c>
      <c r="C333" t="s">
        <v>7619</v>
      </c>
      <c r="F333" t="s">
        <v>7828</v>
      </c>
      <c r="H333" t="s">
        <v>6240</v>
      </c>
      <c r="J333">
        <v>4400</v>
      </c>
      <c r="L333" t="s">
        <v>347</v>
      </c>
    </row>
    <row r="334" spans="1:12" x14ac:dyDescent="0.35">
      <c r="A334" t="s">
        <v>6215</v>
      </c>
      <c r="B334" s="1">
        <v>45747</v>
      </c>
      <c r="C334" t="s">
        <v>7616</v>
      </c>
      <c r="F334" t="s">
        <v>9988</v>
      </c>
      <c r="H334" t="s">
        <v>6255</v>
      </c>
      <c r="K334">
        <v>142759</v>
      </c>
      <c r="L334" t="s">
        <v>6803</v>
      </c>
    </row>
    <row r="335" spans="1:12" x14ac:dyDescent="0.35">
      <c r="A335" t="s">
        <v>6215</v>
      </c>
      <c r="B335" s="1">
        <v>45747</v>
      </c>
      <c r="C335" t="s">
        <v>7616</v>
      </c>
      <c r="F335" t="s">
        <v>7424</v>
      </c>
      <c r="H335" t="s">
        <v>6255</v>
      </c>
      <c r="J335">
        <v>142759</v>
      </c>
      <c r="L335" t="s">
        <v>347</v>
      </c>
    </row>
    <row r="336" spans="1:12" x14ac:dyDescent="0.35">
      <c r="A336" t="s">
        <v>6256</v>
      </c>
      <c r="B336" s="1">
        <v>45717</v>
      </c>
      <c r="C336" t="s">
        <v>7596</v>
      </c>
      <c r="D336" t="s">
        <v>9991</v>
      </c>
      <c r="E336" t="s">
        <v>9991</v>
      </c>
      <c r="F336" t="s">
        <v>7831</v>
      </c>
      <c r="G336" t="s">
        <v>6231</v>
      </c>
      <c r="H336" t="s">
        <v>6257</v>
      </c>
      <c r="I336" s="1">
        <v>45717</v>
      </c>
      <c r="J336">
        <v>531000</v>
      </c>
      <c r="L336" t="s">
        <v>6803</v>
      </c>
    </row>
    <row r="337" spans="1:12" x14ac:dyDescent="0.35">
      <c r="A337" t="s">
        <v>6256</v>
      </c>
      <c r="B337" s="1">
        <v>45717</v>
      </c>
      <c r="C337" t="s">
        <v>7596</v>
      </c>
      <c r="D337" t="s">
        <v>9991</v>
      </c>
      <c r="E337" t="s">
        <v>9991</v>
      </c>
      <c r="F337" t="s">
        <v>8419</v>
      </c>
      <c r="H337" t="s">
        <v>6257</v>
      </c>
      <c r="K337">
        <v>81000</v>
      </c>
      <c r="L337" t="s">
        <v>6803</v>
      </c>
    </row>
    <row r="338" spans="1:12" x14ac:dyDescent="0.35">
      <c r="A338" t="s">
        <v>6256</v>
      </c>
      <c r="B338" s="1">
        <v>45717</v>
      </c>
      <c r="C338" t="s">
        <v>7596</v>
      </c>
      <c r="D338" t="s">
        <v>9991</v>
      </c>
      <c r="E338" t="s">
        <v>9991</v>
      </c>
      <c r="F338" t="s">
        <v>9974</v>
      </c>
      <c r="H338" t="s">
        <v>6257</v>
      </c>
      <c r="K338">
        <v>450000</v>
      </c>
      <c r="L338" t="s">
        <v>6289</v>
      </c>
    </row>
    <row r="339" spans="1:12" x14ac:dyDescent="0.35">
      <c r="A339" t="s">
        <v>6256</v>
      </c>
      <c r="B339" s="1">
        <v>45733</v>
      </c>
      <c r="C339" t="s">
        <v>7483</v>
      </c>
      <c r="D339" t="s">
        <v>9992</v>
      </c>
      <c r="E339" t="s">
        <v>9992</v>
      </c>
      <c r="F339" t="s">
        <v>7831</v>
      </c>
      <c r="G339" t="s">
        <v>6159</v>
      </c>
      <c r="H339" t="s">
        <v>6258</v>
      </c>
      <c r="I339" s="1">
        <v>45763</v>
      </c>
      <c r="J339">
        <v>-9322000</v>
      </c>
      <c r="L339" t="s">
        <v>6803</v>
      </c>
    </row>
    <row r="340" spans="1:12" x14ac:dyDescent="0.35">
      <c r="A340" t="s">
        <v>6256</v>
      </c>
      <c r="B340" s="1">
        <v>45733</v>
      </c>
      <c r="C340" t="s">
        <v>7483</v>
      </c>
      <c r="D340" t="s">
        <v>9992</v>
      </c>
      <c r="E340" t="s">
        <v>9992</v>
      </c>
      <c r="F340" t="s">
        <v>8419</v>
      </c>
      <c r="H340" t="s">
        <v>6258</v>
      </c>
      <c r="K340">
        <v>-1422000</v>
      </c>
      <c r="L340" t="s">
        <v>6803</v>
      </c>
    </row>
    <row r="341" spans="1:12" x14ac:dyDescent="0.35">
      <c r="A341" t="s">
        <v>6256</v>
      </c>
      <c r="B341" s="1">
        <v>45733</v>
      </c>
      <c r="C341" t="s">
        <v>7483</v>
      </c>
      <c r="D341" t="s">
        <v>9992</v>
      </c>
      <c r="E341" t="s">
        <v>9992</v>
      </c>
      <c r="F341" t="s">
        <v>9974</v>
      </c>
      <c r="H341" t="s">
        <v>6258</v>
      </c>
      <c r="K341">
        <v>-7900000</v>
      </c>
      <c r="L341" t="s">
        <v>6291</v>
      </c>
    </row>
    <row r="342" spans="1:12" x14ac:dyDescent="0.35">
      <c r="A342" t="s">
        <v>6256</v>
      </c>
      <c r="B342" s="1">
        <v>45733</v>
      </c>
      <c r="C342" t="s">
        <v>7593</v>
      </c>
      <c r="D342" t="s">
        <v>9993</v>
      </c>
      <c r="E342" t="s">
        <v>9993</v>
      </c>
      <c r="F342" t="s">
        <v>7831</v>
      </c>
      <c r="G342" t="s">
        <v>6231</v>
      </c>
      <c r="H342" t="s">
        <v>6259</v>
      </c>
      <c r="I342" s="1">
        <v>45733</v>
      </c>
      <c r="J342">
        <v>134988960</v>
      </c>
      <c r="L342" t="s">
        <v>6803</v>
      </c>
    </row>
    <row r="343" spans="1:12" x14ac:dyDescent="0.35">
      <c r="A343" t="s">
        <v>6256</v>
      </c>
      <c r="B343" s="1">
        <v>45733</v>
      </c>
      <c r="C343" t="s">
        <v>7593</v>
      </c>
      <c r="D343" t="s">
        <v>9993</v>
      </c>
      <c r="E343" t="s">
        <v>9993</v>
      </c>
      <c r="F343" t="s">
        <v>8419</v>
      </c>
      <c r="H343" t="s">
        <v>6259</v>
      </c>
      <c r="K343">
        <v>20591536</v>
      </c>
      <c r="L343" t="s">
        <v>6803</v>
      </c>
    </row>
    <row r="344" spans="1:12" x14ac:dyDescent="0.35">
      <c r="A344" t="s">
        <v>6256</v>
      </c>
      <c r="B344" s="1">
        <v>45733</v>
      </c>
      <c r="C344" t="s">
        <v>7593</v>
      </c>
      <c r="D344" t="s">
        <v>9993</v>
      </c>
      <c r="E344" t="s">
        <v>9993</v>
      </c>
      <c r="F344" t="s">
        <v>9974</v>
      </c>
      <c r="H344" t="s">
        <v>6259</v>
      </c>
      <c r="K344">
        <v>114397424</v>
      </c>
      <c r="L344" t="s">
        <v>6287</v>
      </c>
    </row>
    <row r="345" spans="1:12" x14ac:dyDescent="0.35">
      <c r="A345" t="s">
        <v>6256</v>
      </c>
      <c r="B345" s="1">
        <v>45735</v>
      </c>
      <c r="C345" t="s">
        <v>7485</v>
      </c>
      <c r="D345" t="s">
        <v>9994</v>
      </c>
      <c r="E345" t="s">
        <v>9994</v>
      </c>
      <c r="F345" t="s">
        <v>7831</v>
      </c>
      <c r="G345" t="s">
        <v>6260</v>
      </c>
      <c r="H345" t="s">
        <v>6261</v>
      </c>
      <c r="I345" s="1">
        <v>45735</v>
      </c>
      <c r="J345">
        <v>9322000</v>
      </c>
      <c r="L345" t="s">
        <v>6803</v>
      </c>
    </row>
    <row r="346" spans="1:12" x14ac:dyDescent="0.35">
      <c r="A346" t="s">
        <v>6256</v>
      </c>
      <c r="B346" s="1">
        <v>45735</v>
      </c>
      <c r="C346" t="s">
        <v>7485</v>
      </c>
      <c r="D346" t="s">
        <v>9994</v>
      </c>
      <c r="E346" t="s">
        <v>9994</v>
      </c>
      <c r="F346" t="s">
        <v>8419</v>
      </c>
      <c r="H346" t="s">
        <v>6261</v>
      </c>
      <c r="K346">
        <v>1422000</v>
      </c>
      <c r="L346" t="s">
        <v>6803</v>
      </c>
    </row>
    <row r="347" spans="1:12" x14ac:dyDescent="0.35">
      <c r="A347" t="s">
        <v>6256</v>
      </c>
      <c r="B347" s="1">
        <v>45735</v>
      </c>
      <c r="C347" t="s">
        <v>7485</v>
      </c>
      <c r="D347" t="s">
        <v>9994</v>
      </c>
      <c r="E347" t="s">
        <v>9994</v>
      </c>
      <c r="F347" t="s">
        <v>9974</v>
      </c>
      <c r="H347" t="s">
        <v>6261</v>
      </c>
      <c r="K347">
        <v>7900000</v>
      </c>
      <c r="L347" t="s">
        <v>6291</v>
      </c>
    </row>
    <row r="348" spans="1:12" x14ac:dyDescent="0.35">
      <c r="A348" t="s">
        <v>6256</v>
      </c>
      <c r="B348" s="1">
        <v>45735</v>
      </c>
      <c r="C348" t="s">
        <v>7598</v>
      </c>
      <c r="F348" t="s">
        <v>7831</v>
      </c>
      <c r="G348" t="s">
        <v>6231</v>
      </c>
      <c r="H348" t="s">
        <v>6262</v>
      </c>
      <c r="I348" s="1">
        <v>45735</v>
      </c>
      <c r="J348">
        <v>531000</v>
      </c>
      <c r="L348" t="s">
        <v>6803</v>
      </c>
    </row>
    <row r="349" spans="1:12" x14ac:dyDescent="0.35">
      <c r="A349" t="s">
        <v>6256</v>
      </c>
      <c r="B349" s="1">
        <v>45735</v>
      </c>
      <c r="C349" t="s">
        <v>7598</v>
      </c>
      <c r="F349" t="s">
        <v>8419</v>
      </c>
      <c r="H349" t="s">
        <v>6262</v>
      </c>
      <c r="K349">
        <v>81000</v>
      </c>
      <c r="L349" t="s">
        <v>6803</v>
      </c>
    </row>
    <row r="350" spans="1:12" x14ac:dyDescent="0.35">
      <c r="A350" t="s">
        <v>6256</v>
      </c>
      <c r="B350" s="1">
        <v>45735</v>
      </c>
      <c r="C350" t="s">
        <v>7598</v>
      </c>
      <c r="F350" t="s">
        <v>9974</v>
      </c>
      <c r="H350" t="s">
        <v>6262</v>
      </c>
      <c r="K350">
        <v>450000</v>
      </c>
      <c r="L350" t="s">
        <v>6289</v>
      </c>
    </row>
    <row r="351" spans="1:12" x14ac:dyDescent="0.35">
      <c r="A351" t="s">
        <v>6256</v>
      </c>
      <c r="B351" s="1">
        <v>45744</v>
      </c>
      <c r="C351" t="s">
        <v>7599</v>
      </c>
      <c r="D351" t="s">
        <v>7753</v>
      </c>
      <c r="E351" t="s">
        <v>7753</v>
      </c>
      <c r="F351" t="s">
        <v>7831</v>
      </c>
      <c r="G351" t="s">
        <v>6231</v>
      </c>
      <c r="H351" t="s">
        <v>6263</v>
      </c>
      <c r="I351" s="1">
        <v>45744</v>
      </c>
      <c r="J351">
        <v>9776300</v>
      </c>
      <c r="L351" t="s">
        <v>6803</v>
      </c>
    </row>
    <row r="352" spans="1:12" x14ac:dyDescent="0.35">
      <c r="A352" t="s">
        <v>6256</v>
      </c>
      <c r="B352" s="1">
        <v>45744</v>
      </c>
      <c r="C352" t="s">
        <v>7599</v>
      </c>
      <c r="D352" t="s">
        <v>7753</v>
      </c>
      <c r="E352" t="s">
        <v>7753</v>
      </c>
      <c r="F352" t="s">
        <v>8419</v>
      </c>
      <c r="H352" t="s">
        <v>6263</v>
      </c>
      <c r="K352">
        <v>1491300</v>
      </c>
      <c r="L352" t="s">
        <v>6803</v>
      </c>
    </row>
    <row r="353" spans="1:12" x14ac:dyDescent="0.35">
      <c r="A353" t="s">
        <v>6256</v>
      </c>
      <c r="B353" s="1">
        <v>45744</v>
      </c>
      <c r="C353" t="s">
        <v>7599</v>
      </c>
      <c r="D353" t="s">
        <v>7753</v>
      </c>
      <c r="E353" t="s">
        <v>7753</v>
      </c>
      <c r="F353" t="s">
        <v>9974</v>
      </c>
      <c r="H353" t="s">
        <v>6263</v>
      </c>
      <c r="K353">
        <v>8285000</v>
      </c>
      <c r="L353" t="s">
        <v>6289</v>
      </c>
    </row>
    <row r="354" spans="1:12" x14ac:dyDescent="0.35">
      <c r="A354" t="s">
        <v>6256</v>
      </c>
      <c r="B354" s="1">
        <v>45744</v>
      </c>
      <c r="C354" t="s">
        <v>7600</v>
      </c>
      <c r="D354" t="s">
        <v>9995</v>
      </c>
      <c r="E354" t="s">
        <v>9995</v>
      </c>
      <c r="F354" t="s">
        <v>7831</v>
      </c>
      <c r="G354" t="s">
        <v>6250</v>
      </c>
      <c r="H354" t="s">
        <v>6264</v>
      </c>
      <c r="I354" s="1">
        <v>45774</v>
      </c>
      <c r="J354">
        <v>2383376</v>
      </c>
      <c r="L354" t="s">
        <v>6803</v>
      </c>
    </row>
    <row r="355" spans="1:12" x14ac:dyDescent="0.35">
      <c r="A355" t="s">
        <v>6256</v>
      </c>
      <c r="B355" s="1">
        <v>45744</v>
      </c>
      <c r="C355" t="s">
        <v>7600</v>
      </c>
      <c r="D355" t="s">
        <v>9995</v>
      </c>
      <c r="E355" t="s">
        <v>9995</v>
      </c>
      <c r="F355" t="s">
        <v>8419</v>
      </c>
      <c r="H355" t="s">
        <v>6264</v>
      </c>
      <c r="K355">
        <v>363566</v>
      </c>
      <c r="L355" t="s">
        <v>6803</v>
      </c>
    </row>
    <row r="356" spans="1:12" x14ac:dyDescent="0.35">
      <c r="A356" t="s">
        <v>6256</v>
      </c>
      <c r="B356" s="1">
        <v>45744</v>
      </c>
      <c r="C356" t="s">
        <v>7600</v>
      </c>
      <c r="D356" t="s">
        <v>9995</v>
      </c>
      <c r="E356" t="s">
        <v>9995</v>
      </c>
      <c r="F356" t="s">
        <v>9974</v>
      </c>
      <c r="H356" t="s">
        <v>6264</v>
      </c>
      <c r="K356">
        <v>2019810</v>
      </c>
      <c r="L356" t="s">
        <v>6289</v>
      </c>
    </row>
    <row r="357" spans="1:12" x14ac:dyDescent="0.35">
      <c r="A357" t="s">
        <v>6256</v>
      </c>
      <c r="B357" s="1">
        <v>45744</v>
      </c>
      <c r="C357" t="s">
        <v>7601</v>
      </c>
      <c r="D357" t="s">
        <v>9996</v>
      </c>
      <c r="E357" t="s">
        <v>9996</v>
      </c>
      <c r="F357" t="s">
        <v>7831</v>
      </c>
      <c r="G357" t="s">
        <v>6265</v>
      </c>
      <c r="H357" t="s">
        <v>6266</v>
      </c>
      <c r="I357" s="1">
        <v>45774</v>
      </c>
      <c r="J357">
        <v>3540000</v>
      </c>
      <c r="L357" t="s">
        <v>6803</v>
      </c>
    </row>
    <row r="358" spans="1:12" x14ac:dyDescent="0.35">
      <c r="A358" t="s">
        <v>6256</v>
      </c>
      <c r="B358" s="1">
        <v>45744</v>
      </c>
      <c r="C358" t="s">
        <v>7601</v>
      </c>
      <c r="D358" t="s">
        <v>9996</v>
      </c>
      <c r="E358" t="s">
        <v>9996</v>
      </c>
      <c r="F358" t="s">
        <v>8419</v>
      </c>
      <c r="H358" t="s">
        <v>6266</v>
      </c>
      <c r="K358">
        <v>540000</v>
      </c>
      <c r="L358" t="s">
        <v>6803</v>
      </c>
    </row>
    <row r="359" spans="1:12" x14ac:dyDescent="0.35">
      <c r="A359" t="s">
        <v>6256</v>
      </c>
      <c r="B359" s="1">
        <v>45744</v>
      </c>
      <c r="C359" t="s">
        <v>7601</v>
      </c>
      <c r="D359" t="s">
        <v>9996</v>
      </c>
      <c r="E359" t="s">
        <v>9996</v>
      </c>
      <c r="F359" t="s">
        <v>9974</v>
      </c>
      <c r="H359" t="s">
        <v>6266</v>
      </c>
      <c r="K359">
        <v>3000000</v>
      </c>
      <c r="L359" t="s">
        <v>6289</v>
      </c>
    </row>
    <row r="360" spans="1:12" x14ac:dyDescent="0.35">
      <c r="A360" t="s">
        <v>6256</v>
      </c>
      <c r="B360" s="1">
        <v>45744</v>
      </c>
      <c r="C360" t="s">
        <v>7603</v>
      </c>
      <c r="D360" t="s">
        <v>7508</v>
      </c>
      <c r="E360" t="s">
        <v>7508</v>
      </c>
      <c r="F360" t="s">
        <v>7831</v>
      </c>
      <c r="G360" t="s">
        <v>6231</v>
      </c>
      <c r="H360" t="s">
        <v>6267</v>
      </c>
      <c r="I360" s="1">
        <v>45744</v>
      </c>
      <c r="J360">
        <v>295000</v>
      </c>
      <c r="L360" t="s">
        <v>6803</v>
      </c>
    </row>
    <row r="361" spans="1:12" x14ac:dyDescent="0.35">
      <c r="A361" t="s">
        <v>6256</v>
      </c>
      <c r="B361" s="1">
        <v>45744</v>
      </c>
      <c r="C361" t="s">
        <v>7603</v>
      </c>
      <c r="D361" t="s">
        <v>7508</v>
      </c>
      <c r="E361" t="s">
        <v>7508</v>
      </c>
      <c r="F361" t="s">
        <v>8419</v>
      </c>
      <c r="H361" t="s">
        <v>6267</v>
      </c>
      <c r="K361">
        <v>45000</v>
      </c>
      <c r="L361" t="s">
        <v>6803</v>
      </c>
    </row>
    <row r="362" spans="1:12" x14ac:dyDescent="0.35">
      <c r="A362" t="s">
        <v>6256</v>
      </c>
      <c r="B362" s="1">
        <v>45744</v>
      </c>
      <c r="C362" t="s">
        <v>7603</v>
      </c>
      <c r="D362" t="s">
        <v>7508</v>
      </c>
      <c r="E362" t="s">
        <v>7508</v>
      </c>
      <c r="F362" t="s">
        <v>9974</v>
      </c>
      <c r="H362" t="s">
        <v>6267</v>
      </c>
      <c r="K362">
        <v>250000</v>
      </c>
      <c r="L362" t="s">
        <v>6289</v>
      </c>
    </row>
    <row r="363" spans="1:12" x14ac:dyDescent="0.35">
      <c r="A363" t="s">
        <v>6256</v>
      </c>
      <c r="B363" s="1">
        <v>45744</v>
      </c>
      <c r="C363" t="s">
        <v>7549</v>
      </c>
      <c r="D363" t="s">
        <v>7506</v>
      </c>
      <c r="E363" t="s">
        <v>7506</v>
      </c>
      <c r="F363" t="s">
        <v>7831</v>
      </c>
      <c r="G363" t="s">
        <v>6231</v>
      </c>
      <c r="H363" t="s">
        <v>6268</v>
      </c>
      <c r="I363" s="1">
        <v>45744</v>
      </c>
      <c r="J363">
        <v>4720000</v>
      </c>
      <c r="L363" t="s">
        <v>6803</v>
      </c>
    </row>
    <row r="364" spans="1:12" x14ac:dyDescent="0.35">
      <c r="A364" t="s">
        <v>6256</v>
      </c>
      <c r="B364" s="1">
        <v>45744</v>
      </c>
      <c r="C364" t="s">
        <v>7549</v>
      </c>
      <c r="D364" t="s">
        <v>7506</v>
      </c>
      <c r="E364" t="s">
        <v>7506</v>
      </c>
      <c r="F364" t="s">
        <v>8419</v>
      </c>
      <c r="H364" t="s">
        <v>6268</v>
      </c>
      <c r="K364">
        <v>720000</v>
      </c>
      <c r="L364" t="s">
        <v>6803</v>
      </c>
    </row>
    <row r="365" spans="1:12" x14ac:dyDescent="0.35">
      <c r="A365" t="s">
        <v>6256</v>
      </c>
      <c r="B365" s="1">
        <v>45744</v>
      </c>
      <c r="C365" t="s">
        <v>7549</v>
      </c>
      <c r="D365" t="s">
        <v>7506</v>
      </c>
      <c r="E365" t="s">
        <v>7506</v>
      </c>
      <c r="F365" t="s">
        <v>9974</v>
      </c>
      <c r="H365" t="s">
        <v>6268</v>
      </c>
      <c r="K365">
        <v>4000000</v>
      </c>
      <c r="L365" t="s">
        <v>6288</v>
      </c>
    </row>
    <row r="366" spans="1:12" x14ac:dyDescent="0.35">
      <c r="A366" t="s">
        <v>6256</v>
      </c>
      <c r="B366" s="1">
        <v>45744</v>
      </c>
      <c r="C366" t="s">
        <v>7486</v>
      </c>
      <c r="D366" t="s">
        <v>7504</v>
      </c>
      <c r="E366" t="s">
        <v>7504</v>
      </c>
      <c r="F366" t="s">
        <v>7831</v>
      </c>
      <c r="G366" t="s">
        <v>6260</v>
      </c>
      <c r="H366" t="s">
        <v>6269</v>
      </c>
      <c r="I366" s="1">
        <v>45774</v>
      </c>
      <c r="J366">
        <v>8968000</v>
      </c>
      <c r="L366" t="s">
        <v>6803</v>
      </c>
    </row>
    <row r="367" spans="1:12" x14ac:dyDescent="0.35">
      <c r="A367" t="s">
        <v>6256</v>
      </c>
      <c r="B367" s="1">
        <v>45744</v>
      </c>
      <c r="C367" t="s">
        <v>7486</v>
      </c>
      <c r="D367" t="s">
        <v>7504</v>
      </c>
      <c r="E367" t="s">
        <v>7504</v>
      </c>
      <c r="F367" t="s">
        <v>8419</v>
      </c>
      <c r="H367" t="s">
        <v>6269</v>
      </c>
      <c r="K367">
        <v>1368000</v>
      </c>
      <c r="L367" t="s">
        <v>6803</v>
      </c>
    </row>
    <row r="368" spans="1:12" x14ac:dyDescent="0.35">
      <c r="A368" t="s">
        <v>6256</v>
      </c>
      <c r="B368" s="1">
        <v>45744</v>
      </c>
      <c r="C368" t="s">
        <v>7486</v>
      </c>
      <c r="D368" t="s">
        <v>7504</v>
      </c>
      <c r="E368" t="s">
        <v>7504</v>
      </c>
      <c r="F368" t="s">
        <v>9974</v>
      </c>
      <c r="H368" t="s">
        <v>6269</v>
      </c>
      <c r="K368">
        <v>7600000</v>
      </c>
      <c r="L368" t="s">
        <v>6291</v>
      </c>
    </row>
    <row r="369" spans="1:12" x14ac:dyDescent="0.35">
      <c r="A369" t="s">
        <v>6256</v>
      </c>
      <c r="B369" s="1">
        <v>45744</v>
      </c>
      <c r="C369" t="s">
        <v>7489</v>
      </c>
      <c r="D369" t="s">
        <v>9997</v>
      </c>
      <c r="E369" t="s">
        <v>9997</v>
      </c>
      <c r="F369" t="s">
        <v>7831</v>
      </c>
      <c r="G369" t="s">
        <v>6231</v>
      </c>
      <c r="H369" t="s">
        <v>6270</v>
      </c>
      <c r="I369" s="1">
        <v>45744</v>
      </c>
      <c r="J369">
        <v>18436320</v>
      </c>
      <c r="L369" t="s">
        <v>6803</v>
      </c>
    </row>
    <row r="370" spans="1:12" x14ac:dyDescent="0.35">
      <c r="A370" t="s">
        <v>6256</v>
      </c>
      <c r="B370" s="1">
        <v>45744</v>
      </c>
      <c r="C370" t="s">
        <v>7489</v>
      </c>
      <c r="D370" t="s">
        <v>9997</v>
      </c>
      <c r="E370" t="s">
        <v>9997</v>
      </c>
      <c r="F370" t="s">
        <v>8419</v>
      </c>
      <c r="H370" t="s">
        <v>6270</v>
      </c>
      <c r="K370">
        <v>2812320</v>
      </c>
      <c r="L370" t="s">
        <v>6803</v>
      </c>
    </row>
    <row r="371" spans="1:12" x14ac:dyDescent="0.35">
      <c r="A371" t="s">
        <v>6256</v>
      </c>
      <c r="B371" s="1">
        <v>45744</v>
      </c>
      <c r="C371" t="s">
        <v>7489</v>
      </c>
      <c r="D371" t="s">
        <v>9997</v>
      </c>
      <c r="E371" t="s">
        <v>9997</v>
      </c>
      <c r="F371" t="s">
        <v>9974</v>
      </c>
      <c r="H371" t="s">
        <v>6270</v>
      </c>
      <c r="K371">
        <v>15624000</v>
      </c>
      <c r="L371" t="s">
        <v>6290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B8E41-E261-4003-BC3C-05DF5FA878DC}">
  <dimension ref="A1:N163"/>
  <sheetViews>
    <sheetView workbookViewId="0">
      <selection activeCell="A2" sqref="A2:A163"/>
    </sheetView>
  </sheetViews>
  <sheetFormatPr baseColWidth="10" defaultRowHeight="14.5" x14ac:dyDescent="0.35"/>
  <cols>
    <col min="1" max="1" width="26.90625" customWidth="1"/>
  </cols>
  <sheetData>
    <row r="1" spans="1:14" x14ac:dyDescent="0.35">
      <c r="A1" t="s">
        <v>6797</v>
      </c>
      <c r="B1" t="s">
        <v>0</v>
      </c>
      <c r="C1" t="s">
        <v>1</v>
      </c>
      <c r="D1" t="s">
        <v>2</v>
      </c>
      <c r="E1" t="s">
        <v>5</v>
      </c>
      <c r="F1" t="s">
        <v>7</v>
      </c>
      <c r="G1" t="s">
        <v>335</v>
      </c>
      <c r="H1" t="s">
        <v>336</v>
      </c>
      <c r="I1" t="s">
        <v>337</v>
      </c>
      <c r="J1" t="s">
        <v>338</v>
      </c>
      <c r="K1" t="s">
        <v>339</v>
      </c>
      <c r="L1" t="s">
        <v>340</v>
      </c>
      <c r="M1" t="s">
        <v>9</v>
      </c>
      <c r="N1" t="s">
        <v>10</v>
      </c>
    </row>
    <row r="2" spans="1:14" x14ac:dyDescent="0.35">
      <c r="A2" t="str">
        <f>CONCATENATE(B2,C2,D2,,E2)</f>
        <v>AB457172064680000</v>
      </c>
      <c r="B2" t="s">
        <v>6019</v>
      </c>
      <c r="C2" s="1">
        <v>45717</v>
      </c>
      <c r="D2" t="str">
        <f>"20"</f>
        <v>20</v>
      </c>
      <c r="E2" t="str">
        <f>"64680000"</f>
        <v>64680000</v>
      </c>
      <c r="F2" t="s">
        <v>6021</v>
      </c>
      <c r="G2" t="s">
        <v>6271</v>
      </c>
      <c r="H2" t="s">
        <v>6272</v>
      </c>
      <c r="I2">
        <v>0</v>
      </c>
      <c r="J2" t="s">
        <v>343</v>
      </c>
      <c r="K2">
        <v>400000</v>
      </c>
      <c r="M2">
        <v>400000</v>
      </c>
    </row>
    <row r="3" spans="1:14" x14ac:dyDescent="0.35">
      <c r="A3" t="str">
        <f t="shared" ref="A3:A66" si="0">CONCATENATE(B3,C3,D3,,E3)</f>
        <v>AB457172166850000</v>
      </c>
      <c r="B3" t="s">
        <v>6019</v>
      </c>
      <c r="C3" s="1">
        <v>45717</v>
      </c>
      <c r="D3" t="str">
        <f>"21"</f>
        <v>21</v>
      </c>
      <c r="E3" t="str">
        <f>"66850000"</f>
        <v>66850000</v>
      </c>
      <c r="F3" t="s">
        <v>6023</v>
      </c>
      <c r="G3" t="s">
        <v>6271</v>
      </c>
      <c r="H3" t="s">
        <v>6273</v>
      </c>
      <c r="I3">
        <v>0</v>
      </c>
      <c r="J3" t="s">
        <v>343</v>
      </c>
      <c r="K3">
        <v>606104</v>
      </c>
      <c r="M3">
        <v>606104</v>
      </c>
    </row>
    <row r="4" spans="1:14" x14ac:dyDescent="0.35">
      <c r="A4" t="str">
        <f t="shared" si="0"/>
        <v>AB457172266380000</v>
      </c>
      <c r="B4" t="s">
        <v>6019</v>
      </c>
      <c r="C4" s="1">
        <v>45717</v>
      </c>
      <c r="D4" t="str">
        <f>"22"</f>
        <v>22</v>
      </c>
      <c r="E4" t="str">
        <f>"66380000"</f>
        <v>66380000</v>
      </c>
      <c r="F4" t="s">
        <v>6025</v>
      </c>
      <c r="G4" t="s">
        <v>6271</v>
      </c>
      <c r="H4" t="s">
        <v>6273</v>
      </c>
      <c r="I4">
        <v>0</v>
      </c>
      <c r="J4" t="s">
        <v>343</v>
      </c>
      <c r="K4">
        <v>2420000</v>
      </c>
      <c r="M4">
        <v>2420000</v>
      </c>
    </row>
    <row r="5" spans="1:14" x14ac:dyDescent="0.35">
      <c r="A5" t="str">
        <f t="shared" si="0"/>
        <v>AB457172362220000</v>
      </c>
      <c r="B5" t="s">
        <v>6019</v>
      </c>
      <c r="C5" s="1">
        <v>45717</v>
      </c>
      <c r="D5" t="str">
        <f>"23"</f>
        <v>23</v>
      </c>
      <c r="E5" t="str">
        <f>"62220000"</f>
        <v>62220000</v>
      </c>
      <c r="F5" t="s">
        <v>6026</v>
      </c>
      <c r="G5" t="s">
        <v>6271</v>
      </c>
      <c r="H5" t="s">
        <v>6274</v>
      </c>
      <c r="I5">
        <v>0</v>
      </c>
      <c r="J5" t="s">
        <v>343</v>
      </c>
      <c r="K5">
        <v>4000000</v>
      </c>
      <c r="M5">
        <v>16000000</v>
      </c>
    </row>
    <row r="6" spans="1:14" x14ac:dyDescent="0.35">
      <c r="A6" t="str">
        <f t="shared" si="0"/>
        <v>AB457172362220000</v>
      </c>
      <c r="B6" t="s">
        <v>6019</v>
      </c>
      <c r="C6" s="1">
        <v>45717</v>
      </c>
      <c r="D6" t="str">
        <f>"23"</f>
        <v>23</v>
      </c>
      <c r="E6" t="str">
        <f>"62220000"</f>
        <v>62220000</v>
      </c>
      <c r="F6" t="s">
        <v>6026</v>
      </c>
      <c r="G6" t="s">
        <v>6271</v>
      </c>
      <c r="H6" t="s">
        <v>6275</v>
      </c>
      <c r="I6">
        <v>0</v>
      </c>
      <c r="J6" t="s">
        <v>343</v>
      </c>
      <c r="K6">
        <v>12000000</v>
      </c>
      <c r="M6">
        <v>16000000</v>
      </c>
    </row>
    <row r="7" spans="1:14" x14ac:dyDescent="0.35">
      <c r="A7" t="str">
        <f t="shared" si="0"/>
        <v>AB457172461400000</v>
      </c>
      <c r="B7" t="s">
        <v>6019</v>
      </c>
      <c r="C7" s="1">
        <v>45717</v>
      </c>
      <c r="D7" t="str">
        <f>"24"</f>
        <v>24</v>
      </c>
      <c r="E7" t="str">
        <f>"61400000"</f>
        <v>61400000</v>
      </c>
      <c r="F7" t="s">
        <v>6029</v>
      </c>
      <c r="G7" t="s">
        <v>6271</v>
      </c>
      <c r="H7" t="s">
        <v>6276</v>
      </c>
      <c r="I7">
        <v>0</v>
      </c>
      <c r="J7" t="s">
        <v>343</v>
      </c>
      <c r="K7">
        <v>7600000</v>
      </c>
      <c r="M7">
        <v>7600000</v>
      </c>
    </row>
    <row r="8" spans="1:14" x14ac:dyDescent="0.35">
      <c r="A8" t="str">
        <f t="shared" si="0"/>
        <v>AB457172563720000</v>
      </c>
      <c r="B8" t="s">
        <v>6019</v>
      </c>
      <c r="C8" s="1">
        <v>45717</v>
      </c>
      <c r="D8" t="str">
        <f>"25"</f>
        <v>25</v>
      </c>
      <c r="E8" t="str">
        <f>"63720000"</f>
        <v>63720000</v>
      </c>
      <c r="F8" t="s">
        <v>6031</v>
      </c>
      <c r="G8" t="s">
        <v>6271</v>
      </c>
      <c r="H8" t="s">
        <v>6277</v>
      </c>
      <c r="I8">
        <v>0</v>
      </c>
      <c r="J8" t="s">
        <v>343</v>
      </c>
      <c r="K8">
        <v>3950000</v>
      </c>
      <c r="M8">
        <v>3950000</v>
      </c>
    </row>
    <row r="9" spans="1:14" x14ac:dyDescent="0.35">
      <c r="A9" t="str">
        <f t="shared" si="0"/>
        <v>AB457172663720000</v>
      </c>
      <c r="B9" t="s">
        <v>6019</v>
      </c>
      <c r="C9" s="1">
        <v>45717</v>
      </c>
      <c r="D9" t="str">
        <f>"26"</f>
        <v>26</v>
      </c>
      <c r="E9" t="str">
        <f>"63720000"</f>
        <v>63720000</v>
      </c>
      <c r="F9" t="s">
        <v>6031</v>
      </c>
      <c r="G9" t="s">
        <v>6271</v>
      </c>
      <c r="H9" t="s">
        <v>6277</v>
      </c>
      <c r="I9">
        <v>0</v>
      </c>
      <c r="J9" t="s">
        <v>343</v>
      </c>
      <c r="K9">
        <v>2250000</v>
      </c>
      <c r="M9">
        <v>2250000</v>
      </c>
    </row>
    <row r="10" spans="1:14" x14ac:dyDescent="0.35">
      <c r="A10" t="str">
        <f t="shared" si="0"/>
        <v>AB457172764120000</v>
      </c>
      <c r="B10" t="s">
        <v>6019</v>
      </c>
      <c r="C10" s="1">
        <v>45717</v>
      </c>
      <c r="D10" t="str">
        <f>"27"</f>
        <v>27</v>
      </c>
      <c r="E10" t="str">
        <f>"64120000"</f>
        <v>64120000</v>
      </c>
      <c r="F10" t="s">
        <v>6033</v>
      </c>
      <c r="G10" t="s">
        <v>6271</v>
      </c>
      <c r="H10" t="s">
        <v>6272</v>
      </c>
      <c r="I10">
        <v>0</v>
      </c>
      <c r="J10" t="s">
        <v>343</v>
      </c>
      <c r="K10">
        <v>3861714</v>
      </c>
      <c r="M10">
        <v>3861714</v>
      </c>
    </row>
    <row r="11" spans="1:14" x14ac:dyDescent="0.35">
      <c r="A11" t="str">
        <f t="shared" si="0"/>
        <v>AB457182863240000</v>
      </c>
      <c r="B11" t="s">
        <v>6019</v>
      </c>
      <c r="C11" s="1">
        <v>45718</v>
      </c>
      <c r="D11" t="str">
        <f>"28"</f>
        <v>28</v>
      </c>
      <c r="E11" t="str">
        <f>"63240000"</f>
        <v>63240000</v>
      </c>
      <c r="F11" t="s">
        <v>25</v>
      </c>
      <c r="G11" t="s">
        <v>6271</v>
      </c>
      <c r="H11" t="s">
        <v>347</v>
      </c>
      <c r="I11">
        <v>0</v>
      </c>
      <c r="J11" t="s">
        <v>343</v>
      </c>
      <c r="K11">
        <v>962500</v>
      </c>
      <c r="M11">
        <v>962500</v>
      </c>
    </row>
    <row r="12" spans="1:14" x14ac:dyDescent="0.35">
      <c r="A12" t="str">
        <f t="shared" si="0"/>
        <v>AB457182962220000</v>
      </c>
      <c r="B12" t="s">
        <v>6019</v>
      </c>
      <c r="C12" s="1">
        <v>45718</v>
      </c>
      <c r="D12" t="str">
        <f>"29"</f>
        <v>29</v>
      </c>
      <c r="E12" t="str">
        <f>"62220000"</f>
        <v>62220000</v>
      </c>
      <c r="F12" t="s">
        <v>6037</v>
      </c>
      <c r="G12" t="s">
        <v>6271</v>
      </c>
      <c r="H12" t="s">
        <v>6278</v>
      </c>
      <c r="I12">
        <v>0</v>
      </c>
      <c r="J12" t="s">
        <v>343</v>
      </c>
      <c r="K12">
        <v>10500000</v>
      </c>
      <c r="M12">
        <v>10500000</v>
      </c>
    </row>
    <row r="13" spans="1:14" x14ac:dyDescent="0.35">
      <c r="A13" t="str">
        <f t="shared" si="0"/>
        <v>AC45720363720000</v>
      </c>
      <c r="B13" t="s">
        <v>26</v>
      </c>
      <c r="C13" s="1">
        <v>45720</v>
      </c>
      <c r="D13" t="str">
        <f>"3"</f>
        <v>3</v>
      </c>
      <c r="E13" t="str">
        <f>"63720000"</f>
        <v>63720000</v>
      </c>
      <c r="F13" t="s">
        <v>6046</v>
      </c>
      <c r="G13" t="s">
        <v>6271</v>
      </c>
      <c r="H13" t="s">
        <v>6272</v>
      </c>
      <c r="I13">
        <v>0</v>
      </c>
      <c r="J13" t="s">
        <v>343</v>
      </c>
      <c r="K13">
        <v>90000</v>
      </c>
      <c r="M13">
        <v>90000</v>
      </c>
    </row>
    <row r="14" spans="1:14" x14ac:dyDescent="0.35">
      <c r="A14" t="str">
        <f t="shared" si="0"/>
        <v>AC45720463720000</v>
      </c>
      <c r="B14" t="s">
        <v>26</v>
      </c>
      <c r="C14" s="1">
        <v>45720</v>
      </c>
      <c r="D14" t="str">
        <f>"4"</f>
        <v>4</v>
      </c>
      <c r="E14" t="str">
        <f>"63720000"</f>
        <v>63720000</v>
      </c>
      <c r="F14" t="s">
        <v>6048</v>
      </c>
      <c r="G14" t="s">
        <v>6271</v>
      </c>
      <c r="H14" t="s">
        <v>6272</v>
      </c>
      <c r="I14">
        <v>0</v>
      </c>
      <c r="J14" t="s">
        <v>343</v>
      </c>
      <c r="K14">
        <v>56000</v>
      </c>
      <c r="M14">
        <v>56000</v>
      </c>
    </row>
    <row r="15" spans="1:14" x14ac:dyDescent="0.35">
      <c r="A15" t="str">
        <f t="shared" si="0"/>
        <v>AC457231362410000</v>
      </c>
      <c r="B15" t="s">
        <v>26</v>
      </c>
      <c r="C15" s="1">
        <v>45723</v>
      </c>
      <c r="D15" t="str">
        <f>"13"</f>
        <v>13</v>
      </c>
      <c r="E15" t="str">
        <f>"62410000"</f>
        <v>62410000</v>
      </c>
      <c r="F15" t="s">
        <v>6054</v>
      </c>
      <c r="G15" t="s">
        <v>6271</v>
      </c>
      <c r="H15" t="s">
        <v>6275</v>
      </c>
      <c r="I15">
        <v>0</v>
      </c>
      <c r="J15" t="s">
        <v>343</v>
      </c>
      <c r="K15">
        <v>35000</v>
      </c>
      <c r="M15">
        <v>70000</v>
      </c>
    </row>
    <row r="16" spans="1:14" x14ac:dyDescent="0.35">
      <c r="A16" t="str">
        <f t="shared" si="0"/>
        <v>AC457231362410000</v>
      </c>
      <c r="B16" t="s">
        <v>26</v>
      </c>
      <c r="C16" s="1">
        <v>45723</v>
      </c>
      <c r="D16" t="str">
        <f>"13"</f>
        <v>13</v>
      </c>
      <c r="E16" t="str">
        <f>"62410000"</f>
        <v>62410000</v>
      </c>
      <c r="F16" t="s">
        <v>6054</v>
      </c>
      <c r="G16" t="s">
        <v>6271</v>
      </c>
      <c r="H16" t="s">
        <v>6274</v>
      </c>
      <c r="I16">
        <v>0</v>
      </c>
      <c r="J16" t="s">
        <v>343</v>
      </c>
      <c r="K16">
        <v>35000</v>
      </c>
      <c r="M16">
        <v>70000</v>
      </c>
    </row>
    <row r="17" spans="1:13" x14ac:dyDescent="0.35">
      <c r="A17" t="str">
        <f t="shared" si="0"/>
        <v>AC457231462410000</v>
      </c>
      <c r="B17" t="s">
        <v>26</v>
      </c>
      <c r="C17" s="1">
        <v>45723</v>
      </c>
      <c r="D17" t="str">
        <f>"14"</f>
        <v>14</v>
      </c>
      <c r="E17" t="str">
        <f>"62410000"</f>
        <v>62410000</v>
      </c>
      <c r="F17" t="s">
        <v>6056</v>
      </c>
      <c r="G17" t="s">
        <v>6271</v>
      </c>
      <c r="H17" t="s">
        <v>6279</v>
      </c>
      <c r="I17">
        <v>0</v>
      </c>
      <c r="J17" t="s">
        <v>343</v>
      </c>
      <c r="K17">
        <v>419100</v>
      </c>
      <c r="M17">
        <v>419100</v>
      </c>
    </row>
    <row r="18" spans="1:13" x14ac:dyDescent="0.35">
      <c r="A18" t="str">
        <f t="shared" si="0"/>
        <v>AC457231562230000</v>
      </c>
      <c r="B18" t="s">
        <v>26</v>
      </c>
      <c r="C18" s="1">
        <v>45723</v>
      </c>
      <c r="D18" t="str">
        <f>"15"</f>
        <v>15</v>
      </c>
      <c r="E18" t="str">
        <f>"62230000"</f>
        <v>62230000</v>
      </c>
      <c r="F18" t="s">
        <v>6059</v>
      </c>
      <c r="G18" t="s">
        <v>6271</v>
      </c>
      <c r="H18" t="s">
        <v>6279</v>
      </c>
      <c r="I18">
        <v>0</v>
      </c>
      <c r="J18" t="s">
        <v>343</v>
      </c>
      <c r="K18">
        <v>257540</v>
      </c>
      <c r="M18">
        <v>257540</v>
      </c>
    </row>
    <row r="19" spans="1:13" x14ac:dyDescent="0.35">
      <c r="A19" t="str">
        <f t="shared" si="0"/>
        <v>AC45726762810000</v>
      </c>
      <c r="B19" t="s">
        <v>26</v>
      </c>
      <c r="C19" s="1">
        <v>45726</v>
      </c>
      <c r="D19" t="str">
        <f>"7"</f>
        <v>7</v>
      </c>
      <c r="E19" t="str">
        <f>"62810000"</f>
        <v>62810000</v>
      </c>
      <c r="F19" t="s">
        <v>6062</v>
      </c>
      <c r="G19" t="s">
        <v>6271</v>
      </c>
      <c r="H19" t="s">
        <v>6279</v>
      </c>
      <c r="I19">
        <v>0</v>
      </c>
      <c r="J19" t="s">
        <v>343</v>
      </c>
      <c r="K19">
        <v>1126545</v>
      </c>
      <c r="M19">
        <v>1126545</v>
      </c>
    </row>
    <row r="20" spans="1:13" x14ac:dyDescent="0.35">
      <c r="A20" t="str">
        <f t="shared" si="0"/>
        <v>AC45726862810000</v>
      </c>
      <c r="B20" t="s">
        <v>26</v>
      </c>
      <c r="C20" s="1">
        <v>45726</v>
      </c>
      <c r="D20" t="str">
        <f>"8"</f>
        <v>8</v>
      </c>
      <c r="E20" t="str">
        <f>"62810000"</f>
        <v>62810000</v>
      </c>
      <c r="F20" t="s">
        <v>6064</v>
      </c>
      <c r="G20" t="s">
        <v>6271</v>
      </c>
      <c r="H20" t="s">
        <v>6279</v>
      </c>
      <c r="I20">
        <v>0</v>
      </c>
      <c r="J20" t="s">
        <v>343</v>
      </c>
      <c r="K20">
        <v>314227</v>
      </c>
      <c r="M20">
        <v>314227</v>
      </c>
    </row>
    <row r="21" spans="1:13" x14ac:dyDescent="0.35">
      <c r="A21" t="str">
        <f t="shared" si="0"/>
        <v>AC45726960550000</v>
      </c>
      <c r="B21" t="s">
        <v>26</v>
      </c>
      <c r="C21" s="1">
        <v>45726</v>
      </c>
      <c r="D21" t="str">
        <f>"9"</f>
        <v>9</v>
      </c>
      <c r="E21" t="str">
        <f>"60550000"</f>
        <v>60550000</v>
      </c>
      <c r="F21" t="s">
        <v>6067</v>
      </c>
      <c r="G21" t="s">
        <v>6271</v>
      </c>
      <c r="H21" t="s">
        <v>6279</v>
      </c>
      <c r="I21">
        <v>0</v>
      </c>
      <c r="J21" t="s">
        <v>343</v>
      </c>
      <c r="K21">
        <v>154774</v>
      </c>
      <c r="M21">
        <v>154774</v>
      </c>
    </row>
    <row r="22" spans="1:13" x14ac:dyDescent="0.35">
      <c r="A22" t="str">
        <f t="shared" si="0"/>
        <v>AC457261660550000</v>
      </c>
      <c r="B22" t="s">
        <v>26</v>
      </c>
      <c r="C22" s="1">
        <v>45726</v>
      </c>
      <c r="D22" t="str">
        <f>"16"</f>
        <v>16</v>
      </c>
      <c r="E22" t="str">
        <f>"60550000"</f>
        <v>60550000</v>
      </c>
      <c r="F22" t="s">
        <v>6070</v>
      </c>
      <c r="G22" t="s">
        <v>6271</v>
      </c>
      <c r="H22" t="s">
        <v>6279</v>
      </c>
      <c r="I22">
        <v>0</v>
      </c>
      <c r="J22" t="s">
        <v>343</v>
      </c>
      <c r="K22">
        <v>169500</v>
      </c>
      <c r="M22">
        <v>169500</v>
      </c>
    </row>
    <row r="23" spans="1:13" x14ac:dyDescent="0.35">
      <c r="A23" t="str">
        <f t="shared" si="0"/>
        <v>AC457263262410000</v>
      </c>
      <c r="B23" t="s">
        <v>26</v>
      </c>
      <c r="C23" s="1">
        <v>45726</v>
      </c>
      <c r="D23" t="str">
        <f>"32"</f>
        <v>32</v>
      </c>
      <c r="E23" t="str">
        <f>"62410000"</f>
        <v>62410000</v>
      </c>
      <c r="F23" t="s">
        <v>6073</v>
      </c>
      <c r="G23" t="s">
        <v>6271</v>
      </c>
      <c r="H23" t="s">
        <v>6274</v>
      </c>
      <c r="I23">
        <v>0</v>
      </c>
      <c r="J23" t="s">
        <v>343</v>
      </c>
      <c r="K23">
        <v>385000</v>
      </c>
      <c r="M23">
        <v>770000</v>
      </c>
    </row>
    <row r="24" spans="1:13" x14ac:dyDescent="0.35">
      <c r="A24" t="str">
        <f t="shared" si="0"/>
        <v>AC457263262410000</v>
      </c>
      <c r="B24" t="s">
        <v>26</v>
      </c>
      <c r="C24" s="1">
        <v>45726</v>
      </c>
      <c r="D24" t="str">
        <f>"32"</f>
        <v>32</v>
      </c>
      <c r="E24" t="str">
        <f>"62410000"</f>
        <v>62410000</v>
      </c>
      <c r="F24" t="s">
        <v>6073</v>
      </c>
      <c r="G24" t="s">
        <v>6271</v>
      </c>
      <c r="H24" t="s">
        <v>6275</v>
      </c>
      <c r="I24">
        <v>0</v>
      </c>
      <c r="J24" t="s">
        <v>343</v>
      </c>
      <c r="K24">
        <v>385000</v>
      </c>
      <c r="M24">
        <v>770000</v>
      </c>
    </row>
    <row r="25" spans="1:13" x14ac:dyDescent="0.35">
      <c r="A25" t="str">
        <f t="shared" si="0"/>
        <v>AC457263362410000</v>
      </c>
      <c r="B25" t="s">
        <v>26</v>
      </c>
      <c r="C25" s="1">
        <v>45726</v>
      </c>
      <c r="D25" t="str">
        <f>"33"</f>
        <v>33</v>
      </c>
      <c r="E25" t="str">
        <f>"62410000"</f>
        <v>62410000</v>
      </c>
      <c r="F25" t="s">
        <v>6075</v>
      </c>
      <c r="G25" t="s">
        <v>6271</v>
      </c>
      <c r="H25" t="s">
        <v>6274</v>
      </c>
      <c r="I25">
        <v>0</v>
      </c>
      <c r="J25" t="s">
        <v>343</v>
      </c>
      <c r="K25">
        <v>-385000</v>
      </c>
      <c r="M25">
        <v>-770000</v>
      </c>
    </row>
    <row r="26" spans="1:13" x14ac:dyDescent="0.35">
      <c r="A26" t="str">
        <f t="shared" si="0"/>
        <v>AC457263362410000</v>
      </c>
      <c r="B26" t="s">
        <v>26</v>
      </c>
      <c r="C26" s="1">
        <v>45726</v>
      </c>
      <c r="D26" t="str">
        <f>"33"</f>
        <v>33</v>
      </c>
      <c r="E26" t="str">
        <f>"62410000"</f>
        <v>62410000</v>
      </c>
      <c r="F26" t="s">
        <v>6075</v>
      </c>
      <c r="G26" t="s">
        <v>6271</v>
      </c>
      <c r="H26" t="s">
        <v>6275</v>
      </c>
      <c r="I26">
        <v>0</v>
      </c>
      <c r="J26" t="s">
        <v>343</v>
      </c>
      <c r="K26">
        <v>-385000</v>
      </c>
      <c r="M26">
        <v>-770000</v>
      </c>
    </row>
    <row r="27" spans="1:13" x14ac:dyDescent="0.35">
      <c r="A27" t="str">
        <f t="shared" si="0"/>
        <v>AC457281866720000</v>
      </c>
      <c r="B27" t="s">
        <v>26</v>
      </c>
      <c r="C27" s="1">
        <v>45728</v>
      </c>
      <c r="D27" t="str">
        <f>"18"</f>
        <v>18</v>
      </c>
      <c r="E27" t="str">
        <f>"66720000"</f>
        <v>66720000</v>
      </c>
      <c r="F27" t="s">
        <v>6083</v>
      </c>
      <c r="G27" t="s">
        <v>6271</v>
      </c>
      <c r="H27" t="s">
        <v>6279</v>
      </c>
      <c r="I27">
        <v>0</v>
      </c>
      <c r="J27" t="s">
        <v>343</v>
      </c>
      <c r="K27">
        <v>1110452</v>
      </c>
      <c r="M27">
        <v>1110452</v>
      </c>
    </row>
    <row r="28" spans="1:13" x14ac:dyDescent="0.35">
      <c r="A28" t="str">
        <f t="shared" si="0"/>
        <v>AC457281966720000</v>
      </c>
      <c r="B28" t="s">
        <v>26</v>
      </c>
      <c r="C28" s="1">
        <v>45728</v>
      </c>
      <c r="D28" t="str">
        <f>"19"</f>
        <v>19</v>
      </c>
      <c r="E28" t="str">
        <f>"66720000"</f>
        <v>66720000</v>
      </c>
      <c r="F28" t="s">
        <v>6083</v>
      </c>
      <c r="G28" t="s">
        <v>6271</v>
      </c>
      <c r="H28" t="s">
        <v>6279</v>
      </c>
      <c r="I28">
        <v>0</v>
      </c>
      <c r="J28" t="s">
        <v>343</v>
      </c>
      <c r="K28">
        <v>12205900</v>
      </c>
      <c r="M28">
        <v>12205900</v>
      </c>
    </row>
    <row r="29" spans="1:13" x14ac:dyDescent="0.35">
      <c r="A29" t="str">
        <f t="shared" si="0"/>
        <v>AC457292066720000</v>
      </c>
      <c r="B29" t="s">
        <v>26</v>
      </c>
      <c r="C29" s="1">
        <v>45729</v>
      </c>
      <c r="D29" t="str">
        <f>"20"</f>
        <v>20</v>
      </c>
      <c r="E29" t="str">
        <f>"66720000"</f>
        <v>66720000</v>
      </c>
      <c r="F29" t="s">
        <v>6088</v>
      </c>
      <c r="G29" t="s">
        <v>6271</v>
      </c>
      <c r="H29" t="s">
        <v>6279</v>
      </c>
      <c r="I29">
        <v>0</v>
      </c>
      <c r="J29" t="s">
        <v>343</v>
      </c>
      <c r="K29">
        <v>10289663</v>
      </c>
      <c r="M29">
        <v>10289663</v>
      </c>
    </row>
    <row r="30" spans="1:13" x14ac:dyDescent="0.35">
      <c r="A30" t="str">
        <f t="shared" si="0"/>
        <v>AC457292166720000</v>
      </c>
      <c r="B30" t="s">
        <v>26</v>
      </c>
      <c r="C30" s="1">
        <v>45729</v>
      </c>
      <c r="D30" t="str">
        <f>"21"</f>
        <v>21</v>
      </c>
      <c r="E30" t="str">
        <f>"66720000"</f>
        <v>66720000</v>
      </c>
      <c r="F30" t="s">
        <v>6088</v>
      </c>
      <c r="G30" t="s">
        <v>6271</v>
      </c>
      <c r="H30" t="s">
        <v>6279</v>
      </c>
      <c r="I30">
        <v>0</v>
      </c>
      <c r="J30" t="s">
        <v>343</v>
      </c>
      <c r="K30">
        <v>681204</v>
      </c>
      <c r="M30">
        <v>681204</v>
      </c>
    </row>
    <row r="31" spans="1:13" x14ac:dyDescent="0.35">
      <c r="A31" t="str">
        <f t="shared" si="0"/>
        <v>AC457302262230000</v>
      </c>
      <c r="B31" t="s">
        <v>26</v>
      </c>
      <c r="C31" s="1">
        <v>45730</v>
      </c>
      <c r="D31" t="str">
        <f>"22"</f>
        <v>22</v>
      </c>
      <c r="E31" t="str">
        <f>"62230000"</f>
        <v>62230000</v>
      </c>
      <c r="F31" t="s">
        <v>6093</v>
      </c>
      <c r="G31" t="s">
        <v>6271</v>
      </c>
      <c r="H31" t="s">
        <v>6272</v>
      </c>
      <c r="I31">
        <v>0</v>
      </c>
      <c r="J31" t="s">
        <v>343</v>
      </c>
      <c r="K31">
        <v>1000800</v>
      </c>
      <c r="M31">
        <v>1000800</v>
      </c>
    </row>
    <row r="32" spans="1:13" x14ac:dyDescent="0.35">
      <c r="A32" t="str">
        <f t="shared" si="0"/>
        <v>AC457302360580000</v>
      </c>
      <c r="B32" t="s">
        <v>26</v>
      </c>
      <c r="C32" s="1">
        <v>45730</v>
      </c>
      <c r="D32" t="str">
        <f>"23"</f>
        <v>23</v>
      </c>
      <c r="E32" t="str">
        <f>"60580000"</f>
        <v>60580000</v>
      </c>
      <c r="F32" t="s">
        <v>6096</v>
      </c>
      <c r="G32" t="s">
        <v>6271</v>
      </c>
      <c r="H32" t="s">
        <v>6279</v>
      </c>
      <c r="I32">
        <v>0</v>
      </c>
      <c r="J32" t="s">
        <v>343</v>
      </c>
      <c r="K32">
        <v>800004</v>
      </c>
      <c r="M32">
        <v>800004</v>
      </c>
    </row>
    <row r="33" spans="1:13" x14ac:dyDescent="0.35">
      <c r="A33" t="str">
        <f t="shared" si="0"/>
        <v>AC457302460580000</v>
      </c>
      <c r="B33" t="s">
        <v>26</v>
      </c>
      <c r="C33" s="1">
        <v>45730</v>
      </c>
      <c r="D33" t="str">
        <f>"24"</f>
        <v>24</v>
      </c>
      <c r="E33" t="str">
        <f>"60580000"</f>
        <v>60580000</v>
      </c>
      <c r="F33" t="s">
        <v>6098</v>
      </c>
      <c r="G33" t="s">
        <v>6271</v>
      </c>
      <c r="H33" t="s">
        <v>6279</v>
      </c>
      <c r="I33">
        <v>0</v>
      </c>
      <c r="J33" t="s">
        <v>343</v>
      </c>
      <c r="K33">
        <v>191100</v>
      </c>
      <c r="M33">
        <v>191100</v>
      </c>
    </row>
    <row r="34" spans="1:13" x14ac:dyDescent="0.35">
      <c r="A34" t="str">
        <f t="shared" si="0"/>
        <v>AC457302560580000</v>
      </c>
      <c r="B34" t="s">
        <v>26</v>
      </c>
      <c r="C34" s="1">
        <v>45730</v>
      </c>
      <c r="D34" t="str">
        <f>"25"</f>
        <v>25</v>
      </c>
      <c r="E34" t="str">
        <f>"60580000"</f>
        <v>60580000</v>
      </c>
      <c r="F34" t="s">
        <v>6096</v>
      </c>
      <c r="G34" t="s">
        <v>6271</v>
      </c>
      <c r="H34" t="s">
        <v>6279</v>
      </c>
      <c r="I34">
        <v>0</v>
      </c>
      <c r="J34" t="s">
        <v>343</v>
      </c>
      <c r="K34">
        <v>1505750</v>
      </c>
      <c r="M34">
        <v>1505750</v>
      </c>
    </row>
    <row r="35" spans="1:13" x14ac:dyDescent="0.35">
      <c r="A35" t="str">
        <f t="shared" si="0"/>
        <v>AC457341066380000</v>
      </c>
      <c r="B35" t="s">
        <v>26</v>
      </c>
      <c r="C35" s="1">
        <v>45734</v>
      </c>
      <c r="D35" t="str">
        <f>"10"</f>
        <v>10</v>
      </c>
      <c r="E35" t="str">
        <f>"66380000"</f>
        <v>66380000</v>
      </c>
      <c r="F35" t="s">
        <v>6102</v>
      </c>
      <c r="G35" t="s">
        <v>6271</v>
      </c>
      <c r="H35" t="s">
        <v>6280</v>
      </c>
      <c r="I35">
        <v>0</v>
      </c>
      <c r="J35" t="s">
        <v>343</v>
      </c>
      <c r="K35">
        <v>660805</v>
      </c>
      <c r="M35">
        <v>660805</v>
      </c>
    </row>
    <row r="36" spans="1:13" x14ac:dyDescent="0.35">
      <c r="A36" t="str">
        <f t="shared" si="0"/>
        <v>AC457362662480000</v>
      </c>
      <c r="B36" t="s">
        <v>26</v>
      </c>
      <c r="C36" s="1">
        <v>45736</v>
      </c>
      <c r="D36" t="str">
        <f>"26"</f>
        <v>26</v>
      </c>
      <c r="E36" t="str">
        <f>"62480000"</f>
        <v>62480000</v>
      </c>
      <c r="F36" t="s">
        <v>6105</v>
      </c>
      <c r="G36" t="s">
        <v>6271</v>
      </c>
      <c r="H36" t="s">
        <v>6275</v>
      </c>
      <c r="I36">
        <v>0</v>
      </c>
      <c r="J36" t="s">
        <v>343</v>
      </c>
      <c r="K36">
        <v>250000</v>
      </c>
      <c r="M36">
        <v>500000</v>
      </c>
    </row>
    <row r="37" spans="1:13" x14ac:dyDescent="0.35">
      <c r="A37" t="str">
        <f t="shared" si="0"/>
        <v>AC457362662480000</v>
      </c>
      <c r="B37" t="s">
        <v>26</v>
      </c>
      <c r="C37" s="1">
        <v>45736</v>
      </c>
      <c r="D37" t="str">
        <f>"26"</f>
        <v>26</v>
      </c>
      <c r="E37" t="str">
        <f>"62480000"</f>
        <v>62480000</v>
      </c>
      <c r="F37" t="s">
        <v>6105</v>
      </c>
      <c r="G37" t="s">
        <v>6271</v>
      </c>
      <c r="H37" t="s">
        <v>6274</v>
      </c>
      <c r="I37">
        <v>0</v>
      </c>
      <c r="J37" t="s">
        <v>343</v>
      </c>
      <c r="K37">
        <v>250000</v>
      </c>
      <c r="M37">
        <v>500000</v>
      </c>
    </row>
    <row r="38" spans="1:13" x14ac:dyDescent="0.35">
      <c r="A38" t="str">
        <f t="shared" si="0"/>
        <v>AC457362762410000</v>
      </c>
      <c r="B38" t="s">
        <v>26</v>
      </c>
      <c r="C38" s="1">
        <v>45736</v>
      </c>
      <c r="D38" t="str">
        <f>"27"</f>
        <v>27</v>
      </c>
      <c r="E38" t="str">
        <f>"62410000"</f>
        <v>62410000</v>
      </c>
      <c r="F38" t="s">
        <v>6108</v>
      </c>
      <c r="G38" t="s">
        <v>6271</v>
      </c>
      <c r="H38" t="s">
        <v>6279</v>
      </c>
      <c r="I38">
        <v>0</v>
      </c>
      <c r="J38" t="s">
        <v>343</v>
      </c>
      <c r="K38">
        <v>445480</v>
      </c>
      <c r="M38">
        <v>445480</v>
      </c>
    </row>
    <row r="39" spans="1:13" x14ac:dyDescent="0.35">
      <c r="A39" t="str">
        <f t="shared" si="0"/>
        <v>AC457412866380000</v>
      </c>
      <c r="B39" t="s">
        <v>26</v>
      </c>
      <c r="C39" s="1">
        <v>45741</v>
      </c>
      <c r="D39" t="str">
        <f>"28"</f>
        <v>28</v>
      </c>
      <c r="E39" t="str">
        <f>"66380000"</f>
        <v>66380000</v>
      </c>
      <c r="F39" t="s">
        <v>6111</v>
      </c>
      <c r="G39" t="s">
        <v>6271</v>
      </c>
      <c r="H39" t="s">
        <v>6280</v>
      </c>
      <c r="I39">
        <v>0</v>
      </c>
      <c r="J39" t="s">
        <v>343</v>
      </c>
      <c r="K39">
        <v>30521</v>
      </c>
      <c r="M39">
        <v>30521</v>
      </c>
    </row>
    <row r="40" spans="1:13" x14ac:dyDescent="0.35">
      <c r="A40" t="str">
        <f t="shared" si="0"/>
        <v>AC457412960551000</v>
      </c>
      <c r="B40" t="s">
        <v>26</v>
      </c>
      <c r="C40" s="1">
        <v>45741</v>
      </c>
      <c r="D40" t="str">
        <f>"29"</f>
        <v>29</v>
      </c>
      <c r="E40" t="str">
        <f>"60551000"</f>
        <v>60551000</v>
      </c>
      <c r="F40" t="s">
        <v>6114</v>
      </c>
      <c r="G40" t="s">
        <v>6271</v>
      </c>
      <c r="H40" t="s">
        <v>6279</v>
      </c>
      <c r="I40">
        <v>0</v>
      </c>
      <c r="J40" t="s">
        <v>343</v>
      </c>
      <c r="K40">
        <v>140000</v>
      </c>
      <c r="M40">
        <v>140000</v>
      </c>
    </row>
    <row r="41" spans="1:13" x14ac:dyDescent="0.35">
      <c r="A41" t="str">
        <f t="shared" si="0"/>
        <v>AC457413060550000</v>
      </c>
      <c r="B41" t="s">
        <v>26</v>
      </c>
      <c r="C41" s="1">
        <v>45741</v>
      </c>
      <c r="D41" t="str">
        <f>"30"</f>
        <v>30</v>
      </c>
      <c r="E41" t="str">
        <f>"60550000"</f>
        <v>60550000</v>
      </c>
      <c r="F41" t="s">
        <v>6116</v>
      </c>
      <c r="G41" t="s">
        <v>6271</v>
      </c>
      <c r="H41" t="s">
        <v>6279</v>
      </c>
      <c r="I41">
        <v>0</v>
      </c>
      <c r="J41" t="s">
        <v>343</v>
      </c>
      <c r="K41">
        <v>20225</v>
      </c>
      <c r="M41">
        <v>20225</v>
      </c>
    </row>
    <row r="42" spans="1:13" x14ac:dyDescent="0.35">
      <c r="A42" t="str">
        <f t="shared" si="0"/>
        <v>AC457423162410000</v>
      </c>
      <c r="B42" t="s">
        <v>26</v>
      </c>
      <c r="C42" s="1">
        <v>45742</v>
      </c>
      <c r="D42" t="str">
        <f>"31"</f>
        <v>31</v>
      </c>
      <c r="E42" t="str">
        <f>"62410000"</f>
        <v>62410000</v>
      </c>
      <c r="F42" t="s">
        <v>6119</v>
      </c>
      <c r="G42" t="s">
        <v>6271</v>
      </c>
      <c r="H42" t="s">
        <v>6279</v>
      </c>
      <c r="I42">
        <v>0</v>
      </c>
      <c r="J42" t="s">
        <v>343</v>
      </c>
      <c r="K42">
        <v>48000</v>
      </c>
      <c r="M42">
        <v>48000</v>
      </c>
    </row>
    <row r="43" spans="1:13" x14ac:dyDescent="0.35">
      <c r="A43" t="str">
        <f t="shared" si="0"/>
        <v>ND45722160520000</v>
      </c>
      <c r="B43" t="s">
        <v>75</v>
      </c>
      <c r="C43" s="1">
        <v>45722</v>
      </c>
      <c r="D43" t="str">
        <f>"1"</f>
        <v>1</v>
      </c>
      <c r="E43" t="str">
        <f>"60520000"</f>
        <v>60520000</v>
      </c>
      <c r="F43" t="s">
        <v>6125</v>
      </c>
      <c r="G43" t="s">
        <v>6271</v>
      </c>
      <c r="H43" t="s">
        <v>6281</v>
      </c>
      <c r="I43">
        <v>0</v>
      </c>
      <c r="J43" t="s">
        <v>343</v>
      </c>
      <c r="K43">
        <v>695205</v>
      </c>
      <c r="M43">
        <v>695205</v>
      </c>
    </row>
    <row r="44" spans="1:13" x14ac:dyDescent="0.35">
      <c r="A44" t="str">
        <f t="shared" si="0"/>
        <v>ND45722260520000</v>
      </c>
      <c r="B44" t="s">
        <v>75</v>
      </c>
      <c r="C44" s="1">
        <v>45722</v>
      </c>
      <c r="D44" t="str">
        <f>"2"</f>
        <v>2</v>
      </c>
      <c r="E44" t="str">
        <f>"60520000"</f>
        <v>60520000</v>
      </c>
      <c r="F44" t="s">
        <v>6128</v>
      </c>
      <c r="G44" t="s">
        <v>6271</v>
      </c>
      <c r="H44" t="s">
        <v>6278</v>
      </c>
      <c r="I44">
        <v>0</v>
      </c>
      <c r="J44" t="s">
        <v>343</v>
      </c>
      <c r="K44">
        <v>747010</v>
      </c>
      <c r="M44">
        <v>747010</v>
      </c>
    </row>
    <row r="45" spans="1:13" x14ac:dyDescent="0.35">
      <c r="A45" t="str">
        <f t="shared" si="0"/>
        <v>ND45726360510000</v>
      </c>
      <c r="B45" t="s">
        <v>75</v>
      </c>
      <c r="C45" s="1">
        <v>45726</v>
      </c>
      <c r="D45" t="str">
        <f>"3"</f>
        <v>3</v>
      </c>
      <c r="E45" t="str">
        <f>"60510000"</f>
        <v>60510000</v>
      </c>
      <c r="F45" t="s">
        <v>6135</v>
      </c>
      <c r="G45" t="s">
        <v>6271</v>
      </c>
      <c r="H45" t="s">
        <v>6278</v>
      </c>
      <c r="I45">
        <v>0</v>
      </c>
      <c r="J45" t="s">
        <v>343</v>
      </c>
      <c r="K45">
        <v>4346</v>
      </c>
      <c r="M45">
        <v>4346</v>
      </c>
    </row>
    <row r="46" spans="1:13" x14ac:dyDescent="0.35">
      <c r="A46" t="str">
        <f t="shared" si="0"/>
        <v>ND45726962410000</v>
      </c>
      <c r="B46" t="s">
        <v>75</v>
      </c>
      <c r="C46" s="1">
        <v>45726</v>
      </c>
      <c r="D46" t="str">
        <f>"9"</f>
        <v>9</v>
      </c>
      <c r="E46" t="str">
        <f>"62410000"</f>
        <v>62410000</v>
      </c>
      <c r="F46" t="s">
        <v>6136</v>
      </c>
      <c r="G46" t="s">
        <v>6271</v>
      </c>
      <c r="H46" t="s">
        <v>6274</v>
      </c>
      <c r="I46">
        <v>0</v>
      </c>
      <c r="J46" t="s">
        <v>343</v>
      </c>
      <c r="K46">
        <v>385000</v>
      </c>
      <c r="M46">
        <v>770000</v>
      </c>
    </row>
    <row r="47" spans="1:13" x14ac:dyDescent="0.35">
      <c r="A47" t="str">
        <f t="shared" si="0"/>
        <v>ND45726962410000</v>
      </c>
      <c r="B47" t="s">
        <v>75</v>
      </c>
      <c r="C47" s="1">
        <v>45726</v>
      </c>
      <c r="D47" t="str">
        <f>"9"</f>
        <v>9</v>
      </c>
      <c r="E47" t="str">
        <f>"62410000"</f>
        <v>62410000</v>
      </c>
      <c r="F47" t="s">
        <v>6136</v>
      </c>
      <c r="G47" t="s">
        <v>6271</v>
      </c>
      <c r="H47" t="s">
        <v>6275</v>
      </c>
      <c r="I47">
        <v>0</v>
      </c>
      <c r="J47" t="s">
        <v>343</v>
      </c>
      <c r="K47">
        <v>385000</v>
      </c>
      <c r="M47">
        <v>770000</v>
      </c>
    </row>
    <row r="48" spans="1:13" x14ac:dyDescent="0.35">
      <c r="A48" t="str">
        <f t="shared" si="0"/>
        <v>ND457261062410000</v>
      </c>
      <c r="B48" t="s">
        <v>75</v>
      </c>
      <c r="C48" s="1">
        <v>45726</v>
      </c>
      <c r="D48" t="str">
        <f>"10"</f>
        <v>10</v>
      </c>
      <c r="E48" t="str">
        <f>"62410000"</f>
        <v>62410000</v>
      </c>
      <c r="F48" t="s">
        <v>6139</v>
      </c>
      <c r="G48" t="s">
        <v>6271</v>
      </c>
      <c r="H48" t="s">
        <v>6278</v>
      </c>
      <c r="I48">
        <v>0</v>
      </c>
      <c r="J48" t="s">
        <v>343</v>
      </c>
      <c r="K48">
        <v>154400</v>
      </c>
      <c r="M48">
        <v>154400</v>
      </c>
    </row>
    <row r="49" spans="1:13" x14ac:dyDescent="0.35">
      <c r="A49" t="str">
        <f t="shared" si="0"/>
        <v>ND45727560545000</v>
      </c>
      <c r="B49" t="s">
        <v>75</v>
      </c>
      <c r="C49" s="1">
        <v>45727</v>
      </c>
      <c r="D49" t="str">
        <f>"5"</f>
        <v>5</v>
      </c>
      <c r="E49" t="str">
        <f>"60545000"</f>
        <v>60545000</v>
      </c>
      <c r="F49" t="s">
        <v>6142</v>
      </c>
      <c r="G49" t="s">
        <v>6271</v>
      </c>
      <c r="H49" t="s">
        <v>6282</v>
      </c>
      <c r="I49">
        <v>0</v>
      </c>
      <c r="J49" t="s">
        <v>343</v>
      </c>
      <c r="K49">
        <v>145218</v>
      </c>
      <c r="M49">
        <v>518636</v>
      </c>
    </row>
    <row r="50" spans="1:13" x14ac:dyDescent="0.35">
      <c r="A50" t="str">
        <f t="shared" si="0"/>
        <v>ND45727560545000</v>
      </c>
      <c r="B50" t="s">
        <v>75</v>
      </c>
      <c r="C50" s="1">
        <v>45727</v>
      </c>
      <c r="D50" t="str">
        <f>"5"</f>
        <v>5</v>
      </c>
      <c r="E50" t="str">
        <f>"60545000"</f>
        <v>60545000</v>
      </c>
      <c r="F50" t="s">
        <v>6142</v>
      </c>
      <c r="G50" t="s">
        <v>6271</v>
      </c>
      <c r="H50" t="s">
        <v>6283</v>
      </c>
      <c r="I50">
        <v>0</v>
      </c>
      <c r="J50" t="s">
        <v>343</v>
      </c>
      <c r="K50">
        <v>62236</v>
      </c>
      <c r="M50">
        <v>518636</v>
      </c>
    </row>
    <row r="51" spans="1:13" x14ac:dyDescent="0.35">
      <c r="A51" t="str">
        <f t="shared" si="0"/>
        <v>ND45727560545000</v>
      </c>
      <c r="B51" t="s">
        <v>75</v>
      </c>
      <c r="C51" s="1">
        <v>45727</v>
      </c>
      <c r="D51" t="str">
        <f>"5"</f>
        <v>5</v>
      </c>
      <c r="E51" t="str">
        <f>"60545000"</f>
        <v>60545000</v>
      </c>
      <c r="F51" t="s">
        <v>6142</v>
      </c>
      <c r="G51" t="s">
        <v>6271</v>
      </c>
      <c r="H51" t="s">
        <v>6284</v>
      </c>
      <c r="I51">
        <v>0</v>
      </c>
      <c r="J51" t="s">
        <v>343</v>
      </c>
      <c r="K51">
        <v>311182</v>
      </c>
      <c r="M51">
        <v>518636</v>
      </c>
    </row>
    <row r="52" spans="1:13" x14ac:dyDescent="0.35">
      <c r="A52" t="str">
        <f t="shared" si="0"/>
        <v>ND45733662230000</v>
      </c>
      <c r="B52" t="s">
        <v>75</v>
      </c>
      <c r="C52" s="1">
        <v>45733</v>
      </c>
      <c r="D52" t="str">
        <f>"6"</f>
        <v>6</v>
      </c>
      <c r="E52" t="str">
        <f>"62230000"</f>
        <v>62230000</v>
      </c>
      <c r="F52" t="s">
        <v>6145</v>
      </c>
      <c r="G52" t="s">
        <v>6271</v>
      </c>
      <c r="H52" t="s">
        <v>6275</v>
      </c>
      <c r="I52">
        <v>0</v>
      </c>
      <c r="J52" t="s">
        <v>343</v>
      </c>
      <c r="K52">
        <v>4240000</v>
      </c>
      <c r="M52">
        <v>4240000</v>
      </c>
    </row>
    <row r="53" spans="1:13" x14ac:dyDescent="0.35">
      <c r="A53" t="str">
        <f t="shared" si="0"/>
        <v>ND45740762230000</v>
      </c>
      <c r="B53" t="s">
        <v>75</v>
      </c>
      <c r="C53" s="1">
        <v>45740</v>
      </c>
      <c r="D53" t="str">
        <f>"7"</f>
        <v>7</v>
      </c>
      <c r="E53" t="str">
        <f>"62230000"</f>
        <v>62230000</v>
      </c>
      <c r="F53" t="s">
        <v>6148</v>
      </c>
      <c r="G53" t="s">
        <v>6271</v>
      </c>
      <c r="H53" t="s">
        <v>6275</v>
      </c>
      <c r="I53">
        <v>0</v>
      </c>
      <c r="J53" t="s">
        <v>343</v>
      </c>
      <c r="K53">
        <v>1060000</v>
      </c>
      <c r="M53">
        <v>1060000</v>
      </c>
    </row>
    <row r="54" spans="1:13" x14ac:dyDescent="0.35">
      <c r="A54" t="str">
        <f t="shared" si="0"/>
        <v>ND45740862230000</v>
      </c>
      <c r="B54" t="s">
        <v>75</v>
      </c>
      <c r="C54" s="1">
        <v>45740</v>
      </c>
      <c r="D54" t="str">
        <f>"8"</f>
        <v>8</v>
      </c>
      <c r="E54" t="str">
        <f>"62230000"</f>
        <v>62230000</v>
      </c>
      <c r="F54" t="s">
        <v>6151</v>
      </c>
      <c r="G54" t="s">
        <v>6271</v>
      </c>
      <c r="H54" t="s">
        <v>6275</v>
      </c>
      <c r="I54">
        <v>0</v>
      </c>
      <c r="J54" t="s">
        <v>343</v>
      </c>
      <c r="K54">
        <v>1060000</v>
      </c>
      <c r="M54">
        <v>1060000</v>
      </c>
    </row>
    <row r="55" spans="1:13" x14ac:dyDescent="0.35">
      <c r="A55" t="str">
        <f t="shared" si="0"/>
        <v>ND457421666840000</v>
      </c>
      <c r="B55" t="s">
        <v>75</v>
      </c>
      <c r="C55" s="1">
        <v>45742</v>
      </c>
      <c r="D55" t="str">
        <f>"16"</f>
        <v>16</v>
      </c>
      <c r="E55" t="str">
        <f>"66840000"</f>
        <v>66840000</v>
      </c>
      <c r="F55" t="s">
        <v>6154</v>
      </c>
      <c r="G55" t="s">
        <v>6271</v>
      </c>
      <c r="H55" t="s">
        <v>6276</v>
      </c>
      <c r="I55">
        <v>0</v>
      </c>
      <c r="J55" t="s">
        <v>343</v>
      </c>
      <c r="K55">
        <v>15000</v>
      </c>
      <c r="M55">
        <v>15000</v>
      </c>
    </row>
    <row r="56" spans="1:13" x14ac:dyDescent="0.35">
      <c r="A56" t="str">
        <f t="shared" si="0"/>
        <v>ND457441162880000</v>
      </c>
      <c r="B56" t="s">
        <v>75</v>
      </c>
      <c r="C56" s="1">
        <v>45744</v>
      </c>
      <c r="D56" t="str">
        <f>"11"</f>
        <v>11</v>
      </c>
      <c r="E56" t="str">
        <f>"62880000"</f>
        <v>62880000</v>
      </c>
      <c r="F56" t="s">
        <v>6157</v>
      </c>
      <c r="G56" t="s">
        <v>6271</v>
      </c>
      <c r="H56" t="s">
        <v>6279</v>
      </c>
      <c r="I56">
        <v>0</v>
      </c>
      <c r="J56" t="s">
        <v>343</v>
      </c>
      <c r="K56">
        <v>45000</v>
      </c>
      <c r="M56">
        <v>45000</v>
      </c>
    </row>
    <row r="57" spans="1:13" x14ac:dyDescent="0.35">
      <c r="A57" t="str">
        <f t="shared" si="0"/>
        <v>ND457441262880000</v>
      </c>
      <c r="B57" t="s">
        <v>75</v>
      </c>
      <c r="C57" s="1">
        <v>45744</v>
      </c>
      <c r="D57" t="str">
        <f>"12"</f>
        <v>12</v>
      </c>
      <c r="E57" t="str">
        <f>"62880000"</f>
        <v>62880000</v>
      </c>
      <c r="F57" t="s">
        <v>6158</v>
      </c>
      <c r="G57" t="s">
        <v>6271</v>
      </c>
      <c r="H57" t="s">
        <v>6279</v>
      </c>
      <c r="I57">
        <v>0</v>
      </c>
      <c r="J57" t="s">
        <v>343</v>
      </c>
      <c r="K57">
        <v>49000</v>
      </c>
      <c r="M57">
        <v>49000</v>
      </c>
    </row>
    <row r="58" spans="1:13" x14ac:dyDescent="0.35">
      <c r="A58" t="str">
        <f t="shared" si="0"/>
        <v>ND457441563170000</v>
      </c>
      <c r="B58" t="s">
        <v>75</v>
      </c>
      <c r="C58" s="1">
        <v>45744</v>
      </c>
      <c r="D58" t="str">
        <f>"15"</f>
        <v>15</v>
      </c>
      <c r="E58" t="str">
        <f>"63170000"</f>
        <v>63170000</v>
      </c>
      <c r="F58" t="s">
        <v>6163</v>
      </c>
      <c r="G58" t="s">
        <v>6271</v>
      </c>
      <c r="H58" t="s">
        <v>347</v>
      </c>
      <c r="I58">
        <v>0</v>
      </c>
      <c r="J58" t="s">
        <v>343</v>
      </c>
      <c r="K58">
        <v>1700</v>
      </c>
      <c r="M58">
        <v>1700</v>
      </c>
    </row>
    <row r="59" spans="1:13" x14ac:dyDescent="0.35">
      <c r="A59" t="str">
        <f t="shared" si="0"/>
        <v>ND457441566184000</v>
      </c>
      <c r="B59" t="s">
        <v>75</v>
      </c>
      <c r="C59" s="1">
        <v>45744</v>
      </c>
      <c r="D59" t="str">
        <f>"15"</f>
        <v>15</v>
      </c>
      <c r="E59" t="str">
        <f>"66184000"</f>
        <v>66184000</v>
      </c>
      <c r="F59" t="s">
        <v>6163</v>
      </c>
      <c r="G59" t="s">
        <v>6271</v>
      </c>
      <c r="H59" t="s">
        <v>6276</v>
      </c>
      <c r="I59">
        <v>0</v>
      </c>
      <c r="J59" t="s">
        <v>343</v>
      </c>
      <c r="K59">
        <v>200000</v>
      </c>
      <c r="M59">
        <v>200000</v>
      </c>
    </row>
    <row r="60" spans="1:13" x14ac:dyDescent="0.35">
      <c r="A60" t="str">
        <f t="shared" si="0"/>
        <v>NS457442663180000</v>
      </c>
      <c r="B60" t="s">
        <v>6164</v>
      </c>
      <c r="C60" s="1">
        <v>45744</v>
      </c>
      <c r="D60" t="str">
        <f>"26"</f>
        <v>26</v>
      </c>
      <c r="E60" t="str">
        <f>"63180000"</f>
        <v>63180000</v>
      </c>
      <c r="F60" t="s">
        <v>58</v>
      </c>
      <c r="G60" t="s">
        <v>6271</v>
      </c>
      <c r="H60" t="s">
        <v>347</v>
      </c>
      <c r="I60">
        <v>0</v>
      </c>
      <c r="J60" t="s">
        <v>343</v>
      </c>
      <c r="K60">
        <v>11000</v>
      </c>
      <c r="M60">
        <v>11000</v>
      </c>
    </row>
    <row r="61" spans="1:13" x14ac:dyDescent="0.35">
      <c r="A61" t="str">
        <f t="shared" si="0"/>
        <v>NS457442763180000</v>
      </c>
      <c r="B61" t="s">
        <v>6164</v>
      </c>
      <c r="C61" s="1">
        <v>45744</v>
      </c>
      <c r="D61" t="str">
        <f>"27"</f>
        <v>27</v>
      </c>
      <c r="E61" t="str">
        <f>"63180000"</f>
        <v>63180000</v>
      </c>
      <c r="F61" t="s">
        <v>58</v>
      </c>
      <c r="G61" t="s">
        <v>6271</v>
      </c>
      <c r="H61" t="s">
        <v>347</v>
      </c>
      <c r="I61">
        <v>0</v>
      </c>
      <c r="J61" t="s">
        <v>343</v>
      </c>
      <c r="K61">
        <v>19800</v>
      </c>
      <c r="M61">
        <v>19800</v>
      </c>
    </row>
    <row r="62" spans="1:13" x14ac:dyDescent="0.35">
      <c r="A62" t="str">
        <f t="shared" si="0"/>
        <v>NS457472863180000</v>
      </c>
      <c r="B62" t="s">
        <v>6164</v>
      </c>
      <c r="C62" s="1">
        <v>45747</v>
      </c>
      <c r="D62" t="str">
        <f>"28"</f>
        <v>28</v>
      </c>
      <c r="E62" t="str">
        <f>"63180000"</f>
        <v>63180000</v>
      </c>
      <c r="F62" t="s">
        <v>58</v>
      </c>
      <c r="G62" t="s">
        <v>6271</v>
      </c>
      <c r="H62" t="s">
        <v>347</v>
      </c>
      <c r="I62">
        <v>0</v>
      </c>
      <c r="J62" t="s">
        <v>343</v>
      </c>
      <c r="K62">
        <v>2200</v>
      </c>
      <c r="M62">
        <v>2200</v>
      </c>
    </row>
    <row r="63" spans="1:13" x14ac:dyDescent="0.35">
      <c r="A63" t="str">
        <f t="shared" si="0"/>
        <v>OD457172562230000</v>
      </c>
      <c r="B63" t="s">
        <v>101</v>
      </c>
      <c r="C63" s="1">
        <v>45717</v>
      </c>
      <c r="D63" t="str">
        <f>"25"</f>
        <v>25</v>
      </c>
      <c r="E63" t="str">
        <f>"62230000"</f>
        <v>62230000</v>
      </c>
      <c r="F63" t="s">
        <v>6172</v>
      </c>
      <c r="G63" t="s">
        <v>6271</v>
      </c>
      <c r="H63" t="s">
        <v>6285</v>
      </c>
      <c r="I63">
        <v>0</v>
      </c>
      <c r="J63" t="s">
        <v>343</v>
      </c>
      <c r="K63">
        <v>-4240000</v>
      </c>
      <c r="M63">
        <v>-4240000</v>
      </c>
    </row>
    <row r="64" spans="1:13" x14ac:dyDescent="0.35">
      <c r="A64" t="str">
        <f t="shared" si="0"/>
        <v>OD457175162230000</v>
      </c>
      <c r="B64" t="s">
        <v>101</v>
      </c>
      <c r="C64" s="1">
        <v>45717</v>
      </c>
      <c r="D64" t="str">
        <f>"51"</f>
        <v>51</v>
      </c>
      <c r="E64" t="str">
        <f>"62230000"</f>
        <v>62230000</v>
      </c>
      <c r="F64" t="s">
        <v>6173</v>
      </c>
      <c r="G64" t="s">
        <v>6271</v>
      </c>
      <c r="H64" t="s">
        <v>6285</v>
      </c>
      <c r="I64">
        <v>0</v>
      </c>
      <c r="J64" t="s">
        <v>343</v>
      </c>
      <c r="K64">
        <v>-1060000</v>
      </c>
      <c r="M64">
        <v>-1060000</v>
      </c>
    </row>
    <row r="65" spans="1:14" x14ac:dyDescent="0.35">
      <c r="A65" t="str">
        <f t="shared" si="0"/>
        <v>OD457175262230000</v>
      </c>
      <c r="B65" t="s">
        <v>101</v>
      </c>
      <c r="C65" s="1">
        <v>45717</v>
      </c>
      <c r="D65" t="str">
        <f>"52"</f>
        <v>52</v>
      </c>
      <c r="E65" t="str">
        <f>"62230000"</f>
        <v>62230000</v>
      </c>
      <c r="F65" t="s">
        <v>6174</v>
      </c>
      <c r="G65" t="s">
        <v>6271</v>
      </c>
      <c r="H65" t="s">
        <v>6285</v>
      </c>
      <c r="I65">
        <v>0</v>
      </c>
      <c r="J65" t="s">
        <v>343</v>
      </c>
      <c r="K65">
        <v>-1060000</v>
      </c>
      <c r="M65">
        <v>-1060000</v>
      </c>
    </row>
    <row r="66" spans="1:14" x14ac:dyDescent="0.35">
      <c r="A66" t="str">
        <f t="shared" si="0"/>
        <v>OD457175660550000</v>
      </c>
      <c r="B66" t="s">
        <v>101</v>
      </c>
      <c r="C66" s="1">
        <v>45717</v>
      </c>
      <c r="D66" t="str">
        <f>"56"</f>
        <v>56</v>
      </c>
      <c r="E66" t="str">
        <f>"60550000"</f>
        <v>60550000</v>
      </c>
      <c r="F66" t="s">
        <v>6175</v>
      </c>
      <c r="G66" t="s">
        <v>6271</v>
      </c>
      <c r="H66" t="s">
        <v>6279</v>
      </c>
      <c r="I66">
        <v>0</v>
      </c>
      <c r="J66" t="s">
        <v>343</v>
      </c>
      <c r="K66">
        <v>-169500</v>
      </c>
      <c r="M66">
        <v>-169500</v>
      </c>
    </row>
    <row r="67" spans="1:14" x14ac:dyDescent="0.35">
      <c r="A67" t="str">
        <f t="shared" ref="A67:A130" si="1">CONCATENATE(B67,C67,D67,,E67)</f>
        <v>OD457175760550000</v>
      </c>
      <c r="B67" t="s">
        <v>101</v>
      </c>
      <c r="C67" s="1">
        <v>45717</v>
      </c>
      <c r="D67" t="str">
        <f>"57"</f>
        <v>57</v>
      </c>
      <c r="E67" t="str">
        <f>"60550000"</f>
        <v>60550000</v>
      </c>
      <c r="F67" t="s">
        <v>6175</v>
      </c>
      <c r="G67" t="s">
        <v>6271</v>
      </c>
      <c r="H67" t="s">
        <v>6279</v>
      </c>
      <c r="I67">
        <v>0</v>
      </c>
      <c r="J67" t="s">
        <v>343</v>
      </c>
      <c r="K67">
        <v>-169500</v>
      </c>
      <c r="M67">
        <v>-169500</v>
      </c>
    </row>
    <row r="68" spans="1:14" x14ac:dyDescent="0.35">
      <c r="A68" t="str">
        <f t="shared" si="1"/>
        <v>OD457175862410000</v>
      </c>
      <c r="B68" t="s">
        <v>101</v>
      </c>
      <c r="C68" s="1">
        <v>45717</v>
      </c>
      <c r="D68" t="str">
        <f>"58"</f>
        <v>58</v>
      </c>
      <c r="E68" t="str">
        <f>"62410000"</f>
        <v>62410000</v>
      </c>
      <c r="F68" t="s">
        <v>6176</v>
      </c>
      <c r="G68" t="s">
        <v>6271</v>
      </c>
      <c r="H68" t="s">
        <v>6286</v>
      </c>
      <c r="I68">
        <v>0</v>
      </c>
      <c r="J68" t="s">
        <v>343</v>
      </c>
      <c r="K68">
        <v>-280000</v>
      </c>
      <c r="M68">
        <v>-280000</v>
      </c>
    </row>
    <row r="69" spans="1:14" x14ac:dyDescent="0.35">
      <c r="A69" t="str">
        <f t="shared" si="1"/>
        <v>OD457175966720000</v>
      </c>
      <c r="B69" t="s">
        <v>101</v>
      </c>
      <c r="C69" s="1">
        <v>45717</v>
      </c>
      <c r="D69" t="str">
        <f>"59"</f>
        <v>59</v>
      </c>
      <c r="E69" t="str">
        <f>"66720000"</f>
        <v>66720000</v>
      </c>
      <c r="F69" t="s">
        <v>6178</v>
      </c>
      <c r="G69" t="s">
        <v>6271</v>
      </c>
      <c r="H69" t="s">
        <v>6276</v>
      </c>
      <c r="I69">
        <v>0</v>
      </c>
      <c r="J69" t="s">
        <v>343</v>
      </c>
      <c r="K69">
        <v>-13188459</v>
      </c>
      <c r="M69">
        <v>-13188459</v>
      </c>
    </row>
    <row r="70" spans="1:14" x14ac:dyDescent="0.35">
      <c r="A70" t="str">
        <f t="shared" si="1"/>
        <v>OD457176066720000</v>
      </c>
      <c r="B70" t="s">
        <v>101</v>
      </c>
      <c r="C70" s="1">
        <v>45717</v>
      </c>
      <c r="D70" t="str">
        <f>"60"</f>
        <v>60</v>
      </c>
      <c r="E70" t="str">
        <f>"66720000"</f>
        <v>66720000</v>
      </c>
      <c r="F70" t="s">
        <v>6179</v>
      </c>
      <c r="G70" t="s">
        <v>6271</v>
      </c>
      <c r="H70" t="s">
        <v>6276</v>
      </c>
      <c r="I70">
        <v>0</v>
      </c>
      <c r="J70" t="s">
        <v>343</v>
      </c>
      <c r="K70">
        <v>-10959663</v>
      </c>
      <c r="M70">
        <v>-10959663</v>
      </c>
    </row>
    <row r="71" spans="1:14" x14ac:dyDescent="0.35">
      <c r="A71" t="str">
        <f t="shared" si="1"/>
        <v>OD457176470611100</v>
      </c>
      <c r="B71" t="s">
        <v>101</v>
      </c>
      <c r="C71" s="1">
        <v>45717</v>
      </c>
      <c r="D71" t="str">
        <f>"64"</f>
        <v>64</v>
      </c>
      <c r="E71" t="str">
        <f>"70611100"</f>
        <v>70611100</v>
      </c>
      <c r="F71" t="s">
        <v>6180</v>
      </c>
      <c r="G71" t="s">
        <v>6271</v>
      </c>
      <c r="H71" t="s">
        <v>6287</v>
      </c>
      <c r="I71">
        <v>0</v>
      </c>
      <c r="J71" t="s">
        <v>343</v>
      </c>
      <c r="L71">
        <v>7566483</v>
      </c>
      <c r="N71">
        <v>7566483</v>
      </c>
    </row>
    <row r="72" spans="1:14" x14ac:dyDescent="0.35">
      <c r="A72" t="str">
        <f t="shared" si="1"/>
        <v>OD457176570611100</v>
      </c>
      <c r="B72" t="s">
        <v>101</v>
      </c>
      <c r="C72" s="1">
        <v>45717</v>
      </c>
      <c r="D72" t="str">
        <f>"65"</f>
        <v>65</v>
      </c>
      <c r="E72" t="str">
        <f>"70611100"</f>
        <v>70611100</v>
      </c>
      <c r="F72" t="s">
        <v>6181</v>
      </c>
      <c r="G72" t="s">
        <v>6271</v>
      </c>
      <c r="H72" t="s">
        <v>6288</v>
      </c>
      <c r="I72">
        <v>0</v>
      </c>
      <c r="J72" t="s">
        <v>343</v>
      </c>
      <c r="L72">
        <v>4000000</v>
      </c>
      <c r="N72">
        <v>4000000</v>
      </c>
    </row>
    <row r="73" spans="1:14" x14ac:dyDescent="0.35">
      <c r="A73" t="str">
        <f t="shared" si="1"/>
        <v>OD457176570611100</v>
      </c>
      <c r="B73" t="s">
        <v>101</v>
      </c>
      <c r="C73" s="1">
        <v>45717</v>
      </c>
      <c r="D73" t="str">
        <f>"65"</f>
        <v>65</v>
      </c>
      <c r="E73" t="str">
        <f>"70611100"</f>
        <v>70611100</v>
      </c>
      <c r="F73" t="s">
        <v>6181</v>
      </c>
      <c r="G73" t="s">
        <v>6271</v>
      </c>
      <c r="H73" t="s">
        <v>6289</v>
      </c>
      <c r="I73">
        <v>0</v>
      </c>
      <c r="J73" t="s">
        <v>343</v>
      </c>
      <c r="L73">
        <v>13455000</v>
      </c>
      <c r="N73">
        <v>13455000</v>
      </c>
    </row>
    <row r="74" spans="1:14" x14ac:dyDescent="0.35">
      <c r="A74" t="str">
        <f t="shared" si="1"/>
        <v>OD457176570611100</v>
      </c>
      <c r="B74" t="s">
        <v>101</v>
      </c>
      <c r="C74" s="1">
        <v>45717</v>
      </c>
      <c r="D74" t="str">
        <f>"65"</f>
        <v>65</v>
      </c>
      <c r="E74" t="str">
        <f>"70611100"</f>
        <v>70611100</v>
      </c>
      <c r="F74" t="s">
        <v>6181</v>
      </c>
      <c r="G74" t="s">
        <v>6271</v>
      </c>
      <c r="H74" t="s">
        <v>6290</v>
      </c>
      <c r="I74">
        <v>0</v>
      </c>
      <c r="J74" t="s">
        <v>343</v>
      </c>
      <c r="L74">
        <v>15624000</v>
      </c>
      <c r="N74">
        <v>15624000</v>
      </c>
    </row>
    <row r="75" spans="1:14" x14ac:dyDescent="0.35">
      <c r="A75" t="str">
        <f t="shared" si="1"/>
        <v>OD457176570611100</v>
      </c>
      <c r="B75" t="s">
        <v>101</v>
      </c>
      <c r="C75" s="1">
        <v>45717</v>
      </c>
      <c r="D75" t="str">
        <f>"65"</f>
        <v>65</v>
      </c>
      <c r="E75" t="str">
        <f>"70611100"</f>
        <v>70611100</v>
      </c>
      <c r="F75" t="s">
        <v>6181</v>
      </c>
      <c r="G75" t="s">
        <v>6271</v>
      </c>
      <c r="H75" t="s">
        <v>6291</v>
      </c>
      <c r="I75">
        <v>0</v>
      </c>
      <c r="J75" t="s">
        <v>343</v>
      </c>
      <c r="L75">
        <v>7900000</v>
      </c>
      <c r="N75">
        <v>7900000</v>
      </c>
    </row>
    <row r="76" spans="1:14" x14ac:dyDescent="0.35">
      <c r="A76" t="str">
        <f t="shared" si="1"/>
        <v>OD45747164130000</v>
      </c>
      <c r="B76" t="s">
        <v>101</v>
      </c>
      <c r="C76" s="1">
        <v>45747</v>
      </c>
      <c r="D76" t="str">
        <f t="shared" ref="D76:D81" si="2">"1"</f>
        <v>1</v>
      </c>
      <c r="E76" t="str">
        <f t="shared" ref="E76:E81" si="3">"64130000"</f>
        <v>64130000</v>
      </c>
      <c r="F76" t="s">
        <v>6182</v>
      </c>
      <c r="G76" t="s">
        <v>6271</v>
      </c>
      <c r="H76" t="s">
        <v>6292</v>
      </c>
      <c r="I76">
        <v>0</v>
      </c>
      <c r="J76" t="s">
        <v>343</v>
      </c>
      <c r="K76">
        <v>6472</v>
      </c>
      <c r="M76">
        <v>1066169</v>
      </c>
    </row>
    <row r="77" spans="1:14" x14ac:dyDescent="0.35">
      <c r="A77" t="str">
        <f t="shared" si="1"/>
        <v>OD45747164130000</v>
      </c>
      <c r="B77" t="s">
        <v>101</v>
      </c>
      <c r="C77" s="1">
        <v>45747</v>
      </c>
      <c r="D77" t="str">
        <f t="shared" si="2"/>
        <v>1</v>
      </c>
      <c r="E77" t="str">
        <f t="shared" si="3"/>
        <v>64130000</v>
      </c>
      <c r="F77" t="s">
        <v>6182</v>
      </c>
      <c r="G77" t="s">
        <v>6271</v>
      </c>
      <c r="H77" t="s">
        <v>6293</v>
      </c>
      <c r="I77">
        <v>0</v>
      </c>
      <c r="J77" t="s">
        <v>343</v>
      </c>
      <c r="K77">
        <v>7082</v>
      </c>
      <c r="M77">
        <v>1066169</v>
      </c>
    </row>
    <row r="78" spans="1:14" x14ac:dyDescent="0.35">
      <c r="A78" t="str">
        <f t="shared" si="1"/>
        <v>OD45747164130000</v>
      </c>
      <c r="B78" t="s">
        <v>101</v>
      </c>
      <c r="C78" s="1">
        <v>45747</v>
      </c>
      <c r="D78" t="str">
        <f t="shared" si="2"/>
        <v>1</v>
      </c>
      <c r="E78" t="str">
        <f t="shared" si="3"/>
        <v>64130000</v>
      </c>
      <c r="F78" t="s">
        <v>6182</v>
      </c>
      <c r="G78" t="s">
        <v>6271</v>
      </c>
      <c r="H78" t="s">
        <v>6294</v>
      </c>
      <c r="I78">
        <v>0</v>
      </c>
      <c r="J78" t="s">
        <v>343</v>
      </c>
      <c r="K78">
        <v>25768</v>
      </c>
      <c r="M78">
        <v>1066169</v>
      </c>
    </row>
    <row r="79" spans="1:14" x14ac:dyDescent="0.35">
      <c r="A79" t="str">
        <f t="shared" si="1"/>
        <v>OD45747164130000</v>
      </c>
      <c r="B79" t="s">
        <v>101</v>
      </c>
      <c r="C79" s="1">
        <v>45747</v>
      </c>
      <c r="D79" t="str">
        <f t="shared" si="2"/>
        <v>1</v>
      </c>
      <c r="E79" t="str">
        <f t="shared" si="3"/>
        <v>64130000</v>
      </c>
      <c r="F79" t="s">
        <v>6182</v>
      </c>
      <c r="G79" t="s">
        <v>6271</v>
      </c>
      <c r="H79" t="s">
        <v>6295</v>
      </c>
      <c r="I79">
        <v>0</v>
      </c>
      <c r="J79" t="s">
        <v>343</v>
      </c>
      <c r="K79">
        <v>8061</v>
      </c>
      <c r="M79">
        <v>1066169</v>
      </c>
    </row>
    <row r="80" spans="1:14" x14ac:dyDescent="0.35">
      <c r="A80" t="str">
        <f t="shared" si="1"/>
        <v>OD45747164130000</v>
      </c>
      <c r="B80" t="s">
        <v>101</v>
      </c>
      <c r="C80" s="1">
        <v>45747</v>
      </c>
      <c r="D80" t="str">
        <f t="shared" si="2"/>
        <v>1</v>
      </c>
      <c r="E80" t="str">
        <f t="shared" si="3"/>
        <v>64130000</v>
      </c>
      <c r="F80" t="s">
        <v>6182</v>
      </c>
      <c r="G80" t="s">
        <v>6271</v>
      </c>
      <c r="H80" t="s">
        <v>6276</v>
      </c>
      <c r="I80">
        <v>0</v>
      </c>
      <c r="J80" t="s">
        <v>343</v>
      </c>
      <c r="K80">
        <v>290537</v>
      </c>
      <c r="M80">
        <v>1066169</v>
      </c>
    </row>
    <row r="81" spans="1:13" x14ac:dyDescent="0.35">
      <c r="A81" t="str">
        <f t="shared" si="1"/>
        <v>OD45747164130000</v>
      </c>
      <c r="B81" t="s">
        <v>101</v>
      </c>
      <c r="C81" s="1">
        <v>45747</v>
      </c>
      <c r="D81" t="str">
        <f t="shared" si="2"/>
        <v>1</v>
      </c>
      <c r="E81" t="str">
        <f t="shared" si="3"/>
        <v>64130000</v>
      </c>
      <c r="F81" t="s">
        <v>6182</v>
      </c>
      <c r="G81" t="s">
        <v>6271</v>
      </c>
      <c r="H81" t="s">
        <v>6280</v>
      </c>
      <c r="I81">
        <v>0</v>
      </c>
      <c r="J81" t="s">
        <v>343</v>
      </c>
      <c r="K81">
        <v>728249</v>
      </c>
      <c r="M81">
        <v>1066169</v>
      </c>
    </row>
    <row r="82" spans="1:13" x14ac:dyDescent="0.35">
      <c r="A82" t="str">
        <f t="shared" si="1"/>
        <v>OD45747266410002</v>
      </c>
      <c r="B82" t="s">
        <v>101</v>
      </c>
      <c r="C82" s="1">
        <v>45747</v>
      </c>
      <c r="D82" t="str">
        <f>"2"</f>
        <v>2</v>
      </c>
      <c r="E82" t="str">
        <f>"66410002"</f>
        <v>66410002</v>
      </c>
      <c r="F82" t="s">
        <v>2849</v>
      </c>
      <c r="G82" t="s">
        <v>6271</v>
      </c>
      <c r="H82" t="s">
        <v>6276</v>
      </c>
      <c r="I82">
        <v>0</v>
      </c>
      <c r="J82" t="s">
        <v>343</v>
      </c>
      <c r="K82">
        <v>15500</v>
      </c>
      <c r="M82">
        <v>15500</v>
      </c>
    </row>
    <row r="83" spans="1:13" x14ac:dyDescent="0.35">
      <c r="A83" t="str">
        <f t="shared" si="1"/>
        <v>OD45747364140000</v>
      </c>
      <c r="B83" t="s">
        <v>101</v>
      </c>
      <c r="C83" s="1">
        <v>45747</v>
      </c>
      <c r="D83" t="str">
        <f t="shared" ref="D83:D94" si="4">"3"</f>
        <v>3</v>
      </c>
      <c r="E83" t="str">
        <f t="shared" ref="E83:E88" si="5">"64140000"</f>
        <v>64140000</v>
      </c>
      <c r="F83" t="s">
        <v>6183</v>
      </c>
      <c r="G83" t="s">
        <v>6271</v>
      </c>
      <c r="H83" t="s">
        <v>6280</v>
      </c>
      <c r="I83">
        <v>0</v>
      </c>
      <c r="J83" t="s">
        <v>343</v>
      </c>
      <c r="K83">
        <v>25244</v>
      </c>
      <c r="M83">
        <v>137884</v>
      </c>
    </row>
    <row r="84" spans="1:13" x14ac:dyDescent="0.35">
      <c r="A84" t="str">
        <f t="shared" si="1"/>
        <v>OD45747364140000</v>
      </c>
      <c r="B84" t="s">
        <v>101</v>
      </c>
      <c r="C84" s="1">
        <v>45747</v>
      </c>
      <c r="D84" t="str">
        <f t="shared" si="4"/>
        <v>3</v>
      </c>
      <c r="E84" t="str">
        <f t="shared" si="5"/>
        <v>64140000</v>
      </c>
      <c r="F84" t="s">
        <v>6183</v>
      </c>
      <c r="G84" t="s">
        <v>6271</v>
      </c>
      <c r="H84" t="s">
        <v>6292</v>
      </c>
      <c r="I84">
        <v>0</v>
      </c>
      <c r="J84" t="s">
        <v>343</v>
      </c>
      <c r="K84">
        <v>2157</v>
      </c>
      <c r="M84">
        <v>137884</v>
      </c>
    </row>
    <row r="85" spans="1:13" x14ac:dyDescent="0.35">
      <c r="A85" t="str">
        <f t="shared" si="1"/>
        <v>OD45747364140000</v>
      </c>
      <c r="B85" t="s">
        <v>101</v>
      </c>
      <c r="C85" s="1">
        <v>45747</v>
      </c>
      <c r="D85" t="str">
        <f t="shared" si="4"/>
        <v>3</v>
      </c>
      <c r="E85" t="str">
        <f t="shared" si="5"/>
        <v>64140000</v>
      </c>
      <c r="F85" t="s">
        <v>6183</v>
      </c>
      <c r="G85" t="s">
        <v>6271</v>
      </c>
      <c r="H85" t="s">
        <v>6293</v>
      </c>
      <c r="I85">
        <v>0</v>
      </c>
      <c r="J85" t="s">
        <v>343</v>
      </c>
      <c r="K85">
        <v>2361</v>
      </c>
      <c r="M85">
        <v>137884</v>
      </c>
    </row>
    <row r="86" spans="1:13" x14ac:dyDescent="0.35">
      <c r="A86" t="str">
        <f t="shared" si="1"/>
        <v>OD45747364140000</v>
      </c>
      <c r="B86" t="s">
        <v>101</v>
      </c>
      <c r="C86" s="1">
        <v>45747</v>
      </c>
      <c r="D86" t="str">
        <f t="shared" si="4"/>
        <v>3</v>
      </c>
      <c r="E86" t="str">
        <f t="shared" si="5"/>
        <v>64140000</v>
      </c>
      <c r="F86" t="s">
        <v>6183</v>
      </c>
      <c r="G86" t="s">
        <v>6271</v>
      </c>
      <c r="H86" t="s">
        <v>6294</v>
      </c>
      <c r="I86">
        <v>0</v>
      </c>
      <c r="J86" t="s">
        <v>343</v>
      </c>
      <c r="K86">
        <v>8589</v>
      </c>
      <c r="M86">
        <v>137884</v>
      </c>
    </row>
    <row r="87" spans="1:13" x14ac:dyDescent="0.35">
      <c r="A87" t="str">
        <f t="shared" si="1"/>
        <v>OD45747364140000</v>
      </c>
      <c r="B87" t="s">
        <v>101</v>
      </c>
      <c r="C87" s="1">
        <v>45747</v>
      </c>
      <c r="D87" t="str">
        <f t="shared" si="4"/>
        <v>3</v>
      </c>
      <c r="E87" t="str">
        <f t="shared" si="5"/>
        <v>64140000</v>
      </c>
      <c r="F87" t="s">
        <v>6183</v>
      </c>
      <c r="G87" t="s">
        <v>6271</v>
      </c>
      <c r="H87" t="s">
        <v>6295</v>
      </c>
      <c r="I87">
        <v>0</v>
      </c>
      <c r="J87" t="s">
        <v>343</v>
      </c>
      <c r="K87">
        <v>2687</v>
      </c>
      <c r="M87">
        <v>137884</v>
      </c>
    </row>
    <row r="88" spans="1:13" x14ac:dyDescent="0.35">
      <c r="A88" t="str">
        <f t="shared" si="1"/>
        <v>OD45747364140000</v>
      </c>
      <c r="B88" t="s">
        <v>101</v>
      </c>
      <c r="C88" s="1">
        <v>45747</v>
      </c>
      <c r="D88" t="str">
        <f t="shared" si="4"/>
        <v>3</v>
      </c>
      <c r="E88" t="str">
        <f t="shared" si="5"/>
        <v>64140000</v>
      </c>
      <c r="F88" t="s">
        <v>6183</v>
      </c>
      <c r="G88" t="s">
        <v>6271</v>
      </c>
      <c r="H88" t="s">
        <v>6276</v>
      </c>
      <c r="I88">
        <v>0</v>
      </c>
      <c r="J88" t="s">
        <v>343</v>
      </c>
      <c r="K88">
        <v>96846</v>
      </c>
      <c r="M88">
        <v>137884</v>
      </c>
    </row>
    <row r="89" spans="1:13" x14ac:dyDescent="0.35">
      <c r="A89" t="str">
        <f t="shared" si="1"/>
        <v>OD45747364150000</v>
      </c>
      <c r="B89" t="s">
        <v>101</v>
      </c>
      <c r="C89" s="1">
        <v>45747</v>
      </c>
      <c r="D89" t="str">
        <f t="shared" si="4"/>
        <v>3</v>
      </c>
      <c r="E89" t="str">
        <f t="shared" ref="E89:E94" si="6">"64150000"</f>
        <v>64150000</v>
      </c>
      <c r="F89" t="s">
        <v>6183</v>
      </c>
      <c r="G89" t="s">
        <v>6271</v>
      </c>
      <c r="H89" t="s">
        <v>6280</v>
      </c>
      <c r="I89">
        <v>0</v>
      </c>
      <c r="J89" t="s">
        <v>343</v>
      </c>
      <c r="K89">
        <v>37866</v>
      </c>
      <c r="M89">
        <v>206826</v>
      </c>
    </row>
    <row r="90" spans="1:13" x14ac:dyDescent="0.35">
      <c r="A90" t="str">
        <f t="shared" si="1"/>
        <v>OD45747364150000</v>
      </c>
      <c r="B90" t="s">
        <v>101</v>
      </c>
      <c r="C90" s="1">
        <v>45747</v>
      </c>
      <c r="D90" t="str">
        <f t="shared" si="4"/>
        <v>3</v>
      </c>
      <c r="E90" t="str">
        <f t="shared" si="6"/>
        <v>64150000</v>
      </c>
      <c r="F90" t="s">
        <v>6183</v>
      </c>
      <c r="G90" t="s">
        <v>6271</v>
      </c>
      <c r="H90" t="s">
        <v>6292</v>
      </c>
      <c r="I90">
        <v>0</v>
      </c>
      <c r="J90" t="s">
        <v>343</v>
      </c>
      <c r="K90">
        <v>3236</v>
      </c>
      <c r="M90">
        <v>206826</v>
      </c>
    </row>
    <row r="91" spans="1:13" x14ac:dyDescent="0.35">
      <c r="A91" t="str">
        <f t="shared" si="1"/>
        <v>OD45747364150000</v>
      </c>
      <c r="B91" t="s">
        <v>101</v>
      </c>
      <c r="C91" s="1">
        <v>45747</v>
      </c>
      <c r="D91" t="str">
        <f t="shared" si="4"/>
        <v>3</v>
      </c>
      <c r="E91" t="str">
        <f t="shared" si="6"/>
        <v>64150000</v>
      </c>
      <c r="F91" t="s">
        <v>6183</v>
      </c>
      <c r="G91" t="s">
        <v>6271</v>
      </c>
      <c r="H91" t="s">
        <v>6293</v>
      </c>
      <c r="I91">
        <v>0</v>
      </c>
      <c r="J91" t="s">
        <v>343</v>
      </c>
      <c r="K91">
        <v>3541</v>
      </c>
      <c r="M91">
        <v>206826</v>
      </c>
    </row>
    <row r="92" spans="1:13" x14ac:dyDescent="0.35">
      <c r="A92" t="str">
        <f t="shared" si="1"/>
        <v>OD45747364150000</v>
      </c>
      <c r="B92" t="s">
        <v>101</v>
      </c>
      <c r="C92" s="1">
        <v>45747</v>
      </c>
      <c r="D92" t="str">
        <f t="shared" si="4"/>
        <v>3</v>
      </c>
      <c r="E92" t="str">
        <f t="shared" si="6"/>
        <v>64150000</v>
      </c>
      <c r="F92" t="s">
        <v>6183</v>
      </c>
      <c r="G92" t="s">
        <v>6271</v>
      </c>
      <c r="H92" t="s">
        <v>6294</v>
      </c>
      <c r="I92">
        <v>0</v>
      </c>
      <c r="J92" t="s">
        <v>343</v>
      </c>
      <c r="K92">
        <v>12884</v>
      </c>
      <c r="M92">
        <v>206826</v>
      </c>
    </row>
    <row r="93" spans="1:13" x14ac:dyDescent="0.35">
      <c r="A93" t="str">
        <f t="shared" si="1"/>
        <v>OD45747364150000</v>
      </c>
      <c r="B93" t="s">
        <v>101</v>
      </c>
      <c r="C93" s="1">
        <v>45747</v>
      </c>
      <c r="D93" t="str">
        <f t="shared" si="4"/>
        <v>3</v>
      </c>
      <c r="E93" t="str">
        <f t="shared" si="6"/>
        <v>64150000</v>
      </c>
      <c r="F93" t="s">
        <v>6183</v>
      </c>
      <c r="G93" t="s">
        <v>6271</v>
      </c>
      <c r="H93" t="s">
        <v>6295</v>
      </c>
      <c r="I93">
        <v>0</v>
      </c>
      <c r="J93" t="s">
        <v>343</v>
      </c>
      <c r="K93">
        <v>4031</v>
      </c>
      <c r="M93">
        <v>206826</v>
      </c>
    </row>
    <row r="94" spans="1:13" x14ac:dyDescent="0.35">
      <c r="A94" t="str">
        <f t="shared" si="1"/>
        <v>OD45747364150000</v>
      </c>
      <c r="B94" t="s">
        <v>101</v>
      </c>
      <c r="C94" s="1">
        <v>45747</v>
      </c>
      <c r="D94" t="str">
        <f t="shared" si="4"/>
        <v>3</v>
      </c>
      <c r="E94" t="str">
        <f t="shared" si="6"/>
        <v>64150000</v>
      </c>
      <c r="F94" t="s">
        <v>6183</v>
      </c>
      <c r="G94" t="s">
        <v>6271</v>
      </c>
      <c r="H94" t="s">
        <v>6276</v>
      </c>
      <c r="I94">
        <v>0</v>
      </c>
      <c r="J94" t="s">
        <v>343</v>
      </c>
      <c r="K94">
        <v>145268</v>
      </c>
      <c r="M94">
        <v>206826</v>
      </c>
    </row>
    <row r="95" spans="1:13" x14ac:dyDescent="0.35">
      <c r="A95" t="str">
        <f t="shared" si="1"/>
        <v>OD45747466410000</v>
      </c>
      <c r="B95" t="s">
        <v>101</v>
      </c>
      <c r="C95" s="1">
        <v>45747</v>
      </c>
      <c r="D95" t="str">
        <f t="shared" ref="D95:D100" si="7">"4"</f>
        <v>4</v>
      </c>
      <c r="E95" t="str">
        <f t="shared" ref="E95:E100" si="8">"66410000"</f>
        <v>66410000</v>
      </c>
      <c r="F95" t="s">
        <v>6184</v>
      </c>
      <c r="G95" t="s">
        <v>6271</v>
      </c>
      <c r="H95" t="s">
        <v>6280</v>
      </c>
      <c r="I95">
        <v>0</v>
      </c>
      <c r="J95" t="s">
        <v>343</v>
      </c>
      <c r="K95">
        <v>305622</v>
      </c>
      <c r="M95">
        <v>3077694</v>
      </c>
    </row>
    <row r="96" spans="1:13" x14ac:dyDescent="0.35">
      <c r="A96" t="str">
        <f t="shared" si="1"/>
        <v>OD45747466410000</v>
      </c>
      <c r="B96" t="s">
        <v>101</v>
      </c>
      <c r="C96" s="1">
        <v>45747</v>
      </c>
      <c r="D96" t="str">
        <f t="shared" si="7"/>
        <v>4</v>
      </c>
      <c r="E96" t="str">
        <f t="shared" si="8"/>
        <v>66410000</v>
      </c>
      <c r="F96" t="s">
        <v>6184</v>
      </c>
      <c r="G96" t="s">
        <v>6271</v>
      </c>
      <c r="H96" t="s">
        <v>6292</v>
      </c>
      <c r="I96">
        <v>0</v>
      </c>
      <c r="J96" t="s">
        <v>343</v>
      </c>
      <c r="K96">
        <v>54656</v>
      </c>
      <c r="M96">
        <v>3077694</v>
      </c>
    </row>
    <row r="97" spans="1:13" x14ac:dyDescent="0.35">
      <c r="A97" t="str">
        <f t="shared" si="1"/>
        <v>OD45747466410000</v>
      </c>
      <c r="B97" t="s">
        <v>101</v>
      </c>
      <c r="C97" s="1">
        <v>45747</v>
      </c>
      <c r="D97" t="str">
        <f t="shared" si="7"/>
        <v>4</v>
      </c>
      <c r="E97" t="str">
        <f t="shared" si="8"/>
        <v>66410000</v>
      </c>
      <c r="F97" t="s">
        <v>6184</v>
      </c>
      <c r="G97" t="s">
        <v>6271</v>
      </c>
      <c r="H97" t="s">
        <v>6293</v>
      </c>
      <c r="I97">
        <v>0</v>
      </c>
      <c r="J97" t="s">
        <v>343</v>
      </c>
      <c r="K97">
        <v>52004</v>
      </c>
      <c r="M97">
        <v>3077694</v>
      </c>
    </row>
    <row r="98" spans="1:13" x14ac:dyDescent="0.35">
      <c r="A98" t="str">
        <f t="shared" si="1"/>
        <v>OD45747466410000</v>
      </c>
      <c r="B98" t="s">
        <v>101</v>
      </c>
      <c r="C98" s="1">
        <v>45747</v>
      </c>
      <c r="D98" t="str">
        <f t="shared" si="7"/>
        <v>4</v>
      </c>
      <c r="E98" t="str">
        <f t="shared" si="8"/>
        <v>66410000</v>
      </c>
      <c r="F98" t="s">
        <v>6184</v>
      </c>
      <c r="G98" t="s">
        <v>6271</v>
      </c>
      <c r="H98" t="s">
        <v>6294</v>
      </c>
      <c r="I98">
        <v>0</v>
      </c>
      <c r="J98" t="s">
        <v>343</v>
      </c>
      <c r="K98">
        <v>224408</v>
      </c>
      <c r="M98">
        <v>3077694</v>
      </c>
    </row>
    <row r="99" spans="1:13" x14ac:dyDescent="0.35">
      <c r="A99" t="str">
        <f t="shared" si="1"/>
        <v>OD45747466410000</v>
      </c>
      <c r="B99" t="s">
        <v>101</v>
      </c>
      <c r="C99" s="1">
        <v>45747</v>
      </c>
      <c r="D99" t="str">
        <f t="shared" si="7"/>
        <v>4</v>
      </c>
      <c r="E99" t="str">
        <f t="shared" si="8"/>
        <v>66410000</v>
      </c>
      <c r="F99" t="s">
        <v>6184</v>
      </c>
      <c r="G99" t="s">
        <v>6271</v>
      </c>
      <c r="H99" t="s">
        <v>6295</v>
      </c>
      <c r="I99">
        <v>0</v>
      </c>
      <c r="J99" t="s">
        <v>343</v>
      </c>
      <c r="K99">
        <v>71413</v>
      </c>
      <c r="M99">
        <v>3077694</v>
      </c>
    </row>
    <row r="100" spans="1:13" x14ac:dyDescent="0.35">
      <c r="A100" t="str">
        <f t="shared" si="1"/>
        <v>OD45747466410000</v>
      </c>
      <c r="B100" t="s">
        <v>101</v>
      </c>
      <c r="C100" s="1">
        <v>45747</v>
      </c>
      <c r="D100" t="str">
        <f t="shared" si="7"/>
        <v>4</v>
      </c>
      <c r="E100" t="str">
        <f t="shared" si="8"/>
        <v>66410000</v>
      </c>
      <c r="F100" t="s">
        <v>6184</v>
      </c>
      <c r="G100" t="s">
        <v>6271</v>
      </c>
      <c r="H100" t="s">
        <v>6276</v>
      </c>
      <c r="I100">
        <v>0</v>
      </c>
      <c r="J100" t="s">
        <v>343</v>
      </c>
      <c r="K100">
        <v>2369591</v>
      </c>
      <c r="M100">
        <v>3077694</v>
      </c>
    </row>
    <row r="101" spans="1:13" x14ac:dyDescent="0.35">
      <c r="A101" t="str">
        <f t="shared" si="1"/>
        <v>OD45747562230000</v>
      </c>
      <c r="B101" t="s">
        <v>101</v>
      </c>
      <c r="C101" s="1">
        <v>45747</v>
      </c>
      <c r="D101" t="str">
        <f>"5"</f>
        <v>5</v>
      </c>
      <c r="E101" t="str">
        <f>"62230000"</f>
        <v>62230000</v>
      </c>
      <c r="F101" t="s">
        <v>6186</v>
      </c>
      <c r="G101" t="s">
        <v>6271</v>
      </c>
      <c r="H101" t="s">
        <v>6279</v>
      </c>
      <c r="I101">
        <v>0</v>
      </c>
      <c r="J101" t="s">
        <v>343</v>
      </c>
      <c r="K101">
        <v>1120000</v>
      </c>
      <c r="M101">
        <v>1120000</v>
      </c>
    </row>
    <row r="102" spans="1:13" x14ac:dyDescent="0.35">
      <c r="A102" t="str">
        <f t="shared" si="1"/>
        <v>OD45747661810000</v>
      </c>
      <c r="B102" t="s">
        <v>101</v>
      </c>
      <c r="C102" s="1">
        <v>45747</v>
      </c>
      <c r="D102" t="str">
        <f>"6"</f>
        <v>6</v>
      </c>
      <c r="E102" t="str">
        <f>"61810000"</f>
        <v>61810000</v>
      </c>
      <c r="F102" t="s">
        <v>6187</v>
      </c>
      <c r="G102" t="s">
        <v>6271</v>
      </c>
      <c r="H102" t="s">
        <v>6279</v>
      </c>
      <c r="I102">
        <v>0</v>
      </c>
      <c r="J102" t="s">
        <v>343</v>
      </c>
      <c r="K102">
        <v>792260</v>
      </c>
      <c r="M102">
        <v>1022673</v>
      </c>
    </row>
    <row r="103" spans="1:13" x14ac:dyDescent="0.35">
      <c r="A103" t="str">
        <f t="shared" si="1"/>
        <v>OD45747661810000</v>
      </c>
      <c r="B103" t="s">
        <v>101</v>
      </c>
      <c r="C103" s="1">
        <v>45747</v>
      </c>
      <c r="D103" t="str">
        <f>"6"</f>
        <v>6</v>
      </c>
      <c r="E103" t="str">
        <f>"61810000"</f>
        <v>61810000</v>
      </c>
      <c r="F103" t="s">
        <v>6187</v>
      </c>
      <c r="G103" t="s">
        <v>6271</v>
      </c>
      <c r="H103" t="s">
        <v>6278</v>
      </c>
      <c r="I103">
        <v>0</v>
      </c>
      <c r="J103" t="s">
        <v>343</v>
      </c>
      <c r="K103">
        <v>78774</v>
      </c>
      <c r="M103">
        <v>1022673</v>
      </c>
    </row>
    <row r="104" spans="1:13" x14ac:dyDescent="0.35">
      <c r="A104" t="str">
        <f t="shared" si="1"/>
        <v>OD45747661810000</v>
      </c>
      <c r="B104" t="s">
        <v>101</v>
      </c>
      <c r="C104" s="1">
        <v>45747</v>
      </c>
      <c r="D104" t="str">
        <f>"6"</f>
        <v>6</v>
      </c>
      <c r="E104" t="str">
        <f>"61810000"</f>
        <v>61810000</v>
      </c>
      <c r="F104" t="s">
        <v>6187</v>
      </c>
      <c r="G104" t="s">
        <v>6271</v>
      </c>
      <c r="H104" t="s">
        <v>6276</v>
      </c>
      <c r="I104">
        <v>0</v>
      </c>
      <c r="J104" t="s">
        <v>343</v>
      </c>
      <c r="K104">
        <v>151639</v>
      </c>
      <c r="M104">
        <v>1022673</v>
      </c>
    </row>
    <row r="105" spans="1:13" x14ac:dyDescent="0.35">
      <c r="A105" t="str">
        <f t="shared" si="1"/>
        <v>OD45747760550000</v>
      </c>
      <c r="B105" t="s">
        <v>101</v>
      </c>
      <c r="C105" s="1">
        <v>45747</v>
      </c>
      <c r="D105" t="str">
        <f>"7"</f>
        <v>7</v>
      </c>
      <c r="E105" t="str">
        <f>"60550000"</f>
        <v>60550000</v>
      </c>
      <c r="F105" t="s">
        <v>6188</v>
      </c>
      <c r="G105" t="s">
        <v>6271</v>
      </c>
      <c r="H105" t="s">
        <v>6279</v>
      </c>
      <c r="I105">
        <v>0</v>
      </c>
      <c r="J105" t="s">
        <v>343</v>
      </c>
      <c r="K105">
        <v>169500</v>
      </c>
      <c r="M105">
        <v>169500</v>
      </c>
    </row>
    <row r="106" spans="1:13" x14ac:dyDescent="0.35">
      <c r="A106" t="str">
        <f t="shared" si="1"/>
        <v>OD45747862410000</v>
      </c>
      <c r="B106" t="s">
        <v>101</v>
      </c>
      <c r="C106" s="1">
        <v>45747</v>
      </c>
      <c r="D106" t="str">
        <f>"8"</f>
        <v>8</v>
      </c>
      <c r="E106" t="str">
        <f>"62410000"</f>
        <v>62410000</v>
      </c>
      <c r="F106" t="s">
        <v>6189</v>
      </c>
      <c r="G106" t="s">
        <v>6271</v>
      </c>
      <c r="H106" t="s">
        <v>6286</v>
      </c>
      <c r="I106">
        <v>0</v>
      </c>
      <c r="J106" t="s">
        <v>343</v>
      </c>
      <c r="K106">
        <v>419100</v>
      </c>
      <c r="M106">
        <v>419100</v>
      </c>
    </row>
    <row r="107" spans="1:13" x14ac:dyDescent="0.35">
      <c r="A107" t="str">
        <f t="shared" si="1"/>
        <v>OD45747962810000</v>
      </c>
      <c r="B107" t="s">
        <v>101</v>
      </c>
      <c r="C107" s="1">
        <v>45747</v>
      </c>
      <c r="D107" t="str">
        <f t="shared" ref="D107:D112" si="9">"9"</f>
        <v>9</v>
      </c>
      <c r="E107" t="str">
        <f t="shared" ref="E107:E112" si="10">"62810000"</f>
        <v>62810000</v>
      </c>
      <c r="F107" t="s">
        <v>6190</v>
      </c>
      <c r="G107" t="s">
        <v>6271</v>
      </c>
      <c r="H107" t="s">
        <v>6296</v>
      </c>
      <c r="I107">
        <v>0</v>
      </c>
      <c r="J107" t="s">
        <v>343</v>
      </c>
      <c r="K107">
        <v>4237</v>
      </c>
      <c r="M107">
        <v>508450</v>
      </c>
    </row>
    <row r="108" spans="1:13" x14ac:dyDescent="0.35">
      <c r="A108" t="str">
        <f t="shared" si="1"/>
        <v>OD45747962810000</v>
      </c>
      <c r="B108" t="s">
        <v>101</v>
      </c>
      <c r="C108" s="1">
        <v>45747</v>
      </c>
      <c r="D108" t="str">
        <f t="shared" si="9"/>
        <v>9</v>
      </c>
      <c r="E108" t="str">
        <f t="shared" si="10"/>
        <v>62810000</v>
      </c>
      <c r="F108" t="s">
        <v>6190</v>
      </c>
      <c r="G108" t="s">
        <v>6271</v>
      </c>
      <c r="H108" t="s">
        <v>6281</v>
      </c>
      <c r="I108">
        <v>0</v>
      </c>
      <c r="J108" t="s">
        <v>343</v>
      </c>
      <c r="K108">
        <v>2118</v>
      </c>
      <c r="M108">
        <v>508450</v>
      </c>
    </row>
    <row r="109" spans="1:13" x14ac:dyDescent="0.35">
      <c r="A109" t="str">
        <f t="shared" si="1"/>
        <v>OD45747962810000</v>
      </c>
      <c r="B109" t="s">
        <v>101</v>
      </c>
      <c r="C109" s="1">
        <v>45747</v>
      </c>
      <c r="D109" t="str">
        <f t="shared" si="9"/>
        <v>9</v>
      </c>
      <c r="E109" t="str">
        <f t="shared" si="10"/>
        <v>62810000</v>
      </c>
      <c r="F109" t="s">
        <v>6190</v>
      </c>
      <c r="G109" t="s">
        <v>6271</v>
      </c>
      <c r="H109" t="s">
        <v>6272</v>
      </c>
      <c r="I109">
        <v>0</v>
      </c>
      <c r="J109" t="s">
        <v>343</v>
      </c>
      <c r="K109">
        <v>105928</v>
      </c>
      <c r="M109">
        <v>508450</v>
      </c>
    </row>
    <row r="110" spans="1:13" x14ac:dyDescent="0.35">
      <c r="A110" t="str">
        <f t="shared" si="1"/>
        <v>OD45747962810000</v>
      </c>
      <c r="B110" t="s">
        <v>101</v>
      </c>
      <c r="C110" s="1">
        <v>45747</v>
      </c>
      <c r="D110" t="str">
        <f t="shared" si="9"/>
        <v>9</v>
      </c>
      <c r="E110" t="str">
        <f t="shared" si="10"/>
        <v>62810000</v>
      </c>
      <c r="F110" t="s">
        <v>6190</v>
      </c>
      <c r="G110" t="s">
        <v>6271</v>
      </c>
      <c r="H110" t="s">
        <v>6278</v>
      </c>
      <c r="I110">
        <v>0</v>
      </c>
      <c r="J110" t="s">
        <v>343</v>
      </c>
      <c r="K110">
        <v>2118</v>
      </c>
      <c r="M110">
        <v>508450</v>
      </c>
    </row>
    <row r="111" spans="1:13" x14ac:dyDescent="0.35">
      <c r="A111" t="str">
        <f t="shared" si="1"/>
        <v>OD45747962810000</v>
      </c>
      <c r="B111" t="s">
        <v>101</v>
      </c>
      <c r="C111" s="1">
        <v>45747</v>
      </c>
      <c r="D111" t="str">
        <f t="shared" si="9"/>
        <v>9</v>
      </c>
      <c r="E111" t="str">
        <f t="shared" si="10"/>
        <v>62810000</v>
      </c>
      <c r="F111" t="s">
        <v>6190</v>
      </c>
      <c r="G111" t="s">
        <v>6271</v>
      </c>
      <c r="H111" t="s">
        <v>6275</v>
      </c>
      <c r="I111">
        <v>0</v>
      </c>
      <c r="J111" t="s">
        <v>343</v>
      </c>
      <c r="K111">
        <v>16948</v>
      </c>
      <c r="M111">
        <v>508450</v>
      </c>
    </row>
    <row r="112" spans="1:13" x14ac:dyDescent="0.35">
      <c r="A112" t="str">
        <f t="shared" si="1"/>
        <v>OD45747962810000</v>
      </c>
      <c r="B112" t="s">
        <v>101</v>
      </c>
      <c r="C112" s="1">
        <v>45747</v>
      </c>
      <c r="D112" t="str">
        <f t="shared" si="9"/>
        <v>9</v>
      </c>
      <c r="E112" t="str">
        <f t="shared" si="10"/>
        <v>62810000</v>
      </c>
      <c r="F112" t="s">
        <v>6190</v>
      </c>
      <c r="G112" t="s">
        <v>6271</v>
      </c>
      <c r="H112" t="s">
        <v>6279</v>
      </c>
      <c r="I112">
        <v>0</v>
      </c>
      <c r="J112" t="s">
        <v>343</v>
      </c>
      <c r="K112">
        <v>377101</v>
      </c>
      <c r="M112">
        <v>508450</v>
      </c>
    </row>
    <row r="113" spans="1:14" x14ac:dyDescent="0.35">
      <c r="A113" t="str">
        <f t="shared" si="1"/>
        <v>OD457471064180000</v>
      </c>
      <c r="B113" t="s">
        <v>101</v>
      </c>
      <c r="C113" s="1">
        <v>45747</v>
      </c>
      <c r="D113" t="str">
        <f>"10"</f>
        <v>10</v>
      </c>
      <c r="E113" t="str">
        <f>"64180000"</f>
        <v>64180000</v>
      </c>
      <c r="F113" t="s">
        <v>114</v>
      </c>
      <c r="G113" t="s">
        <v>6271</v>
      </c>
      <c r="H113" t="s">
        <v>6272</v>
      </c>
      <c r="I113">
        <v>0</v>
      </c>
      <c r="J113" t="s">
        <v>343</v>
      </c>
      <c r="K113">
        <v>154646</v>
      </c>
      <c r="M113">
        <v>154646</v>
      </c>
    </row>
    <row r="114" spans="1:14" x14ac:dyDescent="0.35">
      <c r="A114" t="str">
        <f t="shared" si="1"/>
        <v>OD457471163240100</v>
      </c>
      <c r="B114" t="s">
        <v>101</v>
      </c>
      <c r="C114" s="1">
        <v>45747</v>
      </c>
      <c r="D114" t="str">
        <f>"11"</f>
        <v>11</v>
      </c>
      <c r="E114" t="str">
        <f>"63240100"</f>
        <v>63240100</v>
      </c>
      <c r="F114" t="s">
        <v>113</v>
      </c>
      <c r="G114" t="s">
        <v>6271</v>
      </c>
      <c r="H114" t="s">
        <v>6272</v>
      </c>
      <c r="I114">
        <v>0</v>
      </c>
      <c r="J114" t="s">
        <v>343</v>
      </c>
      <c r="K114">
        <v>7984000</v>
      </c>
      <c r="M114">
        <v>7984000</v>
      </c>
    </row>
    <row r="115" spans="1:14" x14ac:dyDescent="0.35">
      <c r="A115" t="str">
        <f t="shared" si="1"/>
        <v>OD457472768120000</v>
      </c>
      <c r="B115" t="s">
        <v>101</v>
      </c>
      <c r="C115" s="1">
        <v>45747</v>
      </c>
      <c r="D115" t="str">
        <f>"27"</f>
        <v>27</v>
      </c>
      <c r="E115" t="str">
        <f>"68120000"</f>
        <v>68120000</v>
      </c>
      <c r="F115" t="s">
        <v>6198</v>
      </c>
      <c r="G115" t="s">
        <v>6271</v>
      </c>
      <c r="H115" t="s">
        <v>6297</v>
      </c>
      <c r="I115">
        <v>0</v>
      </c>
      <c r="J115" t="s">
        <v>343</v>
      </c>
      <c r="K115">
        <v>40000</v>
      </c>
      <c r="M115">
        <v>40000</v>
      </c>
    </row>
    <row r="116" spans="1:14" x14ac:dyDescent="0.35">
      <c r="A116" t="str">
        <f t="shared" si="1"/>
        <v>OD457472768130000</v>
      </c>
      <c r="B116" t="s">
        <v>101</v>
      </c>
      <c r="C116" s="1">
        <v>45747</v>
      </c>
      <c r="D116" t="str">
        <f>"27"</f>
        <v>27</v>
      </c>
      <c r="E116" t="str">
        <f>"68130000"</f>
        <v>68130000</v>
      </c>
      <c r="F116" t="s">
        <v>6199</v>
      </c>
      <c r="G116" t="s">
        <v>6271</v>
      </c>
      <c r="H116" t="s">
        <v>6297</v>
      </c>
      <c r="I116">
        <v>0</v>
      </c>
      <c r="J116" t="s">
        <v>343</v>
      </c>
      <c r="K116">
        <v>2345979</v>
      </c>
      <c r="M116">
        <v>2345979</v>
      </c>
    </row>
    <row r="117" spans="1:14" x14ac:dyDescent="0.35">
      <c r="A117" t="str">
        <f t="shared" si="1"/>
        <v>OD457475375880000</v>
      </c>
      <c r="B117" t="s">
        <v>101</v>
      </c>
      <c r="C117" s="1">
        <v>45747</v>
      </c>
      <c r="D117" t="str">
        <f>"53"</f>
        <v>53</v>
      </c>
      <c r="E117" t="str">
        <f>"75880000"</f>
        <v>75880000</v>
      </c>
      <c r="F117" t="s">
        <v>6201</v>
      </c>
      <c r="G117" t="s">
        <v>6271</v>
      </c>
      <c r="H117" t="s">
        <v>6272</v>
      </c>
      <c r="I117">
        <v>0</v>
      </c>
      <c r="J117" t="s">
        <v>343</v>
      </c>
      <c r="L117">
        <v>1</v>
      </c>
      <c r="N117">
        <v>1</v>
      </c>
    </row>
    <row r="118" spans="1:14" x14ac:dyDescent="0.35">
      <c r="A118" t="str">
        <f t="shared" si="1"/>
        <v>OD457475564130000</v>
      </c>
      <c r="B118" t="s">
        <v>101</v>
      </c>
      <c r="C118" s="1">
        <v>45747</v>
      </c>
      <c r="D118" t="str">
        <f>"55"</f>
        <v>55</v>
      </c>
      <c r="E118" t="str">
        <f>"64130000"</f>
        <v>64130000</v>
      </c>
      <c r="F118" t="s">
        <v>6202</v>
      </c>
      <c r="G118" t="s">
        <v>6271</v>
      </c>
      <c r="H118" t="s">
        <v>6280</v>
      </c>
      <c r="I118">
        <v>0</v>
      </c>
      <c r="J118" t="s">
        <v>343</v>
      </c>
      <c r="K118">
        <v>31548</v>
      </c>
      <c r="M118">
        <v>31548</v>
      </c>
    </row>
    <row r="119" spans="1:14" x14ac:dyDescent="0.35">
      <c r="A119" t="str">
        <f t="shared" si="1"/>
        <v>OD457476162410000</v>
      </c>
      <c r="B119" t="s">
        <v>101</v>
      </c>
      <c r="C119" s="1">
        <v>45747</v>
      </c>
      <c r="D119" t="str">
        <f>"61"</f>
        <v>61</v>
      </c>
      <c r="E119" t="str">
        <f>"62410000"</f>
        <v>62410000</v>
      </c>
      <c r="F119" t="s">
        <v>6204</v>
      </c>
      <c r="G119" t="s">
        <v>6271</v>
      </c>
      <c r="H119" t="s">
        <v>6279</v>
      </c>
      <c r="I119">
        <v>0</v>
      </c>
      <c r="J119" t="s">
        <v>343</v>
      </c>
      <c r="K119">
        <v>1521035</v>
      </c>
      <c r="M119">
        <v>1521035</v>
      </c>
    </row>
    <row r="120" spans="1:14" x14ac:dyDescent="0.35">
      <c r="A120" t="str">
        <f t="shared" si="1"/>
        <v>OD457476266720000</v>
      </c>
      <c r="B120" t="s">
        <v>101</v>
      </c>
      <c r="C120" s="1">
        <v>45747</v>
      </c>
      <c r="D120" t="str">
        <f>"62"</f>
        <v>62</v>
      </c>
      <c r="E120" t="str">
        <f>"66720000"</f>
        <v>66720000</v>
      </c>
      <c r="F120" t="s">
        <v>6206</v>
      </c>
      <c r="G120" t="s">
        <v>6271</v>
      </c>
      <c r="H120" t="s">
        <v>6276</v>
      </c>
      <c r="I120">
        <v>0</v>
      </c>
      <c r="J120" t="s">
        <v>343</v>
      </c>
      <c r="K120">
        <v>10595753</v>
      </c>
      <c r="M120">
        <v>10595753</v>
      </c>
    </row>
    <row r="121" spans="1:14" x14ac:dyDescent="0.35">
      <c r="A121" t="str">
        <f t="shared" si="1"/>
        <v>OD457476366720000</v>
      </c>
      <c r="B121" t="s">
        <v>101</v>
      </c>
      <c r="C121" s="1">
        <v>45747</v>
      </c>
      <c r="D121" t="str">
        <f>"63"</f>
        <v>63</v>
      </c>
      <c r="E121" t="str">
        <f>"66720000"</f>
        <v>66720000</v>
      </c>
      <c r="F121" t="s">
        <v>6207</v>
      </c>
      <c r="G121" t="s">
        <v>6271</v>
      </c>
      <c r="H121" t="s">
        <v>6276</v>
      </c>
      <c r="I121">
        <v>0</v>
      </c>
      <c r="J121" t="s">
        <v>343</v>
      </c>
      <c r="K121">
        <v>13154875</v>
      </c>
      <c r="M121">
        <v>13154875</v>
      </c>
    </row>
    <row r="122" spans="1:14" x14ac:dyDescent="0.35">
      <c r="A122" t="str">
        <f t="shared" si="1"/>
        <v>OD457476670611100</v>
      </c>
      <c r="B122" t="s">
        <v>101</v>
      </c>
      <c r="C122" s="1">
        <v>45747</v>
      </c>
      <c r="D122" t="str">
        <f>"66"</f>
        <v>66</v>
      </c>
      <c r="E122" t="str">
        <f>"70611100"</f>
        <v>70611100</v>
      </c>
      <c r="F122" t="s">
        <v>6209</v>
      </c>
      <c r="G122" t="s">
        <v>6271</v>
      </c>
      <c r="H122" t="s">
        <v>6288</v>
      </c>
      <c r="I122">
        <v>0</v>
      </c>
      <c r="J122" t="s">
        <v>343</v>
      </c>
      <c r="L122">
        <v>-8000000</v>
      </c>
      <c r="N122">
        <v>-8000000</v>
      </c>
    </row>
    <row r="123" spans="1:14" x14ac:dyDescent="0.35">
      <c r="A123" t="str">
        <f t="shared" si="1"/>
        <v>OD457476670611100</v>
      </c>
      <c r="B123" t="s">
        <v>101</v>
      </c>
      <c r="C123" s="1">
        <v>45747</v>
      </c>
      <c r="D123" t="str">
        <f>"66"</f>
        <v>66</v>
      </c>
      <c r="E123" t="str">
        <f>"70611100"</f>
        <v>70611100</v>
      </c>
      <c r="F123" t="s">
        <v>6209</v>
      </c>
      <c r="G123" t="s">
        <v>6271</v>
      </c>
      <c r="H123" t="s">
        <v>6289</v>
      </c>
      <c r="I123">
        <v>0</v>
      </c>
      <c r="J123" t="s">
        <v>343</v>
      </c>
      <c r="L123">
        <v>-27909810</v>
      </c>
      <c r="N123">
        <v>-27909810</v>
      </c>
    </row>
    <row r="124" spans="1:14" x14ac:dyDescent="0.35">
      <c r="A124" t="str">
        <f t="shared" si="1"/>
        <v>OD457476670611100</v>
      </c>
      <c r="B124" t="s">
        <v>101</v>
      </c>
      <c r="C124" s="1">
        <v>45747</v>
      </c>
      <c r="D124" t="str">
        <f>"66"</f>
        <v>66</v>
      </c>
      <c r="E124" t="str">
        <f>"70611100"</f>
        <v>70611100</v>
      </c>
      <c r="F124" t="s">
        <v>6209</v>
      </c>
      <c r="G124" t="s">
        <v>6271</v>
      </c>
      <c r="H124" t="s">
        <v>6290</v>
      </c>
      <c r="I124">
        <v>0</v>
      </c>
      <c r="J124" t="s">
        <v>343</v>
      </c>
      <c r="L124">
        <v>-31248000</v>
      </c>
      <c r="N124">
        <v>-31248000</v>
      </c>
    </row>
    <row r="125" spans="1:14" x14ac:dyDescent="0.35">
      <c r="A125" t="str">
        <f t="shared" si="1"/>
        <v>OD457476670611100</v>
      </c>
      <c r="B125" t="s">
        <v>101</v>
      </c>
      <c r="C125" s="1">
        <v>45747</v>
      </c>
      <c r="D125" t="str">
        <f>"66"</f>
        <v>66</v>
      </c>
      <c r="E125" t="str">
        <f>"70611100"</f>
        <v>70611100</v>
      </c>
      <c r="F125" t="s">
        <v>6209</v>
      </c>
      <c r="G125" t="s">
        <v>6271</v>
      </c>
      <c r="H125" t="s">
        <v>6291</v>
      </c>
      <c r="I125">
        <v>0</v>
      </c>
      <c r="J125" t="s">
        <v>343</v>
      </c>
      <c r="L125">
        <v>-15500000</v>
      </c>
      <c r="N125">
        <v>-15500000</v>
      </c>
    </row>
    <row r="126" spans="1:14" x14ac:dyDescent="0.35">
      <c r="A126" t="str">
        <f t="shared" si="1"/>
        <v>OD457476770611100</v>
      </c>
      <c r="B126" t="s">
        <v>101</v>
      </c>
      <c r="C126" s="1">
        <v>45747</v>
      </c>
      <c r="D126" t="str">
        <f>"67"</f>
        <v>67</v>
      </c>
      <c r="E126" t="str">
        <f>"70611100"</f>
        <v>70611100</v>
      </c>
      <c r="F126" t="s">
        <v>6210</v>
      </c>
      <c r="G126" t="s">
        <v>6271</v>
      </c>
      <c r="H126" t="s">
        <v>6287</v>
      </c>
      <c r="I126">
        <v>0</v>
      </c>
      <c r="J126" t="s">
        <v>343</v>
      </c>
      <c r="L126">
        <v>29662326</v>
      </c>
      <c r="N126">
        <v>29662326</v>
      </c>
    </row>
    <row r="127" spans="1:14" x14ac:dyDescent="0.35">
      <c r="A127" t="str">
        <f t="shared" si="1"/>
        <v>OD457476862230000</v>
      </c>
      <c r="B127" t="s">
        <v>101</v>
      </c>
      <c r="C127" s="1">
        <v>45747</v>
      </c>
      <c r="D127" t="str">
        <f>"68"</f>
        <v>68</v>
      </c>
      <c r="E127" t="str">
        <f>"62230000"</f>
        <v>62230000</v>
      </c>
      <c r="F127" t="s">
        <v>6211</v>
      </c>
      <c r="G127" t="s">
        <v>6271</v>
      </c>
      <c r="H127" t="s">
        <v>6285</v>
      </c>
      <c r="I127">
        <v>0</v>
      </c>
      <c r="J127" t="s">
        <v>343</v>
      </c>
      <c r="K127">
        <v>1060000</v>
      </c>
      <c r="M127">
        <v>1060000</v>
      </c>
    </row>
    <row r="128" spans="1:14" x14ac:dyDescent="0.35">
      <c r="A128" t="str">
        <f t="shared" si="1"/>
        <v>PA45746366110000</v>
      </c>
      <c r="B128" t="s">
        <v>6212</v>
      </c>
      <c r="C128" s="1">
        <v>45746</v>
      </c>
      <c r="D128" t="str">
        <f t="shared" ref="D128:D145" si="11">"3"</f>
        <v>3</v>
      </c>
      <c r="E128" t="str">
        <f t="shared" ref="E128:E133" si="12">"66110000"</f>
        <v>66110000</v>
      </c>
      <c r="F128" t="s">
        <v>6214</v>
      </c>
      <c r="G128" t="s">
        <v>6271</v>
      </c>
      <c r="H128" t="s">
        <v>6280</v>
      </c>
      <c r="I128">
        <v>0</v>
      </c>
      <c r="J128" t="s">
        <v>343</v>
      </c>
      <c r="K128">
        <v>2613737</v>
      </c>
      <c r="M128">
        <v>31187393</v>
      </c>
    </row>
    <row r="129" spans="1:13" x14ac:dyDescent="0.35">
      <c r="A129" t="str">
        <f t="shared" si="1"/>
        <v>PA45746366110000</v>
      </c>
      <c r="B129" t="s">
        <v>6212</v>
      </c>
      <c r="C129" s="1">
        <v>45746</v>
      </c>
      <c r="D129" t="str">
        <f t="shared" si="11"/>
        <v>3</v>
      </c>
      <c r="E129" t="str">
        <f t="shared" si="12"/>
        <v>66110000</v>
      </c>
      <c r="F129" t="s">
        <v>6214</v>
      </c>
      <c r="G129" t="s">
        <v>6271</v>
      </c>
      <c r="H129" t="s">
        <v>6292</v>
      </c>
      <c r="I129">
        <v>0</v>
      </c>
      <c r="J129" t="s">
        <v>343</v>
      </c>
      <c r="K129">
        <v>548026</v>
      </c>
      <c r="M129">
        <v>31187393</v>
      </c>
    </row>
    <row r="130" spans="1:13" x14ac:dyDescent="0.35">
      <c r="A130" t="str">
        <f t="shared" si="1"/>
        <v>PA45746366110000</v>
      </c>
      <c r="B130" t="s">
        <v>6212</v>
      </c>
      <c r="C130" s="1">
        <v>45746</v>
      </c>
      <c r="D130" t="str">
        <f t="shared" si="11"/>
        <v>3</v>
      </c>
      <c r="E130" t="str">
        <f t="shared" si="12"/>
        <v>66110000</v>
      </c>
      <c r="F130" t="s">
        <v>6214</v>
      </c>
      <c r="G130" t="s">
        <v>6271</v>
      </c>
      <c r="H130" t="s">
        <v>6293</v>
      </c>
      <c r="I130">
        <v>0</v>
      </c>
      <c r="J130" t="s">
        <v>343</v>
      </c>
      <c r="K130">
        <v>590155</v>
      </c>
      <c r="M130">
        <v>31187393</v>
      </c>
    </row>
    <row r="131" spans="1:13" x14ac:dyDescent="0.35">
      <c r="A131" t="str">
        <f t="shared" ref="A131:A163" si="13">CONCATENATE(B131,C131,D131,,E131)</f>
        <v>PA45746366110000</v>
      </c>
      <c r="B131" t="s">
        <v>6212</v>
      </c>
      <c r="C131" s="1">
        <v>45746</v>
      </c>
      <c r="D131" t="str">
        <f t="shared" si="11"/>
        <v>3</v>
      </c>
      <c r="E131" t="str">
        <f t="shared" si="12"/>
        <v>66110000</v>
      </c>
      <c r="F131" t="s">
        <v>6214</v>
      </c>
      <c r="G131" t="s">
        <v>6271</v>
      </c>
      <c r="H131" t="s">
        <v>6294</v>
      </c>
      <c r="I131">
        <v>0</v>
      </c>
      <c r="J131" t="s">
        <v>343</v>
      </c>
      <c r="K131">
        <v>1944137</v>
      </c>
      <c r="M131">
        <v>31187393</v>
      </c>
    </row>
    <row r="132" spans="1:13" x14ac:dyDescent="0.35">
      <c r="A132" t="str">
        <f t="shared" si="13"/>
        <v>PA45746366110000</v>
      </c>
      <c r="B132" t="s">
        <v>6212</v>
      </c>
      <c r="C132" s="1">
        <v>45746</v>
      </c>
      <c r="D132" t="str">
        <f t="shared" si="11"/>
        <v>3</v>
      </c>
      <c r="E132" t="str">
        <f t="shared" si="12"/>
        <v>66110000</v>
      </c>
      <c r="F132" t="s">
        <v>6214</v>
      </c>
      <c r="G132" t="s">
        <v>6271</v>
      </c>
      <c r="H132" t="s">
        <v>6295</v>
      </c>
      <c r="I132">
        <v>0</v>
      </c>
      <c r="J132" t="s">
        <v>343</v>
      </c>
      <c r="K132">
        <v>689085</v>
      </c>
      <c r="M132">
        <v>31187393</v>
      </c>
    </row>
    <row r="133" spans="1:13" x14ac:dyDescent="0.35">
      <c r="A133" t="str">
        <f t="shared" si="13"/>
        <v>PA45746366110000</v>
      </c>
      <c r="B133" t="s">
        <v>6212</v>
      </c>
      <c r="C133" s="1">
        <v>45746</v>
      </c>
      <c r="D133" t="str">
        <f t="shared" si="11"/>
        <v>3</v>
      </c>
      <c r="E133" t="str">
        <f t="shared" si="12"/>
        <v>66110000</v>
      </c>
      <c r="F133" t="s">
        <v>6214</v>
      </c>
      <c r="G133" t="s">
        <v>6271</v>
      </c>
      <c r="H133" t="s">
        <v>6276</v>
      </c>
      <c r="I133">
        <v>0</v>
      </c>
      <c r="J133" t="s">
        <v>343</v>
      </c>
      <c r="K133">
        <v>24802253</v>
      </c>
      <c r="M133">
        <v>31187393</v>
      </c>
    </row>
    <row r="134" spans="1:13" x14ac:dyDescent="0.35">
      <c r="A134" t="str">
        <f t="shared" si="13"/>
        <v>PA45746366121000</v>
      </c>
      <c r="B134" t="s">
        <v>6212</v>
      </c>
      <c r="C134" s="1">
        <v>45746</v>
      </c>
      <c r="D134" t="str">
        <f t="shared" si="11"/>
        <v>3</v>
      </c>
      <c r="E134" t="str">
        <f>"66121000"</f>
        <v>66121000</v>
      </c>
      <c r="F134" t="s">
        <v>6214</v>
      </c>
      <c r="G134" t="s">
        <v>6271</v>
      </c>
      <c r="H134" t="s">
        <v>6280</v>
      </c>
      <c r="I134">
        <v>0</v>
      </c>
      <c r="J134" t="s">
        <v>343</v>
      </c>
      <c r="K134">
        <v>3697194</v>
      </c>
      <c r="M134">
        <v>3717194</v>
      </c>
    </row>
    <row r="135" spans="1:13" x14ac:dyDescent="0.35">
      <c r="A135" t="str">
        <f t="shared" si="13"/>
        <v>PA45746366121000</v>
      </c>
      <c r="B135" t="s">
        <v>6212</v>
      </c>
      <c r="C135" s="1">
        <v>45746</v>
      </c>
      <c r="D135" t="str">
        <f t="shared" si="11"/>
        <v>3</v>
      </c>
      <c r="E135" t="str">
        <f>"66121000"</f>
        <v>66121000</v>
      </c>
      <c r="F135" t="s">
        <v>6214</v>
      </c>
      <c r="G135" t="s">
        <v>6271</v>
      </c>
      <c r="H135" t="s">
        <v>6294</v>
      </c>
      <c r="I135">
        <v>0</v>
      </c>
      <c r="J135" t="s">
        <v>343</v>
      </c>
      <c r="K135">
        <v>20000</v>
      </c>
      <c r="M135">
        <v>3717194</v>
      </c>
    </row>
    <row r="136" spans="1:13" x14ac:dyDescent="0.35">
      <c r="A136" t="str">
        <f t="shared" si="13"/>
        <v>PA45746366121000</v>
      </c>
      <c r="B136" t="s">
        <v>6212</v>
      </c>
      <c r="C136" s="1">
        <v>45746</v>
      </c>
      <c r="D136" t="str">
        <f t="shared" si="11"/>
        <v>3</v>
      </c>
      <c r="E136" t="str">
        <f>"66121000"</f>
        <v>66121000</v>
      </c>
      <c r="F136" t="s">
        <v>6214</v>
      </c>
      <c r="G136" t="s">
        <v>6271</v>
      </c>
      <c r="H136" t="s">
        <v>6276</v>
      </c>
      <c r="I136">
        <v>0</v>
      </c>
      <c r="J136" t="s">
        <v>343</v>
      </c>
      <c r="K136">
        <v>1043465</v>
      </c>
      <c r="M136">
        <v>1043465</v>
      </c>
    </row>
    <row r="137" spans="1:13" x14ac:dyDescent="0.35">
      <c r="A137" t="str">
        <f t="shared" si="13"/>
        <v>PA45746366122000</v>
      </c>
      <c r="B137" t="s">
        <v>6212</v>
      </c>
      <c r="C137" s="1">
        <v>45746</v>
      </c>
      <c r="D137" t="str">
        <f t="shared" si="11"/>
        <v>3</v>
      </c>
      <c r="E137" t="str">
        <f>"66122000"</f>
        <v>66122000</v>
      </c>
      <c r="F137" t="s">
        <v>6214</v>
      </c>
      <c r="G137" t="s">
        <v>6271</v>
      </c>
      <c r="H137" t="s">
        <v>6294</v>
      </c>
      <c r="I137">
        <v>0</v>
      </c>
      <c r="J137" t="s">
        <v>343</v>
      </c>
      <c r="K137">
        <v>15827</v>
      </c>
      <c r="M137">
        <v>15827</v>
      </c>
    </row>
    <row r="138" spans="1:13" x14ac:dyDescent="0.35">
      <c r="A138" t="str">
        <f t="shared" si="13"/>
        <v>PA45746366130000</v>
      </c>
      <c r="B138" t="s">
        <v>6212</v>
      </c>
      <c r="C138" s="1">
        <v>45746</v>
      </c>
      <c r="D138" t="str">
        <f t="shared" si="11"/>
        <v>3</v>
      </c>
      <c r="E138" t="str">
        <f>"66130000"</f>
        <v>66130000</v>
      </c>
      <c r="F138" t="s">
        <v>6214</v>
      </c>
      <c r="G138" t="s">
        <v>6271</v>
      </c>
      <c r="H138" t="s">
        <v>6294</v>
      </c>
      <c r="I138">
        <v>0</v>
      </c>
      <c r="J138" t="s">
        <v>343</v>
      </c>
      <c r="K138">
        <v>261221</v>
      </c>
      <c r="M138">
        <v>261221</v>
      </c>
    </row>
    <row r="139" spans="1:13" x14ac:dyDescent="0.35">
      <c r="A139" t="str">
        <f t="shared" si="13"/>
        <v>PA45746366320000</v>
      </c>
      <c r="B139" t="s">
        <v>6212</v>
      </c>
      <c r="C139" s="1">
        <v>45746</v>
      </c>
      <c r="D139" t="str">
        <f t="shared" si="11"/>
        <v>3</v>
      </c>
      <c r="E139" t="str">
        <f>"66320000"</f>
        <v>66320000</v>
      </c>
      <c r="F139" t="s">
        <v>6214</v>
      </c>
      <c r="G139" t="s">
        <v>6271</v>
      </c>
      <c r="H139" t="s">
        <v>6280</v>
      </c>
      <c r="I139">
        <v>0</v>
      </c>
      <c r="J139" t="s">
        <v>343</v>
      </c>
      <c r="K139">
        <v>500000</v>
      </c>
      <c r="M139">
        <v>500000</v>
      </c>
    </row>
    <row r="140" spans="1:13" x14ac:dyDescent="0.35">
      <c r="A140" t="str">
        <f t="shared" si="13"/>
        <v>PA45746366381000</v>
      </c>
      <c r="B140" t="s">
        <v>6212</v>
      </c>
      <c r="C140" s="1">
        <v>45746</v>
      </c>
      <c r="D140" t="str">
        <f t="shared" si="11"/>
        <v>3</v>
      </c>
      <c r="E140" t="str">
        <f t="shared" ref="E140:E145" si="14">"66381000"</f>
        <v>66381000</v>
      </c>
      <c r="F140" t="s">
        <v>6214</v>
      </c>
      <c r="G140" t="s">
        <v>6271</v>
      </c>
      <c r="H140" t="s">
        <v>6280</v>
      </c>
      <c r="I140">
        <v>0</v>
      </c>
      <c r="J140" t="s">
        <v>343</v>
      </c>
      <c r="K140">
        <v>30000</v>
      </c>
      <c r="M140">
        <v>2732000</v>
      </c>
    </row>
    <row r="141" spans="1:13" x14ac:dyDescent="0.35">
      <c r="A141" t="str">
        <f t="shared" si="13"/>
        <v>PA45746366381000</v>
      </c>
      <c r="B141" t="s">
        <v>6212</v>
      </c>
      <c r="C141" s="1">
        <v>45746</v>
      </c>
      <c r="D141" t="str">
        <f t="shared" si="11"/>
        <v>3</v>
      </c>
      <c r="E141" t="str">
        <f t="shared" si="14"/>
        <v>66381000</v>
      </c>
      <c r="F141" t="s">
        <v>6214</v>
      </c>
      <c r="G141" t="s">
        <v>6271</v>
      </c>
      <c r="H141" t="s">
        <v>6292</v>
      </c>
      <c r="I141">
        <v>0</v>
      </c>
      <c r="J141" t="s">
        <v>343</v>
      </c>
      <c r="K141">
        <v>60000</v>
      </c>
      <c r="M141">
        <v>2732000</v>
      </c>
    </row>
    <row r="142" spans="1:13" x14ac:dyDescent="0.35">
      <c r="A142" t="str">
        <f t="shared" si="13"/>
        <v>PA45746366381000</v>
      </c>
      <c r="B142" t="s">
        <v>6212</v>
      </c>
      <c r="C142" s="1">
        <v>45746</v>
      </c>
      <c r="D142" t="str">
        <f t="shared" si="11"/>
        <v>3</v>
      </c>
      <c r="E142" t="str">
        <f t="shared" si="14"/>
        <v>66381000</v>
      </c>
      <c r="F142" t="s">
        <v>6214</v>
      </c>
      <c r="G142" t="s">
        <v>6271</v>
      </c>
      <c r="H142" t="s">
        <v>6293</v>
      </c>
      <c r="I142">
        <v>0</v>
      </c>
      <c r="J142" t="s">
        <v>343</v>
      </c>
      <c r="K142">
        <v>30000</v>
      </c>
      <c r="M142">
        <v>2732000</v>
      </c>
    </row>
    <row r="143" spans="1:13" x14ac:dyDescent="0.35">
      <c r="A143" t="str">
        <f t="shared" si="13"/>
        <v>PA45746366381000</v>
      </c>
      <c r="B143" t="s">
        <v>6212</v>
      </c>
      <c r="C143" s="1">
        <v>45746</v>
      </c>
      <c r="D143" t="str">
        <f t="shared" si="11"/>
        <v>3</v>
      </c>
      <c r="E143" t="str">
        <f t="shared" si="14"/>
        <v>66381000</v>
      </c>
      <c r="F143" t="s">
        <v>6214</v>
      </c>
      <c r="G143" t="s">
        <v>6271</v>
      </c>
      <c r="H143" t="s">
        <v>6294</v>
      </c>
      <c r="I143">
        <v>0</v>
      </c>
      <c r="J143" t="s">
        <v>343</v>
      </c>
      <c r="K143">
        <v>254000</v>
      </c>
      <c r="M143">
        <v>2732000</v>
      </c>
    </row>
    <row r="144" spans="1:13" x14ac:dyDescent="0.35">
      <c r="A144" t="str">
        <f t="shared" si="13"/>
        <v>PA45746366381000</v>
      </c>
      <c r="B144" t="s">
        <v>6212</v>
      </c>
      <c r="C144" s="1">
        <v>45746</v>
      </c>
      <c r="D144" t="str">
        <f t="shared" si="11"/>
        <v>3</v>
      </c>
      <c r="E144" t="str">
        <f t="shared" si="14"/>
        <v>66381000</v>
      </c>
      <c r="F144" t="s">
        <v>6214</v>
      </c>
      <c r="G144" t="s">
        <v>6271</v>
      </c>
      <c r="H144" t="s">
        <v>6295</v>
      </c>
      <c r="I144">
        <v>0</v>
      </c>
      <c r="J144" t="s">
        <v>343</v>
      </c>
      <c r="K144">
        <v>90000</v>
      </c>
      <c r="M144">
        <v>2732000</v>
      </c>
    </row>
    <row r="145" spans="1:14" x14ac:dyDescent="0.35">
      <c r="A145" t="str">
        <f t="shared" si="13"/>
        <v>PA45746366381000</v>
      </c>
      <c r="B145" t="s">
        <v>6212</v>
      </c>
      <c r="C145" s="1">
        <v>45746</v>
      </c>
      <c r="D145" t="str">
        <f t="shared" si="11"/>
        <v>3</v>
      </c>
      <c r="E145" t="str">
        <f t="shared" si="14"/>
        <v>66381000</v>
      </c>
      <c r="F145" t="s">
        <v>6214</v>
      </c>
      <c r="G145" t="s">
        <v>6271</v>
      </c>
      <c r="H145" t="s">
        <v>6276</v>
      </c>
      <c r="I145">
        <v>0</v>
      </c>
      <c r="J145" t="s">
        <v>343</v>
      </c>
      <c r="K145">
        <v>2268000</v>
      </c>
      <c r="M145">
        <v>2732000</v>
      </c>
    </row>
    <row r="146" spans="1:14" x14ac:dyDescent="0.35">
      <c r="A146" t="str">
        <f t="shared" si="13"/>
        <v>SG457342863180000</v>
      </c>
      <c r="B146" t="s">
        <v>6215</v>
      </c>
      <c r="C146" s="1">
        <v>45734</v>
      </c>
      <c r="D146" t="str">
        <f>"28"</f>
        <v>28</v>
      </c>
      <c r="E146" t="str">
        <f>"63180000"</f>
        <v>63180000</v>
      </c>
      <c r="F146" t="s">
        <v>6240</v>
      </c>
      <c r="G146" t="s">
        <v>6271</v>
      </c>
      <c r="H146" t="s">
        <v>347</v>
      </c>
      <c r="I146">
        <v>0</v>
      </c>
      <c r="J146" t="s">
        <v>343</v>
      </c>
      <c r="K146">
        <v>1499</v>
      </c>
      <c r="M146">
        <v>1499</v>
      </c>
    </row>
    <row r="147" spans="1:14" x14ac:dyDescent="0.35">
      <c r="A147" t="str">
        <f t="shared" si="13"/>
        <v>SG457423163180000</v>
      </c>
      <c r="B147" t="s">
        <v>6215</v>
      </c>
      <c r="C147" s="1">
        <v>45742</v>
      </c>
      <c r="D147" t="str">
        <f>"31"</f>
        <v>31</v>
      </c>
      <c r="E147" t="str">
        <f>"63180000"</f>
        <v>63180000</v>
      </c>
      <c r="F147" t="s">
        <v>6247</v>
      </c>
      <c r="G147" t="s">
        <v>6271</v>
      </c>
      <c r="H147" t="s">
        <v>347</v>
      </c>
      <c r="I147">
        <v>0</v>
      </c>
      <c r="J147" t="s">
        <v>343</v>
      </c>
      <c r="K147">
        <v>43175</v>
      </c>
      <c r="M147">
        <v>43175</v>
      </c>
    </row>
    <row r="148" spans="1:14" x14ac:dyDescent="0.35">
      <c r="A148" t="str">
        <f t="shared" si="13"/>
        <v>SG457423263180000</v>
      </c>
      <c r="B148" t="s">
        <v>6215</v>
      </c>
      <c r="C148" s="1">
        <v>45742</v>
      </c>
      <c r="D148" t="str">
        <f>"32"</f>
        <v>32</v>
      </c>
      <c r="E148" t="str">
        <f>"63180000"</f>
        <v>63180000</v>
      </c>
      <c r="F148" t="s">
        <v>6247</v>
      </c>
      <c r="G148" t="s">
        <v>6271</v>
      </c>
      <c r="H148" t="s">
        <v>347</v>
      </c>
      <c r="I148">
        <v>0</v>
      </c>
      <c r="J148" t="s">
        <v>343</v>
      </c>
      <c r="K148">
        <v>7425</v>
      </c>
      <c r="M148">
        <v>7425</v>
      </c>
    </row>
    <row r="149" spans="1:14" x14ac:dyDescent="0.35">
      <c r="A149" t="str">
        <f t="shared" si="13"/>
        <v>SG457423363180000</v>
      </c>
      <c r="B149" t="s">
        <v>6215</v>
      </c>
      <c r="C149" s="1">
        <v>45742</v>
      </c>
      <c r="D149" t="str">
        <f>"33"</f>
        <v>33</v>
      </c>
      <c r="E149" t="str">
        <f>"63180000"</f>
        <v>63180000</v>
      </c>
      <c r="F149" t="s">
        <v>6248</v>
      </c>
      <c r="G149" t="s">
        <v>6271</v>
      </c>
      <c r="H149" t="s">
        <v>347</v>
      </c>
      <c r="I149">
        <v>0</v>
      </c>
      <c r="J149" t="s">
        <v>343</v>
      </c>
      <c r="K149">
        <v>31900</v>
      </c>
      <c r="M149">
        <v>31900</v>
      </c>
    </row>
    <row r="150" spans="1:14" x14ac:dyDescent="0.35">
      <c r="A150" t="str">
        <f t="shared" si="13"/>
        <v>SG457443063180000</v>
      </c>
      <c r="B150" t="s">
        <v>6215</v>
      </c>
      <c r="C150" s="1">
        <v>45744</v>
      </c>
      <c r="D150" t="str">
        <f>"30"</f>
        <v>30</v>
      </c>
      <c r="E150" t="str">
        <f>"63180000"</f>
        <v>63180000</v>
      </c>
      <c r="F150" t="s">
        <v>6240</v>
      </c>
      <c r="G150" t="s">
        <v>6271</v>
      </c>
      <c r="H150" t="s">
        <v>347</v>
      </c>
      <c r="I150">
        <v>0</v>
      </c>
      <c r="J150" t="s">
        <v>343</v>
      </c>
      <c r="K150">
        <v>4400</v>
      </c>
      <c r="M150">
        <v>4400</v>
      </c>
    </row>
    <row r="151" spans="1:14" x14ac:dyDescent="0.35">
      <c r="A151" t="str">
        <f t="shared" si="13"/>
        <v>SG457472967450000</v>
      </c>
      <c r="B151" t="s">
        <v>6215</v>
      </c>
      <c r="C151" s="1">
        <v>45747</v>
      </c>
      <c r="D151" t="str">
        <f>"29"</f>
        <v>29</v>
      </c>
      <c r="E151" t="str">
        <f>"67450000"</f>
        <v>67450000</v>
      </c>
      <c r="F151" t="s">
        <v>6255</v>
      </c>
      <c r="G151" t="s">
        <v>6271</v>
      </c>
      <c r="H151" t="s">
        <v>347</v>
      </c>
      <c r="I151">
        <v>0</v>
      </c>
      <c r="J151" t="s">
        <v>343</v>
      </c>
      <c r="K151">
        <v>142759</v>
      </c>
      <c r="M151">
        <v>142759</v>
      </c>
    </row>
    <row r="152" spans="1:14" x14ac:dyDescent="0.35">
      <c r="A152" t="str">
        <f t="shared" si="13"/>
        <v>VE45717470611100</v>
      </c>
      <c r="B152" t="s">
        <v>6256</v>
      </c>
      <c r="C152" s="1">
        <v>45717</v>
      </c>
      <c r="D152" t="str">
        <f>"4"</f>
        <v>4</v>
      </c>
      <c r="E152" t="str">
        <f t="shared" ref="E152:E163" si="15">"70611100"</f>
        <v>70611100</v>
      </c>
      <c r="F152" t="s">
        <v>6257</v>
      </c>
      <c r="G152" t="s">
        <v>6271</v>
      </c>
      <c r="H152" t="s">
        <v>6289</v>
      </c>
      <c r="I152">
        <v>0</v>
      </c>
      <c r="J152" t="s">
        <v>343</v>
      </c>
      <c r="L152">
        <v>450000</v>
      </c>
      <c r="N152">
        <v>450000</v>
      </c>
    </row>
    <row r="153" spans="1:14" x14ac:dyDescent="0.35">
      <c r="A153" t="str">
        <f t="shared" si="13"/>
        <v>VE45733170611100</v>
      </c>
      <c r="B153" t="s">
        <v>6256</v>
      </c>
      <c r="C153" s="1">
        <v>45733</v>
      </c>
      <c r="D153" t="str">
        <f>"1"</f>
        <v>1</v>
      </c>
      <c r="E153" t="str">
        <f t="shared" si="15"/>
        <v>70611100</v>
      </c>
      <c r="F153" t="s">
        <v>6258</v>
      </c>
      <c r="G153" t="s">
        <v>6271</v>
      </c>
      <c r="H153" t="s">
        <v>6291</v>
      </c>
      <c r="I153">
        <v>0</v>
      </c>
      <c r="J153" t="s">
        <v>343</v>
      </c>
      <c r="L153">
        <v>-7900000</v>
      </c>
      <c r="N153">
        <v>-7900000</v>
      </c>
    </row>
    <row r="154" spans="1:14" x14ac:dyDescent="0.35">
      <c r="A154" t="str">
        <f t="shared" si="13"/>
        <v>VE45733370611100</v>
      </c>
      <c r="B154" t="s">
        <v>6256</v>
      </c>
      <c r="C154" s="1">
        <v>45733</v>
      </c>
      <c r="D154" t="str">
        <f>"3"</f>
        <v>3</v>
      </c>
      <c r="E154" t="str">
        <f t="shared" si="15"/>
        <v>70611100</v>
      </c>
      <c r="F154" t="s">
        <v>6259</v>
      </c>
      <c r="G154" t="s">
        <v>6271</v>
      </c>
      <c r="H154" t="s">
        <v>6287</v>
      </c>
      <c r="I154">
        <v>0</v>
      </c>
      <c r="J154" t="s">
        <v>343</v>
      </c>
      <c r="L154">
        <v>114397424</v>
      </c>
      <c r="N154">
        <v>114397424</v>
      </c>
    </row>
    <row r="155" spans="1:14" x14ac:dyDescent="0.35">
      <c r="A155" t="str">
        <f t="shared" si="13"/>
        <v>VE45735270611100</v>
      </c>
      <c r="B155" t="s">
        <v>6256</v>
      </c>
      <c r="C155" s="1">
        <v>45735</v>
      </c>
      <c r="D155" t="str">
        <f>"2"</f>
        <v>2</v>
      </c>
      <c r="E155" t="str">
        <f t="shared" si="15"/>
        <v>70611100</v>
      </c>
      <c r="F155" t="s">
        <v>6261</v>
      </c>
      <c r="G155" t="s">
        <v>6271</v>
      </c>
      <c r="H155" t="s">
        <v>6291</v>
      </c>
      <c r="I155">
        <v>0</v>
      </c>
      <c r="J155" t="s">
        <v>343</v>
      </c>
      <c r="L155">
        <v>7900000</v>
      </c>
      <c r="N155">
        <v>7900000</v>
      </c>
    </row>
    <row r="156" spans="1:14" x14ac:dyDescent="0.35">
      <c r="A156" t="str">
        <f t="shared" si="13"/>
        <v>VE45735570611100</v>
      </c>
      <c r="B156" t="s">
        <v>6256</v>
      </c>
      <c r="C156" s="1">
        <v>45735</v>
      </c>
      <c r="D156" t="str">
        <f>"5"</f>
        <v>5</v>
      </c>
      <c r="E156" t="str">
        <f t="shared" si="15"/>
        <v>70611100</v>
      </c>
      <c r="F156" t="s">
        <v>6262</v>
      </c>
      <c r="G156" t="s">
        <v>6271</v>
      </c>
      <c r="H156" t="s">
        <v>6289</v>
      </c>
      <c r="I156">
        <v>0</v>
      </c>
      <c r="J156" t="s">
        <v>343</v>
      </c>
      <c r="L156">
        <v>450000</v>
      </c>
      <c r="N156">
        <v>450000</v>
      </c>
    </row>
    <row r="157" spans="1:14" x14ac:dyDescent="0.35">
      <c r="A157" t="str">
        <f t="shared" si="13"/>
        <v>VE45744670611100</v>
      </c>
      <c r="B157" t="s">
        <v>6256</v>
      </c>
      <c r="C157" s="1">
        <v>45744</v>
      </c>
      <c r="D157" t="str">
        <f>"6"</f>
        <v>6</v>
      </c>
      <c r="E157" t="str">
        <f t="shared" si="15"/>
        <v>70611100</v>
      </c>
      <c r="F157" t="s">
        <v>6263</v>
      </c>
      <c r="G157" t="s">
        <v>6271</v>
      </c>
      <c r="H157" t="s">
        <v>6289</v>
      </c>
      <c r="I157">
        <v>0</v>
      </c>
      <c r="J157" t="s">
        <v>343</v>
      </c>
      <c r="L157">
        <v>8285000</v>
      </c>
      <c r="N157">
        <v>8285000</v>
      </c>
    </row>
    <row r="158" spans="1:14" x14ac:dyDescent="0.35">
      <c r="A158" t="str">
        <f t="shared" si="13"/>
        <v>VE45744770611100</v>
      </c>
      <c r="B158" t="s">
        <v>6256</v>
      </c>
      <c r="C158" s="1">
        <v>45744</v>
      </c>
      <c r="D158" t="str">
        <f>"7"</f>
        <v>7</v>
      </c>
      <c r="E158" t="str">
        <f t="shared" si="15"/>
        <v>70611100</v>
      </c>
      <c r="F158" t="s">
        <v>6264</v>
      </c>
      <c r="G158" t="s">
        <v>6271</v>
      </c>
      <c r="H158" t="s">
        <v>6289</v>
      </c>
      <c r="I158">
        <v>0</v>
      </c>
      <c r="J158" t="s">
        <v>343</v>
      </c>
      <c r="L158">
        <v>2019810</v>
      </c>
      <c r="N158">
        <v>2019810</v>
      </c>
    </row>
    <row r="159" spans="1:14" x14ac:dyDescent="0.35">
      <c r="A159" t="str">
        <f t="shared" si="13"/>
        <v>VE45744870611100</v>
      </c>
      <c r="B159" t="s">
        <v>6256</v>
      </c>
      <c r="C159" s="1">
        <v>45744</v>
      </c>
      <c r="D159" t="str">
        <f>"8"</f>
        <v>8</v>
      </c>
      <c r="E159" t="str">
        <f t="shared" si="15"/>
        <v>70611100</v>
      </c>
      <c r="F159" t="s">
        <v>6266</v>
      </c>
      <c r="G159" t="s">
        <v>6271</v>
      </c>
      <c r="H159" t="s">
        <v>6289</v>
      </c>
      <c r="I159">
        <v>0</v>
      </c>
      <c r="J159" t="s">
        <v>343</v>
      </c>
      <c r="L159">
        <v>3000000</v>
      </c>
      <c r="N159">
        <v>3000000</v>
      </c>
    </row>
    <row r="160" spans="1:14" x14ac:dyDescent="0.35">
      <c r="A160" t="str">
        <f t="shared" si="13"/>
        <v>VE45744970611100</v>
      </c>
      <c r="B160" t="s">
        <v>6256</v>
      </c>
      <c r="C160" s="1">
        <v>45744</v>
      </c>
      <c r="D160" t="str">
        <f>"9"</f>
        <v>9</v>
      </c>
      <c r="E160" t="str">
        <f t="shared" si="15"/>
        <v>70611100</v>
      </c>
      <c r="F160" t="s">
        <v>6267</v>
      </c>
      <c r="G160" t="s">
        <v>6271</v>
      </c>
      <c r="H160" t="s">
        <v>6289</v>
      </c>
      <c r="I160">
        <v>0</v>
      </c>
      <c r="J160" t="s">
        <v>343</v>
      </c>
      <c r="L160">
        <v>250000</v>
      </c>
      <c r="N160">
        <v>250000</v>
      </c>
    </row>
    <row r="161" spans="1:14" x14ac:dyDescent="0.35">
      <c r="A161" t="str">
        <f t="shared" si="13"/>
        <v>VE457441070611100</v>
      </c>
      <c r="B161" t="s">
        <v>6256</v>
      </c>
      <c r="C161" s="1">
        <v>45744</v>
      </c>
      <c r="D161" t="str">
        <f>"10"</f>
        <v>10</v>
      </c>
      <c r="E161" t="str">
        <f t="shared" si="15"/>
        <v>70611100</v>
      </c>
      <c r="F161" t="s">
        <v>6268</v>
      </c>
      <c r="G161" t="s">
        <v>6271</v>
      </c>
      <c r="H161" t="s">
        <v>6288</v>
      </c>
      <c r="I161">
        <v>0</v>
      </c>
      <c r="J161" t="s">
        <v>343</v>
      </c>
      <c r="L161">
        <v>4000000</v>
      </c>
      <c r="N161">
        <v>4000000</v>
      </c>
    </row>
    <row r="162" spans="1:14" x14ac:dyDescent="0.35">
      <c r="A162" t="str">
        <f t="shared" si="13"/>
        <v>VE457441170611100</v>
      </c>
      <c r="B162" t="s">
        <v>6256</v>
      </c>
      <c r="C162" s="1">
        <v>45744</v>
      </c>
      <c r="D162" t="str">
        <f>"11"</f>
        <v>11</v>
      </c>
      <c r="E162" t="str">
        <f t="shared" si="15"/>
        <v>70611100</v>
      </c>
      <c r="F162" t="s">
        <v>6269</v>
      </c>
      <c r="G162" t="s">
        <v>6271</v>
      </c>
      <c r="H162" t="s">
        <v>6291</v>
      </c>
      <c r="I162">
        <v>0</v>
      </c>
      <c r="J162" t="s">
        <v>343</v>
      </c>
      <c r="L162">
        <v>7600000</v>
      </c>
      <c r="N162">
        <v>7600000</v>
      </c>
    </row>
    <row r="163" spans="1:14" x14ac:dyDescent="0.35">
      <c r="A163" t="str">
        <f t="shared" si="13"/>
        <v>VE457441270611100</v>
      </c>
      <c r="B163" t="s">
        <v>6256</v>
      </c>
      <c r="C163" s="1">
        <v>45744</v>
      </c>
      <c r="D163" t="str">
        <f>"12"</f>
        <v>12</v>
      </c>
      <c r="E163" t="str">
        <f t="shared" si="15"/>
        <v>70611100</v>
      </c>
      <c r="F163" t="s">
        <v>6270</v>
      </c>
      <c r="G163" t="s">
        <v>6271</v>
      </c>
      <c r="H163" t="s">
        <v>6290</v>
      </c>
      <c r="I163">
        <v>0</v>
      </c>
      <c r="J163" t="s">
        <v>343</v>
      </c>
      <c r="L163">
        <v>15624000</v>
      </c>
      <c r="N163">
        <v>15624000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1A18B-BC19-407A-8FDF-29040A79CC0D}">
  <dimension ref="A1:L105"/>
  <sheetViews>
    <sheetView topLeftCell="A68" workbookViewId="0">
      <selection activeCell="A68" sqref="A1:A1048576"/>
    </sheetView>
  </sheetViews>
  <sheetFormatPr baseColWidth="10"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6798</v>
      </c>
    </row>
    <row r="2" spans="1:12" x14ac:dyDescent="0.35">
      <c r="A2" t="s">
        <v>11</v>
      </c>
      <c r="B2" s="1">
        <v>45717</v>
      </c>
      <c r="C2" t="s">
        <v>7576</v>
      </c>
      <c r="E2" t="s">
        <v>12</v>
      </c>
      <c r="F2" t="s">
        <v>7338</v>
      </c>
      <c r="H2" t="s">
        <v>6298</v>
      </c>
      <c r="K2">
        <v>1266747</v>
      </c>
      <c r="L2" t="s">
        <v>6803</v>
      </c>
    </row>
    <row r="3" spans="1:12" x14ac:dyDescent="0.35">
      <c r="A3" t="s">
        <v>11</v>
      </c>
      <c r="B3" s="1">
        <v>45717</v>
      </c>
      <c r="C3" t="s">
        <v>7576</v>
      </c>
      <c r="E3" t="s">
        <v>12</v>
      </c>
      <c r="F3" t="s">
        <v>9998</v>
      </c>
      <c r="H3" t="s">
        <v>6298</v>
      </c>
      <c r="J3">
        <v>1266747</v>
      </c>
      <c r="L3" t="s">
        <v>5927</v>
      </c>
    </row>
    <row r="4" spans="1:12" x14ac:dyDescent="0.35">
      <c r="A4" t="s">
        <v>11</v>
      </c>
      <c r="B4" s="1">
        <v>45717</v>
      </c>
      <c r="C4" t="s">
        <v>7577</v>
      </c>
      <c r="F4" t="s">
        <v>7338</v>
      </c>
      <c r="H4" t="s">
        <v>6299</v>
      </c>
      <c r="K4">
        <v>30000000</v>
      </c>
      <c r="L4" t="s">
        <v>6803</v>
      </c>
    </row>
    <row r="5" spans="1:12" x14ac:dyDescent="0.35">
      <c r="A5" t="s">
        <v>11</v>
      </c>
      <c r="B5" s="1">
        <v>45717</v>
      </c>
      <c r="C5" t="s">
        <v>7577</v>
      </c>
      <c r="F5" t="s">
        <v>7429</v>
      </c>
      <c r="H5" t="s">
        <v>6299</v>
      </c>
      <c r="J5">
        <v>30000000</v>
      </c>
      <c r="L5" t="s">
        <v>6800</v>
      </c>
    </row>
    <row r="6" spans="1:12" x14ac:dyDescent="0.35">
      <c r="A6" t="s">
        <v>11</v>
      </c>
      <c r="B6" s="1">
        <v>45717</v>
      </c>
      <c r="C6" t="s">
        <v>7607</v>
      </c>
      <c r="E6" t="s">
        <v>6300</v>
      </c>
      <c r="F6" t="s">
        <v>9939</v>
      </c>
      <c r="H6" t="s">
        <v>6301</v>
      </c>
      <c r="K6">
        <v>19022538</v>
      </c>
      <c r="L6" t="s">
        <v>6803</v>
      </c>
    </row>
    <row r="7" spans="1:12" x14ac:dyDescent="0.35">
      <c r="A7" t="s">
        <v>11</v>
      </c>
      <c r="B7" s="1">
        <v>45717</v>
      </c>
      <c r="C7" t="s">
        <v>7607</v>
      </c>
      <c r="E7" t="s">
        <v>6300</v>
      </c>
      <c r="F7" t="s">
        <v>7320</v>
      </c>
      <c r="H7" t="s">
        <v>6301</v>
      </c>
      <c r="J7">
        <v>19022538</v>
      </c>
      <c r="L7" t="s">
        <v>6800</v>
      </c>
    </row>
    <row r="8" spans="1:12" x14ac:dyDescent="0.35">
      <c r="A8" t="s">
        <v>11</v>
      </c>
      <c r="B8" s="1">
        <v>45717</v>
      </c>
      <c r="C8" t="s">
        <v>7173</v>
      </c>
      <c r="F8" t="s">
        <v>7338</v>
      </c>
      <c r="H8" t="s">
        <v>6302</v>
      </c>
      <c r="K8">
        <v>457438</v>
      </c>
      <c r="L8" t="s">
        <v>6803</v>
      </c>
    </row>
    <row r="9" spans="1:12" x14ac:dyDescent="0.35">
      <c r="A9" t="s">
        <v>11</v>
      </c>
      <c r="B9" s="1">
        <v>45717</v>
      </c>
      <c r="C9" t="s">
        <v>7173</v>
      </c>
      <c r="F9" t="s">
        <v>9998</v>
      </c>
      <c r="H9" t="s">
        <v>6302</v>
      </c>
      <c r="J9">
        <v>457438</v>
      </c>
      <c r="L9" t="s">
        <v>5927</v>
      </c>
    </row>
    <row r="10" spans="1:12" x14ac:dyDescent="0.35">
      <c r="A10" t="s">
        <v>11</v>
      </c>
      <c r="B10" s="1">
        <v>45718</v>
      </c>
      <c r="C10" t="s">
        <v>7613</v>
      </c>
      <c r="E10" t="s">
        <v>24</v>
      </c>
      <c r="F10" t="s">
        <v>7318</v>
      </c>
      <c r="H10" t="s">
        <v>25</v>
      </c>
      <c r="K10">
        <v>208333</v>
      </c>
      <c r="L10" t="s">
        <v>6803</v>
      </c>
    </row>
    <row r="11" spans="1:12" x14ac:dyDescent="0.35">
      <c r="A11" t="s">
        <v>11</v>
      </c>
      <c r="B11" s="1">
        <v>45718</v>
      </c>
      <c r="C11" t="s">
        <v>7613</v>
      </c>
      <c r="E11" t="s">
        <v>24</v>
      </c>
      <c r="F11" t="s">
        <v>7355</v>
      </c>
      <c r="H11" t="s">
        <v>25</v>
      </c>
      <c r="J11">
        <v>208333</v>
      </c>
      <c r="L11" t="s">
        <v>5927</v>
      </c>
    </row>
    <row r="12" spans="1:12" x14ac:dyDescent="0.35">
      <c r="A12" t="s">
        <v>26</v>
      </c>
      <c r="B12" s="1">
        <v>45717</v>
      </c>
      <c r="C12" t="s">
        <v>7485</v>
      </c>
      <c r="D12" t="s">
        <v>6303</v>
      </c>
      <c r="E12" t="s">
        <v>6304</v>
      </c>
      <c r="F12" t="s">
        <v>6804</v>
      </c>
      <c r="G12" t="s">
        <v>7484</v>
      </c>
      <c r="H12" t="s">
        <v>6305</v>
      </c>
      <c r="I12" s="1">
        <v>45717</v>
      </c>
      <c r="K12">
        <v>4574375</v>
      </c>
      <c r="L12" t="s">
        <v>6803</v>
      </c>
    </row>
    <row r="13" spans="1:12" x14ac:dyDescent="0.35">
      <c r="A13" t="s">
        <v>26</v>
      </c>
      <c r="B13" s="1">
        <v>45717</v>
      </c>
      <c r="C13" t="s">
        <v>7485</v>
      </c>
      <c r="D13" t="s">
        <v>6303</v>
      </c>
      <c r="E13" t="s">
        <v>6304</v>
      </c>
      <c r="F13" t="s">
        <v>7338</v>
      </c>
      <c r="H13" t="s">
        <v>6305</v>
      </c>
      <c r="J13">
        <v>4574375</v>
      </c>
      <c r="L13" t="s">
        <v>6803</v>
      </c>
    </row>
    <row r="14" spans="1:12" x14ac:dyDescent="0.35">
      <c r="A14" t="s">
        <v>26</v>
      </c>
      <c r="B14" s="1">
        <v>45717</v>
      </c>
      <c r="C14" t="s">
        <v>7593</v>
      </c>
      <c r="D14" t="s">
        <v>6306</v>
      </c>
      <c r="E14" t="s">
        <v>9999</v>
      </c>
      <c r="F14" t="s">
        <v>10000</v>
      </c>
      <c r="H14" t="s">
        <v>6307</v>
      </c>
      <c r="J14">
        <v>3600000</v>
      </c>
      <c r="L14" t="s">
        <v>6803</v>
      </c>
    </row>
    <row r="15" spans="1:12" x14ac:dyDescent="0.35">
      <c r="A15" t="s">
        <v>26</v>
      </c>
      <c r="B15" s="1">
        <v>45717</v>
      </c>
      <c r="C15" t="s">
        <v>7593</v>
      </c>
      <c r="D15" t="s">
        <v>6306</v>
      </c>
      <c r="E15" t="s">
        <v>9999</v>
      </c>
      <c r="F15" t="s">
        <v>8402</v>
      </c>
      <c r="H15" t="s">
        <v>6307</v>
      </c>
      <c r="J15">
        <v>648000</v>
      </c>
      <c r="L15" t="s">
        <v>6803</v>
      </c>
    </row>
    <row r="16" spans="1:12" x14ac:dyDescent="0.35">
      <c r="A16" t="s">
        <v>26</v>
      </c>
      <c r="B16" s="1">
        <v>45717</v>
      </c>
      <c r="C16" t="s">
        <v>7593</v>
      </c>
      <c r="D16" t="s">
        <v>6306</v>
      </c>
      <c r="E16" t="s">
        <v>9999</v>
      </c>
      <c r="F16" t="s">
        <v>9923</v>
      </c>
      <c r="G16" t="s">
        <v>10001</v>
      </c>
      <c r="H16" t="s">
        <v>6307</v>
      </c>
      <c r="K16">
        <v>4248000</v>
      </c>
      <c r="L16" t="s">
        <v>6803</v>
      </c>
    </row>
    <row r="17" spans="1:12" x14ac:dyDescent="0.35">
      <c r="A17" t="s">
        <v>26</v>
      </c>
      <c r="B17" s="1">
        <v>45717</v>
      </c>
      <c r="C17" t="s">
        <v>7489</v>
      </c>
      <c r="D17" t="s">
        <v>6308</v>
      </c>
      <c r="E17" t="s">
        <v>10002</v>
      </c>
      <c r="F17" t="s">
        <v>10000</v>
      </c>
      <c r="H17" t="s">
        <v>6309</v>
      </c>
      <c r="J17">
        <v>12991002</v>
      </c>
      <c r="L17" t="s">
        <v>6803</v>
      </c>
    </row>
    <row r="18" spans="1:12" x14ac:dyDescent="0.35">
      <c r="A18" t="s">
        <v>26</v>
      </c>
      <c r="B18" s="1">
        <v>45717</v>
      </c>
      <c r="C18" t="s">
        <v>7489</v>
      </c>
      <c r="D18" t="s">
        <v>6308</v>
      </c>
      <c r="E18" t="s">
        <v>10002</v>
      </c>
      <c r="F18" t="s">
        <v>8402</v>
      </c>
      <c r="H18" t="s">
        <v>6309</v>
      </c>
      <c r="J18">
        <v>2338380</v>
      </c>
      <c r="L18" t="s">
        <v>6803</v>
      </c>
    </row>
    <row r="19" spans="1:12" x14ac:dyDescent="0.35">
      <c r="A19" t="s">
        <v>26</v>
      </c>
      <c r="B19" s="1">
        <v>45717</v>
      </c>
      <c r="C19" t="s">
        <v>7489</v>
      </c>
      <c r="D19" t="s">
        <v>6308</v>
      </c>
      <c r="E19" t="s">
        <v>10002</v>
      </c>
      <c r="F19" t="s">
        <v>9923</v>
      </c>
      <c r="G19" t="s">
        <v>6904</v>
      </c>
      <c r="H19" t="s">
        <v>6309</v>
      </c>
      <c r="K19">
        <v>15329382</v>
      </c>
      <c r="L19" t="s">
        <v>6803</v>
      </c>
    </row>
    <row r="20" spans="1:12" x14ac:dyDescent="0.35">
      <c r="A20" t="s">
        <v>26</v>
      </c>
      <c r="B20" s="1">
        <v>45719</v>
      </c>
      <c r="C20" t="s">
        <v>7483</v>
      </c>
      <c r="D20" t="s">
        <v>6310</v>
      </c>
      <c r="E20" t="s">
        <v>10003</v>
      </c>
      <c r="F20" t="s">
        <v>6804</v>
      </c>
      <c r="G20" t="s">
        <v>6904</v>
      </c>
      <c r="H20" t="s">
        <v>6311</v>
      </c>
      <c r="I20" s="1">
        <v>45719</v>
      </c>
      <c r="K20">
        <v>110401</v>
      </c>
      <c r="L20" t="s">
        <v>6803</v>
      </c>
    </row>
    <row r="21" spans="1:12" x14ac:dyDescent="0.35">
      <c r="A21" t="s">
        <v>26</v>
      </c>
      <c r="B21" s="1">
        <v>45719</v>
      </c>
      <c r="C21" t="s">
        <v>7483</v>
      </c>
      <c r="D21" t="s">
        <v>6310</v>
      </c>
      <c r="E21" t="s">
        <v>10003</v>
      </c>
      <c r="F21" t="s">
        <v>6819</v>
      </c>
      <c r="H21" t="s">
        <v>6311</v>
      </c>
      <c r="J21">
        <v>16841</v>
      </c>
      <c r="L21" t="s">
        <v>6803</v>
      </c>
    </row>
    <row r="22" spans="1:12" x14ac:dyDescent="0.35">
      <c r="A22" t="s">
        <v>26</v>
      </c>
      <c r="B22" s="1">
        <v>45719</v>
      </c>
      <c r="C22" t="s">
        <v>7483</v>
      </c>
      <c r="D22" t="s">
        <v>6310</v>
      </c>
      <c r="E22" t="s">
        <v>10003</v>
      </c>
      <c r="F22" t="s">
        <v>7556</v>
      </c>
      <c r="H22" t="s">
        <v>6311</v>
      </c>
      <c r="J22">
        <v>93560</v>
      </c>
      <c r="L22" t="s">
        <v>5927</v>
      </c>
    </row>
    <row r="23" spans="1:12" x14ac:dyDescent="0.35">
      <c r="A23" t="s">
        <v>26</v>
      </c>
      <c r="B23" s="1">
        <v>45726</v>
      </c>
      <c r="C23" t="s">
        <v>7599</v>
      </c>
      <c r="D23" t="s">
        <v>6312</v>
      </c>
      <c r="E23" t="s">
        <v>10004</v>
      </c>
      <c r="F23" t="s">
        <v>10000</v>
      </c>
      <c r="H23" t="s">
        <v>6313</v>
      </c>
      <c r="J23">
        <v>12923000</v>
      </c>
      <c r="L23" t="s">
        <v>6803</v>
      </c>
    </row>
    <row r="24" spans="1:12" x14ac:dyDescent="0.35">
      <c r="A24" t="s">
        <v>26</v>
      </c>
      <c r="B24" s="1">
        <v>45726</v>
      </c>
      <c r="C24" t="s">
        <v>7599</v>
      </c>
      <c r="D24" t="s">
        <v>6312</v>
      </c>
      <c r="E24" t="s">
        <v>10004</v>
      </c>
      <c r="F24" t="s">
        <v>8402</v>
      </c>
      <c r="H24" t="s">
        <v>6313</v>
      </c>
      <c r="J24">
        <v>2326140</v>
      </c>
      <c r="L24" t="s">
        <v>6803</v>
      </c>
    </row>
    <row r="25" spans="1:12" x14ac:dyDescent="0.35">
      <c r="A25" t="s">
        <v>26</v>
      </c>
      <c r="B25" s="1">
        <v>45726</v>
      </c>
      <c r="C25" t="s">
        <v>7599</v>
      </c>
      <c r="D25" t="s">
        <v>6312</v>
      </c>
      <c r="E25" t="s">
        <v>10004</v>
      </c>
      <c r="F25" t="s">
        <v>9923</v>
      </c>
      <c r="G25" t="s">
        <v>10005</v>
      </c>
      <c r="H25" t="s">
        <v>6313</v>
      </c>
      <c r="K25">
        <v>15249140</v>
      </c>
      <c r="L25" t="s">
        <v>6803</v>
      </c>
    </row>
    <row r="26" spans="1:12" x14ac:dyDescent="0.35">
      <c r="A26" t="s">
        <v>26</v>
      </c>
      <c r="B26" s="1">
        <v>45726</v>
      </c>
      <c r="C26" t="s">
        <v>7600</v>
      </c>
      <c r="D26" t="s">
        <v>6314</v>
      </c>
      <c r="E26" t="s">
        <v>10006</v>
      </c>
      <c r="F26" t="s">
        <v>10000</v>
      </c>
      <c r="H26" t="s">
        <v>6315</v>
      </c>
      <c r="J26">
        <v>12923000</v>
      </c>
      <c r="L26" t="s">
        <v>6803</v>
      </c>
    </row>
    <row r="27" spans="1:12" x14ac:dyDescent="0.35">
      <c r="A27" t="s">
        <v>26</v>
      </c>
      <c r="B27" s="1">
        <v>45726</v>
      </c>
      <c r="C27" t="s">
        <v>7600</v>
      </c>
      <c r="D27" t="s">
        <v>6314</v>
      </c>
      <c r="E27" t="s">
        <v>10006</v>
      </c>
      <c r="F27" t="s">
        <v>8402</v>
      </c>
      <c r="H27" t="s">
        <v>6315</v>
      </c>
      <c r="J27">
        <v>2326140</v>
      </c>
      <c r="L27" t="s">
        <v>6803</v>
      </c>
    </row>
    <row r="28" spans="1:12" x14ac:dyDescent="0.35">
      <c r="A28" t="s">
        <v>26</v>
      </c>
      <c r="B28" s="1">
        <v>45726</v>
      </c>
      <c r="C28" t="s">
        <v>7600</v>
      </c>
      <c r="D28" t="s">
        <v>6314</v>
      </c>
      <c r="E28" t="s">
        <v>10006</v>
      </c>
      <c r="F28" t="s">
        <v>9923</v>
      </c>
      <c r="G28" t="s">
        <v>10005</v>
      </c>
      <c r="H28" t="s">
        <v>6315</v>
      </c>
      <c r="K28">
        <v>15249140</v>
      </c>
      <c r="L28" t="s">
        <v>6803</v>
      </c>
    </row>
    <row r="29" spans="1:12" x14ac:dyDescent="0.35">
      <c r="A29" t="s">
        <v>26</v>
      </c>
      <c r="B29" s="1">
        <v>45726</v>
      </c>
      <c r="C29" t="s">
        <v>7493</v>
      </c>
      <c r="D29" t="s">
        <v>6316</v>
      </c>
      <c r="E29" t="s">
        <v>6317</v>
      </c>
      <c r="F29" t="s">
        <v>6804</v>
      </c>
      <c r="G29" t="s">
        <v>7444</v>
      </c>
      <c r="H29" t="s">
        <v>6318</v>
      </c>
      <c r="I29" s="1">
        <v>45726</v>
      </c>
      <c r="K29">
        <v>2950000</v>
      </c>
      <c r="L29" t="s">
        <v>6803</v>
      </c>
    </row>
    <row r="30" spans="1:12" x14ac:dyDescent="0.35">
      <c r="A30" t="s">
        <v>26</v>
      </c>
      <c r="B30" s="1">
        <v>45726</v>
      </c>
      <c r="C30" t="s">
        <v>7493</v>
      </c>
      <c r="D30" t="s">
        <v>6316</v>
      </c>
      <c r="E30" t="s">
        <v>6317</v>
      </c>
      <c r="F30" t="s">
        <v>6819</v>
      </c>
      <c r="H30" t="s">
        <v>6318</v>
      </c>
      <c r="J30">
        <v>450000</v>
      </c>
      <c r="L30" t="s">
        <v>6803</v>
      </c>
    </row>
    <row r="31" spans="1:12" x14ac:dyDescent="0.35">
      <c r="A31" t="s">
        <v>26</v>
      </c>
      <c r="B31" s="1">
        <v>45726</v>
      </c>
      <c r="C31" t="s">
        <v>7493</v>
      </c>
      <c r="D31" t="s">
        <v>6316</v>
      </c>
      <c r="E31" t="s">
        <v>6317</v>
      </c>
      <c r="F31" t="s">
        <v>7355</v>
      </c>
      <c r="H31" t="s">
        <v>6318</v>
      </c>
      <c r="J31">
        <v>2500000</v>
      </c>
      <c r="L31" t="s">
        <v>5927</v>
      </c>
    </row>
    <row r="32" spans="1:12" x14ac:dyDescent="0.35">
      <c r="A32" t="s">
        <v>26</v>
      </c>
      <c r="B32" s="1">
        <v>45735</v>
      </c>
      <c r="C32" t="s">
        <v>7596</v>
      </c>
      <c r="D32" t="s">
        <v>6319</v>
      </c>
      <c r="E32" t="s">
        <v>10007</v>
      </c>
      <c r="F32" t="s">
        <v>6804</v>
      </c>
      <c r="G32" t="s">
        <v>7624</v>
      </c>
      <c r="H32" t="s">
        <v>6320</v>
      </c>
      <c r="I32" s="1">
        <v>45735</v>
      </c>
      <c r="K32">
        <v>65000</v>
      </c>
      <c r="L32" t="s">
        <v>6803</v>
      </c>
    </row>
    <row r="33" spans="1:12" x14ac:dyDescent="0.35">
      <c r="A33" t="s">
        <v>26</v>
      </c>
      <c r="B33" s="1">
        <v>45735</v>
      </c>
      <c r="C33" t="s">
        <v>7596</v>
      </c>
      <c r="D33" t="s">
        <v>6319</v>
      </c>
      <c r="E33" t="s">
        <v>10007</v>
      </c>
      <c r="F33" t="s">
        <v>7615</v>
      </c>
      <c r="H33" t="s">
        <v>6320</v>
      </c>
      <c r="J33">
        <v>65000</v>
      </c>
      <c r="L33" t="s">
        <v>5927</v>
      </c>
    </row>
    <row r="34" spans="1:12" x14ac:dyDescent="0.35">
      <c r="A34" t="s">
        <v>26</v>
      </c>
      <c r="B34" s="1">
        <v>45737</v>
      </c>
      <c r="C34" t="s">
        <v>7598</v>
      </c>
      <c r="D34" t="s">
        <v>6321</v>
      </c>
      <c r="E34" t="s">
        <v>10008</v>
      </c>
      <c r="F34" t="s">
        <v>6804</v>
      </c>
      <c r="G34" t="s">
        <v>7624</v>
      </c>
      <c r="H34" t="s">
        <v>6320</v>
      </c>
      <c r="I34" s="1">
        <v>45737</v>
      </c>
      <c r="K34">
        <v>65000</v>
      </c>
      <c r="L34" t="s">
        <v>6803</v>
      </c>
    </row>
    <row r="35" spans="1:12" x14ac:dyDescent="0.35">
      <c r="A35" t="s">
        <v>26</v>
      </c>
      <c r="B35" s="1">
        <v>45737</v>
      </c>
      <c r="C35" t="s">
        <v>7598</v>
      </c>
      <c r="D35" t="s">
        <v>6321</v>
      </c>
      <c r="E35" t="s">
        <v>10008</v>
      </c>
      <c r="F35" t="s">
        <v>7615</v>
      </c>
      <c r="H35" t="s">
        <v>6320</v>
      </c>
      <c r="J35">
        <v>65000</v>
      </c>
      <c r="L35" t="s">
        <v>5927</v>
      </c>
    </row>
    <row r="36" spans="1:12" x14ac:dyDescent="0.35">
      <c r="A36" t="s">
        <v>26</v>
      </c>
      <c r="B36" s="1">
        <v>45737</v>
      </c>
      <c r="C36" t="s">
        <v>7601</v>
      </c>
      <c r="D36" t="s">
        <v>6322</v>
      </c>
      <c r="E36" t="s">
        <v>10009</v>
      </c>
      <c r="F36" t="s">
        <v>6804</v>
      </c>
      <c r="G36" t="s">
        <v>7624</v>
      </c>
      <c r="H36" t="s">
        <v>6320</v>
      </c>
      <c r="I36" s="1">
        <v>45737</v>
      </c>
      <c r="K36">
        <v>130000</v>
      </c>
      <c r="L36" t="s">
        <v>6803</v>
      </c>
    </row>
    <row r="37" spans="1:12" x14ac:dyDescent="0.35">
      <c r="A37" t="s">
        <v>26</v>
      </c>
      <c r="B37" s="1">
        <v>45737</v>
      </c>
      <c r="C37" t="s">
        <v>7601</v>
      </c>
      <c r="D37" t="s">
        <v>6322</v>
      </c>
      <c r="E37" t="s">
        <v>10009</v>
      </c>
      <c r="F37" t="s">
        <v>7615</v>
      </c>
      <c r="H37" t="s">
        <v>6320</v>
      </c>
      <c r="J37">
        <v>130000</v>
      </c>
      <c r="L37" t="s">
        <v>5927</v>
      </c>
    </row>
    <row r="38" spans="1:12" x14ac:dyDescent="0.35">
      <c r="A38" t="s">
        <v>26</v>
      </c>
      <c r="B38" s="1">
        <v>45740</v>
      </c>
      <c r="C38" t="s">
        <v>7603</v>
      </c>
      <c r="D38" t="s">
        <v>6323</v>
      </c>
      <c r="E38" t="s">
        <v>10010</v>
      </c>
      <c r="F38" t="s">
        <v>10000</v>
      </c>
      <c r="H38" t="s">
        <v>6324</v>
      </c>
      <c r="J38">
        <v>1049598</v>
      </c>
      <c r="L38" t="s">
        <v>6803</v>
      </c>
    </row>
    <row r="39" spans="1:12" x14ac:dyDescent="0.35">
      <c r="A39" t="s">
        <v>26</v>
      </c>
      <c r="B39" s="1">
        <v>45740</v>
      </c>
      <c r="C39" t="s">
        <v>7603</v>
      </c>
      <c r="D39" t="s">
        <v>6323</v>
      </c>
      <c r="E39" t="s">
        <v>10010</v>
      </c>
      <c r="F39" t="s">
        <v>8402</v>
      </c>
      <c r="H39" t="s">
        <v>6324</v>
      </c>
      <c r="J39">
        <v>188929</v>
      </c>
      <c r="L39" t="s">
        <v>6803</v>
      </c>
    </row>
    <row r="40" spans="1:12" x14ac:dyDescent="0.35">
      <c r="A40" t="s">
        <v>26</v>
      </c>
      <c r="B40" s="1">
        <v>45740</v>
      </c>
      <c r="C40" t="s">
        <v>7603</v>
      </c>
      <c r="D40" t="s">
        <v>6323</v>
      </c>
      <c r="E40" t="s">
        <v>10010</v>
      </c>
      <c r="F40" t="s">
        <v>9923</v>
      </c>
      <c r="G40" t="s">
        <v>7097</v>
      </c>
      <c r="H40" t="s">
        <v>6324</v>
      </c>
      <c r="K40">
        <v>1238527</v>
      </c>
      <c r="L40" t="s">
        <v>6803</v>
      </c>
    </row>
    <row r="41" spans="1:12" x14ac:dyDescent="0.35">
      <c r="A41" t="s">
        <v>26</v>
      </c>
      <c r="B41" s="1">
        <v>45740</v>
      </c>
      <c r="C41" t="s">
        <v>7549</v>
      </c>
      <c r="D41" t="s">
        <v>6325</v>
      </c>
      <c r="E41" t="s">
        <v>10011</v>
      </c>
      <c r="F41" t="s">
        <v>10000</v>
      </c>
      <c r="H41" t="s">
        <v>6324</v>
      </c>
      <c r="J41">
        <v>425159</v>
      </c>
      <c r="L41" t="s">
        <v>6803</v>
      </c>
    </row>
    <row r="42" spans="1:12" x14ac:dyDescent="0.35">
      <c r="A42" t="s">
        <v>26</v>
      </c>
      <c r="B42" s="1">
        <v>45740</v>
      </c>
      <c r="C42" t="s">
        <v>7549</v>
      </c>
      <c r="D42" t="s">
        <v>6325</v>
      </c>
      <c r="E42" t="s">
        <v>10011</v>
      </c>
      <c r="F42" t="s">
        <v>8402</v>
      </c>
      <c r="H42" t="s">
        <v>6324</v>
      </c>
      <c r="J42">
        <v>76529</v>
      </c>
      <c r="L42" t="s">
        <v>6803</v>
      </c>
    </row>
    <row r="43" spans="1:12" x14ac:dyDescent="0.35">
      <c r="A43" t="s">
        <v>26</v>
      </c>
      <c r="B43" s="1">
        <v>45740</v>
      </c>
      <c r="C43" t="s">
        <v>7549</v>
      </c>
      <c r="D43" t="s">
        <v>6325</v>
      </c>
      <c r="E43" t="s">
        <v>10011</v>
      </c>
      <c r="F43" t="s">
        <v>9923</v>
      </c>
      <c r="G43" t="s">
        <v>7097</v>
      </c>
      <c r="H43" t="s">
        <v>6324</v>
      </c>
      <c r="K43">
        <v>501688</v>
      </c>
      <c r="L43" t="s">
        <v>6803</v>
      </c>
    </row>
    <row r="44" spans="1:12" x14ac:dyDescent="0.35">
      <c r="A44" t="s">
        <v>26</v>
      </c>
      <c r="B44" s="1">
        <v>45740</v>
      </c>
      <c r="C44" t="s">
        <v>7486</v>
      </c>
      <c r="D44" t="s">
        <v>6326</v>
      </c>
      <c r="E44" t="s">
        <v>10012</v>
      </c>
      <c r="F44" t="s">
        <v>10000</v>
      </c>
      <c r="H44" t="s">
        <v>6324</v>
      </c>
      <c r="J44">
        <v>2983900</v>
      </c>
      <c r="L44" t="s">
        <v>6803</v>
      </c>
    </row>
    <row r="45" spans="1:12" x14ac:dyDescent="0.35">
      <c r="A45" t="s">
        <v>26</v>
      </c>
      <c r="B45" s="1">
        <v>45740</v>
      </c>
      <c r="C45" t="s">
        <v>7486</v>
      </c>
      <c r="D45" t="s">
        <v>6326</v>
      </c>
      <c r="E45" t="s">
        <v>10012</v>
      </c>
      <c r="F45" t="s">
        <v>8402</v>
      </c>
      <c r="H45" t="s">
        <v>6324</v>
      </c>
      <c r="J45">
        <v>537102</v>
      </c>
      <c r="L45" t="s">
        <v>6803</v>
      </c>
    </row>
    <row r="46" spans="1:12" x14ac:dyDescent="0.35">
      <c r="A46" t="s">
        <v>26</v>
      </c>
      <c r="B46" s="1">
        <v>45740</v>
      </c>
      <c r="C46" t="s">
        <v>7486</v>
      </c>
      <c r="D46" t="s">
        <v>6326</v>
      </c>
      <c r="E46" t="s">
        <v>10012</v>
      </c>
      <c r="F46" t="s">
        <v>9923</v>
      </c>
      <c r="G46" t="s">
        <v>7097</v>
      </c>
      <c r="H46" t="s">
        <v>6324</v>
      </c>
      <c r="K46">
        <v>3521002</v>
      </c>
      <c r="L46" t="s">
        <v>6803</v>
      </c>
    </row>
    <row r="47" spans="1:12" x14ac:dyDescent="0.35">
      <c r="A47" t="s">
        <v>26</v>
      </c>
      <c r="B47" s="1">
        <v>45747</v>
      </c>
      <c r="C47" t="s">
        <v>7491</v>
      </c>
      <c r="D47" t="s">
        <v>6327</v>
      </c>
      <c r="E47" t="s">
        <v>10013</v>
      </c>
      <c r="F47" t="s">
        <v>6804</v>
      </c>
      <c r="G47" t="s">
        <v>7624</v>
      </c>
      <c r="H47" t="s">
        <v>6328</v>
      </c>
      <c r="I47" s="1">
        <v>45747</v>
      </c>
      <c r="K47">
        <v>130000</v>
      </c>
      <c r="L47" t="s">
        <v>6803</v>
      </c>
    </row>
    <row r="48" spans="1:12" x14ac:dyDescent="0.35">
      <c r="A48" t="s">
        <v>26</v>
      </c>
      <c r="B48" s="1">
        <v>45747</v>
      </c>
      <c r="C48" t="s">
        <v>7491</v>
      </c>
      <c r="D48" t="s">
        <v>6327</v>
      </c>
      <c r="E48" t="s">
        <v>10013</v>
      </c>
      <c r="F48" t="s">
        <v>7615</v>
      </c>
      <c r="H48" t="s">
        <v>6328</v>
      </c>
      <c r="J48">
        <v>130000</v>
      </c>
      <c r="L48" t="s">
        <v>5927</v>
      </c>
    </row>
    <row r="49" spans="1:12" x14ac:dyDescent="0.35">
      <c r="A49" t="s">
        <v>6329</v>
      </c>
      <c r="B49" s="1">
        <v>45717</v>
      </c>
      <c r="C49" t="s">
        <v>7489</v>
      </c>
      <c r="F49" t="s">
        <v>10014</v>
      </c>
      <c r="H49" t="s">
        <v>6330</v>
      </c>
      <c r="K49">
        <v>25000000</v>
      </c>
      <c r="L49" t="s">
        <v>6803</v>
      </c>
    </row>
    <row r="50" spans="1:12" x14ac:dyDescent="0.35">
      <c r="A50" t="s">
        <v>6329</v>
      </c>
      <c r="B50" s="1">
        <v>45717</v>
      </c>
      <c r="C50" t="s">
        <v>7489</v>
      </c>
      <c r="F50" t="s">
        <v>10014</v>
      </c>
      <c r="H50" t="s">
        <v>6331</v>
      </c>
      <c r="K50">
        <v>25000000</v>
      </c>
      <c r="L50" t="s">
        <v>6803</v>
      </c>
    </row>
    <row r="51" spans="1:12" x14ac:dyDescent="0.35">
      <c r="A51" t="s">
        <v>6329</v>
      </c>
      <c r="B51" s="1">
        <v>45717</v>
      </c>
      <c r="C51" t="s">
        <v>7489</v>
      </c>
      <c r="F51" t="s">
        <v>10015</v>
      </c>
      <c r="H51" t="s">
        <v>6330</v>
      </c>
      <c r="J51">
        <v>25000000</v>
      </c>
      <c r="L51" t="s">
        <v>6803</v>
      </c>
    </row>
    <row r="52" spans="1:12" x14ac:dyDescent="0.35">
      <c r="A52" t="s">
        <v>6329</v>
      </c>
      <c r="B52" s="1">
        <v>45717</v>
      </c>
      <c r="C52" t="s">
        <v>7489</v>
      </c>
      <c r="F52" t="s">
        <v>10015</v>
      </c>
      <c r="H52" t="s">
        <v>6331</v>
      </c>
      <c r="J52">
        <v>25000000</v>
      </c>
      <c r="L52" t="s">
        <v>6803</v>
      </c>
    </row>
    <row r="53" spans="1:12" x14ac:dyDescent="0.35">
      <c r="A53" t="s">
        <v>6329</v>
      </c>
      <c r="B53" s="1">
        <v>45731</v>
      </c>
      <c r="C53" t="s">
        <v>7483</v>
      </c>
      <c r="F53" t="s">
        <v>7338</v>
      </c>
      <c r="H53" t="s">
        <v>6332</v>
      </c>
      <c r="K53">
        <v>29014644</v>
      </c>
      <c r="L53" t="s">
        <v>6803</v>
      </c>
    </row>
    <row r="54" spans="1:12" x14ac:dyDescent="0.35">
      <c r="A54" t="s">
        <v>6329</v>
      </c>
      <c r="B54" s="1">
        <v>45731</v>
      </c>
      <c r="C54" t="s">
        <v>7483</v>
      </c>
      <c r="F54" t="s">
        <v>7834</v>
      </c>
      <c r="H54" t="s">
        <v>6332</v>
      </c>
      <c r="J54">
        <v>29014644</v>
      </c>
      <c r="L54" t="s">
        <v>5927</v>
      </c>
    </row>
    <row r="55" spans="1:12" x14ac:dyDescent="0.35">
      <c r="A55" t="s">
        <v>6329</v>
      </c>
      <c r="B55" s="1">
        <v>45731</v>
      </c>
      <c r="C55" t="s">
        <v>7593</v>
      </c>
      <c r="F55" t="s">
        <v>7338</v>
      </c>
      <c r="H55" t="s">
        <v>6333</v>
      </c>
      <c r="K55">
        <v>16371659</v>
      </c>
      <c r="L55" t="s">
        <v>6803</v>
      </c>
    </row>
    <row r="56" spans="1:12" x14ac:dyDescent="0.35">
      <c r="A56" t="s">
        <v>6329</v>
      </c>
      <c r="B56" s="1">
        <v>45731</v>
      </c>
      <c r="C56" t="s">
        <v>7593</v>
      </c>
      <c r="F56" t="s">
        <v>7834</v>
      </c>
      <c r="H56" t="s">
        <v>6333</v>
      </c>
      <c r="J56">
        <v>16371659</v>
      </c>
      <c r="L56" t="s">
        <v>5927</v>
      </c>
    </row>
    <row r="57" spans="1:12" x14ac:dyDescent="0.35">
      <c r="A57" t="s">
        <v>6329</v>
      </c>
      <c r="B57" s="1">
        <v>45734</v>
      </c>
      <c r="C57" t="s">
        <v>7493</v>
      </c>
      <c r="F57" t="s">
        <v>7865</v>
      </c>
      <c r="H57" t="s">
        <v>6334</v>
      </c>
      <c r="J57">
        <v>146200</v>
      </c>
      <c r="L57" t="s">
        <v>6803</v>
      </c>
    </row>
    <row r="58" spans="1:12" x14ac:dyDescent="0.35">
      <c r="A58" t="s">
        <v>6329</v>
      </c>
      <c r="B58" s="1">
        <v>45734</v>
      </c>
      <c r="C58" t="s">
        <v>7493</v>
      </c>
      <c r="F58" t="s">
        <v>10015</v>
      </c>
      <c r="H58" t="s">
        <v>6334</v>
      </c>
      <c r="K58">
        <v>146200</v>
      </c>
      <c r="L58" t="s">
        <v>6803</v>
      </c>
    </row>
    <row r="59" spans="1:12" x14ac:dyDescent="0.35">
      <c r="A59" t="s">
        <v>6329</v>
      </c>
      <c r="B59" s="1">
        <v>45742</v>
      </c>
      <c r="C59" t="s">
        <v>7559</v>
      </c>
      <c r="F59" t="s">
        <v>10015</v>
      </c>
      <c r="H59" t="s">
        <v>58</v>
      </c>
      <c r="K59">
        <v>31900</v>
      </c>
      <c r="L59" t="s">
        <v>6803</v>
      </c>
    </row>
    <row r="60" spans="1:12" x14ac:dyDescent="0.35">
      <c r="A60" t="s">
        <v>6329</v>
      </c>
      <c r="B60" s="1">
        <v>45742</v>
      </c>
      <c r="C60" t="s">
        <v>7559</v>
      </c>
      <c r="F60" t="s">
        <v>7828</v>
      </c>
      <c r="H60" t="s">
        <v>58</v>
      </c>
      <c r="J60">
        <v>31900</v>
      </c>
      <c r="L60" t="s">
        <v>5974</v>
      </c>
    </row>
    <row r="61" spans="1:12" x14ac:dyDescent="0.35">
      <c r="A61" t="s">
        <v>6329</v>
      </c>
      <c r="B61" s="1">
        <v>45747</v>
      </c>
      <c r="C61" t="s">
        <v>7485</v>
      </c>
      <c r="F61" t="s">
        <v>10014</v>
      </c>
      <c r="H61" t="s">
        <v>6335</v>
      </c>
      <c r="J61">
        <v>25000000</v>
      </c>
      <c r="L61" t="s">
        <v>6803</v>
      </c>
    </row>
    <row r="62" spans="1:12" x14ac:dyDescent="0.35">
      <c r="A62" t="s">
        <v>6329</v>
      </c>
      <c r="B62" s="1">
        <v>45747</v>
      </c>
      <c r="C62" t="s">
        <v>7485</v>
      </c>
      <c r="F62" t="s">
        <v>10015</v>
      </c>
      <c r="H62" t="s">
        <v>6335</v>
      </c>
      <c r="K62">
        <v>25000000</v>
      </c>
      <c r="L62" t="s">
        <v>6803</v>
      </c>
    </row>
    <row r="63" spans="1:12" x14ac:dyDescent="0.35">
      <c r="A63" t="s">
        <v>6329</v>
      </c>
      <c r="B63" s="1">
        <v>45747</v>
      </c>
      <c r="C63" t="s">
        <v>7491</v>
      </c>
      <c r="F63" t="s">
        <v>10014</v>
      </c>
      <c r="H63" t="s">
        <v>6336</v>
      </c>
      <c r="K63">
        <v>25000000</v>
      </c>
      <c r="L63" t="s">
        <v>6803</v>
      </c>
    </row>
    <row r="64" spans="1:12" x14ac:dyDescent="0.35">
      <c r="A64" t="s">
        <v>6329</v>
      </c>
      <c r="B64" s="1">
        <v>45747</v>
      </c>
      <c r="C64" t="s">
        <v>7491</v>
      </c>
      <c r="F64" t="s">
        <v>10015</v>
      </c>
      <c r="H64" t="s">
        <v>6336</v>
      </c>
      <c r="J64">
        <v>25000000</v>
      </c>
      <c r="L64" t="s">
        <v>6803</v>
      </c>
    </row>
    <row r="65" spans="1:12" x14ac:dyDescent="0.35">
      <c r="A65" t="s">
        <v>6329</v>
      </c>
      <c r="B65" s="1">
        <v>45747</v>
      </c>
      <c r="C65" t="s">
        <v>7551</v>
      </c>
      <c r="F65" t="s">
        <v>10014</v>
      </c>
      <c r="H65" t="s">
        <v>6337</v>
      </c>
      <c r="J65">
        <v>43169525</v>
      </c>
      <c r="L65" t="s">
        <v>6803</v>
      </c>
    </row>
    <row r="66" spans="1:12" x14ac:dyDescent="0.35">
      <c r="A66" t="s">
        <v>6329</v>
      </c>
      <c r="B66" s="1">
        <v>45747</v>
      </c>
      <c r="C66" t="s">
        <v>7551</v>
      </c>
      <c r="F66" t="s">
        <v>10015</v>
      </c>
      <c r="H66" t="s">
        <v>6337</v>
      </c>
      <c r="K66">
        <v>43169525</v>
      </c>
      <c r="L66" t="s">
        <v>6803</v>
      </c>
    </row>
    <row r="67" spans="1:12" x14ac:dyDescent="0.35">
      <c r="A67" t="s">
        <v>6329</v>
      </c>
      <c r="B67" s="1">
        <v>45747</v>
      </c>
      <c r="C67" t="s">
        <v>7561</v>
      </c>
      <c r="F67" t="s">
        <v>10015</v>
      </c>
      <c r="H67" t="s">
        <v>6255</v>
      </c>
      <c r="K67">
        <v>24200</v>
      </c>
      <c r="L67" t="s">
        <v>6803</v>
      </c>
    </row>
    <row r="68" spans="1:12" x14ac:dyDescent="0.35">
      <c r="A68" t="s">
        <v>6329</v>
      </c>
      <c r="B68" s="1">
        <v>45747</v>
      </c>
      <c r="C68" t="s">
        <v>7561</v>
      </c>
      <c r="F68" t="s">
        <v>7424</v>
      </c>
      <c r="H68" t="s">
        <v>6255</v>
      </c>
      <c r="J68">
        <v>24200</v>
      </c>
      <c r="L68" t="s">
        <v>5974</v>
      </c>
    </row>
    <row r="69" spans="1:12" x14ac:dyDescent="0.35">
      <c r="A69" t="s">
        <v>75</v>
      </c>
      <c r="B69" s="1">
        <v>45727</v>
      </c>
      <c r="C69" t="s">
        <v>7483</v>
      </c>
      <c r="D69" t="s">
        <v>6338</v>
      </c>
      <c r="E69" t="s">
        <v>6339</v>
      </c>
      <c r="F69" t="s">
        <v>10016</v>
      </c>
      <c r="H69" t="s">
        <v>6340</v>
      </c>
      <c r="K69">
        <v>1500000</v>
      </c>
      <c r="L69" t="s">
        <v>6803</v>
      </c>
    </row>
    <row r="70" spans="1:12" x14ac:dyDescent="0.35">
      <c r="A70" t="s">
        <v>75</v>
      </c>
      <c r="B70" s="1">
        <v>45727</v>
      </c>
      <c r="C70" t="s">
        <v>7483</v>
      </c>
      <c r="D70" t="s">
        <v>6338</v>
      </c>
      <c r="E70" t="s">
        <v>6339</v>
      </c>
      <c r="F70" t="s">
        <v>8141</v>
      </c>
      <c r="H70" t="s">
        <v>6340</v>
      </c>
      <c r="J70">
        <v>1500000</v>
      </c>
      <c r="L70" t="s">
        <v>5927</v>
      </c>
    </row>
    <row r="71" spans="1:12" x14ac:dyDescent="0.35">
      <c r="A71" t="s">
        <v>75</v>
      </c>
      <c r="B71" s="1">
        <v>45727</v>
      </c>
      <c r="C71" t="s">
        <v>7485</v>
      </c>
      <c r="F71" t="s">
        <v>6804</v>
      </c>
      <c r="G71" t="s">
        <v>7624</v>
      </c>
      <c r="H71" t="s">
        <v>6341</v>
      </c>
      <c r="I71" s="1">
        <v>45727</v>
      </c>
      <c r="J71">
        <v>130000</v>
      </c>
      <c r="L71" t="s">
        <v>6803</v>
      </c>
    </row>
    <row r="72" spans="1:12" x14ac:dyDescent="0.35">
      <c r="A72" t="s">
        <v>75</v>
      </c>
      <c r="B72" s="1">
        <v>45727</v>
      </c>
      <c r="C72" t="s">
        <v>7485</v>
      </c>
      <c r="F72" t="s">
        <v>7865</v>
      </c>
      <c r="H72" t="s">
        <v>6341</v>
      </c>
      <c r="K72">
        <v>2600</v>
      </c>
      <c r="L72" t="s">
        <v>6803</v>
      </c>
    </row>
    <row r="73" spans="1:12" x14ac:dyDescent="0.35">
      <c r="A73" t="s">
        <v>75</v>
      </c>
      <c r="B73" s="1">
        <v>45727</v>
      </c>
      <c r="C73" t="s">
        <v>7485</v>
      </c>
      <c r="F73" t="s">
        <v>10016</v>
      </c>
      <c r="H73" t="s">
        <v>6341</v>
      </c>
      <c r="K73">
        <v>127400</v>
      </c>
      <c r="L73" t="s">
        <v>6803</v>
      </c>
    </row>
    <row r="74" spans="1:12" x14ac:dyDescent="0.35">
      <c r="A74" t="s">
        <v>75</v>
      </c>
      <c r="B74" s="1">
        <v>45727</v>
      </c>
      <c r="C74" t="s">
        <v>7593</v>
      </c>
      <c r="F74" t="s">
        <v>6804</v>
      </c>
      <c r="G74" t="s">
        <v>7624</v>
      </c>
      <c r="H74" t="s">
        <v>6341</v>
      </c>
      <c r="I74" s="1">
        <v>45727</v>
      </c>
      <c r="J74">
        <v>65000</v>
      </c>
      <c r="L74" t="s">
        <v>6803</v>
      </c>
    </row>
    <row r="75" spans="1:12" x14ac:dyDescent="0.35">
      <c r="A75" t="s">
        <v>75</v>
      </c>
      <c r="B75" s="1">
        <v>45727</v>
      </c>
      <c r="C75" t="s">
        <v>7593</v>
      </c>
      <c r="F75" t="s">
        <v>7865</v>
      </c>
      <c r="H75" t="s">
        <v>6341</v>
      </c>
      <c r="K75">
        <v>1300</v>
      </c>
      <c r="L75" t="s">
        <v>6803</v>
      </c>
    </row>
    <row r="76" spans="1:12" x14ac:dyDescent="0.35">
      <c r="A76" t="s">
        <v>75</v>
      </c>
      <c r="B76" s="1">
        <v>45727</v>
      </c>
      <c r="C76" t="s">
        <v>7593</v>
      </c>
      <c r="F76" t="s">
        <v>10016</v>
      </c>
      <c r="H76" t="s">
        <v>6341</v>
      </c>
      <c r="K76">
        <v>63700</v>
      </c>
      <c r="L76" t="s">
        <v>6803</v>
      </c>
    </row>
    <row r="77" spans="1:12" x14ac:dyDescent="0.35">
      <c r="A77" t="s">
        <v>75</v>
      </c>
      <c r="B77" s="1">
        <v>45742</v>
      </c>
      <c r="C77" t="s">
        <v>7596</v>
      </c>
      <c r="F77" t="s">
        <v>10016</v>
      </c>
      <c r="H77" t="s">
        <v>6342</v>
      </c>
      <c r="K77">
        <v>18900</v>
      </c>
      <c r="L77" t="s">
        <v>6803</v>
      </c>
    </row>
    <row r="78" spans="1:12" x14ac:dyDescent="0.35">
      <c r="A78" t="s">
        <v>75</v>
      </c>
      <c r="B78" s="1">
        <v>45742</v>
      </c>
      <c r="C78" t="s">
        <v>7596</v>
      </c>
      <c r="F78" t="s">
        <v>7681</v>
      </c>
      <c r="H78" t="s">
        <v>6342</v>
      </c>
      <c r="J78">
        <v>18900</v>
      </c>
      <c r="L78" t="s">
        <v>5927</v>
      </c>
    </row>
    <row r="79" spans="1:12" x14ac:dyDescent="0.35">
      <c r="A79" t="s">
        <v>101</v>
      </c>
      <c r="B79" s="1">
        <v>45717</v>
      </c>
      <c r="C79" t="s">
        <v>7566</v>
      </c>
      <c r="F79" t="s">
        <v>8415</v>
      </c>
      <c r="H79" t="s">
        <v>6343</v>
      </c>
      <c r="I79" s="1">
        <v>45657</v>
      </c>
      <c r="J79">
        <v>2500000</v>
      </c>
      <c r="L79" t="s">
        <v>6803</v>
      </c>
    </row>
    <row r="80" spans="1:12" x14ac:dyDescent="0.35">
      <c r="A80" t="s">
        <v>101</v>
      </c>
      <c r="B80" s="1">
        <v>45717</v>
      </c>
      <c r="C80" t="s">
        <v>7566</v>
      </c>
      <c r="F80" t="s">
        <v>7355</v>
      </c>
      <c r="H80" t="s">
        <v>6343</v>
      </c>
      <c r="K80">
        <v>2500000</v>
      </c>
      <c r="L80" t="s">
        <v>5927</v>
      </c>
    </row>
    <row r="81" spans="1:12" x14ac:dyDescent="0.35">
      <c r="A81" t="s">
        <v>101</v>
      </c>
      <c r="B81" s="1">
        <v>45717</v>
      </c>
      <c r="C81" t="s">
        <v>7573</v>
      </c>
      <c r="F81" t="s">
        <v>10014</v>
      </c>
      <c r="H81" t="s">
        <v>6344</v>
      </c>
      <c r="K81">
        <v>86339050</v>
      </c>
      <c r="L81" t="s">
        <v>6803</v>
      </c>
    </row>
    <row r="82" spans="1:12" x14ac:dyDescent="0.35">
      <c r="A82" t="s">
        <v>101</v>
      </c>
      <c r="B82" s="1">
        <v>45717</v>
      </c>
      <c r="C82" t="s">
        <v>7573</v>
      </c>
      <c r="F82" t="s">
        <v>7338</v>
      </c>
      <c r="H82" t="s">
        <v>6344</v>
      </c>
      <c r="J82">
        <v>86339050</v>
      </c>
      <c r="L82" t="s">
        <v>6803</v>
      </c>
    </row>
    <row r="83" spans="1:12" x14ac:dyDescent="0.35">
      <c r="A83" t="s">
        <v>101</v>
      </c>
      <c r="B83" s="1">
        <v>45717</v>
      </c>
      <c r="C83" t="s">
        <v>7576</v>
      </c>
      <c r="F83" t="s">
        <v>8422</v>
      </c>
      <c r="G83" t="s">
        <v>7831</v>
      </c>
      <c r="H83" t="s">
        <v>6345</v>
      </c>
      <c r="I83" s="1">
        <v>45716</v>
      </c>
      <c r="K83">
        <v>-150239216</v>
      </c>
      <c r="L83" t="s">
        <v>6803</v>
      </c>
    </row>
    <row r="84" spans="1:12" x14ac:dyDescent="0.35">
      <c r="A84" t="s">
        <v>101</v>
      </c>
      <c r="B84" s="1">
        <v>45717</v>
      </c>
      <c r="C84" t="s">
        <v>7576</v>
      </c>
      <c r="F84" t="s">
        <v>8425</v>
      </c>
      <c r="H84" t="s">
        <v>6345</v>
      </c>
      <c r="J84">
        <v>-150239216</v>
      </c>
      <c r="L84" t="s">
        <v>5978</v>
      </c>
    </row>
    <row r="85" spans="1:12" x14ac:dyDescent="0.35">
      <c r="A85" t="s">
        <v>101</v>
      </c>
      <c r="B85" s="1">
        <v>45747</v>
      </c>
      <c r="C85" t="s">
        <v>7569</v>
      </c>
      <c r="F85" t="s">
        <v>9984</v>
      </c>
      <c r="H85" t="s">
        <v>120</v>
      </c>
      <c r="K85">
        <v>793377786</v>
      </c>
      <c r="L85" t="s">
        <v>6803</v>
      </c>
    </row>
    <row r="86" spans="1:12" x14ac:dyDescent="0.35">
      <c r="A86" t="s">
        <v>101</v>
      </c>
      <c r="B86" s="1">
        <v>45747</v>
      </c>
      <c r="C86" t="s">
        <v>7569</v>
      </c>
      <c r="F86" t="s">
        <v>9984</v>
      </c>
      <c r="H86" t="s">
        <v>120</v>
      </c>
      <c r="J86">
        <v>802285847</v>
      </c>
      <c r="L86" t="s">
        <v>6803</v>
      </c>
    </row>
    <row r="87" spans="1:12" x14ac:dyDescent="0.35">
      <c r="A87" t="s">
        <v>101</v>
      </c>
      <c r="B87" s="1">
        <v>45747</v>
      </c>
      <c r="C87" t="s">
        <v>7569</v>
      </c>
      <c r="F87" t="s">
        <v>8402</v>
      </c>
      <c r="H87" t="s">
        <v>120</v>
      </c>
      <c r="K87">
        <v>8441220</v>
      </c>
      <c r="L87" t="s">
        <v>6803</v>
      </c>
    </row>
    <row r="88" spans="1:12" x14ac:dyDescent="0.35">
      <c r="A88" t="s">
        <v>101</v>
      </c>
      <c r="B88" s="1">
        <v>45747</v>
      </c>
      <c r="C88" t="s">
        <v>7569</v>
      </c>
      <c r="F88" t="s">
        <v>6819</v>
      </c>
      <c r="H88" t="s">
        <v>120</v>
      </c>
      <c r="K88">
        <v>466841</v>
      </c>
      <c r="L88" t="s">
        <v>6803</v>
      </c>
    </row>
    <row r="89" spans="1:12" x14ac:dyDescent="0.35">
      <c r="A89" t="s">
        <v>101</v>
      </c>
      <c r="B89" s="1">
        <v>45747</v>
      </c>
      <c r="C89" t="s">
        <v>7570</v>
      </c>
      <c r="F89" t="s">
        <v>7338</v>
      </c>
      <c r="H89" t="s">
        <v>6346</v>
      </c>
      <c r="K89">
        <v>8431000</v>
      </c>
      <c r="L89" t="s">
        <v>6803</v>
      </c>
    </row>
    <row r="90" spans="1:12" x14ac:dyDescent="0.35">
      <c r="A90" t="s">
        <v>101</v>
      </c>
      <c r="B90" s="1">
        <v>45747</v>
      </c>
      <c r="C90" t="s">
        <v>7570</v>
      </c>
      <c r="E90" t="s">
        <v>6347</v>
      </c>
      <c r="F90" t="s">
        <v>8494</v>
      </c>
      <c r="H90" t="s">
        <v>6346</v>
      </c>
      <c r="J90">
        <v>8431000</v>
      </c>
      <c r="L90" t="s">
        <v>5927</v>
      </c>
    </row>
    <row r="91" spans="1:12" x14ac:dyDescent="0.35">
      <c r="A91" t="s">
        <v>101</v>
      </c>
      <c r="B91" s="1">
        <v>45747</v>
      </c>
      <c r="C91" t="s">
        <v>7575</v>
      </c>
      <c r="E91" t="s">
        <v>116</v>
      </c>
      <c r="F91" t="s">
        <v>10017</v>
      </c>
      <c r="H91" t="s">
        <v>6348</v>
      </c>
      <c r="K91">
        <v>612603</v>
      </c>
      <c r="L91" t="s">
        <v>6803</v>
      </c>
    </row>
    <row r="92" spans="1:12" x14ac:dyDescent="0.35">
      <c r="A92" t="s">
        <v>101</v>
      </c>
      <c r="B92" s="1">
        <v>45747</v>
      </c>
      <c r="C92" t="s">
        <v>7575</v>
      </c>
      <c r="E92" t="s">
        <v>116</v>
      </c>
      <c r="F92" t="s">
        <v>10018</v>
      </c>
      <c r="H92" t="s">
        <v>6349</v>
      </c>
      <c r="K92">
        <v>190247</v>
      </c>
      <c r="L92" t="s">
        <v>6803</v>
      </c>
    </row>
    <row r="93" spans="1:12" x14ac:dyDescent="0.35">
      <c r="A93" t="s">
        <v>101</v>
      </c>
      <c r="B93" s="1">
        <v>45747</v>
      </c>
      <c r="C93" t="s">
        <v>7575</v>
      </c>
      <c r="E93" t="s">
        <v>116</v>
      </c>
      <c r="F93" t="s">
        <v>10019</v>
      </c>
      <c r="H93" t="s">
        <v>6350</v>
      </c>
      <c r="K93">
        <v>108009</v>
      </c>
      <c r="L93" t="s">
        <v>6803</v>
      </c>
    </row>
    <row r="94" spans="1:12" x14ac:dyDescent="0.35">
      <c r="A94" t="s">
        <v>101</v>
      </c>
      <c r="B94" s="1">
        <v>45747</v>
      </c>
      <c r="C94" t="s">
        <v>7575</v>
      </c>
      <c r="E94" t="s">
        <v>116</v>
      </c>
      <c r="F94" t="s">
        <v>8485</v>
      </c>
      <c r="H94" t="s">
        <v>6351</v>
      </c>
      <c r="J94">
        <v>612603</v>
      </c>
      <c r="L94" t="s">
        <v>6001</v>
      </c>
    </row>
    <row r="95" spans="1:12" x14ac:dyDescent="0.35">
      <c r="A95" t="s">
        <v>101</v>
      </c>
      <c r="B95" s="1">
        <v>45747</v>
      </c>
      <c r="C95" t="s">
        <v>7575</v>
      </c>
      <c r="E95" t="s">
        <v>116</v>
      </c>
      <c r="F95" t="s">
        <v>8486</v>
      </c>
      <c r="H95" t="s">
        <v>6352</v>
      </c>
      <c r="J95">
        <v>298256</v>
      </c>
      <c r="L95" t="s">
        <v>6001</v>
      </c>
    </row>
    <row r="96" spans="1:12" x14ac:dyDescent="0.35">
      <c r="A96" t="s">
        <v>101</v>
      </c>
      <c r="B96" s="1">
        <v>45747</v>
      </c>
      <c r="C96" t="s">
        <v>7577</v>
      </c>
      <c r="F96" t="s">
        <v>8422</v>
      </c>
      <c r="G96" t="s">
        <v>7831</v>
      </c>
      <c r="H96" t="s">
        <v>6353</v>
      </c>
      <c r="I96" s="1">
        <v>45747</v>
      </c>
      <c r="J96">
        <v>-294581149</v>
      </c>
      <c r="L96" t="s">
        <v>6803</v>
      </c>
    </row>
    <row r="97" spans="1:12" x14ac:dyDescent="0.35">
      <c r="A97" t="s">
        <v>101</v>
      </c>
      <c r="B97" s="1">
        <v>45747</v>
      </c>
      <c r="C97" t="s">
        <v>7577</v>
      </c>
      <c r="F97" t="s">
        <v>8425</v>
      </c>
      <c r="H97" t="s">
        <v>6353</v>
      </c>
      <c r="K97">
        <v>-294581149</v>
      </c>
      <c r="L97" t="s">
        <v>5978</v>
      </c>
    </row>
    <row r="98" spans="1:12" x14ac:dyDescent="0.35">
      <c r="A98" t="s">
        <v>101</v>
      </c>
      <c r="B98" s="1">
        <v>45747</v>
      </c>
      <c r="C98" t="s">
        <v>7607</v>
      </c>
      <c r="F98" t="s">
        <v>8415</v>
      </c>
      <c r="G98" t="s">
        <v>7594</v>
      </c>
      <c r="H98" t="s">
        <v>6354</v>
      </c>
      <c r="I98" s="1">
        <v>45747</v>
      </c>
      <c r="K98">
        <v>2392330</v>
      </c>
      <c r="L98" t="s">
        <v>6803</v>
      </c>
    </row>
    <row r="99" spans="1:12" x14ac:dyDescent="0.35">
      <c r="A99" t="s">
        <v>101</v>
      </c>
      <c r="B99" s="1">
        <v>45747</v>
      </c>
      <c r="C99" t="s">
        <v>7607</v>
      </c>
      <c r="F99" t="s">
        <v>7595</v>
      </c>
      <c r="H99" t="s">
        <v>6354</v>
      </c>
      <c r="J99">
        <v>2392330</v>
      </c>
      <c r="L99" t="s">
        <v>5927</v>
      </c>
    </row>
    <row r="100" spans="1:12" x14ac:dyDescent="0.35">
      <c r="A100" t="s">
        <v>131</v>
      </c>
      <c r="B100" s="1">
        <v>45737</v>
      </c>
      <c r="C100" t="s">
        <v>7483</v>
      </c>
      <c r="D100" t="s">
        <v>10020</v>
      </c>
      <c r="E100" t="s">
        <v>10020</v>
      </c>
      <c r="F100" t="s">
        <v>7831</v>
      </c>
      <c r="G100" t="s">
        <v>6355</v>
      </c>
      <c r="H100" t="s">
        <v>6356</v>
      </c>
      <c r="I100" s="1">
        <v>45737</v>
      </c>
      <c r="J100">
        <v>178649286</v>
      </c>
      <c r="L100" t="s">
        <v>6803</v>
      </c>
    </row>
    <row r="101" spans="1:12" x14ac:dyDescent="0.35">
      <c r="A101" t="s">
        <v>131</v>
      </c>
      <c r="B101" s="1">
        <v>45737</v>
      </c>
      <c r="C101" t="s">
        <v>7483</v>
      </c>
      <c r="D101" t="s">
        <v>10020</v>
      </c>
      <c r="E101" t="s">
        <v>10020</v>
      </c>
      <c r="F101" t="s">
        <v>8419</v>
      </c>
      <c r="H101" t="s">
        <v>6356</v>
      </c>
      <c r="K101">
        <v>27251586</v>
      </c>
      <c r="L101" t="s">
        <v>6803</v>
      </c>
    </row>
    <row r="102" spans="1:12" x14ac:dyDescent="0.35">
      <c r="A102" t="s">
        <v>131</v>
      </c>
      <c r="B102" s="1">
        <v>45737</v>
      </c>
      <c r="C102" t="s">
        <v>7483</v>
      </c>
      <c r="D102" t="s">
        <v>10020</v>
      </c>
      <c r="E102" t="s">
        <v>10020</v>
      </c>
      <c r="F102" t="s">
        <v>8425</v>
      </c>
      <c r="H102" t="s">
        <v>6356</v>
      </c>
      <c r="K102">
        <v>151397700</v>
      </c>
      <c r="L102" t="s">
        <v>5978</v>
      </c>
    </row>
    <row r="103" spans="1:12" x14ac:dyDescent="0.35">
      <c r="A103" t="s">
        <v>131</v>
      </c>
      <c r="B103" s="1">
        <v>45737</v>
      </c>
      <c r="C103" t="s">
        <v>7485</v>
      </c>
      <c r="D103" t="s">
        <v>10021</v>
      </c>
      <c r="E103" t="s">
        <v>10021</v>
      </c>
      <c r="F103" t="s">
        <v>7831</v>
      </c>
      <c r="G103" t="s">
        <v>6357</v>
      </c>
      <c r="H103" t="s">
        <v>6358</v>
      </c>
      <c r="I103" s="1">
        <v>45737</v>
      </c>
      <c r="J103">
        <v>186115146</v>
      </c>
      <c r="L103" t="s">
        <v>6803</v>
      </c>
    </row>
    <row r="104" spans="1:12" x14ac:dyDescent="0.35">
      <c r="A104" t="s">
        <v>131</v>
      </c>
      <c r="B104" s="1">
        <v>45737</v>
      </c>
      <c r="C104" t="s">
        <v>7485</v>
      </c>
      <c r="D104" t="s">
        <v>10021</v>
      </c>
      <c r="E104" t="s">
        <v>10021</v>
      </c>
      <c r="F104" t="s">
        <v>8419</v>
      </c>
      <c r="H104" t="s">
        <v>6358</v>
      </c>
      <c r="K104">
        <v>28390446</v>
      </c>
      <c r="L104" t="s">
        <v>6803</v>
      </c>
    </row>
    <row r="105" spans="1:12" x14ac:dyDescent="0.35">
      <c r="A105" t="s">
        <v>131</v>
      </c>
      <c r="B105" s="1">
        <v>45737</v>
      </c>
      <c r="C105" t="s">
        <v>7485</v>
      </c>
      <c r="D105" t="s">
        <v>10021</v>
      </c>
      <c r="E105" t="s">
        <v>10021</v>
      </c>
      <c r="F105" t="s">
        <v>8425</v>
      </c>
      <c r="H105" t="s">
        <v>6358</v>
      </c>
      <c r="K105">
        <v>157724700</v>
      </c>
      <c r="L105" t="s">
        <v>5978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18CFC-5D98-42BC-A05E-CC5A2B6B21E9}">
  <dimension ref="A1:N105"/>
  <sheetViews>
    <sheetView workbookViewId="0">
      <selection sqref="A1:XFD1048576"/>
    </sheetView>
  </sheetViews>
  <sheetFormatPr baseColWidth="10" defaultRowHeight="14.5" x14ac:dyDescent="0.35"/>
  <cols>
    <col min="1" max="1" width="27.54296875" customWidth="1"/>
    <col min="2" max="2" width="19.453125" customWidth="1"/>
  </cols>
  <sheetData>
    <row r="1" spans="1:14" x14ac:dyDescent="0.35">
      <c r="A1" t="s">
        <v>6797</v>
      </c>
      <c r="B1" t="s">
        <v>0</v>
      </c>
      <c r="C1" t="s">
        <v>1</v>
      </c>
      <c r="D1" t="s">
        <v>2</v>
      </c>
      <c r="E1" t="s">
        <v>5</v>
      </c>
      <c r="F1" t="s">
        <v>7</v>
      </c>
      <c r="G1" t="s">
        <v>335</v>
      </c>
      <c r="H1" t="s">
        <v>336</v>
      </c>
      <c r="I1" t="s">
        <v>337</v>
      </c>
      <c r="J1" t="s">
        <v>338</v>
      </c>
      <c r="K1" t="s">
        <v>339</v>
      </c>
      <c r="L1" t="s">
        <v>340</v>
      </c>
      <c r="M1" t="s">
        <v>9</v>
      </c>
      <c r="N1" t="s">
        <v>10</v>
      </c>
    </row>
    <row r="2" spans="1:14" x14ac:dyDescent="0.35">
      <c r="A2" t="str">
        <f>CONCATENATE(B2,C2,D2,E2)</f>
        <v>ABN457172462510000</v>
      </c>
      <c r="B2" t="s">
        <v>11</v>
      </c>
      <c r="C2" s="1">
        <v>45717</v>
      </c>
      <c r="D2" s="1" t="str">
        <f>"24"</f>
        <v>24</v>
      </c>
      <c r="E2" t="str">
        <f>"62510000"</f>
        <v>62510000</v>
      </c>
      <c r="F2" t="s">
        <v>6298</v>
      </c>
      <c r="G2" t="s">
        <v>341</v>
      </c>
      <c r="H2" t="s">
        <v>5927</v>
      </c>
      <c r="I2">
        <v>0</v>
      </c>
      <c r="J2" t="s">
        <v>343</v>
      </c>
      <c r="K2">
        <v>1266747</v>
      </c>
      <c r="M2">
        <v>1266747</v>
      </c>
    </row>
    <row r="3" spans="1:14" x14ac:dyDescent="0.35">
      <c r="A3" t="str">
        <f t="shared" ref="A3:A27" si="0">CONCATENATE(B3,C3,D3,E3)</f>
        <v>ABN457172564110000</v>
      </c>
      <c r="B3" t="s">
        <v>11</v>
      </c>
      <c r="C3" s="1">
        <v>45717</v>
      </c>
      <c r="D3" s="1" t="str">
        <f>"25"</f>
        <v>25</v>
      </c>
      <c r="E3" t="str">
        <f>"64110000"</f>
        <v>64110000</v>
      </c>
      <c r="F3" t="s">
        <v>6299</v>
      </c>
      <c r="G3" t="s">
        <v>341</v>
      </c>
      <c r="H3" t="s">
        <v>6800</v>
      </c>
      <c r="I3">
        <v>0</v>
      </c>
      <c r="J3" t="s">
        <v>343</v>
      </c>
      <c r="K3">
        <v>30000000</v>
      </c>
      <c r="M3">
        <v>30000000</v>
      </c>
    </row>
    <row r="4" spans="1:14" x14ac:dyDescent="0.35">
      <c r="A4" t="str">
        <f t="shared" si="0"/>
        <v>ABN457172662220000</v>
      </c>
      <c r="B4" t="s">
        <v>11</v>
      </c>
      <c r="C4" s="1">
        <v>45717</v>
      </c>
      <c r="D4" s="1" t="str">
        <f>"26"</f>
        <v>26</v>
      </c>
      <c r="E4" t="str">
        <f>"62220000"</f>
        <v>62220000</v>
      </c>
      <c r="F4" t="s">
        <v>6301</v>
      </c>
      <c r="G4" t="s">
        <v>341</v>
      </c>
      <c r="H4" t="s">
        <v>6800</v>
      </c>
      <c r="I4">
        <v>0</v>
      </c>
      <c r="J4" t="s">
        <v>343</v>
      </c>
      <c r="K4">
        <v>19022538</v>
      </c>
      <c r="M4">
        <v>19022538</v>
      </c>
    </row>
    <row r="5" spans="1:14" x14ac:dyDescent="0.35">
      <c r="A5" t="str">
        <f t="shared" si="0"/>
        <v>ABN457172762510000</v>
      </c>
      <c r="B5" t="s">
        <v>11</v>
      </c>
      <c r="C5" s="1">
        <v>45717</v>
      </c>
      <c r="D5" s="1" t="str">
        <f>"27"</f>
        <v>27</v>
      </c>
      <c r="E5" t="str">
        <f>"62510000"</f>
        <v>62510000</v>
      </c>
      <c r="F5" t="s">
        <v>6302</v>
      </c>
      <c r="G5" t="s">
        <v>341</v>
      </c>
      <c r="H5" t="s">
        <v>5927</v>
      </c>
      <c r="I5">
        <v>0</v>
      </c>
      <c r="J5" t="s">
        <v>343</v>
      </c>
      <c r="K5">
        <v>457438</v>
      </c>
      <c r="M5">
        <v>457438</v>
      </c>
    </row>
    <row r="6" spans="1:14" x14ac:dyDescent="0.35">
      <c r="A6" t="str">
        <f t="shared" si="0"/>
        <v>ABN457182863240000</v>
      </c>
      <c r="B6" t="s">
        <v>11</v>
      </c>
      <c r="C6" s="1">
        <v>45718</v>
      </c>
      <c r="D6" s="1" t="str">
        <f>"28"</f>
        <v>28</v>
      </c>
      <c r="E6" t="str">
        <f>"63240000"</f>
        <v>63240000</v>
      </c>
      <c r="F6" t="s">
        <v>25</v>
      </c>
      <c r="G6" t="s">
        <v>341</v>
      </c>
      <c r="H6" t="s">
        <v>5927</v>
      </c>
      <c r="I6">
        <v>0</v>
      </c>
      <c r="J6" t="s">
        <v>343</v>
      </c>
      <c r="K6">
        <v>208333</v>
      </c>
      <c r="M6">
        <v>208333</v>
      </c>
    </row>
    <row r="7" spans="1:14" x14ac:dyDescent="0.35">
      <c r="A7" t="str">
        <f t="shared" si="0"/>
        <v>AC45719162480000</v>
      </c>
      <c r="B7" t="s">
        <v>26</v>
      </c>
      <c r="C7" s="1">
        <v>45719</v>
      </c>
      <c r="D7" s="1" t="str">
        <f>"1"</f>
        <v>1</v>
      </c>
      <c r="E7" t="str">
        <f>"62480000"</f>
        <v>62480000</v>
      </c>
      <c r="F7" t="s">
        <v>6311</v>
      </c>
      <c r="G7" t="s">
        <v>341</v>
      </c>
      <c r="H7" t="s">
        <v>5927</v>
      </c>
      <c r="I7">
        <v>0</v>
      </c>
      <c r="J7" t="s">
        <v>343</v>
      </c>
      <c r="K7">
        <v>93560</v>
      </c>
      <c r="M7">
        <v>93560</v>
      </c>
    </row>
    <row r="8" spans="1:14" x14ac:dyDescent="0.35">
      <c r="A8" t="str">
        <f t="shared" si="0"/>
        <v>AC457261463240000</v>
      </c>
      <c r="B8" t="s">
        <v>26</v>
      </c>
      <c r="C8" s="1">
        <v>45726</v>
      </c>
      <c r="D8" s="1" t="str">
        <f>"14"</f>
        <v>14</v>
      </c>
      <c r="E8" t="str">
        <f>"63240000"</f>
        <v>63240000</v>
      </c>
      <c r="F8" t="s">
        <v>6318</v>
      </c>
      <c r="G8" t="s">
        <v>341</v>
      </c>
      <c r="H8" t="s">
        <v>5927</v>
      </c>
      <c r="I8">
        <v>0</v>
      </c>
      <c r="J8" t="s">
        <v>343</v>
      </c>
      <c r="K8">
        <v>2500000</v>
      </c>
      <c r="M8">
        <v>2500000</v>
      </c>
    </row>
    <row r="9" spans="1:14" x14ac:dyDescent="0.35">
      <c r="A9" t="str">
        <f t="shared" si="0"/>
        <v>AC45735462411000</v>
      </c>
      <c r="B9" t="s">
        <v>26</v>
      </c>
      <c r="C9" s="1">
        <v>45735</v>
      </c>
      <c r="D9" s="1" t="str">
        <f>"4"</f>
        <v>4</v>
      </c>
      <c r="E9" t="str">
        <f>"62411000"</f>
        <v>62411000</v>
      </c>
      <c r="F9" t="s">
        <v>6320</v>
      </c>
      <c r="G9" t="s">
        <v>341</v>
      </c>
      <c r="H9" t="s">
        <v>5927</v>
      </c>
      <c r="I9">
        <v>0</v>
      </c>
      <c r="J9" t="s">
        <v>343</v>
      </c>
      <c r="K9">
        <v>65000</v>
      </c>
      <c r="M9">
        <v>65000</v>
      </c>
    </row>
    <row r="10" spans="1:14" x14ac:dyDescent="0.35">
      <c r="A10" t="str">
        <f t="shared" si="0"/>
        <v>AC45737562411000</v>
      </c>
      <c r="B10" t="s">
        <v>26</v>
      </c>
      <c r="C10" s="1">
        <v>45737</v>
      </c>
      <c r="D10" s="1" t="str">
        <f>"5"</f>
        <v>5</v>
      </c>
      <c r="E10" t="str">
        <f>"62411000"</f>
        <v>62411000</v>
      </c>
      <c r="F10" t="s">
        <v>6320</v>
      </c>
      <c r="G10" t="s">
        <v>341</v>
      </c>
      <c r="H10" t="s">
        <v>5927</v>
      </c>
      <c r="I10">
        <v>0</v>
      </c>
      <c r="J10" t="s">
        <v>343</v>
      </c>
      <c r="K10">
        <v>65000</v>
      </c>
      <c r="M10">
        <v>65000</v>
      </c>
    </row>
    <row r="11" spans="1:14" x14ac:dyDescent="0.35">
      <c r="A11" t="str">
        <f t="shared" si="0"/>
        <v>AC45737862411000</v>
      </c>
      <c r="B11" t="s">
        <v>26</v>
      </c>
      <c r="C11" s="1">
        <v>45737</v>
      </c>
      <c r="D11" s="1" t="str">
        <f>"8"</f>
        <v>8</v>
      </c>
      <c r="E11" t="str">
        <f>"62411000"</f>
        <v>62411000</v>
      </c>
      <c r="F11" t="s">
        <v>6320</v>
      </c>
      <c r="G11" t="s">
        <v>341</v>
      </c>
      <c r="H11" t="s">
        <v>5927</v>
      </c>
      <c r="I11">
        <v>0</v>
      </c>
      <c r="J11" t="s">
        <v>343</v>
      </c>
      <c r="K11">
        <v>130000</v>
      </c>
      <c r="M11">
        <v>130000</v>
      </c>
    </row>
    <row r="12" spans="1:14" x14ac:dyDescent="0.35">
      <c r="A12" t="str">
        <f t="shared" si="0"/>
        <v>AC457471362411000</v>
      </c>
      <c r="B12" t="s">
        <v>26</v>
      </c>
      <c r="C12" s="1">
        <v>45747</v>
      </c>
      <c r="D12" s="1" t="str">
        <f>"13"</f>
        <v>13</v>
      </c>
      <c r="E12" t="str">
        <f>"62411000"</f>
        <v>62411000</v>
      </c>
      <c r="F12" t="s">
        <v>6328</v>
      </c>
      <c r="G12" t="s">
        <v>341</v>
      </c>
      <c r="H12" t="s">
        <v>5927</v>
      </c>
      <c r="I12">
        <v>0</v>
      </c>
      <c r="J12" t="s">
        <v>343</v>
      </c>
      <c r="K12" s="1">
        <v>130000</v>
      </c>
      <c r="M12">
        <v>130000</v>
      </c>
    </row>
    <row r="13" spans="1:14" x14ac:dyDescent="0.35">
      <c r="A13" t="str">
        <f t="shared" si="0"/>
        <v>BQ445731167120000</v>
      </c>
      <c r="B13" t="s">
        <v>6329</v>
      </c>
      <c r="C13" s="1">
        <v>45731</v>
      </c>
      <c r="D13" s="1" t="str">
        <f>"1"</f>
        <v>1</v>
      </c>
      <c r="E13" t="str">
        <f>"67120000"</f>
        <v>67120000</v>
      </c>
      <c r="F13" t="s">
        <v>6332</v>
      </c>
      <c r="G13" t="s">
        <v>341</v>
      </c>
      <c r="H13" t="s">
        <v>5927</v>
      </c>
      <c r="I13">
        <v>0</v>
      </c>
      <c r="J13" t="s">
        <v>343</v>
      </c>
      <c r="K13">
        <v>29014644</v>
      </c>
      <c r="M13">
        <v>29014644</v>
      </c>
    </row>
    <row r="14" spans="1:14" x14ac:dyDescent="0.35">
      <c r="A14" t="str">
        <f t="shared" si="0"/>
        <v>BQ445731367120000</v>
      </c>
      <c r="B14" t="s">
        <v>6329</v>
      </c>
      <c r="C14" s="1">
        <v>45731</v>
      </c>
      <c r="D14" s="1" t="str">
        <f>"3"</f>
        <v>3</v>
      </c>
      <c r="E14" t="str">
        <f>"67120000"</f>
        <v>67120000</v>
      </c>
      <c r="F14" t="s">
        <v>6333</v>
      </c>
      <c r="G14" t="s">
        <v>341</v>
      </c>
      <c r="H14" t="s">
        <v>5927</v>
      </c>
      <c r="I14">
        <v>0</v>
      </c>
      <c r="J14" t="s">
        <v>343</v>
      </c>
      <c r="K14">
        <v>16371659</v>
      </c>
      <c r="M14">
        <v>16371659</v>
      </c>
    </row>
    <row r="15" spans="1:14" x14ac:dyDescent="0.35">
      <c r="A15" t="str">
        <f t="shared" si="0"/>
        <v>BQ4457421663180000</v>
      </c>
      <c r="B15" t="s">
        <v>6329</v>
      </c>
      <c r="C15" s="1">
        <v>45742</v>
      </c>
      <c r="D15" s="1" t="str">
        <f>"16"</f>
        <v>16</v>
      </c>
      <c r="E15" t="str">
        <f>"63180000"</f>
        <v>63180000</v>
      </c>
      <c r="F15" t="s">
        <v>58</v>
      </c>
      <c r="G15" t="s">
        <v>341</v>
      </c>
      <c r="H15" t="s">
        <v>5974</v>
      </c>
      <c r="I15">
        <v>0</v>
      </c>
      <c r="J15" t="s">
        <v>343</v>
      </c>
      <c r="K15">
        <v>31900</v>
      </c>
      <c r="M15">
        <v>31900</v>
      </c>
    </row>
    <row r="16" spans="1:14" x14ac:dyDescent="0.35">
      <c r="A16" t="str">
        <f t="shared" si="0"/>
        <v>BQ4457471767450000</v>
      </c>
      <c r="B16" t="s">
        <v>6329</v>
      </c>
      <c r="C16" s="1">
        <v>45747</v>
      </c>
      <c r="D16" s="1" t="str">
        <f>"17"</f>
        <v>17</v>
      </c>
      <c r="E16" t="str">
        <f>"67450000"</f>
        <v>67450000</v>
      </c>
      <c r="F16" t="s">
        <v>6255</v>
      </c>
      <c r="G16" t="s">
        <v>341</v>
      </c>
      <c r="H16" t="s">
        <v>5974</v>
      </c>
      <c r="I16">
        <v>0</v>
      </c>
      <c r="J16" t="s">
        <v>343</v>
      </c>
      <c r="K16">
        <v>24200</v>
      </c>
      <c r="M16">
        <v>24200</v>
      </c>
    </row>
    <row r="17" spans="1:14" x14ac:dyDescent="0.35">
      <c r="A17" t="str">
        <f t="shared" si="0"/>
        <v>ND45727165880000</v>
      </c>
      <c r="B17" t="s">
        <v>75</v>
      </c>
      <c r="C17" s="1">
        <v>45727</v>
      </c>
      <c r="D17" s="1" t="str">
        <f>"1"</f>
        <v>1</v>
      </c>
      <c r="E17" t="str">
        <f>"65880000"</f>
        <v>65880000</v>
      </c>
      <c r="F17" t="s">
        <v>6340</v>
      </c>
      <c r="G17" t="s">
        <v>341</v>
      </c>
      <c r="H17" t="s">
        <v>5927</v>
      </c>
      <c r="I17">
        <v>0</v>
      </c>
      <c r="J17" t="s">
        <v>343</v>
      </c>
      <c r="K17">
        <v>1500000</v>
      </c>
      <c r="M17">
        <v>1500000</v>
      </c>
    </row>
    <row r="18" spans="1:14" x14ac:dyDescent="0.35">
      <c r="A18" t="str">
        <f t="shared" si="0"/>
        <v>ND45742460440500</v>
      </c>
      <c r="B18" t="s">
        <v>75</v>
      </c>
      <c r="C18" s="1">
        <v>45742</v>
      </c>
      <c r="D18" s="1" t="str">
        <f>"4"</f>
        <v>4</v>
      </c>
      <c r="E18" t="str">
        <f>"60440500"</f>
        <v>60440500</v>
      </c>
      <c r="F18" t="s">
        <v>6342</v>
      </c>
      <c r="G18" t="s">
        <v>341</v>
      </c>
      <c r="H18" t="s">
        <v>5927</v>
      </c>
      <c r="I18">
        <v>0</v>
      </c>
      <c r="J18" t="s">
        <v>343</v>
      </c>
      <c r="K18">
        <v>18900</v>
      </c>
      <c r="M18">
        <v>18900</v>
      </c>
    </row>
    <row r="19" spans="1:14" x14ac:dyDescent="0.35">
      <c r="A19" t="str">
        <f t="shared" si="0"/>
        <v>OD457171963240000</v>
      </c>
      <c r="B19" t="s">
        <v>101</v>
      </c>
      <c r="C19" s="1">
        <v>45717</v>
      </c>
      <c r="D19" s="1" t="str">
        <f>"19"</f>
        <v>19</v>
      </c>
      <c r="E19" t="str">
        <f>"63240000"</f>
        <v>63240000</v>
      </c>
      <c r="F19" t="s">
        <v>6343</v>
      </c>
      <c r="G19" t="s">
        <v>341</v>
      </c>
      <c r="H19" t="s">
        <v>5927</v>
      </c>
      <c r="I19">
        <v>0</v>
      </c>
      <c r="J19" t="s">
        <v>343</v>
      </c>
      <c r="L19">
        <v>2500000</v>
      </c>
      <c r="N19">
        <v>2500000</v>
      </c>
    </row>
    <row r="20" spans="1:14" x14ac:dyDescent="0.35">
      <c r="A20" t="str">
        <f t="shared" si="0"/>
        <v>OD457172470610020</v>
      </c>
      <c r="B20" t="s">
        <v>101</v>
      </c>
      <c r="C20" s="1">
        <v>45717</v>
      </c>
      <c r="D20" s="1" t="str">
        <f>"24"</f>
        <v>24</v>
      </c>
      <c r="E20" t="str">
        <f>"70610020"</f>
        <v>70610020</v>
      </c>
      <c r="F20" t="s">
        <v>6345</v>
      </c>
      <c r="G20" t="s">
        <v>341</v>
      </c>
      <c r="H20" t="s">
        <v>5978</v>
      </c>
      <c r="I20">
        <v>0</v>
      </c>
      <c r="J20" t="s">
        <v>343</v>
      </c>
      <c r="K20" s="1">
        <v>-150239216</v>
      </c>
      <c r="M20">
        <v>-150239216</v>
      </c>
    </row>
    <row r="21" spans="1:14" x14ac:dyDescent="0.35">
      <c r="A21" t="str">
        <f t="shared" si="0"/>
        <v>OD457472163240100</v>
      </c>
      <c r="B21" t="s">
        <v>101</v>
      </c>
      <c r="C21" s="1">
        <v>45747</v>
      </c>
      <c r="D21" s="1" t="str">
        <f>"21"</f>
        <v>21</v>
      </c>
      <c r="E21" t="str">
        <f>"63240100"</f>
        <v>63240100</v>
      </c>
      <c r="F21" t="s">
        <v>6346</v>
      </c>
      <c r="G21" t="s">
        <v>341</v>
      </c>
      <c r="H21" t="s">
        <v>5927</v>
      </c>
      <c r="I21">
        <v>0</v>
      </c>
      <c r="J21" t="s">
        <v>343</v>
      </c>
      <c r="K21">
        <v>8431000</v>
      </c>
      <c r="M21">
        <v>8431000</v>
      </c>
    </row>
    <row r="22" spans="1:14" x14ac:dyDescent="0.35">
      <c r="A22" t="str">
        <f t="shared" si="0"/>
        <v>OD457472368120000</v>
      </c>
      <c r="B22" t="s">
        <v>101</v>
      </c>
      <c r="C22" s="1">
        <v>45747</v>
      </c>
      <c r="D22" s="1" t="str">
        <f>"23"</f>
        <v>23</v>
      </c>
      <c r="E22" t="str">
        <f>"68120000"</f>
        <v>68120000</v>
      </c>
      <c r="F22" t="s">
        <v>6351</v>
      </c>
      <c r="G22" t="s">
        <v>341</v>
      </c>
      <c r="H22" t="s">
        <v>6001</v>
      </c>
      <c r="I22">
        <v>0</v>
      </c>
      <c r="J22" t="s">
        <v>343</v>
      </c>
      <c r="K22">
        <v>612603</v>
      </c>
      <c r="M22">
        <v>612603</v>
      </c>
    </row>
    <row r="23" spans="1:14" x14ac:dyDescent="0.35">
      <c r="A23" t="str">
        <f t="shared" si="0"/>
        <v>OD457472368130000</v>
      </c>
      <c r="B23" t="s">
        <v>101</v>
      </c>
      <c r="C23" s="1">
        <v>45747</v>
      </c>
      <c r="D23" s="1" t="str">
        <f>"23"</f>
        <v>23</v>
      </c>
      <c r="E23" t="str">
        <f>"68130000"</f>
        <v>68130000</v>
      </c>
      <c r="F23" t="s">
        <v>6352</v>
      </c>
      <c r="G23" t="s">
        <v>341</v>
      </c>
      <c r="H23" t="s">
        <v>6001</v>
      </c>
      <c r="I23">
        <v>0</v>
      </c>
      <c r="J23" t="s">
        <v>343</v>
      </c>
      <c r="K23">
        <v>298256</v>
      </c>
      <c r="M23">
        <v>298256</v>
      </c>
    </row>
    <row r="24" spans="1:14" x14ac:dyDescent="0.35">
      <c r="A24" t="str">
        <f t="shared" si="0"/>
        <v>OD457472570610020</v>
      </c>
      <c r="B24" t="s">
        <v>101</v>
      </c>
      <c r="C24" s="1">
        <v>45747</v>
      </c>
      <c r="D24" s="1" t="str">
        <f>"25"</f>
        <v>25</v>
      </c>
      <c r="E24" t="str">
        <f>"70610020"</f>
        <v>70610020</v>
      </c>
      <c r="F24" t="s">
        <v>6353</v>
      </c>
      <c r="G24" t="s">
        <v>341</v>
      </c>
      <c r="H24" t="s">
        <v>5978</v>
      </c>
      <c r="I24">
        <v>0</v>
      </c>
      <c r="J24" t="s">
        <v>343</v>
      </c>
      <c r="L24">
        <v>-294581149</v>
      </c>
      <c r="N24">
        <v>-294581149</v>
      </c>
    </row>
    <row r="25" spans="1:14" x14ac:dyDescent="0.35">
      <c r="A25" t="str">
        <f t="shared" si="0"/>
        <v>OD457472660520000</v>
      </c>
      <c r="B25" t="s">
        <v>101</v>
      </c>
      <c r="C25" s="1">
        <v>45747</v>
      </c>
      <c r="D25" s="1" t="str">
        <f>"26"</f>
        <v>26</v>
      </c>
      <c r="E25" t="str">
        <f>"60520000"</f>
        <v>60520000</v>
      </c>
      <c r="F25" t="s">
        <v>6354</v>
      </c>
      <c r="G25" t="s">
        <v>341</v>
      </c>
      <c r="H25" t="s">
        <v>5927</v>
      </c>
      <c r="I25">
        <v>0</v>
      </c>
      <c r="J25" t="s">
        <v>343</v>
      </c>
      <c r="K25">
        <v>2392330</v>
      </c>
      <c r="M25">
        <v>2392330</v>
      </c>
    </row>
    <row r="26" spans="1:14" x14ac:dyDescent="0.35">
      <c r="A26" t="str">
        <f t="shared" si="0"/>
        <v>VTE45737170610020</v>
      </c>
      <c r="B26" t="s">
        <v>131</v>
      </c>
      <c r="C26" s="1">
        <v>45737</v>
      </c>
      <c r="D26" s="1" t="str">
        <f>"1"</f>
        <v>1</v>
      </c>
      <c r="E26" t="str">
        <f>"70610020"</f>
        <v>70610020</v>
      </c>
      <c r="F26" t="s">
        <v>6356</v>
      </c>
      <c r="G26" t="s">
        <v>341</v>
      </c>
      <c r="H26" t="s">
        <v>5978</v>
      </c>
      <c r="I26">
        <v>0</v>
      </c>
      <c r="J26" t="s">
        <v>343</v>
      </c>
      <c r="L26">
        <v>151397700</v>
      </c>
      <c r="N26">
        <v>151397700</v>
      </c>
    </row>
    <row r="27" spans="1:14" x14ac:dyDescent="0.35">
      <c r="A27" t="str">
        <f t="shared" si="0"/>
        <v>VTE45737270610020</v>
      </c>
      <c r="B27" t="s">
        <v>131</v>
      </c>
      <c r="C27" s="1">
        <v>45737</v>
      </c>
      <c r="D27" s="1" t="str">
        <f>"2"</f>
        <v>2</v>
      </c>
      <c r="E27" t="str">
        <f>"70610020"</f>
        <v>70610020</v>
      </c>
      <c r="F27" t="s">
        <v>6358</v>
      </c>
      <c r="G27" t="s">
        <v>341</v>
      </c>
      <c r="H27" t="s">
        <v>5978</v>
      </c>
      <c r="I27">
        <v>0</v>
      </c>
      <c r="J27" t="s">
        <v>343</v>
      </c>
      <c r="L27">
        <v>157724700</v>
      </c>
      <c r="N27">
        <v>157724700</v>
      </c>
    </row>
    <row r="28" spans="1:14" x14ac:dyDescent="0.35">
      <c r="D28" s="1"/>
    </row>
    <row r="29" spans="1:14" x14ac:dyDescent="0.35">
      <c r="D29" s="1"/>
      <c r="K29" s="1"/>
    </row>
    <row r="30" spans="1:14" x14ac:dyDescent="0.35">
      <c r="D30" s="1"/>
    </row>
    <row r="31" spans="1:14" x14ac:dyDescent="0.35">
      <c r="D31" s="1"/>
    </row>
    <row r="32" spans="1:14" x14ac:dyDescent="0.35">
      <c r="D32" s="1"/>
      <c r="K32" s="1"/>
    </row>
    <row r="33" spans="4:11" x14ac:dyDescent="0.35">
      <c r="D33" s="1"/>
    </row>
    <row r="34" spans="4:11" x14ac:dyDescent="0.35">
      <c r="D34" s="1"/>
      <c r="K34" s="1"/>
    </row>
    <row r="35" spans="4:11" x14ac:dyDescent="0.35">
      <c r="D35" s="1"/>
    </row>
    <row r="36" spans="4:11" x14ac:dyDescent="0.35">
      <c r="D36" s="1"/>
      <c r="K36" s="1"/>
    </row>
    <row r="37" spans="4:11" x14ac:dyDescent="0.35">
      <c r="D37" s="1"/>
    </row>
    <row r="38" spans="4:11" x14ac:dyDescent="0.35">
      <c r="D38" s="1"/>
    </row>
    <row r="39" spans="4:11" x14ac:dyDescent="0.35">
      <c r="D39" s="1"/>
    </row>
    <row r="40" spans="4:11" x14ac:dyDescent="0.35">
      <c r="D40" s="1"/>
    </row>
    <row r="41" spans="4:11" x14ac:dyDescent="0.35">
      <c r="D41" s="1"/>
    </row>
    <row r="42" spans="4:11" x14ac:dyDescent="0.35">
      <c r="D42" s="1"/>
    </row>
    <row r="43" spans="4:11" x14ac:dyDescent="0.35">
      <c r="D43" s="1"/>
    </row>
    <row r="44" spans="4:11" x14ac:dyDescent="0.35">
      <c r="D44" s="1"/>
    </row>
    <row r="45" spans="4:11" x14ac:dyDescent="0.35">
      <c r="D45" s="1"/>
    </row>
    <row r="46" spans="4:11" x14ac:dyDescent="0.35">
      <c r="D46" s="1"/>
    </row>
    <row r="47" spans="4:11" x14ac:dyDescent="0.35">
      <c r="D47" s="1"/>
      <c r="K47" s="1"/>
    </row>
    <row r="48" spans="4:11" x14ac:dyDescent="0.35">
      <c r="D48" s="1"/>
    </row>
    <row r="49" spans="4:4" x14ac:dyDescent="0.35">
      <c r="D49" s="1"/>
    </row>
    <row r="50" spans="4:4" x14ac:dyDescent="0.35">
      <c r="D50" s="1"/>
    </row>
    <row r="51" spans="4:4" x14ac:dyDescent="0.35">
      <c r="D51" s="1"/>
    </row>
    <row r="52" spans="4:4" x14ac:dyDescent="0.35">
      <c r="D52" s="1"/>
    </row>
    <row r="53" spans="4:4" x14ac:dyDescent="0.35">
      <c r="D53" s="1"/>
    </row>
    <row r="54" spans="4:4" x14ac:dyDescent="0.35">
      <c r="D54" s="1"/>
    </row>
    <row r="55" spans="4:4" x14ac:dyDescent="0.35">
      <c r="D55" s="1"/>
    </row>
    <row r="56" spans="4:4" x14ac:dyDescent="0.35">
      <c r="D56" s="1"/>
    </row>
    <row r="57" spans="4:4" x14ac:dyDescent="0.35">
      <c r="D57" s="1"/>
    </row>
    <row r="58" spans="4:4" x14ac:dyDescent="0.35">
      <c r="D58" s="1"/>
    </row>
    <row r="59" spans="4:4" x14ac:dyDescent="0.35">
      <c r="D59" s="1"/>
    </row>
    <row r="60" spans="4:4" x14ac:dyDescent="0.35">
      <c r="D60" s="1"/>
    </row>
    <row r="61" spans="4:4" x14ac:dyDescent="0.35">
      <c r="D61" s="1"/>
    </row>
    <row r="62" spans="4:4" x14ac:dyDescent="0.35">
      <c r="D62" s="1"/>
    </row>
    <row r="63" spans="4:4" x14ac:dyDescent="0.35">
      <c r="D63" s="1"/>
    </row>
    <row r="64" spans="4:4" x14ac:dyDescent="0.35">
      <c r="D64" s="1"/>
    </row>
    <row r="65" spans="4:11" x14ac:dyDescent="0.35">
      <c r="D65" s="1"/>
    </row>
    <row r="66" spans="4:11" x14ac:dyDescent="0.35">
      <c r="D66" s="1"/>
    </row>
    <row r="67" spans="4:11" x14ac:dyDescent="0.35">
      <c r="D67" s="1"/>
    </row>
    <row r="68" spans="4:11" x14ac:dyDescent="0.35">
      <c r="D68" s="1"/>
    </row>
    <row r="69" spans="4:11" x14ac:dyDescent="0.35">
      <c r="D69" s="1"/>
    </row>
    <row r="70" spans="4:11" x14ac:dyDescent="0.35">
      <c r="D70" s="1"/>
    </row>
    <row r="71" spans="4:11" x14ac:dyDescent="0.35">
      <c r="D71" s="1"/>
      <c r="K71" s="1"/>
    </row>
    <row r="72" spans="4:11" x14ac:dyDescent="0.35">
      <c r="D72" s="1"/>
    </row>
    <row r="73" spans="4:11" x14ac:dyDescent="0.35">
      <c r="D73" s="1"/>
    </row>
    <row r="74" spans="4:11" x14ac:dyDescent="0.35">
      <c r="D74" s="1"/>
      <c r="K74" s="1"/>
    </row>
    <row r="75" spans="4:11" x14ac:dyDescent="0.35">
      <c r="D75" s="1"/>
    </row>
    <row r="76" spans="4:11" x14ac:dyDescent="0.35">
      <c r="D76" s="1"/>
    </row>
    <row r="77" spans="4:11" x14ac:dyDescent="0.35">
      <c r="D77" s="1"/>
    </row>
    <row r="78" spans="4:11" x14ac:dyDescent="0.35">
      <c r="D78" s="1"/>
    </row>
    <row r="79" spans="4:11" x14ac:dyDescent="0.35">
      <c r="D79" s="1"/>
      <c r="K79" s="1"/>
    </row>
    <row r="80" spans="4:11" x14ac:dyDescent="0.35">
      <c r="D80" s="1"/>
    </row>
    <row r="81" spans="4:11" x14ac:dyDescent="0.35">
      <c r="D81" s="1"/>
    </row>
    <row r="82" spans="4:11" x14ac:dyDescent="0.35">
      <c r="D82" s="1"/>
    </row>
    <row r="83" spans="4:11" x14ac:dyDescent="0.35">
      <c r="D83" s="1"/>
      <c r="K83" s="1"/>
    </row>
    <row r="84" spans="4:11" x14ac:dyDescent="0.35">
      <c r="D84" s="1"/>
    </row>
    <row r="85" spans="4:11" x14ac:dyDescent="0.35">
      <c r="D85" s="1"/>
    </row>
    <row r="86" spans="4:11" x14ac:dyDescent="0.35">
      <c r="D86" s="1"/>
    </row>
    <row r="87" spans="4:11" x14ac:dyDescent="0.35">
      <c r="D87" s="1"/>
    </row>
    <row r="88" spans="4:11" x14ac:dyDescent="0.35">
      <c r="D88" s="1"/>
    </row>
    <row r="89" spans="4:11" x14ac:dyDescent="0.35">
      <c r="D89" s="1"/>
    </row>
    <row r="90" spans="4:11" x14ac:dyDescent="0.35">
      <c r="D90" s="1"/>
    </row>
    <row r="91" spans="4:11" x14ac:dyDescent="0.35">
      <c r="D91" s="1"/>
    </row>
    <row r="92" spans="4:11" x14ac:dyDescent="0.35">
      <c r="D92" s="1"/>
    </row>
    <row r="93" spans="4:11" x14ac:dyDescent="0.35">
      <c r="D93" s="1"/>
    </row>
    <row r="94" spans="4:11" x14ac:dyDescent="0.35">
      <c r="D94" s="1"/>
    </row>
    <row r="95" spans="4:11" x14ac:dyDescent="0.35">
      <c r="D95" s="1"/>
    </row>
    <row r="96" spans="4:11" x14ac:dyDescent="0.35">
      <c r="D96" s="1"/>
      <c r="K96" s="1"/>
    </row>
    <row r="97" spans="4:11" x14ac:dyDescent="0.35">
      <c r="D97" s="1"/>
    </row>
    <row r="98" spans="4:11" x14ac:dyDescent="0.35">
      <c r="D98" s="1"/>
      <c r="K98" s="1"/>
    </row>
    <row r="99" spans="4:11" x14ac:dyDescent="0.35">
      <c r="D99" s="1"/>
    </row>
    <row r="100" spans="4:11" x14ac:dyDescent="0.35">
      <c r="D100" s="1"/>
      <c r="K100" s="1"/>
    </row>
    <row r="101" spans="4:11" x14ac:dyDescent="0.35">
      <c r="D101" s="1"/>
    </row>
    <row r="102" spans="4:11" x14ac:dyDescent="0.35">
      <c r="D102" s="1"/>
    </row>
    <row r="103" spans="4:11" x14ac:dyDescent="0.35">
      <c r="D103" s="1"/>
      <c r="K103" s="1"/>
    </row>
    <row r="104" spans="4:11" x14ac:dyDescent="0.35">
      <c r="D104" s="1"/>
    </row>
    <row r="105" spans="4:11" x14ac:dyDescent="0.35">
      <c r="D105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E86D1-7D67-4585-920B-525E5CD946B0}">
  <dimension ref="A1:L164"/>
  <sheetViews>
    <sheetView workbookViewId="0">
      <selection activeCell="G1" sqref="G1"/>
    </sheetView>
  </sheetViews>
  <sheetFormatPr baseColWidth="10"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6798</v>
      </c>
    </row>
    <row r="2" spans="1:12" x14ac:dyDescent="0.35">
      <c r="A2" t="s">
        <v>11</v>
      </c>
      <c r="B2" s="1">
        <v>45717</v>
      </c>
      <c r="C2" t="s">
        <v>10022</v>
      </c>
      <c r="E2" t="s">
        <v>6359</v>
      </c>
      <c r="F2" t="s">
        <v>7318</v>
      </c>
      <c r="H2" t="s">
        <v>6360</v>
      </c>
      <c r="K2">
        <v>360503</v>
      </c>
      <c r="L2" t="s">
        <v>6803</v>
      </c>
    </row>
    <row r="3" spans="1:12" x14ac:dyDescent="0.35">
      <c r="A3" t="s">
        <v>11</v>
      </c>
      <c r="B3" s="1">
        <v>45717</v>
      </c>
      <c r="C3" t="s">
        <v>10022</v>
      </c>
      <c r="E3" t="s">
        <v>6359</v>
      </c>
      <c r="F3" t="s">
        <v>7331</v>
      </c>
      <c r="H3" t="s">
        <v>6360</v>
      </c>
      <c r="J3">
        <v>360503</v>
      </c>
      <c r="L3" t="s">
        <v>5913</v>
      </c>
    </row>
    <row r="4" spans="1:12" x14ac:dyDescent="0.35">
      <c r="A4" t="s">
        <v>11</v>
      </c>
      <c r="B4" s="1">
        <v>45717</v>
      </c>
      <c r="C4" t="s">
        <v>10023</v>
      </c>
      <c r="E4" t="s">
        <v>1201</v>
      </c>
      <c r="F4" t="s">
        <v>7318</v>
      </c>
      <c r="H4" t="s">
        <v>6361</v>
      </c>
      <c r="K4">
        <v>558875</v>
      </c>
      <c r="L4" t="s">
        <v>6803</v>
      </c>
    </row>
    <row r="5" spans="1:12" x14ac:dyDescent="0.35">
      <c r="A5" t="s">
        <v>11</v>
      </c>
      <c r="B5" s="1">
        <v>45717</v>
      </c>
      <c r="C5" t="s">
        <v>10023</v>
      </c>
      <c r="E5" t="s">
        <v>1201</v>
      </c>
      <c r="F5" t="s">
        <v>7331</v>
      </c>
      <c r="H5" t="s">
        <v>6361</v>
      </c>
      <c r="J5">
        <v>558875</v>
      </c>
      <c r="L5" t="s">
        <v>5913</v>
      </c>
    </row>
    <row r="6" spans="1:12" x14ac:dyDescent="0.35">
      <c r="A6" t="s">
        <v>11</v>
      </c>
      <c r="B6" s="1">
        <v>45717</v>
      </c>
      <c r="C6" t="s">
        <v>10024</v>
      </c>
      <c r="E6" t="s">
        <v>6362</v>
      </c>
      <c r="F6" t="s">
        <v>7318</v>
      </c>
      <c r="H6" t="s">
        <v>6363</v>
      </c>
      <c r="K6">
        <v>625000</v>
      </c>
      <c r="L6" t="s">
        <v>6803</v>
      </c>
    </row>
    <row r="7" spans="1:12" x14ac:dyDescent="0.35">
      <c r="A7" t="s">
        <v>11</v>
      </c>
      <c r="B7" s="1">
        <v>45717</v>
      </c>
      <c r="C7" t="s">
        <v>10024</v>
      </c>
      <c r="E7" t="s">
        <v>6362</v>
      </c>
      <c r="F7" t="s">
        <v>10025</v>
      </c>
      <c r="H7" t="s">
        <v>6363</v>
      </c>
      <c r="J7">
        <v>625000</v>
      </c>
      <c r="L7" t="s">
        <v>347</v>
      </c>
    </row>
    <row r="8" spans="1:12" x14ac:dyDescent="0.35">
      <c r="A8" t="s">
        <v>11</v>
      </c>
      <c r="B8" s="1">
        <v>45717</v>
      </c>
      <c r="C8" t="s">
        <v>10026</v>
      </c>
      <c r="E8" t="s">
        <v>6364</v>
      </c>
      <c r="F8" t="s">
        <v>7338</v>
      </c>
      <c r="H8" t="s">
        <v>6365</v>
      </c>
      <c r="K8">
        <v>6029350</v>
      </c>
      <c r="L8" t="s">
        <v>6803</v>
      </c>
    </row>
    <row r="9" spans="1:12" x14ac:dyDescent="0.35">
      <c r="A9" t="s">
        <v>11</v>
      </c>
      <c r="B9" s="1">
        <v>45717</v>
      </c>
      <c r="C9" t="s">
        <v>10026</v>
      </c>
      <c r="E9" t="s">
        <v>6364</v>
      </c>
      <c r="F9" t="s">
        <v>7374</v>
      </c>
      <c r="H9" t="s">
        <v>6365</v>
      </c>
      <c r="J9">
        <v>6029350</v>
      </c>
      <c r="L9" t="s">
        <v>352</v>
      </c>
    </row>
    <row r="10" spans="1:12" x14ac:dyDescent="0.35">
      <c r="A10" t="s">
        <v>11</v>
      </c>
      <c r="B10" s="1">
        <v>45717</v>
      </c>
      <c r="C10" t="s">
        <v>10027</v>
      </c>
      <c r="E10" t="s">
        <v>6366</v>
      </c>
      <c r="F10" t="s">
        <v>7318</v>
      </c>
      <c r="H10" t="s">
        <v>6367</v>
      </c>
      <c r="K10">
        <v>97940</v>
      </c>
      <c r="L10" t="s">
        <v>6803</v>
      </c>
    </row>
    <row r="11" spans="1:12" x14ac:dyDescent="0.35">
      <c r="A11" t="s">
        <v>11</v>
      </c>
      <c r="B11" s="1">
        <v>45717</v>
      </c>
      <c r="C11" t="s">
        <v>10027</v>
      </c>
      <c r="E11" t="s">
        <v>6366</v>
      </c>
      <c r="F11" t="s">
        <v>9940</v>
      </c>
      <c r="H11" t="s">
        <v>6367</v>
      </c>
      <c r="J11">
        <v>97940</v>
      </c>
      <c r="L11" t="s">
        <v>5913</v>
      </c>
    </row>
    <row r="12" spans="1:12" x14ac:dyDescent="0.35">
      <c r="A12" t="s">
        <v>11</v>
      </c>
      <c r="B12" s="1">
        <v>45717</v>
      </c>
      <c r="C12" t="s">
        <v>10028</v>
      </c>
      <c r="E12" t="s">
        <v>20</v>
      </c>
      <c r="F12" t="s">
        <v>9913</v>
      </c>
      <c r="H12" t="s">
        <v>6368</v>
      </c>
      <c r="K12">
        <v>346165</v>
      </c>
      <c r="L12" t="s">
        <v>6803</v>
      </c>
    </row>
    <row r="13" spans="1:12" x14ac:dyDescent="0.35">
      <c r="A13" t="s">
        <v>11</v>
      </c>
      <c r="B13" s="1">
        <v>45717</v>
      </c>
      <c r="C13" t="s">
        <v>10028</v>
      </c>
      <c r="E13" t="s">
        <v>20</v>
      </c>
      <c r="F13" t="s">
        <v>10029</v>
      </c>
      <c r="H13" t="s">
        <v>6368</v>
      </c>
      <c r="J13">
        <v>346165</v>
      </c>
      <c r="L13" t="s">
        <v>345</v>
      </c>
    </row>
    <row r="14" spans="1:12" x14ac:dyDescent="0.35">
      <c r="A14" t="s">
        <v>11</v>
      </c>
      <c r="B14" s="1">
        <v>45717</v>
      </c>
      <c r="C14" t="s">
        <v>10030</v>
      </c>
      <c r="E14" t="s">
        <v>6369</v>
      </c>
      <c r="F14" t="s">
        <v>7338</v>
      </c>
      <c r="H14" t="s">
        <v>6370</v>
      </c>
      <c r="K14">
        <v>363637</v>
      </c>
      <c r="L14" t="s">
        <v>6803</v>
      </c>
    </row>
    <row r="15" spans="1:12" x14ac:dyDescent="0.35">
      <c r="A15" t="s">
        <v>11</v>
      </c>
      <c r="B15" s="1">
        <v>45717</v>
      </c>
      <c r="C15" t="s">
        <v>10030</v>
      </c>
      <c r="E15" t="s">
        <v>6369</v>
      </c>
      <c r="F15" t="s">
        <v>9912</v>
      </c>
      <c r="H15" t="s">
        <v>6370</v>
      </c>
      <c r="J15">
        <v>363637</v>
      </c>
      <c r="L15" t="s">
        <v>345</v>
      </c>
    </row>
    <row r="16" spans="1:12" x14ac:dyDescent="0.35">
      <c r="A16" t="s">
        <v>11</v>
      </c>
      <c r="B16" s="1">
        <v>45717</v>
      </c>
      <c r="C16" t="s">
        <v>10031</v>
      </c>
      <c r="E16" t="s">
        <v>6371</v>
      </c>
      <c r="F16" t="s">
        <v>9913</v>
      </c>
      <c r="H16" t="s">
        <v>1225</v>
      </c>
      <c r="K16">
        <v>1448750</v>
      </c>
      <c r="L16" t="s">
        <v>6803</v>
      </c>
    </row>
    <row r="17" spans="1:12" x14ac:dyDescent="0.35">
      <c r="A17" t="s">
        <v>11</v>
      </c>
      <c r="B17" s="1">
        <v>45717</v>
      </c>
      <c r="C17" t="s">
        <v>10031</v>
      </c>
      <c r="E17" t="s">
        <v>6371</v>
      </c>
      <c r="F17" t="s">
        <v>7370</v>
      </c>
      <c r="H17" t="s">
        <v>1225</v>
      </c>
      <c r="J17">
        <v>1448750</v>
      </c>
      <c r="L17" t="s">
        <v>5909</v>
      </c>
    </row>
    <row r="18" spans="1:12" x14ac:dyDescent="0.35">
      <c r="A18" t="s">
        <v>11</v>
      </c>
      <c r="B18" s="1">
        <v>45717</v>
      </c>
      <c r="C18" t="s">
        <v>10032</v>
      </c>
      <c r="E18" t="s">
        <v>6372</v>
      </c>
      <c r="F18" t="s">
        <v>7318</v>
      </c>
      <c r="H18" t="s">
        <v>6373</v>
      </c>
      <c r="K18">
        <v>3000000</v>
      </c>
      <c r="L18" t="s">
        <v>6803</v>
      </c>
    </row>
    <row r="19" spans="1:12" x14ac:dyDescent="0.35">
      <c r="A19" t="s">
        <v>11</v>
      </c>
      <c r="B19" s="1">
        <v>45717</v>
      </c>
      <c r="C19" t="s">
        <v>10032</v>
      </c>
      <c r="E19" t="s">
        <v>6372</v>
      </c>
      <c r="F19" t="s">
        <v>9940</v>
      </c>
      <c r="H19" t="s">
        <v>6373</v>
      </c>
      <c r="J19">
        <v>3000000</v>
      </c>
      <c r="L19" t="s">
        <v>5913</v>
      </c>
    </row>
    <row r="20" spans="1:12" x14ac:dyDescent="0.35">
      <c r="A20" t="s">
        <v>11</v>
      </c>
      <c r="B20" s="1">
        <v>45717</v>
      </c>
      <c r="C20" t="s">
        <v>10033</v>
      </c>
      <c r="E20" t="s">
        <v>6374</v>
      </c>
      <c r="F20" t="s">
        <v>7318</v>
      </c>
      <c r="H20" t="s">
        <v>6375</v>
      </c>
      <c r="K20">
        <v>200000</v>
      </c>
      <c r="L20" t="s">
        <v>6803</v>
      </c>
    </row>
    <row r="21" spans="1:12" x14ac:dyDescent="0.35">
      <c r="A21" t="s">
        <v>11</v>
      </c>
      <c r="B21" s="1">
        <v>45717</v>
      </c>
      <c r="C21" t="s">
        <v>10033</v>
      </c>
      <c r="E21" t="s">
        <v>6374</v>
      </c>
      <c r="F21" t="s">
        <v>10034</v>
      </c>
      <c r="H21" t="s">
        <v>6375</v>
      </c>
      <c r="J21">
        <v>200000</v>
      </c>
      <c r="L21" t="s">
        <v>5905</v>
      </c>
    </row>
    <row r="22" spans="1:12" x14ac:dyDescent="0.35">
      <c r="A22" t="s">
        <v>11</v>
      </c>
      <c r="B22" s="1">
        <v>45718</v>
      </c>
      <c r="C22" t="s">
        <v>10035</v>
      </c>
      <c r="E22" t="s">
        <v>6376</v>
      </c>
      <c r="F22" t="s">
        <v>7318</v>
      </c>
      <c r="H22" t="s">
        <v>6377</v>
      </c>
      <c r="K22">
        <v>692090</v>
      </c>
      <c r="L22" t="s">
        <v>6803</v>
      </c>
    </row>
    <row r="23" spans="1:12" x14ac:dyDescent="0.35">
      <c r="A23" t="s">
        <v>11</v>
      </c>
      <c r="B23" s="1">
        <v>45718</v>
      </c>
      <c r="C23" t="s">
        <v>10035</v>
      </c>
      <c r="E23" t="s">
        <v>6376</v>
      </c>
      <c r="F23" t="s">
        <v>10036</v>
      </c>
      <c r="H23" t="s">
        <v>6377</v>
      </c>
      <c r="J23">
        <v>692090</v>
      </c>
      <c r="L23" t="s">
        <v>5931</v>
      </c>
    </row>
    <row r="24" spans="1:12" x14ac:dyDescent="0.35">
      <c r="A24" t="s">
        <v>11</v>
      </c>
      <c r="B24" s="1">
        <v>45718</v>
      </c>
      <c r="C24" t="s">
        <v>10037</v>
      </c>
      <c r="E24" t="s">
        <v>24</v>
      </c>
      <c r="F24" t="s">
        <v>7318</v>
      </c>
      <c r="H24" t="s">
        <v>25</v>
      </c>
      <c r="K24">
        <v>333112</v>
      </c>
      <c r="L24" t="s">
        <v>6803</v>
      </c>
    </row>
    <row r="25" spans="1:12" x14ac:dyDescent="0.35">
      <c r="A25" t="s">
        <v>11</v>
      </c>
      <c r="B25" s="1">
        <v>45718</v>
      </c>
      <c r="C25" t="s">
        <v>10037</v>
      </c>
      <c r="E25" t="s">
        <v>24</v>
      </c>
      <c r="F25" t="s">
        <v>7355</v>
      </c>
      <c r="H25" t="s">
        <v>25</v>
      </c>
      <c r="J25">
        <v>333112</v>
      </c>
      <c r="L25" t="s">
        <v>347</v>
      </c>
    </row>
    <row r="26" spans="1:12" x14ac:dyDescent="0.35">
      <c r="A26" t="s">
        <v>6378</v>
      </c>
      <c r="B26" s="1">
        <v>45717</v>
      </c>
      <c r="C26" t="s">
        <v>10038</v>
      </c>
      <c r="D26" t="s">
        <v>6379</v>
      </c>
      <c r="E26" t="s">
        <v>6380</v>
      </c>
      <c r="F26" t="s">
        <v>6804</v>
      </c>
      <c r="G26" t="s">
        <v>6034</v>
      </c>
      <c r="H26" t="s">
        <v>6381</v>
      </c>
      <c r="I26" s="1">
        <v>45717</v>
      </c>
      <c r="K26">
        <v>2360000</v>
      </c>
      <c r="L26" t="s">
        <v>6803</v>
      </c>
    </row>
    <row r="27" spans="1:12" x14ac:dyDescent="0.35">
      <c r="A27" t="s">
        <v>6378</v>
      </c>
      <c r="B27" s="1">
        <v>45717</v>
      </c>
      <c r="C27" t="s">
        <v>10038</v>
      </c>
      <c r="D27" t="s">
        <v>6379</v>
      </c>
      <c r="E27" t="s">
        <v>6380</v>
      </c>
      <c r="F27" t="s">
        <v>6819</v>
      </c>
      <c r="H27" t="s">
        <v>6381</v>
      </c>
      <c r="J27">
        <v>360000</v>
      </c>
      <c r="L27" t="s">
        <v>6803</v>
      </c>
    </row>
    <row r="28" spans="1:12" x14ac:dyDescent="0.35">
      <c r="A28" t="s">
        <v>6378</v>
      </c>
      <c r="B28" s="1">
        <v>45717</v>
      </c>
      <c r="C28" t="s">
        <v>10038</v>
      </c>
      <c r="D28" t="s">
        <v>6379</v>
      </c>
      <c r="E28" t="s">
        <v>6380</v>
      </c>
      <c r="F28" t="s">
        <v>7355</v>
      </c>
      <c r="H28" t="s">
        <v>6381</v>
      </c>
      <c r="J28">
        <v>2000000</v>
      </c>
      <c r="L28" t="s">
        <v>5951</v>
      </c>
    </row>
    <row r="29" spans="1:12" x14ac:dyDescent="0.35">
      <c r="A29" t="s">
        <v>6378</v>
      </c>
      <c r="B29" s="1">
        <v>45720</v>
      </c>
      <c r="C29" t="s">
        <v>10039</v>
      </c>
      <c r="D29" t="s">
        <v>6382</v>
      </c>
      <c r="E29" t="s">
        <v>10040</v>
      </c>
      <c r="F29" t="s">
        <v>6804</v>
      </c>
      <c r="G29" t="s">
        <v>6383</v>
      </c>
      <c r="H29" t="s">
        <v>6384</v>
      </c>
      <c r="I29" s="1">
        <v>45720</v>
      </c>
      <c r="K29">
        <v>97940</v>
      </c>
      <c r="L29" t="s">
        <v>6803</v>
      </c>
    </row>
    <row r="30" spans="1:12" x14ac:dyDescent="0.35">
      <c r="A30" t="s">
        <v>6378</v>
      </c>
      <c r="B30" s="1">
        <v>45720</v>
      </c>
      <c r="C30" t="s">
        <v>10039</v>
      </c>
      <c r="D30" t="s">
        <v>6382</v>
      </c>
      <c r="E30" t="s">
        <v>10040</v>
      </c>
      <c r="F30" t="s">
        <v>7572</v>
      </c>
      <c r="G30" t="s">
        <v>6385</v>
      </c>
      <c r="H30" t="s">
        <v>6384</v>
      </c>
      <c r="J30">
        <v>97940</v>
      </c>
      <c r="L30" t="s">
        <v>6803</v>
      </c>
    </row>
    <row r="31" spans="1:12" x14ac:dyDescent="0.35">
      <c r="A31" t="s">
        <v>6378</v>
      </c>
      <c r="B31" s="1">
        <v>45720</v>
      </c>
      <c r="C31" t="s">
        <v>10041</v>
      </c>
      <c r="D31" t="s">
        <v>6386</v>
      </c>
      <c r="E31" t="s">
        <v>10042</v>
      </c>
      <c r="F31" t="s">
        <v>6804</v>
      </c>
      <c r="G31" t="s">
        <v>6383</v>
      </c>
      <c r="H31" t="s">
        <v>6387</v>
      </c>
      <c r="I31" s="1">
        <v>45720</v>
      </c>
      <c r="K31">
        <v>97940</v>
      </c>
      <c r="L31" t="s">
        <v>6803</v>
      </c>
    </row>
    <row r="32" spans="1:12" x14ac:dyDescent="0.35">
      <c r="A32" t="s">
        <v>6378</v>
      </c>
      <c r="B32" s="1">
        <v>45720</v>
      </c>
      <c r="C32" t="s">
        <v>10041</v>
      </c>
      <c r="D32" t="s">
        <v>6386</v>
      </c>
      <c r="E32" t="s">
        <v>10042</v>
      </c>
      <c r="F32" t="s">
        <v>7318</v>
      </c>
      <c r="H32" t="s">
        <v>6387</v>
      </c>
      <c r="J32">
        <v>97940</v>
      </c>
      <c r="L32" t="s">
        <v>6803</v>
      </c>
    </row>
    <row r="33" spans="1:12" x14ac:dyDescent="0.35">
      <c r="A33" t="s">
        <v>6378</v>
      </c>
      <c r="B33" s="1">
        <v>45720</v>
      </c>
      <c r="C33" t="s">
        <v>10043</v>
      </c>
      <c r="D33" t="s">
        <v>6388</v>
      </c>
      <c r="E33" t="s">
        <v>10044</v>
      </c>
      <c r="F33" t="s">
        <v>6804</v>
      </c>
      <c r="G33" t="s">
        <v>6389</v>
      </c>
      <c r="H33" t="s">
        <v>6390</v>
      </c>
      <c r="I33" s="1">
        <v>45720</v>
      </c>
      <c r="K33">
        <v>9800000</v>
      </c>
      <c r="L33" t="s">
        <v>6803</v>
      </c>
    </row>
    <row r="34" spans="1:12" x14ac:dyDescent="0.35">
      <c r="A34" t="s">
        <v>6378</v>
      </c>
      <c r="B34" s="1">
        <v>45720</v>
      </c>
      <c r="C34" t="s">
        <v>10043</v>
      </c>
      <c r="D34" t="s">
        <v>6388</v>
      </c>
      <c r="E34" t="s">
        <v>10044</v>
      </c>
      <c r="F34" t="s">
        <v>6819</v>
      </c>
      <c r="H34" t="s">
        <v>6390</v>
      </c>
      <c r="J34">
        <v>1494915</v>
      </c>
      <c r="L34" t="s">
        <v>6803</v>
      </c>
    </row>
    <row r="35" spans="1:12" x14ac:dyDescent="0.35">
      <c r="A35" t="s">
        <v>6378</v>
      </c>
      <c r="B35" s="1">
        <v>45720</v>
      </c>
      <c r="C35" t="s">
        <v>10043</v>
      </c>
      <c r="D35" t="s">
        <v>6388</v>
      </c>
      <c r="E35" t="s">
        <v>10044</v>
      </c>
      <c r="F35" t="s">
        <v>7318</v>
      </c>
      <c r="H35" t="s">
        <v>6390</v>
      </c>
      <c r="J35">
        <v>8305090</v>
      </c>
      <c r="L35" t="s">
        <v>6803</v>
      </c>
    </row>
    <row r="36" spans="1:12" x14ac:dyDescent="0.35">
      <c r="A36" t="s">
        <v>6378</v>
      </c>
      <c r="B36" s="1">
        <v>45720</v>
      </c>
      <c r="C36" t="s">
        <v>10043</v>
      </c>
      <c r="D36" t="s">
        <v>6388</v>
      </c>
      <c r="E36" t="s">
        <v>10044</v>
      </c>
      <c r="F36" t="s">
        <v>10036</v>
      </c>
      <c r="H36" t="s">
        <v>6390</v>
      </c>
      <c r="J36">
        <v>-5</v>
      </c>
      <c r="L36" t="s">
        <v>5931</v>
      </c>
    </row>
    <row r="37" spans="1:12" x14ac:dyDescent="0.35">
      <c r="A37" t="s">
        <v>6378</v>
      </c>
      <c r="B37" s="1">
        <v>45730</v>
      </c>
      <c r="C37" t="s">
        <v>10045</v>
      </c>
      <c r="D37" t="s">
        <v>6391</v>
      </c>
      <c r="E37" t="s">
        <v>6392</v>
      </c>
      <c r="F37" t="s">
        <v>6804</v>
      </c>
      <c r="G37" t="s">
        <v>6393</v>
      </c>
      <c r="H37" t="s">
        <v>6394</v>
      </c>
      <c r="I37" s="1">
        <v>45730</v>
      </c>
      <c r="K37">
        <v>204000</v>
      </c>
      <c r="L37" t="s">
        <v>6803</v>
      </c>
    </row>
    <row r="38" spans="1:12" x14ac:dyDescent="0.35">
      <c r="A38" t="s">
        <v>6378</v>
      </c>
      <c r="B38" s="1">
        <v>45730</v>
      </c>
      <c r="C38" t="s">
        <v>10045</v>
      </c>
      <c r="D38" t="s">
        <v>6391</v>
      </c>
      <c r="E38" t="s">
        <v>6392</v>
      </c>
      <c r="F38" t="s">
        <v>9940</v>
      </c>
      <c r="H38" t="s">
        <v>6394</v>
      </c>
      <c r="J38">
        <v>204000</v>
      </c>
      <c r="L38" t="s">
        <v>5913</v>
      </c>
    </row>
    <row r="39" spans="1:12" x14ac:dyDescent="0.35">
      <c r="A39" t="s">
        <v>6395</v>
      </c>
      <c r="B39" s="1">
        <v>45723</v>
      </c>
      <c r="C39" t="s">
        <v>10046</v>
      </c>
      <c r="F39" t="s">
        <v>8503</v>
      </c>
      <c r="H39" t="s">
        <v>6396</v>
      </c>
      <c r="J39">
        <v>8779378</v>
      </c>
      <c r="L39" t="s">
        <v>6803</v>
      </c>
    </row>
    <row r="40" spans="1:12" x14ac:dyDescent="0.35">
      <c r="A40" t="s">
        <v>6395</v>
      </c>
      <c r="B40" s="1">
        <v>45723</v>
      </c>
      <c r="C40" t="s">
        <v>10046</v>
      </c>
      <c r="F40" t="s">
        <v>9988</v>
      </c>
      <c r="H40" t="s">
        <v>6396</v>
      </c>
      <c r="K40">
        <v>8779377</v>
      </c>
      <c r="L40" t="s">
        <v>6803</v>
      </c>
    </row>
    <row r="41" spans="1:12" x14ac:dyDescent="0.35">
      <c r="A41" t="s">
        <v>6395</v>
      </c>
      <c r="B41" s="1">
        <v>45723</v>
      </c>
      <c r="C41" t="s">
        <v>10046</v>
      </c>
      <c r="F41" t="s">
        <v>8506</v>
      </c>
      <c r="H41" t="s">
        <v>6396</v>
      </c>
      <c r="J41">
        <v>-1</v>
      </c>
      <c r="L41" t="s">
        <v>5913</v>
      </c>
    </row>
    <row r="42" spans="1:12" x14ac:dyDescent="0.35">
      <c r="A42" t="s">
        <v>6395</v>
      </c>
      <c r="B42" s="1">
        <v>45723</v>
      </c>
      <c r="C42" t="s">
        <v>10047</v>
      </c>
      <c r="F42" t="s">
        <v>8503</v>
      </c>
      <c r="H42" t="s">
        <v>6397</v>
      </c>
      <c r="J42">
        <v>14048578</v>
      </c>
      <c r="L42" t="s">
        <v>6803</v>
      </c>
    </row>
    <row r="43" spans="1:12" x14ac:dyDescent="0.35">
      <c r="A43" t="s">
        <v>6395</v>
      </c>
      <c r="B43" s="1">
        <v>45723</v>
      </c>
      <c r="C43" t="s">
        <v>10047</v>
      </c>
      <c r="F43" t="s">
        <v>9988</v>
      </c>
      <c r="H43" t="s">
        <v>6397</v>
      </c>
      <c r="K43">
        <v>14048577</v>
      </c>
      <c r="L43" t="s">
        <v>6803</v>
      </c>
    </row>
    <row r="44" spans="1:12" x14ac:dyDescent="0.35">
      <c r="A44" t="s">
        <v>6395</v>
      </c>
      <c r="B44" s="1">
        <v>45723</v>
      </c>
      <c r="C44" t="s">
        <v>10047</v>
      </c>
      <c r="F44" t="s">
        <v>8506</v>
      </c>
      <c r="H44" t="s">
        <v>6397</v>
      </c>
      <c r="J44">
        <v>-1</v>
      </c>
      <c r="L44" t="s">
        <v>5913</v>
      </c>
    </row>
    <row r="45" spans="1:12" x14ac:dyDescent="0.35">
      <c r="A45" t="s">
        <v>6395</v>
      </c>
      <c r="B45" s="1">
        <v>45727</v>
      </c>
      <c r="C45" t="s">
        <v>10048</v>
      </c>
      <c r="F45" t="s">
        <v>6804</v>
      </c>
      <c r="G45" t="s">
        <v>6034</v>
      </c>
      <c r="H45" t="s">
        <v>6398</v>
      </c>
      <c r="J45">
        <v>1415062</v>
      </c>
      <c r="L45" t="s">
        <v>6803</v>
      </c>
    </row>
    <row r="46" spans="1:12" x14ac:dyDescent="0.35">
      <c r="A46" t="s">
        <v>6395</v>
      </c>
      <c r="B46" s="1">
        <v>45727</v>
      </c>
      <c r="C46" t="s">
        <v>10048</v>
      </c>
      <c r="F46" t="s">
        <v>9988</v>
      </c>
      <c r="H46" t="s">
        <v>6398</v>
      </c>
      <c r="K46">
        <v>1415062</v>
      </c>
      <c r="L46" t="s">
        <v>6803</v>
      </c>
    </row>
    <row r="47" spans="1:12" x14ac:dyDescent="0.35">
      <c r="A47" t="s">
        <v>6395</v>
      </c>
      <c r="B47" s="1">
        <v>45729</v>
      </c>
      <c r="C47" t="s">
        <v>10049</v>
      </c>
      <c r="F47" t="s">
        <v>7514</v>
      </c>
      <c r="G47" t="s">
        <v>6074</v>
      </c>
      <c r="H47" t="s">
        <v>1897</v>
      </c>
      <c r="K47">
        <v>1000000</v>
      </c>
      <c r="L47" t="s">
        <v>6803</v>
      </c>
    </row>
    <row r="48" spans="1:12" x14ac:dyDescent="0.35">
      <c r="A48" t="s">
        <v>6395</v>
      </c>
      <c r="B48" s="1">
        <v>45729</v>
      </c>
      <c r="C48" t="s">
        <v>10049</v>
      </c>
      <c r="F48" t="s">
        <v>9988</v>
      </c>
      <c r="H48" t="s">
        <v>1897</v>
      </c>
      <c r="J48">
        <v>1000000</v>
      </c>
      <c r="L48" t="s">
        <v>6803</v>
      </c>
    </row>
    <row r="49" spans="1:12" x14ac:dyDescent="0.35">
      <c r="A49" t="s">
        <v>6395</v>
      </c>
      <c r="B49" s="1">
        <v>45734</v>
      </c>
      <c r="C49" t="s">
        <v>10050</v>
      </c>
      <c r="F49" t="s">
        <v>7514</v>
      </c>
      <c r="G49" t="s">
        <v>6074</v>
      </c>
      <c r="H49" t="s">
        <v>1897</v>
      </c>
      <c r="K49">
        <v>44000000</v>
      </c>
      <c r="L49" t="s">
        <v>6803</v>
      </c>
    </row>
    <row r="50" spans="1:12" x14ac:dyDescent="0.35">
      <c r="A50" t="s">
        <v>6395</v>
      </c>
      <c r="B50" s="1">
        <v>45734</v>
      </c>
      <c r="C50" t="s">
        <v>10050</v>
      </c>
      <c r="F50" t="s">
        <v>9988</v>
      </c>
      <c r="H50" t="s">
        <v>1897</v>
      </c>
      <c r="J50">
        <v>44000000</v>
      </c>
      <c r="L50" t="s">
        <v>6803</v>
      </c>
    </row>
    <row r="51" spans="1:12" x14ac:dyDescent="0.35">
      <c r="A51" t="s">
        <v>6395</v>
      </c>
      <c r="B51" s="1">
        <v>45736</v>
      </c>
      <c r="C51" t="s">
        <v>10051</v>
      </c>
      <c r="F51" t="s">
        <v>10052</v>
      </c>
      <c r="H51" t="s">
        <v>6399</v>
      </c>
      <c r="J51">
        <v>20000000</v>
      </c>
      <c r="L51" t="s">
        <v>6803</v>
      </c>
    </row>
    <row r="52" spans="1:12" x14ac:dyDescent="0.35">
      <c r="A52" t="s">
        <v>6395</v>
      </c>
      <c r="B52" s="1">
        <v>45736</v>
      </c>
      <c r="C52" t="s">
        <v>10051</v>
      </c>
      <c r="F52" t="s">
        <v>9988</v>
      </c>
      <c r="H52" t="s">
        <v>6399</v>
      </c>
      <c r="K52">
        <v>20000000</v>
      </c>
      <c r="L52" t="s">
        <v>6803</v>
      </c>
    </row>
    <row r="53" spans="1:12" x14ac:dyDescent="0.35">
      <c r="A53" t="s">
        <v>6395</v>
      </c>
      <c r="B53" s="1">
        <v>45736</v>
      </c>
      <c r="C53" t="s">
        <v>10053</v>
      </c>
      <c r="F53" t="s">
        <v>10054</v>
      </c>
      <c r="H53" t="s">
        <v>6400</v>
      </c>
      <c r="J53">
        <v>15000000</v>
      </c>
      <c r="L53" t="s">
        <v>6803</v>
      </c>
    </row>
    <row r="54" spans="1:12" x14ac:dyDescent="0.35">
      <c r="A54" t="s">
        <v>6395</v>
      </c>
      <c r="B54" s="1">
        <v>45736</v>
      </c>
      <c r="C54" t="s">
        <v>10053</v>
      </c>
      <c r="F54" t="s">
        <v>9988</v>
      </c>
      <c r="H54" t="s">
        <v>6400</v>
      </c>
      <c r="K54">
        <v>15000000</v>
      </c>
      <c r="L54" t="s">
        <v>6803</v>
      </c>
    </row>
    <row r="55" spans="1:12" x14ac:dyDescent="0.35">
      <c r="A55" t="s">
        <v>6395</v>
      </c>
      <c r="B55" s="1">
        <v>45736</v>
      </c>
      <c r="C55" t="s">
        <v>10055</v>
      </c>
      <c r="F55" t="s">
        <v>9988</v>
      </c>
      <c r="H55" t="s">
        <v>58</v>
      </c>
      <c r="K55">
        <v>275</v>
      </c>
      <c r="L55" t="s">
        <v>6803</v>
      </c>
    </row>
    <row r="56" spans="1:12" x14ac:dyDescent="0.35">
      <c r="A56" t="s">
        <v>6395</v>
      </c>
      <c r="B56" s="1">
        <v>45736</v>
      </c>
      <c r="C56" t="s">
        <v>10055</v>
      </c>
      <c r="F56" t="s">
        <v>7828</v>
      </c>
      <c r="H56" t="s">
        <v>58</v>
      </c>
      <c r="J56">
        <v>275</v>
      </c>
      <c r="L56" t="s">
        <v>347</v>
      </c>
    </row>
    <row r="57" spans="1:12" x14ac:dyDescent="0.35">
      <c r="A57" t="s">
        <v>6395</v>
      </c>
      <c r="B57" s="1">
        <v>45741</v>
      </c>
      <c r="C57" t="s">
        <v>10056</v>
      </c>
      <c r="F57" t="s">
        <v>6804</v>
      </c>
      <c r="G57" t="s">
        <v>6401</v>
      </c>
      <c r="H57" t="s">
        <v>6402</v>
      </c>
      <c r="J57">
        <v>9025230</v>
      </c>
      <c r="L57" t="s">
        <v>6803</v>
      </c>
    </row>
    <row r="58" spans="1:12" x14ac:dyDescent="0.35">
      <c r="A58" t="s">
        <v>6395</v>
      </c>
      <c r="B58" s="1">
        <v>45741</v>
      </c>
      <c r="C58" t="s">
        <v>10056</v>
      </c>
      <c r="F58" t="s">
        <v>9988</v>
      </c>
      <c r="H58" t="s">
        <v>6402</v>
      </c>
      <c r="K58">
        <v>9025230</v>
      </c>
      <c r="L58" t="s">
        <v>6803</v>
      </c>
    </row>
    <row r="59" spans="1:12" x14ac:dyDescent="0.35">
      <c r="A59" t="s">
        <v>6395</v>
      </c>
      <c r="B59" s="1">
        <v>45742</v>
      </c>
      <c r="C59" t="s">
        <v>10057</v>
      </c>
      <c r="F59" t="s">
        <v>9988</v>
      </c>
      <c r="H59" t="s">
        <v>6248</v>
      </c>
      <c r="K59">
        <v>31900</v>
      </c>
      <c r="L59" t="s">
        <v>6803</v>
      </c>
    </row>
    <row r="60" spans="1:12" x14ac:dyDescent="0.35">
      <c r="A60" t="s">
        <v>6395</v>
      </c>
      <c r="B60" s="1">
        <v>45742</v>
      </c>
      <c r="C60" t="s">
        <v>10057</v>
      </c>
      <c r="F60" t="s">
        <v>7828</v>
      </c>
      <c r="H60" t="s">
        <v>6248</v>
      </c>
      <c r="J60">
        <v>31900</v>
      </c>
      <c r="L60" t="s">
        <v>347</v>
      </c>
    </row>
    <row r="61" spans="1:12" x14ac:dyDescent="0.35">
      <c r="A61" t="s">
        <v>6395</v>
      </c>
      <c r="B61" s="1">
        <v>45747</v>
      </c>
      <c r="C61" t="s">
        <v>10058</v>
      </c>
      <c r="F61" t="s">
        <v>9988</v>
      </c>
      <c r="H61" t="s">
        <v>6255</v>
      </c>
      <c r="K61">
        <v>42875</v>
      </c>
      <c r="L61" t="s">
        <v>6803</v>
      </c>
    </row>
    <row r="62" spans="1:12" x14ac:dyDescent="0.35">
      <c r="A62" t="s">
        <v>6395</v>
      </c>
      <c r="B62" s="1">
        <v>45747</v>
      </c>
      <c r="C62" t="s">
        <v>10058</v>
      </c>
      <c r="F62" t="s">
        <v>7828</v>
      </c>
      <c r="H62" t="s">
        <v>6255</v>
      </c>
      <c r="J62">
        <v>42875</v>
      </c>
      <c r="L62" t="s">
        <v>347</v>
      </c>
    </row>
    <row r="63" spans="1:12" x14ac:dyDescent="0.35">
      <c r="A63" t="s">
        <v>6403</v>
      </c>
      <c r="B63" s="1">
        <v>45717</v>
      </c>
      <c r="C63" t="s">
        <v>10059</v>
      </c>
      <c r="F63" t="s">
        <v>6804</v>
      </c>
      <c r="G63" t="s">
        <v>6383</v>
      </c>
      <c r="H63" t="s">
        <v>6404</v>
      </c>
      <c r="J63">
        <v>195880</v>
      </c>
      <c r="L63" t="s">
        <v>6803</v>
      </c>
    </row>
    <row r="64" spans="1:12" x14ac:dyDescent="0.35">
      <c r="A64" t="s">
        <v>6403</v>
      </c>
      <c r="B64" s="1">
        <v>45717</v>
      </c>
      <c r="C64" t="s">
        <v>10059</v>
      </c>
      <c r="F64" t="s">
        <v>10060</v>
      </c>
      <c r="H64" t="s">
        <v>6404</v>
      </c>
      <c r="K64">
        <v>195880</v>
      </c>
      <c r="L64" t="s">
        <v>6803</v>
      </c>
    </row>
    <row r="65" spans="1:12" x14ac:dyDescent="0.35">
      <c r="A65" t="s">
        <v>6403</v>
      </c>
      <c r="B65" s="1">
        <v>45728</v>
      </c>
      <c r="C65" t="s">
        <v>10061</v>
      </c>
      <c r="F65" t="s">
        <v>6804</v>
      </c>
      <c r="G65" t="s">
        <v>6393</v>
      </c>
      <c r="H65" t="s">
        <v>6405</v>
      </c>
      <c r="J65">
        <v>204000</v>
      </c>
      <c r="L65" t="s">
        <v>6803</v>
      </c>
    </row>
    <row r="66" spans="1:12" x14ac:dyDescent="0.35">
      <c r="A66" t="s">
        <v>6403</v>
      </c>
      <c r="B66" s="1">
        <v>45728</v>
      </c>
      <c r="C66" t="s">
        <v>10061</v>
      </c>
      <c r="F66" t="s">
        <v>10060</v>
      </c>
      <c r="H66" t="s">
        <v>6405</v>
      </c>
      <c r="K66">
        <v>204000</v>
      </c>
      <c r="L66" t="s">
        <v>6803</v>
      </c>
    </row>
    <row r="67" spans="1:12" x14ac:dyDescent="0.35">
      <c r="A67" t="s">
        <v>6403</v>
      </c>
      <c r="B67" s="1">
        <v>45735</v>
      </c>
      <c r="C67" t="s">
        <v>10062</v>
      </c>
      <c r="F67" t="s">
        <v>7514</v>
      </c>
      <c r="G67" t="s">
        <v>6074</v>
      </c>
      <c r="H67" t="s">
        <v>6406</v>
      </c>
      <c r="K67">
        <v>6000000</v>
      </c>
      <c r="L67" t="s">
        <v>6803</v>
      </c>
    </row>
    <row r="68" spans="1:12" x14ac:dyDescent="0.35">
      <c r="A68" t="s">
        <v>6403</v>
      </c>
      <c r="B68" s="1">
        <v>45735</v>
      </c>
      <c r="C68" t="s">
        <v>10062</v>
      </c>
      <c r="F68" t="s">
        <v>10060</v>
      </c>
      <c r="H68" t="s">
        <v>6406</v>
      </c>
      <c r="J68">
        <v>6000000</v>
      </c>
      <c r="L68" t="s">
        <v>6803</v>
      </c>
    </row>
    <row r="69" spans="1:12" x14ac:dyDescent="0.35">
      <c r="A69" t="s">
        <v>6403</v>
      </c>
      <c r="B69" s="1">
        <v>45747</v>
      </c>
      <c r="C69" t="s">
        <v>10063</v>
      </c>
      <c r="F69" t="s">
        <v>10060</v>
      </c>
      <c r="H69" t="s">
        <v>58</v>
      </c>
      <c r="K69">
        <v>2970</v>
      </c>
      <c r="L69" t="s">
        <v>6803</v>
      </c>
    </row>
    <row r="70" spans="1:12" x14ac:dyDescent="0.35">
      <c r="A70" t="s">
        <v>6403</v>
      </c>
      <c r="B70" s="1">
        <v>45747</v>
      </c>
      <c r="C70" t="s">
        <v>10063</v>
      </c>
      <c r="F70" t="s">
        <v>7828</v>
      </c>
      <c r="H70" t="s">
        <v>58</v>
      </c>
      <c r="J70">
        <v>2970</v>
      </c>
      <c r="L70" t="s">
        <v>347</v>
      </c>
    </row>
    <row r="71" spans="1:12" x14ac:dyDescent="0.35">
      <c r="A71" t="s">
        <v>6403</v>
      </c>
      <c r="B71" s="1">
        <v>45747</v>
      </c>
      <c r="C71" t="s">
        <v>10064</v>
      </c>
      <c r="F71" t="s">
        <v>10060</v>
      </c>
      <c r="H71" t="s">
        <v>58</v>
      </c>
      <c r="K71">
        <v>22000</v>
      </c>
      <c r="L71" t="s">
        <v>6803</v>
      </c>
    </row>
    <row r="72" spans="1:12" x14ac:dyDescent="0.35">
      <c r="A72" t="s">
        <v>6403</v>
      </c>
      <c r="B72" s="1">
        <v>45747</v>
      </c>
      <c r="C72" t="s">
        <v>10064</v>
      </c>
      <c r="F72" t="s">
        <v>7828</v>
      </c>
      <c r="H72" t="s">
        <v>58</v>
      </c>
      <c r="J72">
        <v>22000</v>
      </c>
      <c r="L72" t="s">
        <v>347</v>
      </c>
    </row>
    <row r="73" spans="1:12" x14ac:dyDescent="0.35">
      <c r="A73" t="s">
        <v>72</v>
      </c>
      <c r="B73" s="1">
        <v>45722</v>
      </c>
      <c r="C73" t="s">
        <v>7483</v>
      </c>
      <c r="D73" t="s">
        <v>10065</v>
      </c>
      <c r="E73" t="s">
        <v>6407</v>
      </c>
      <c r="F73" t="s">
        <v>10066</v>
      </c>
      <c r="H73" t="s">
        <v>6408</v>
      </c>
      <c r="J73">
        <v>12919500</v>
      </c>
      <c r="L73" t="s">
        <v>6803</v>
      </c>
    </row>
    <row r="74" spans="1:12" x14ac:dyDescent="0.35">
      <c r="A74" t="s">
        <v>72</v>
      </c>
      <c r="B74" s="1">
        <v>45722</v>
      </c>
      <c r="C74" t="s">
        <v>7483</v>
      </c>
      <c r="D74" t="s">
        <v>10065</v>
      </c>
      <c r="E74" t="s">
        <v>6407</v>
      </c>
      <c r="F74" t="s">
        <v>8402</v>
      </c>
      <c r="H74" t="s">
        <v>6408</v>
      </c>
      <c r="J74">
        <v>2325510</v>
      </c>
      <c r="L74" t="s">
        <v>6803</v>
      </c>
    </row>
    <row r="75" spans="1:12" x14ac:dyDescent="0.35">
      <c r="A75" t="s">
        <v>72</v>
      </c>
      <c r="B75" s="1">
        <v>45722</v>
      </c>
      <c r="C75" t="s">
        <v>7483</v>
      </c>
      <c r="D75" t="s">
        <v>10065</v>
      </c>
      <c r="E75" t="s">
        <v>6407</v>
      </c>
      <c r="F75" t="s">
        <v>10067</v>
      </c>
      <c r="H75" t="s">
        <v>6408</v>
      </c>
      <c r="K75">
        <v>15245010</v>
      </c>
      <c r="L75" t="s">
        <v>6803</v>
      </c>
    </row>
    <row r="76" spans="1:12" x14ac:dyDescent="0.35">
      <c r="A76" t="s">
        <v>75</v>
      </c>
      <c r="B76" s="1">
        <v>45722</v>
      </c>
      <c r="C76" t="s">
        <v>10068</v>
      </c>
      <c r="D76" t="s">
        <v>6409</v>
      </c>
      <c r="E76" t="s">
        <v>6410</v>
      </c>
      <c r="F76" t="s">
        <v>7514</v>
      </c>
      <c r="G76" t="s">
        <v>6074</v>
      </c>
      <c r="H76" t="s">
        <v>6411</v>
      </c>
      <c r="K76">
        <v>848585</v>
      </c>
      <c r="L76" t="s">
        <v>6803</v>
      </c>
    </row>
    <row r="77" spans="1:12" x14ac:dyDescent="0.35">
      <c r="A77" t="s">
        <v>75</v>
      </c>
      <c r="B77" s="1">
        <v>45722</v>
      </c>
      <c r="C77" t="s">
        <v>10068</v>
      </c>
      <c r="D77" t="s">
        <v>6409</v>
      </c>
      <c r="E77" t="s">
        <v>6410</v>
      </c>
      <c r="F77" t="s">
        <v>7572</v>
      </c>
      <c r="G77" t="s">
        <v>6385</v>
      </c>
      <c r="H77" t="s">
        <v>6411</v>
      </c>
      <c r="J77">
        <v>848585</v>
      </c>
      <c r="L77" t="s">
        <v>6803</v>
      </c>
    </row>
    <row r="78" spans="1:12" x14ac:dyDescent="0.35">
      <c r="A78" t="s">
        <v>75</v>
      </c>
      <c r="B78" s="1">
        <v>45722</v>
      </c>
      <c r="C78" t="s">
        <v>10069</v>
      </c>
      <c r="D78" t="s">
        <v>6412</v>
      </c>
      <c r="E78" t="s">
        <v>6413</v>
      </c>
      <c r="F78" t="s">
        <v>7514</v>
      </c>
      <c r="G78" t="s">
        <v>6074</v>
      </c>
      <c r="H78" t="s">
        <v>6414</v>
      </c>
      <c r="K78">
        <v>146635</v>
      </c>
      <c r="L78" t="s">
        <v>6803</v>
      </c>
    </row>
    <row r="79" spans="1:12" x14ac:dyDescent="0.35">
      <c r="A79" t="s">
        <v>75</v>
      </c>
      <c r="B79" s="1">
        <v>45722</v>
      </c>
      <c r="C79" t="s">
        <v>10069</v>
      </c>
      <c r="D79" t="s">
        <v>6412</v>
      </c>
      <c r="E79" t="s">
        <v>6413</v>
      </c>
      <c r="F79" t="s">
        <v>9940</v>
      </c>
      <c r="H79" t="s">
        <v>6414</v>
      </c>
      <c r="J79">
        <v>146635</v>
      </c>
      <c r="L79" t="s">
        <v>5913</v>
      </c>
    </row>
    <row r="80" spans="1:12" x14ac:dyDescent="0.35">
      <c r="A80" t="s">
        <v>75</v>
      </c>
      <c r="B80" s="1">
        <v>45726</v>
      </c>
      <c r="C80" t="s">
        <v>10070</v>
      </c>
      <c r="D80" t="s">
        <v>6415</v>
      </c>
      <c r="E80" t="s">
        <v>6416</v>
      </c>
      <c r="F80" t="s">
        <v>7514</v>
      </c>
      <c r="G80" t="s">
        <v>6074</v>
      </c>
      <c r="H80" t="s">
        <v>6417</v>
      </c>
      <c r="K80">
        <v>56073</v>
      </c>
      <c r="L80" t="s">
        <v>6803</v>
      </c>
    </row>
    <row r="81" spans="1:12" x14ac:dyDescent="0.35">
      <c r="A81" t="s">
        <v>75</v>
      </c>
      <c r="B81" s="1">
        <v>45726</v>
      </c>
      <c r="C81" t="s">
        <v>10070</v>
      </c>
      <c r="D81" t="s">
        <v>6415</v>
      </c>
      <c r="E81" t="s">
        <v>6416</v>
      </c>
      <c r="F81" t="s">
        <v>9940</v>
      </c>
      <c r="H81" t="s">
        <v>6417</v>
      </c>
      <c r="J81">
        <v>56073</v>
      </c>
      <c r="L81" t="s">
        <v>5913</v>
      </c>
    </row>
    <row r="82" spans="1:12" x14ac:dyDescent="0.35">
      <c r="A82" t="s">
        <v>75</v>
      </c>
      <c r="B82" s="1">
        <v>45726</v>
      </c>
      <c r="C82" t="s">
        <v>10071</v>
      </c>
      <c r="D82" t="s">
        <v>6418</v>
      </c>
      <c r="E82" t="s">
        <v>6419</v>
      </c>
      <c r="F82" t="s">
        <v>7514</v>
      </c>
      <c r="G82" t="s">
        <v>6074</v>
      </c>
      <c r="H82" t="s">
        <v>6420</v>
      </c>
      <c r="K82">
        <v>72055</v>
      </c>
      <c r="L82" t="s">
        <v>6803</v>
      </c>
    </row>
    <row r="83" spans="1:12" x14ac:dyDescent="0.35">
      <c r="A83" t="s">
        <v>75</v>
      </c>
      <c r="B83" s="1">
        <v>45726</v>
      </c>
      <c r="C83" t="s">
        <v>10071</v>
      </c>
      <c r="D83" t="s">
        <v>6418</v>
      </c>
      <c r="E83" t="s">
        <v>6419</v>
      </c>
      <c r="F83" t="s">
        <v>7572</v>
      </c>
      <c r="G83" t="s">
        <v>6385</v>
      </c>
      <c r="H83" t="s">
        <v>6420</v>
      </c>
      <c r="J83">
        <v>72055</v>
      </c>
      <c r="L83" t="s">
        <v>6803</v>
      </c>
    </row>
    <row r="84" spans="1:12" x14ac:dyDescent="0.35">
      <c r="A84" t="s">
        <v>75</v>
      </c>
      <c r="B84" s="1">
        <v>45726</v>
      </c>
      <c r="C84" t="s">
        <v>10072</v>
      </c>
      <c r="D84" t="s">
        <v>6421</v>
      </c>
      <c r="E84" t="s">
        <v>6422</v>
      </c>
      <c r="F84" t="s">
        <v>7514</v>
      </c>
      <c r="G84" t="s">
        <v>6074</v>
      </c>
      <c r="H84" t="s">
        <v>6423</v>
      </c>
      <c r="K84">
        <v>109926</v>
      </c>
      <c r="L84" t="s">
        <v>6803</v>
      </c>
    </row>
    <row r="85" spans="1:12" x14ac:dyDescent="0.35">
      <c r="A85" t="s">
        <v>75</v>
      </c>
      <c r="B85" s="1">
        <v>45726</v>
      </c>
      <c r="C85" t="s">
        <v>10072</v>
      </c>
      <c r="D85" t="s">
        <v>6421</v>
      </c>
      <c r="E85" t="s">
        <v>6422</v>
      </c>
      <c r="F85" t="s">
        <v>10073</v>
      </c>
      <c r="H85" t="s">
        <v>6423</v>
      </c>
      <c r="J85">
        <v>109926</v>
      </c>
      <c r="L85" t="s">
        <v>5951</v>
      </c>
    </row>
    <row r="86" spans="1:12" x14ac:dyDescent="0.35">
      <c r="A86" t="s">
        <v>75</v>
      </c>
      <c r="B86" s="1">
        <v>45729</v>
      </c>
      <c r="C86" t="s">
        <v>10074</v>
      </c>
      <c r="D86" t="s">
        <v>6424</v>
      </c>
      <c r="E86" t="s">
        <v>6425</v>
      </c>
      <c r="F86" t="s">
        <v>6804</v>
      </c>
      <c r="G86" t="s">
        <v>6389</v>
      </c>
      <c r="H86" t="s">
        <v>6426</v>
      </c>
      <c r="I86" s="1">
        <v>45729</v>
      </c>
      <c r="J86">
        <v>9800000</v>
      </c>
      <c r="L86" t="s">
        <v>6803</v>
      </c>
    </row>
    <row r="87" spans="1:12" x14ac:dyDescent="0.35">
      <c r="A87" t="s">
        <v>75</v>
      </c>
      <c r="B87" s="1">
        <v>45729</v>
      </c>
      <c r="C87" t="s">
        <v>10074</v>
      </c>
      <c r="D87" t="s">
        <v>6424</v>
      </c>
      <c r="E87" t="s">
        <v>6425</v>
      </c>
      <c r="F87" t="s">
        <v>7514</v>
      </c>
      <c r="G87" t="s">
        <v>6074</v>
      </c>
      <c r="H87" t="s">
        <v>6426</v>
      </c>
      <c r="K87">
        <v>9800000</v>
      </c>
      <c r="L87" t="s">
        <v>6803</v>
      </c>
    </row>
    <row r="88" spans="1:12" x14ac:dyDescent="0.35">
      <c r="A88" t="s">
        <v>75</v>
      </c>
      <c r="B88" s="1">
        <v>45729</v>
      </c>
      <c r="C88" t="s">
        <v>10075</v>
      </c>
      <c r="D88" t="s">
        <v>6424</v>
      </c>
      <c r="E88" t="s">
        <v>6425</v>
      </c>
      <c r="F88" t="s">
        <v>7514</v>
      </c>
      <c r="G88" t="s">
        <v>6074</v>
      </c>
      <c r="H88" t="s">
        <v>6427</v>
      </c>
      <c r="K88">
        <v>262000</v>
      </c>
      <c r="L88" t="s">
        <v>6803</v>
      </c>
    </row>
    <row r="89" spans="1:12" x14ac:dyDescent="0.35">
      <c r="A89" t="s">
        <v>75</v>
      </c>
      <c r="B89" s="1">
        <v>45729</v>
      </c>
      <c r="C89" t="s">
        <v>10075</v>
      </c>
      <c r="D89" t="s">
        <v>6424</v>
      </c>
      <c r="E89" t="s">
        <v>6425</v>
      </c>
      <c r="F89" t="s">
        <v>8141</v>
      </c>
      <c r="H89" t="s">
        <v>6427</v>
      </c>
      <c r="J89">
        <v>262000</v>
      </c>
      <c r="L89" t="s">
        <v>5951</v>
      </c>
    </row>
    <row r="90" spans="1:12" x14ac:dyDescent="0.35">
      <c r="A90" t="s">
        <v>75</v>
      </c>
      <c r="B90" s="1">
        <v>45740</v>
      </c>
      <c r="C90" t="s">
        <v>10076</v>
      </c>
      <c r="D90" t="s">
        <v>6421</v>
      </c>
      <c r="E90" t="s">
        <v>6422</v>
      </c>
      <c r="F90" t="s">
        <v>7514</v>
      </c>
      <c r="G90" t="s">
        <v>6074</v>
      </c>
      <c r="H90" t="s">
        <v>6428</v>
      </c>
      <c r="K90">
        <v>118073</v>
      </c>
      <c r="L90" t="s">
        <v>6803</v>
      </c>
    </row>
    <row r="91" spans="1:12" x14ac:dyDescent="0.35">
      <c r="A91" t="s">
        <v>75</v>
      </c>
      <c r="B91" s="1">
        <v>45740</v>
      </c>
      <c r="C91" t="s">
        <v>10076</v>
      </c>
      <c r="D91" t="s">
        <v>6421</v>
      </c>
      <c r="E91" t="s">
        <v>6422</v>
      </c>
      <c r="F91" t="s">
        <v>10077</v>
      </c>
      <c r="H91" t="s">
        <v>6428</v>
      </c>
      <c r="J91">
        <v>118073</v>
      </c>
      <c r="L91" t="s">
        <v>6803</v>
      </c>
    </row>
    <row r="92" spans="1:12" x14ac:dyDescent="0.35">
      <c r="A92" t="s">
        <v>75</v>
      </c>
      <c r="B92" s="1">
        <v>45742</v>
      </c>
      <c r="C92" t="s">
        <v>10078</v>
      </c>
      <c r="D92" t="s">
        <v>6429</v>
      </c>
      <c r="E92" t="s">
        <v>6430</v>
      </c>
      <c r="F92" t="s">
        <v>7847</v>
      </c>
      <c r="H92" t="s">
        <v>6431</v>
      </c>
      <c r="J92">
        <v>20312274</v>
      </c>
      <c r="L92" t="s">
        <v>6803</v>
      </c>
    </row>
    <row r="93" spans="1:12" x14ac:dyDescent="0.35">
      <c r="A93" t="s">
        <v>75</v>
      </c>
      <c r="B93" s="1">
        <v>45742</v>
      </c>
      <c r="C93" t="s">
        <v>10078</v>
      </c>
      <c r="D93" t="s">
        <v>6429</v>
      </c>
      <c r="E93" t="s">
        <v>6430</v>
      </c>
      <c r="F93" t="s">
        <v>7514</v>
      </c>
      <c r="G93" t="s">
        <v>6432</v>
      </c>
      <c r="H93" t="s">
        <v>6431</v>
      </c>
      <c r="K93">
        <v>20312274</v>
      </c>
      <c r="L93" t="s">
        <v>6803</v>
      </c>
    </row>
    <row r="94" spans="1:12" x14ac:dyDescent="0.35">
      <c r="A94" t="s">
        <v>75</v>
      </c>
      <c r="B94" s="1">
        <v>45744</v>
      </c>
      <c r="C94" t="s">
        <v>10079</v>
      </c>
      <c r="D94" t="s">
        <v>6433</v>
      </c>
      <c r="E94" t="s">
        <v>6434</v>
      </c>
      <c r="F94" t="s">
        <v>7514</v>
      </c>
      <c r="G94" t="s">
        <v>6074</v>
      </c>
      <c r="H94" t="s">
        <v>6435</v>
      </c>
      <c r="K94">
        <v>242040</v>
      </c>
      <c r="L94" t="s">
        <v>6803</v>
      </c>
    </row>
    <row r="95" spans="1:12" x14ac:dyDescent="0.35">
      <c r="A95" t="s">
        <v>75</v>
      </c>
      <c r="B95" s="1">
        <v>45744</v>
      </c>
      <c r="C95" t="s">
        <v>10079</v>
      </c>
      <c r="D95" t="s">
        <v>6433</v>
      </c>
      <c r="E95" t="s">
        <v>6434</v>
      </c>
      <c r="F95" t="s">
        <v>8105</v>
      </c>
      <c r="H95" t="s">
        <v>6435</v>
      </c>
      <c r="J95">
        <v>242040</v>
      </c>
      <c r="L95" t="s">
        <v>5878</v>
      </c>
    </row>
    <row r="96" spans="1:12" x14ac:dyDescent="0.35">
      <c r="A96" t="s">
        <v>75</v>
      </c>
      <c r="B96" s="1">
        <v>45744</v>
      </c>
      <c r="C96" t="s">
        <v>10080</v>
      </c>
      <c r="D96" t="s">
        <v>6433</v>
      </c>
      <c r="E96" t="s">
        <v>6434</v>
      </c>
      <c r="F96" t="s">
        <v>7514</v>
      </c>
      <c r="G96" t="s">
        <v>6074</v>
      </c>
      <c r="H96" t="s">
        <v>6436</v>
      </c>
      <c r="K96">
        <v>85000</v>
      </c>
      <c r="L96" t="s">
        <v>6803</v>
      </c>
    </row>
    <row r="97" spans="1:12" x14ac:dyDescent="0.35">
      <c r="A97" t="s">
        <v>75</v>
      </c>
      <c r="B97" s="1">
        <v>45744</v>
      </c>
      <c r="C97" t="s">
        <v>10080</v>
      </c>
      <c r="D97" t="s">
        <v>6433</v>
      </c>
      <c r="E97" t="s">
        <v>6434</v>
      </c>
      <c r="F97" t="s">
        <v>7744</v>
      </c>
      <c r="H97" t="s">
        <v>6436</v>
      </c>
      <c r="J97">
        <v>85000</v>
      </c>
      <c r="L97" t="s">
        <v>5964</v>
      </c>
    </row>
    <row r="98" spans="1:12" x14ac:dyDescent="0.35">
      <c r="A98" t="s">
        <v>75</v>
      </c>
      <c r="B98" s="1">
        <v>45744</v>
      </c>
      <c r="C98" t="s">
        <v>10081</v>
      </c>
      <c r="D98" t="s">
        <v>6437</v>
      </c>
      <c r="E98" t="s">
        <v>6438</v>
      </c>
      <c r="F98" t="s">
        <v>6804</v>
      </c>
      <c r="G98" t="s">
        <v>6439</v>
      </c>
      <c r="H98" t="s">
        <v>6440</v>
      </c>
      <c r="I98" s="1">
        <v>45744</v>
      </c>
      <c r="J98">
        <v>7011700</v>
      </c>
      <c r="L98" t="s">
        <v>6803</v>
      </c>
    </row>
    <row r="99" spans="1:12" x14ac:dyDescent="0.35">
      <c r="A99" t="s">
        <v>75</v>
      </c>
      <c r="B99" s="1">
        <v>45744</v>
      </c>
      <c r="C99" t="s">
        <v>10081</v>
      </c>
      <c r="D99" t="s">
        <v>6437</v>
      </c>
      <c r="E99" t="s">
        <v>6438</v>
      </c>
      <c r="F99" t="s">
        <v>7514</v>
      </c>
      <c r="G99" t="s">
        <v>6074</v>
      </c>
      <c r="H99" t="s">
        <v>6440</v>
      </c>
      <c r="K99">
        <v>7011700</v>
      </c>
      <c r="L99" t="s">
        <v>6803</v>
      </c>
    </row>
    <row r="100" spans="1:12" x14ac:dyDescent="0.35">
      <c r="A100" t="s">
        <v>101</v>
      </c>
      <c r="B100" s="1">
        <v>45717</v>
      </c>
      <c r="C100" t="s">
        <v>10082</v>
      </c>
      <c r="F100" t="s">
        <v>9984</v>
      </c>
      <c r="H100" t="s">
        <v>2750</v>
      </c>
      <c r="K100">
        <v>337500</v>
      </c>
      <c r="L100" t="s">
        <v>6803</v>
      </c>
    </row>
    <row r="101" spans="1:12" x14ac:dyDescent="0.35">
      <c r="A101" t="s">
        <v>101</v>
      </c>
      <c r="B101" s="1">
        <v>45717</v>
      </c>
      <c r="C101" t="s">
        <v>10082</v>
      </c>
      <c r="F101" t="s">
        <v>9984</v>
      </c>
      <c r="H101" t="s">
        <v>2750</v>
      </c>
      <c r="J101">
        <v>5680680</v>
      </c>
      <c r="L101" t="s">
        <v>6803</v>
      </c>
    </row>
    <row r="102" spans="1:12" x14ac:dyDescent="0.35">
      <c r="A102" t="s">
        <v>101</v>
      </c>
      <c r="B102" s="1">
        <v>45717</v>
      </c>
      <c r="C102" t="s">
        <v>10082</v>
      </c>
      <c r="F102" t="s">
        <v>8402</v>
      </c>
      <c r="H102" t="s">
        <v>2750</v>
      </c>
      <c r="K102">
        <v>3488265</v>
      </c>
      <c r="L102" t="s">
        <v>6803</v>
      </c>
    </row>
    <row r="103" spans="1:12" x14ac:dyDescent="0.35">
      <c r="A103" t="s">
        <v>101</v>
      </c>
      <c r="B103" s="1">
        <v>45717</v>
      </c>
      <c r="C103" t="s">
        <v>10082</v>
      </c>
      <c r="F103" t="s">
        <v>6819</v>
      </c>
      <c r="H103" t="s">
        <v>2750</v>
      </c>
      <c r="K103">
        <v>1854915</v>
      </c>
      <c r="L103" t="s">
        <v>6803</v>
      </c>
    </row>
    <row r="104" spans="1:12" x14ac:dyDescent="0.35">
      <c r="A104" t="s">
        <v>101</v>
      </c>
      <c r="B104" s="1">
        <v>45717</v>
      </c>
      <c r="C104" t="s">
        <v>10083</v>
      </c>
      <c r="F104" t="s">
        <v>7572</v>
      </c>
      <c r="G104" t="s">
        <v>6385</v>
      </c>
      <c r="H104" t="s">
        <v>6441</v>
      </c>
      <c r="K104">
        <v>72352205</v>
      </c>
      <c r="L104" t="s">
        <v>6803</v>
      </c>
    </row>
    <row r="105" spans="1:12" x14ac:dyDescent="0.35">
      <c r="A105" t="s">
        <v>101</v>
      </c>
      <c r="B105" s="1">
        <v>45717</v>
      </c>
      <c r="C105" t="s">
        <v>10083</v>
      </c>
      <c r="F105" t="s">
        <v>7338</v>
      </c>
      <c r="H105" t="s">
        <v>6441</v>
      </c>
      <c r="J105">
        <v>72352200</v>
      </c>
      <c r="L105" t="s">
        <v>6803</v>
      </c>
    </row>
    <row r="106" spans="1:12" x14ac:dyDescent="0.35">
      <c r="A106" t="s">
        <v>101</v>
      </c>
      <c r="B106" s="1">
        <v>45717</v>
      </c>
      <c r="C106" t="s">
        <v>10083</v>
      </c>
      <c r="F106" t="s">
        <v>7374</v>
      </c>
      <c r="H106" t="s">
        <v>6441</v>
      </c>
      <c r="J106">
        <v>5</v>
      </c>
      <c r="L106" t="s">
        <v>352</v>
      </c>
    </row>
    <row r="107" spans="1:12" x14ac:dyDescent="0.35">
      <c r="A107" t="s">
        <v>101</v>
      </c>
      <c r="B107" s="1">
        <v>45747</v>
      </c>
      <c r="C107" t="s">
        <v>10084</v>
      </c>
      <c r="E107" t="s">
        <v>6347</v>
      </c>
      <c r="F107" t="s">
        <v>10085</v>
      </c>
      <c r="H107" t="s">
        <v>113</v>
      </c>
      <c r="J107">
        <v>126151000</v>
      </c>
      <c r="L107" t="s">
        <v>6803</v>
      </c>
    </row>
    <row r="108" spans="1:12" x14ac:dyDescent="0.35">
      <c r="A108" t="s">
        <v>101</v>
      </c>
      <c r="B108" s="1">
        <v>45747</v>
      </c>
      <c r="C108" t="s">
        <v>10084</v>
      </c>
      <c r="E108" t="s">
        <v>6347</v>
      </c>
      <c r="F108" t="s">
        <v>10086</v>
      </c>
      <c r="H108" t="s">
        <v>113</v>
      </c>
      <c r="K108">
        <v>126151000</v>
      </c>
      <c r="L108" t="s">
        <v>6463</v>
      </c>
    </row>
    <row r="109" spans="1:12" x14ac:dyDescent="0.35">
      <c r="A109" t="s">
        <v>101</v>
      </c>
      <c r="B109" s="1">
        <v>45747</v>
      </c>
      <c r="C109" t="s">
        <v>10087</v>
      </c>
      <c r="F109" t="s">
        <v>10088</v>
      </c>
      <c r="H109" t="s">
        <v>6442</v>
      </c>
      <c r="K109">
        <v>9382808</v>
      </c>
      <c r="L109" t="s">
        <v>6803</v>
      </c>
    </row>
    <row r="110" spans="1:12" x14ac:dyDescent="0.35">
      <c r="A110" t="s">
        <v>101</v>
      </c>
      <c r="B110" s="1">
        <v>45747</v>
      </c>
      <c r="C110" t="s">
        <v>10087</v>
      </c>
      <c r="F110" t="s">
        <v>10089</v>
      </c>
      <c r="H110" t="s">
        <v>6442</v>
      </c>
      <c r="J110">
        <v>9382808</v>
      </c>
      <c r="L110" t="s">
        <v>342</v>
      </c>
    </row>
    <row r="111" spans="1:12" x14ac:dyDescent="0.35">
      <c r="A111" t="s">
        <v>101</v>
      </c>
      <c r="B111" s="1">
        <v>45747</v>
      </c>
      <c r="C111" t="s">
        <v>10090</v>
      </c>
      <c r="F111" t="s">
        <v>10052</v>
      </c>
      <c r="H111" t="s">
        <v>6443</v>
      </c>
      <c r="K111">
        <v>5095890</v>
      </c>
      <c r="L111" t="s">
        <v>6803</v>
      </c>
    </row>
    <row r="112" spans="1:12" x14ac:dyDescent="0.35">
      <c r="A112" t="s">
        <v>101</v>
      </c>
      <c r="B112" s="1">
        <v>45747</v>
      </c>
      <c r="C112" t="s">
        <v>10090</v>
      </c>
      <c r="F112" t="s">
        <v>10089</v>
      </c>
      <c r="H112" t="s">
        <v>6443</v>
      </c>
      <c r="J112">
        <v>5095890</v>
      </c>
      <c r="L112" t="s">
        <v>342</v>
      </c>
    </row>
    <row r="113" spans="1:12" x14ac:dyDescent="0.35">
      <c r="A113" t="s">
        <v>101</v>
      </c>
      <c r="B113" s="1">
        <v>45747</v>
      </c>
      <c r="C113" t="s">
        <v>10091</v>
      </c>
      <c r="F113" t="s">
        <v>10054</v>
      </c>
      <c r="H113" t="s">
        <v>6444</v>
      </c>
      <c r="K113">
        <v>5095890</v>
      </c>
      <c r="L113" t="s">
        <v>6803</v>
      </c>
    </row>
    <row r="114" spans="1:12" x14ac:dyDescent="0.35">
      <c r="A114" t="s">
        <v>101</v>
      </c>
      <c r="B114" s="1">
        <v>45747</v>
      </c>
      <c r="C114" t="s">
        <v>10091</v>
      </c>
      <c r="F114" t="s">
        <v>10089</v>
      </c>
      <c r="H114" t="s">
        <v>6444</v>
      </c>
      <c r="J114">
        <v>5095890</v>
      </c>
      <c r="L114" t="s">
        <v>342</v>
      </c>
    </row>
    <row r="115" spans="1:12" x14ac:dyDescent="0.35">
      <c r="A115" t="s">
        <v>101</v>
      </c>
      <c r="B115" s="1">
        <v>45747</v>
      </c>
      <c r="C115" t="s">
        <v>10092</v>
      </c>
      <c r="F115" t="s">
        <v>10093</v>
      </c>
      <c r="G115" t="s">
        <v>6074</v>
      </c>
      <c r="H115" t="s">
        <v>6445</v>
      </c>
      <c r="J115">
        <v>9478356</v>
      </c>
      <c r="L115" t="s">
        <v>6803</v>
      </c>
    </row>
    <row r="116" spans="1:12" x14ac:dyDescent="0.35">
      <c r="A116" t="s">
        <v>101</v>
      </c>
      <c r="B116" s="1">
        <v>45747</v>
      </c>
      <c r="C116" t="s">
        <v>10092</v>
      </c>
      <c r="F116" t="s">
        <v>10094</v>
      </c>
      <c r="H116" t="s">
        <v>6445</v>
      </c>
      <c r="K116">
        <v>9478356</v>
      </c>
      <c r="L116" t="s">
        <v>6463</v>
      </c>
    </row>
    <row r="117" spans="1:12" x14ac:dyDescent="0.35">
      <c r="A117" t="s">
        <v>101</v>
      </c>
      <c r="B117" s="1">
        <v>45747</v>
      </c>
      <c r="C117" t="s">
        <v>10095</v>
      </c>
      <c r="F117" t="s">
        <v>8503</v>
      </c>
      <c r="H117" t="s">
        <v>6446</v>
      </c>
      <c r="K117">
        <v>342084</v>
      </c>
      <c r="L117" t="s">
        <v>6803</v>
      </c>
    </row>
    <row r="118" spans="1:12" x14ac:dyDescent="0.35">
      <c r="A118" t="s">
        <v>101</v>
      </c>
      <c r="B118" s="1">
        <v>45747</v>
      </c>
      <c r="C118" t="s">
        <v>10095</v>
      </c>
      <c r="F118" t="s">
        <v>7370</v>
      </c>
      <c r="H118" t="s">
        <v>6446</v>
      </c>
      <c r="J118">
        <v>342084</v>
      </c>
      <c r="L118" t="s">
        <v>5913</v>
      </c>
    </row>
    <row r="119" spans="1:12" x14ac:dyDescent="0.35">
      <c r="A119" t="s">
        <v>101</v>
      </c>
      <c r="B119" s="1">
        <v>45747</v>
      </c>
      <c r="C119" t="s">
        <v>10096</v>
      </c>
      <c r="F119" t="s">
        <v>8503</v>
      </c>
      <c r="H119" t="s">
        <v>6183</v>
      </c>
      <c r="K119">
        <v>114028</v>
      </c>
      <c r="L119" t="s">
        <v>6803</v>
      </c>
    </row>
    <row r="120" spans="1:12" x14ac:dyDescent="0.35">
      <c r="A120" t="s">
        <v>101</v>
      </c>
      <c r="B120" s="1">
        <v>45747</v>
      </c>
      <c r="C120" t="s">
        <v>10096</v>
      </c>
      <c r="F120" t="s">
        <v>8503</v>
      </c>
      <c r="H120" t="s">
        <v>6183</v>
      </c>
      <c r="K120">
        <v>171042</v>
      </c>
      <c r="L120" t="s">
        <v>6803</v>
      </c>
    </row>
    <row r="121" spans="1:12" x14ac:dyDescent="0.35">
      <c r="A121" t="s">
        <v>101</v>
      </c>
      <c r="B121" s="1">
        <v>45747</v>
      </c>
      <c r="C121" t="s">
        <v>10096</v>
      </c>
      <c r="F121" t="s">
        <v>8506</v>
      </c>
      <c r="H121" t="s">
        <v>6183</v>
      </c>
      <c r="J121">
        <v>114028</v>
      </c>
      <c r="L121" t="s">
        <v>5913</v>
      </c>
    </row>
    <row r="122" spans="1:12" x14ac:dyDescent="0.35">
      <c r="A122" t="s">
        <v>101</v>
      </c>
      <c r="B122" s="1">
        <v>45747</v>
      </c>
      <c r="C122" t="s">
        <v>10096</v>
      </c>
      <c r="F122" t="s">
        <v>8507</v>
      </c>
      <c r="H122" t="s">
        <v>6183</v>
      </c>
      <c r="J122">
        <v>171042</v>
      </c>
      <c r="L122" t="s">
        <v>5913</v>
      </c>
    </row>
    <row r="123" spans="1:12" x14ac:dyDescent="0.35">
      <c r="A123" t="s">
        <v>101</v>
      </c>
      <c r="B123" s="1">
        <v>45747</v>
      </c>
      <c r="C123" t="s">
        <v>10097</v>
      </c>
      <c r="F123" t="s">
        <v>9977</v>
      </c>
      <c r="H123" t="s">
        <v>6184</v>
      </c>
      <c r="K123">
        <v>25875</v>
      </c>
      <c r="L123" t="s">
        <v>6803</v>
      </c>
    </row>
    <row r="124" spans="1:12" x14ac:dyDescent="0.35">
      <c r="A124" t="s">
        <v>101</v>
      </c>
      <c r="B124" s="1">
        <v>45747</v>
      </c>
      <c r="C124" t="s">
        <v>10097</v>
      </c>
      <c r="F124" t="s">
        <v>9978</v>
      </c>
      <c r="H124" t="s">
        <v>6184</v>
      </c>
      <c r="K124">
        <v>13500</v>
      </c>
      <c r="L124" t="s">
        <v>6803</v>
      </c>
    </row>
    <row r="125" spans="1:12" x14ac:dyDescent="0.35">
      <c r="A125" t="s">
        <v>101</v>
      </c>
      <c r="B125" s="1">
        <v>45747</v>
      </c>
      <c r="C125" t="s">
        <v>10097</v>
      </c>
      <c r="F125" t="s">
        <v>7883</v>
      </c>
      <c r="H125" t="s">
        <v>6184</v>
      </c>
      <c r="K125">
        <v>1231352</v>
      </c>
      <c r="L125" t="s">
        <v>6803</v>
      </c>
    </row>
    <row r="126" spans="1:12" x14ac:dyDescent="0.35">
      <c r="A126" t="s">
        <v>101</v>
      </c>
      <c r="B126" s="1">
        <v>45747</v>
      </c>
      <c r="C126" t="s">
        <v>10097</v>
      </c>
      <c r="F126" t="s">
        <v>7345</v>
      </c>
      <c r="H126" t="s">
        <v>6184</v>
      </c>
      <c r="J126">
        <v>1270727</v>
      </c>
      <c r="L126" t="s">
        <v>5913</v>
      </c>
    </row>
    <row r="127" spans="1:12" x14ac:dyDescent="0.35">
      <c r="A127" t="s">
        <v>101</v>
      </c>
      <c r="B127" s="1">
        <v>45747</v>
      </c>
      <c r="C127" t="s">
        <v>10098</v>
      </c>
      <c r="F127" t="s">
        <v>8492</v>
      </c>
      <c r="H127" t="s">
        <v>2849</v>
      </c>
      <c r="K127">
        <v>3000</v>
      </c>
      <c r="L127" t="s">
        <v>6803</v>
      </c>
    </row>
    <row r="128" spans="1:12" x14ac:dyDescent="0.35">
      <c r="A128" t="s">
        <v>101</v>
      </c>
      <c r="B128" s="1">
        <v>45747</v>
      </c>
      <c r="C128" t="s">
        <v>10098</v>
      </c>
      <c r="F128" t="s">
        <v>7345</v>
      </c>
      <c r="H128" t="s">
        <v>2849</v>
      </c>
      <c r="J128">
        <v>3000</v>
      </c>
      <c r="L128" t="s">
        <v>5913</v>
      </c>
    </row>
    <row r="129" spans="1:12" x14ac:dyDescent="0.35">
      <c r="A129" t="s">
        <v>101</v>
      </c>
      <c r="B129" s="1">
        <v>45747</v>
      </c>
      <c r="C129" t="s">
        <v>10099</v>
      </c>
      <c r="F129" t="s">
        <v>10100</v>
      </c>
      <c r="H129" t="s">
        <v>6447</v>
      </c>
      <c r="K129">
        <v>2127442</v>
      </c>
      <c r="L129" t="s">
        <v>6803</v>
      </c>
    </row>
    <row r="130" spans="1:12" x14ac:dyDescent="0.35">
      <c r="A130" t="s">
        <v>101</v>
      </c>
      <c r="B130" s="1">
        <v>45747</v>
      </c>
      <c r="C130" t="s">
        <v>10099</v>
      </c>
      <c r="F130" t="s">
        <v>10089</v>
      </c>
      <c r="H130" t="s">
        <v>6447</v>
      </c>
      <c r="J130">
        <v>2127442</v>
      </c>
      <c r="L130" t="s">
        <v>342</v>
      </c>
    </row>
    <row r="131" spans="1:12" x14ac:dyDescent="0.35">
      <c r="A131" t="s">
        <v>101</v>
      </c>
      <c r="B131" s="1">
        <v>45747</v>
      </c>
      <c r="C131" t="s">
        <v>10101</v>
      </c>
      <c r="F131" t="s">
        <v>10102</v>
      </c>
      <c r="H131" t="s">
        <v>6448</v>
      </c>
      <c r="K131">
        <v>14267644</v>
      </c>
      <c r="L131" t="s">
        <v>6803</v>
      </c>
    </row>
    <row r="132" spans="1:12" x14ac:dyDescent="0.35">
      <c r="A132" t="s">
        <v>101</v>
      </c>
      <c r="B132" s="1">
        <v>45747</v>
      </c>
      <c r="C132" t="s">
        <v>10101</v>
      </c>
      <c r="F132" t="s">
        <v>10089</v>
      </c>
      <c r="H132" t="s">
        <v>6448</v>
      </c>
      <c r="J132">
        <v>14267644</v>
      </c>
      <c r="L132" t="s">
        <v>342</v>
      </c>
    </row>
    <row r="133" spans="1:12" x14ac:dyDescent="0.35">
      <c r="A133" t="s">
        <v>101</v>
      </c>
      <c r="B133" s="1">
        <v>45747</v>
      </c>
      <c r="C133" t="s">
        <v>10103</v>
      </c>
      <c r="F133" t="s">
        <v>7514</v>
      </c>
      <c r="G133" t="s">
        <v>6074</v>
      </c>
      <c r="H133" t="s">
        <v>6449</v>
      </c>
      <c r="K133">
        <v>793750</v>
      </c>
      <c r="L133" t="s">
        <v>6803</v>
      </c>
    </row>
    <row r="134" spans="1:12" x14ac:dyDescent="0.35">
      <c r="A134" t="s">
        <v>101</v>
      </c>
      <c r="B134" s="1">
        <v>45747</v>
      </c>
      <c r="C134" t="s">
        <v>10103</v>
      </c>
      <c r="F134" t="s">
        <v>8105</v>
      </c>
      <c r="H134" t="s">
        <v>6449</v>
      </c>
      <c r="J134">
        <v>793750</v>
      </c>
      <c r="L134" t="s">
        <v>5878</v>
      </c>
    </row>
    <row r="135" spans="1:12" x14ac:dyDescent="0.35">
      <c r="A135" t="s">
        <v>101</v>
      </c>
      <c r="B135" s="1">
        <v>45747</v>
      </c>
      <c r="C135" t="s">
        <v>10104</v>
      </c>
      <c r="F135" t="s">
        <v>8415</v>
      </c>
      <c r="G135" t="s">
        <v>6074</v>
      </c>
      <c r="H135" t="s">
        <v>6450</v>
      </c>
      <c r="K135">
        <v>724865</v>
      </c>
      <c r="L135" t="s">
        <v>6803</v>
      </c>
    </row>
    <row r="136" spans="1:12" x14ac:dyDescent="0.35">
      <c r="A136" t="s">
        <v>101</v>
      </c>
      <c r="B136" s="1">
        <v>45747</v>
      </c>
      <c r="C136" t="s">
        <v>10104</v>
      </c>
      <c r="F136" t="s">
        <v>9936</v>
      </c>
      <c r="H136" t="s">
        <v>102</v>
      </c>
      <c r="K136">
        <v>-4000000</v>
      </c>
      <c r="L136" t="s">
        <v>6803</v>
      </c>
    </row>
    <row r="137" spans="1:12" x14ac:dyDescent="0.35">
      <c r="A137" t="s">
        <v>101</v>
      </c>
      <c r="B137" s="1">
        <v>45747</v>
      </c>
      <c r="C137" t="s">
        <v>10104</v>
      </c>
      <c r="F137" t="s">
        <v>7338</v>
      </c>
      <c r="H137" t="s">
        <v>102</v>
      </c>
      <c r="J137">
        <v>-4000000</v>
      </c>
      <c r="L137" t="s">
        <v>6803</v>
      </c>
    </row>
    <row r="138" spans="1:12" x14ac:dyDescent="0.35">
      <c r="A138" t="s">
        <v>101</v>
      </c>
      <c r="B138" s="1">
        <v>45747</v>
      </c>
      <c r="C138" t="s">
        <v>10104</v>
      </c>
      <c r="F138" t="s">
        <v>8070</v>
      </c>
      <c r="H138" t="s">
        <v>6450</v>
      </c>
      <c r="J138">
        <v>724865</v>
      </c>
      <c r="L138" t="s">
        <v>5909</v>
      </c>
    </row>
    <row r="139" spans="1:12" x14ac:dyDescent="0.35">
      <c r="A139" t="s">
        <v>101</v>
      </c>
      <c r="B139" s="1">
        <v>45747</v>
      </c>
      <c r="C139" t="s">
        <v>10105</v>
      </c>
      <c r="F139" t="s">
        <v>9936</v>
      </c>
      <c r="H139" t="s">
        <v>6451</v>
      </c>
      <c r="K139">
        <v>4000000</v>
      </c>
      <c r="L139" t="s">
        <v>6803</v>
      </c>
    </row>
    <row r="140" spans="1:12" x14ac:dyDescent="0.35">
      <c r="A140" t="s">
        <v>101</v>
      </c>
      <c r="B140" s="1">
        <v>45747</v>
      </c>
      <c r="C140" t="s">
        <v>10105</v>
      </c>
      <c r="F140" t="s">
        <v>7338</v>
      </c>
      <c r="H140" t="s">
        <v>6451</v>
      </c>
      <c r="J140">
        <v>4000000</v>
      </c>
      <c r="L140" t="s">
        <v>6803</v>
      </c>
    </row>
    <row r="141" spans="1:12" x14ac:dyDescent="0.35">
      <c r="A141" t="s">
        <v>101</v>
      </c>
      <c r="B141" s="1">
        <v>45747</v>
      </c>
      <c r="C141" t="s">
        <v>10106</v>
      </c>
      <c r="F141" t="s">
        <v>9984</v>
      </c>
      <c r="H141" t="s">
        <v>120</v>
      </c>
      <c r="K141">
        <v>5680680</v>
      </c>
      <c r="L141" t="s">
        <v>6803</v>
      </c>
    </row>
    <row r="142" spans="1:12" x14ac:dyDescent="0.35">
      <c r="A142" t="s">
        <v>101</v>
      </c>
      <c r="B142" s="1">
        <v>45747</v>
      </c>
      <c r="C142" t="s">
        <v>10106</v>
      </c>
      <c r="F142" t="s">
        <v>9984</v>
      </c>
      <c r="H142" t="s">
        <v>120</v>
      </c>
      <c r="J142">
        <v>8006190</v>
      </c>
      <c r="L142" t="s">
        <v>6803</v>
      </c>
    </row>
    <row r="143" spans="1:12" x14ac:dyDescent="0.35">
      <c r="A143" t="s">
        <v>101</v>
      </c>
      <c r="B143" s="1">
        <v>45747</v>
      </c>
      <c r="C143" t="s">
        <v>10106</v>
      </c>
      <c r="F143" t="s">
        <v>8402</v>
      </c>
      <c r="H143" t="s">
        <v>120</v>
      </c>
      <c r="K143">
        <v>2325510</v>
      </c>
      <c r="L143" t="s">
        <v>6803</v>
      </c>
    </row>
    <row r="144" spans="1:12" x14ac:dyDescent="0.35">
      <c r="A144" t="s">
        <v>101</v>
      </c>
      <c r="B144" s="1">
        <v>45747</v>
      </c>
      <c r="C144" t="s">
        <v>10106</v>
      </c>
      <c r="F144" t="s">
        <v>6819</v>
      </c>
      <c r="H144" t="s">
        <v>120</v>
      </c>
      <c r="J144">
        <v>337500</v>
      </c>
      <c r="L144" t="s">
        <v>6803</v>
      </c>
    </row>
    <row r="145" spans="1:12" x14ac:dyDescent="0.35">
      <c r="A145" t="s">
        <v>101</v>
      </c>
      <c r="B145" s="1">
        <v>45747</v>
      </c>
      <c r="C145" t="s">
        <v>10106</v>
      </c>
      <c r="F145" t="s">
        <v>6819</v>
      </c>
      <c r="H145" t="s">
        <v>120</v>
      </c>
      <c r="J145">
        <v>-337500</v>
      </c>
      <c r="L145" t="s">
        <v>6803</v>
      </c>
    </row>
    <row r="146" spans="1:12" x14ac:dyDescent="0.35">
      <c r="A146" t="s">
        <v>101</v>
      </c>
      <c r="B146" s="1">
        <v>45747</v>
      </c>
      <c r="C146" t="s">
        <v>10107</v>
      </c>
      <c r="E146" t="s">
        <v>116</v>
      </c>
      <c r="F146" t="s">
        <v>10108</v>
      </c>
      <c r="H146" t="s">
        <v>6452</v>
      </c>
      <c r="K146">
        <v>487032</v>
      </c>
      <c r="L146" t="s">
        <v>6803</v>
      </c>
    </row>
    <row r="147" spans="1:12" x14ac:dyDescent="0.35">
      <c r="A147" t="s">
        <v>101</v>
      </c>
      <c r="B147" s="1">
        <v>45747</v>
      </c>
      <c r="C147" t="s">
        <v>10107</v>
      </c>
      <c r="E147" t="s">
        <v>116</v>
      </c>
      <c r="F147" t="s">
        <v>10109</v>
      </c>
      <c r="H147" t="s">
        <v>6453</v>
      </c>
      <c r="K147">
        <v>83794</v>
      </c>
      <c r="L147" t="s">
        <v>6803</v>
      </c>
    </row>
    <row r="148" spans="1:12" x14ac:dyDescent="0.35">
      <c r="A148" t="s">
        <v>101</v>
      </c>
      <c r="B148" s="1">
        <v>45747</v>
      </c>
      <c r="C148" t="s">
        <v>10107</v>
      </c>
      <c r="E148" t="s">
        <v>116</v>
      </c>
      <c r="F148" t="s">
        <v>10110</v>
      </c>
      <c r="H148" t="s">
        <v>6454</v>
      </c>
      <c r="K148">
        <v>306907</v>
      </c>
      <c r="L148" t="s">
        <v>6803</v>
      </c>
    </row>
    <row r="149" spans="1:12" x14ac:dyDescent="0.35">
      <c r="A149" t="s">
        <v>101</v>
      </c>
      <c r="B149" s="1">
        <v>45747</v>
      </c>
      <c r="C149" t="s">
        <v>10107</v>
      </c>
      <c r="E149" t="s">
        <v>116</v>
      </c>
      <c r="F149" t="s">
        <v>8485</v>
      </c>
      <c r="H149" t="s">
        <v>6455</v>
      </c>
      <c r="J149">
        <v>487032</v>
      </c>
      <c r="L149" t="s">
        <v>5986</v>
      </c>
    </row>
    <row r="150" spans="1:12" x14ac:dyDescent="0.35">
      <c r="A150" t="s">
        <v>101</v>
      </c>
      <c r="B150" s="1">
        <v>45747</v>
      </c>
      <c r="C150" t="s">
        <v>10107</v>
      </c>
      <c r="E150" t="s">
        <v>116</v>
      </c>
      <c r="F150" t="s">
        <v>8486</v>
      </c>
      <c r="H150" t="s">
        <v>6456</v>
      </c>
      <c r="J150">
        <v>390701</v>
      </c>
      <c r="L150" t="s">
        <v>5989</v>
      </c>
    </row>
    <row r="151" spans="1:12" x14ac:dyDescent="0.35">
      <c r="A151" t="s">
        <v>101</v>
      </c>
      <c r="B151" s="1">
        <v>45747</v>
      </c>
      <c r="C151" t="s">
        <v>10111</v>
      </c>
      <c r="F151" t="s">
        <v>10088</v>
      </c>
      <c r="H151" t="s">
        <v>6457</v>
      </c>
      <c r="K151">
        <v>6356096</v>
      </c>
      <c r="L151" t="s">
        <v>6803</v>
      </c>
    </row>
    <row r="152" spans="1:12" x14ac:dyDescent="0.35">
      <c r="A152" t="s">
        <v>101</v>
      </c>
      <c r="B152" s="1">
        <v>45747</v>
      </c>
      <c r="C152" t="s">
        <v>10111</v>
      </c>
      <c r="F152" t="s">
        <v>10089</v>
      </c>
      <c r="H152" t="s">
        <v>6457</v>
      </c>
      <c r="J152">
        <v>6356096</v>
      </c>
      <c r="L152" t="s">
        <v>342</v>
      </c>
    </row>
    <row r="153" spans="1:12" x14ac:dyDescent="0.35">
      <c r="A153" t="s">
        <v>2964</v>
      </c>
      <c r="B153" s="1">
        <v>45746</v>
      </c>
      <c r="C153" t="s">
        <v>10112</v>
      </c>
      <c r="E153" t="s">
        <v>6213</v>
      </c>
      <c r="F153" t="s">
        <v>8502</v>
      </c>
      <c r="G153" t="s">
        <v>8174</v>
      </c>
      <c r="H153" t="s">
        <v>6458</v>
      </c>
      <c r="I153" s="1">
        <v>45746</v>
      </c>
      <c r="K153">
        <v>12000</v>
      </c>
      <c r="L153" t="s">
        <v>6803</v>
      </c>
    </row>
    <row r="154" spans="1:12" x14ac:dyDescent="0.35">
      <c r="A154" t="s">
        <v>2964</v>
      </c>
      <c r="B154" s="1">
        <v>45746</v>
      </c>
      <c r="C154" t="s">
        <v>10112</v>
      </c>
      <c r="E154" t="s">
        <v>6213</v>
      </c>
      <c r="F154" t="s">
        <v>8502</v>
      </c>
      <c r="G154" t="s">
        <v>6459</v>
      </c>
      <c r="H154" t="s">
        <v>6458</v>
      </c>
      <c r="I154" s="1">
        <v>45746</v>
      </c>
      <c r="K154">
        <v>12000</v>
      </c>
      <c r="L154" t="s">
        <v>6803</v>
      </c>
    </row>
    <row r="155" spans="1:12" x14ac:dyDescent="0.35">
      <c r="A155" t="s">
        <v>2964</v>
      </c>
      <c r="B155" s="1">
        <v>45746</v>
      </c>
      <c r="C155" t="s">
        <v>10112</v>
      </c>
      <c r="E155" t="s">
        <v>6213</v>
      </c>
      <c r="F155" t="s">
        <v>8502</v>
      </c>
      <c r="G155" t="s">
        <v>6460</v>
      </c>
      <c r="H155" t="s">
        <v>6458</v>
      </c>
      <c r="I155" s="1">
        <v>45746</v>
      </c>
      <c r="K155">
        <v>12000</v>
      </c>
      <c r="L155" t="s">
        <v>6803</v>
      </c>
    </row>
    <row r="156" spans="1:12" x14ac:dyDescent="0.35">
      <c r="A156" t="s">
        <v>2964</v>
      </c>
      <c r="B156" s="1">
        <v>45746</v>
      </c>
      <c r="C156" t="s">
        <v>10112</v>
      </c>
      <c r="E156" t="s">
        <v>6213</v>
      </c>
      <c r="F156" t="s">
        <v>8502</v>
      </c>
      <c r="G156" t="s">
        <v>6461</v>
      </c>
      <c r="H156" t="s">
        <v>6458</v>
      </c>
      <c r="I156" s="1">
        <v>45746</v>
      </c>
      <c r="K156">
        <v>12000</v>
      </c>
      <c r="L156" t="s">
        <v>6803</v>
      </c>
    </row>
    <row r="157" spans="1:12" x14ac:dyDescent="0.35">
      <c r="A157" t="s">
        <v>2964</v>
      </c>
      <c r="B157" s="1">
        <v>45746</v>
      </c>
      <c r="C157" t="s">
        <v>10112</v>
      </c>
      <c r="E157" t="s">
        <v>6213</v>
      </c>
      <c r="F157" t="s">
        <v>8502</v>
      </c>
      <c r="G157" t="s">
        <v>6462</v>
      </c>
      <c r="H157" t="s">
        <v>6458</v>
      </c>
      <c r="I157" s="1">
        <v>45746</v>
      </c>
      <c r="K157">
        <v>12000</v>
      </c>
      <c r="L157" t="s">
        <v>6803</v>
      </c>
    </row>
    <row r="158" spans="1:12" x14ac:dyDescent="0.35">
      <c r="A158" t="s">
        <v>2964</v>
      </c>
      <c r="B158" s="1">
        <v>45746</v>
      </c>
      <c r="C158" t="s">
        <v>10112</v>
      </c>
      <c r="E158" t="s">
        <v>6213</v>
      </c>
      <c r="F158" t="s">
        <v>7847</v>
      </c>
      <c r="H158" t="s">
        <v>6458</v>
      </c>
      <c r="K158">
        <v>20312274</v>
      </c>
      <c r="L158" t="s">
        <v>6803</v>
      </c>
    </row>
    <row r="159" spans="1:12" x14ac:dyDescent="0.35">
      <c r="A159" t="s">
        <v>2964</v>
      </c>
      <c r="B159" s="1">
        <v>45746</v>
      </c>
      <c r="C159" t="s">
        <v>10112</v>
      </c>
      <c r="E159" t="s">
        <v>6213</v>
      </c>
      <c r="F159" t="s">
        <v>7883</v>
      </c>
      <c r="H159" t="s">
        <v>6458</v>
      </c>
      <c r="K159">
        <v>1007470</v>
      </c>
      <c r="L159" t="s">
        <v>6803</v>
      </c>
    </row>
    <row r="160" spans="1:12" x14ac:dyDescent="0.35">
      <c r="A160" t="s">
        <v>2964</v>
      </c>
      <c r="B160" s="1">
        <v>45746</v>
      </c>
      <c r="C160" t="s">
        <v>10112</v>
      </c>
      <c r="E160" t="s">
        <v>6213</v>
      </c>
      <c r="F160" t="s">
        <v>8492</v>
      </c>
      <c r="H160" t="s">
        <v>6458</v>
      </c>
      <c r="K160">
        <v>11500</v>
      </c>
      <c r="L160" t="s">
        <v>6803</v>
      </c>
    </row>
    <row r="161" spans="1:12" x14ac:dyDescent="0.35">
      <c r="A161" t="s">
        <v>2964</v>
      </c>
      <c r="B161" s="1">
        <v>45746</v>
      </c>
      <c r="C161" t="s">
        <v>10112</v>
      </c>
      <c r="E161" t="s">
        <v>6213</v>
      </c>
      <c r="F161" t="s">
        <v>8503</v>
      </c>
      <c r="H161" t="s">
        <v>6458</v>
      </c>
      <c r="K161">
        <v>7145753</v>
      </c>
      <c r="L161" t="s">
        <v>6803</v>
      </c>
    </row>
    <row r="162" spans="1:12" x14ac:dyDescent="0.35">
      <c r="A162" t="s">
        <v>2964</v>
      </c>
      <c r="B162" s="1">
        <v>45746</v>
      </c>
      <c r="C162" t="s">
        <v>10112</v>
      </c>
      <c r="E162" t="s">
        <v>6213</v>
      </c>
      <c r="F162" t="s">
        <v>8508</v>
      </c>
      <c r="H162" t="s">
        <v>6458</v>
      </c>
      <c r="J162">
        <v>1866773</v>
      </c>
      <c r="L162" t="s">
        <v>5914</v>
      </c>
    </row>
    <row r="163" spans="1:12" x14ac:dyDescent="0.35">
      <c r="A163" t="s">
        <v>2964</v>
      </c>
      <c r="B163" s="1">
        <v>45746</v>
      </c>
      <c r="C163" t="s">
        <v>10112</v>
      </c>
      <c r="E163" t="s">
        <v>6213</v>
      </c>
      <c r="F163" t="s">
        <v>10113</v>
      </c>
      <c r="H163" t="s">
        <v>6458</v>
      </c>
      <c r="J163">
        <v>26640224</v>
      </c>
      <c r="L163" t="s">
        <v>5914</v>
      </c>
    </row>
    <row r="164" spans="1:12" x14ac:dyDescent="0.35">
      <c r="A164" t="s">
        <v>2964</v>
      </c>
      <c r="B164" s="1">
        <v>45746</v>
      </c>
      <c r="C164" t="s">
        <v>10112</v>
      </c>
      <c r="E164" t="s">
        <v>6213</v>
      </c>
      <c r="F164" t="s">
        <v>8517</v>
      </c>
      <c r="H164" t="s">
        <v>6458</v>
      </c>
      <c r="J164">
        <v>30000</v>
      </c>
      <c r="L164" t="s">
        <v>5913</v>
      </c>
    </row>
  </sheetData>
  <autoFilter ref="A1:L164" xr:uid="{7F6E86D1-7D67-4585-920B-525E5CD946B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B1375-8127-4849-8A25-E1F970DEA723}">
  <dimension ref="A1:N164"/>
  <sheetViews>
    <sheetView workbookViewId="0">
      <selection activeCell="A2" sqref="A2:A80"/>
    </sheetView>
  </sheetViews>
  <sheetFormatPr baseColWidth="10" defaultRowHeight="14.5" x14ac:dyDescent="0.35"/>
  <cols>
    <col min="1" max="1" width="31.90625" customWidth="1"/>
    <col min="2" max="2" width="23.54296875" bestFit="1" customWidth="1"/>
    <col min="3" max="3" width="11.453125" bestFit="1" customWidth="1"/>
    <col min="4" max="4" width="10.453125" bestFit="1" customWidth="1"/>
    <col min="5" max="5" width="16.1796875" bestFit="1" customWidth="1"/>
    <col min="6" max="6" width="70.7265625" bestFit="1" customWidth="1"/>
    <col min="7" max="7" width="16.54296875" bestFit="1" customWidth="1"/>
    <col min="8" max="8" width="16.1796875" bestFit="1" customWidth="1"/>
    <col min="9" max="9" width="20.54296875" bestFit="1" customWidth="1"/>
    <col min="10" max="10" width="70.7265625" bestFit="1" customWidth="1"/>
    <col min="11" max="11" width="13" bestFit="1" customWidth="1"/>
    <col min="12" max="13" width="9.81640625" bestFit="1" customWidth="1"/>
    <col min="14" max="14" width="10.26953125" bestFit="1" customWidth="1"/>
  </cols>
  <sheetData>
    <row r="1" spans="1:14" x14ac:dyDescent="0.35">
      <c r="A1" t="s">
        <v>6797</v>
      </c>
      <c r="B1" t="s">
        <v>0</v>
      </c>
      <c r="C1" t="s">
        <v>1</v>
      </c>
      <c r="D1" t="s">
        <v>2</v>
      </c>
      <c r="E1" t="s">
        <v>5</v>
      </c>
      <c r="F1" t="s">
        <v>7</v>
      </c>
      <c r="G1" t="s">
        <v>335</v>
      </c>
      <c r="H1" t="s">
        <v>336</v>
      </c>
      <c r="I1" t="s">
        <v>337</v>
      </c>
      <c r="J1" t="s">
        <v>338</v>
      </c>
      <c r="K1" t="s">
        <v>339</v>
      </c>
      <c r="L1" t="s">
        <v>340</v>
      </c>
      <c r="M1" t="s">
        <v>9</v>
      </c>
      <c r="N1" t="s">
        <v>10</v>
      </c>
    </row>
    <row r="2" spans="1:14" x14ac:dyDescent="0.35">
      <c r="A2" t="str">
        <f>CONCATENATE(B2,C2,D2,E2)</f>
        <v>ABN45717191866850010</v>
      </c>
      <c r="B2" t="s">
        <v>11</v>
      </c>
      <c r="C2" s="1">
        <v>45717</v>
      </c>
      <c r="D2" s="1" t="str">
        <f>"1918"</f>
        <v>1918</v>
      </c>
      <c r="E2" s="1" t="str">
        <f>"66850010"</f>
        <v>66850010</v>
      </c>
      <c r="F2" s="1" t="s">
        <v>6360</v>
      </c>
      <c r="G2" t="s">
        <v>341</v>
      </c>
      <c r="H2" t="s">
        <v>5913</v>
      </c>
      <c r="I2">
        <v>0</v>
      </c>
      <c r="J2" t="s">
        <v>343</v>
      </c>
      <c r="K2">
        <v>360503</v>
      </c>
      <c r="M2">
        <v>360503</v>
      </c>
    </row>
    <row r="3" spans="1:14" x14ac:dyDescent="0.35">
      <c r="A3" t="str">
        <f t="shared" ref="A3:A66" si="0">CONCATENATE(B3,C3,D3,E3)</f>
        <v>ABN45717191966850010</v>
      </c>
      <c r="B3" t="s">
        <v>11</v>
      </c>
      <c r="C3" s="1">
        <v>45717</v>
      </c>
      <c r="D3" s="1" t="str">
        <f>"1919"</f>
        <v>1919</v>
      </c>
      <c r="E3" s="1" t="str">
        <f>"66850010"</f>
        <v>66850010</v>
      </c>
      <c r="F3" s="1" t="s">
        <v>6361</v>
      </c>
      <c r="G3" t="s">
        <v>341</v>
      </c>
      <c r="H3" t="s">
        <v>5913</v>
      </c>
      <c r="I3">
        <v>0</v>
      </c>
      <c r="J3" t="s">
        <v>343</v>
      </c>
      <c r="K3">
        <v>558875</v>
      </c>
      <c r="M3">
        <v>558875</v>
      </c>
    </row>
    <row r="4" spans="1:14" x14ac:dyDescent="0.35">
      <c r="A4" t="str">
        <f t="shared" si="0"/>
        <v>ABN45717192063270200</v>
      </c>
      <c r="B4" t="s">
        <v>11</v>
      </c>
      <c r="C4" s="1">
        <v>45717</v>
      </c>
      <c r="D4" s="1" t="str">
        <f>"1920"</f>
        <v>1920</v>
      </c>
      <c r="E4" s="1" t="str">
        <f>"63270200"</f>
        <v>63270200</v>
      </c>
      <c r="F4" s="1" t="s">
        <v>6363</v>
      </c>
      <c r="G4" t="s">
        <v>341</v>
      </c>
      <c r="H4" t="s">
        <v>347</v>
      </c>
      <c r="I4">
        <v>0</v>
      </c>
      <c r="J4" t="s">
        <v>343</v>
      </c>
      <c r="K4">
        <v>625000</v>
      </c>
      <c r="M4">
        <v>625000</v>
      </c>
    </row>
    <row r="5" spans="1:14" x14ac:dyDescent="0.35">
      <c r="A5" t="str">
        <f t="shared" si="0"/>
        <v>ABN45717192165810000</v>
      </c>
      <c r="B5" t="s">
        <v>11</v>
      </c>
      <c r="C5" s="1">
        <v>45717</v>
      </c>
      <c r="D5" s="1" t="str">
        <f>"1921"</f>
        <v>1921</v>
      </c>
      <c r="E5" s="1" t="str">
        <f>"65810000"</f>
        <v>65810000</v>
      </c>
      <c r="F5" s="1" t="s">
        <v>6365</v>
      </c>
      <c r="G5" t="s">
        <v>341</v>
      </c>
      <c r="H5" t="s">
        <v>352</v>
      </c>
      <c r="I5">
        <v>0</v>
      </c>
      <c r="J5" t="s">
        <v>343</v>
      </c>
      <c r="K5">
        <v>6029350</v>
      </c>
      <c r="M5">
        <v>6029350</v>
      </c>
    </row>
    <row r="6" spans="1:14" x14ac:dyDescent="0.35">
      <c r="A6" t="str">
        <f t="shared" si="0"/>
        <v>ABN45717192266380000</v>
      </c>
      <c r="B6" t="s">
        <v>11</v>
      </c>
      <c r="C6" s="1">
        <v>45717</v>
      </c>
      <c r="D6" s="1" t="str">
        <f>"1922"</f>
        <v>1922</v>
      </c>
      <c r="E6" s="1" t="str">
        <f>"66380000"</f>
        <v>66380000</v>
      </c>
      <c r="F6" s="1" t="s">
        <v>6367</v>
      </c>
      <c r="G6" t="s">
        <v>341</v>
      </c>
      <c r="H6" t="s">
        <v>5913</v>
      </c>
      <c r="I6">
        <v>0</v>
      </c>
      <c r="J6" t="s">
        <v>343</v>
      </c>
      <c r="K6">
        <v>97940</v>
      </c>
      <c r="M6">
        <v>97940</v>
      </c>
    </row>
    <row r="7" spans="1:14" x14ac:dyDescent="0.35">
      <c r="A7" t="str">
        <f t="shared" si="0"/>
        <v>ABN45717192389110000</v>
      </c>
      <c r="B7" t="s">
        <v>11</v>
      </c>
      <c r="C7" s="1">
        <v>45717</v>
      </c>
      <c r="D7" s="1" t="str">
        <f>"1923"</f>
        <v>1923</v>
      </c>
      <c r="E7" s="1" t="str">
        <f>"89110000"</f>
        <v>89110000</v>
      </c>
      <c r="F7" s="1" t="s">
        <v>6368</v>
      </c>
      <c r="G7" t="s">
        <v>341</v>
      </c>
      <c r="H7" t="s">
        <v>345</v>
      </c>
      <c r="I7">
        <v>0</v>
      </c>
      <c r="J7" t="s">
        <v>343</v>
      </c>
      <c r="K7">
        <v>346165</v>
      </c>
      <c r="M7">
        <v>346165</v>
      </c>
    </row>
    <row r="8" spans="1:14" x14ac:dyDescent="0.35">
      <c r="A8" t="str">
        <f t="shared" si="0"/>
        <v>ABN45717192464120000</v>
      </c>
      <c r="B8" t="s">
        <v>11</v>
      </c>
      <c r="C8" s="1">
        <v>45717</v>
      </c>
      <c r="D8" s="1" t="str">
        <f>"1924"</f>
        <v>1924</v>
      </c>
      <c r="E8" s="1" t="str">
        <f>"64120000"</f>
        <v>64120000</v>
      </c>
      <c r="F8" s="1" t="s">
        <v>6370</v>
      </c>
      <c r="G8" t="s">
        <v>341</v>
      </c>
      <c r="H8" t="s">
        <v>345</v>
      </c>
      <c r="I8">
        <v>0</v>
      </c>
      <c r="J8" t="s">
        <v>343</v>
      </c>
      <c r="K8">
        <v>363637</v>
      </c>
      <c r="M8">
        <v>363637</v>
      </c>
    </row>
    <row r="9" spans="1:14" x14ac:dyDescent="0.35">
      <c r="A9" t="str">
        <f t="shared" si="0"/>
        <v>ABN45717192564130000</v>
      </c>
      <c r="B9" t="s">
        <v>11</v>
      </c>
      <c r="C9" s="1">
        <v>45717</v>
      </c>
      <c r="D9" s="1" t="str">
        <f>"1925"</f>
        <v>1925</v>
      </c>
      <c r="E9" s="1" t="str">
        <f>"64130000"</f>
        <v>64130000</v>
      </c>
      <c r="F9" s="1" t="s">
        <v>1225</v>
      </c>
      <c r="G9" t="s">
        <v>341</v>
      </c>
      <c r="H9" t="s">
        <v>5909</v>
      </c>
      <c r="I9">
        <v>0</v>
      </c>
      <c r="J9" t="s">
        <v>343</v>
      </c>
      <c r="K9">
        <v>457193</v>
      </c>
      <c r="M9">
        <v>1448750</v>
      </c>
    </row>
    <row r="10" spans="1:14" x14ac:dyDescent="0.35">
      <c r="A10" t="str">
        <f t="shared" si="0"/>
        <v>ABN45717192564130000</v>
      </c>
      <c r="B10" t="s">
        <v>11</v>
      </c>
      <c r="C10" s="1">
        <v>45717</v>
      </c>
      <c r="D10" s="1" t="str">
        <f>"1925"</f>
        <v>1925</v>
      </c>
      <c r="E10" s="1" t="str">
        <f>"64130000"</f>
        <v>64130000</v>
      </c>
      <c r="F10" s="1" t="s">
        <v>1225</v>
      </c>
      <c r="G10" t="s">
        <v>341</v>
      </c>
      <c r="H10" t="s">
        <v>5913</v>
      </c>
      <c r="I10">
        <v>0</v>
      </c>
      <c r="J10" t="s">
        <v>343</v>
      </c>
      <c r="K10">
        <v>517468</v>
      </c>
      <c r="M10">
        <v>1448750</v>
      </c>
    </row>
    <row r="11" spans="1:14" x14ac:dyDescent="0.35">
      <c r="A11" t="str">
        <f t="shared" si="0"/>
        <v>ABN45717192564130000</v>
      </c>
      <c r="B11" t="s">
        <v>11</v>
      </c>
      <c r="C11" s="1">
        <v>45717</v>
      </c>
      <c r="D11" s="1" t="str">
        <f>"1925"</f>
        <v>1925</v>
      </c>
      <c r="E11" s="1" t="str">
        <f>"64130000"</f>
        <v>64130000</v>
      </c>
      <c r="F11" s="1" t="s">
        <v>1225</v>
      </c>
      <c r="G11" t="s">
        <v>341</v>
      </c>
      <c r="H11" t="s">
        <v>5914</v>
      </c>
      <c r="I11">
        <v>0</v>
      </c>
      <c r="J11" t="s">
        <v>343</v>
      </c>
      <c r="K11">
        <v>474089</v>
      </c>
      <c r="M11">
        <v>1448750</v>
      </c>
    </row>
    <row r="12" spans="1:14" x14ac:dyDescent="0.35">
      <c r="A12" t="str">
        <f t="shared" si="0"/>
        <v>ABN45717192666380000</v>
      </c>
      <c r="B12" t="s">
        <v>11</v>
      </c>
      <c r="C12" s="1">
        <v>45717</v>
      </c>
      <c r="D12" s="1" t="str">
        <f>"1926"</f>
        <v>1926</v>
      </c>
      <c r="E12" s="1" t="str">
        <f>"66380000"</f>
        <v>66380000</v>
      </c>
      <c r="F12" s="1" t="s">
        <v>6373</v>
      </c>
      <c r="G12" t="s">
        <v>341</v>
      </c>
      <c r="H12" t="s">
        <v>5913</v>
      </c>
      <c r="I12">
        <v>0</v>
      </c>
      <c r="J12" t="s">
        <v>343</v>
      </c>
      <c r="K12">
        <v>3000000</v>
      </c>
      <c r="M12">
        <v>3000000</v>
      </c>
    </row>
    <row r="13" spans="1:14" x14ac:dyDescent="0.35">
      <c r="A13" t="str">
        <f t="shared" si="0"/>
        <v>ABN45717192762200000</v>
      </c>
      <c r="B13" t="s">
        <v>11</v>
      </c>
      <c r="C13" s="1">
        <v>45717</v>
      </c>
      <c r="D13" s="1" t="str">
        <f>"1927"</f>
        <v>1927</v>
      </c>
      <c r="E13" s="1" t="str">
        <f>"62200000"</f>
        <v>62200000</v>
      </c>
      <c r="F13" s="1" t="s">
        <v>6375</v>
      </c>
      <c r="G13" t="s">
        <v>341</v>
      </c>
      <c r="H13" t="s">
        <v>5905</v>
      </c>
      <c r="I13">
        <v>0</v>
      </c>
      <c r="J13" t="s">
        <v>343</v>
      </c>
      <c r="K13">
        <v>200000</v>
      </c>
      <c r="M13">
        <v>200000</v>
      </c>
    </row>
    <row r="14" spans="1:14" x14ac:dyDescent="0.35">
      <c r="A14" t="str">
        <f t="shared" si="0"/>
        <v>ABN45718192862780000</v>
      </c>
      <c r="B14" t="s">
        <v>11</v>
      </c>
      <c r="C14" s="1">
        <v>45718</v>
      </c>
      <c r="D14" s="1" t="str">
        <f>"1928"</f>
        <v>1928</v>
      </c>
      <c r="E14" s="1" t="str">
        <f>"62780000"</f>
        <v>62780000</v>
      </c>
      <c r="F14" s="1" t="s">
        <v>6377</v>
      </c>
      <c r="G14" t="s">
        <v>341</v>
      </c>
      <c r="H14" t="s">
        <v>5931</v>
      </c>
      <c r="I14">
        <v>0</v>
      </c>
      <c r="J14" t="s">
        <v>343</v>
      </c>
      <c r="K14">
        <v>692090</v>
      </c>
      <c r="M14">
        <v>692090</v>
      </c>
    </row>
    <row r="15" spans="1:14" x14ac:dyDescent="0.35">
      <c r="A15" t="str">
        <f t="shared" si="0"/>
        <v>ABN45718192963240000</v>
      </c>
      <c r="B15" t="s">
        <v>11</v>
      </c>
      <c r="C15" s="1">
        <v>45718</v>
      </c>
      <c r="D15" s="1" t="str">
        <f>"1929"</f>
        <v>1929</v>
      </c>
      <c r="E15" s="1" t="str">
        <f>"63240000"</f>
        <v>63240000</v>
      </c>
      <c r="F15" s="1" t="s">
        <v>25</v>
      </c>
      <c r="G15" t="s">
        <v>341</v>
      </c>
      <c r="H15" t="s">
        <v>347</v>
      </c>
      <c r="I15">
        <v>0</v>
      </c>
      <c r="J15" t="s">
        <v>343</v>
      </c>
      <c r="K15">
        <v>333112</v>
      </c>
      <c r="M15">
        <v>333112</v>
      </c>
    </row>
    <row r="16" spans="1:14" x14ac:dyDescent="0.35">
      <c r="A16" t="str">
        <f t="shared" si="0"/>
        <v>ACH45717187963240000</v>
      </c>
      <c r="B16" t="s">
        <v>6378</v>
      </c>
      <c r="C16" s="1">
        <v>45717</v>
      </c>
      <c r="D16" s="1" t="str">
        <f>"1879"</f>
        <v>1879</v>
      </c>
      <c r="E16" s="1" t="str">
        <f>"63240000"</f>
        <v>63240000</v>
      </c>
      <c r="F16" s="1" t="s">
        <v>6381</v>
      </c>
      <c r="G16" t="s">
        <v>341</v>
      </c>
      <c r="H16" t="s">
        <v>5951</v>
      </c>
      <c r="I16">
        <v>0</v>
      </c>
      <c r="J16" t="s">
        <v>343</v>
      </c>
      <c r="K16">
        <v>2000000</v>
      </c>
      <c r="M16">
        <v>2000000</v>
      </c>
    </row>
    <row r="17" spans="1:13" x14ac:dyDescent="0.35">
      <c r="A17" t="str">
        <f t="shared" si="0"/>
        <v>ACH45720188262780000</v>
      </c>
      <c r="B17" t="s">
        <v>6378</v>
      </c>
      <c r="C17" s="1">
        <v>45720</v>
      </c>
      <c r="D17" s="1" t="str">
        <f>"1882"</f>
        <v>1882</v>
      </c>
      <c r="E17" s="1" t="str">
        <f>"62780000"</f>
        <v>62780000</v>
      </c>
      <c r="F17" s="1" t="s">
        <v>6390</v>
      </c>
      <c r="G17" t="s">
        <v>341</v>
      </c>
      <c r="H17" t="s">
        <v>5931</v>
      </c>
      <c r="I17">
        <v>0</v>
      </c>
      <c r="J17" t="s">
        <v>343</v>
      </c>
      <c r="K17">
        <v>-5</v>
      </c>
      <c r="M17">
        <v>-5</v>
      </c>
    </row>
    <row r="18" spans="1:13" x14ac:dyDescent="0.35">
      <c r="A18" t="str">
        <f t="shared" si="0"/>
        <v>ACH45730188866380000</v>
      </c>
      <c r="B18" t="s">
        <v>6378</v>
      </c>
      <c r="C18" s="1">
        <v>45730</v>
      </c>
      <c r="D18" s="1" t="str">
        <f>"1888"</f>
        <v>1888</v>
      </c>
      <c r="E18" s="1" t="str">
        <f>"66380000"</f>
        <v>66380000</v>
      </c>
      <c r="F18" s="1" t="s">
        <v>6394</v>
      </c>
      <c r="G18" t="s">
        <v>341</v>
      </c>
      <c r="H18" t="s">
        <v>5913</v>
      </c>
      <c r="I18">
        <v>0</v>
      </c>
      <c r="J18" t="s">
        <v>343</v>
      </c>
      <c r="K18">
        <v>204000</v>
      </c>
      <c r="M18">
        <v>204000</v>
      </c>
    </row>
    <row r="19" spans="1:13" x14ac:dyDescent="0.35">
      <c r="A19" t="str">
        <f t="shared" si="0"/>
        <v>BAN45723188464140000</v>
      </c>
      <c r="B19" t="s">
        <v>6395</v>
      </c>
      <c r="C19" s="1">
        <v>45723</v>
      </c>
      <c r="D19" s="1" t="str">
        <f>"1884"</f>
        <v>1884</v>
      </c>
      <c r="E19" s="1" t="str">
        <f>"64140000"</f>
        <v>64140000</v>
      </c>
      <c r="F19" s="1" t="s">
        <v>6396</v>
      </c>
      <c r="G19" t="s">
        <v>341</v>
      </c>
      <c r="H19" t="s">
        <v>5913</v>
      </c>
      <c r="I19">
        <v>0</v>
      </c>
      <c r="J19" t="s">
        <v>343</v>
      </c>
      <c r="K19">
        <v>-1</v>
      </c>
      <c r="M19">
        <v>-1</v>
      </c>
    </row>
    <row r="20" spans="1:13" x14ac:dyDescent="0.35">
      <c r="A20" t="str">
        <f t="shared" si="0"/>
        <v>BAN45723188564140000</v>
      </c>
      <c r="B20" t="s">
        <v>6395</v>
      </c>
      <c r="C20" s="1">
        <v>45723</v>
      </c>
      <c r="D20" s="1" t="str">
        <f>"1885"</f>
        <v>1885</v>
      </c>
      <c r="E20" s="1" t="str">
        <f>"64140000"</f>
        <v>64140000</v>
      </c>
      <c r="F20" s="1" t="s">
        <v>6397</v>
      </c>
      <c r="G20" t="s">
        <v>341</v>
      </c>
      <c r="H20" t="s">
        <v>5913</v>
      </c>
      <c r="I20">
        <v>0</v>
      </c>
      <c r="J20" t="s">
        <v>343</v>
      </c>
      <c r="K20">
        <v>-1</v>
      </c>
      <c r="M20">
        <v>-1</v>
      </c>
    </row>
    <row r="21" spans="1:13" x14ac:dyDescent="0.35">
      <c r="A21" t="str">
        <f t="shared" si="0"/>
        <v>BAN45736193663180000</v>
      </c>
      <c r="B21" t="s">
        <v>6395</v>
      </c>
      <c r="C21" s="1">
        <v>45736</v>
      </c>
      <c r="D21" s="1" t="str">
        <f>"1936"</f>
        <v>1936</v>
      </c>
      <c r="E21" s="1" t="str">
        <f>"63180000"</f>
        <v>63180000</v>
      </c>
      <c r="F21" s="1" t="s">
        <v>58</v>
      </c>
      <c r="G21" t="s">
        <v>341</v>
      </c>
      <c r="H21" t="s">
        <v>347</v>
      </c>
      <c r="I21">
        <v>0</v>
      </c>
      <c r="J21" t="s">
        <v>343</v>
      </c>
      <c r="K21">
        <v>275</v>
      </c>
      <c r="M21">
        <v>275</v>
      </c>
    </row>
    <row r="22" spans="1:13" x14ac:dyDescent="0.35">
      <c r="A22" t="str">
        <f t="shared" si="0"/>
        <v>BAN45742193763180000</v>
      </c>
      <c r="B22" t="s">
        <v>6395</v>
      </c>
      <c r="C22" s="1">
        <v>45742</v>
      </c>
      <c r="D22" s="1" t="str">
        <f>"1937"</f>
        <v>1937</v>
      </c>
      <c r="E22" s="1" t="str">
        <f>"63180000"</f>
        <v>63180000</v>
      </c>
      <c r="F22" s="1" t="s">
        <v>6248</v>
      </c>
      <c r="G22" t="s">
        <v>341</v>
      </c>
      <c r="H22" t="s">
        <v>347</v>
      </c>
      <c r="I22">
        <v>0</v>
      </c>
      <c r="J22" t="s">
        <v>343</v>
      </c>
      <c r="K22">
        <v>31900</v>
      </c>
      <c r="M22">
        <v>31900</v>
      </c>
    </row>
    <row r="23" spans="1:13" x14ac:dyDescent="0.35">
      <c r="A23" t="str">
        <f t="shared" si="0"/>
        <v>BAN45747193863180000</v>
      </c>
      <c r="B23" t="s">
        <v>6395</v>
      </c>
      <c r="C23" s="1">
        <v>45747</v>
      </c>
      <c r="D23" s="1" t="str">
        <f>"1938"</f>
        <v>1938</v>
      </c>
      <c r="E23" s="1" t="str">
        <f>"63180000"</f>
        <v>63180000</v>
      </c>
      <c r="F23" s="1" t="s">
        <v>6255</v>
      </c>
      <c r="G23" t="s">
        <v>341</v>
      </c>
      <c r="H23" t="s">
        <v>347</v>
      </c>
      <c r="I23">
        <v>0</v>
      </c>
      <c r="J23" t="s">
        <v>343</v>
      </c>
      <c r="K23">
        <v>42875</v>
      </c>
      <c r="M23">
        <v>42875</v>
      </c>
    </row>
    <row r="24" spans="1:13" x14ac:dyDescent="0.35">
      <c r="A24" t="str">
        <f t="shared" si="0"/>
        <v>BAN0245747193363180000</v>
      </c>
      <c r="B24" t="s">
        <v>6403</v>
      </c>
      <c r="C24" s="1">
        <v>45747</v>
      </c>
      <c r="D24" s="1" t="str">
        <f>"1933"</f>
        <v>1933</v>
      </c>
      <c r="E24" s="1" t="str">
        <f>"63180000"</f>
        <v>63180000</v>
      </c>
      <c r="F24" s="1" t="s">
        <v>58</v>
      </c>
      <c r="G24" t="s">
        <v>341</v>
      </c>
      <c r="H24" t="s">
        <v>347</v>
      </c>
      <c r="I24">
        <v>0</v>
      </c>
      <c r="J24" t="s">
        <v>343</v>
      </c>
      <c r="K24">
        <v>2970</v>
      </c>
      <c r="M24">
        <v>2970</v>
      </c>
    </row>
    <row r="25" spans="1:13" x14ac:dyDescent="0.35">
      <c r="A25" t="str">
        <f t="shared" si="0"/>
        <v>BAN0245747193463180000</v>
      </c>
      <c r="B25" t="s">
        <v>6403</v>
      </c>
      <c r="C25" s="1">
        <v>45747</v>
      </c>
      <c r="D25" s="1" t="str">
        <f>"1934"</f>
        <v>1934</v>
      </c>
      <c r="E25" s="1" t="str">
        <f>"63180000"</f>
        <v>63180000</v>
      </c>
      <c r="F25" s="1" t="s">
        <v>58</v>
      </c>
      <c r="G25" t="s">
        <v>341</v>
      </c>
      <c r="H25" t="s">
        <v>347</v>
      </c>
      <c r="I25">
        <v>0</v>
      </c>
      <c r="J25" t="s">
        <v>343</v>
      </c>
      <c r="K25">
        <v>22000</v>
      </c>
      <c r="M25">
        <v>22000</v>
      </c>
    </row>
    <row r="26" spans="1:13" x14ac:dyDescent="0.35">
      <c r="A26" t="str">
        <f t="shared" si="0"/>
        <v>ND45722191066380000</v>
      </c>
      <c r="B26" t="s">
        <v>75</v>
      </c>
      <c r="C26" s="1">
        <v>45722</v>
      </c>
      <c r="D26" s="1" t="str">
        <f>"1910"</f>
        <v>1910</v>
      </c>
      <c r="E26" s="1" t="str">
        <f>"66380000"</f>
        <v>66380000</v>
      </c>
      <c r="F26" s="1" t="s">
        <v>6414</v>
      </c>
      <c r="G26" t="s">
        <v>341</v>
      </c>
      <c r="H26" t="s">
        <v>5913</v>
      </c>
      <c r="I26">
        <v>0</v>
      </c>
      <c r="J26" t="s">
        <v>343</v>
      </c>
      <c r="K26" s="1">
        <v>146635</v>
      </c>
      <c r="M26">
        <v>146635</v>
      </c>
    </row>
    <row r="27" spans="1:13" x14ac:dyDescent="0.35">
      <c r="A27" t="str">
        <f t="shared" si="0"/>
        <v>ND45726191166380000</v>
      </c>
      <c r="B27" t="s">
        <v>75</v>
      </c>
      <c r="C27" s="1">
        <v>45726</v>
      </c>
      <c r="D27" s="1" t="str">
        <f>"1911"</f>
        <v>1911</v>
      </c>
      <c r="E27" s="1" t="str">
        <f>"66380000"</f>
        <v>66380000</v>
      </c>
      <c r="F27" s="1" t="s">
        <v>6417</v>
      </c>
      <c r="G27" t="s">
        <v>341</v>
      </c>
      <c r="H27" t="s">
        <v>5913</v>
      </c>
      <c r="I27">
        <v>0</v>
      </c>
      <c r="J27" t="s">
        <v>343</v>
      </c>
      <c r="K27">
        <v>56073</v>
      </c>
      <c r="M27">
        <v>56073</v>
      </c>
    </row>
    <row r="28" spans="1:13" x14ac:dyDescent="0.35">
      <c r="A28" t="str">
        <f t="shared" si="0"/>
        <v>ND45726194262610000</v>
      </c>
      <c r="B28" t="s">
        <v>75</v>
      </c>
      <c r="C28" s="1">
        <v>45726</v>
      </c>
      <c r="D28" s="1" t="str">
        <f>"1942"</f>
        <v>1942</v>
      </c>
      <c r="E28" t="str">
        <f>"62610000"</f>
        <v>62610000</v>
      </c>
      <c r="F28" s="1" t="s">
        <v>6423</v>
      </c>
      <c r="G28" t="s">
        <v>341</v>
      </c>
      <c r="H28" t="s">
        <v>5951</v>
      </c>
      <c r="I28">
        <v>0</v>
      </c>
      <c r="J28" t="s">
        <v>343</v>
      </c>
      <c r="K28">
        <v>109926</v>
      </c>
      <c r="M28">
        <v>109926</v>
      </c>
    </row>
    <row r="29" spans="1:13" x14ac:dyDescent="0.35">
      <c r="A29" t="str">
        <f t="shared" si="0"/>
        <v>ND45729191465880000</v>
      </c>
      <c r="B29" t="s">
        <v>75</v>
      </c>
      <c r="C29" s="1">
        <v>45729</v>
      </c>
      <c r="D29" s="1" t="str">
        <f>"1914"</f>
        <v>1914</v>
      </c>
      <c r="E29" t="str">
        <f>"65880000"</f>
        <v>65880000</v>
      </c>
      <c r="F29" s="1" t="s">
        <v>6427</v>
      </c>
      <c r="G29" t="s">
        <v>341</v>
      </c>
      <c r="H29" t="s">
        <v>5951</v>
      </c>
      <c r="I29">
        <v>0</v>
      </c>
      <c r="J29" t="s">
        <v>343</v>
      </c>
      <c r="K29" s="1">
        <v>262000</v>
      </c>
      <c r="M29">
        <v>262000</v>
      </c>
    </row>
    <row r="30" spans="1:13" x14ac:dyDescent="0.35">
      <c r="A30" t="str">
        <f t="shared" si="0"/>
        <v>ND45744193061810000</v>
      </c>
      <c r="B30" t="s">
        <v>75</v>
      </c>
      <c r="C30" s="1">
        <v>45744</v>
      </c>
      <c r="D30" s="1" t="str">
        <f>"1930"</f>
        <v>1930</v>
      </c>
      <c r="E30" t="str">
        <f>"61810000"</f>
        <v>61810000</v>
      </c>
      <c r="F30" s="1" t="s">
        <v>6435</v>
      </c>
      <c r="G30" t="s">
        <v>341</v>
      </c>
      <c r="H30" t="s">
        <v>5878</v>
      </c>
      <c r="I30">
        <v>0</v>
      </c>
      <c r="J30" t="s">
        <v>343</v>
      </c>
      <c r="K30">
        <v>242040</v>
      </c>
      <c r="M30">
        <v>242040</v>
      </c>
    </row>
    <row r="31" spans="1:13" x14ac:dyDescent="0.35">
      <c r="A31" t="str">
        <f t="shared" si="0"/>
        <v>ND45744193160470000</v>
      </c>
      <c r="B31" t="s">
        <v>75</v>
      </c>
      <c r="C31" s="1">
        <v>45744</v>
      </c>
      <c r="D31" s="1" t="str">
        <f>"1931"</f>
        <v>1931</v>
      </c>
      <c r="E31" t="str">
        <f>"60470000"</f>
        <v>60470000</v>
      </c>
      <c r="F31" s="1" t="s">
        <v>6436</v>
      </c>
      <c r="G31" t="s">
        <v>341</v>
      </c>
      <c r="H31" t="s">
        <v>5964</v>
      </c>
      <c r="I31">
        <v>0</v>
      </c>
      <c r="J31" t="s">
        <v>343</v>
      </c>
      <c r="K31" s="1">
        <v>85000</v>
      </c>
      <c r="M31">
        <v>85000</v>
      </c>
    </row>
    <row r="32" spans="1:13" x14ac:dyDescent="0.35">
      <c r="A32" t="str">
        <f t="shared" si="0"/>
        <v>OD45717191765810000</v>
      </c>
      <c r="B32" t="s">
        <v>101</v>
      </c>
      <c r="C32" s="1">
        <v>45717</v>
      </c>
      <c r="D32" s="1" t="str">
        <f>"1917"</f>
        <v>1917</v>
      </c>
      <c r="E32" t="str">
        <f>"65810000"</f>
        <v>65810000</v>
      </c>
      <c r="F32" s="1" t="s">
        <v>6441</v>
      </c>
      <c r="G32" t="s">
        <v>341</v>
      </c>
      <c r="H32" t="s">
        <v>352</v>
      </c>
      <c r="I32">
        <v>0</v>
      </c>
      <c r="J32" t="s">
        <v>343</v>
      </c>
      <c r="K32">
        <v>5</v>
      </c>
      <c r="M32">
        <v>5</v>
      </c>
    </row>
    <row r="33" spans="1:14" x14ac:dyDescent="0.35">
      <c r="A33" t="str">
        <f t="shared" si="0"/>
        <v>OD45747189070610100</v>
      </c>
      <c r="B33" t="s">
        <v>101</v>
      </c>
      <c r="C33" s="1">
        <v>45747</v>
      </c>
      <c r="D33" s="1" t="str">
        <f>"1890"</f>
        <v>1890</v>
      </c>
      <c r="E33" t="str">
        <f>"70610100"</f>
        <v>70610100</v>
      </c>
      <c r="F33" s="1" t="s">
        <v>113</v>
      </c>
      <c r="G33" t="s">
        <v>341</v>
      </c>
      <c r="H33" t="s">
        <v>6463</v>
      </c>
      <c r="I33">
        <v>0</v>
      </c>
      <c r="J33" t="s">
        <v>343</v>
      </c>
      <c r="K33" s="1"/>
      <c r="L33">
        <v>126151000</v>
      </c>
      <c r="N33">
        <v>126151000</v>
      </c>
    </row>
    <row r="34" spans="1:14" x14ac:dyDescent="0.35">
      <c r="A34" t="str">
        <f t="shared" si="0"/>
        <v>OD45747189167130000</v>
      </c>
      <c r="B34" t="s">
        <v>101</v>
      </c>
      <c r="C34" s="1">
        <v>45747</v>
      </c>
      <c r="D34" s="1" t="str">
        <f>"1891"</f>
        <v>1891</v>
      </c>
      <c r="E34" t="str">
        <f>"67130000"</f>
        <v>67130000</v>
      </c>
      <c r="F34" s="1" t="s">
        <v>6442</v>
      </c>
      <c r="G34" t="s">
        <v>341</v>
      </c>
      <c r="H34" t="s">
        <v>342</v>
      </c>
      <c r="I34">
        <v>0</v>
      </c>
      <c r="J34" t="s">
        <v>343</v>
      </c>
      <c r="K34">
        <v>9382808</v>
      </c>
      <c r="M34">
        <v>9382808</v>
      </c>
    </row>
    <row r="35" spans="1:14" x14ac:dyDescent="0.35">
      <c r="A35" t="str">
        <f t="shared" si="0"/>
        <v>OD45747189267130000</v>
      </c>
      <c r="B35" t="s">
        <v>101</v>
      </c>
      <c r="C35" s="1">
        <v>45747</v>
      </c>
      <c r="D35" s="1" t="str">
        <f>"1892"</f>
        <v>1892</v>
      </c>
      <c r="E35" t="str">
        <f>"67130000"</f>
        <v>67130000</v>
      </c>
      <c r="F35" s="1" t="s">
        <v>6443</v>
      </c>
      <c r="G35" t="s">
        <v>341</v>
      </c>
      <c r="H35" t="s">
        <v>342</v>
      </c>
      <c r="I35">
        <v>0</v>
      </c>
      <c r="J35" t="s">
        <v>343</v>
      </c>
      <c r="K35">
        <v>5095890</v>
      </c>
      <c r="M35">
        <v>5095890</v>
      </c>
    </row>
    <row r="36" spans="1:14" x14ac:dyDescent="0.35">
      <c r="A36" t="str">
        <f t="shared" si="0"/>
        <v>OD45747189367130000</v>
      </c>
      <c r="B36" t="s">
        <v>101</v>
      </c>
      <c r="C36" s="1">
        <v>45747</v>
      </c>
      <c r="D36" s="1" t="str">
        <f>"1893"</f>
        <v>1893</v>
      </c>
      <c r="E36" t="str">
        <f>"67130000"</f>
        <v>67130000</v>
      </c>
      <c r="F36" s="1" t="s">
        <v>6444</v>
      </c>
      <c r="G36" t="s">
        <v>341</v>
      </c>
      <c r="H36" t="s">
        <v>342</v>
      </c>
      <c r="I36">
        <v>0</v>
      </c>
      <c r="J36" t="s">
        <v>343</v>
      </c>
      <c r="K36">
        <v>5095890</v>
      </c>
      <c r="M36">
        <v>5095890</v>
      </c>
    </row>
    <row r="37" spans="1:14" x14ac:dyDescent="0.35">
      <c r="A37" t="str">
        <f t="shared" si="0"/>
        <v>OD45747189477120000</v>
      </c>
      <c r="B37" t="s">
        <v>101</v>
      </c>
      <c r="C37" s="1">
        <v>45747</v>
      </c>
      <c r="D37" s="1" t="str">
        <f>"1894"</f>
        <v>1894</v>
      </c>
      <c r="E37" t="str">
        <f>"77120000"</f>
        <v>77120000</v>
      </c>
      <c r="F37" s="1" t="s">
        <v>6445</v>
      </c>
      <c r="G37" t="s">
        <v>341</v>
      </c>
      <c r="H37" t="s">
        <v>6463</v>
      </c>
      <c r="I37">
        <v>0</v>
      </c>
      <c r="J37" t="s">
        <v>343</v>
      </c>
      <c r="K37" s="1"/>
      <c r="L37">
        <v>9478356</v>
      </c>
      <c r="N37">
        <v>9478356</v>
      </c>
    </row>
    <row r="38" spans="1:14" x14ac:dyDescent="0.35">
      <c r="A38" t="str">
        <f t="shared" si="0"/>
        <v>OD45747189564130000</v>
      </c>
      <c r="B38" t="s">
        <v>101</v>
      </c>
      <c r="C38" s="1">
        <v>45747</v>
      </c>
      <c r="D38" s="1" t="str">
        <f>"1895"</f>
        <v>1895</v>
      </c>
      <c r="E38" t="str">
        <f>"64130000"</f>
        <v>64130000</v>
      </c>
      <c r="F38" s="1" t="s">
        <v>6446</v>
      </c>
      <c r="G38" t="s">
        <v>341</v>
      </c>
      <c r="H38" t="s">
        <v>5913</v>
      </c>
      <c r="I38">
        <v>0</v>
      </c>
      <c r="J38" t="s">
        <v>343</v>
      </c>
      <c r="K38">
        <v>144486</v>
      </c>
      <c r="M38">
        <v>342084</v>
      </c>
    </row>
    <row r="39" spans="1:14" x14ac:dyDescent="0.35">
      <c r="A39" t="str">
        <f t="shared" si="0"/>
        <v>OD45747189564130000</v>
      </c>
      <c r="B39" t="s">
        <v>101</v>
      </c>
      <c r="C39" s="1">
        <v>45747</v>
      </c>
      <c r="D39" s="1" t="str">
        <f>"1895"</f>
        <v>1895</v>
      </c>
      <c r="E39" t="str">
        <f>"64130000"</f>
        <v>64130000</v>
      </c>
      <c r="F39" s="1" t="s">
        <v>6446</v>
      </c>
      <c r="G39" t="s">
        <v>341</v>
      </c>
      <c r="H39" t="s">
        <v>5914</v>
      </c>
      <c r="I39">
        <v>0</v>
      </c>
      <c r="J39" t="s">
        <v>343</v>
      </c>
      <c r="K39">
        <v>59219</v>
      </c>
      <c r="M39">
        <v>342084</v>
      </c>
    </row>
    <row r="40" spans="1:14" x14ac:dyDescent="0.35">
      <c r="A40" t="str">
        <f t="shared" si="0"/>
        <v>OD45747189564130000</v>
      </c>
      <c r="B40" t="s">
        <v>101</v>
      </c>
      <c r="C40" s="1">
        <v>45747</v>
      </c>
      <c r="D40" s="1" t="str">
        <f>"1895"</f>
        <v>1895</v>
      </c>
      <c r="E40" t="str">
        <f>"64130000"</f>
        <v>64130000</v>
      </c>
      <c r="F40" s="1" t="s">
        <v>6446</v>
      </c>
      <c r="G40" t="s">
        <v>341</v>
      </c>
      <c r="H40" t="s">
        <v>5909</v>
      </c>
      <c r="I40">
        <v>0</v>
      </c>
      <c r="J40" t="s">
        <v>343</v>
      </c>
      <c r="K40">
        <v>84177</v>
      </c>
      <c r="M40">
        <v>342084</v>
      </c>
    </row>
    <row r="41" spans="1:14" x14ac:dyDescent="0.35">
      <c r="A41" t="str">
        <f t="shared" si="0"/>
        <v>OD45747189564130000</v>
      </c>
      <c r="B41" t="s">
        <v>101</v>
      </c>
      <c r="C41" s="1">
        <v>45747</v>
      </c>
      <c r="D41" s="1" t="str">
        <f>"1895"</f>
        <v>1895</v>
      </c>
      <c r="E41" t="str">
        <f>"64130000"</f>
        <v>64130000</v>
      </c>
      <c r="F41" s="1" t="s">
        <v>6446</v>
      </c>
      <c r="G41" t="s">
        <v>341</v>
      </c>
      <c r="H41" t="s">
        <v>5935</v>
      </c>
      <c r="I41">
        <v>0</v>
      </c>
      <c r="J41" t="s">
        <v>343</v>
      </c>
      <c r="K41">
        <v>54202</v>
      </c>
      <c r="M41">
        <v>342084</v>
      </c>
    </row>
    <row r="42" spans="1:14" x14ac:dyDescent="0.35">
      <c r="A42" t="str">
        <f t="shared" si="0"/>
        <v>OD45747189664140000</v>
      </c>
      <c r="B42" t="s">
        <v>101</v>
      </c>
      <c r="C42" s="1">
        <v>45747</v>
      </c>
      <c r="D42" s="1" t="str">
        <f t="shared" ref="D42:D49" si="1">"1896"</f>
        <v>1896</v>
      </c>
      <c r="E42" t="str">
        <f>"64140000"</f>
        <v>64140000</v>
      </c>
      <c r="F42" s="1" t="s">
        <v>6183</v>
      </c>
      <c r="G42" t="s">
        <v>341</v>
      </c>
      <c r="H42" t="s">
        <v>5913</v>
      </c>
      <c r="I42">
        <v>0</v>
      </c>
      <c r="J42" t="s">
        <v>343</v>
      </c>
      <c r="K42">
        <v>48162</v>
      </c>
      <c r="M42">
        <v>114028</v>
      </c>
    </row>
    <row r="43" spans="1:14" x14ac:dyDescent="0.35">
      <c r="A43" t="str">
        <f t="shared" si="0"/>
        <v>OD45747189664140000</v>
      </c>
      <c r="B43" t="s">
        <v>101</v>
      </c>
      <c r="C43" s="1">
        <v>45747</v>
      </c>
      <c r="D43" s="1" t="str">
        <f t="shared" si="1"/>
        <v>1896</v>
      </c>
      <c r="E43" t="str">
        <f>"64140000"</f>
        <v>64140000</v>
      </c>
      <c r="F43" s="1" t="s">
        <v>6183</v>
      </c>
      <c r="G43" t="s">
        <v>341</v>
      </c>
      <c r="H43" t="s">
        <v>5914</v>
      </c>
      <c r="I43">
        <v>0</v>
      </c>
      <c r="J43" t="s">
        <v>343</v>
      </c>
      <c r="K43">
        <v>19740</v>
      </c>
      <c r="M43">
        <v>114028</v>
      </c>
    </row>
    <row r="44" spans="1:14" x14ac:dyDescent="0.35">
      <c r="A44" t="str">
        <f t="shared" si="0"/>
        <v>OD45747189664140000</v>
      </c>
      <c r="B44" t="s">
        <v>101</v>
      </c>
      <c r="C44" s="1">
        <v>45747</v>
      </c>
      <c r="D44" s="1" t="str">
        <f t="shared" si="1"/>
        <v>1896</v>
      </c>
      <c r="E44" t="str">
        <f>"64140000"</f>
        <v>64140000</v>
      </c>
      <c r="F44" s="1" t="s">
        <v>6183</v>
      </c>
      <c r="G44" t="s">
        <v>341</v>
      </c>
      <c r="H44" t="s">
        <v>5909</v>
      </c>
      <c r="I44">
        <v>0</v>
      </c>
      <c r="J44" t="s">
        <v>343</v>
      </c>
      <c r="K44">
        <v>28059</v>
      </c>
      <c r="M44">
        <v>114028</v>
      </c>
    </row>
    <row r="45" spans="1:14" x14ac:dyDescent="0.35">
      <c r="A45" t="str">
        <f t="shared" si="0"/>
        <v>OD45747189664140000</v>
      </c>
      <c r="B45" t="s">
        <v>101</v>
      </c>
      <c r="C45" s="1">
        <v>45747</v>
      </c>
      <c r="D45" s="1" t="str">
        <f t="shared" si="1"/>
        <v>1896</v>
      </c>
      <c r="E45" t="str">
        <f>"64140000"</f>
        <v>64140000</v>
      </c>
      <c r="F45" s="1" t="s">
        <v>6183</v>
      </c>
      <c r="G45" t="s">
        <v>341</v>
      </c>
      <c r="H45" t="s">
        <v>5935</v>
      </c>
      <c r="I45">
        <v>0</v>
      </c>
      <c r="J45" t="s">
        <v>343</v>
      </c>
      <c r="K45">
        <v>18067</v>
      </c>
      <c r="M45">
        <v>114028</v>
      </c>
    </row>
    <row r="46" spans="1:14" x14ac:dyDescent="0.35">
      <c r="A46" t="str">
        <f t="shared" si="0"/>
        <v>OD45747189664150000</v>
      </c>
      <c r="B46" t="s">
        <v>101</v>
      </c>
      <c r="C46" s="1">
        <v>45747</v>
      </c>
      <c r="D46" s="1" t="str">
        <f t="shared" si="1"/>
        <v>1896</v>
      </c>
      <c r="E46" t="str">
        <f>"64150000"</f>
        <v>64150000</v>
      </c>
      <c r="F46" s="1" t="s">
        <v>6183</v>
      </c>
      <c r="G46" t="s">
        <v>341</v>
      </c>
      <c r="H46" t="s">
        <v>5913</v>
      </c>
      <c r="I46">
        <v>0</v>
      </c>
      <c r="J46" t="s">
        <v>343</v>
      </c>
      <c r="K46">
        <v>72243</v>
      </c>
      <c r="M46">
        <v>171042</v>
      </c>
    </row>
    <row r="47" spans="1:14" x14ac:dyDescent="0.35">
      <c r="A47" t="str">
        <f t="shared" si="0"/>
        <v>OD45747189664150000</v>
      </c>
      <c r="B47" t="s">
        <v>101</v>
      </c>
      <c r="C47" s="1">
        <v>45747</v>
      </c>
      <c r="D47" s="1" t="str">
        <f t="shared" si="1"/>
        <v>1896</v>
      </c>
      <c r="E47" t="str">
        <f>"64150000"</f>
        <v>64150000</v>
      </c>
      <c r="F47" s="1" t="s">
        <v>6183</v>
      </c>
      <c r="G47" t="s">
        <v>341</v>
      </c>
      <c r="H47" t="s">
        <v>5914</v>
      </c>
      <c r="I47">
        <v>0</v>
      </c>
      <c r="J47" t="s">
        <v>343</v>
      </c>
      <c r="K47">
        <v>29609</v>
      </c>
      <c r="M47">
        <v>171042</v>
      </c>
    </row>
    <row r="48" spans="1:14" x14ac:dyDescent="0.35">
      <c r="A48" t="str">
        <f t="shared" si="0"/>
        <v>OD45747189664150000</v>
      </c>
      <c r="B48" t="s">
        <v>101</v>
      </c>
      <c r="C48" s="1">
        <v>45747</v>
      </c>
      <c r="D48" s="1" t="str">
        <f t="shared" si="1"/>
        <v>1896</v>
      </c>
      <c r="E48" t="str">
        <f>"64150000"</f>
        <v>64150000</v>
      </c>
      <c r="F48" s="1" t="s">
        <v>6183</v>
      </c>
      <c r="G48" t="s">
        <v>341</v>
      </c>
      <c r="H48" t="s">
        <v>5909</v>
      </c>
      <c r="I48">
        <v>0</v>
      </c>
      <c r="J48" t="s">
        <v>343</v>
      </c>
      <c r="K48">
        <v>42089</v>
      </c>
      <c r="M48">
        <v>171042</v>
      </c>
    </row>
    <row r="49" spans="1:13" x14ac:dyDescent="0.35">
      <c r="A49" t="str">
        <f t="shared" si="0"/>
        <v>OD45747189664150000</v>
      </c>
      <c r="B49" t="s">
        <v>101</v>
      </c>
      <c r="C49" s="1">
        <v>45747</v>
      </c>
      <c r="D49" s="1" t="str">
        <f t="shared" si="1"/>
        <v>1896</v>
      </c>
      <c r="E49" t="str">
        <f>"64150000"</f>
        <v>64150000</v>
      </c>
      <c r="F49" s="1" t="s">
        <v>6183</v>
      </c>
      <c r="G49" t="s">
        <v>341</v>
      </c>
      <c r="H49" t="s">
        <v>5935</v>
      </c>
      <c r="I49">
        <v>0</v>
      </c>
      <c r="J49" t="s">
        <v>343</v>
      </c>
      <c r="K49">
        <v>27101</v>
      </c>
      <c r="M49">
        <v>171042</v>
      </c>
    </row>
    <row r="50" spans="1:13" x14ac:dyDescent="0.35">
      <c r="A50" t="str">
        <f t="shared" si="0"/>
        <v>OD45747189766410000</v>
      </c>
      <c r="B50" t="s">
        <v>101</v>
      </c>
      <c r="C50" s="1">
        <v>45747</v>
      </c>
      <c r="D50" s="1" t="str">
        <f>"1897"</f>
        <v>1897</v>
      </c>
      <c r="E50" t="str">
        <f t="shared" ref="E50:E57" si="2">"66410000"</f>
        <v>66410000</v>
      </c>
      <c r="F50" s="1" t="s">
        <v>6184</v>
      </c>
      <c r="G50" t="s">
        <v>341</v>
      </c>
      <c r="H50" t="s">
        <v>5913</v>
      </c>
      <c r="I50">
        <v>0</v>
      </c>
      <c r="J50" t="s">
        <v>343</v>
      </c>
      <c r="K50">
        <v>471413</v>
      </c>
      <c r="M50">
        <v>1270727</v>
      </c>
    </row>
    <row r="51" spans="1:13" x14ac:dyDescent="0.35">
      <c r="A51" t="str">
        <f t="shared" si="0"/>
        <v>OD45747189766410000</v>
      </c>
      <c r="B51" t="s">
        <v>101</v>
      </c>
      <c r="C51" s="1">
        <v>45747</v>
      </c>
      <c r="D51" s="1" t="str">
        <f>"1897"</f>
        <v>1897</v>
      </c>
      <c r="E51" t="str">
        <f t="shared" si="2"/>
        <v>66410000</v>
      </c>
      <c r="F51" s="1" t="s">
        <v>6184</v>
      </c>
      <c r="G51" t="s">
        <v>341</v>
      </c>
      <c r="H51" t="s">
        <v>5914</v>
      </c>
      <c r="I51">
        <v>0</v>
      </c>
      <c r="J51" t="s">
        <v>343</v>
      </c>
      <c r="K51">
        <v>266438</v>
      </c>
      <c r="M51">
        <v>1270727</v>
      </c>
    </row>
    <row r="52" spans="1:13" x14ac:dyDescent="0.35">
      <c r="A52" t="str">
        <f t="shared" si="0"/>
        <v>OD45747189766410000</v>
      </c>
      <c r="B52" t="s">
        <v>101</v>
      </c>
      <c r="C52" s="1">
        <v>45747</v>
      </c>
      <c r="D52" s="1" t="str">
        <f>"1897"</f>
        <v>1897</v>
      </c>
      <c r="E52" t="str">
        <f t="shared" si="2"/>
        <v>66410000</v>
      </c>
      <c r="F52" s="1" t="s">
        <v>6184</v>
      </c>
      <c r="G52" t="s">
        <v>341</v>
      </c>
      <c r="H52" t="s">
        <v>5909</v>
      </c>
      <c r="I52">
        <v>0</v>
      </c>
      <c r="J52" t="s">
        <v>343</v>
      </c>
      <c r="K52">
        <v>266438</v>
      </c>
      <c r="M52">
        <v>1270727</v>
      </c>
    </row>
    <row r="53" spans="1:13" x14ac:dyDescent="0.35">
      <c r="A53" t="str">
        <f t="shared" si="0"/>
        <v>OD45747189766410000</v>
      </c>
      <c r="B53" t="s">
        <v>101</v>
      </c>
      <c r="C53" s="1">
        <v>45747</v>
      </c>
      <c r="D53" s="1" t="str">
        <f>"1897"</f>
        <v>1897</v>
      </c>
      <c r="E53" t="str">
        <f t="shared" si="2"/>
        <v>66410000</v>
      </c>
      <c r="F53" s="1" t="s">
        <v>6184</v>
      </c>
      <c r="G53" t="s">
        <v>341</v>
      </c>
      <c r="H53" t="s">
        <v>5935</v>
      </c>
      <c r="I53">
        <v>0</v>
      </c>
      <c r="J53" t="s">
        <v>343</v>
      </c>
      <c r="K53">
        <v>266438</v>
      </c>
      <c r="M53">
        <v>1270727</v>
      </c>
    </row>
    <row r="54" spans="1:13" x14ac:dyDescent="0.35">
      <c r="A54" t="str">
        <f t="shared" si="0"/>
        <v>OD45747189866410000</v>
      </c>
      <c r="B54" t="s">
        <v>101</v>
      </c>
      <c r="C54" s="1">
        <v>45747</v>
      </c>
      <c r="D54" s="1" t="str">
        <f>"1898"</f>
        <v>1898</v>
      </c>
      <c r="E54" t="str">
        <f t="shared" si="2"/>
        <v>66410000</v>
      </c>
      <c r="F54" s="1" t="s">
        <v>2849</v>
      </c>
      <c r="G54" t="s">
        <v>341</v>
      </c>
      <c r="H54" t="s">
        <v>5913</v>
      </c>
      <c r="I54">
        <v>0</v>
      </c>
      <c r="J54" t="s">
        <v>343</v>
      </c>
      <c r="K54">
        <v>1500</v>
      </c>
      <c r="M54">
        <v>3000</v>
      </c>
    </row>
    <row r="55" spans="1:13" x14ac:dyDescent="0.35">
      <c r="A55" t="str">
        <f t="shared" si="0"/>
        <v>OD45747189866410000</v>
      </c>
      <c r="B55" t="s">
        <v>101</v>
      </c>
      <c r="C55" s="1">
        <v>45747</v>
      </c>
      <c r="D55" s="1" t="str">
        <f>"1898"</f>
        <v>1898</v>
      </c>
      <c r="E55" t="str">
        <f t="shared" si="2"/>
        <v>66410000</v>
      </c>
      <c r="F55" s="1" t="s">
        <v>2849</v>
      </c>
      <c r="G55" t="s">
        <v>341</v>
      </c>
      <c r="H55" t="s">
        <v>5914</v>
      </c>
      <c r="I55">
        <v>0</v>
      </c>
      <c r="J55" t="s">
        <v>343</v>
      </c>
      <c r="K55">
        <v>500</v>
      </c>
      <c r="M55">
        <v>3000</v>
      </c>
    </row>
    <row r="56" spans="1:13" x14ac:dyDescent="0.35">
      <c r="A56" t="str">
        <f t="shared" si="0"/>
        <v>OD45747189866410000</v>
      </c>
      <c r="B56" t="s">
        <v>101</v>
      </c>
      <c r="C56" s="1">
        <v>45747</v>
      </c>
      <c r="D56" s="1" t="str">
        <f>"1898"</f>
        <v>1898</v>
      </c>
      <c r="E56" t="str">
        <f t="shared" si="2"/>
        <v>66410000</v>
      </c>
      <c r="F56" s="1" t="s">
        <v>2849</v>
      </c>
      <c r="G56" t="s">
        <v>341</v>
      </c>
      <c r="H56" t="s">
        <v>5909</v>
      </c>
      <c r="I56">
        <v>0</v>
      </c>
      <c r="J56" t="s">
        <v>343</v>
      </c>
      <c r="K56">
        <v>500</v>
      </c>
      <c r="M56">
        <v>3000</v>
      </c>
    </row>
    <row r="57" spans="1:13" x14ac:dyDescent="0.35">
      <c r="A57" t="str">
        <f t="shared" si="0"/>
        <v>OD45747189866410000</v>
      </c>
      <c r="B57" t="s">
        <v>101</v>
      </c>
      <c r="C57" s="1">
        <v>45747</v>
      </c>
      <c r="D57" s="1" t="str">
        <f>"1898"</f>
        <v>1898</v>
      </c>
      <c r="E57" t="str">
        <f t="shared" si="2"/>
        <v>66410000</v>
      </c>
      <c r="F57" s="1" t="s">
        <v>2849</v>
      </c>
      <c r="G57" t="s">
        <v>341</v>
      </c>
      <c r="H57" t="s">
        <v>5935</v>
      </c>
      <c r="I57">
        <v>0</v>
      </c>
      <c r="J57" t="s">
        <v>343</v>
      </c>
      <c r="K57">
        <v>500</v>
      </c>
      <c r="M57">
        <v>3000</v>
      </c>
    </row>
    <row r="58" spans="1:13" x14ac:dyDescent="0.35">
      <c r="A58" t="str">
        <f t="shared" si="0"/>
        <v>OD45747189967130000</v>
      </c>
      <c r="B58" t="s">
        <v>101</v>
      </c>
      <c r="C58" s="1">
        <v>45747</v>
      </c>
      <c r="D58" s="1" t="str">
        <f>"1899"</f>
        <v>1899</v>
      </c>
      <c r="E58" t="str">
        <f>"67130000"</f>
        <v>67130000</v>
      </c>
      <c r="F58" s="1" t="s">
        <v>6447</v>
      </c>
      <c r="G58" t="s">
        <v>341</v>
      </c>
      <c r="H58" t="s">
        <v>342</v>
      </c>
      <c r="I58">
        <v>0</v>
      </c>
      <c r="J58" t="s">
        <v>343</v>
      </c>
      <c r="K58">
        <v>2127442</v>
      </c>
      <c r="M58">
        <v>2127442</v>
      </c>
    </row>
    <row r="59" spans="1:13" x14ac:dyDescent="0.35">
      <c r="A59" t="str">
        <f t="shared" si="0"/>
        <v>OD45747190067130000</v>
      </c>
      <c r="B59" t="s">
        <v>101</v>
      </c>
      <c r="C59" s="1">
        <v>45747</v>
      </c>
      <c r="D59" s="1" t="str">
        <f>"1900"</f>
        <v>1900</v>
      </c>
      <c r="E59" t="str">
        <f>"67130000"</f>
        <v>67130000</v>
      </c>
      <c r="F59" s="1" t="s">
        <v>6448</v>
      </c>
      <c r="G59" t="s">
        <v>341</v>
      </c>
      <c r="H59" t="s">
        <v>342</v>
      </c>
      <c r="I59">
        <v>0</v>
      </c>
      <c r="J59" t="s">
        <v>343</v>
      </c>
      <c r="K59">
        <v>14267644</v>
      </c>
      <c r="M59">
        <v>14267644</v>
      </c>
    </row>
    <row r="60" spans="1:13" x14ac:dyDescent="0.35">
      <c r="A60" t="str">
        <f t="shared" si="0"/>
        <v>OD45747190161810000</v>
      </c>
      <c r="B60" t="s">
        <v>101</v>
      </c>
      <c r="C60" s="1">
        <v>45747</v>
      </c>
      <c r="D60" s="1" t="str">
        <f>"1901"</f>
        <v>1901</v>
      </c>
      <c r="E60" t="str">
        <f>"61810000"</f>
        <v>61810000</v>
      </c>
      <c r="F60" s="1" t="s">
        <v>6449</v>
      </c>
      <c r="G60" t="s">
        <v>341</v>
      </c>
      <c r="H60" t="s">
        <v>5878</v>
      </c>
      <c r="I60">
        <v>0</v>
      </c>
      <c r="J60" t="s">
        <v>343</v>
      </c>
      <c r="K60">
        <v>345489</v>
      </c>
      <c r="M60">
        <v>793750</v>
      </c>
    </row>
    <row r="61" spans="1:13" x14ac:dyDescent="0.35">
      <c r="A61" t="str">
        <f t="shared" si="0"/>
        <v>OD45747190161810000</v>
      </c>
      <c r="B61" t="s">
        <v>101</v>
      </c>
      <c r="C61" s="1">
        <v>45747</v>
      </c>
      <c r="D61" s="1" t="str">
        <f>"1901"</f>
        <v>1901</v>
      </c>
      <c r="E61" t="str">
        <f>"61810000"</f>
        <v>61810000</v>
      </c>
      <c r="F61" s="1" t="s">
        <v>6449</v>
      </c>
      <c r="G61" t="s">
        <v>341</v>
      </c>
      <c r="H61" t="s">
        <v>5941</v>
      </c>
      <c r="I61">
        <v>0</v>
      </c>
      <c r="J61" t="s">
        <v>343</v>
      </c>
      <c r="K61">
        <v>148261</v>
      </c>
      <c r="M61">
        <v>793750</v>
      </c>
    </row>
    <row r="62" spans="1:13" x14ac:dyDescent="0.35">
      <c r="A62" t="str">
        <f t="shared" si="0"/>
        <v>OD45747190161810000</v>
      </c>
      <c r="B62" t="s">
        <v>101</v>
      </c>
      <c r="C62" s="1">
        <v>45747</v>
      </c>
      <c r="D62" s="1" t="str">
        <f>"1901"</f>
        <v>1901</v>
      </c>
      <c r="E62" t="str">
        <f>"61810000"</f>
        <v>61810000</v>
      </c>
      <c r="F62" s="1" t="s">
        <v>6449</v>
      </c>
      <c r="G62" t="s">
        <v>341</v>
      </c>
      <c r="H62" t="s">
        <v>5938</v>
      </c>
      <c r="I62">
        <v>0</v>
      </c>
      <c r="J62" t="s">
        <v>343</v>
      </c>
      <c r="K62">
        <v>150000</v>
      </c>
      <c r="M62">
        <v>793750</v>
      </c>
    </row>
    <row r="63" spans="1:13" x14ac:dyDescent="0.35">
      <c r="A63" t="str">
        <f t="shared" si="0"/>
        <v>OD45747190161810000</v>
      </c>
      <c r="B63" t="s">
        <v>101</v>
      </c>
      <c r="C63" s="1">
        <v>45747</v>
      </c>
      <c r="D63" s="1" t="str">
        <f>"1901"</f>
        <v>1901</v>
      </c>
      <c r="E63" t="str">
        <f>"61810000"</f>
        <v>61810000</v>
      </c>
      <c r="F63" s="1" t="s">
        <v>6449</v>
      </c>
      <c r="G63" t="s">
        <v>341</v>
      </c>
      <c r="H63" t="s">
        <v>5947</v>
      </c>
      <c r="I63">
        <v>0</v>
      </c>
      <c r="J63" t="s">
        <v>343</v>
      </c>
      <c r="K63">
        <v>150000</v>
      </c>
      <c r="M63">
        <v>793750</v>
      </c>
    </row>
    <row r="64" spans="1:13" x14ac:dyDescent="0.35">
      <c r="A64" t="str">
        <f t="shared" si="0"/>
        <v>OD45747190262810000</v>
      </c>
      <c r="B64" t="s">
        <v>101</v>
      </c>
      <c r="C64" s="1">
        <v>45747</v>
      </c>
      <c r="D64" s="1" t="str">
        <f>"1902"</f>
        <v>1902</v>
      </c>
      <c r="E64" t="str">
        <f>"62810000"</f>
        <v>62810000</v>
      </c>
      <c r="F64" s="1" t="s">
        <v>6450</v>
      </c>
      <c r="G64" t="s">
        <v>341</v>
      </c>
      <c r="H64" t="s">
        <v>5909</v>
      </c>
      <c r="I64">
        <v>0</v>
      </c>
      <c r="J64" t="s">
        <v>343</v>
      </c>
      <c r="K64">
        <v>100000</v>
      </c>
      <c r="M64">
        <v>724865</v>
      </c>
    </row>
    <row r="65" spans="1:13" x14ac:dyDescent="0.35">
      <c r="A65" t="str">
        <f t="shared" si="0"/>
        <v>OD45747190262810000</v>
      </c>
      <c r="B65" t="s">
        <v>101</v>
      </c>
      <c r="C65" s="1">
        <v>45747</v>
      </c>
      <c r="D65" s="1" t="str">
        <f>"1902"</f>
        <v>1902</v>
      </c>
      <c r="E65" t="str">
        <f>"62810000"</f>
        <v>62810000</v>
      </c>
      <c r="F65" s="1" t="s">
        <v>6450</v>
      </c>
      <c r="G65" t="s">
        <v>341</v>
      </c>
      <c r="H65" t="s">
        <v>5913</v>
      </c>
      <c r="I65">
        <v>0</v>
      </c>
      <c r="J65" t="s">
        <v>343</v>
      </c>
      <c r="K65">
        <v>420122</v>
      </c>
      <c r="M65">
        <v>724865</v>
      </c>
    </row>
    <row r="66" spans="1:13" x14ac:dyDescent="0.35">
      <c r="A66" t="str">
        <f t="shared" si="0"/>
        <v>OD45747190262810000</v>
      </c>
      <c r="B66" t="s">
        <v>101</v>
      </c>
      <c r="C66" s="1">
        <v>45747</v>
      </c>
      <c r="D66" s="1" t="str">
        <f>"1902"</f>
        <v>1902</v>
      </c>
      <c r="E66" t="str">
        <f>"62810000"</f>
        <v>62810000</v>
      </c>
      <c r="F66" s="1" t="s">
        <v>6450</v>
      </c>
      <c r="G66" t="s">
        <v>341</v>
      </c>
      <c r="H66" t="s">
        <v>5914</v>
      </c>
      <c r="I66">
        <v>0</v>
      </c>
      <c r="J66" t="s">
        <v>343</v>
      </c>
      <c r="K66">
        <v>104743</v>
      </c>
      <c r="M66">
        <v>724865</v>
      </c>
    </row>
    <row r="67" spans="1:13" x14ac:dyDescent="0.35">
      <c r="A67" t="str">
        <f t="shared" ref="A67:A80" si="3">CONCATENATE(B67,C67,D67,E67)</f>
        <v>OD45747190262810000</v>
      </c>
      <c r="B67" t="s">
        <v>101</v>
      </c>
      <c r="C67" s="1">
        <v>45747</v>
      </c>
      <c r="D67" s="1" t="str">
        <f>"1902"</f>
        <v>1902</v>
      </c>
      <c r="E67" t="str">
        <f>"62810000"</f>
        <v>62810000</v>
      </c>
      <c r="F67" s="1" t="s">
        <v>6450</v>
      </c>
      <c r="G67" t="s">
        <v>341</v>
      </c>
      <c r="H67" t="s">
        <v>5935</v>
      </c>
      <c r="I67">
        <v>0</v>
      </c>
      <c r="J67" t="s">
        <v>343</v>
      </c>
      <c r="K67">
        <v>100000</v>
      </c>
      <c r="M67">
        <v>724865</v>
      </c>
    </row>
    <row r="68" spans="1:13" x14ac:dyDescent="0.35">
      <c r="A68" t="str">
        <f t="shared" si="3"/>
        <v>OD45747193268120000</v>
      </c>
      <c r="B68" t="s">
        <v>101</v>
      </c>
      <c r="C68" s="1">
        <v>45747</v>
      </c>
      <c r="D68" s="1" t="str">
        <f>"1932"</f>
        <v>1932</v>
      </c>
      <c r="E68" t="str">
        <f>"68120000"</f>
        <v>68120000</v>
      </c>
      <c r="F68" s="1" t="s">
        <v>6455</v>
      </c>
      <c r="G68" t="s">
        <v>341</v>
      </c>
      <c r="H68" t="s">
        <v>5986</v>
      </c>
      <c r="I68">
        <v>0</v>
      </c>
      <c r="J68" t="s">
        <v>343</v>
      </c>
      <c r="K68">
        <v>487032</v>
      </c>
      <c r="M68">
        <v>487032</v>
      </c>
    </row>
    <row r="69" spans="1:13" x14ac:dyDescent="0.35">
      <c r="A69" t="str">
        <f t="shared" si="3"/>
        <v>OD45747193268130000</v>
      </c>
      <c r="B69" t="s">
        <v>101</v>
      </c>
      <c r="C69" s="1">
        <v>45747</v>
      </c>
      <c r="D69" s="1" t="str">
        <f>"1932"</f>
        <v>1932</v>
      </c>
      <c r="E69" t="str">
        <f>"68130000"</f>
        <v>68130000</v>
      </c>
      <c r="F69" s="1" t="s">
        <v>6456</v>
      </c>
      <c r="G69" t="s">
        <v>341</v>
      </c>
      <c r="H69" t="s">
        <v>5989</v>
      </c>
      <c r="I69">
        <v>0</v>
      </c>
      <c r="J69" t="s">
        <v>343</v>
      </c>
      <c r="K69">
        <v>196458</v>
      </c>
      <c r="M69">
        <v>390701</v>
      </c>
    </row>
    <row r="70" spans="1:13" x14ac:dyDescent="0.35">
      <c r="A70" t="str">
        <f t="shared" si="3"/>
        <v>OD45747193268130000</v>
      </c>
      <c r="B70" t="s">
        <v>101</v>
      </c>
      <c r="C70" s="1">
        <v>45747</v>
      </c>
      <c r="D70" s="1" t="str">
        <f>"1932"</f>
        <v>1932</v>
      </c>
      <c r="E70" t="str">
        <f>"68130000"</f>
        <v>68130000</v>
      </c>
      <c r="F70" s="1" t="s">
        <v>6456</v>
      </c>
      <c r="G70" t="s">
        <v>341</v>
      </c>
      <c r="H70" t="s">
        <v>5982</v>
      </c>
      <c r="I70">
        <v>0</v>
      </c>
      <c r="J70" t="s">
        <v>343</v>
      </c>
      <c r="K70">
        <v>194243</v>
      </c>
      <c r="M70">
        <v>390701</v>
      </c>
    </row>
    <row r="71" spans="1:13" x14ac:dyDescent="0.35">
      <c r="A71" t="str">
        <f t="shared" si="3"/>
        <v>OD45747194467130000</v>
      </c>
      <c r="B71" t="s">
        <v>101</v>
      </c>
      <c r="C71" s="1">
        <v>45747</v>
      </c>
      <c r="D71" s="1" t="str">
        <f>"1944"</f>
        <v>1944</v>
      </c>
      <c r="E71" t="str">
        <f>"67130000"</f>
        <v>67130000</v>
      </c>
      <c r="F71" s="1" t="s">
        <v>6457</v>
      </c>
      <c r="G71" t="s">
        <v>341</v>
      </c>
      <c r="H71" t="s">
        <v>342</v>
      </c>
      <c r="I71">
        <v>0</v>
      </c>
      <c r="J71" t="s">
        <v>343</v>
      </c>
      <c r="K71">
        <v>6356096</v>
      </c>
      <c r="M71">
        <v>6356096</v>
      </c>
    </row>
    <row r="72" spans="1:13" x14ac:dyDescent="0.35">
      <c r="A72" t="str">
        <f t="shared" si="3"/>
        <v>PAI45746190866110000</v>
      </c>
      <c r="B72" t="s">
        <v>2964</v>
      </c>
      <c r="C72" s="1">
        <v>45746</v>
      </c>
      <c r="D72" s="1" t="str">
        <f t="shared" ref="D72:D80" si="4">"1908"</f>
        <v>1908</v>
      </c>
      <c r="E72" t="str">
        <f>"66110000"</f>
        <v>66110000</v>
      </c>
      <c r="F72" s="1" t="s">
        <v>6458</v>
      </c>
      <c r="G72" t="s">
        <v>341</v>
      </c>
      <c r="H72" t="s">
        <v>5914</v>
      </c>
      <c r="I72">
        <v>0</v>
      </c>
      <c r="J72" t="s">
        <v>343</v>
      </c>
      <c r="K72">
        <v>369890</v>
      </c>
      <c r="M72">
        <v>1866773</v>
      </c>
    </row>
    <row r="73" spans="1:13" x14ac:dyDescent="0.35">
      <c r="A73" t="str">
        <f t="shared" si="3"/>
        <v>PAI45746190866110000</v>
      </c>
      <c r="B73" t="s">
        <v>2964</v>
      </c>
      <c r="C73" s="1">
        <v>45746</v>
      </c>
      <c r="D73" s="1" t="str">
        <f t="shared" si="4"/>
        <v>1908</v>
      </c>
      <c r="E73" t="str">
        <f>"66110000"</f>
        <v>66110000</v>
      </c>
      <c r="F73" s="1" t="s">
        <v>6458</v>
      </c>
      <c r="G73" t="s">
        <v>341</v>
      </c>
      <c r="H73" t="s">
        <v>5935</v>
      </c>
      <c r="I73">
        <v>0</v>
      </c>
      <c r="J73" t="s">
        <v>343</v>
      </c>
      <c r="K73">
        <v>369890</v>
      </c>
      <c r="M73">
        <v>1866773</v>
      </c>
    </row>
    <row r="74" spans="1:13" x14ac:dyDescent="0.35">
      <c r="A74" t="str">
        <f t="shared" si="3"/>
        <v>PAI45746190866110000</v>
      </c>
      <c r="B74" t="s">
        <v>2964</v>
      </c>
      <c r="C74" s="1">
        <v>45746</v>
      </c>
      <c r="D74" s="1" t="str">
        <f t="shared" si="4"/>
        <v>1908</v>
      </c>
      <c r="E74" t="str">
        <f>"66110000"</f>
        <v>66110000</v>
      </c>
      <c r="F74" s="1" t="s">
        <v>6458</v>
      </c>
      <c r="G74" t="s">
        <v>341</v>
      </c>
      <c r="H74" t="s">
        <v>5909</v>
      </c>
      <c r="I74">
        <v>0</v>
      </c>
      <c r="J74" t="s">
        <v>343</v>
      </c>
      <c r="K74">
        <v>369890</v>
      </c>
      <c r="M74">
        <v>1866773</v>
      </c>
    </row>
    <row r="75" spans="1:13" x14ac:dyDescent="0.35">
      <c r="A75" t="str">
        <f t="shared" si="3"/>
        <v>PAI45746190866110000</v>
      </c>
      <c r="B75" t="s">
        <v>2964</v>
      </c>
      <c r="C75" s="1">
        <v>45746</v>
      </c>
      <c r="D75" s="1" t="str">
        <f t="shared" si="4"/>
        <v>1908</v>
      </c>
      <c r="E75" t="str">
        <f>"66110000"</f>
        <v>66110000</v>
      </c>
      <c r="F75" s="1" t="s">
        <v>6458</v>
      </c>
      <c r="G75" t="s">
        <v>341</v>
      </c>
      <c r="H75" t="s">
        <v>5913</v>
      </c>
      <c r="I75">
        <v>0</v>
      </c>
      <c r="J75" t="s">
        <v>343</v>
      </c>
      <c r="K75">
        <v>757103</v>
      </c>
      <c r="M75">
        <v>1866773</v>
      </c>
    </row>
    <row r="76" spans="1:13" x14ac:dyDescent="0.35">
      <c r="A76" t="str">
        <f t="shared" si="3"/>
        <v>PAI45746190866120000</v>
      </c>
      <c r="B76" t="s">
        <v>2964</v>
      </c>
      <c r="C76" s="1">
        <v>45746</v>
      </c>
      <c r="D76" s="1" t="str">
        <f t="shared" si="4"/>
        <v>1908</v>
      </c>
      <c r="E76" t="str">
        <f>"66120000"</f>
        <v>66120000</v>
      </c>
      <c r="F76" s="1" t="s">
        <v>6458</v>
      </c>
      <c r="G76" t="s">
        <v>341</v>
      </c>
      <c r="H76" t="s">
        <v>5914</v>
      </c>
      <c r="I76">
        <v>0</v>
      </c>
      <c r="J76" t="s">
        <v>343</v>
      </c>
      <c r="K76">
        <v>4565006</v>
      </c>
      <c r="M76">
        <v>26640224</v>
      </c>
    </row>
    <row r="77" spans="1:13" x14ac:dyDescent="0.35">
      <c r="A77" t="str">
        <f t="shared" si="3"/>
        <v>PAI45746190866120000</v>
      </c>
      <c r="B77" t="s">
        <v>2964</v>
      </c>
      <c r="C77" s="1">
        <v>45746</v>
      </c>
      <c r="D77" s="1" t="str">
        <f t="shared" si="4"/>
        <v>1908</v>
      </c>
      <c r="E77" t="str">
        <f>"66120000"</f>
        <v>66120000</v>
      </c>
      <c r="F77" s="1" t="s">
        <v>6458</v>
      </c>
      <c r="G77" t="s">
        <v>341</v>
      </c>
      <c r="H77" t="s">
        <v>5935</v>
      </c>
      <c r="I77">
        <v>0</v>
      </c>
      <c r="J77" t="s">
        <v>343</v>
      </c>
      <c r="K77">
        <v>4146950</v>
      </c>
      <c r="M77">
        <v>26640224</v>
      </c>
    </row>
    <row r="78" spans="1:13" x14ac:dyDescent="0.35">
      <c r="A78" t="str">
        <f t="shared" si="3"/>
        <v>PAI45746190866120000</v>
      </c>
      <c r="B78" t="s">
        <v>2964</v>
      </c>
      <c r="C78" s="1">
        <v>45746</v>
      </c>
      <c r="D78" s="1" t="str">
        <f t="shared" si="4"/>
        <v>1908</v>
      </c>
      <c r="E78" t="str">
        <f>"66120000"</f>
        <v>66120000</v>
      </c>
      <c r="F78" s="1" t="s">
        <v>6458</v>
      </c>
      <c r="G78" t="s">
        <v>341</v>
      </c>
      <c r="H78" t="s">
        <v>5909</v>
      </c>
      <c r="I78">
        <v>0</v>
      </c>
      <c r="J78" t="s">
        <v>343</v>
      </c>
      <c r="K78">
        <v>6644867</v>
      </c>
      <c r="M78">
        <v>26640224</v>
      </c>
    </row>
    <row r="79" spans="1:13" x14ac:dyDescent="0.35">
      <c r="A79" t="str">
        <f t="shared" si="3"/>
        <v>PAI45746190866120000</v>
      </c>
      <c r="B79" t="s">
        <v>2964</v>
      </c>
      <c r="C79" s="1">
        <v>45746</v>
      </c>
      <c r="D79" s="1" t="str">
        <f t="shared" si="4"/>
        <v>1908</v>
      </c>
      <c r="E79" t="str">
        <f>"66120000"</f>
        <v>66120000</v>
      </c>
      <c r="F79" s="1" t="s">
        <v>6458</v>
      </c>
      <c r="G79" t="s">
        <v>341</v>
      </c>
      <c r="H79" t="s">
        <v>5913</v>
      </c>
      <c r="I79">
        <v>0</v>
      </c>
      <c r="J79" t="s">
        <v>343</v>
      </c>
      <c r="K79">
        <v>11283401</v>
      </c>
      <c r="M79">
        <v>26640224</v>
      </c>
    </row>
    <row r="80" spans="1:13" x14ac:dyDescent="0.35">
      <c r="A80" t="str">
        <f t="shared" si="3"/>
        <v>PAI45746190866340000</v>
      </c>
      <c r="B80" t="s">
        <v>2964</v>
      </c>
      <c r="C80" s="1">
        <v>45746</v>
      </c>
      <c r="D80" s="1" t="str">
        <f t="shared" si="4"/>
        <v>1908</v>
      </c>
      <c r="E80" t="str">
        <f>"66340000"</f>
        <v>66340000</v>
      </c>
      <c r="F80" s="1" t="s">
        <v>6458</v>
      </c>
      <c r="G80" t="s">
        <v>341</v>
      </c>
      <c r="H80" t="s">
        <v>5913</v>
      </c>
      <c r="I80">
        <v>0</v>
      </c>
      <c r="J80" t="s">
        <v>343</v>
      </c>
      <c r="K80">
        <v>30000</v>
      </c>
      <c r="M80">
        <v>30000</v>
      </c>
    </row>
    <row r="81" spans="4:11" x14ac:dyDescent="0.35">
      <c r="D81" s="1"/>
    </row>
    <row r="82" spans="4:11" x14ac:dyDescent="0.35">
      <c r="D82" s="1"/>
    </row>
    <row r="83" spans="4:11" x14ac:dyDescent="0.35">
      <c r="D83" s="1"/>
    </row>
    <row r="84" spans="4:11" x14ac:dyDescent="0.35">
      <c r="D84" s="1"/>
    </row>
    <row r="85" spans="4:11" x14ac:dyDescent="0.35">
      <c r="D85" s="1"/>
    </row>
    <row r="86" spans="4:11" x14ac:dyDescent="0.35">
      <c r="D86" s="1"/>
      <c r="K86" s="1"/>
    </row>
    <row r="87" spans="4:11" x14ac:dyDescent="0.35">
      <c r="D87" s="1"/>
    </row>
    <row r="88" spans="4:11" x14ac:dyDescent="0.35">
      <c r="D88" s="1"/>
    </row>
    <row r="89" spans="4:11" x14ac:dyDescent="0.35">
      <c r="D89" s="1"/>
    </row>
    <row r="90" spans="4:11" x14ac:dyDescent="0.35">
      <c r="D90" s="1"/>
    </row>
    <row r="91" spans="4:11" x14ac:dyDescent="0.35">
      <c r="D91" s="1"/>
    </row>
    <row r="92" spans="4:11" x14ac:dyDescent="0.35">
      <c r="D92" s="1"/>
    </row>
    <row r="93" spans="4:11" x14ac:dyDescent="0.35">
      <c r="D93" s="1"/>
    </row>
    <row r="94" spans="4:11" x14ac:dyDescent="0.35">
      <c r="D94" s="1"/>
    </row>
    <row r="95" spans="4:11" x14ac:dyDescent="0.35">
      <c r="D95" s="1"/>
    </row>
    <row r="96" spans="4:11" x14ac:dyDescent="0.35">
      <c r="D96" s="1"/>
    </row>
    <row r="97" spans="4:11" x14ac:dyDescent="0.35">
      <c r="D97" s="1"/>
    </row>
    <row r="98" spans="4:11" x14ac:dyDescent="0.35">
      <c r="D98" s="1"/>
      <c r="K98" s="1"/>
    </row>
    <row r="99" spans="4:11" x14ac:dyDescent="0.35">
      <c r="D99" s="1"/>
    </row>
    <row r="100" spans="4:11" x14ac:dyDescent="0.35">
      <c r="D100" s="1"/>
    </row>
    <row r="101" spans="4:11" x14ac:dyDescent="0.35">
      <c r="D101" s="1"/>
    </row>
    <row r="102" spans="4:11" x14ac:dyDescent="0.35">
      <c r="D102" s="1"/>
    </row>
    <row r="103" spans="4:11" x14ac:dyDescent="0.35">
      <c r="D103" s="1"/>
    </row>
    <row r="104" spans="4:11" x14ac:dyDescent="0.35">
      <c r="D104" s="1"/>
    </row>
    <row r="105" spans="4:11" x14ac:dyDescent="0.35">
      <c r="D105" s="1"/>
    </row>
    <row r="106" spans="4:11" x14ac:dyDescent="0.35">
      <c r="D106" s="1"/>
    </row>
    <row r="107" spans="4:11" x14ac:dyDescent="0.35">
      <c r="D107" s="1"/>
    </row>
    <row r="108" spans="4:11" x14ac:dyDescent="0.35">
      <c r="D108" s="1"/>
    </row>
    <row r="109" spans="4:11" x14ac:dyDescent="0.35">
      <c r="D109" s="1"/>
    </row>
    <row r="110" spans="4:11" x14ac:dyDescent="0.35">
      <c r="D110" s="1"/>
    </row>
    <row r="111" spans="4:11" x14ac:dyDescent="0.35">
      <c r="D111" s="1"/>
    </row>
    <row r="112" spans="4:11" x14ac:dyDescent="0.35">
      <c r="D112" s="1"/>
    </row>
    <row r="113" spans="4:4" x14ac:dyDescent="0.35">
      <c r="D113" s="1"/>
    </row>
    <row r="114" spans="4:4" x14ac:dyDescent="0.35">
      <c r="D114" s="1"/>
    </row>
    <row r="115" spans="4:4" x14ac:dyDescent="0.35">
      <c r="D115" s="1"/>
    </row>
    <row r="116" spans="4:4" x14ac:dyDescent="0.35">
      <c r="D116" s="1"/>
    </row>
    <row r="117" spans="4:4" x14ac:dyDescent="0.35">
      <c r="D117" s="1"/>
    </row>
    <row r="118" spans="4:4" x14ac:dyDescent="0.35">
      <c r="D118" s="1"/>
    </row>
    <row r="119" spans="4:4" x14ac:dyDescent="0.35">
      <c r="D119" s="1"/>
    </row>
    <row r="120" spans="4:4" x14ac:dyDescent="0.35">
      <c r="D120" s="1"/>
    </row>
    <row r="121" spans="4:4" x14ac:dyDescent="0.35">
      <c r="D121" s="1"/>
    </row>
    <row r="122" spans="4:4" x14ac:dyDescent="0.35">
      <c r="D122" s="1"/>
    </row>
    <row r="123" spans="4:4" x14ac:dyDescent="0.35">
      <c r="D123" s="1"/>
    </row>
    <row r="124" spans="4:4" x14ac:dyDescent="0.35">
      <c r="D124" s="1"/>
    </row>
    <row r="125" spans="4:4" x14ac:dyDescent="0.35">
      <c r="D125" s="1"/>
    </row>
    <row r="126" spans="4:4" x14ac:dyDescent="0.35">
      <c r="D126" s="1"/>
    </row>
    <row r="127" spans="4:4" x14ac:dyDescent="0.35">
      <c r="D127" s="1"/>
    </row>
    <row r="128" spans="4:4" x14ac:dyDescent="0.35">
      <c r="D128" s="1"/>
    </row>
    <row r="129" spans="4:4" x14ac:dyDescent="0.35">
      <c r="D129" s="1"/>
    </row>
    <row r="130" spans="4:4" x14ac:dyDescent="0.35">
      <c r="D130" s="1"/>
    </row>
    <row r="131" spans="4:4" x14ac:dyDescent="0.35">
      <c r="D131" s="1"/>
    </row>
    <row r="132" spans="4:4" x14ac:dyDescent="0.35">
      <c r="D132" s="1"/>
    </row>
    <row r="133" spans="4:4" x14ac:dyDescent="0.35">
      <c r="D133" s="1"/>
    </row>
    <row r="134" spans="4:4" x14ac:dyDescent="0.35">
      <c r="D134" s="1"/>
    </row>
    <row r="135" spans="4:4" x14ac:dyDescent="0.35">
      <c r="D135" s="1"/>
    </row>
    <row r="136" spans="4:4" x14ac:dyDescent="0.35">
      <c r="D136" s="1"/>
    </row>
    <row r="137" spans="4:4" x14ac:dyDescent="0.35">
      <c r="D137" s="1"/>
    </row>
    <row r="138" spans="4:4" x14ac:dyDescent="0.35">
      <c r="D138" s="1"/>
    </row>
    <row r="139" spans="4:4" x14ac:dyDescent="0.35">
      <c r="D139" s="1"/>
    </row>
    <row r="140" spans="4:4" x14ac:dyDescent="0.35">
      <c r="D140" s="1"/>
    </row>
    <row r="141" spans="4:4" x14ac:dyDescent="0.35">
      <c r="D141" s="1"/>
    </row>
    <row r="142" spans="4:4" x14ac:dyDescent="0.35">
      <c r="D142" s="1"/>
    </row>
    <row r="143" spans="4:4" x14ac:dyDescent="0.35">
      <c r="D143" s="1"/>
    </row>
    <row r="144" spans="4:4" x14ac:dyDescent="0.35">
      <c r="D144" s="1"/>
    </row>
    <row r="145" spans="4:11" x14ac:dyDescent="0.35">
      <c r="D145" s="1"/>
    </row>
    <row r="146" spans="4:11" x14ac:dyDescent="0.35">
      <c r="D146" s="1"/>
    </row>
    <row r="147" spans="4:11" x14ac:dyDescent="0.35">
      <c r="D147" s="1"/>
    </row>
    <row r="148" spans="4:11" x14ac:dyDescent="0.35">
      <c r="D148" s="1"/>
    </row>
    <row r="149" spans="4:11" x14ac:dyDescent="0.35">
      <c r="D149" s="1"/>
    </row>
    <row r="150" spans="4:11" x14ac:dyDescent="0.35">
      <c r="D150" s="1"/>
    </row>
    <row r="151" spans="4:11" x14ac:dyDescent="0.35">
      <c r="D151" s="1"/>
    </row>
    <row r="152" spans="4:11" x14ac:dyDescent="0.35">
      <c r="D152" s="1"/>
    </row>
    <row r="153" spans="4:11" x14ac:dyDescent="0.35">
      <c r="D153" s="1"/>
      <c r="K153" s="1"/>
    </row>
    <row r="154" spans="4:11" x14ac:dyDescent="0.35">
      <c r="D154" s="1"/>
      <c r="K154" s="1"/>
    </row>
    <row r="155" spans="4:11" x14ac:dyDescent="0.35">
      <c r="D155" s="1"/>
      <c r="K155" s="1"/>
    </row>
    <row r="156" spans="4:11" x14ac:dyDescent="0.35">
      <c r="D156" s="1"/>
      <c r="K156" s="1"/>
    </row>
    <row r="157" spans="4:11" x14ac:dyDescent="0.35">
      <c r="D157" s="1"/>
      <c r="K157" s="1"/>
    </row>
    <row r="158" spans="4:11" x14ac:dyDescent="0.35">
      <c r="D158" s="1"/>
    </row>
    <row r="159" spans="4:11" x14ac:dyDescent="0.35">
      <c r="D159" s="1"/>
    </row>
    <row r="160" spans="4:11" x14ac:dyDescent="0.35">
      <c r="D160" s="1"/>
    </row>
    <row r="161" spans="4:4" x14ac:dyDescent="0.35">
      <c r="D161" s="1"/>
    </row>
    <row r="162" spans="4:4" x14ac:dyDescent="0.35">
      <c r="D162" s="1"/>
    </row>
    <row r="163" spans="4:4" x14ac:dyDescent="0.35">
      <c r="D163" s="1"/>
    </row>
    <row r="164" spans="4:4" x14ac:dyDescent="0.35">
      <c r="D164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49A97-CEA0-4853-A67E-62D7E486D0CD}">
  <dimension ref="A1:K8169"/>
  <sheetViews>
    <sheetView topLeftCell="A8126" workbookViewId="0">
      <selection activeCell="J8170" sqref="J8170"/>
    </sheetView>
  </sheetViews>
  <sheetFormatPr baseColWidth="10" defaultRowHeight="14.5" outlineLevelRow="2" x14ac:dyDescent="0.35"/>
  <cols>
    <col min="10" max="11" width="17.1796875" style="4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4" t="s">
        <v>9</v>
      </c>
      <c r="K1" s="4" t="s">
        <v>10</v>
      </c>
    </row>
    <row r="2" spans="1:11" hidden="1" outlineLevel="2" x14ac:dyDescent="0.35">
      <c r="A2" t="s">
        <v>1790</v>
      </c>
      <c r="B2" s="1">
        <v>45731</v>
      </c>
      <c r="C2" t="str">
        <f>"160"</f>
        <v>160</v>
      </c>
      <c r="F2" t="str">
        <f>"16202001"</f>
        <v>16202001</v>
      </c>
      <c r="H2" t="s">
        <v>1809</v>
      </c>
      <c r="J2" s="4">
        <v>7999643</v>
      </c>
    </row>
    <row r="3" spans="1:11" outlineLevel="1" collapsed="1" x14ac:dyDescent="0.35">
      <c r="B3" s="1"/>
      <c r="F3" s="3" t="s">
        <v>6464</v>
      </c>
      <c r="J3" s="4">
        <f>SUBTOTAL(9,J2:J2)</f>
        <v>7999643</v>
      </c>
      <c r="K3" s="4">
        <f>SUBTOTAL(9,K2:K2)</f>
        <v>0</v>
      </c>
    </row>
    <row r="4" spans="1:11" hidden="1" outlineLevel="2" x14ac:dyDescent="0.35">
      <c r="A4" t="s">
        <v>1892</v>
      </c>
      <c r="B4" s="1">
        <v>45726</v>
      </c>
      <c r="C4" t="str">
        <f>"70"</f>
        <v>70</v>
      </c>
      <c r="F4" t="str">
        <f>"16203000"</f>
        <v>16203000</v>
      </c>
      <c r="H4" t="s">
        <v>1900</v>
      </c>
      <c r="J4" s="4">
        <v>29951525</v>
      </c>
    </row>
    <row r="5" spans="1:11" outlineLevel="1" collapsed="1" x14ac:dyDescent="0.35">
      <c r="B5" s="1"/>
      <c r="F5" s="3" t="s">
        <v>6465</v>
      </c>
      <c r="J5" s="4">
        <f>SUBTOTAL(9,J4:J4)</f>
        <v>29951525</v>
      </c>
      <c r="K5" s="4">
        <f>SUBTOTAL(9,K4:K4)</f>
        <v>0</v>
      </c>
    </row>
    <row r="6" spans="1:11" hidden="1" outlineLevel="2" x14ac:dyDescent="0.35">
      <c r="A6" t="s">
        <v>1911</v>
      </c>
      <c r="B6" s="1">
        <v>45739</v>
      </c>
      <c r="C6" t="str">
        <f>"188"</f>
        <v>188</v>
      </c>
      <c r="F6" t="str">
        <f>"16204000"</f>
        <v>16204000</v>
      </c>
      <c r="H6" t="s">
        <v>1942</v>
      </c>
      <c r="J6" s="4">
        <v>50154132</v>
      </c>
    </row>
    <row r="7" spans="1:11" outlineLevel="1" collapsed="1" x14ac:dyDescent="0.35">
      <c r="B7" s="1"/>
      <c r="F7" s="3" t="s">
        <v>6466</v>
      </c>
      <c r="J7" s="4">
        <f>SUBTOTAL(9,J6:J6)</f>
        <v>50154132</v>
      </c>
      <c r="K7" s="4">
        <f>SUBTOTAL(9,K6:K6)</f>
        <v>0</v>
      </c>
    </row>
    <row r="8" spans="1:11" hidden="1" outlineLevel="2" x14ac:dyDescent="0.35">
      <c r="A8" t="s">
        <v>1911</v>
      </c>
      <c r="B8" s="1">
        <v>45744</v>
      </c>
      <c r="C8" t="str">
        <f>"189"</f>
        <v>189</v>
      </c>
      <c r="F8" t="str">
        <f>"16205000"</f>
        <v>16205000</v>
      </c>
      <c r="H8" t="s">
        <v>1976</v>
      </c>
      <c r="J8" s="4">
        <v>17743300</v>
      </c>
    </row>
    <row r="9" spans="1:11" outlineLevel="1" collapsed="1" x14ac:dyDescent="0.35">
      <c r="B9" s="1"/>
      <c r="F9" s="3" t="s">
        <v>6467</v>
      </c>
      <c r="J9" s="4">
        <f>SUBTOTAL(9,J8:J8)</f>
        <v>17743300</v>
      </c>
      <c r="K9" s="4">
        <f>SUBTOTAL(9,K8:K8)</f>
        <v>0</v>
      </c>
    </row>
    <row r="10" spans="1:11" hidden="1" outlineLevel="2" x14ac:dyDescent="0.35">
      <c r="A10" t="s">
        <v>1986</v>
      </c>
      <c r="B10" s="1">
        <v>45738</v>
      </c>
      <c r="C10" t="str">
        <f>"73"</f>
        <v>73</v>
      </c>
      <c r="F10" t="str">
        <f>"16206000"</f>
        <v>16206000</v>
      </c>
      <c r="H10" t="s">
        <v>2011</v>
      </c>
      <c r="J10" s="4">
        <v>9935874</v>
      </c>
    </row>
    <row r="11" spans="1:11" outlineLevel="1" collapsed="1" x14ac:dyDescent="0.35">
      <c r="B11" s="1"/>
      <c r="F11" s="3" t="s">
        <v>6468</v>
      </c>
      <c r="J11" s="4">
        <f>SUBTOTAL(9,J10:J10)</f>
        <v>9935874</v>
      </c>
      <c r="K11" s="4">
        <f>SUBTOTAL(9,K10:K10)</f>
        <v>0</v>
      </c>
    </row>
    <row r="12" spans="1:11" hidden="1" outlineLevel="2" x14ac:dyDescent="0.35">
      <c r="A12" t="s">
        <v>101</v>
      </c>
      <c r="B12" s="1">
        <v>45747</v>
      </c>
      <c r="C12" t="str">
        <f>"11"</f>
        <v>11</v>
      </c>
      <c r="F12" t="str">
        <f>"16860000"</f>
        <v>16860000</v>
      </c>
      <c r="H12" t="s">
        <v>2847</v>
      </c>
      <c r="K12" s="4">
        <v>3324096</v>
      </c>
    </row>
    <row r="13" spans="1:11" outlineLevel="1" collapsed="1" x14ac:dyDescent="0.35">
      <c r="B13" s="1"/>
      <c r="F13" s="3" t="s">
        <v>6469</v>
      </c>
      <c r="J13" s="4">
        <f>SUBTOTAL(9,J12:J12)</f>
        <v>0</v>
      </c>
      <c r="K13" s="4">
        <f>SUBTOTAL(9,K12:K12)</f>
        <v>3324096</v>
      </c>
    </row>
    <row r="14" spans="1:11" hidden="1" outlineLevel="2" x14ac:dyDescent="0.35">
      <c r="A14" t="s">
        <v>101</v>
      </c>
      <c r="B14" s="1">
        <v>45746</v>
      </c>
      <c r="C14" t="str">
        <f>"29"</f>
        <v>29</v>
      </c>
      <c r="E14" t="s">
        <v>2822</v>
      </c>
      <c r="F14" t="str">
        <f>"17300017"</f>
        <v>17300017</v>
      </c>
      <c r="H14" t="s">
        <v>2823</v>
      </c>
      <c r="J14" s="4">
        <v>3070592</v>
      </c>
    </row>
    <row r="15" spans="1:11" outlineLevel="1" collapsed="1" x14ac:dyDescent="0.35">
      <c r="B15" s="1"/>
      <c r="F15" s="3" t="s">
        <v>6470</v>
      </c>
      <c r="J15" s="4">
        <f>SUBTOTAL(9,J14:J14)</f>
        <v>3070592</v>
      </c>
      <c r="K15" s="4">
        <f>SUBTOTAL(9,K14:K14)</f>
        <v>0</v>
      </c>
    </row>
    <row r="16" spans="1:11" hidden="1" outlineLevel="2" x14ac:dyDescent="0.35">
      <c r="A16" t="s">
        <v>101</v>
      </c>
      <c r="B16" s="1">
        <v>45746</v>
      </c>
      <c r="C16" t="str">
        <f>"30"</f>
        <v>30</v>
      </c>
      <c r="E16" t="s">
        <v>2824</v>
      </c>
      <c r="F16" t="str">
        <f>"17300018"</f>
        <v>17300018</v>
      </c>
      <c r="H16" t="s">
        <v>2825</v>
      </c>
      <c r="J16" s="4">
        <v>826098</v>
      </c>
    </row>
    <row r="17" spans="1:11" outlineLevel="1" collapsed="1" x14ac:dyDescent="0.35">
      <c r="B17" s="1"/>
      <c r="F17" s="3" t="s">
        <v>6471</v>
      </c>
      <c r="J17" s="4">
        <f>SUBTOTAL(9,J16:J16)</f>
        <v>826098</v>
      </c>
      <c r="K17" s="4">
        <f>SUBTOTAL(9,K16:K16)</f>
        <v>0</v>
      </c>
    </row>
    <row r="18" spans="1:11" hidden="1" outlineLevel="2" x14ac:dyDescent="0.35">
      <c r="A18" t="s">
        <v>101</v>
      </c>
      <c r="B18" s="1">
        <v>45731</v>
      </c>
      <c r="C18" t="str">
        <f>"31"</f>
        <v>31</v>
      </c>
      <c r="E18" t="s">
        <v>2770</v>
      </c>
      <c r="F18" t="str">
        <f>"17300019"</f>
        <v>17300019</v>
      </c>
      <c r="H18" t="s">
        <v>2771</v>
      </c>
      <c r="J18" s="4">
        <v>877511</v>
      </c>
    </row>
    <row r="19" spans="1:11" outlineLevel="1" collapsed="1" x14ac:dyDescent="0.35">
      <c r="B19" s="1"/>
      <c r="F19" s="3" t="s">
        <v>6472</v>
      </c>
      <c r="J19" s="4">
        <f>SUBTOTAL(9,J18:J18)</f>
        <v>877511</v>
      </c>
      <c r="K19" s="4">
        <f>SUBTOTAL(9,K18:K18)</f>
        <v>0</v>
      </c>
    </row>
    <row r="20" spans="1:11" hidden="1" outlineLevel="2" x14ac:dyDescent="0.35">
      <c r="A20" t="s">
        <v>101</v>
      </c>
      <c r="B20" s="1">
        <v>45731</v>
      </c>
      <c r="C20" t="str">
        <f>"32"</f>
        <v>32</v>
      </c>
      <c r="E20" t="s">
        <v>2772</v>
      </c>
      <c r="F20" t="str">
        <f>"17300020"</f>
        <v>17300020</v>
      </c>
      <c r="H20" t="s">
        <v>2773</v>
      </c>
      <c r="J20" s="4">
        <v>298924</v>
      </c>
    </row>
    <row r="21" spans="1:11" outlineLevel="1" collapsed="1" x14ac:dyDescent="0.35">
      <c r="B21" s="1"/>
      <c r="F21" s="3" t="s">
        <v>6473</v>
      </c>
      <c r="J21" s="4">
        <f>SUBTOTAL(9,J20:J20)</f>
        <v>298924</v>
      </c>
      <c r="K21" s="4">
        <f>SUBTOTAL(9,K20:K20)</f>
        <v>0</v>
      </c>
    </row>
    <row r="22" spans="1:11" hidden="1" outlineLevel="2" x14ac:dyDescent="0.35">
      <c r="A22" t="s">
        <v>101</v>
      </c>
      <c r="B22" s="1">
        <v>45731</v>
      </c>
      <c r="C22" t="str">
        <f>"33"</f>
        <v>33</v>
      </c>
      <c r="E22" t="s">
        <v>2774</v>
      </c>
      <c r="F22" t="str">
        <f>"17300021"</f>
        <v>17300021</v>
      </c>
      <c r="H22" t="s">
        <v>2775</v>
      </c>
      <c r="J22" s="4">
        <v>1319833</v>
      </c>
    </row>
    <row r="23" spans="1:11" outlineLevel="1" collapsed="1" x14ac:dyDescent="0.35">
      <c r="B23" s="1"/>
      <c r="F23" s="3" t="s">
        <v>6474</v>
      </c>
      <c r="J23" s="4">
        <f>SUBTOTAL(9,J22:J22)</f>
        <v>1319833</v>
      </c>
      <c r="K23" s="4">
        <f>SUBTOTAL(9,K22:K22)</f>
        <v>0</v>
      </c>
    </row>
    <row r="24" spans="1:11" hidden="1" outlineLevel="2" x14ac:dyDescent="0.35">
      <c r="A24" t="s">
        <v>101</v>
      </c>
      <c r="B24" s="1">
        <v>45747</v>
      </c>
      <c r="C24" t="str">
        <f>"47"</f>
        <v>47</v>
      </c>
      <c r="E24" t="s">
        <v>2872</v>
      </c>
      <c r="F24" t="str">
        <f>"17300022"</f>
        <v>17300022</v>
      </c>
      <c r="H24" t="s">
        <v>2873</v>
      </c>
      <c r="J24" s="4">
        <v>298209</v>
      </c>
    </row>
    <row r="25" spans="1:11" outlineLevel="1" collapsed="1" x14ac:dyDescent="0.35">
      <c r="B25" s="1"/>
      <c r="F25" s="3" t="s">
        <v>6475</v>
      </c>
      <c r="J25" s="4">
        <f>SUBTOTAL(9,J24:J24)</f>
        <v>298209</v>
      </c>
      <c r="K25" s="4">
        <f>SUBTOTAL(9,K24:K24)</f>
        <v>0</v>
      </c>
    </row>
    <row r="26" spans="1:11" hidden="1" outlineLevel="2" x14ac:dyDescent="0.35">
      <c r="A26" t="s">
        <v>101</v>
      </c>
      <c r="B26" s="1">
        <v>45731</v>
      </c>
      <c r="C26" t="str">
        <f>"48"</f>
        <v>48</v>
      </c>
      <c r="E26" t="s">
        <v>2792</v>
      </c>
      <c r="F26" t="str">
        <f>"17300024"</f>
        <v>17300024</v>
      </c>
      <c r="H26" t="s">
        <v>2793</v>
      </c>
      <c r="J26" s="4">
        <v>229198</v>
      </c>
    </row>
    <row r="27" spans="1:11" outlineLevel="1" collapsed="1" x14ac:dyDescent="0.35">
      <c r="B27" s="1"/>
      <c r="F27" s="3" t="s">
        <v>6476</v>
      </c>
      <c r="J27" s="4">
        <f>SUBTOTAL(9,J26:J26)</f>
        <v>229198</v>
      </c>
      <c r="K27" s="4">
        <f>SUBTOTAL(9,K26:K26)</f>
        <v>0</v>
      </c>
    </row>
    <row r="28" spans="1:11" hidden="1" outlineLevel="2" x14ac:dyDescent="0.35">
      <c r="A28" t="s">
        <v>101</v>
      </c>
      <c r="B28" s="1">
        <v>45731</v>
      </c>
      <c r="C28" t="str">
        <f>"49"</f>
        <v>49</v>
      </c>
      <c r="E28" t="s">
        <v>2794</v>
      </c>
      <c r="F28" t="str">
        <f>"17300025"</f>
        <v>17300025</v>
      </c>
      <c r="H28" t="s">
        <v>2795</v>
      </c>
      <c r="J28" s="4">
        <v>229198</v>
      </c>
    </row>
    <row r="29" spans="1:11" outlineLevel="1" collapsed="1" x14ac:dyDescent="0.35">
      <c r="B29" s="1"/>
      <c r="F29" s="3" t="s">
        <v>6477</v>
      </c>
      <c r="J29" s="4">
        <f>SUBTOTAL(9,J28:J28)</f>
        <v>229198</v>
      </c>
      <c r="K29" s="4">
        <f>SUBTOTAL(9,K28:K28)</f>
        <v>0</v>
      </c>
    </row>
    <row r="30" spans="1:11" hidden="1" outlineLevel="2" x14ac:dyDescent="0.35">
      <c r="A30" t="s">
        <v>101</v>
      </c>
      <c r="B30" s="1">
        <v>45731</v>
      </c>
      <c r="C30" t="str">
        <f>"50"</f>
        <v>50</v>
      </c>
      <c r="E30" t="s">
        <v>2796</v>
      </c>
      <c r="F30" t="str">
        <f>"17300026"</f>
        <v>17300026</v>
      </c>
      <c r="H30" t="s">
        <v>2797</v>
      </c>
      <c r="J30" s="4">
        <v>229198</v>
      </c>
    </row>
    <row r="31" spans="1:11" outlineLevel="1" collapsed="1" x14ac:dyDescent="0.35">
      <c r="B31" s="1"/>
      <c r="F31" s="3" t="s">
        <v>6478</v>
      </c>
      <c r="J31" s="4">
        <f>SUBTOTAL(9,J30:J30)</f>
        <v>229198</v>
      </c>
      <c r="K31" s="4">
        <f>SUBTOTAL(9,K30:K30)</f>
        <v>0</v>
      </c>
    </row>
    <row r="32" spans="1:11" hidden="1" outlineLevel="2" x14ac:dyDescent="0.35">
      <c r="A32" t="s">
        <v>101</v>
      </c>
      <c r="B32" s="1">
        <v>45731</v>
      </c>
      <c r="C32" t="str">
        <f>"34"</f>
        <v>34</v>
      </c>
      <c r="E32" t="s">
        <v>2776</v>
      </c>
      <c r="F32" t="str">
        <f>"17300027"</f>
        <v>17300027</v>
      </c>
      <c r="H32" t="s">
        <v>2777</v>
      </c>
      <c r="J32" s="4">
        <v>126106</v>
      </c>
    </row>
    <row r="33" spans="1:11" outlineLevel="1" collapsed="1" x14ac:dyDescent="0.35">
      <c r="B33" s="1"/>
      <c r="F33" s="3" t="s">
        <v>6479</v>
      </c>
      <c r="J33" s="4">
        <f>SUBTOTAL(9,J32:J32)</f>
        <v>126106</v>
      </c>
      <c r="K33" s="4">
        <f>SUBTOTAL(9,K32:K32)</f>
        <v>0</v>
      </c>
    </row>
    <row r="34" spans="1:11" hidden="1" outlineLevel="2" x14ac:dyDescent="0.35">
      <c r="A34" t="s">
        <v>101</v>
      </c>
      <c r="B34" s="1">
        <v>45731</v>
      </c>
      <c r="C34" t="str">
        <f>"51"</f>
        <v>51</v>
      </c>
      <c r="E34" t="s">
        <v>2798</v>
      </c>
      <c r="F34" t="str">
        <f>"17300028"</f>
        <v>17300028</v>
      </c>
      <c r="H34" t="s">
        <v>2799</v>
      </c>
      <c r="J34" s="4">
        <v>126106</v>
      </c>
    </row>
    <row r="35" spans="1:11" outlineLevel="1" collapsed="1" x14ac:dyDescent="0.35">
      <c r="B35" s="1"/>
      <c r="F35" s="3" t="s">
        <v>6480</v>
      </c>
      <c r="J35" s="4">
        <f>SUBTOTAL(9,J34:J34)</f>
        <v>126106</v>
      </c>
      <c r="K35" s="4">
        <f>SUBTOTAL(9,K34:K34)</f>
        <v>0</v>
      </c>
    </row>
    <row r="36" spans="1:11" hidden="1" outlineLevel="2" x14ac:dyDescent="0.35">
      <c r="A36" t="s">
        <v>101</v>
      </c>
      <c r="B36" s="1">
        <v>45731</v>
      </c>
      <c r="C36" t="str">
        <f>"52"</f>
        <v>52</v>
      </c>
      <c r="E36" t="s">
        <v>2800</v>
      </c>
      <c r="F36" t="str">
        <f>"17300029"</f>
        <v>17300029</v>
      </c>
      <c r="H36" t="s">
        <v>2801</v>
      </c>
      <c r="J36" s="4">
        <v>126106</v>
      </c>
    </row>
    <row r="37" spans="1:11" outlineLevel="1" collapsed="1" x14ac:dyDescent="0.35">
      <c r="B37" s="1"/>
      <c r="F37" s="3" t="s">
        <v>6481</v>
      </c>
      <c r="J37" s="4">
        <f>SUBTOTAL(9,J36:J36)</f>
        <v>126106</v>
      </c>
      <c r="K37" s="4">
        <f>SUBTOTAL(9,K36:K36)</f>
        <v>0</v>
      </c>
    </row>
    <row r="38" spans="1:11" hidden="1" outlineLevel="2" x14ac:dyDescent="0.35">
      <c r="A38" t="s">
        <v>101</v>
      </c>
      <c r="B38" s="1">
        <v>45731</v>
      </c>
      <c r="C38" t="str">
        <f>"45"</f>
        <v>45</v>
      </c>
      <c r="E38" t="s">
        <v>1321</v>
      </c>
      <c r="F38" t="str">
        <f>"17300031"</f>
        <v>17300031</v>
      </c>
      <c r="H38" t="s">
        <v>2790</v>
      </c>
      <c r="J38" s="4">
        <v>1133412</v>
      </c>
    </row>
    <row r="39" spans="1:11" outlineLevel="1" collapsed="1" x14ac:dyDescent="0.35">
      <c r="B39" s="1"/>
      <c r="F39" s="3" t="s">
        <v>6482</v>
      </c>
      <c r="J39" s="4">
        <f>SUBTOTAL(9,J38:J38)</f>
        <v>1133412</v>
      </c>
      <c r="K39" s="4">
        <f>SUBTOTAL(9,K38:K38)</f>
        <v>0</v>
      </c>
    </row>
    <row r="40" spans="1:11" hidden="1" outlineLevel="2" x14ac:dyDescent="0.35">
      <c r="A40" t="s">
        <v>101</v>
      </c>
      <c r="B40" s="1">
        <v>45731</v>
      </c>
      <c r="C40" t="str">
        <f>"46"</f>
        <v>46</v>
      </c>
      <c r="E40" t="s">
        <v>1323</v>
      </c>
      <c r="F40" t="str">
        <f>"17300032"</f>
        <v>17300032</v>
      </c>
      <c r="H40" t="s">
        <v>2791</v>
      </c>
      <c r="J40" s="4">
        <v>837739</v>
      </c>
    </row>
    <row r="41" spans="1:11" outlineLevel="1" collapsed="1" x14ac:dyDescent="0.35">
      <c r="B41" s="1"/>
      <c r="F41" s="3" t="s">
        <v>6483</v>
      </c>
      <c r="J41" s="4">
        <f>SUBTOTAL(9,J40:J40)</f>
        <v>837739</v>
      </c>
      <c r="K41" s="4">
        <f>SUBTOTAL(9,K40:K40)</f>
        <v>0</v>
      </c>
    </row>
    <row r="42" spans="1:11" hidden="1" outlineLevel="2" x14ac:dyDescent="0.35">
      <c r="A42" t="s">
        <v>101</v>
      </c>
      <c r="B42" s="1">
        <v>45731</v>
      </c>
      <c r="C42" t="str">
        <f>"44"</f>
        <v>44</v>
      </c>
      <c r="E42" t="s">
        <v>2788</v>
      </c>
      <c r="F42" t="str">
        <f>"17300034"</f>
        <v>17300034</v>
      </c>
      <c r="H42" t="s">
        <v>2789</v>
      </c>
      <c r="J42" s="4">
        <v>841746</v>
      </c>
    </row>
    <row r="43" spans="1:11" outlineLevel="1" collapsed="1" x14ac:dyDescent="0.35">
      <c r="B43" s="1"/>
      <c r="F43" s="3" t="s">
        <v>6484</v>
      </c>
      <c r="J43" s="4">
        <f>SUBTOTAL(9,J42:J42)</f>
        <v>841746</v>
      </c>
      <c r="K43" s="4">
        <f>SUBTOTAL(9,K42:K42)</f>
        <v>0</v>
      </c>
    </row>
    <row r="44" spans="1:11" hidden="1" outlineLevel="2" x14ac:dyDescent="0.35">
      <c r="A44" t="s">
        <v>101</v>
      </c>
      <c r="B44" s="1">
        <v>45731</v>
      </c>
      <c r="C44" t="str">
        <f>"53"</f>
        <v>53</v>
      </c>
      <c r="E44" t="s">
        <v>2802</v>
      </c>
      <c r="F44" t="str">
        <f>"17300036"</f>
        <v>17300036</v>
      </c>
      <c r="H44" t="s">
        <v>2803</v>
      </c>
      <c r="J44" s="4">
        <v>2347213</v>
      </c>
    </row>
    <row r="45" spans="1:11" outlineLevel="1" collapsed="1" x14ac:dyDescent="0.35">
      <c r="B45" s="1"/>
      <c r="F45" s="3" t="s">
        <v>6485</v>
      </c>
      <c r="J45" s="4">
        <f>SUBTOTAL(9,J44:J44)</f>
        <v>2347213</v>
      </c>
      <c r="K45" s="4">
        <f>SUBTOTAL(9,K44:K44)</f>
        <v>0</v>
      </c>
    </row>
    <row r="46" spans="1:11" hidden="1" outlineLevel="2" x14ac:dyDescent="0.35">
      <c r="A46" t="s">
        <v>101</v>
      </c>
      <c r="B46" s="1">
        <v>45731</v>
      </c>
      <c r="C46" t="str">
        <f>"40"</f>
        <v>40</v>
      </c>
      <c r="E46" t="s">
        <v>1329</v>
      </c>
      <c r="F46" t="str">
        <f>"17300037"</f>
        <v>17300037</v>
      </c>
      <c r="H46" t="s">
        <v>2784</v>
      </c>
      <c r="J46" s="4">
        <v>1718333</v>
      </c>
    </row>
    <row r="47" spans="1:11" outlineLevel="1" collapsed="1" x14ac:dyDescent="0.35">
      <c r="B47" s="1"/>
      <c r="F47" s="3" t="s">
        <v>6486</v>
      </c>
      <c r="J47" s="4">
        <f>SUBTOTAL(9,J46:J46)</f>
        <v>1718333</v>
      </c>
      <c r="K47" s="4">
        <f>SUBTOTAL(9,K46:K46)</f>
        <v>0</v>
      </c>
    </row>
    <row r="48" spans="1:11" hidden="1" outlineLevel="2" x14ac:dyDescent="0.35">
      <c r="A48" t="s">
        <v>101</v>
      </c>
      <c r="B48" s="1">
        <v>45731</v>
      </c>
      <c r="C48" t="str">
        <f>"39"</f>
        <v>39</v>
      </c>
      <c r="E48" t="s">
        <v>1337</v>
      </c>
      <c r="F48" t="str">
        <f>"17300039"</f>
        <v>17300039</v>
      </c>
      <c r="H48" t="s">
        <v>2783</v>
      </c>
      <c r="J48" s="4">
        <v>1055163</v>
      </c>
    </row>
    <row r="49" spans="1:11" outlineLevel="1" collapsed="1" x14ac:dyDescent="0.35">
      <c r="B49" s="1"/>
      <c r="F49" s="3" t="s">
        <v>6487</v>
      </c>
      <c r="J49" s="4">
        <f>SUBTOTAL(9,J48:J48)</f>
        <v>1055163</v>
      </c>
      <c r="K49" s="4">
        <f>SUBTOTAL(9,K48:K48)</f>
        <v>0</v>
      </c>
    </row>
    <row r="50" spans="1:11" hidden="1" outlineLevel="2" x14ac:dyDescent="0.35">
      <c r="A50" t="s">
        <v>101</v>
      </c>
      <c r="B50" s="1">
        <v>45731</v>
      </c>
      <c r="C50" t="str">
        <f>"38"</f>
        <v>38</v>
      </c>
      <c r="E50" t="s">
        <v>1339</v>
      </c>
      <c r="F50" t="str">
        <f>"17300040"</f>
        <v>17300040</v>
      </c>
      <c r="H50" t="s">
        <v>2782</v>
      </c>
      <c r="J50" s="4">
        <v>614767</v>
      </c>
    </row>
    <row r="51" spans="1:11" outlineLevel="1" collapsed="1" x14ac:dyDescent="0.35">
      <c r="B51" s="1"/>
      <c r="F51" s="3" t="s">
        <v>6488</v>
      </c>
      <c r="J51" s="4">
        <f>SUBTOTAL(9,J50:J50)</f>
        <v>614767</v>
      </c>
      <c r="K51" s="4">
        <f>SUBTOTAL(9,K50:K50)</f>
        <v>0</v>
      </c>
    </row>
    <row r="52" spans="1:11" hidden="1" outlineLevel="2" x14ac:dyDescent="0.35">
      <c r="A52" t="s">
        <v>101</v>
      </c>
      <c r="B52" s="1">
        <v>45731</v>
      </c>
      <c r="C52" t="str">
        <f>"37"</f>
        <v>37</v>
      </c>
      <c r="E52" t="s">
        <v>1341</v>
      </c>
      <c r="F52" t="str">
        <f>"17300041"</f>
        <v>17300041</v>
      </c>
      <c r="H52" t="s">
        <v>2781</v>
      </c>
      <c r="J52" s="4">
        <v>525346</v>
      </c>
    </row>
    <row r="53" spans="1:11" outlineLevel="1" collapsed="1" x14ac:dyDescent="0.35">
      <c r="B53" s="1"/>
      <c r="F53" s="3" t="s">
        <v>6489</v>
      </c>
      <c r="J53" s="4">
        <f>SUBTOTAL(9,J52:J52)</f>
        <v>525346</v>
      </c>
      <c r="K53" s="4">
        <f>SUBTOTAL(9,K52:K52)</f>
        <v>0</v>
      </c>
    </row>
    <row r="54" spans="1:11" hidden="1" outlineLevel="2" x14ac:dyDescent="0.35">
      <c r="A54" t="s">
        <v>101</v>
      </c>
      <c r="B54" s="1">
        <v>45731</v>
      </c>
      <c r="C54" t="str">
        <f>"36"</f>
        <v>36</v>
      </c>
      <c r="E54" t="s">
        <v>2779</v>
      </c>
      <c r="F54" t="str">
        <f>"17300042"</f>
        <v>17300042</v>
      </c>
      <c r="H54" t="s">
        <v>2780</v>
      </c>
      <c r="J54" s="4">
        <v>502991</v>
      </c>
    </row>
    <row r="55" spans="1:11" outlineLevel="1" collapsed="1" x14ac:dyDescent="0.35">
      <c r="B55" s="1"/>
      <c r="F55" s="3" t="s">
        <v>6490</v>
      </c>
      <c r="J55" s="4">
        <f>SUBTOTAL(9,J54:J54)</f>
        <v>502991</v>
      </c>
      <c r="K55" s="4">
        <f>SUBTOTAL(9,K54:K54)</f>
        <v>0</v>
      </c>
    </row>
    <row r="56" spans="1:11" hidden="1" outlineLevel="2" x14ac:dyDescent="0.35">
      <c r="A56" t="s">
        <v>101</v>
      </c>
      <c r="B56" s="1">
        <v>45731</v>
      </c>
      <c r="C56" t="str">
        <f>"35"</f>
        <v>35</v>
      </c>
      <c r="E56" t="s">
        <v>1345</v>
      </c>
      <c r="F56" t="str">
        <f>"17300043"</f>
        <v>17300043</v>
      </c>
      <c r="H56" t="s">
        <v>2778</v>
      </c>
      <c r="J56" s="4">
        <v>938917</v>
      </c>
    </row>
    <row r="57" spans="1:11" outlineLevel="1" collapsed="1" x14ac:dyDescent="0.35">
      <c r="B57" s="1"/>
      <c r="F57" s="3" t="s">
        <v>6491</v>
      </c>
      <c r="J57" s="4">
        <f>SUBTOTAL(9,J56:J56)</f>
        <v>938917</v>
      </c>
      <c r="K57" s="4">
        <f>SUBTOTAL(9,K56:K56)</f>
        <v>0</v>
      </c>
    </row>
    <row r="58" spans="1:11" hidden="1" outlineLevel="2" x14ac:dyDescent="0.35">
      <c r="A58" t="s">
        <v>101</v>
      </c>
      <c r="B58" s="1">
        <v>45731</v>
      </c>
      <c r="C58" t="str">
        <f>"41"</f>
        <v>41</v>
      </c>
      <c r="E58" t="s">
        <v>1331</v>
      </c>
      <c r="F58" t="str">
        <f>"17300044"</f>
        <v>17300044</v>
      </c>
      <c r="H58" t="s">
        <v>2785</v>
      </c>
      <c r="J58" s="4">
        <v>3436666</v>
      </c>
    </row>
    <row r="59" spans="1:11" outlineLevel="1" collapsed="1" x14ac:dyDescent="0.35">
      <c r="B59" s="1"/>
      <c r="F59" s="3" t="s">
        <v>6492</v>
      </c>
      <c r="J59" s="4">
        <f>SUBTOTAL(9,J58:J58)</f>
        <v>3436666</v>
      </c>
      <c r="K59" s="4">
        <f>SUBTOTAL(9,K58:K58)</f>
        <v>0</v>
      </c>
    </row>
    <row r="60" spans="1:11" hidden="1" outlineLevel="2" x14ac:dyDescent="0.35">
      <c r="A60" t="s">
        <v>101</v>
      </c>
      <c r="B60" s="1">
        <v>45731</v>
      </c>
      <c r="C60" t="str">
        <f>"42"</f>
        <v>42</v>
      </c>
      <c r="E60" t="s">
        <v>1333</v>
      </c>
      <c r="F60" t="str">
        <f>"17300045"</f>
        <v>17300045</v>
      </c>
      <c r="H60" t="s">
        <v>2786</v>
      </c>
      <c r="J60" s="4">
        <v>3436666</v>
      </c>
    </row>
    <row r="61" spans="1:11" outlineLevel="1" collapsed="1" x14ac:dyDescent="0.35">
      <c r="B61" s="1"/>
      <c r="F61" s="3" t="s">
        <v>6493</v>
      </c>
      <c r="J61" s="4">
        <f>SUBTOTAL(9,J60:J60)</f>
        <v>3436666</v>
      </c>
      <c r="K61" s="4">
        <f>SUBTOTAL(9,K60:K60)</f>
        <v>0</v>
      </c>
    </row>
    <row r="62" spans="1:11" hidden="1" outlineLevel="2" x14ac:dyDescent="0.35">
      <c r="A62" t="s">
        <v>101</v>
      </c>
      <c r="B62" s="1">
        <v>45731</v>
      </c>
      <c r="C62" t="str">
        <f>"43"</f>
        <v>43</v>
      </c>
      <c r="E62" t="s">
        <v>1335</v>
      </c>
      <c r="F62" t="str">
        <f>"17300046"</f>
        <v>17300046</v>
      </c>
      <c r="H62" t="s">
        <v>2787</v>
      </c>
      <c r="J62" s="4">
        <v>1718333</v>
      </c>
    </row>
    <row r="63" spans="1:11" outlineLevel="1" collapsed="1" x14ac:dyDescent="0.35">
      <c r="B63" s="1"/>
      <c r="F63" s="3" t="s">
        <v>6494</v>
      </c>
      <c r="J63" s="4">
        <f>SUBTOTAL(9,J62:J62)</f>
        <v>1718333</v>
      </c>
      <c r="K63" s="4">
        <f>SUBTOTAL(9,K62:K62)</f>
        <v>0</v>
      </c>
    </row>
    <row r="64" spans="1:11" hidden="1" outlineLevel="2" x14ac:dyDescent="0.35">
      <c r="A64" t="s">
        <v>101</v>
      </c>
      <c r="B64" s="1">
        <v>45731</v>
      </c>
      <c r="C64" t="str">
        <f>"54"</f>
        <v>54</v>
      </c>
      <c r="E64" t="s">
        <v>1347</v>
      </c>
      <c r="F64" t="str">
        <f>"17300047"</f>
        <v>17300047</v>
      </c>
      <c r="H64" t="s">
        <v>2804</v>
      </c>
      <c r="J64" s="4">
        <v>2023963</v>
      </c>
    </row>
    <row r="65" spans="1:11" outlineLevel="1" collapsed="1" x14ac:dyDescent="0.35">
      <c r="B65" s="1"/>
      <c r="F65" s="3" t="s">
        <v>6495</v>
      </c>
      <c r="J65" s="4">
        <f>SUBTOTAL(9,J64:J64)</f>
        <v>2023963</v>
      </c>
      <c r="K65" s="4">
        <f>SUBTOTAL(9,K64:K64)</f>
        <v>0</v>
      </c>
    </row>
    <row r="66" spans="1:11" hidden="1" outlineLevel="2" x14ac:dyDescent="0.35">
      <c r="A66" t="s">
        <v>101</v>
      </c>
      <c r="B66" s="1">
        <v>45731</v>
      </c>
      <c r="C66" t="str">
        <f>"55"</f>
        <v>55</v>
      </c>
      <c r="E66" t="s">
        <v>1349</v>
      </c>
      <c r="F66" t="str">
        <f>"17300048"</f>
        <v>17300048</v>
      </c>
      <c r="H66" t="s">
        <v>2805</v>
      </c>
      <c r="J66" s="4">
        <v>2023963</v>
      </c>
    </row>
    <row r="67" spans="1:11" outlineLevel="1" collapsed="1" x14ac:dyDescent="0.35">
      <c r="B67" s="1"/>
      <c r="F67" s="3" t="s">
        <v>6496</v>
      </c>
      <c r="J67" s="4">
        <f>SUBTOTAL(9,J66:J66)</f>
        <v>2023963</v>
      </c>
      <c r="K67" s="4">
        <f>SUBTOTAL(9,K66:K66)</f>
        <v>0</v>
      </c>
    </row>
    <row r="68" spans="1:11" hidden="1" outlineLevel="2" x14ac:dyDescent="0.35">
      <c r="A68" t="s">
        <v>101</v>
      </c>
      <c r="B68" s="1">
        <v>45731</v>
      </c>
      <c r="C68" t="str">
        <f>"56"</f>
        <v>56</v>
      </c>
      <c r="E68" t="s">
        <v>1351</v>
      </c>
      <c r="F68" t="str">
        <f>"17300049"</f>
        <v>17300049</v>
      </c>
      <c r="H68" t="s">
        <v>2806</v>
      </c>
      <c r="J68" s="4">
        <v>2698617</v>
      </c>
    </row>
    <row r="69" spans="1:11" outlineLevel="1" collapsed="1" x14ac:dyDescent="0.35">
      <c r="B69" s="1"/>
      <c r="F69" s="3" t="s">
        <v>6497</v>
      </c>
      <c r="J69" s="4">
        <f>SUBTOTAL(9,J68:J68)</f>
        <v>2698617</v>
      </c>
      <c r="K69" s="4">
        <f>SUBTOTAL(9,K68:K68)</f>
        <v>0</v>
      </c>
    </row>
    <row r="70" spans="1:11" hidden="1" outlineLevel="2" x14ac:dyDescent="0.35">
      <c r="A70" t="s">
        <v>101</v>
      </c>
      <c r="B70" s="1">
        <v>45717</v>
      </c>
      <c r="C70" t="str">
        <f>"4"</f>
        <v>4</v>
      </c>
      <c r="F70" t="str">
        <f>"19610000"</f>
        <v>19610000</v>
      </c>
      <c r="H70" t="s">
        <v>2745</v>
      </c>
      <c r="K70" s="4">
        <v>4265926</v>
      </c>
    </row>
    <row r="71" spans="1:11" outlineLevel="1" collapsed="1" x14ac:dyDescent="0.35">
      <c r="B71" s="1"/>
      <c r="F71" s="3" t="s">
        <v>6498</v>
      </c>
      <c r="J71" s="4">
        <f>SUBTOTAL(9,J70:J70)</f>
        <v>0</v>
      </c>
      <c r="K71" s="4">
        <f>SUBTOTAL(9,K70:K70)</f>
        <v>4265926</v>
      </c>
    </row>
    <row r="72" spans="1:11" hidden="1" outlineLevel="2" x14ac:dyDescent="0.35">
      <c r="A72" t="s">
        <v>72</v>
      </c>
      <c r="B72" s="1">
        <v>45733</v>
      </c>
      <c r="C72" t="str">
        <f>"8"</f>
        <v>8</v>
      </c>
      <c r="E72" t="s">
        <v>2690</v>
      </c>
      <c r="F72" t="str">
        <f>"23510000"</f>
        <v>23510000</v>
      </c>
      <c r="H72" t="s">
        <v>2691</v>
      </c>
      <c r="J72" s="4">
        <v>1699750</v>
      </c>
    </row>
    <row r="73" spans="1:11" outlineLevel="1" collapsed="1" x14ac:dyDescent="0.35">
      <c r="B73" s="1"/>
      <c r="F73" s="3" t="s">
        <v>6499</v>
      </c>
      <c r="J73" s="4">
        <f>SUBTOTAL(9,J72:J72)</f>
        <v>1699750</v>
      </c>
      <c r="K73" s="4">
        <f>SUBTOTAL(9,K72:K72)</f>
        <v>0</v>
      </c>
    </row>
    <row r="74" spans="1:11" hidden="1" outlineLevel="2" x14ac:dyDescent="0.35">
      <c r="A74" t="s">
        <v>72</v>
      </c>
      <c r="B74" s="1">
        <v>45722</v>
      </c>
      <c r="C74" t="str">
        <f>"2"</f>
        <v>2</v>
      </c>
      <c r="D74" t="str">
        <f>"0188941"</f>
        <v>0188941</v>
      </c>
      <c r="E74" t="s">
        <v>2679</v>
      </c>
      <c r="F74" t="str">
        <f>"23800000"</f>
        <v>23800000</v>
      </c>
      <c r="H74" t="s">
        <v>2680</v>
      </c>
      <c r="J74" s="4">
        <v>1042000</v>
      </c>
    </row>
    <row r="75" spans="1:11" outlineLevel="1" collapsed="1" x14ac:dyDescent="0.35">
      <c r="B75" s="1"/>
      <c r="F75" s="3" t="s">
        <v>6500</v>
      </c>
      <c r="J75" s="4">
        <f>SUBTOTAL(9,J74:J74)</f>
        <v>1042000</v>
      </c>
      <c r="K75" s="4">
        <f>SUBTOTAL(9,K74:K74)</f>
        <v>0</v>
      </c>
    </row>
    <row r="76" spans="1:11" hidden="1" outlineLevel="2" x14ac:dyDescent="0.35">
      <c r="A76" t="s">
        <v>72</v>
      </c>
      <c r="B76" s="1">
        <v>45740</v>
      </c>
      <c r="C76" t="str">
        <f>"3"</f>
        <v>3</v>
      </c>
      <c r="D76" t="str">
        <f>"0104809"</f>
        <v>0104809</v>
      </c>
      <c r="E76" t="s">
        <v>2695</v>
      </c>
      <c r="F76" t="str">
        <f>"24410000"</f>
        <v>24410000</v>
      </c>
      <c r="H76" t="s">
        <v>2696</v>
      </c>
      <c r="J76" s="4">
        <v>197033</v>
      </c>
    </row>
    <row r="77" spans="1:11" outlineLevel="1" collapsed="1" x14ac:dyDescent="0.35">
      <c r="B77" s="1"/>
      <c r="F77" s="3" t="s">
        <v>6501</v>
      </c>
      <c r="J77" s="4">
        <f>SUBTOTAL(9,J76:J76)</f>
        <v>197033</v>
      </c>
      <c r="K77" s="4">
        <f>SUBTOTAL(9,K76:K76)</f>
        <v>0</v>
      </c>
    </row>
    <row r="78" spans="1:11" hidden="1" outlineLevel="2" x14ac:dyDescent="0.35">
      <c r="A78" t="s">
        <v>72</v>
      </c>
      <c r="B78" s="1">
        <v>45728</v>
      </c>
      <c r="C78" t="str">
        <f>"1"</f>
        <v>1</v>
      </c>
      <c r="D78" t="str">
        <f>"0000096"</f>
        <v>0000096</v>
      </c>
      <c r="E78" t="s">
        <v>2686</v>
      </c>
      <c r="F78" t="str">
        <f>"24420000"</f>
        <v>24420000</v>
      </c>
      <c r="H78" t="s">
        <v>2687</v>
      </c>
      <c r="J78" s="4">
        <v>1279600</v>
      </c>
    </row>
    <row r="79" spans="1:11" hidden="1" outlineLevel="2" x14ac:dyDescent="0.35">
      <c r="A79" t="s">
        <v>72</v>
      </c>
      <c r="B79" s="1">
        <v>45735</v>
      </c>
      <c r="C79" t="str">
        <f>"4"</f>
        <v>4</v>
      </c>
      <c r="D79" t="str">
        <f>"0000031"</f>
        <v>0000031</v>
      </c>
      <c r="E79" t="s">
        <v>2693</v>
      </c>
      <c r="F79" t="str">
        <f>"24420000"</f>
        <v>24420000</v>
      </c>
      <c r="H79" t="s">
        <v>2694</v>
      </c>
      <c r="J79" s="4">
        <v>2074700</v>
      </c>
    </row>
    <row r="80" spans="1:11" outlineLevel="1" collapsed="1" x14ac:dyDescent="0.35">
      <c r="B80" s="1"/>
      <c r="F80" s="3" t="s">
        <v>6502</v>
      </c>
      <c r="J80" s="4">
        <f>SUBTOTAL(9,J78:J79)</f>
        <v>3354300</v>
      </c>
      <c r="K80" s="4">
        <f>SUBTOTAL(9,K78:K79)</f>
        <v>0</v>
      </c>
    </row>
    <row r="81" spans="1:11" hidden="1" outlineLevel="2" x14ac:dyDescent="0.35">
      <c r="A81" t="s">
        <v>72</v>
      </c>
      <c r="B81" s="1">
        <v>45719</v>
      </c>
      <c r="C81" t="str">
        <f>"5"</f>
        <v>5</v>
      </c>
      <c r="D81" t="s">
        <v>2674</v>
      </c>
      <c r="E81" t="s">
        <v>2675</v>
      </c>
      <c r="F81" t="str">
        <f>"24700000"</f>
        <v>24700000</v>
      </c>
      <c r="H81" t="s">
        <v>2676</v>
      </c>
      <c r="J81" s="4">
        <v>700000</v>
      </c>
    </row>
    <row r="82" spans="1:11" hidden="1" outlineLevel="2" x14ac:dyDescent="0.35">
      <c r="A82" t="s">
        <v>72</v>
      </c>
      <c r="B82" s="1">
        <v>45727</v>
      </c>
      <c r="C82" t="str">
        <f>"7"</f>
        <v>7</v>
      </c>
      <c r="D82" t="str">
        <f>"103148"</f>
        <v>103148</v>
      </c>
      <c r="E82" t="s">
        <v>2681</v>
      </c>
      <c r="F82" t="str">
        <f>"24700000"</f>
        <v>24700000</v>
      </c>
      <c r="H82" t="s">
        <v>2682</v>
      </c>
      <c r="J82" s="4">
        <v>1358000</v>
      </c>
    </row>
    <row r="83" spans="1:11" hidden="1" outlineLevel="2" x14ac:dyDescent="0.35">
      <c r="A83" t="s">
        <v>72</v>
      </c>
      <c r="B83" s="1">
        <v>45733</v>
      </c>
      <c r="C83" t="str">
        <f>"6"</f>
        <v>6</v>
      </c>
      <c r="D83" t="str">
        <f>"103271"</f>
        <v>103271</v>
      </c>
      <c r="E83" t="s">
        <v>2688</v>
      </c>
      <c r="F83" t="str">
        <f>"24700000"</f>
        <v>24700000</v>
      </c>
      <c r="H83" t="s">
        <v>2689</v>
      </c>
      <c r="J83" s="4">
        <v>1881800</v>
      </c>
    </row>
    <row r="84" spans="1:11" hidden="1" outlineLevel="2" x14ac:dyDescent="0.35">
      <c r="A84" t="s">
        <v>72</v>
      </c>
      <c r="B84" s="1">
        <v>45733</v>
      </c>
      <c r="C84" t="str">
        <f>"9"</f>
        <v>9</v>
      </c>
      <c r="D84" t="str">
        <f>"103271"</f>
        <v>103271</v>
      </c>
      <c r="E84" t="s">
        <v>2688</v>
      </c>
      <c r="F84" t="str">
        <f>"24700000"</f>
        <v>24700000</v>
      </c>
      <c r="H84" t="s">
        <v>2692</v>
      </c>
      <c r="J84" s="4">
        <v>-1881800</v>
      </c>
    </row>
    <row r="85" spans="1:11" outlineLevel="1" collapsed="1" x14ac:dyDescent="0.35">
      <c r="B85" s="1"/>
      <c r="F85" s="3" t="s">
        <v>6503</v>
      </c>
      <c r="J85" s="4">
        <f>SUBTOTAL(9,J81:J84)</f>
        <v>2058000</v>
      </c>
      <c r="K85" s="4">
        <f>SUBTOTAL(9,K81:K84)</f>
        <v>0</v>
      </c>
    </row>
    <row r="86" spans="1:11" hidden="1" outlineLevel="2" x14ac:dyDescent="0.35">
      <c r="A86" t="s">
        <v>1911</v>
      </c>
      <c r="B86" s="1">
        <v>45733</v>
      </c>
      <c r="C86" t="str">
        <f>"185"</f>
        <v>185</v>
      </c>
      <c r="F86" t="str">
        <f>"24951000"</f>
        <v>24951000</v>
      </c>
      <c r="H86" t="s">
        <v>1935</v>
      </c>
      <c r="J86" s="4">
        <v>5000000</v>
      </c>
    </row>
    <row r="87" spans="1:11" outlineLevel="1" collapsed="1" x14ac:dyDescent="0.35">
      <c r="B87" s="1"/>
      <c r="F87" s="3" t="s">
        <v>6504</v>
      </c>
      <c r="J87" s="4">
        <f>SUBTOTAL(9,J86:J86)</f>
        <v>5000000</v>
      </c>
      <c r="K87" s="4">
        <f>SUBTOTAL(9,K86:K86)</f>
        <v>0</v>
      </c>
    </row>
    <row r="88" spans="1:11" hidden="1" outlineLevel="2" x14ac:dyDescent="0.35">
      <c r="A88" t="s">
        <v>1986</v>
      </c>
      <c r="B88" s="1">
        <v>45740</v>
      </c>
      <c r="C88" t="str">
        <f>"74"</f>
        <v>74</v>
      </c>
      <c r="F88" t="str">
        <f>"27500000"</f>
        <v>27500000</v>
      </c>
      <c r="H88" t="s">
        <v>2013</v>
      </c>
      <c r="J88" s="4">
        <v>4286767</v>
      </c>
    </row>
    <row r="89" spans="1:11" outlineLevel="1" collapsed="1" x14ac:dyDescent="0.35">
      <c r="B89" s="1"/>
      <c r="F89" s="3" t="s">
        <v>6505</v>
      </c>
      <c r="J89" s="4">
        <f>SUBTOTAL(9,J88:J88)</f>
        <v>4286767</v>
      </c>
      <c r="K89" s="4">
        <f>SUBTOTAL(9,K88:K88)</f>
        <v>0</v>
      </c>
    </row>
    <row r="90" spans="1:11" hidden="1" outlineLevel="2" x14ac:dyDescent="0.35">
      <c r="A90" t="s">
        <v>1831</v>
      </c>
      <c r="B90" s="1">
        <v>45717</v>
      </c>
      <c r="C90" t="str">
        <f>"95"</f>
        <v>95</v>
      </c>
      <c r="F90" t="str">
        <f>"27500200"</f>
        <v>27500200</v>
      </c>
      <c r="H90" t="s">
        <v>1832</v>
      </c>
      <c r="J90" s="4">
        <v>1174568</v>
      </c>
    </row>
    <row r="91" spans="1:11" outlineLevel="1" collapsed="1" x14ac:dyDescent="0.35">
      <c r="B91" s="1"/>
      <c r="F91" s="3" t="s">
        <v>6506</v>
      </c>
      <c r="J91" s="4">
        <f>SUBTOTAL(9,J90:J90)</f>
        <v>1174568</v>
      </c>
      <c r="K91" s="4">
        <f>SUBTOTAL(9,K90:K90)</f>
        <v>0</v>
      </c>
    </row>
    <row r="92" spans="1:11" hidden="1" outlineLevel="2" x14ac:dyDescent="0.35">
      <c r="A92" t="s">
        <v>101</v>
      </c>
      <c r="B92" s="1">
        <v>45747</v>
      </c>
      <c r="C92" t="str">
        <f>"5"</f>
        <v>5</v>
      </c>
      <c r="F92" t="str">
        <f>"28131000"</f>
        <v>28131000</v>
      </c>
      <c r="H92" t="s">
        <v>2828</v>
      </c>
      <c r="K92" s="4">
        <v>606469</v>
      </c>
    </row>
    <row r="93" spans="1:11" hidden="1" outlineLevel="2" x14ac:dyDescent="0.35">
      <c r="A93" t="s">
        <v>101</v>
      </c>
      <c r="B93" s="1">
        <v>45747</v>
      </c>
      <c r="C93" t="str">
        <f>"65"</f>
        <v>65</v>
      </c>
      <c r="F93" t="str">
        <f>"28131000"</f>
        <v>28131000</v>
      </c>
      <c r="H93" t="s">
        <v>2883</v>
      </c>
      <c r="K93" s="4">
        <v>606469</v>
      </c>
    </row>
    <row r="94" spans="1:11" hidden="1" outlineLevel="2" x14ac:dyDescent="0.35">
      <c r="A94" t="s">
        <v>101</v>
      </c>
      <c r="B94" s="1">
        <v>45747</v>
      </c>
      <c r="C94" t="str">
        <f>"79"</f>
        <v>79</v>
      </c>
      <c r="F94" t="str">
        <f>"28131000"</f>
        <v>28131000</v>
      </c>
      <c r="H94" t="s">
        <v>2944</v>
      </c>
      <c r="K94" s="4">
        <v>-606469</v>
      </c>
    </row>
    <row r="95" spans="1:11" outlineLevel="1" collapsed="1" x14ac:dyDescent="0.35">
      <c r="B95" s="1"/>
      <c r="F95" s="3" t="s">
        <v>6507</v>
      </c>
      <c r="J95" s="4">
        <f>SUBTOTAL(9,J92:J94)</f>
        <v>0</v>
      </c>
      <c r="K95" s="4">
        <f>SUBTOTAL(9,K92:K94)</f>
        <v>606469</v>
      </c>
    </row>
    <row r="96" spans="1:11" hidden="1" outlineLevel="2" x14ac:dyDescent="0.35">
      <c r="A96" t="s">
        <v>101</v>
      </c>
      <c r="B96" s="1">
        <v>45747</v>
      </c>
      <c r="C96" t="str">
        <f>"5"</f>
        <v>5</v>
      </c>
      <c r="F96" t="str">
        <f>"28140000"</f>
        <v>28140000</v>
      </c>
      <c r="H96" t="s">
        <v>2829</v>
      </c>
      <c r="K96" s="4">
        <v>443498</v>
      </c>
    </row>
    <row r="97" spans="1:11" hidden="1" outlineLevel="2" x14ac:dyDescent="0.35">
      <c r="A97" t="s">
        <v>101</v>
      </c>
      <c r="B97" s="1">
        <v>45747</v>
      </c>
      <c r="C97" t="str">
        <f>"65"</f>
        <v>65</v>
      </c>
      <c r="F97" t="str">
        <f>"28140000"</f>
        <v>28140000</v>
      </c>
      <c r="H97" t="s">
        <v>2884</v>
      </c>
      <c r="K97" s="4">
        <v>443499</v>
      </c>
    </row>
    <row r="98" spans="1:11" hidden="1" outlineLevel="2" x14ac:dyDescent="0.35">
      <c r="A98" t="s">
        <v>101</v>
      </c>
      <c r="B98" s="1">
        <v>45747</v>
      </c>
      <c r="C98" t="str">
        <f>"79"</f>
        <v>79</v>
      </c>
      <c r="F98" t="str">
        <f>"28140000"</f>
        <v>28140000</v>
      </c>
      <c r="H98" t="s">
        <v>2945</v>
      </c>
      <c r="K98" s="4">
        <v>-443498</v>
      </c>
    </row>
    <row r="99" spans="1:11" outlineLevel="1" collapsed="1" x14ac:dyDescent="0.35">
      <c r="B99" s="1"/>
      <c r="F99" s="3" t="s">
        <v>6508</v>
      </c>
      <c r="J99" s="4">
        <f>SUBTOTAL(9,J96:J98)</f>
        <v>0</v>
      </c>
      <c r="K99" s="4">
        <f>SUBTOTAL(9,K96:K98)</f>
        <v>443499</v>
      </c>
    </row>
    <row r="100" spans="1:11" hidden="1" outlineLevel="2" x14ac:dyDescent="0.35">
      <c r="A100" t="s">
        <v>101</v>
      </c>
      <c r="B100" s="1">
        <v>45747</v>
      </c>
      <c r="C100" t="str">
        <f>"5"</f>
        <v>5</v>
      </c>
      <c r="F100" t="str">
        <f>"28240000"</f>
        <v>28240000</v>
      </c>
      <c r="H100" t="s">
        <v>2830</v>
      </c>
      <c r="K100" s="4">
        <v>3908371</v>
      </c>
    </row>
    <row r="101" spans="1:11" hidden="1" outlineLevel="2" x14ac:dyDescent="0.35">
      <c r="A101" t="s">
        <v>101</v>
      </c>
      <c r="B101" s="1">
        <v>45747</v>
      </c>
      <c r="C101" t="str">
        <f>"65"</f>
        <v>65</v>
      </c>
      <c r="F101" t="str">
        <f>"28240000"</f>
        <v>28240000</v>
      </c>
      <c r="H101" t="s">
        <v>2885</v>
      </c>
      <c r="K101" s="4">
        <v>3908370</v>
      </c>
    </row>
    <row r="102" spans="1:11" hidden="1" outlineLevel="2" x14ac:dyDescent="0.35">
      <c r="A102" t="s">
        <v>101</v>
      </c>
      <c r="B102" s="1">
        <v>45747</v>
      </c>
      <c r="C102" t="str">
        <f>"79"</f>
        <v>79</v>
      </c>
      <c r="F102" t="str">
        <f>"28240000"</f>
        <v>28240000</v>
      </c>
      <c r="H102" t="s">
        <v>2946</v>
      </c>
      <c r="K102" s="4">
        <v>-3908371</v>
      </c>
    </row>
    <row r="103" spans="1:11" outlineLevel="1" collapsed="1" x14ac:dyDescent="0.35">
      <c r="B103" s="1"/>
      <c r="F103" s="3" t="s">
        <v>6509</v>
      </c>
      <c r="J103" s="4">
        <f>SUBTOTAL(9,J100:J102)</f>
        <v>0</v>
      </c>
      <c r="K103" s="4">
        <f>SUBTOTAL(9,K100:K102)</f>
        <v>3908370</v>
      </c>
    </row>
    <row r="104" spans="1:11" hidden="1" outlineLevel="2" x14ac:dyDescent="0.35">
      <c r="A104" t="s">
        <v>101</v>
      </c>
      <c r="B104" s="1">
        <v>45747</v>
      </c>
      <c r="C104" t="str">
        <f>"5"</f>
        <v>5</v>
      </c>
      <c r="F104" t="str">
        <f>"28313000"</f>
        <v>28313000</v>
      </c>
      <c r="H104" t="s">
        <v>2831</v>
      </c>
      <c r="K104" s="4">
        <v>4526615</v>
      </c>
    </row>
    <row r="105" spans="1:11" hidden="1" outlineLevel="2" x14ac:dyDescent="0.35">
      <c r="A105" t="s">
        <v>101</v>
      </c>
      <c r="B105" s="1">
        <v>45747</v>
      </c>
      <c r="C105" t="str">
        <f>"65"</f>
        <v>65</v>
      </c>
      <c r="F105" t="str">
        <f>"28313000"</f>
        <v>28313000</v>
      </c>
      <c r="H105" t="s">
        <v>2886</v>
      </c>
      <c r="K105" s="4">
        <v>4526617</v>
      </c>
    </row>
    <row r="106" spans="1:11" hidden="1" outlineLevel="2" x14ac:dyDescent="0.35">
      <c r="A106" t="s">
        <v>101</v>
      </c>
      <c r="B106" s="1">
        <v>45747</v>
      </c>
      <c r="C106" t="str">
        <f>"79"</f>
        <v>79</v>
      </c>
      <c r="F106" t="str">
        <f>"28313000"</f>
        <v>28313000</v>
      </c>
      <c r="H106" t="s">
        <v>2947</v>
      </c>
      <c r="K106" s="4">
        <v>-4526615</v>
      </c>
    </row>
    <row r="107" spans="1:11" outlineLevel="1" collapsed="1" x14ac:dyDescent="0.35">
      <c r="B107" s="1"/>
      <c r="F107" s="3" t="s">
        <v>6510</v>
      </c>
      <c r="J107" s="4">
        <f>SUBTOTAL(9,J104:J106)</f>
        <v>0</v>
      </c>
      <c r="K107" s="4">
        <f>SUBTOTAL(9,K104:K106)</f>
        <v>4526617</v>
      </c>
    </row>
    <row r="108" spans="1:11" hidden="1" outlineLevel="2" x14ac:dyDescent="0.35">
      <c r="A108" t="s">
        <v>101</v>
      </c>
      <c r="B108" s="1">
        <v>45747</v>
      </c>
      <c r="C108" t="str">
        <f>"5"</f>
        <v>5</v>
      </c>
      <c r="F108" t="str">
        <f>"28320000"</f>
        <v>28320000</v>
      </c>
      <c r="H108" t="s">
        <v>2832</v>
      </c>
      <c r="K108" s="4">
        <v>9243195</v>
      </c>
    </row>
    <row r="109" spans="1:11" hidden="1" outlineLevel="2" x14ac:dyDescent="0.35">
      <c r="A109" t="s">
        <v>101</v>
      </c>
      <c r="B109" s="1">
        <v>45747</v>
      </c>
      <c r="C109" t="str">
        <f>"65"</f>
        <v>65</v>
      </c>
      <c r="F109" t="str">
        <f>"28320000"</f>
        <v>28320000</v>
      </c>
      <c r="H109" t="s">
        <v>2887</v>
      </c>
      <c r="K109" s="4">
        <v>9243191</v>
      </c>
    </row>
    <row r="110" spans="1:11" hidden="1" outlineLevel="2" x14ac:dyDescent="0.35">
      <c r="A110" t="s">
        <v>101</v>
      </c>
      <c r="B110" s="1">
        <v>45747</v>
      </c>
      <c r="C110" t="str">
        <f>"79"</f>
        <v>79</v>
      </c>
      <c r="F110" t="str">
        <f>"28320000"</f>
        <v>28320000</v>
      </c>
      <c r="H110" t="s">
        <v>2948</v>
      </c>
      <c r="K110" s="4">
        <v>-9243195</v>
      </c>
    </row>
    <row r="111" spans="1:11" outlineLevel="1" collapsed="1" x14ac:dyDescent="0.35">
      <c r="B111" s="1"/>
      <c r="F111" s="3" t="s">
        <v>6511</v>
      </c>
      <c r="J111" s="4">
        <f>SUBTOTAL(9,J108:J110)</f>
        <v>0</v>
      </c>
      <c r="K111" s="4">
        <f>SUBTOTAL(9,K108:K110)</f>
        <v>9243191</v>
      </c>
    </row>
    <row r="112" spans="1:11" hidden="1" outlineLevel="2" x14ac:dyDescent="0.35">
      <c r="A112" t="s">
        <v>101</v>
      </c>
      <c r="B112" s="1">
        <v>45747</v>
      </c>
      <c r="C112" t="str">
        <f>"5"</f>
        <v>5</v>
      </c>
      <c r="F112" t="str">
        <f>"28341000"</f>
        <v>28341000</v>
      </c>
      <c r="H112" t="s">
        <v>2833</v>
      </c>
      <c r="K112" s="4">
        <v>1788690</v>
      </c>
    </row>
    <row r="113" spans="1:11" hidden="1" outlineLevel="2" x14ac:dyDescent="0.35">
      <c r="A113" t="s">
        <v>101</v>
      </c>
      <c r="B113" s="1">
        <v>45747</v>
      </c>
      <c r="C113" t="str">
        <f>"65"</f>
        <v>65</v>
      </c>
      <c r="F113" t="str">
        <f>"28341000"</f>
        <v>28341000</v>
      </c>
      <c r="H113" t="s">
        <v>2888</v>
      </c>
      <c r="K113" s="4">
        <v>1788691</v>
      </c>
    </row>
    <row r="114" spans="1:11" hidden="1" outlineLevel="2" x14ac:dyDescent="0.35">
      <c r="A114" t="s">
        <v>101</v>
      </c>
      <c r="B114" s="1">
        <v>45747</v>
      </c>
      <c r="C114" t="str">
        <f>"79"</f>
        <v>79</v>
      </c>
      <c r="F114" t="str">
        <f>"28341000"</f>
        <v>28341000</v>
      </c>
      <c r="H114" t="s">
        <v>2949</v>
      </c>
      <c r="K114" s="4">
        <v>-1788690</v>
      </c>
    </row>
    <row r="115" spans="1:11" outlineLevel="1" collapsed="1" x14ac:dyDescent="0.35">
      <c r="B115" s="1"/>
      <c r="F115" s="3" t="s">
        <v>6512</v>
      </c>
      <c r="J115" s="4">
        <f>SUBTOTAL(9,J112:J114)</f>
        <v>0</v>
      </c>
      <c r="K115" s="4">
        <f>SUBTOTAL(9,K112:K114)</f>
        <v>1788691</v>
      </c>
    </row>
    <row r="116" spans="1:11" hidden="1" outlineLevel="2" x14ac:dyDescent="0.35">
      <c r="A116" t="s">
        <v>101</v>
      </c>
      <c r="B116" s="1">
        <v>45747</v>
      </c>
      <c r="C116" t="str">
        <f>"5"</f>
        <v>5</v>
      </c>
      <c r="F116" t="str">
        <f>"28350000"</f>
        <v>28350000</v>
      </c>
      <c r="H116" t="s">
        <v>2834</v>
      </c>
      <c r="K116" s="4">
        <v>278274</v>
      </c>
    </row>
    <row r="117" spans="1:11" hidden="1" outlineLevel="2" x14ac:dyDescent="0.35">
      <c r="A117" t="s">
        <v>101</v>
      </c>
      <c r="B117" s="1">
        <v>45747</v>
      </c>
      <c r="C117" t="str">
        <f>"65"</f>
        <v>65</v>
      </c>
      <c r="F117" t="str">
        <f>"28350000"</f>
        <v>28350000</v>
      </c>
      <c r="H117" t="s">
        <v>2889</v>
      </c>
      <c r="K117" s="4">
        <v>286958</v>
      </c>
    </row>
    <row r="118" spans="1:11" hidden="1" outlineLevel="2" x14ac:dyDescent="0.35">
      <c r="A118" t="s">
        <v>101</v>
      </c>
      <c r="B118" s="1">
        <v>45747</v>
      </c>
      <c r="C118" t="str">
        <f>"79"</f>
        <v>79</v>
      </c>
      <c r="F118" t="str">
        <f>"28350000"</f>
        <v>28350000</v>
      </c>
      <c r="H118" t="s">
        <v>2950</v>
      </c>
      <c r="K118" s="4">
        <v>-278274</v>
      </c>
    </row>
    <row r="119" spans="1:11" outlineLevel="1" collapsed="1" x14ac:dyDescent="0.35">
      <c r="B119" s="1"/>
      <c r="F119" s="3" t="s">
        <v>6513</v>
      </c>
      <c r="J119" s="4">
        <f>SUBTOTAL(9,J116:J118)</f>
        <v>0</v>
      </c>
      <c r="K119" s="4">
        <f>SUBTOTAL(9,K116:K118)</f>
        <v>286958</v>
      </c>
    </row>
    <row r="120" spans="1:11" hidden="1" outlineLevel="2" x14ac:dyDescent="0.35">
      <c r="A120" t="s">
        <v>101</v>
      </c>
      <c r="B120" s="1">
        <v>45747</v>
      </c>
      <c r="C120" t="str">
        <f>"5"</f>
        <v>5</v>
      </c>
      <c r="F120" t="str">
        <f>"28380000"</f>
        <v>28380000</v>
      </c>
      <c r="H120" t="s">
        <v>2835</v>
      </c>
      <c r="K120" s="4">
        <v>3595568</v>
      </c>
    </row>
    <row r="121" spans="1:11" hidden="1" outlineLevel="2" x14ac:dyDescent="0.35">
      <c r="A121" t="s">
        <v>101</v>
      </c>
      <c r="B121" s="1">
        <v>45747</v>
      </c>
      <c r="C121" t="str">
        <f>"65"</f>
        <v>65</v>
      </c>
      <c r="F121" t="str">
        <f>"28380000"</f>
        <v>28380000</v>
      </c>
      <c r="H121" t="s">
        <v>2890</v>
      </c>
      <c r="K121" s="4">
        <v>3596462</v>
      </c>
    </row>
    <row r="122" spans="1:11" hidden="1" outlineLevel="2" x14ac:dyDescent="0.35">
      <c r="A122" t="s">
        <v>101</v>
      </c>
      <c r="B122" s="1">
        <v>45747</v>
      </c>
      <c r="C122" t="str">
        <f>"79"</f>
        <v>79</v>
      </c>
      <c r="F122" t="str">
        <f>"28380000"</f>
        <v>28380000</v>
      </c>
      <c r="H122" t="s">
        <v>2951</v>
      </c>
      <c r="K122" s="4">
        <v>-3595568</v>
      </c>
    </row>
    <row r="123" spans="1:11" outlineLevel="1" collapsed="1" x14ac:dyDescent="0.35">
      <c r="B123" s="1"/>
      <c r="F123" s="3" t="s">
        <v>6514</v>
      </c>
      <c r="J123" s="4">
        <f>SUBTOTAL(9,J120:J122)</f>
        <v>0</v>
      </c>
      <c r="K123" s="4">
        <f>SUBTOTAL(9,K120:K122)</f>
        <v>3596462</v>
      </c>
    </row>
    <row r="124" spans="1:11" hidden="1" outlineLevel="2" x14ac:dyDescent="0.35">
      <c r="A124" t="s">
        <v>101</v>
      </c>
      <c r="B124" s="1">
        <v>45747</v>
      </c>
      <c r="C124" t="str">
        <f>"5"</f>
        <v>5</v>
      </c>
      <c r="F124" t="str">
        <f>"28411000"</f>
        <v>28411000</v>
      </c>
      <c r="H124" t="s">
        <v>2836</v>
      </c>
      <c r="K124" s="4">
        <v>3262695</v>
      </c>
    </row>
    <row r="125" spans="1:11" hidden="1" outlineLevel="2" x14ac:dyDescent="0.35">
      <c r="A125" t="s">
        <v>101</v>
      </c>
      <c r="B125" s="1">
        <v>45747</v>
      </c>
      <c r="C125" t="str">
        <f>"65"</f>
        <v>65</v>
      </c>
      <c r="F125" t="str">
        <f>"28411000"</f>
        <v>28411000</v>
      </c>
      <c r="H125" t="s">
        <v>2891</v>
      </c>
      <c r="K125" s="4">
        <v>3262699</v>
      </c>
    </row>
    <row r="126" spans="1:11" hidden="1" outlineLevel="2" x14ac:dyDescent="0.35">
      <c r="A126" t="s">
        <v>101</v>
      </c>
      <c r="B126" s="1">
        <v>45747</v>
      </c>
      <c r="C126" t="str">
        <f>"79"</f>
        <v>79</v>
      </c>
      <c r="F126" t="str">
        <f>"28411000"</f>
        <v>28411000</v>
      </c>
      <c r="H126" t="s">
        <v>2952</v>
      </c>
      <c r="K126" s="4">
        <v>-3262695</v>
      </c>
    </row>
    <row r="127" spans="1:11" outlineLevel="1" collapsed="1" x14ac:dyDescent="0.35">
      <c r="B127" s="1"/>
      <c r="F127" s="3" t="s">
        <v>6515</v>
      </c>
      <c r="J127" s="4">
        <f>SUBTOTAL(9,J124:J126)</f>
        <v>0</v>
      </c>
      <c r="K127" s="4">
        <f>SUBTOTAL(9,K124:K126)</f>
        <v>3262699</v>
      </c>
    </row>
    <row r="128" spans="1:11" hidden="1" outlineLevel="2" x14ac:dyDescent="0.35">
      <c r="A128" t="s">
        <v>101</v>
      </c>
      <c r="B128" s="1">
        <v>45747</v>
      </c>
      <c r="C128" t="str">
        <f>"5"</f>
        <v>5</v>
      </c>
      <c r="F128" t="str">
        <f>"28441000"</f>
        <v>28441000</v>
      </c>
      <c r="H128" t="s">
        <v>2837</v>
      </c>
      <c r="K128" s="4">
        <v>368979</v>
      </c>
    </row>
    <row r="129" spans="1:11" hidden="1" outlineLevel="2" x14ac:dyDescent="0.35">
      <c r="A129" t="s">
        <v>101</v>
      </c>
      <c r="B129" s="1">
        <v>45747</v>
      </c>
      <c r="C129" t="str">
        <f>"65"</f>
        <v>65</v>
      </c>
      <c r="F129" t="str">
        <f>"28441000"</f>
        <v>28441000</v>
      </c>
      <c r="H129" t="s">
        <v>2892</v>
      </c>
      <c r="K129" s="4">
        <v>371643</v>
      </c>
    </row>
    <row r="130" spans="1:11" hidden="1" outlineLevel="2" x14ac:dyDescent="0.35">
      <c r="A130" t="s">
        <v>101</v>
      </c>
      <c r="B130" s="1">
        <v>45747</v>
      </c>
      <c r="C130" t="str">
        <f>"79"</f>
        <v>79</v>
      </c>
      <c r="F130" t="str">
        <f>"28441000"</f>
        <v>28441000</v>
      </c>
      <c r="H130" t="s">
        <v>2953</v>
      </c>
      <c r="K130" s="4">
        <v>-368979</v>
      </c>
    </row>
    <row r="131" spans="1:11" outlineLevel="1" collapsed="1" x14ac:dyDescent="0.35">
      <c r="B131" s="1"/>
      <c r="F131" s="3" t="s">
        <v>6516</v>
      </c>
      <c r="J131" s="4">
        <f>SUBTOTAL(9,J128:J130)</f>
        <v>0</v>
      </c>
      <c r="K131" s="4">
        <f>SUBTOTAL(9,K128:K130)</f>
        <v>371643</v>
      </c>
    </row>
    <row r="132" spans="1:11" hidden="1" outlineLevel="2" x14ac:dyDescent="0.35">
      <c r="A132" t="s">
        <v>101</v>
      </c>
      <c r="B132" s="1">
        <v>45747</v>
      </c>
      <c r="C132" t="str">
        <f>"5"</f>
        <v>5</v>
      </c>
      <c r="F132" t="str">
        <f>"28442000"</f>
        <v>28442000</v>
      </c>
      <c r="H132" t="s">
        <v>2838</v>
      </c>
      <c r="K132" s="4">
        <v>3090462</v>
      </c>
    </row>
    <row r="133" spans="1:11" hidden="1" outlineLevel="2" x14ac:dyDescent="0.35">
      <c r="A133" t="s">
        <v>101</v>
      </c>
      <c r="B133" s="1">
        <v>45747</v>
      </c>
      <c r="C133" t="str">
        <f>"65"</f>
        <v>65</v>
      </c>
      <c r="F133" t="str">
        <f>"28442000"</f>
        <v>28442000</v>
      </c>
      <c r="H133" t="s">
        <v>2893</v>
      </c>
      <c r="K133" s="4">
        <v>3132925</v>
      </c>
    </row>
    <row r="134" spans="1:11" hidden="1" outlineLevel="2" x14ac:dyDescent="0.35">
      <c r="A134" t="s">
        <v>101</v>
      </c>
      <c r="B134" s="1">
        <v>45747</v>
      </c>
      <c r="C134" t="str">
        <f>"79"</f>
        <v>79</v>
      </c>
      <c r="F134" t="str">
        <f>"28442000"</f>
        <v>28442000</v>
      </c>
      <c r="H134" t="s">
        <v>2954</v>
      </c>
      <c r="K134" s="4">
        <v>-3090462</v>
      </c>
    </row>
    <row r="135" spans="1:11" outlineLevel="1" collapsed="1" x14ac:dyDescent="0.35">
      <c r="B135" s="1"/>
      <c r="F135" s="3" t="s">
        <v>6517</v>
      </c>
      <c r="J135" s="4">
        <f>SUBTOTAL(9,J132:J134)</f>
        <v>0</v>
      </c>
      <c r="K135" s="4">
        <f>SUBTOTAL(9,K132:K134)</f>
        <v>3132925</v>
      </c>
    </row>
    <row r="136" spans="1:11" hidden="1" outlineLevel="2" x14ac:dyDescent="0.35">
      <c r="A136" t="s">
        <v>101</v>
      </c>
      <c r="B136" s="1">
        <v>45747</v>
      </c>
      <c r="C136" t="str">
        <f>"5"</f>
        <v>5</v>
      </c>
      <c r="F136" t="str">
        <f>"28444000"</f>
        <v>28444000</v>
      </c>
      <c r="H136" t="s">
        <v>2839</v>
      </c>
      <c r="K136" s="4">
        <v>231653</v>
      </c>
    </row>
    <row r="137" spans="1:11" hidden="1" outlineLevel="2" x14ac:dyDescent="0.35">
      <c r="A137" t="s">
        <v>101</v>
      </c>
      <c r="B137" s="1">
        <v>45747</v>
      </c>
      <c r="C137" t="str">
        <f>"65"</f>
        <v>65</v>
      </c>
      <c r="F137" t="str">
        <f>"28444000"</f>
        <v>28444000</v>
      </c>
      <c r="H137" t="s">
        <v>2894</v>
      </c>
      <c r="K137" s="4">
        <v>231645</v>
      </c>
    </row>
    <row r="138" spans="1:11" hidden="1" outlineLevel="2" x14ac:dyDescent="0.35">
      <c r="A138" t="s">
        <v>101</v>
      </c>
      <c r="B138" s="1">
        <v>45747</v>
      </c>
      <c r="C138" t="str">
        <f>"79"</f>
        <v>79</v>
      </c>
      <c r="F138" t="str">
        <f>"28444000"</f>
        <v>28444000</v>
      </c>
      <c r="H138" t="s">
        <v>2955</v>
      </c>
      <c r="K138" s="4">
        <v>-231653</v>
      </c>
    </row>
    <row r="139" spans="1:11" outlineLevel="1" collapsed="1" x14ac:dyDescent="0.35">
      <c r="B139" s="1"/>
      <c r="F139" s="3" t="s">
        <v>6518</v>
      </c>
      <c r="J139" s="4">
        <f>SUBTOTAL(9,J136:J138)</f>
        <v>0</v>
      </c>
      <c r="K139" s="4">
        <f>SUBTOTAL(9,K136:K138)</f>
        <v>231645</v>
      </c>
    </row>
    <row r="140" spans="1:11" hidden="1" outlineLevel="2" x14ac:dyDescent="0.35">
      <c r="A140" t="s">
        <v>101</v>
      </c>
      <c r="B140" s="1">
        <v>45747</v>
      </c>
      <c r="C140" t="str">
        <f>"5"</f>
        <v>5</v>
      </c>
      <c r="F140" t="str">
        <f>"28447000"</f>
        <v>28447000</v>
      </c>
      <c r="H140" t="s">
        <v>2839</v>
      </c>
      <c r="K140" s="4">
        <v>29202</v>
      </c>
    </row>
    <row r="141" spans="1:11" hidden="1" outlineLevel="2" x14ac:dyDescent="0.35">
      <c r="A141" t="s">
        <v>101</v>
      </c>
      <c r="B141" s="1">
        <v>45747</v>
      </c>
      <c r="C141" t="str">
        <f>"65"</f>
        <v>65</v>
      </c>
      <c r="F141" t="str">
        <f>"28447000"</f>
        <v>28447000</v>
      </c>
      <c r="H141" t="s">
        <v>2894</v>
      </c>
      <c r="K141" s="4">
        <v>29200</v>
      </c>
    </row>
    <row r="142" spans="1:11" hidden="1" outlineLevel="2" x14ac:dyDescent="0.35">
      <c r="A142" t="s">
        <v>101</v>
      </c>
      <c r="B142" s="1">
        <v>45747</v>
      </c>
      <c r="C142" t="str">
        <f>"79"</f>
        <v>79</v>
      </c>
      <c r="F142" t="str">
        <f>"28447000"</f>
        <v>28447000</v>
      </c>
      <c r="H142" t="s">
        <v>2955</v>
      </c>
      <c r="K142" s="4">
        <v>-29202</v>
      </c>
    </row>
    <row r="143" spans="1:11" outlineLevel="1" collapsed="1" x14ac:dyDescent="0.35">
      <c r="B143" s="1"/>
      <c r="F143" s="3" t="s">
        <v>6519</v>
      </c>
      <c r="J143" s="4">
        <f>SUBTOTAL(9,J140:J142)</f>
        <v>0</v>
      </c>
      <c r="K143" s="4">
        <f>SUBTOTAL(9,K140:K142)</f>
        <v>29200</v>
      </c>
    </row>
    <row r="144" spans="1:11" hidden="1" outlineLevel="2" x14ac:dyDescent="0.35">
      <c r="A144" t="s">
        <v>101</v>
      </c>
      <c r="B144" s="1">
        <v>45747</v>
      </c>
      <c r="C144" t="str">
        <f>"5"</f>
        <v>5</v>
      </c>
      <c r="F144" t="str">
        <f>"28451000"</f>
        <v>28451000</v>
      </c>
      <c r="H144" t="s">
        <v>2840</v>
      </c>
      <c r="K144" s="4">
        <v>94122646</v>
      </c>
    </row>
    <row r="145" spans="1:11" hidden="1" outlineLevel="2" x14ac:dyDescent="0.35">
      <c r="A145" t="s">
        <v>101</v>
      </c>
      <c r="B145" s="1">
        <v>45747</v>
      </c>
      <c r="C145" t="str">
        <f>"65"</f>
        <v>65</v>
      </c>
      <c r="F145" t="str">
        <f>"28451000"</f>
        <v>28451000</v>
      </c>
      <c r="H145" t="s">
        <v>2895</v>
      </c>
      <c r="K145" s="4">
        <v>94122694</v>
      </c>
    </row>
    <row r="146" spans="1:11" hidden="1" outlineLevel="2" x14ac:dyDescent="0.35">
      <c r="A146" t="s">
        <v>101</v>
      </c>
      <c r="B146" s="1">
        <v>45747</v>
      </c>
      <c r="C146" t="str">
        <f>"79"</f>
        <v>79</v>
      </c>
      <c r="F146" t="str">
        <f>"28451000"</f>
        <v>28451000</v>
      </c>
      <c r="H146" t="s">
        <v>2956</v>
      </c>
      <c r="K146" s="4">
        <v>-94122646</v>
      </c>
    </row>
    <row r="147" spans="1:11" outlineLevel="1" collapsed="1" x14ac:dyDescent="0.35">
      <c r="B147" s="1"/>
      <c r="F147" s="3" t="s">
        <v>6520</v>
      </c>
      <c r="J147" s="4">
        <f>SUBTOTAL(9,J144:J146)</f>
        <v>0</v>
      </c>
      <c r="K147" s="4">
        <f>SUBTOTAL(9,K144:K146)</f>
        <v>94122694</v>
      </c>
    </row>
    <row r="148" spans="1:11" hidden="1" outlineLevel="2" x14ac:dyDescent="0.35">
      <c r="A148" t="s">
        <v>101</v>
      </c>
      <c r="B148" s="1">
        <v>45747</v>
      </c>
      <c r="C148" t="str">
        <f>"5"</f>
        <v>5</v>
      </c>
      <c r="F148" t="str">
        <f>"28451010"</f>
        <v>28451010</v>
      </c>
      <c r="H148" t="s">
        <v>2841</v>
      </c>
      <c r="K148" s="4">
        <v>334866</v>
      </c>
    </row>
    <row r="149" spans="1:11" hidden="1" outlineLevel="2" x14ac:dyDescent="0.35">
      <c r="A149" t="s">
        <v>101</v>
      </c>
      <c r="B149" s="1">
        <v>45747</v>
      </c>
      <c r="C149" t="str">
        <f>"65"</f>
        <v>65</v>
      </c>
      <c r="F149" t="str">
        <f>"28451010"</f>
        <v>28451010</v>
      </c>
      <c r="H149" t="s">
        <v>2896</v>
      </c>
      <c r="K149" s="4">
        <v>334867</v>
      </c>
    </row>
    <row r="150" spans="1:11" hidden="1" outlineLevel="2" x14ac:dyDescent="0.35">
      <c r="A150" t="s">
        <v>101</v>
      </c>
      <c r="B150" s="1">
        <v>45747</v>
      </c>
      <c r="C150" t="str">
        <f>"79"</f>
        <v>79</v>
      </c>
      <c r="F150" t="str">
        <f>"28451010"</f>
        <v>28451010</v>
      </c>
      <c r="H150" t="s">
        <v>2957</v>
      </c>
      <c r="K150" s="4">
        <v>-334866</v>
      </c>
    </row>
    <row r="151" spans="1:11" outlineLevel="1" collapsed="1" x14ac:dyDescent="0.35">
      <c r="B151" s="1"/>
      <c r="F151" s="3" t="s">
        <v>6521</v>
      </c>
      <c r="J151" s="4">
        <f>SUBTOTAL(9,J148:J150)</f>
        <v>0</v>
      </c>
      <c r="K151" s="4">
        <f>SUBTOTAL(9,K148:K150)</f>
        <v>334867</v>
      </c>
    </row>
    <row r="152" spans="1:11" hidden="1" outlineLevel="2" x14ac:dyDescent="0.35">
      <c r="A152" t="s">
        <v>101</v>
      </c>
      <c r="B152" s="1">
        <v>45747</v>
      </c>
      <c r="C152" t="str">
        <f>"5"</f>
        <v>5</v>
      </c>
      <c r="F152" t="str">
        <f>"28451100"</f>
        <v>28451100</v>
      </c>
      <c r="H152" t="s">
        <v>2842</v>
      </c>
      <c r="K152" s="4">
        <v>14340641</v>
      </c>
    </row>
    <row r="153" spans="1:11" hidden="1" outlineLevel="2" x14ac:dyDescent="0.35">
      <c r="A153" t="s">
        <v>101</v>
      </c>
      <c r="B153" s="1">
        <v>45747</v>
      </c>
      <c r="C153" t="str">
        <f>"65"</f>
        <v>65</v>
      </c>
      <c r="F153" t="str">
        <f>"28451100"</f>
        <v>28451100</v>
      </c>
      <c r="H153" t="s">
        <v>2897</v>
      </c>
      <c r="K153" s="4">
        <v>14340638</v>
      </c>
    </row>
    <row r="154" spans="1:11" hidden="1" outlineLevel="2" x14ac:dyDescent="0.35">
      <c r="A154" t="s">
        <v>101</v>
      </c>
      <c r="B154" s="1">
        <v>45747</v>
      </c>
      <c r="C154" t="str">
        <f>"79"</f>
        <v>79</v>
      </c>
      <c r="F154" t="str">
        <f>"28451100"</f>
        <v>28451100</v>
      </c>
      <c r="H154" t="s">
        <v>2958</v>
      </c>
      <c r="K154" s="4">
        <v>-14340641</v>
      </c>
    </row>
    <row r="155" spans="1:11" outlineLevel="1" collapsed="1" x14ac:dyDescent="0.35">
      <c r="B155" s="1"/>
      <c r="F155" s="3" t="s">
        <v>6522</v>
      </c>
      <c r="J155" s="4">
        <f>SUBTOTAL(9,J152:J154)</f>
        <v>0</v>
      </c>
      <c r="K155" s="4">
        <f>SUBTOTAL(9,K152:K154)</f>
        <v>14340638</v>
      </c>
    </row>
    <row r="156" spans="1:11" hidden="1" outlineLevel="2" x14ac:dyDescent="0.35">
      <c r="A156" t="s">
        <v>101</v>
      </c>
      <c r="B156" s="1">
        <v>45747</v>
      </c>
      <c r="C156" t="str">
        <f>"5"</f>
        <v>5</v>
      </c>
      <c r="F156" t="str">
        <f>"28451200"</f>
        <v>28451200</v>
      </c>
      <c r="H156" t="s">
        <v>2843</v>
      </c>
      <c r="K156" s="4">
        <v>1270169</v>
      </c>
    </row>
    <row r="157" spans="1:11" hidden="1" outlineLevel="2" x14ac:dyDescent="0.35">
      <c r="A157" t="s">
        <v>101</v>
      </c>
      <c r="B157" s="1">
        <v>45747</v>
      </c>
      <c r="C157" t="str">
        <f>"65"</f>
        <v>65</v>
      </c>
      <c r="F157" t="str">
        <f>"28451200"</f>
        <v>28451200</v>
      </c>
      <c r="H157" t="s">
        <v>2898</v>
      </c>
      <c r="K157" s="4">
        <v>1270167</v>
      </c>
    </row>
    <row r="158" spans="1:11" hidden="1" outlineLevel="2" x14ac:dyDescent="0.35">
      <c r="A158" t="s">
        <v>101</v>
      </c>
      <c r="B158" s="1">
        <v>45747</v>
      </c>
      <c r="C158" t="str">
        <f>"79"</f>
        <v>79</v>
      </c>
      <c r="F158" t="str">
        <f>"28451200"</f>
        <v>28451200</v>
      </c>
      <c r="H158" t="s">
        <v>2959</v>
      </c>
      <c r="K158" s="4">
        <v>-1270169</v>
      </c>
    </row>
    <row r="159" spans="1:11" outlineLevel="1" collapsed="1" x14ac:dyDescent="0.35">
      <c r="B159" s="1"/>
      <c r="F159" s="3" t="s">
        <v>6523</v>
      </c>
      <c r="J159" s="4">
        <f>SUBTOTAL(9,J156:J158)</f>
        <v>0</v>
      </c>
      <c r="K159" s="4">
        <f>SUBTOTAL(9,K156:K158)</f>
        <v>1270167</v>
      </c>
    </row>
    <row r="160" spans="1:11" hidden="1" outlineLevel="2" x14ac:dyDescent="0.35">
      <c r="A160" t="s">
        <v>26</v>
      </c>
      <c r="B160" s="1">
        <v>45719</v>
      </c>
      <c r="C160" t="str">
        <f>"10"</f>
        <v>10</v>
      </c>
      <c r="D160" t="s">
        <v>1443</v>
      </c>
      <c r="E160" t="s">
        <v>1444</v>
      </c>
      <c r="F160" t="str">
        <f t="shared" ref="F160:F166" si="0">"33110000"</f>
        <v>33110000</v>
      </c>
      <c r="H160" t="s">
        <v>1445</v>
      </c>
      <c r="J160" s="4">
        <v>29648340</v>
      </c>
    </row>
    <row r="161" spans="1:11" hidden="1" outlineLevel="2" x14ac:dyDescent="0.35">
      <c r="A161" t="s">
        <v>26</v>
      </c>
      <c r="B161" s="1">
        <v>45727</v>
      </c>
      <c r="C161" t="str">
        <f>"70"</f>
        <v>70</v>
      </c>
      <c r="D161" t="s">
        <v>1598</v>
      </c>
      <c r="E161" t="s">
        <v>1599</v>
      </c>
      <c r="F161" t="str">
        <f t="shared" si="0"/>
        <v>33110000</v>
      </c>
      <c r="H161" t="s">
        <v>1600</v>
      </c>
      <c r="J161" s="4">
        <v>29648340</v>
      </c>
    </row>
    <row r="162" spans="1:11" hidden="1" outlineLevel="2" x14ac:dyDescent="0.35">
      <c r="A162" t="s">
        <v>26</v>
      </c>
      <c r="B162" s="1">
        <v>45736</v>
      </c>
      <c r="C162" t="str">
        <f>"98"</f>
        <v>98</v>
      </c>
      <c r="D162" t="s">
        <v>1701</v>
      </c>
      <c r="E162" t="s">
        <v>1702</v>
      </c>
      <c r="F162" t="str">
        <f t="shared" si="0"/>
        <v>33110000</v>
      </c>
      <c r="H162" t="s">
        <v>1703</v>
      </c>
      <c r="J162" s="4">
        <v>29648340</v>
      </c>
    </row>
    <row r="163" spans="1:11" hidden="1" outlineLevel="2" x14ac:dyDescent="0.35">
      <c r="A163" t="s">
        <v>101</v>
      </c>
      <c r="B163" s="1">
        <v>45717</v>
      </c>
      <c r="C163" t="str">
        <f>"8"</f>
        <v>8</v>
      </c>
      <c r="F163" t="str">
        <f t="shared" si="0"/>
        <v>33110000</v>
      </c>
      <c r="H163" t="s">
        <v>2748</v>
      </c>
      <c r="J163" s="4">
        <v>-29648340</v>
      </c>
    </row>
    <row r="164" spans="1:11" hidden="1" outlineLevel="2" x14ac:dyDescent="0.35">
      <c r="A164" t="s">
        <v>101</v>
      </c>
      <c r="B164" s="1">
        <v>45717</v>
      </c>
      <c r="C164" t="str">
        <f>"9"</f>
        <v>9</v>
      </c>
      <c r="F164" t="str">
        <f t="shared" si="0"/>
        <v>33110000</v>
      </c>
      <c r="H164" t="s">
        <v>2748</v>
      </c>
      <c r="J164" s="4">
        <v>-6000000</v>
      </c>
    </row>
    <row r="165" spans="1:11" hidden="1" outlineLevel="2" x14ac:dyDescent="0.35">
      <c r="A165" t="s">
        <v>101</v>
      </c>
      <c r="B165" s="1">
        <v>45747</v>
      </c>
      <c r="C165" t="str">
        <f>"17"</f>
        <v>17</v>
      </c>
      <c r="F165" t="str">
        <f t="shared" si="0"/>
        <v>33110000</v>
      </c>
      <c r="H165" t="s">
        <v>2853</v>
      </c>
      <c r="K165" s="4">
        <v>80091383</v>
      </c>
    </row>
    <row r="166" spans="1:11" hidden="1" outlineLevel="2" x14ac:dyDescent="0.35">
      <c r="A166" t="s">
        <v>101</v>
      </c>
      <c r="B166" s="1">
        <v>45747</v>
      </c>
      <c r="C166" t="str">
        <f>"61"</f>
        <v>61</v>
      </c>
      <c r="F166" t="str">
        <f t="shared" si="0"/>
        <v>33110000</v>
      </c>
      <c r="H166" t="s">
        <v>2881</v>
      </c>
      <c r="J166" s="4">
        <v>29648340</v>
      </c>
    </row>
    <row r="167" spans="1:11" outlineLevel="1" collapsed="1" x14ac:dyDescent="0.35">
      <c r="B167" s="1"/>
      <c r="F167" s="3" t="s">
        <v>6524</v>
      </c>
      <c r="J167" s="4">
        <f>SUBTOTAL(9,J160:J166)</f>
        <v>82945020</v>
      </c>
      <c r="K167" s="4">
        <f>SUBTOTAL(9,K160:K166)</f>
        <v>80091383</v>
      </c>
    </row>
    <row r="168" spans="1:11" hidden="1" outlineLevel="2" x14ac:dyDescent="0.35">
      <c r="A168" t="s">
        <v>354</v>
      </c>
      <c r="B168" s="1">
        <v>45722</v>
      </c>
      <c r="C168" t="str">
        <f>"552"</f>
        <v>552</v>
      </c>
      <c r="D168" t="s">
        <v>567</v>
      </c>
      <c r="E168" t="s">
        <v>568</v>
      </c>
      <c r="F168" t="str">
        <f t="shared" ref="F168:F199" si="1">"33120000"</f>
        <v>33120000</v>
      </c>
      <c r="H168" t="s">
        <v>569</v>
      </c>
      <c r="J168" s="4">
        <v>2831000</v>
      </c>
    </row>
    <row r="169" spans="1:11" hidden="1" outlineLevel="2" x14ac:dyDescent="0.35">
      <c r="A169" t="s">
        <v>354</v>
      </c>
      <c r="B169" s="1">
        <v>45740</v>
      </c>
      <c r="C169" t="str">
        <f>"688"</f>
        <v>688</v>
      </c>
      <c r="D169" t="s">
        <v>992</v>
      </c>
      <c r="E169" t="s">
        <v>993</v>
      </c>
      <c r="F169" t="str">
        <f t="shared" si="1"/>
        <v>33120000</v>
      </c>
      <c r="H169" t="s">
        <v>994</v>
      </c>
      <c r="J169" s="4">
        <v>650000</v>
      </c>
    </row>
    <row r="170" spans="1:11" hidden="1" outlineLevel="2" x14ac:dyDescent="0.35">
      <c r="A170" t="s">
        <v>354</v>
      </c>
      <c r="B170" s="1">
        <v>45740</v>
      </c>
      <c r="C170" t="str">
        <f>"690"</f>
        <v>690</v>
      </c>
      <c r="D170" t="s">
        <v>998</v>
      </c>
      <c r="E170" t="s">
        <v>999</v>
      </c>
      <c r="F170" t="str">
        <f t="shared" si="1"/>
        <v>33120000</v>
      </c>
      <c r="H170" t="s">
        <v>1000</v>
      </c>
      <c r="J170" s="4">
        <v>602000</v>
      </c>
    </row>
    <row r="171" spans="1:11" hidden="1" outlineLevel="2" x14ac:dyDescent="0.35">
      <c r="A171" t="s">
        <v>3115</v>
      </c>
      <c r="B171" s="1">
        <v>45717</v>
      </c>
      <c r="C171" t="str">
        <f>"1184"</f>
        <v>1184</v>
      </c>
      <c r="D171" t="s">
        <v>3144</v>
      </c>
      <c r="E171" t="str">
        <f>"181196"</f>
        <v>181196</v>
      </c>
      <c r="F171" t="str">
        <f t="shared" si="1"/>
        <v>33120000</v>
      </c>
      <c r="H171" t="s">
        <v>3145</v>
      </c>
      <c r="K171" s="4">
        <v>120400</v>
      </c>
    </row>
    <row r="172" spans="1:11" hidden="1" outlineLevel="2" x14ac:dyDescent="0.35">
      <c r="A172" t="s">
        <v>3115</v>
      </c>
      <c r="B172" s="1">
        <v>45717</v>
      </c>
      <c r="C172" t="str">
        <f>"1185"</f>
        <v>1185</v>
      </c>
      <c r="D172" t="s">
        <v>3146</v>
      </c>
      <c r="E172" t="str">
        <f>"181190"</f>
        <v>181190</v>
      </c>
      <c r="F172" t="str">
        <f t="shared" si="1"/>
        <v>33120000</v>
      </c>
      <c r="H172" t="s">
        <v>3147</v>
      </c>
      <c r="K172" s="4">
        <v>114380</v>
      </c>
    </row>
    <row r="173" spans="1:11" hidden="1" outlineLevel="2" x14ac:dyDescent="0.35">
      <c r="A173" t="s">
        <v>3115</v>
      </c>
      <c r="B173" s="1">
        <v>45717</v>
      </c>
      <c r="C173" t="str">
        <f>"1189"</f>
        <v>1189</v>
      </c>
      <c r="D173" t="s">
        <v>3154</v>
      </c>
      <c r="E173" t="str">
        <f>"181172"</f>
        <v>181172</v>
      </c>
      <c r="F173" t="str">
        <f t="shared" si="1"/>
        <v>33120000</v>
      </c>
      <c r="H173" t="s">
        <v>3155</v>
      </c>
      <c r="K173" s="4">
        <v>154910</v>
      </c>
    </row>
    <row r="174" spans="1:11" hidden="1" outlineLevel="2" x14ac:dyDescent="0.35">
      <c r="A174" t="s">
        <v>3115</v>
      </c>
      <c r="B174" s="1">
        <v>45718</v>
      </c>
      <c r="C174" t="str">
        <f>"1155"</f>
        <v>1155</v>
      </c>
      <c r="D174" t="s">
        <v>3160</v>
      </c>
      <c r="E174" t="str">
        <f>"182482"</f>
        <v>182482</v>
      </c>
      <c r="F174" t="str">
        <f t="shared" si="1"/>
        <v>33120000</v>
      </c>
      <c r="H174" t="s">
        <v>3161</v>
      </c>
      <c r="K174" s="4">
        <v>12150</v>
      </c>
    </row>
    <row r="175" spans="1:11" hidden="1" outlineLevel="2" x14ac:dyDescent="0.35">
      <c r="A175" t="s">
        <v>3115</v>
      </c>
      <c r="B175" s="1">
        <v>45719</v>
      </c>
      <c r="C175" t="str">
        <f>"771"</f>
        <v>771</v>
      </c>
      <c r="D175" t="s">
        <v>3194</v>
      </c>
      <c r="E175" t="str">
        <f>"181233"</f>
        <v>181233</v>
      </c>
      <c r="F175" t="str">
        <f t="shared" si="1"/>
        <v>33120000</v>
      </c>
      <c r="H175" t="s">
        <v>3195</v>
      </c>
      <c r="K175" s="4">
        <v>78260</v>
      </c>
    </row>
    <row r="176" spans="1:11" hidden="1" outlineLevel="2" x14ac:dyDescent="0.35">
      <c r="A176" t="s">
        <v>3115</v>
      </c>
      <c r="B176" s="1">
        <v>45719</v>
      </c>
      <c r="C176" t="str">
        <f>"774"</f>
        <v>774</v>
      </c>
      <c r="D176" t="s">
        <v>3200</v>
      </c>
      <c r="E176" t="str">
        <f>"183501"</f>
        <v>183501</v>
      </c>
      <c r="F176" t="str">
        <f t="shared" si="1"/>
        <v>33120000</v>
      </c>
      <c r="H176" t="s">
        <v>3201</v>
      </c>
      <c r="K176" s="4">
        <v>120400</v>
      </c>
    </row>
    <row r="177" spans="1:11" hidden="1" outlineLevel="2" x14ac:dyDescent="0.35">
      <c r="A177" t="s">
        <v>3115</v>
      </c>
      <c r="B177" s="1">
        <v>45719</v>
      </c>
      <c r="C177" t="str">
        <f>"776"</f>
        <v>776</v>
      </c>
      <c r="D177" t="s">
        <v>3204</v>
      </c>
      <c r="E177" t="str">
        <f>"181189"</f>
        <v>181189</v>
      </c>
      <c r="F177" t="str">
        <f t="shared" si="1"/>
        <v>33120000</v>
      </c>
      <c r="H177" t="s">
        <v>3205</v>
      </c>
      <c r="K177" s="4">
        <v>48160</v>
      </c>
    </row>
    <row r="178" spans="1:11" hidden="1" outlineLevel="2" x14ac:dyDescent="0.35">
      <c r="A178" t="s">
        <v>3115</v>
      </c>
      <c r="B178" s="1">
        <v>45719</v>
      </c>
      <c r="C178" t="str">
        <f>"787"</f>
        <v>787</v>
      </c>
      <c r="D178" t="s">
        <v>3226</v>
      </c>
      <c r="E178" t="str">
        <f>"181235"</f>
        <v>181235</v>
      </c>
      <c r="F178" t="str">
        <f t="shared" si="1"/>
        <v>33120000</v>
      </c>
      <c r="H178" t="s">
        <v>3227</v>
      </c>
      <c r="K178" s="4">
        <v>120400</v>
      </c>
    </row>
    <row r="179" spans="1:11" hidden="1" outlineLevel="2" x14ac:dyDescent="0.35">
      <c r="A179" t="s">
        <v>3115</v>
      </c>
      <c r="B179" s="1">
        <v>45719</v>
      </c>
      <c r="C179" t="str">
        <f>"790"</f>
        <v>790</v>
      </c>
      <c r="D179" t="s">
        <v>3232</v>
      </c>
      <c r="E179" t="str">
        <f>"181236"</f>
        <v>181236</v>
      </c>
      <c r="F179" t="str">
        <f t="shared" si="1"/>
        <v>33120000</v>
      </c>
      <c r="H179" t="s">
        <v>3233</v>
      </c>
      <c r="K179" s="4">
        <v>120400</v>
      </c>
    </row>
    <row r="180" spans="1:11" hidden="1" outlineLevel="2" x14ac:dyDescent="0.35">
      <c r="A180" t="s">
        <v>3115</v>
      </c>
      <c r="B180" s="1">
        <v>45719</v>
      </c>
      <c r="C180" t="str">
        <f>"791"</f>
        <v>791</v>
      </c>
      <c r="D180" t="s">
        <v>3234</v>
      </c>
      <c r="E180" t="str">
        <f>"182494"</f>
        <v>182494</v>
      </c>
      <c r="F180" t="str">
        <f t="shared" si="1"/>
        <v>33120000</v>
      </c>
      <c r="H180" t="s">
        <v>3235</v>
      </c>
      <c r="K180" s="4">
        <v>2741</v>
      </c>
    </row>
    <row r="181" spans="1:11" hidden="1" outlineLevel="2" x14ac:dyDescent="0.35">
      <c r="A181" t="s">
        <v>3115</v>
      </c>
      <c r="B181" s="1">
        <v>45719</v>
      </c>
      <c r="C181" t="str">
        <f>"792"</f>
        <v>792</v>
      </c>
      <c r="D181" t="s">
        <v>3236</v>
      </c>
      <c r="E181" t="str">
        <f>"181234"</f>
        <v>181234</v>
      </c>
      <c r="F181" t="str">
        <f t="shared" si="1"/>
        <v>33120000</v>
      </c>
      <c r="H181" t="s">
        <v>3237</v>
      </c>
      <c r="K181" s="4">
        <v>78260</v>
      </c>
    </row>
    <row r="182" spans="1:11" hidden="1" outlineLevel="2" x14ac:dyDescent="0.35">
      <c r="A182" t="s">
        <v>3115</v>
      </c>
      <c r="B182" s="1">
        <v>45719</v>
      </c>
      <c r="C182" t="str">
        <f>"800"</f>
        <v>800</v>
      </c>
      <c r="D182" t="s">
        <v>3252</v>
      </c>
      <c r="E182" t="str">
        <f>"183502"</f>
        <v>183502</v>
      </c>
      <c r="F182" t="str">
        <f t="shared" si="1"/>
        <v>33120000</v>
      </c>
      <c r="H182" t="s">
        <v>3253</v>
      </c>
      <c r="K182" s="4">
        <v>96320</v>
      </c>
    </row>
    <row r="183" spans="1:11" hidden="1" outlineLevel="2" x14ac:dyDescent="0.35">
      <c r="A183" t="s">
        <v>3115</v>
      </c>
      <c r="B183" s="1">
        <v>45719</v>
      </c>
      <c r="C183" t="str">
        <f>"809"</f>
        <v>809</v>
      </c>
      <c r="D183" t="s">
        <v>3270</v>
      </c>
      <c r="E183" t="str">
        <f>"181187"</f>
        <v>181187</v>
      </c>
      <c r="F183" t="str">
        <f t="shared" si="1"/>
        <v>33120000</v>
      </c>
      <c r="H183" t="s">
        <v>3271</v>
      </c>
      <c r="K183" s="4">
        <v>114380</v>
      </c>
    </row>
    <row r="184" spans="1:11" hidden="1" outlineLevel="2" x14ac:dyDescent="0.35">
      <c r="A184" t="s">
        <v>3115</v>
      </c>
      <c r="B184" s="1">
        <v>45719</v>
      </c>
      <c r="C184" t="str">
        <f>"815"</f>
        <v>815</v>
      </c>
      <c r="D184" t="s">
        <v>3282</v>
      </c>
      <c r="E184" t="str">
        <f>"181186"</f>
        <v>181186</v>
      </c>
      <c r="F184" t="str">
        <f t="shared" si="1"/>
        <v>33120000</v>
      </c>
      <c r="H184" t="s">
        <v>3283</v>
      </c>
      <c r="K184" s="4">
        <v>114380</v>
      </c>
    </row>
    <row r="185" spans="1:11" hidden="1" outlineLevel="2" x14ac:dyDescent="0.35">
      <c r="A185" t="s">
        <v>3115</v>
      </c>
      <c r="B185" s="1">
        <v>45719</v>
      </c>
      <c r="C185" t="str">
        <f>"816"</f>
        <v>816</v>
      </c>
      <c r="D185" t="s">
        <v>3284</v>
      </c>
      <c r="E185" t="str">
        <f>"182493"</f>
        <v>182493</v>
      </c>
      <c r="F185" t="str">
        <f t="shared" si="1"/>
        <v>33120000</v>
      </c>
      <c r="H185" t="s">
        <v>3285</v>
      </c>
      <c r="K185" s="4">
        <v>66825</v>
      </c>
    </row>
    <row r="186" spans="1:11" hidden="1" outlineLevel="2" x14ac:dyDescent="0.35">
      <c r="A186" t="s">
        <v>3115</v>
      </c>
      <c r="B186" s="1">
        <v>45719</v>
      </c>
      <c r="C186" t="str">
        <f>"833"</f>
        <v>833</v>
      </c>
      <c r="D186" t="s">
        <v>3318</v>
      </c>
      <c r="E186" t="str">
        <f>"181168"</f>
        <v>181168</v>
      </c>
      <c r="F186" t="str">
        <f t="shared" si="1"/>
        <v>33120000</v>
      </c>
      <c r="H186" t="s">
        <v>3319</v>
      </c>
      <c r="K186" s="4">
        <v>114380</v>
      </c>
    </row>
    <row r="187" spans="1:11" hidden="1" outlineLevel="2" x14ac:dyDescent="0.35">
      <c r="A187" t="s">
        <v>3115</v>
      </c>
      <c r="B187" s="1">
        <v>45719</v>
      </c>
      <c r="C187" t="str">
        <f>"835"</f>
        <v>835</v>
      </c>
      <c r="D187" t="s">
        <v>3322</v>
      </c>
      <c r="E187" t="str">
        <f>"181169"</f>
        <v>181169</v>
      </c>
      <c r="F187" t="str">
        <f t="shared" si="1"/>
        <v>33120000</v>
      </c>
      <c r="H187" t="s">
        <v>3323</v>
      </c>
      <c r="K187" s="4">
        <v>114380</v>
      </c>
    </row>
    <row r="188" spans="1:11" hidden="1" outlineLevel="2" x14ac:dyDescent="0.35">
      <c r="A188" t="s">
        <v>3115</v>
      </c>
      <c r="B188" s="1">
        <v>45720</v>
      </c>
      <c r="C188" t="str">
        <f>"908"</f>
        <v>908</v>
      </c>
      <c r="D188" t="s">
        <v>3468</v>
      </c>
      <c r="E188" t="str">
        <f>"182500"</f>
        <v>182500</v>
      </c>
      <c r="F188" t="str">
        <f t="shared" si="1"/>
        <v>33120000</v>
      </c>
      <c r="H188" t="s">
        <v>3469</v>
      </c>
      <c r="K188" s="4">
        <v>14175</v>
      </c>
    </row>
    <row r="189" spans="1:11" hidden="1" outlineLevel="2" x14ac:dyDescent="0.35">
      <c r="A189" t="s">
        <v>3115</v>
      </c>
      <c r="B189" s="1">
        <v>45720</v>
      </c>
      <c r="C189" t="str">
        <f>"914"</f>
        <v>914</v>
      </c>
      <c r="D189" t="s">
        <v>3480</v>
      </c>
      <c r="E189" t="str">
        <f>"177502"</f>
        <v>177502</v>
      </c>
      <c r="F189" t="str">
        <f t="shared" si="1"/>
        <v>33120000</v>
      </c>
      <c r="H189" t="s">
        <v>3481</v>
      </c>
      <c r="K189" s="4">
        <v>2033</v>
      </c>
    </row>
    <row r="190" spans="1:11" hidden="1" outlineLevel="2" x14ac:dyDescent="0.35">
      <c r="A190" t="s">
        <v>3115</v>
      </c>
      <c r="B190" s="1">
        <v>45720</v>
      </c>
      <c r="C190" t="str">
        <f>"916"</f>
        <v>916</v>
      </c>
      <c r="D190" t="s">
        <v>3484</v>
      </c>
      <c r="E190" t="str">
        <f>"177502"</f>
        <v>177502</v>
      </c>
      <c r="F190" t="str">
        <f t="shared" si="1"/>
        <v>33120000</v>
      </c>
      <c r="H190" t="s">
        <v>3485</v>
      </c>
      <c r="K190" s="4">
        <v>10125</v>
      </c>
    </row>
    <row r="191" spans="1:11" hidden="1" outlineLevel="2" x14ac:dyDescent="0.35">
      <c r="A191" t="s">
        <v>3115</v>
      </c>
      <c r="B191" s="1">
        <v>45720</v>
      </c>
      <c r="C191" t="str">
        <f>"917"</f>
        <v>917</v>
      </c>
      <c r="D191" t="s">
        <v>3486</v>
      </c>
      <c r="E191" t="str">
        <f>"177503"</f>
        <v>177503</v>
      </c>
      <c r="F191" t="str">
        <f t="shared" si="1"/>
        <v>33120000</v>
      </c>
      <c r="H191" t="s">
        <v>3487</v>
      </c>
      <c r="K191" s="4">
        <v>10125</v>
      </c>
    </row>
    <row r="192" spans="1:11" hidden="1" outlineLevel="2" x14ac:dyDescent="0.35">
      <c r="A192" t="s">
        <v>3115</v>
      </c>
      <c r="B192" s="1">
        <v>45720</v>
      </c>
      <c r="C192" t="str">
        <f>"920"</f>
        <v>920</v>
      </c>
      <c r="D192" t="s">
        <v>3492</v>
      </c>
      <c r="E192" t="str">
        <f>"177504"</f>
        <v>177504</v>
      </c>
      <c r="F192" t="str">
        <f t="shared" si="1"/>
        <v>33120000</v>
      </c>
      <c r="H192" t="s">
        <v>3493</v>
      </c>
      <c r="K192" s="4">
        <v>66825</v>
      </c>
    </row>
    <row r="193" spans="1:11" hidden="1" outlineLevel="2" x14ac:dyDescent="0.35">
      <c r="A193" t="s">
        <v>3115</v>
      </c>
      <c r="B193" s="1">
        <v>45721</v>
      </c>
      <c r="C193" t="str">
        <f>"938"</f>
        <v>938</v>
      </c>
      <c r="D193" t="s">
        <v>3528</v>
      </c>
      <c r="E193" t="str">
        <f>"183503"</f>
        <v>183503</v>
      </c>
      <c r="F193" t="str">
        <f t="shared" si="1"/>
        <v>33120000</v>
      </c>
      <c r="H193" t="s">
        <v>3529</v>
      </c>
      <c r="K193" s="4">
        <v>64800</v>
      </c>
    </row>
    <row r="194" spans="1:11" hidden="1" outlineLevel="2" x14ac:dyDescent="0.35">
      <c r="A194" t="s">
        <v>3115</v>
      </c>
      <c r="B194" s="1">
        <v>45721</v>
      </c>
      <c r="C194" t="str">
        <f>"941"</f>
        <v>941</v>
      </c>
      <c r="D194" t="s">
        <v>3534</v>
      </c>
      <c r="E194" t="str">
        <f>"180069"</f>
        <v>180069</v>
      </c>
      <c r="F194" t="str">
        <f t="shared" si="1"/>
        <v>33120000</v>
      </c>
      <c r="H194" t="s">
        <v>3535</v>
      </c>
      <c r="K194" s="4">
        <v>10963</v>
      </c>
    </row>
    <row r="195" spans="1:11" hidden="1" outlineLevel="2" x14ac:dyDescent="0.35">
      <c r="A195" t="s">
        <v>3115</v>
      </c>
      <c r="B195" s="1">
        <v>45721</v>
      </c>
      <c r="C195" t="str">
        <f>"965"</f>
        <v>965</v>
      </c>
      <c r="D195" t="s">
        <v>3582</v>
      </c>
      <c r="E195" t="str">
        <f>"180845"</f>
        <v>180845</v>
      </c>
      <c r="F195" t="str">
        <f t="shared" si="1"/>
        <v>33120000</v>
      </c>
      <c r="H195" t="s">
        <v>3583</v>
      </c>
      <c r="K195" s="4">
        <v>32500</v>
      </c>
    </row>
    <row r="196" spans="1:11" hidden="1" outlineLevel="2" x14ac:dyDescent="0.35">
      <c r="A196" t="s">
        <v>3115</v>
      </c>
      <c r="B196" s="1">
        <v>45721</v>
      </c>
      <c r="C196" t="str">
        <f>"968"</f>
        <v>968</v>
      </c>
      <c r="D196" t="s">
        <v>3588</v>
      </c>
      <c r="E196" t="str">
        <f>"180846"</f>
        <v>180846</v>
      </c>
      <c r="F196" t="str">
        <f t="shared" si="1"/>
        <v>33120000</v>
      </c>
      <c r="H196" t="s">
        <v>3589</v>
      </c>
      <c r="K196" s="4">
        <v>48750</v>
      </c>
    </row>
    <row r="197" spans="1:11" hidden="1" outlineLevel="2" x14ac:dyDescent="0.35">
      <c r="A197" t="s">
        <v>3115</v>
      </c>
      <c r="B197" s="1">
        <v>45722</v>
      </c>
      <c r="C197" t="str">
        <f>"990"</f>
        <v>990</v>
      </c>
      <c r="D197" t="s">
        <v>3632</v>
      </c>
      <c r="E197" t="str">
        <f>"177521"</f>
        <v>177521</v>
      </c>
      <c r="F197" t="str">
        <f t="shared" si="1"/>
        <v>33120000</v>
      </c>
      <c r="H197" t="s">
        <v>3633</v>
      </c>
      <c r="K197" s="4">
        <v>66825</v>
      </c>
    </row>
    <row r="198" spans="1:11" hidden="1" outlineLevel="2" x14ac:dyDescent="0.35">
      <c r="A198" t="s">
        <v>3115</v>
      </c>
      <c r="B198" s="1">
        <v>45722</v>
      </c>
      <c r="C198" t="str">
        <f>"991"</f>
        <v>991</v>
      </c>
      <c r="D198" t="s">
        <v>3634</v>
      </c>
      <c r="E198" t="str">
        <f>"177522"</f>
        <v>177522</v>
      </c>
      <c r="F198" t="str">
        <f t="shared" si="1"/>
        <v>33120000</v>
      </c>
      <c r="H198" t="s">
        <v>3635</v>
      </c>
      <c r="K198" s="4">
        <v>2550</v>
      </c>
    </row>
    <row r="199" spans="1:11" hidden="1" outlineLevel="2" x14ac:dyDescent="0.35">
      <c r="A199" t="s">
        <v>3115</v>
      </c>
      <c r="B199" s="1">
        <v>45722</v>
      </c>
      <c r="C199" t="str">
        <f>"997"</f>
        <v>997</v>
      </c>
      <c r="D199" t="s">
        <v>3646</v>
      </c>
      <c r="E199" t="str">
        <f>"177518"</f>
        <v>177518</v>
      </c>
      <c r="F199" t="str">
        <f t="shared" si="1"/>
        <v>33120000</v>
      </c>
      <c r="H199" t="s">
        <v>3647</v>
      </c>
      <c r="K199" s="4">
        <v>66825</v>
      </c>
    </row>
    <row r="200" spans="1:11" hidden="1" outlineLevel="2" x14ac:dyDescent="0.35">
      <c r="A200" t="s">
        <v>3115</v>
      </c>
      <c r="B200" s="1">
        <v>45723</v>
      </c>
      <c r="C200" t="str">
        <f>"1085"</f>
        <v>1085</v>
      </c>
      <c r="D200" t="s">
        <v>3822</v>
      </c>
      <c r="E200" t="str">
        <f>"177528"</f>
        <v>177528</v>
      </c>
      <c r="F200" t="str">
        <f t="shared" ref="F200:F231" si="2">"33120000"</f>
        <v>33120000</v>
      </c>
      <c r="H200" t="s">
        <v>3823</v>
      </c>
      <c r="K200" s="4">
        <v>66825</v>
      </c>
    </row>
    <row r="201" spans="1:11" hidden="1" outlineLevel="2" x14ac:dyDescent="0.35">
      <c r="A201" t="s">
        <v>3115</v>
      </c>
      <c r="B201" s="1">
        <v>45723</v>
      </c>
      <c r="C201" t="str">
        <f>"1107"</f>
        <v>1107</v>
      </c>
      <c r="D201" t="s">
        <v>3866</v>
      </c>
      <c r="E201" t="str">
        <f>"179593"</f>
        <v>179593</v>
      </c>
      <c r="F201" t="str">
        <f t="shared" si="2"/>
        <v>33120000</v>
      </c>
      <c r="H201" t="s">
        <v>3867</v>
      </c>
      <c r="K201" s="4">
        <v>20250</v>
      </c>
    </row>
    <row r="202" spans="1:11" hidden="1" outlineLevel="2" x14ac:dyDescent="0.35">
      <c r="A202" t="s">
        <v>3115</v>
      </c>
      <c r="B202" s="1">
        <v>45725</v>
      </c>
      <c r="C202" t="str">
        <f>"1134"</f>
        <v>1134</v>
      </c>
      <c r="D202" t="s">
        <v>3920</v>
      </c>
      <c r="E202" t="str">
        <f>"177535"</f>
        <v>177535</v>
      </c>
      <c r="F202" t="str">
        <f t="shared" si="2"/>
        <v>33120000</v>
      </c>
      <c r="H202" t="s">
        <v>3921</v>
      </c>
      <c r="K202" s="4">
        <v>66825</v>
      </c>
    </row>
    <row r="203" spans="1:11" hidden="1" outlineLevel="2" x14ac:dyDescent="0.35">
      <c r="A203" t="s">
        <v>3115</v>
      </c>
      <c r="B203" s="1">
        <v>45726</v>
      </c>
      <c r="C203" t="str">
        <f>"527"</f>
        <v>527</v>
      </c>
      <c r="D203" t="s">
        <v>3974</v>
      </c>
      <c r="E203" t="str">
        <f>"183504"</f>
        <v>183504</v>
      </c>
      <c r="F203" t="str">
        <f t="shared" si="2"/>
        <v>33120000</v>
      </c>
      <c r="H203" t="s">
        <v>3975</v>
      </c>
      <c r="K203" s="4">
        <v>96320</v>
      </c>
    </row>
    <row r="204" spans="1:11" hidden="1" outlineLevel="2" x14ac:dyDescent="0.35">
      <c r="A204" t="s">
        <v>3115</v>
      </c>
      <c r="B204" s="1">
        <v>45726</v>
      </c>
      <c r="C204" t="str">
        <f>"533"</f>
        <v>533</v>
      </c>
      <c r="D204" t="s">
        <v>3986</v>
      </c>
      <c r="E204" t="str">
        <f>"177539"</f>
        <v>177539</v>
      </c>
      <c r="F204" t="str">
        <f t="shared" si="2"/>
        <v>33120000</v>
      </c>
      <c r="H204" t="s">
        <v>3987</v>
      </c>
      <c r="K204" s="4">
        <v>66825</v>
      </c>
    </row>
    <row r="205" spans="1:11" hidden="1" outlineLevel="2" x14ac:dyDescent="0.35">
      <c r="A205" t="s">
        <v>3115</v>
      </c>
      <c r="B205" s="1">
        <v>45726</v>
      </c>
      <c r="C205" t="str">
        <f>"543"</f>
        <v>543</v>
      </c>
      <c r="D205" t="s">
        <v>4006</v>
      </c>
      <c r="E205" t="str">
        <f>"162590"</f>
        <v>162590</v>
      </c>
      <c r="F205" t="str">
        <f t="shared" si="2"/>
        <v>33120000</v>
      </c>
      <c r="H205" t="s">
        <v>4007</v>
      </c>
      <c r="K205" s="4">
        <v>45034</v>
      </c>
    </row>
    <row r="206" spans="1:11" hidden="1" outlineLevel="2" x14ac:dyDescent="0.35">
      <c r="A206" t="s">
        <v>3115</v>
      </c>
      <c r="B206" s="1">
        <v>45727</v>
      </c>
      <c r="C206" t="str">
        <f>"569"</f>
        <v>569</v>
      </c>
      <c r="D206" t="s">
        <v>4058</v>
      </c>
      <c r="E206" t="str">
        <f>"177543"</f>
        <v>177543</v>
      </c>
      <c r="F206" t="str">
        <f t="shared" si="2"/>
        <v>33120000</v>
      </c>
      <c r="H206" t="s">
        <v>4059</v>
      </c>
      <c r="K206" s="4">
        <v>66825</v>
      </c>
    </row>
    <row r="207" spans="1:11" hidden="1" outlineLevel="2" x14ac:dyDescent="0.35">
      <c r="A207" t="s">
        <v>3115</v>
      </c>
      <c r="B207" s="1">
        <v>45727</v>
      </c>
      <c r="C207" t="str">
        <f>"585"</f>
        <v>585</v>
      </c>
      <c r="D207" t="s">
        <v>4090</v>
      </c>
      <c r="E207" t="str">
        <f>"179596"</f>
        <v>179596</v>
      </c>
      <c r="F207" t="str">
        <f t="shared" si="2"/>
        <v>33120000</v>
      </c>
      <c r="H207" t="s">
        <v>4091</v>
      </c>
      <c r="K207" s="4">
        <v>20250</v>
      </c>
    </row>
    <row r="208" spans="1:11" hidden="1" outlineLevel="2" x14ac:dyDescent="0.35">
      <c r="A208" t="s">
        <v>3115</v>
      </c>
      <c r="B208" s="1">
        <v>45727</v>
      </c>
      <c r="C208" t="str">
        <f>"586"</f>
        <v>586</v>
      </c>
      <c r="D208" t="s">
        <v>4092</v>
      </c>
      <c r="E208" t="str">
        <f>"179595"</f>
        <v>179595</v>
      </c>
      <c r="F208" t="str">
        <f t="shared" si="2"/>
        <v>33120000</v>
      </c>
      <c r="H208" t="s">
        <v>4093</v>
      </c>
      <c r="K208" s="4">
        <v>40500</v>
      </c>
    </row>
    <row r="209" spans="1:11" hidden="1" outlineLevel="2" x14ac:dyDescent="0.35">
      <c r="A209" t="s">
        <v>3115</v>
      </c>
      <c r="B209" s="1">
        <v>45728</v>
      </c>
      <c r="C209" t="str">
        <f>"621"</f>
        <v>621</v>
      </c>
      <c r="D209" t="s">
        <v>4162</v>
      </c>
      <c r="E209" t="str">
        <f>"181182"</f>
        <v>181182</v>
      </c>
      <c r="F209" t="str">
        <f t="shared" si="2"/>
        <v>33120000</v>
      </c>
      <c r="H209" t="s">
        <v>4163</v>
      </c>
      <c r="K209" s="4">
        <v>114662</v>
      </c>
    </row>
    <row r="210" spans="1:11" hidden="1" outlineLevel="2" x14ac:dyDescent="0.35">
      <c r="A210" t="s">
        <v>3115</v>
      </c>
      <c r="B210" s="1">
        <v>45728</v>
      </c>
      <c r="C210" t="str">
        <f>"628"</f>
        <v>628</v>
      </c>
      <c r="D210" t="s">
        <v>4176</v>
      </c>
      <c r="E210" t="str">
        <f>"183505"</f>
        <v>183505</v>
      </c>
      <c r="F210" t="str">
        <f t="shared" si="2"/>
        <v>33120000</v>
      </c>
      <c r="H210" t="s">
        <v>4177</v>
      </c>
      <c r="K210" s="4">
        <v>114380</v>
      </c>
    </row>
    <row r="211" spans="1:11" hidden="1" outlineLevel="2" x14ac:dyDescent="0.35">
      <c r="A211" t="s">
        <v>3115</v>
      </c>
      <c r="B211" s="1">
        <v>45729</v>
      </c>
      <c r="C211" t="str">
        <f>"641"</f>
        <v>641</v>
      </c>
      <c r="D211" t="s">
        <v>4202</v>
      </c>
      <c r="E211" t="str">
        <f>"183506"</f>
        <v>183506</v>
      </c>
      <c r="F211" t="str">
        <f t="shared" si="2"/>
        <v>33120000</v>
      </c>
      <c r="H211" t="s">
        <v>4203</v>
      </c>
      <c r="K211" s="4">
        <v>114380</v>
      </c>
    </row>
    <row r="212" spans="1:11" hidden="1" outlineLevel="2" x14ac:dyDescent="0.35">
      <c r="A212" t="s">
        <v>3115</v>
      </c>
      <c r="B212" s="1">
        <v>45729</v>
      </c>
      <c r="C212" t="str">
        <f>"662"</f>
        <v>662</v>
      </c>
      <c r="D212" t="s">
        <v>4244</v>
      </c>
      <c r="E212" t="str">
        <f>"180849"</f>
        <v>180849</v>
      </c>
      <c r="F212" t="str">
        <f t="shared" si="2"/>
        <v>33120000</v>
      </c>
      <c r="H212" t="s">
        <v>4245</v>
      </c>
      <c r="K212" s="4">
        <v>37375</v>
      </c>
    </row>
    <row r="213" spans="1:11" hidden="1" outlineLevel="2" x14ac:dyDescent="0.35">
      <c r="A213" t="s">
        <v>3115</v>
      </c>
      <c r="B213" s="1">
        <v>45729</v>
      </c>
      <c r="C213" t="str">
        <f>"671"</f>
        <v>671</v>
      </c>
      <c r="D213" t="s">
        <v>4262</v>
      </c>
      <c r="E213" t="str">
        <f>"183507"</f>
        <v>183507</v>
      </c>
      <c r="F213" t="str">
        <f t="shared" si="2"/>
        <v>33120000</v>
      </c>
      <c r="H213" t="s">
        <v>4263</v>
      </c>
      <c r="K213" s="4">
        <v>114380</v>
      </c>
    </row>
    <row r="214" spans="1:11" hidden="1" outlineLevel="2" x14ac:dyDescent="0.35">
      <c r="A214" t="s">
        <v>3115</v>
      </c>
      <c r="B214" s="1">
        <v>45729</v>
      </c>
      <c r="C214" t="str">
        <f>"680"</f>
        <v>680</v>
      </c>
      <c r="D214" t="s">
        <v>4280</v>
      </c>
      <c r="E214" t="str">
        <f>"183508"</f>
        <v>183508</v>
      </c>
      <c r="F214" t="str">
        <f t="shared" si="2"/>
        <v>33120000</v>
      </c>
      <c r="H214" t="s">
        <v>4281</v>
      </c>
      <c r="K214" s="4">
        <v>114380</v>
      </c>
    </row>
    <row r="215" spans="1:11" hidden="1" outlineLevel="2" x14ac:dyDescent="0.35">
      <c r="A215" t="s">
        <v>3115</v>
      </c>
      <c r="B215" s="1">
        <v>45730</v>
      </c>
      <c r="C215" t="str">
        <f>"186"</f>
        <v>186</v>
      </c>
      <c r="D215" t="s">
        <v>4338</v>
      </c>
      <c r="E215" t="str">
        <f>"176324"</f>
        <v>176324</v>
      </c>
      <c r="F215" t="str">
        <f t="shared" si="2"/>
        <v>33120000</v>
      </c>
      <c r="H215" t="s">
        <v>4339</v>
      </c>
      <c r="K215" s="4">
        <v>115375</v>
      </c>
    </row>
    <row r="216" spans="1:11" hidden="1" outlineLevel="2" x14ac:dyDescent="0.35">
      <c r="A216" t="s">
        <v>3115</v>
      </c>
      <c r="B216" s="1">
        <v>45730</v>
      </c>
      <c r="C216" t="str">
        <f>"206"</f>
        <v>206</v>
      </c>
      <c r="D216" t="s">
        <v>4378</v>
      </c>
      <c r="E216" t="str">
        <f>"182207"</f>
        <v>182207</v>
      </c>
      <c r="F216" t="str">
        <f t="shared" si="2"/>
        <v>33120000</v>
      </c>
      <c r="H216" t="s">
        <v>4379</v>
      </c>
      <c r="K216" s="4">
        <v>6075</v>
      </c>
    </row>
    <row r="217" spans="1:11" hidden="1" outlineLevel="2" x14ac:dyDescent="0.35">
      <c r="A217" t="s">
        <v>3115</v>
      </c>
      <c r="B217" s="1">
        <v>45730</v>
      </c>
      <c r="C217" t="str">
        <f>"207"</f>
        <v>207</v>
      </c>
      <c r="D217" t="s">
        <v>4380</v>
      </c>
      <c r="E217" t="str">
        <f>"176326"</f>
        <v>176326</v>
      </c>
      <c r="F217" t="str">
        <f t="shared" si="2"/>
        <v>33120000</v>
      </c>
      <c r="H217" t="s">
        <v>4381</v>
      </c>
      <c r="K217" s="4">
        <v>66406</v>
      </c>
    </row>
    <row r="218" spans="1:11" hidden="1" outlineLevel="2" x14ac:dyDescent="0.35">
      <c r="A218" t="s">
        <v>3115</v>
      </c>
      <c r="B218" s="1">
        <v>45731</v>
      </c>
      <c r="C218" t="str">
        <f>"766"</f>
        <v>766</v>
      </c>
      <c r="D218" t="s">
        <v>4426</v>
      </c>
      <c r="E218" t="str">
        <f>"183509"</f>
        <v>183509</v>
      </c>
      <c r="F218" t="str">
        <f t="shared" si="2"/>
        <v>33120000</v>
      </c>
      <c r="H218" t="s">
        <v>4427</v>
      </c>
      <c r="K218" s="4">
        <v>96320</v>
      </c>
    </row>
    <row r="219" spans="1:11" hidden="1" outlineLevel="2" x14ac:dyDescent="0.35">
      <c r="A219" t="s">
        <v>3115</v>
      </c>
      <c r="B219" s="1">
        <v>45733</v>
      </c>
      <c r="C219" t="str">
        <f>"702"</f>
        <v>702</v>
      </c>
      <c r="D219" t="s">
        <v>4466</v>
      </c>
      <c r="E219" t="str">
        <f>"147269"</f>
        <v>147269</v>
      </c>
      <c r="F219" t="str">
        <f t="shared" si="2"/>
        <v>33120000</v>
      </c>
      <c r="H219" t="s">
        <v>4467</v>
      </c>
      <c r="K219" s="4">
        <v>207400</v>
      </c>
    </row>
    <row r="220" spans="1:11" hidden="1" outlineLevel="2" x14ac:dyDescent="0.35">
      <c r="A220" t="s">
        <v>3115</v>
      </c>
      <c r="B220" s="1">
        <v>45733</v>
      </c>
      <c r="C220" t="str">
        <f>"703"</f>
        <v>703</v>
      </c>
      <c r="D220" t="s">
        <v>4468</v>
      </c>
      <c r="E220" t="str">
        <f>"147271"</f>
        <v>147271</v>
      </c>
      <c r="F220" t="str">
        <f t="shared" si="2"/>
        <v>33120000</v>
      </c>
      <c r="H220" t="s">
        <v>4469</v>
      </c>
      <c r="K220" s="4">
        <v>250900</v>
      </c>
    </row>
    <row r="221" spans="1:11" hidden="1" outlineLevel="2" x14ac:dyDescent="0.35">
      <c r="A221" t="s">
        <v>3115</v>
      </c>
      <c r="B221" s="1">
        <v>45733</v>
      </c>
      <c r="C221" t="str">
        <f>"710"</f>
        <v>710</v>
      </c>
      <c r="D221" t="s">
        <v>4482</v>
      </c>
      <c r="E221" t="str">
        <f>"176329"</f>
        <v>176329</v>
      </c>
      <c r="F221" t="str">
        <f t="shared" si="2"/>
        <v>33120000</v>
      </c>
      <c r="H221" t="s">
        <v>4483</v>
      </c>
      <c r="K221" s="4">
        <v>41110</v>
      </c>
    </row>
    <row r="222" spans="1:11" hidden="1" outlineLevel="2" x14ac:dyDescent="0.35">
      <c r="A222" t="s">
        <v>3115</v>
      </c>
      <c r="B222" s="1">
        <v>45734</v>
      </c>
      <c r="C222" t="str">
        <f>"453"</f>
        <v>453</v>
      </c>
      <c r="D222" t="s">
        <v>4574</v>
      </c>
      <c r="E222" t="str">
        <f>"183514"</f>
        <v>183514</v>
      </c>
      <c r="F222" t="str">
        <f t="shared" si="2"/>
        <v>33120000</v>
      </c>
      <c r="H222" t="s">
        <v>4575</v>
      </c>
      <c r="K222" s="4">
        <v>162121</v>
      </c>
    </row>
    <row r="223" spans="1:11" hidden="1" outlineLevel="2" x14ac:dyDescent="0.35">
      <c r="A223" t="s">
        <v>3115</v>
      </c>
      <c r="B223" s="1">
        <v>45734</v>
      </c>
      <c r="C223" t="str">
        <f>"465"</f>
        <v>465</v>
      </c>
      <c r="D223" t="s">
        <v>4598</v>
      </c>
      <c r="E223" t="str">
        <f>"182220"</f>
        <v>182220</v>
      </c>
      <c r="F223" t="str">
        <f t="shared" si="2"/>
        <v>33120000</v>
      </c>
      <c r="H223" t="s">
        <v>4599</v>
      </c>
      <c r="K223" s="4">
        <v>2550</v>
      </c>
    </row>
    <row r="224" spans="1:11" hidden="1" outlineLevel="2" x14ac:dyDescent="0.35">
      <c r="A224" t="s">
        <v>3115</v>
      </c>
      <c r="B224" s="1">
        <v>45734</v>
      </c>
      <c r="C224" t="str">
        <f>"469"</f>
        <v>469</v>
      </c>
      <c r="D224" t="s">
        <v>4606</v>
      </c>
      <c r="E224" t="str">
        <f>"182223"</f>
        <v>182223</v>
      </c>
      <c r="F224" t="str">
        <f t="shared" si="2"/>
        <v>33120000</v>
      </c>
      <c r="H224" t="s">
        <v>4607</v>
      </c>
      <c r="K224" s="4">
        <v>66825</v>
      </c>
    </row>
    <row r="225" spans="1:11" hidden="1" outlineLevel="2" x14ac:dyDescent="0.35">
      <c r="A225" t="s">
        <v>3115</v>
      </c>
      <c r="B225" s="1">
        <v>45734</v>
      </c>
      <c r="C225" t="str">
        <f>"481"</f>
        <v>481</v>
      </c>
      <c r="D225" t="s">
        <v>4630</v>
      </c>
      <c r="E225" t="str">
        <f>"183513"</f>
        <v>183513</v>
      </c>
      <c r="F225" t="str">
        <f t="shared" si="2"/>
        <v>33120000</v>
      </c>
      <c r="H225" t="s">
        <v>4631</v>
      </c>
      <c r="K225" s="4">
        <v>114380</v>
      </c>
    </row>
    <row r="226" spans="1:11" hidden="1" outlineLevel="2" x14ac:dyDescent="0.35">
      <c r="A226" t="s">
        <v>3115</v>
      </c>
      <c r="B226" s="1">
        <v>45735</v>
      </c>
      <c r="C226" t="str">
        <f>"339"</f>
        <v>339</v>
      </c>
      <c r="D226" t="s">
        <v>4640</v>
      </c>
      <c r="E226" t="str">
        <f>"147275"</f>
        <v>147275</v>
      </c>
      <c r="F226" t="str">
        <f t="shared" si="2"/>
        <v>33120000</v>
      </c>
      <c r="H226" t="s">
        <v>4641</v>
      </c>
      <c r="K226" s="4">
        <v>250900</v>
      </c>
    </row>
    <row r="227" spans="1:11" hidden="1" outlineLevel="2" x14ac:dyDescent="0.35">
      <c r="A227" t="s">
        <v>3115</v>
      </c>
      <c r="B227" s="1">
        <v>45735</v>
      </c>
      <c r="C227" t="str">
        <f>"359"</f>
        <v>359</v>
      </c>
      <c r="D227" t="s">
        <v>4680</v>
      </c>
      <c r="E227" t="str">
        <f>"183516"</f>
        <v>183516</v>
      </c>
      <c r="F227" t="str">
        <f t="shared" si="2"/>
        <v>33120000</v>
      </c>
      <c r="H227" t="s">
        <v>4681</v>
      </c>
      <c r="K227" s="4">
        <v>120400</v>
      </c>
    </row>
    <row r="228" spans="1:11" hidden="1" outlineLevel="2" x14ac:dyDescent="0.35">
      <c r="A228" t="s">
        <v>3115</v>
      </c>
      <c r="B228" s="1">
        <v>45736</v>
      </c>
      <c r="C228" t="str">
        <f>"328"</f>
        <v>328</v>
      </c>
      <c r="D228" t="s">
        <v>4862</v>
      </c>
      <c r="E228" t="str">
        <f>"183515"</f>
        <v>183515</v>
      </c>
      <c r="F228" t="str">
        <f t="shared" si="2"/>
        <v>33120000</v>
      </c>
      <c r="H228" t="s">
        <v>4863</v>
      </c>
      <c r="K228" s="4">
        <v>282521</v>
      </c>
    </row>
    <row r="229" spans="1:11" hidden="1" outlineLevel="2" x14ac:dyDescent="0.35">
      <c r="A229" t="s">
        <v>3115</v>
      </c>
      <c r="B229" s="1">
        <v>45737</v>
      </c>
      <c r="C229" t="str">
        <f>"261"</f>
        <v>261</v>
      </c>
      <c r="D229" t="s">
        <v>4966</v>
      </c>
      <c r="E229" t="str">
        <f>"147277"</f>
        <v>147277</v>
      </c>
      <c r="F229" t="str">
        <f t="shared" si="2"/>
        <v>33120000</v>
      </c>
      <c r="H229" t="s">
        <v>4967</v>
      </c>
      <c r="K229" s="4">
        <v>15050</v>
      </c>
    </row>
    <row r="230" spans="1:11" hidden="1" outlineLevel="2" x14ac:dyDescent="0.35">
      <c r="A230" t="s">
        <v>3115</v>
      </c>
      <c r="B230" s="1">
        <v>45737</v>
      </c>
      <c r="C230" t="str">
        <f>"266"</f>
        <v>266</v>
      </c>
      <c r="D230" t="s">
        <v>4976</v>
      </c>
      <c r="E230" t="str">
        <f>"183519"</f>
        <v>183519</v>
      </c>
      <c r="F230" t="str">
        <f t="shared" si="2"/>
        <v>33120000</v>
      </c>
      <c r="H230" t="s">
        <v>4977</v>
      </c>
      <c r="K230" s="4">
        <v>235804</v>
      </c>
    </row>
    <row r="231" spans="1:11" hidden="1" outlineLevel="2" x14ac:dyDescent="0.35">
      <c r="A231" t="s">
        <v>3115</v>
      </c>
      <c r="B231" s="1">
        <v>45737</v>
      </c>
      <c r="C231" t="str">
        <f>"271"</f>
        <v>271</v>
      </c>
      <c r="D231" t="s">
        <v>4986</v>
      </c>
      <c r="E231" t="str">
        <f>"181223"</f>
        <v>181223</v>
      </c>
      <c r="F231" t="str">
        <f t="shared" si="2"/>
        <v>33120000</v>
      </c>
      <c r="H231" t="s">
        <v>4987</v>
      </c>
      <c r="K231" s="4">
        <v>120400</v>
      </c>
    </row>
    <row r="232" spans="1:11" hidden="1" outlineLevel="2" x14ac:dyDescent="0.35">
      <c r="A232" t="s">
        <v>3115</v>
      </c>
      <c r="B232" s="1">
        <v>45737</v>
      </c>
      <c r="C232" t="str">
        <f>"273"</f>
        <v>273</v>
      </c>
      <c r="D232" t="s">
        <v>4990</v>
      </c>
      <c r="E232" t="str">
        <f>"162598"</f>
        <v>162598</v>
      </c>
      <c r="F232" t="str">
        <f t="shared" ref="F232:F243" si="3">"33120000"</f>
        <v>33120000</v>
      </c>
      <c r="H232" t="s">
        <v>4991</v>
      </c>
      <c r="K232" s="4">
        <v>10963</v>
      </c>
    </row>
    <row r="233" spans="1:11" hidden="1" outlineLevel="2" x14ac:dyDescent="0.35">
      <c r="A233" t="s">
        <v>3115</v>
      </c>
      <c r="B233" s="1">
        <v>45740</v>
      </c>
      <c r="C233" t="str">
        <f>"220"</f>
        <v>220</v>
      </c>
      <c r="D233" t="s">
        <v>5084</v>
      </c>
      <c r="E233" t="str">
        <f>"176334"</f>
        <v>176334</v>
      </c>
      <c r="F233" t="str">
        <f t="shared" si="3"/>
        <v>33120000</v>
      </c>
      <c r="H233" t="s">
        <v>5085</v>
      </c>
      <c r="K233" s="4">
        <v>162500</v>
      </c>
    </row>
    <row r="234" spans="1:11" hidden="1" outlineLevel="2" x14ac:dyDescent="0.35">
      <c r="A234" t="s">
        <v>3115</v>
      </c>
      <c r="B234" s="1">
        <v>45740</v>
      </c>
      <c r="C234" t="str">
        <f>"222"</f>
        <v>222</v>
      </c>
      <c r="D234" t="s">
        <v>5088</v>
      </c>
      <c r="E234" t="str">
        <f>"184552"</f>
        <v>184552</v>
      </c>
      <c r="F234" t="str">
        <f t="shared" si="3"/>
        <v>33120000</v>
      </c>
      <c r="H234" t="s">
        <v>5089</v>
      </c>
      <c r="K234" s="4">
        <v>65000</v>
      </c>
    </row>
    <row r="235" spans="1:11" hidden="1" outlineLevel="2" x14ac:dyDescent="0.35">
      <c r="A235" t="s">
        <v>3115</v>
      </c>
      <c r="B235" s="1">
        <v>45740</v>
      </c>
      <c r="C235" t="str">
        <f>"224"</f>
        <v>224</v>
      </c>
      <c r="D235" t="s">
        <v>5092</v>
      </c>
      <c r="E235" t="str">
        <f>"183521"</f>
        <v>183521</v>
      </c>
      <c r="F235" t="str">
        <f t="shared" si="3"/>
        <v>33120000</v>
      </c>
      <c r="H235" t="s">
        <v>5093</v>
      </c>
      <c r="K235" s="4">
        <v>120400</v>
      </c>
    </row>
    <row r="236" spans="1:11" hidden="1" outlineLevel="2" x14ac:dyDescent="0.35">
      <c r="A236" t="s">
        <v>3115</v>
      </c>
      <c r="B236" s="1">
        <v>45740</v>
      </c>
      <c r="C236" t="str">
        <f>"228"</f>
        <v>228</v>
      </c>
      <c r="D236" t="s">
        <v>5100</v>
      </c>
      <c r="E236" t="str">
        <f>"184551"</f>
        <v>184551</v>
      </c>
      <c r="F236" t="str">
        <f t="shared" si="3"/>
        <v>33120000</v>
      </c>
      <c r="H236" t="s">
        <v>5101</v>
      </c>
      <c r="K236" s="4">
        <v>32500</v>
      </c>
    </row>
    <row r="237" spans="1:11" hidden="1" outlineLevel="2" x14ac:dyDescent="0.35">
      <c r="A237" t="s">
        <v>3115</v>
      </c>
      <c r="B237" s="1">
        <v>45740</v>
      </c>
      <c r="C237" t="str">
        <f>"245"</f>
        <v>245</v>
      </c>
      <c r="D237" t="s">
        <v>5134</v>
      </c>
      <c r="E237" t="str">
        <f>"147217"</f>
        <v>147217</v>
      </c>
      <c r="F237" t="str">
        <f t="shared" si="3"/>
        <v>33120000</v>
      </c>
      <c r="H237" t="s">
        <v>5135</v>
      </c>
      <c r="K237" s="4">
        <v>3017</v>
      </c>
    </row>
    <row r="238" spans="1:11" hidden="1" outlineLevel="2" x14ac:dyDescent="0.35">
      <c r="A238" t="s">
        <v>3115</v>
      </c>
      <c r="B238" s="1">
        <v>45741</v>
      </c>
      <c r="C238" t="str">
        <f>"20"</f>
        <v>20</v>
      </c>
      <c r="D238" t="s">
        <v>5166</v>
      </c>
      <c r="E238" t="str">
        <f>"147282"</f>
        <v>147282</v>
      </c>
      <c r="F238" t="str">
        <f t="shared" si="3"/>
        <v>33120000</v>
      </c>
      <c r="H238" t="s">
        <v>5167</v>
      </c>
      <c r="K238" s="4">
        <v>155200</v>
      </c>
    </row>
    <row r="239" spans="1:11" hidden="1" outlineLevel="2" x14ac:dyDescent="0.35">
      <c r="A239" t="s">
        <v>3115</v>
      </c>
      <c r="B239" s="1">
        <v>45741</v>
      </c>
      <c r="C239" t="str">
        <f>"76"</f>
        <v>76</v>
      </c>
      <c r="D239" t="s">
        <v>5278</v>
      </c>
      <c r="E239" t="str">
        <f>"183524"</f>
        <v>183524</v>
      </c>
      <c r="F239" t="str">
        <f t="shared" si="3"/>
        <v>33120000</v>
      </c>
      <c r="H239" t="s">
        <v>5279</v>
      </c>
      <c r="K239" s="4">
        <v>96320</v>
      </c>
    </row>
    <row r="240" spans="1:11" hidden="1" outlineLevel="2" x14ac:dyDescent="0.35">
      <c r="A240" t="s">
        <v>3115</v>
      </c>
      <c r="B240" s="1">
        <v>45741</v>
      </c>
      <c r="C240" t="str">
        <f>"80"</f>
        <v>80</v>
      </c>
      <c r="D240" t="s">
        <v>5286</v>
      </c>
      <c r="E240" t="str">
        <f>"183521"</f>
        <v>183521</v>
      </c>
      <c r="F240" t="str">
        <f t="shared" si="3"/>
        <v>33120000</v>
      </c>
      <c r="H240" t="s">
        <v>5287</v>
      </c>
      <c r="K240" s="4">
        <v>162121</v>
      </c>
    </row>
    <row r="241" spans="1:11" hidden="1" outlineLevel="2" x14ac:dyDescent="0.35">
      <c r="A241" t="s">
        <v>3115</v>
      </c>
      <c r="B241" s="1">
        <v>45741</v>
      </c>
      <c r="C241" t="str">
        <f>"93"</f>
        <v>93</v>
      </c>
      <c r="D241" t="s">
        <v>5312</v>
      </c>
      <c r="E241" t="str">
        <f>"183523"</f>
        <v>183523</v>
      </c>
      <c r="F241" t="str">
        <f t="shared" si="3"/>
        <v>33120000</v>
      </c>
      <c r="H241" t="s">
        <v>5313</v>
      </c>
      <c r="K241" s="4">
        <v>120400</v>
      </c>
    </row>
    <row r="242" spans="1:11" hidden="1" outlineLevel="2" x14ac:dyDescent="0.35">
      <c r="A242" t="s">
        <v>3115</v>
      </c>
      <c r="B242" s="1">
        <v>45742</v>
      </c>
      <c r="C242" t="str">
        <f>"119"</f>
        <v>119</v>
      </c>
      <c r="D242" t="s">
        <v>5364</v>
      </c>
      <c r="E242" t="str">
        <f>"183526"</f>
        <v>183526</v>
      </c>
      <c r="F242" t="str">
        <f t="shared" si="3"/>
        <v>33120000</v>
      </c>
      <c r="H242" t="s">
        <v>5365</v>
      </c>
      <c r="K242" s="4">
        <v>120697</v>
      </c>
    </row>
    <row r="243" spans="1:11" hidden="1" outlineLevel="2" x14ac:dyDescent="0.35">
      <c r="A243" t="s">
        <v>3115</v>
      </c>
      <c r="B243" s="1">
        <v>45744</v>
      </c>
      <c r="C243" t="str">
        <f>"13"</f>
        <v>13</v>
      </c>
      <c r="D243" t="s">
        <v>5450</v>
      </c>
      <c r="E243" t="str">
        <f>"178684"</f>
        <v>178684</v>
      </c>
      <c r="F243" t="str">
        <f t="shared" si="3"/>
        <v>33120000</v>
      </c>
      <c r="H243" t="s">
        <v>5451</v>
      </c>
      <c r="K243" s="4">
        <v>120400</v>
      </c>
    </row>
    <row r="244" spans="1:11" outlineLevel="1" collapsed="1" x14ac:dyDescent="0.35">
      <c r="B244" s="1"/>
      <c r="F244" s="3" t="s">
        <v>6525</v>
      </c>
      <c r="J244" s="4">
        <f>SUBTOTAL(9,J168:J243)</f>
        <v>4083000</v>
      </c>
      <c r="K244" s="4">
        <f>SUBTOTAL(9,K168:K243)</f>
        <v>6410888</v>
      </c>
    </row>
    <row r="245" spans="1:11" hidden="1" outlineLevel="2" x14ac:dyDescent="0.35">
      <c r="A245" t="s">
        <v>354</v>
      </c>
      <c r="B245" s="1">
        <v>45719</v>
      </c>
      <c r="C245" t="str">
        <f>"485"</f>
        <v>485</v>
      </c>
      <c r="D245" t="s">
        <v>358</v>
      </c>
      <c r="E245" t="s">
        <v>359</v>
      </c>
      <c r="F245" t="str">
        <f t="shared" ref="F245:F276" si="4">"33130000"</f>
        <v>33130000</v>
      </c>
      <c r="H245" t="s">
        <v>360</v>
      </c>
      <c r="J245" s="4">
        <v>100425</v>
      </c>
    </row>
    <row r="246" spans="1:11" hidden="1" outlineLevel="2" x14ac:dyDescent="0.35">
      <c r="A246" t="s">
        <v>354</v>
      </c>
      <c r="B246" s="1">
        <v>45719</v>
      </c>
      <c r="C246" t="str">
        <f>"486"</f>
        <v>486</v>
      </c>
      <c r="D246" t="s">
        <v>361</v>
      </c>
      <c r="E246" t="s">
        <v>362</v>
      </c>
      <c r="F246" t="str">
        <f t="shared" si="4"/>
        <v>33130000</v>
      </c>
      <c r="H246" t="s">
        <v>363</v>
      </c>
      <c r="J246" s="4">
        <v>98949</v>
      </c>
    </row>
    <row r="247" spans="1:11" hidden="1" outlineLevel="2" x14ac:dyDescent="0.35">
      <c r="A247" t="s">
        <v>354</v>
      </c>
      <c r="B247" s="1">
        <v>45719</v>
      </c>
      <c r="C247" t="str">
        <f>"508"</f>
        <v>508</v>
      </c>
      <c r="D247" t="s">
        <v>424</v>
      </c>
      <c r="E247" t="s">
        <v>425</v>
      </c>
      <c r="F247" t="str">
        <f t="shared" si="4"/>
        <v>33130000</v>
      </c>
      <c r="H247" t="s">
        <v>426</v>
      </c>
      <c r="J247" s="4">
        <v>1680000</v>
      </c>
    </row>
    <row r="248" spans="1:11" hidden="1" outlineLevel="2" x14ac:dyDescent="0.35">
      <c r="A248" t="s">
        <v>354</v>
      </c>
      <c r="B248" s="1">
        <v>45719</v>
      </c>
      <c r="C248" t="str">
        <f>"509"</f>
        <v>509</v>
      </c>
      <c r="D248" t="s">
        <v>427</v>
      </c>
      <c r="E248" t="s">
        <v>428</v>
      </c>
      <c r="F248" t="str">
        <f t="shared" si="4"/>
        <v>33130000</v>
      </c>
      <c r="H248" t="s">
        <v>429</v>
      </c>
      <c r="J248" s="4">
        <v>580000</v>
      </c>
    </row>
    <row r="249" spans="1:11" hidden="1" outlineLevel="2" x14ac:dyDescent="0.35">
      <c r="A249" t="s">
        <v>354</v>
      </c>
      <c r="B249" s="1">
        <v>45719</v>
      </c>
      <c r="C249" t="str">
        <f>"510"</f>
        <v>510</v>
      </c>
      <c r="D249" t="s">
        <v>430</v>
      </c>
      <c r="E249" t="s">
        <v>431</v>
      </c>
      <c r="F249" t="str">
        <f t="shared" si="4"/>
        <v>33130000</v>
      </c>
      <c r="H249" t="s">
        <v>432</v>
      </c>
      <c r="J249" s="4">
        <v>2320000</v>
      </c>
    </row>
    <row r="250" spans="1:11" hidden="1" outlineLevel="2" x14ac:dyDescent="0.35">
      <c r="A250" t="s">
        <v>354</v>
      </c>
      <c r="B250" s="1">
        <v>45719</v>
      </c>
      <c r="C250" t="str">
        <f>"511"</f>
        <v>511</v>
      </c>
      <c r="D250" t="s">
        <v>433</v>
      </c>
      <c r="E250" t="s">
        <v>434</v>
      </c>
      <c r="F250" t="str">
        <f t="shared" si="4"/>
        <v>33130000</v>
      </c>
      <c r="H250" t="s">
        <v>435</v>
      </c>
      <c r="J250" s="4">
        <v>1740000</v>
      </c>
    </row>
    <row r="251" spans="1:11" hidden="1" outlineLevel="2" x14ac:dyDescent="0.35">
      <c r="A251" t="s">
        <v>354</v>
      </c>
      <c r="B251" s="1">
        <v>45719</v>
      </c>
      <c r="C251" t="str">
        <f>"512"</f>
        <v>512</v>
      </c>
      <c r="D251" t="s">
        <v>436</v>
      </c>
      <c r="E251" t="s">
        <v>437</v>
      </c>
      <c r="F251" t="str">
        <f t="shared" si="4"/>
        <v>33130000</v>
      </c>
      <c r="H251" t="s">
        <v>438</v>
      </c>
      <c r="J251" s="4">
        <v>990000</v>
      </c>
    </row>
    <row r="252" spans="1:11" hidden="1" outlineLevel="2" x14ac:dyDescent="0.35">
      <c r="A252" t="s">
        <v>354</v>
      </c>
      <c r="B252" s="1">
        <v>45719</v>
      </c>
      <c r="C252" t="str">
        <f>"513"</f>
        <v>513</v>
      </c>
      <c r="D252" t="s">
        <v>439</v>
      </c>
      <c r="E252" t="s">
        <v>440</v>
      </c>
      <c r="F252" t="str">
        <f t="shared" si="4"/>
        <v>33130000</v>
      </c>
      <c r="H252" t="s">
        <v>441</v>
      </c>
      <c r="J252" s="4">
        <v>1650000</v>
      </c>
    </row>
    <row r="253" spans="1:11" hidden="1" outlineLevel="2" x14ac:dyDescent="0.35">
      <c r="A253" t="s">
        <v>354</v>
      </c>
      <c r="B253" s="1">
        <v>45719</v>
      </c>
      <c r="C253" t="str">
        <f>"514"</f>
        <v>514</v>
      </c>
      <c r="D253" t="s">
        <v>442</v>
      </c>
      <c r="E253" t="s">
        <v>443</v>
      </c>
      <c r="F253" t="str">
        <f t="shared" si="4"/>
        <v>33130000</v>
      </c>
      <c r="H253" t="s">
        <v>444</v>
      </c>
      <c r="J253" s="4">
        <v>2870000</v>
      </c>
    </row>
    <row r="254" spans="1:11" hidden="1" outlineLevel="2" x14ac:dyDescent="0.35">
      <c r="A254" t="s">
        <v>354</v>
      </c>
      <c r="B254" s="1">
        <v>45719</v>
      </c>
      <c r="C254" t="str">
        <f>"515"</f>
        <v>515</v>
      </c>
      <c r="D254" t="s">
        <v>445</v>
      </c>
      <c r="E254" t="s">
        <v>446</v>
      </c>
      <c r="F254" t="str">
        <f t="shared" si="4"/>
        <v>33130000</v>
      </c>
      <c r="H254" t="s">
        <v>447</v>
      </c>
      <c r="J254" s="4">
        <v>1560000</v>
      </c>
    </row>
    <row r="255" spans="1:11" hidden="1" outlineLevel="2" x14ac:dyDescent="0.35">
      <c r="A255" t="s">
        <v>354</v>
      </c>
      <c r="B255" s="1">
        <v>45719</v>
      </c>
      <c r="C255" t="str">
        <f>"517"</f>
        <v>517</v>
      </c>
      <c r="D255" t="s">
        <v>451</v>
      </c>
      <c r="E255" t="s">
        <v>452</v>
      </c>
      <c r="F255" t="str">
        <f t="shared" si="4"/>
        <v>33130000</v>
      </c>
      <c r="H255" t="s">
        <v>453</v>
      </c>
      <c r="J255" s="4">
        <v>2240000</v>
      </c>
    </row>
    <row r="256" spans="1:11" hidden="1" outlineLevel="2" x14ac:dyDescent="0.35">
      <c r="A256" t="s">
        <v>354</v>
      </c>
      <c r="B256" s="1">
        <v>45719</v>
      </c>
      <c r="C256" t="str">
        <f>"518"</f>
        <v>518</v>
      </c>
      <c r="D256" t="s">
        <v>454</v>
      </c>
      <c r="E256" t="s">
        <v>455</v>
      </c>
      <c r="F256" t="str">
        <f t="shared" si="4"/>
        <v>33130000</v>
      </c>
      <c r="H256" t="s">
        <v>456</v>
      </c>
      <c r="J256" s="4">
        <v>3360000</v>
      </c>
    </row>
    <row r="257" spans="1:10" hidden="1" outlineLevel="2" x14ac:dyDescent="0.35">
      <c r="A257" t="s">
        <v>354</v>
      </c>
      <c r="B257" s="1">
        <v>45719</v>
      </c>
      <c r="C257" t="str">
        <f>"519"</f>
        <v>519</v>
      </c>
      <c r="D257" t="s">
        <v>457</v>
      </c>
      <c r="E257" t="s">
        <v>458</v>
      </c>
      <c r="F257" t="str">
        <f t="shared" si="4"/>
        <v>33130000</v>
      </c>
      <c r="H257" t="s">
        <v>459</v>
      </c>
      <c r="J257" s="4">
        <v>300000</v>
      </c>
    </row>
    <row r="258" spans="1:10" hidden="1" outlineLevel="2" x14ac:dyDescent="0.35">
      <c r="A258" t="s">
        <v>354</v>
      </c>
      <c r="B258" s="1">
        <v>45719</v>
      </c>
      <c r="C258" t="str">
        <f>"520"</f>
        <v>520</v>
      </c>
      <c r="D258" t="s">
        <v>460</v>
      </c>
      <c r="E258" t="s">
        <v>461</v>
      </c>
      <c r="F258" t="str">
        <f t="shared" si="4"/>
        <v>33130000</v>
      </c>
      <c r="H258" t="s">
        <v>462</v>
      </c>
      <c r="J258" s="4">
        <v>780000</v>
      </c>
    </row>
    <row r="259" spans="1:10" hidden="1" outlineLevel="2" x14ac:dyDescent="0.35">
      <c r="A259" t="s">
        <v>354</v>
      </c>
      <c r="B259" s="1">
        <v>45719</v>
      </c>
      <c r="C259" t="str">
        <f>"521"</f>
        <v>521</v>
      </c>
      <c r="D259" t="s">
        <v>463</v>
      </c>
      <c r="E259" t="s">
        <v>464</v>
      </c>
      <c r="F259" t="str">
        <f t="shared" si="4"/>
        <v>33130000</v>
      </c>
      <c r="H259" t="s">
        <v>465</v>
      </c>
      <c r="J259" s="4">
        <v>3360000</v>
      </c>
    </row>
    <row r="260" spans="1:10" hidden="1" outlineLevel="2" x14ac:dyDescent="0.35">
      <c r="A260" t="s">
        <v>354</v>
      </c>
      <c r="B260" s="1">
        <v>45719</v>
      </c>
      <c r="C260" t="str">
        <f>"522"</f>
        <v>522</v>
      </c>
      <c r="D260" t="s">
        <v>466</v>
      </c>
      <c r="E260" t="s">
        <v>467</v>
      </c>
      <c r="F260" t="str">
        <f t="shared" si="4"/>
        <v>33130000</v>
      </c>
      <c r="H260" t="s">
        <v>468</v>
      </c>
      <c r="J260" s="4">
        <v>1560000</v>
      </c>
    </row>
    <row r="261" spans="1:10" hidden="1" outlineLevel="2" x14ac:dyDescent="0.35">
      <c r="A261" t="s">
        <v>354</v>
      </c>
      <c r="B261" s="1">
        <v>45719</v>
      </c>
      <c r="C261" t="str">
        <f>"523"</f>
        <v>523</v>
      </c>
      <c r="D261" t="s">
        <v>469</v>
      </c>
      <c r="E261" t="s">
        <v>470</v>
      </c>
      <c r="F261" t="str">
        <f t="shared" si="4"/>
        <v>33130000</v>
      </c>
      <c r="H261" t="s">
        <v>471</v>
      </c>
      <c r="J261" s="4">
        <v>2340000</v>
      </c>
    </row>
    <row r="262" spans="1:10" hidden="1" outlineLevel="2" x14ac:dyDescent="0.35">
      <c r="A262" t="s">
        <v>354</v>
      </c>
      <c r="B262" s="1">
        <v>45719</v>
      </c>
      <c r="C262" t="str">
        <f>"524"</f>
        <v>524</v>
      </c>
      <c r="D262" t="s">
        <v>472</v>
      </c>
      <c r="E262" t="s">
        <v>473</v>
      </c>
      <c r="F262" t="str">
        <f t="shared" si="4"/>
        <v>33130000</v>
      </c>
      <c r="H262" t="s">
        <v>474</v>
      </c>
      <c r="J262" s="4">
        <v>3360000</v>
      </c>
    </row>
    <row r="263" spans="1:10" hidden="1" outlineLevel="2" x14ac:dyDescent="0.35">
      <c r="A263" t="s">
        <v>354</v>
      </c>
      <c r="B263" s="1">
        <v>45719</v>
      </c>
      <c r="C263" t="str">
        <f>"525"</f>
        <v>525</v>
      </c>
      <c r="D263" t="s">
        <v>475</v>
      </c>
      <c r="E263" t="s">
        <v>476</v>
      </c>
      <c r="F263" t="str">
        <f t="shared" si="4"/>
        <v>33130000</v>
      </c>
      <c r="H263" t="s">
        <v>477</v>
      </c>
      <c r="J263" s="4">
        <v>300000</v>
      </c>
    </row>
    <row r="264" spans="1:10" hidden="1" outlineLevel="2" x14ac:dyDescent="0.35">
      <c r="A264" t="s">
        <v>354</v>
      </c>
      <c r="B264" s="1">
        <v>45719</v>
      </c>
      <c r="C264" t="str">
        <f>"526"</f>
        <v>526</v>
      </c>
      <c r="D264" t="s">
        <v>478</v>
      </c>
      <c r="E264" t="s">
        <v>479</v>
      </c>
      <c r="F264" t="str">
        <f t="shared" si="4"/>
        <v>33130000</v>
      </c>
      <c r="H264" t="s">
        <v>480</v>
      </c>
      <c r="J264" s="4">
        <v>900000</v>
      </c>
    </row>
    <row r="265" spans="1:10" hidden="1" outlineLevel="2" x14ac:dyDescent="0.35">
      <c r="A265" t="s">
        <v>354</v>
      </c>
      <c r="B265" s="1">
        <v>45719</v>
      </c>
      <c r="C265" t="str">
        <f>"527"</f>
        <v>527</v>
      </c>
      <c r="D265" t="s">
        <v>481</v>
      </c>
      <c r="E265" t="s">
        <v>482</v>
      </c>
      <c r="F265" t="str">
        <f t="shared" si="4"/>
        <v>33130000</v>
      </c>
      <c r="H265" t="s">
        <v>483</v>
      </c>
      <c r="J265" s="4">
        <v>2400000</v>
      </c>
    </row>
    <row r="266" spans="1:10" hidden="1" outlineLevel="2" x14ac:dyDescent="0.35">
      <c r="A266" t="s">
        <v>354</v>
      </c>
      <c r="B266" s="1">
        <v>45719</v>
      </c>
      <c r="C266" t="str">
        <f>"528"</f>
        <v>528</v>
      </c>
      <c r="D266" t="s">
        <v>484</v>
      </c>
      <c r="E266" t="s">
        <v>485</v>
      </c>
      <c r="F266" t="str">
        <f t="shared" si="4"/>
        <v>33130000</v>
      </c>
      <c r="H266" t="s">
        <v>486</v>
      </c>
      <c r="J266" s="4">
        <v>600000</v>
      </c>
    </row>
    <row r="267" spans="1:10" hidden="1" outlineLevel="2" x14ac:dyDescent="0.35">
      <c r="A267" t="s">
        <v>354</v>
      </c>
      <c r="B267" s="1">
        <v>45719</v>
      </c>
      <c r="C267" t="str">
        <f>"529"</f>
        <v>529</v>
      </c>
      <c r="D267" t="s">
        <v>487</v>
      </c>
      <c r="E267" t="s">
        <v>488</v>
      </c>
      <c r="F267" t="str">
        <f t="shared" si="4"/>
        <v>33130000</v>
      </c>
      <c r="H267" t="s">
        <v>489</v>
      </c>
      <c r="J267" s="4">
        <v>1020000</v>
      </c>
    </row>
    <row r="268" spans="1:10" hidden="1" outlineLevel="2" x14ac:dyDescent="0.35">
      <c r="A268" t="s">
        <v>354</v>
      </c>
      <c r="B268" s="1">
        <v>45719</v>
      </c>
      <c r="C268" t="str">
        <f>"530"</f>
        <v>530</v>
      </c>
      <c r="D268" t="s">
        <v>490</v>
      </c>
      <c r="E268" t="s">
        <v>491</v>
      </c>
      <c r="F268" t="str">
        <f t="shared" si="4"/>
        <v>33130000</v>
      </c>
      <c r="H268" t="s">
        <v>492</v>
      </c>
      <c r="J268" s="4">
        <v>2340000</v>
      </c>
    </row>
    <row r="269" spans="1:10" hidden="1" outlineLevel="2" x14ac:dyDescent="0.35">
      <c r="A269" t="s">
        <v>354</v>
      </c>
      <c r="B269" s="1">
        <v>45719</v>
      </c>
      <c r="C269" t="str">
        <f>"531"</f>
        <v>531</v>
      </c>
      <c r="D269" t="s">
        <v>493</v>
      </c>
      <c r="E269" t="s">
        <v>494</v>
      </c>
      <c r="F269" t="str">
        <f t="shared" si="4"/>
        <v>33130000</v>
      </c>
      <c r="H269" t="s">
        <v>495</v>
      </c>
      <c r="J269" s="4">
        <v>3220000</v>
      </c>
    </row>
    <row r="270" spans="1:10" hidden="1" outlineLevel="2" x14ac:dyDescent="0.35">
      <c r="A270" t="s">
        <v>354</v>
      </c>
      <c r="B270" s="1">
        <v>45719</v>
      </c>
      <c r="C270" t="str">
        <f>"532"</f>
        <v>532</v>
      </c>
      <c r="D270" t="s">
        <v>496</v>
      </c>
      <c r="E270" t="s">
        <v>497</v>
      </c>
      <c r="F270" t="str">
        <f t="shared" si="4"/>
        <v>33130000</v>
      </c>
      <c r="H270" t="s">
        <v>498</v>
      </c>
      <c r="J270" s="4">
        <v>3060000</v>
      </c>
    </row>
    <row r="271" spans="1:10" hidden="1" outlineLevel="2" x14ac:dyDescent="0.35">
      <c r="A271" t="s">
        <v>354</v>
      </c>
      <c r="B271" s="1">
        <v>45719</v>
      </c>
      <c r="C271" t="str">
        <f>"533"</f>
        <v>533</v>
      </c>
      <c r="D271" t="s">
        <v>499</v>
      </c>
      <c r="E271" t="s">
        <v>500</v>
      </c>
      <c r="F271" t="str">
        <f t="shared" si="4"/>
        <v>33130000</v>
      </c>
      <c r="H271" t="s">
        <v>501</v>
      </c>
      <c r="J271" s="4">
        <v>1740000</v>
      </c>
    </row>
    <row r="272" spans="1:10" hidden="1" outlineLevel="2" x14ac:dyDescent="0.35">
      <c r="A272" t="s">
        <v>354</v>
      </c>
      <c r="B272" s="1">
        <v>45719</v>
      </c>
      <c r="C272" t="str">
        <f>"534"</f>
        <v>534</v>
      </c>
      <c r="D272" t="s">
        <v>502</v>
      </c>
      <c r="E272" t="s">
        <v>503</v>
      </c>
      <c r="F272" t="str">
        <f t="shared" si="4"/>
        <v>33130000</v>
      </c>
      <c r="H272" t="s">
        <v>504</v>
      </c>
      <c r="J272" s="4">
        <v>1560000</v>
      </c>
    </row>
    <row r="273" spans="1:11" hidden="1" outlineLevel="2" x14ac:dyDescent="0.35">
      <c r="A273" t="s">
        <v>354</v>
      </c>
      <c r="B273" s="1">
        <v>45742</v>
      </c>
      <c r="C273" t="str">
        <f>"706"</f>
        <v>706</v>
      </c>
      <c r="D273" t="s">
        <v>1113</v>
      </c>
      <c r="E273" t="s">
        <v>1114</v>
      </c>
      <c r="F273" t="str">
        <f t="shared" si="4"/>
        <v>33130000</v>
      </c>
      <c r="H273" t="s">
        <v>1115</v>
      </c>
      <c r="J273" s="4">
        <v>313225</v>
      </c>
    </row>
    <row r="274" spans="1:11" hidden="1" outlineLevel="2" x14ac:dyDescent="0.35">
      <c r="A274" t="s">
        <v>101</v>
      </c>
      <c r="B274" s="1">
        <v>45717</v>
      </c>
      <c r="C274" t="str">
        <f>"2"</f>
        <v>2</v>
      </c>
      <c r="F274" t="str">
        <f t="shared" si="4"/>
        <v>33130000</v>
      </c>
      <c r="H274" t="s">
        <v>2722</v>
      </c>
      <c r="J274" s="4">
        <v>-12500000</v>
      </c>
    </row>
    <row r="275" spans="1:11" hidden="1" outlineLevel="2" x14ac:dyDescent="0.35">
      <c r="A275" t="s">
        <v>101</v>
      </c>
      <c r="B275" s="1">
        <v>45717</v>
      </c>
      <c r="C275" t="str">
        <f>"7"</f>
        <v>7</v>
      </c>
      <c r="F275" t="str">
        <f t="shared" si="4"/>
        <v>33130000</v>
      </c>
      <c r="H275" t="s">
        <v>2747</v>
      </c>
      <c r="J275" s="4">
        <v>-14000000</v>
      </c>
    </row>
    <row r="276" spans="1:11" hidden="1" outlineLevel="2" x14ac:dyDescent="0.35">
      <c r="A276" t="s">
        <v>101</v>
      </c>
      <c r="B276" s="1">
        <v>45747</v>
      </c>
      <c r="C276" t="str">
        <f>"77"</f>
        <v>77</v>
      </c>
      <c r="F276" t="str">
        <f t="shared" si="4"/>
        <v>33130000</v>
      </c>
      <c r="H276" t="s">
        <v>2924</v>
      </c>
      <c r="J276" s="4">
        <v>13130000</v>
      </c>
    </row>
    <row r="277" spans="1:11" hidden="1" outlineLevel="2" x14ac:dyDescent="0.35">
      <c r="A277" t="s">
        <v>3115</v>
      </c>
      <c r="B277" s="1">
        <v>45717</v>
      </c>
      <c r="C277" t="str">
        <f>"1183"</f>
        <v>1183</v>
      </c>
      <c r="D277" t="s">
        <v>3142</v>
      </c>
      <c r="E277" t="str">
        <f>"180374"</f>
        <v>180374</v>
      </c>
      <c r="F277" t="str">
        <f t="shared" ref="F277:F308" si="5">"33130000"</f>
        <v>33130000</v>
      </c>
      <c r="H277" t="s">
        <v>3143</v>
      </c>
      <c r="K277" s="4">
        <v>7864</v>
      </c>
    </row>
    <row r="278" spans="1:11" hidden="1" outlineLevel="2" x14ac:dyDescent="0.35">
      <c r="A278" t="s">
        <v>3115</v>
      </c>
      <c r="B278" s="1">
        <v>45718</v>
      </c>
      <c r="C278" t="str">
        <f>"1153"</f>
        <v>1153</v>
      </c>
      <c r="D278" t="s">
        <v>3156</v>
      </c>
      <c r="E278" t="str">
        <f>"180348"</f>
        <v>180348</v>
      </c>
      <c r="F278" t="str">
        <f t="shared" si="5"/>
        <v>33130000</v>
      </c>
      <c r="H278" t="s">
        <v>3157</v>
      </c>
      <c r="K278" s="4">
        <v>6597</v>
      </c>
    </row>
    <row r="279" spans="1:11" hidden="1" outlineLevel="2" x14ac:dyDescent="0.35">
      <c r="A279" t="s">
        <v>3115</v>
      </c>
      <c r="B279" s="1">
        <v>45719</v>
      </c>
      <c r="C279" t="str">
        <f>"773"</f>
        <v>773</v>
      </c>
      <c r="D279" t="s">
        <v>3198</v>
      </c>
      <c r="E279" t="str">
        <f>"181231"</f>
        <v>181231</v>
      </c>
      <c r="F279" t="str">
        <f t="shared" si="5"/>
        <v>33130000</v>
      </c>
      <c r="H279" t="s">
        <v>3199</v>
      </c>
      <c r="K279" s="4">
        <v>10594</v>
      </c>
    </row>
    <row r="280" spans="1:11" hidden="1" outlineLevel="2" x14ac:dyDescent="0.35">
      <c r="A280" t="s">
        <v>3115</v>
      </c>
      <c r="B280" s="1">
        <v>45719</v>
      </c>
      <c r="C280" t="str">
        <f>"789"</f>
        <v>789</v>
      </c>
      <c r="D280" t="s">
        <v>3230</v>
      </c>
      <c r="E280" t="str">
        <f>"181230"</f>
        <v>181230</v>
      </c>
      <c r="F280" t="str">
        <f t="shared" si="5"/>
        <v>33130000</v>
      </c>
      <c r="H280" t="s">
        <v>3231</v>
      </c>
      <c r="K280" s="4">
        <v>1649</v>
      </c>
    </row>
    <row r="281" spans="1:11" hidden="1" outlineLevel="2" x14ac:dyDescent="0.35">
      <c r="A281" t="s">
        <v>3115</v>
      </c>
      <c r="B281" s="1">
        <v>45719</v>
      </c>
      <c r="C281" t="str">
        <f>"817"</f>
        <v>817</v>
      </c>
      <c r="D281" t="s">
        <v>3286</v>
      </c>
      <c r="E281" t="str">
        <f>"182187"</f>
        <v>182187</v>
      </c>
      <c r="F281" t="str">
        <f t="shared" si="5"/>
        <v>33130000</v>
      </c>
      <c r="H281" t="s">
        <v>3287</v>
      </c>
      <c r="K281" s="4">
        <v>4290</v>
      </c>
    </row>
    <row r="282" spans="1:11" hidden="1" outlineLevel="2" x14ac:dyDescent="0.35">
      <c r="A282" t="s">
        <v>3115</v>
      </c>
      <c r="B282" s="1">
        <v>45720</v>
      </c>
      <c r="C282" t="str">
        <f>"842"</f>
        <v>842</v>
      </c>
      <c r="D282" t="s">
        <v>3336</v>
      </c>
      <c r="E282" t="str">
        <f>"170683"</f>
        <v>170683</v>
      </c>
      <c r="F282" t="str">
        <f t="shared" si="5"/>
        <v>33130000</v>
      </c>
      <c r="H282" t="s">
        <v>3337</v>
      </c>
      <c r="K282" s="4">
        <v>10594</v>
      </c>
    </row>
    <row r="283" spans="1:11" hidden="1" outlineLevel="2" x14ac:dyDescent="0.35">
      <c r="A283" t="s">
        <v>3115</v>
      </c>
      <c r="B283" s="1">
        <v>45720</v>
      </c>
      <c r="C283" t="str">
        <f>"846"</f>
        <v>846</v>
      </c>
      <c r="D283" t="s">
        <v>3344</v>
      </c>
      <c r="E283" t="str">
        <f>"181785"</f>
        <v>181785</v>
      </c>
      <c r="F283" t="str">
        <f t="shared" si="5"/>
        <v>33130000</v>
      </c>
      <c r="H283" t="s">
        <v>3345</v>
      </c>
      <c r="K283" s="4">
        <v>2800000</v>
      </c>
    </row>
    <row r="284" spans="1:11" hidden="1" outlineLevel="2" x14ac:dyDescent="0.35">
      <c r="A284" t="s">
        <v>3115</v>
      </c>
      <c r="B284" s="1">
        <v>45720</v>
      </c>
      <c r="C284" t="str">
        <f>"847"</f>
        <v>847</v>
      </c>
      <c r="D284" t="s">
        <v>3346</v>
      </c>
      <c r="E284" t="str">
        <f>"181784"</f>
        <v>181784</v>
      </c>
      <c r="F284" t="str">
        <f t="shared" si="5"/>
        <v>33130000</v>
      </c>
      <c r="H284" t="s">
        <v>3347</v>
      </c>
      <c r="K284" s="4">
        <v>2800000</v>
      </c>
    </row>
    <row r="285" spans="1:11" hidden="1" outlineLevel="2" x14ac:dyDescent="0.35">
      <c r="A285" t="s">
        <v>3115</v>
      </c>
      <c r="B285" s="1">
        <v>45720</v>
      </c>
      <c r="C285" t="str">
        <f>"849"</f>
        <v>849</v>
      </c>
      <c r="D285" t="s">
        <v>3350</v>
      </c>
      <c r="E285" t="str">
        <f>"181764"</f>
        <v>181764</v>
      </c>
      <c r="F285" t="str">
        <f t="shared" si="5"/>
        <v>33130000</v>
      </c>
      <c r="H285" t="s">
        <v>3351</v>
      </c>
      <c r="K285" s="4">
        <v>1980000</v>
      </c>
    </row>
    <row r="286" spans="1:11" hidden="1" outlineLevel="2" x14ac:dyDescent="0.35">
      <c r="A286" t="s">
        <v>3115</v>
      </c>
      <c r="B286" s="1">
        <v>45720</v>
      </c>
      <c r="C286" t="str">
        <f>"850"</f>
        <v>850</v>
      </c>
      <c r="D286" t="s">
        <v>3352</v>
      </c>
      <c r="E286" t="str">
        <f>"181000"</f>
        <v>181000</v>
      </c>
      <c r="F286" t="str">
        <f t="shared" si="5"/>
        <v>33130000</v>
      </c>
      <c r="H286" t="s">
        <v>3353</v>
      </c>
      <c r="K286" s="4">
        <v>990000</v>
      </c>
    </row>
    <row r="287" spans="1:11" hidden="1" outlineLevel="2" x14ac:dyDescent="0.35">
      <c r="A287" t="s">
        <v>3115</v>
      </c>
      <c r="B287" s="1">
        <v>45720</v>
      </c>
      <c r="C287" t="str">
        <f>"852"</f>
        <v>852</v>
      </c>
      <c r="D287" t="s">
        <v>3356</v>
      </c>
      <c r="E287" t="str">
        <f>"181754"</f>
        <v>181754</v>
      </c>
      <c r="F287" t="str">
        <f t="shared" si="5"/>
        <v>33130000</v>
      </c>
      <c r="H287" t="s">
        <v>3357</v>
      </c>
      <c r="K287" s="4">
        <v>3220000</v>
      </c>
    </row>
    <row r="288" spans="1:11" hidden="1" outlineLevel="2" x14ac:dyDescent="0.35">
      <c r="A288" t="s">
        <v>3115</v>
      </c>
      <c r="B288" s="1">
        <v>45720</v>
      </c>
      <c r="C288" t="str">
        <f>"855"</f>
        <v>855</v>
      </c>
      <c r="D288" t="s">
        <v>3362</v>
      </c>
      <c r="E288" t="str">
        <f>"181776"</f>
        <v>181776</v>
      </c>
      <c r="F288" t="str">
        <f t="shared" si="5"/>
        <v>33130000</v>
      </c>
      <c r="H288" t="s">
        <v>3363</v>
      </c>
      <c r="K288" s="4">
        <v>3220000</v>
      </c>
    </row>
    <row r="289" spans="1:11" hidden="1" outlineLevel="2" x14ac:dyDescent="0.35">
      <c r="A289" t="s">
        <v>3115</v>
      </c>
      <c r="B289" s="1">
        <v>45720</v>
      </c>
      <c r="C289" t="str">
        <f>"857"</f>
        <v>857</v>
      </c>
      <c r="D289" t="s">
        <v>3366</v>
      </c>
      <c r="E289" t="str">
        <f>"181777"</f>
        <v>181777</v>
      </c>
      <c r="F289" t="str">
        <f t="shared" si="5"/>
        <v>33130000</v>
      </c>
      <c r="H289" t="s">
        <v>3367</v>
      </c>
      <c r="K289" s="4">
        <v>2240000</v>
      </c>
    </row>
    <row r="290" spans="1:11" hidden="1" outlineLevel="2" x14ac:dyDescent="0.35">
      <c r="A290" t="s">
        <v>3115</v>
      </c>
      <c r="B290" s="1">
        <v>45720</v>
      </c>
      <c r="C290" t="str">
        <f>"907"</f>
        <v>907</v>
      </c>
      <c r="D290" t="s">
        <v>3466</v>
      </c>
      <c r="E290" t="str">
        <f>"182190"</f>
        <v>182190</v>
      </c>
      <c r="F290" t="str">
        <f t="shared" si="5"/>
        <v>33130000</v>
      </c>
      <c r="H290" t="s">
        <v>3467</v>
      </c>
      <c r="K290" s="4">
        <v>33600</v>
      </c>
    </row>
    <row r="291" spans="1:11" hidden="1" outlineLevel="2" x14ac:dyDescent="0.35">
      <c r="A291" t="s">
        <v>3115</v>
      </c>
      <c r="B291" s="1">
        <v>45720</v>
      </c>
      <c r="C291" t="str">
        <f>"925"</f>
        <v>925</v>
      </c>
      <c r="D291" t="s">
        <v>3502</v>
      </c>
      <c r="E291" t="str">
        <f>"180350"</f>
        <v>180350</v>
      </c>
      <c r="F291" t="str">
        <f t="shared" si="5"/>
        <v>33130000</v>
      </c>
      <c r="H291" t="s">
        <v>3503</v>
      </c>
      <c r="K291" s="4">
        <v>2917</v>
      </c>
    </row>
    <row r="292" spans="1:11" hidden="1" outlineLevel="2" x14ac:dyDescent="0.35">
      <c r="A292" t="s">
        <v>3115</v>
      </c>
      <c r="B292" s="1">
        <v>45720</v>
      </c>
      <c r="C292" t="str">
        <f>"926"</f>
        <v>926</v>
      </c>
      <c r="D292" t="s">
        <v>3504</v>
      </c>
      <c r="E292" t="str">
        <f>"180349"</f>
        <v>180349</v>
      </c>
      <c r="F292" t="str">
        <f t="shared" si="5"/>
        <v>33130000</v>
      </c>
      <c r="H292" t="s">
        <v>3505</v>
      </c>
      <c r="K292" s="4">
        <v>4947</v>
      </c>
    </row>
    <row r="293" spans="1:11" hidden="1" outlineLevel="2" x14ac:dyDescent="0.35">
      <c r="A293" t="s">
        <v>3115</v>
      </c>
      <c r="B293" s="1">
        <v>45721</v>
      </c>
      <c r="C293" t="str">
        <f>"956"</f>
        <v>956</v>
      </c>
      <c r="D293" t="s">
        <v>3564</v>
      </c>
      <c r="E293" t="str">
        <f>"182251"</f>
        <v>182251</v>
      </c>
      <c r="F293" t="str">
        <f t="shared" si="5"/>
        <v>33130000</v>
      </c>
      <c r="H293" t="s">
        <v>3565</v>
      </c>
      <c r="K293" s="4">
        <v>11840</v>
      </c>
    </row>
    <row r="294" spans="1:11" hidden="1" outlineLevel="2" x14ac:dyDescent="0.35">
      <c r="A294" t="s">
        <v>3115</v>
      </c>
      <c r="B294" s="1">
        <v>45721</v>
      </c>
      <c r="C294" t="str">
        <f>"957"</f>
        <v>957</v>
      </c>
      <c r="D294" t="s">
        <v>3566</v>
      </c>
      <c r="E294" t="str">
        <f>"182252"</f>
        <v>182252</v>
      </c>
      <c r="F294" t="str">
        <f t="shared" si="5"/>
        <v>33130000</v>
      </c>
      <c r="H294" t="s">
        <v>3567</v>
      </c>
      <c r="K294" s="4">
        <v>4947</v>
      </c>
    </row>
    <row r="295" spans="1:11" hidden="1" outlineLevel="2" x14ac:dyDescent="0.35">
      <c r="A295" t="s">
        <v>3115</v>
      </c>
      <c r="B295" s="1">
        <v>45722</v>
      </c>
      <c r="C295" t="str">
        <f>"976"</f>
        <v>976</v>
      </c>
      <c r="D295" t="s">
        <v>3604</v>
      </c>
      <c r="E295" t="str">
        <f>"179803"</f>
        <v>179803</v>
      </c>
      <c r="F295" t="str">
        <f t="shared" si="5"/>
        <v>33130000</v>
      </c>
      <c r="H295" t="s">
        <v>3605</v>
      </c>
      <c r="K295" s="4">
        <v>1650000</v>
      </c>
    </row>
    <row r="296" spans="1:11" hidden="1" outlineLevel="2" x14ac:dyDescent="0.35">
      <c r="A296" t="s">
        <v>3115</v>
      </c>
      <c r="B296" s="1">
        <v>45722</v>
      </c>
      <c r="C296" t="str">
        <f>"985"</f>
        <v>985</v>
      </c>
      <c r="D296" t="s">
        <v>3622</v>
      </c>
      <c r="E296" t="str">
        <f>"182192"</f>
        <v>182192</v>
      </c>
      <c r="F296" t="str">
        <f t="shared" si="5"/>
        <v>33130000</v>
      </c>
      <c r="H296" t="s">
        <v>3623</v>
      </c>
      <c r="K296" s="4">
        <v>3298</v>
      </c>
    </row>
    <row r="297" spans="1:11" hidden="1" outlineLevel="2" x14ac:dyDescent="0.35">
      <c r="A297" t="s">
        <v>3115</v>
      </c>
      <c r="B297" s="1">
        <v>45722</v>
      </c>
      <c r="C297" t="str">
        <f>"995"</f>
        <v>995</v>
      </c>
      <c r="D297" t="s">
        <v>3642</v>
      </c>
      <c r="E297" t="str">
        <f>"182253"</f>
        <v>182253</v>
      </c>
      <c r="F297" t="str">
        <f t="shared" si="5"/>
        <v>33130000</v>
      </c>
      <c r="H297" t="s">
        <v>3643</v>
      </c>
      <c r="K297" s="4">
        <v>1649</v>
      </c>
    </row>
    <row r="298" spans="1:11" hidden="1" outlineLevel="2" x14ac:dyDescent="0.35">
      <c r="A298" t="s">
        <v>3115</v>
      </c>
      <c r="B298" s="1">
        <v>45723</v>
      </c>
      <c r="C298" t="str">
        <f>"1080"</f>
        <v>1080</v>
      </c>
      <c r="D298" t="s">
        <v>3812</v>
      </c>
      <c r="E298" t="str">
        <f>"182254"</f>
        <v>182254</v>
      </c>
      <c r="F298" t="str">
        <f t="shared" si="5"/>
        <v>33130000</v>
      </c>
      <c r="H298" t="s">
        <v>3813</v>
      </c>
      <c r="K298" s="4">
        <v>3889</v>
      </c>
    </row>
    <row r="299" spans="1:11" hidden="1" outlineLevel="2" x14ac:dyDescent="0.35">
      <c r="A299" t="s">
        <v>3115</v>
      </c>
      <c r="B299" s="1">
        <v>45723</v>
      </c>
      <c r="C299" t="str">
        <f>"1089"</f>
        <v>1089</v>
      </c>
      <c r="D299" t="s">
        <v>3830</v>
      </c>
      <c r="E299" t="str">
        <f>"182255"</f>
        <v>182255</v>
      </c>
      <c r="F299" t="str">
        <f t="shared" si="5"/>
        <v>33130000</v>
      </c>
      <c r="H299" t="s">
        <v>3831</v>
      </c>
      <c r="K299" s="4">
        <v>6720</v>
      </c>
    </row>
    <row r="300" spans="1:11" hidden="1" outlineLevel="2" x14ac:dyDescent="0.35">
      <c r="A300" t="s">
        <v>3115</v>
      </c>
      <c r="B300" s="1">
        <v>45723</v>
      </c>
      <c r="C300" t="str">
        <f>"1106"</f>
        <v>1106</v>
      </c>
      <c r="D300" t="s">
        <v>3864</v>
      </c>
      <c r="E300" t="str">
        <f>"182197"</f>
        <v>182197</v>
      </c>
      <c r="F300" t="str">
        <f t="shared" si="5"/>
        <v>33130000</v>
      </c>
      <c r="H300" t="s">
        <v>3865</v>
      </c>
      <c r="K300" s="4">
        <v>992</v>
      </c>
    </row>
    <row r="301" spans="1:11" hidden="1" outlineLevel="2" x14ac:dyDescent="0.35">
      <c r="A301" t="s">
        <v>3115</v>
      </c>
      <c r="B301" s="1">
        <v>45723</v>
      </c>
      <c r="C301" t="str">
        <f>"1108"</f>
        <v>1108</v>
      </c>
      <c r="D301" t="s">
        <v>3868</v>
      </c>
      <c r="E301" t="str">
        <f>"182196"</f>
        <v>182196</v>
      </c>
      <c r="F301" t="str">
        <f t="shared" si="5"/>
        <v>33130000</v>
      </c>
      <c r="H301" t="s">
        <v>3869</v>
      </c>
      <c r="K301" s="4">
        <v>3298</v>
      </c>
    </row>
    <row r="302" spans="1:11" hidden="1" outlineLevel="2" x14ac:dyDescent="0.35">
      <c r="A302" t="s">
        <v>3115</v>
      </c>
      <c r="B302" s="1">
        <v>45724</v>
      </c>
      <c r="C302" t="str">
        <f>"1122"</f>
        <v>1122</v>
      </c>
      <c r="D302" t="s">
        <v>3896</v>
      </c>
      <c r="E302" t="str">
        <f>"182256"</f>
        <v>182256</v>
      </c>
      <c r="F302" t="str">
        <f t="shared" si="5"/>
        <v>33130000</v>
      </c>
      <c r="H302" t="s">
        <v>3897</v>
      </c>
      <c r="K302" s="4">
        <v>3889</v>
      </c>
    </row>
    <row r="303" spans="1:11" hidden="1" outlineLevel="2" x14ac:dyDescent="0.35">
      <c r="A303" t="s">
        <v>3115</v>
      </c>
      <c r="B303" s="1">
        <v>45724</v>
      </c>
      <c r="C303" t="str">
        <f>"1123"</f>
        <v>1123</v>
      </c>
      <c r="D303" t="s">
        <v>3898</v>
      </c>
      <c r="E303" t="str">
        <f>"182257"</f>
        <v>182257</v>
      </c>
      <c r="F303" t="str">
        <f t="shared" si="5"/>
        <v>33130000</v>
      </c>
      <c r="H303" t="s">
        <v>3899</v>
      </c>
      <c r="K303" s="4">
        <v>4947</v>
      </c>
    </row>
    <row r="304" spans="1:11" hidden="1" outlineLevel="2" x14ac:dyDescent="0.35">
      <c r="A304" t="s">
        <v>3115</v>
      </c>
      <c r="B304" s="1">
        <v>45724</v>
      </c>
      <c r="C304" t="str">
        <f>"1124"</f>
        <v>1124</v>
      </c>
      <c r="D304" t="s">
        <v>3900</v>
      </c>
      <c r="E304" t="str">
        <f>"182258"</f>
        <v>182258</v>
      </c>
      <c r="F304" t="str">
        <f t="shared" si="5"/>
        <v>33130000</v>
      </c>
      <c r="H304" t="s">
        <v>3901</v>
      </c>
      <c r="K304" s="4">
        <v>8836</v>
      </c>
    </row>
    <row r="305" spans="1:11" hidden="1" outlineLevel="2" x14ac:dyDescent="0.35">
      <c r="A305" t="s">
        <v>3115</v>
      </c>
      <c r="B305" s="1">
        <v>45725</v>
      </c>
      <c r="C305" t="str">
        <f>"1137"</f>
        <v>1137</v>
      </c>
      <c r="D305" t="s">
        <v>3926</v>
      </c>
      <c r="E305" t="str">
        <f>"182259"</f>
        <v>182259</v>
      </c>
      <c r="F305" t="str">
        <f t="shared" si="5"/>
        <v>33130000</v>
      </c>
      <c r="H305" t="s">
        <v>3927</v>
      </c>
      <c r="K305" s="4">
        <v>3889</v>
      </c>
    </row>
    <row r="306" spans="1:11" hidden="1" outlineLevel="2" x14ac:dyDescent="0.35">
      <c r="A306" t="s">
        <v>3115</v>
      </c>
      <c r="B306" s="1">
        <v>45725</v>
      </c>
      <c r="C306" t="str">
        <f>"1138"</f>
        <v>1138</v>
      </c>
      <c r="D306" t="s">
        <v>3928</v>
      </c>
      <c r="E306" t="str">
        <f>"182260"</f>
        <v>182260</v>
      </c>
      <c r="F306" t="str">
        <f t="shared" si="5"/>
        <v>33130000</v>
      </c>
      <c r="H306" t="s">
        <v>3929</v>
      </c>
      <c r="K306" s="4">
        <v>3298</v>
      </c>
    </row>
    <row r="307" spans="1:11" hidden="1" outlineLevel="2" x14ac:dyDescent="0.35">
      <c r="A307" t="s">
        <v>3115</v>
      </c>
      <c r="B307" s="1">
        <v>45726</v>
      </c>
      <c r="C307" t="str">
        <f>"507"</f>
        <v>507</v>
      </c>
      <c r="D307" t="s">
        <v>3934</v>
      </c>
      <c r="E307" t="str">
        <f>"170688"</f>
        <v>170688</v>
      </c>
      <c r="F307" t="str">
        <f t="shared" si="5"/>
        <v>33130000</v>
      </c>
      <c r="H307" t="s">
        <v>3935</v>
      </c>
      <c r="K307" s="4">
        <v>7650</v>
      </c>
    </row>
    <row r="308" spans="1:11" hidden="1" outlineLevel="2" x14ac:dyDescent="0.35">
      <c r="A308" t="s">
        <v>3115</v>
      </c>
      <c r="B308" s="1">
        <v>45726</v>
      </c>
      <c r="C308" t="str">
        <f>"542"</f>
        <v>542</v>
      </c>
      <c r="D308" t="s">
        <v>4004</v>
      </c>
      <c r="E308" t="str">
        <f>"182264"</f>
        <v>182264</v>
      </c>
      <c r="F308" t="str">
        <f t="shared" si="5"/>
        <v>33130000</v>
      </c>
      <c r="H308" t="s">
        <v>4005</v>
      </c>
      <c r="K308" s="4">
        <v>6597</v>
      </c>
    </row>
    <row r="309" spans="1:11" hidden="1" outlineLevel="2" x14ac:dyDescent="0.35">
      <c r="A309" t="s">
        <v>3115</v>
      </c>
      <c r="B309" s="1">
        <v>45726</v>
      </c>
      <c r="C309" t="str">
        <f>"558"</f>
        <v>558</v>
      </c>
      <c r="D309" t="s">
        <v>4036</v>
      </c>
      <c r="E309" t="str">
        <f>"180990"</f>
        <v>180990</v>
      </c>
      <c r="F309" t="str">
        <f t="shared" ref="F309:F340" si="6">"33130000"</f>
        <v>33130000</v>
      </c>
      <c r="H309" t="s">
        <v>4037</v>
      </c>
      <c r="K309" s="4">
        <v>6596</v>
      </c>
    </row>
    <row r="310" spans="1:11" hidden="1" outlineLevel="2" x14ac:dyDescent="0.35">
      <c r="A310" t="s">
        <v>3115</v>
      </c>
      <c r="B310" s="1">
        <v>45727</v>
      </c>
      <c r="C310" t="str">
        <f>"564"</f>
        <v>564</v>
      </c>
      <c r="D310" t="s">
        <v>4048</v>
      </c>
      <c r="E310" t="str">
        <f>"170690"</f>
        <v>170690</v>
      </c>
      <c r="F310" t="str">
        <f t="shared" si="6"/>
        <v>33130000</v>
      </c>
      <c r="H310" t="s">
        <v>4049</v>
      </c>
      <c r="K310" s="4">
        <v>3360</v>
      </c>
    </row>
    <row r="311" spans="1:11" hidden="1" outlineLevel="2" x14ac:dyDescent="0.35">
      <c r="A311" t="s">
        <v>3115</v>
      </c>
      <c r="B311" s="1">
        <v>45727</v>
      </c>
      <c r="C311" t="str">
        <f>"574"</f>
        <v>574</v>
      </c>
      <c r="D311" t="s">
        <v>4068</v>
      </c>
      <c r="E311" t="str">
        <f>"183655"</f>
        <v>183655</v>
      </c>
      <c r="F311" t="str">
        <f t="shared" si="6"/>
        <v>33130000</v>
      </c>
      <c r="H311" t="s">
        <v>4069</v>
      </c>
      <c r="K311" s="4">
        <v>5242</v>
      </c>
    </row>
    <row r="312" spans="1:11" hidden="1" outlineLevel="2" x14ac:dyDescent="0.35">
      <c r="A312" t="s">
        <v>3115</v>
      </c>
      <c r="B312" s="1">
        <v>45727</v>
      </c>
      <c r="C312" t="str">
        <f>"594"</f>
        <v>594</v>
      </c>
      <c r="D312" t="s">
        <v>4108</v>
      </c>
      <c r="E312" t="str">
        <f>"183652"</f>
        <v>183652</v>
      </c>
      <c r="F312" t="str">
        <f t="shared" si="6"/>
        <v>33130000</v>
      </c>
      <c r="H312" t="s">
        <v>4109</v>
      </c>
      <c r="K312" s="4">
        <v>3298</v>
      </c>
    </row>
    <row r="313" spans="1:11" hidden="1" outlineLevel="2" x14ac:dyDescent="0.35">
      <c r="A313" t="s">
        <v>3115</v>
      </c>
      <c r="B313" s="1">
        <v>45727</v>
      </c>
      <c r="C313" t="str">
        <f>"595"</f>
        <v>595</v>
      </c>
      <c r="D313" t="s">
        <v>4110</v>
      </c>
      <c r="E313" t="str">
        <f>"183654"</f>
        <v>183654</v>
      </c>
      <c r="F313" t="str">
        <f t="shared" si="6"/>
        <v>33130000</v>
      </c>
      <c r="H313" t="s">
        <v>4111</v>
      </c>
      <c r="K313" s="4">
        <v>2936</v>
      </c>
    </row>
    <row r="314" spans="1:11" hidden="1" outlineLevel="2" x14ac:dyDescent="0.35">
      <c r="A314" t="s">
        <v>3115</v>
      </c>
      <c r="B314" s="1">
        <v>45728</v>
      </c>
      <c r="C314" t="str">
        <f>"598"</f>
        <v>598</v>
      </c>
      <c r="D314" t="s">
        <v>4116</v>
      </c>
      <c r="E314" t="str">
        <f>"170691"</f>
        <v>170691</v>
      </c>
      <c r="F314" t="str">
        <f t="shared" si="6"/>
        <v>33130000</v>
      </c>
      <c r="H314" t="s">
        <v>4117</v>
      </c>
      <c r="K314" s="4">
        <v>3360</v>
      </c>
    </row>
    <row r="315" spans="1:11" hidden="1" outlineLevel="2" x14ac:dyDescent="0.35">
      <c r="A315" t="s">
        <v>3115</v>
      </c>
      <c r="B315" s="1">
        <v>45728</v>
      </c>
      <c r="C315" t="str">
        <f>"612"</f>
        <v>612</v>
      </c>
      <c r="D315" t="s">
        <v>4144</v>
      </c>
      <c r="E315" t="str">
        <f>"183656"</f>
        <v>183656</v>
      </c>
      <c r="F315" t="str">
        <f t="shared" si="6"/>
        <v>33130000</v>
      </c>
      <c r="H315" t="s">
        <v>4145</v>
      </c>
      <c r="K315" s="4">
        <v>39200</v>
      </c>
    </row>
    <row r="316" spans="1:11" hidden="1" outlineLevel="2" x14ac:dyDescent="0.35">
      <c r="A316" t="s">
        <v>3115</v>
      </c>
      <c r="B316" s="1">
        <v>45728</v>
      </c>
      <c r="C316" t="str">
        <f>"631"</f>
        <v>631</v>
      </c>
      <c r="D316" t="s">
        <v>4182</v>
      </c>
      <c r="E316" t="str">
        <f>"183661"</f>
        <v>183661</v>
      </c>
      <c r="F316" t="str">
        <f t="shared" si="6"/>
        <v>33130000</v>
      </c>
      <c r="H316" t="s">
        <v>4183</v>
      </c>
      <c r="K316" s="4">
        <v>3298</v>
      </c>
    </row>
    <row r="317" spans="1:11" hidden="1" outlineLevel="2" x14ac:dyDescent="0.35">
      <c r="A317" t="s">
        <v>3115</v>
      </c>
      <c r="B317" s="1">
        <v>45728</v>
      </c>
      <c r="C317" t="str">
        <f>"632"</f>
        <v>632</v>
      </c>
      <c r="D317" t="s">
        <v>4184</v>
      </c>
      <c r="E317" t="str">
        <f>"183659"</f>
        <v>183659</v>
      </c>
      <c r="F317" t="str">
        <f t="shared" si="6"/>
        <v>33130000</v>
      </c>
      <c r="H317" t="s">
        <v>4185</v>
      </c>
      <c r="K317" s="4">
        <v>1649</v>
      </c>
    </row>
    <row r="318" spans="1:11" hidden="1" outlineLevel="2" x14ac:dyDescent="0.35">
      <c r="A318" t="s">
        <v>3115</v>
      </c>
      <c r="B318" s="1">
        <v>45728</v>
      </c>
      <c r="C318" t="str">
        <f>"634"</f>
        <v>634</v>
      </c>
      <c r="D318" t="s">
        <v>4188</v>
      </c>
      <c r="E318" t="str">
        <f>"182265"</f>
        <v>182265</v>
      </c>
      <c r="F318" t="str">
        <f t="shared" si="6"/>
        <v>33130000</v>
      </c>
      <c r="H318" t="s">
        <v>4189</v>
      </c>
      <c r="K318" s="4">
        <v>5242</v>
      </c>
    </row>
    <row r="319" spans="1:11" hidden="1" outlineLevel="2" x14ac:dyDescent="0.35">
      <c r="A319" t="s">
        <v>3115</v>
      </c>
      <c r="B319" s="1">
        <v>45728</v>
      </c>
      <c r="C319" t="str">
        <f>"635"</f>
        <v>635</v>
      </c>
      <c r="D319" t="s">
        <v>4190</v>
      </c>
      <c r="E319" t="str">
        <f>"182266"</f>
        <v>182266</v>
      </c>
      <c r="F319" t="str">
        <f t="shared" si="6"/>
        <v>33130000</v>
      </c>
      <c r="H319" t="s">
        <v>4191</v>
      </c>
      <c r="K319" s="4">
        <v>2917</v>
      </c>
    </row>
    <row r="320" spans="1:11" hidden="1" outlineLevel="2" x14ac:dyDescent="0.35">
      <c r="A320" t="s">
        <v>3115</v>
      </c>
      <c r="B320" s="1">
        <v>45729</v>
      </c>
      <c r="C320" t="str">
        <f>"647"</f>
        <v>647</v>
      </c>
      <c r="D320" t="s">
        <v>4214</v>
      </c>
      <c r="E320" t="str">
        <f>"170692"</f>
        <v>170692</v>
      </c>
      <c r="F320" t="str">
        <f t="shared" si="6"/>
        <v>33130000</v>
      </c>
      <c r="H320" t="s">
        <v>4215</v>
      </c>
      <c r="K320" s="4">
        <v>3360</v>
      </c>
    </row>
    <row r="321" spans="1:11" hidden="1" outlineLevel="2" x14ac:dyDescent="0.35">
      <c r="A321" t="s">
        <v>3115</v>
      </c>
      <c r="B321" s="1">
        <v>45729</v>
      </c>
      <c r="C321" t="str">
        <f>"684"</f>
        <v>684</v>
      </c>
      <c r="D321" t="s">
        <v>4288</v>
      </c>
      <c r="E321" t="str">
        <f>"182267"</f>
        <v>182267</v>
      </c>
      <c r="F321" t="str">
        <f t="shared" si="6"/>
        <v>33130000</v>
      </c>
      <c r="H321" t="s">
        <v>4289</v>
      </c>
      <c r="K321" s="4">
        <v>5242</v>
      </c>
    </row>
    <row r="322" spans="1:11" hidden="1" outlineLevel="2" x14ac:dyDescent="0.35">
      <c r="A322" t="s">
        <v>3115</v>
      </c>
      <c r="B322" s="1">
        <v>45729</v>
      </c>
      <c r="C322" t="str">
        <f>"685"</f>
        <v>685</v>
      </c>
      <c r="D322" t="s">
        <v>4290</v>
      </c>
      <c r="E322" t="str">
        <f>"182268"</f>
        <v>182268</v>
      </c>
      <c r="F322" t="str">
        <f t="shared" si="6"/>
        <v>33130000</v>
      </c>
      <c r="H322" t="s">
        <v>4291</v>
      </c>
      <c r="K322" s="4">
        <v>5304</v>
      </c>
    </row>
    <row r="323" spans="1:11" hidden="1" outlineLevel="2" x14ac:dyDescent="0.35">
      <c r="A323" t="s">
        <v>3115</v>
      </c>
      <c r="B323" s="1">
        <v>45730</v>
      </c>
      <c r="C323" t="str">
        <f>"181"</f>
        <v>181</v>
      </c>
      <c r="D323" t="s">
        <v>4328</v>
      </c>
      <c r="E323" t="str">
        <f>"182271"</f>
        <v>182271</v>
      </c>
      <c r="F323" t="str">
        <f t="shared" si="6"/>
        <v>33130000</v>
      </c>
      <c r="H323" t="s">
        <v>4329</v>
      </c>
      <c r="K323" s="4">
        <v>4947</v>
      </c>
    </row>
    <row r="324" spans="1:11" hidden="1" outlineLevel="2" x14ac:dyDescent="0.35">
      <c r="A324" t="s">
        <v>3115</v>
      </c>
      <c r="B324" s="1">
        <v>45730</v>
      </c>
      <c r="C324" t="str">
        <f>"1145"</f>
        <v>1145</v>
      </c>
      <c r="D324" t="s">
        <v>4390</v>
      </c>
      <c r="E324" t="str">
        <f>"183683"</f>
        <v>183683</v>
      </c>
      <c r="F324" t="str">
        <f t="shared" si="6"/>
        <v>33130000</v>
      </c>
      <c r="H324" t="s">
        <v>4391</v>
      </c>
      <c r="K324" s="4">
        <v>3298</v>
      </c>
    </row>
    <row r="325" spans="1:11" hidden="1" outlineLevel="2" x14ac:dyDescent="0.35">
      <c r="A325" t="s">
        <v>3115</v>
      </c>
      <c r="B325" s="1">
        <v>45730</v>
      </c>
      <c r="C325" t="str">
        <f>"1147"</f>
        <v>1147</v>
      </c>
      <c r="D325" t="s">
        <v>4394</v>
      </c>
      <c r="E325" t="str">
        <f>"182269"</f>
        <v>182269</v>
      </c>
      <c r="F325" t="str">
        <f t="shared" si="6"/>
        <v>33130000</v>
      </c>
      <c r="H325" t="s">
        <v>4395</v>
      </c>
      <c r="K325" s="4">
        <v>5242</v>
      </c>
    </row>
    <row r="326" spans="1:11" hidden="1" outlineLevel="2" x14ac:dyDescent="0.35">
      <c r="A326" t="s">
        <v>3115</v>
      </c>
      <c r="B326" s="1">
        <v>45730</v>
      </c>
      <c r="C326" t="str">
        <f>"1148"</f>
        <v>1148</v>
      </c>
      <c r="D326" t="s">
        <v>4396</v>
      </c>
      <c r="E326" t="str">
        <f>"182270"</f>
        <v>182270</v>
      </c>
      <c r="F326" t="str">
        <f t="shared" si="6"/>
        <v>33130000</v>
      </c>
      <c r="H326" t="s">
        <v>4397</v>
      </c>
      <c r="K326" s="4">
        <v>10018</v>
      </c>
    </row>
    <row r="327" spans="1:11" hidden="1" outlineLevel="2" x14ac:dyDescent="0.35">
      <c r="A327" t="s">
        <v>3115</v>
      </c>
      <c r="B327" s="1">
        <v>45731</v>
      </c>
      <c r="C327" t="str">
        <f>"767"</f>
        <v>767</v>
      </c>
      <c r="D327" t="s">
        <v>4428</v>
      </c>
      <c r="E327" t="str">
        <f>"181247"</f>
        <v>181247</v>
      </c>
      <c r="F327" t="str">
        <f t="shared" si="6"/>
        <v>33130000</v>
      </c>
      <c r="H327" t="s">
        <v>4429</v>
      </c>
      <c r="K327" s="4">
        <v>1649</v>
      </c>
    </row>
    <row r="328" spans="1:11" hidden="1" outlineLevel="2" x14ac:dyDescent="0.35">
      <c r="A328" t="s">
        <v>3115</v>
      </c>
      <c r="B328" s="1">
        <v>45732</v>
      </c>
      <c r="C328" t="str">
        <f>"755"</f>
        <v>755</v>
      </c>
      <c r="D328" t="s">
        <v>4442</v>
      </c>
      <c r="E328" t="str">
        <f>"182272"</f>
        <v>182272</v>
      </c>
      <c r="F328" t="str">
        <f t="shared" si="6"/>
        <v>33130000</v>
      </c>
      <c r="H328" t="s">
        <v>4443</v>
      </c>
      <c r="K328" s="4">
        <v>3889</v>
      </c>
    </row>
    <row r="329" spans="1:11" hidden="1" outlineLevel="2" x14ac:dyDescent="0.35">
      <c r="A329" t="s">
        <v>3115</v>
      </c>
      <c r="B329" s="1">
        <v>45733</v>
      </c>
      <c r="C329" t="str">
        <f>"705"</f>
        <v>705</v>
      </c>
      <c r="D329" t="s">
        <v>4472</v>
      </c>
      <c r="E329" t="str">
        <f>"183685"</f>
        <v>183685</v>
      </c>
      <c r="F329" t="str">
        <f t="shared" si="6"/>
        <v>33130000</v>
      </c>
      <c r="H329" t="s">
        <v>4473</v>
      </c>
      <c r="K329" s="4">
        <v>992</v>
      </c>
    </row>
    <row r="330" spans="1:11" hidden="1" outlineLevel="2" x14ac:dyDescent="0.35">
      <c r="A330" t="s">
        <v>3115</v>
      </c>
      <c r="B330" s="1">
        <v>45733</v>
      </c>
      <c r="C330" t="str">
        <f>"712"</f>
        <v>712</v>
      </c>
      <c r="D330" t="s">
        <v>4486</v>
      </c>
      <c r="E330" t="str">
        <f>"181249"</f>
        <v>181249</v>
      </c>
      <c r="F330" t="str">
        <f t="shared" si="6"/>
        <v>33130000</v>
      </c>
      <c r="H330" t="s">
        <v>4487</v>
      </c>
      <c r="K330" s="4">
        <v>1649</v>
      </c>
    </row>
    <row r="331" spans="1:11" hidden="1" outlineLevel="2" x14ac:dyDescent="0.35">
      <c r="A331" t="s">
        <v>3115</v>
      </c>
      <c r="B331" s="1">
        <v>45733</v>
      </c>
      <c r="C331" t="str">
        <f>"713"</f>
        <v>713</v>
      </c>
      <c r="D331" t="s">
        <v>4488</v>
      </c>
      <c r="E331" t="str">
        <f>"182273"</f>
        <v>182273</v>
      </c>
      <c r="F331" t="str">
        <f t="shared" si="6"/>
        <v>33130000</v>
      </c>
      <c r="H331" t="s">
        <v>4489</v>
      </c>
      <c r="K331" s="4">
        <v>2917</v>
      </c>
    </row>
    <row r="332" spans="1:11" hidden="1" outlineLevel="2" x14ac:dyDescent="0.35">
      <c r="A332" t="s">
        <v>3115</v>
      </c>
      <c r="B332" s="1">
        <v>45733</v>
      </c>
      <c r="C332" t="str">
        <f>"714"</f>
        <v>714</v>
      </c>
      <c r="D332" t="s">
        <v>4490</v>
      </c>
      <c r="E332" t="str">
        <f>"182274"</f>
        <v>182274</v>
      </c>
      <c r="F332" t="str">
        <f t="shared" si="6"/>
        <v>33130000</v>
      </c>
      <c r="H332" t="s">
        <v>4491</v>
      </c>
      <c r="K332" s="4">
        <v>4947</v>
      </c>
    </row>
    <row r="333" spans="1:11" hidden="1" outlineLevel="2" x14ac:dyDescent="0.35">
      <c r="A333" t="s">
        <v>3115</v>
      </c>
      <c r="B333" s="1">
        <v>45733</v>
      </c>
      <c r="C333" t="str">
        <f>"715"</f>
        <v>715</v>
      </c>
      <c r="D333" t="s">
        <v>4492</v>
      </c>
      <c r="E333" t="str">
        <f>"181248"</f>
        <v>181248</v>
      </c>
      <c r="F333" t="str">
        <f t="shared" si="6"/>
        <v>33130000</v>
      </c>
      <c r="H333" t="s">
        <v>4493</v>
      </c>
      <c r="K333" s="4">
        <v>1649</v>
      </c>
    </row>
    <row r="334" spans="1:11" hidden="1" outlineLevel="2" x14ac:dyDescent="0.35">
      <c r="A334" t="s">
        <v>3115</v>
      </c>
      <c r="B334" s="1">
        <v>45733</v>
      </c>
      <c r="C334" t="str">
        <f>"716"</f>
        <v>716</v>
      </c>
      <c r="D334" t="s">
        <v>4494</v>
      </c>
      <c r="E334" t="str">
        <f>"182275"</f>
        <v>182275</v>
      </c>
      <c r="F334" t="str">
        <f t="shared" si="6"/>
        <v>33130000</v>
      </c>
      <c r="H334" t="s">
        <v>4495</v>
      </c>
      <c r="K334" s="4">
        <v>2917</v>
      </c>
    </row>
    <row r="335" spans="1:11" hidden="1" outlineLevel="2" x14ac:dyDescent="0.35">
      <c r="A335" t="s">
        <v>3115</v>
      </c>
      <c r="B335" s="1">
        <v>45733</v>
      </c>
      <c r="C335" t="str">
        <f>"722"</f>
        <v>722</v>
      </c>
      <c r="D335" t="s">
        <v>4506</v>
      </c>
      <c r="E335" t="str">
        <f>"183687"</f>
        <v>183687</v>
      </c>
      <c r="F335" t="str">
        <f t="shared" si="6"/>
        <v>33130000</v>
      </c>
      <c r="H335" t="s">
        <v>4507</v>
      </c>
      <c r="K335" s="4">
        <v>3298</v>
      </c>
    </row>
    <row r="336" spans="1:11" hidden="1" outlineLevel="2" x14ac:dyDescent="0.35">
      <c r="A336" t="s">
        <v>3115</v>
      </c>
      <c r="B336" s="1">
        <v>45733</v>
      </c>
      <c r="C336" t="str">
        <f>"723"</f>
        <v>723</v>
      </c>
      <c r="D336" t="s">
        <v>4508</v>
      </c>
      <c r="E336" t="str">
        <f>"183688"</f>
        <v>183688</v>
      </c>
      <c r="F336" t="str">
        <f t="shared" si="6"/>
        <v>33130000</v>
      </c>
      <c r="H336" t="s">
        <v>4509</v>
      </c>
      <c r="K336" s="4">
        <v>3298</v>
      </c>
    </row>
    <row r="337" spans="1:11" hidden="1" outlineLevel="2" x14ac:dyDescent="0.35">
      <c r="A337" t="s">
        <v>3115</v>
      </c>
      <c r="B337" s="1">
        <v>45734</v>
      </c>
      <c r="C337" t="str">
        <f>"460"</f>
        <v>460</v>
      </c>
      <c r="D337" t="s">
        <v>4588</v>
      </c>
      <c r="E337" t="str">
        <f>"183692"</f>
        <v>183692</v>
      </c>
      <c r="F337" t="str">
        <f t="shared" si="6"/>
        <v>33130000</v>
      </c>
      <c r="H337" t="s">
        <v>4589</v>
      </c>
      <c r="K337" s="4">
        <v>3298</v>
      </c>
    </row>
    <row r="338" spans="1:11" hidden="1" outlineLevel="2" x14ac:dyDescent="0.35">
      <c r="A338" t="s">
        <v>3115</v>
      </c>
      <c r="B338" s="1">
        <v>45734</v>
      </c>
      <c r="C338" t="str">
        <f>"461"</f>
        <v>461</v>
      </c>
      <c r="D338" t="s">
        <v>4590</v>
      </c>
      <c r="E338" t="str">
        <f>"183690"</f>
        <v>183690</v>
      </c>
      <c r="F338" t="str">
        <f t="shared" si="6"/>
        <v>33130000</v>
      </c>
      <c r="H338" t="s">
        <v>4591</v>
      </c>
      <c r="K338" s="4">
        <v>3298</v>
      </c>
    </row>
    <row r="339" spans="1:11" hidden="1" outlineLevel="2" x14ac:dyDescent="0.35">
      <c r="A339" t="s">
        <v>3115</v>
      </c>
      <c r="B339" s="1">
        <v>45734</v>
      </c>
      <c r="C339" t="str">
        <f>"462"</f>
        <v>462</v>
      </c>
      <c r="D339" t="s">
        <v>4592</v>
      </c>
      <c r="E339" t="str">
        <f>"183691"</f>
        <v>183691</v>
      </c>
      <c r="F339" t="str">
        <f t="shared" si="6"/>
        <v>33130000</v>
      </c>
      <c r="H339" t="s">
        <v>4593</v>
      </c>
      <c r="K339" s="4">
        <v>33600</v>
      </c>
    </row>
    <row r="340" spans="1:11" hidden="1" outlineLevel="2" x14ac:dyDescent="0.35">
      <c r="A340" t="s">
        <v>3115</v>
      </c>
      <c r="B340" s="1">
        <v>45735</v>
      </c>
      <c r="C340" t="str">
        <f>"350"</f>
        <v>350</v>
      </c>
      <c r="D340" t="s">
        <v>4662</v>
      </c>
      <c r="E340" t="str">
        <f>"182281"</f>
        <v>182281</v>
      </c>
      <c r="F340" t="str">
        <f t="shared" si="6"/>
        <v>33130000</v>
      </c>
      <c r="H340" t="s">
        <v>4663</v>
      </c>
      <c r="K340" s="4">
        <v>1944</v>
      </c>
    </row>
    <row r="341" spans="1:11" hidden="1" outlineLevel="2" x14ac:dyDescent="0.35">
      <c r="A341" t="s">
        <v>3115</v>
      </c>
      <c r="B341" s="1">
        <v>45735</v>
      </c>
      <c r="C341" t="str">
        <f>"351"</f>
        <v>351</v>
      </c>
      <c r="D341" t="s">
        <v>4664</v>
      </c>
      <c r="E341" t="str">
        <f>"182282"</f>
        <v>182282</v>
      </c>
      <c r="F341" t="str">
        <f t="shared" ref="F341:F370" si="7">"33130000"</f>
        <v>33130000</v>
      </c>
      <c r="H341" t="s">
        <v>4665</v>
      </c>
      <c r="K341" s="4">
        <v>1944</v>
      </c>
    </row>
    <row r="342" spans="1:11" hidden="1" outlineLevel="2" x14ac:dyDescent="0.35">
      <c r="A342" t="s">
        <v>3115</v>
      </c>
      <c r="B342" s="1">
        <v>45735</v>
      </c>
      <c r="C342" t="str">
        <f>"356"</f>
        <v>356</v>
      </c>
      <c r="D342" t="s">
        <v>4674</v>
      </c>
      <c r="E342" t="str">
        <f>"183696"</f>
        <v>183696</v>
      </c>
      <c r="F342" t="str">
        <f t="shared" si="7"/>
        <v>33130000</v>
      </c>
      <c r="H342" t="s">
        <v>4675</v>
      </c>
      <c r="K342" s="4">
        <v>992</v>
      </c>
    </row>
    <row r="343" spans="1:11" hidden="1" outlineLevel="2" x14ac:dyDescent="0.35">
      <c r="A343" t="s">
        <v>3115</v>
      </c>
      <c r="B343" s="1">
        <v>45735</v>
      </c>
      <c r="C343" t="str">
        <f>"357"</f>
        <v>357</v>
      </c>
      <c r="D343" t="s">
        <v>4676</v>
      </c>
      <c r="E343" t="str">
        <f>"183695"</f>
        <v>183695</v>
      </c>
      <c r="F343" t="str">
        <f t="shared" si="7"/>
        <v>33130000</v>
      </c>
      <c r="H343" t="s">
        <v>4677</v>
      </c>
      <c r="K343" s="4">
        <v>1649</v>
      </c>
    </row>
    <row r="344" spans="1:11" hidden="1" outlineLevel="2" x14ac:dyDescent="0.35">
      <c r="A344" t="s">
        <v>3115</v>
      </c>
      <c r="B344" s="1">
        <v>45735</v>
      </c>
      <c r="C344" t="str">
        <f>"388"</f>
        <v>388</v>
      </c>
      <c r="D344" t="s">
        <v>4738</v>
      </c>
      <c r="E344" t="str">
        <f>"182277"</f>
        <v>182277</v>
      </c>
      <c r="F344" t="str">
        <f t="shared" si="7"/>
        <v>33130000</v>
      </c>
      <c r="H344" t="s">
        <v>4739</v>
      </c>
      <c r="K344" s="4">
        <v>2917</v>
      </c>
    </row>
    <row r="345" spans="1:11" hidden="1" outlineLevel="2" x14ac:dyDescent="0.35">
      <c r="A345" t="s">
        <v>3115</v>
      </c>
      <c r="B345" s="1">
        <v>45735</v>
      </c>
      <c r="C345" t="str">
        <f>"390"</f>
        <v>390</v>
      </c>
      <c r="D345" t="s">
        <v>4742</v>
      </c>
      <c r="E345" t="str">
        <f>"182278"</f>
        <v>182278</v>
      </c>
      <c r="F345" t="str">
        <f t="shared" si="7"/>
        <v>33130000</v>
      </c>
      <c r="H345" t="s">
        <v>4743</v>
      </c>
      <c r="K345" s="4">
        <v>1944</v>
      </c>
    </row>
    <row r="346" spans="1:11" hidden="1" outlineLevel="2" x14ac:dyDescent="0.35">
      <c r="A346" t="s">
        <v>3115</v>
      </c>
      <c r="B346" s="1">
        <v>45735</v>
      </c>
      <c r="C346" t="str">
        <f>"391"</f>
        <v>391</v>
      </c>
      <c r="D346" t="s">
        <v>4744</v>
      </c>
      <c r="E346" t="str">
        <f>"182279"</f>
        <v>182279</v>
      </c>
      <c r="F346" t="str">
        <f t="shared" si="7"/>
        <v>33130000</v>
      </c>
      <c r="H346" t="s">
        <v>4745</v>
      </c>
      <c r="K346" s="4">
        <v>4947</v>
      </c>
    </row>
    <row r="347" spans="1:11" hidden="1" outlineLevel="2" x14ac:dyDescent="0.35">
      <c r="A347" t="s">
        <v>3115</v>
      </c>
      <c r="B347" s="1">
        <v>45735</v>
      </c>
      <c r="C347" t="str">
        <f>"393"</f>
        <v>393</v>
      </c>
      <c r="D347" t="s">
        <v>4748</v>
      </c>
      <c r="E347" t="str">
        <f>"182280"</f>
        <v>182280</v>
      </c>
      <c r="F347" t="str">
        <f t="shared" si="7"/>
        <v>33130000</v>
      </c>
      <c r="H347" t="s">
        <v>4749</v>
      </c>
      <c r="K347" s="4">
        <v>1944</v>
      </c>
    </row>
    <row r="348" spans="1:11" hidden="1" outlineLevel="2" x14ac:dyDescent="0.35">
      <c r="A348" t="s">
        <v>3115</v>
      </c>
      <c r="B348" s="1">
        <v>45736</v>
      </c>
      <c r="C348" t="str">
        <f>"326"</f>
        <v>326</v>
      </c>
      <c r="D348" t="s">
        <v>4858</v>
      </c>
      <c r="E348" t="str">
        <f>"182283"</f>
        <v>182283</v>
      </c>
      <c r="F348" t="str">
        <f t="shared" si="7"/>
        <v>33130000</v>
      </c>
      <c r="H348" t="s">
        <v>4859</v>
      </c>
      <c r="K348" s="4">
        <v>6597</v>
      </c>
    </row>
    <row r="349" spans="1:11" hidden="1" outlineLevel="2" x14ac:dyDescent="0.35">
      <c r="A349" t="s">
        <v>3115</v>
      </c>
      <c r="B349" s="1">
        <v>45736</v>
      </c>
      <c r="C349" t="str">
        <f>"327"</f>
        <v>327</v>
      </c>
      <c r="D349" t="s">
        <v>4860</v>
      </c>
      <c r="E349" t="str">
        <f>"182284"</f>
        <v>182284</v>
      </c>
      <c r="F349" t="str">
        <f t="shared" si="7"/>
        <v>33130000</v>
      </c>
      <c r="H349" t="s">
        <v>4861</v>
      </c>
      <c r="K349" s="4">
        <v>3889</v>
      </c>
    </row>
    <row r="350" spans="1:11" hidden="1" outlineLevel="2" x14ac:dyDescent="0.35">
      <c r="A350" t="s">
        <v>3115</v>
      </c>
      <c r="B350" s="1">
        <v>45736</v>
      </c>
      <c r="C350" t="str">
        <f>"332"</f>
        <v>332</v>
      </c>
      <c r="D350" t="s">
        <v>4870</v>
      </c>
      <c r="E350" t="str">
        <f>"183699"</f>
        <v>183699</v>
      </c>
      <c r="F350" t="str">
        <f t="shared" si="7"/>
        <v>33130000</v>
      </c>
      <c r="H350" t="s">
        <v>4871</v>
      </c>
      <c r="K350" s="4">
        <v>3298</v>
      </c>
    </row>
    <row r="351" spans="1:11" hidden="1" outlineLevel="2" x14ac:dyDescent="0.35">
      <c r="A351" t="s">
        <v>3115</v>
      </c>
      <c r="B351" s="1">
        <v>45736</v>
      </c>
      <c r="C351" t="str">
        <f>"337"</f>
        <v>337</v>
      </c>
      <c r="D351" t="s">
        <v>4880</v>
      </c>
      <c r="E351" t="str">
        <f>"147303"</f>
        <v>147303</v>
      </c>
      <c r="F351" t="str">
        <f t="shared" si="7"/>
        <v>33130000</v>
      </c>
      <c r="H351" t="s">
        <v>4881</v>
      </c>
      <c r="K351" s="4">
        <v>11010</v>
      </c>
    </row>
    <row r="352" spans="1:11" hidden="1" outlineLevel="2" x14ac:dyDescent="0.35">
      <c r="A352" t="s">
        <v>3115</v>
      </c>
      <c r="B352" s="1">
        <v>45737</v>
      </c>
      <c r="C352" t="str">
        <f>"278"</f>
        <v>278</v>
      </c>
      <c r="D352" t="s">
        <v>4996</v>
      </c>
      <c r="E352" t="str">
        <f>"183700"</f>
        <v>183700</v>
      </c>
      <c r="F352" t="str">
        <f t="shared" si="7"/>
        <v>33130000</v>
      </c>
      <c r="H352" t="s">
        <v>4997</v>
      </c>
      <c r="K352" s="4">
        <v>13892</v>
      </c>
    </row>
    <row r="353" spans="1:11" hidden="1" outlineLevel="2" x14ac:dyDescent="0.35">
      <c r="A353" t="s">
        <v>3115</v>
      </c>
      <c r="B353" s="1">
        <v>45737</v>
      </c>
      <c r="C353" t="str">
        <f>"284"</f>
        <v>284</v>
      </c>
      <c r="D353" t="s">
        <v>5008</v>
      </c>
      <c r="E353" t="str">
        <f>"181222"</f>
        <v>181222</v>
      </c>
      <c r="F353" t="str">
        <f t="shared" si="7"/>
        <v>33130000</v>
      </c>
      <c r="H353" t="s">
        <v>5009</v>
      </c>
      <c r="K353" s="4">
        <v>1649</v>
      </c>
    </row>
    <row r="354" spans="1:11" hidden="1" outlineLevel="2" x14ac:dyDescent="0.35">
      <c r="A354" t="s">
        <v>3115</v>
      </c>
      <c r="B354" s="1">
        <v>45737</v>
      </c>
      <c r="C354" t="str">
        <f>"290"</f>
        <v>290</v>
      </c>
      <c r="D354" t="s">
        <v>5020</v>
      </c>
      <c r="E354" t="str">
        <f>"184651"</f>
        <v>184651</v>
      </c>
      <c r="F354" t="str">
        <f t="shared" si="7"/>
        <v>33130000</v>
      </c>
      <c r="H354" t="s">
        <v>5021</v>
      </c>
      <c r="K354" s="4">
        <v>3298</v>
      </c>
    </row>
    <row r="355" spans="1:11" hidden="1" outlineLevel="2" x14ac:dyDescent="0.35">
      <c r="A355" t="s">
        <v>3115</v>
      </c>
      <c r="B355" s="1">
        <v>45738</v>
      </c>
      <c r="C355" t="str">
        <f>"275"</f>
        <v>275</v>
      </c>
      <c r="D355" t="s">
        <v>5054</v>
      </c>
      <c r="E355" t="str">
        <f>"181301"</f>
        <v>181301</v>
      </c>
      <c r="F355" t="str">
        <f t="shared" si="7"/>
        <v>33130000</v>
      </c>
      <c r="H355" t="s">
        <v>5055</v>
      </c>
      <c r="K355" s="4">
        <v>1649</v>
      </c>
    </row>
    <row r="356" spans="1:11" hidden="1" outlineLevel="2" x14ac:dyDescent="0.35">
      <c r="A356" t="s">
        <v>3115</v>
      </c>
      <c r="B356" s="1">
        <v>45740</v>
      </c>
      <c r="C356" t="str">
        <f>"234"</f>
        <v>234</v>
      </c>
      <c r="D356" t="s">
        <v>5112</v>
      </c>
      <c r="E356" t="str">
        <f>"182285"</f>
        <v>182285</v>
      </c>
      <c r="F356" t="str">
        <f t="shared" si="7"/>
        <v>33130000</v>
      </c>
      <c r="H356" t="s">
        <v>5113</v>
      </c>
      <c r="K356" s="4">
        <v>1944</v>
      </c>
    </row>
    <row r="357" spans="1:11" hidden="1" outlineLevel="2" x14ac:dyDescent="0.35">
      <c r="A357" t="s">
        <v>3115</v>
      </c>
      <c r="B357" s="1">
        <v>45740</v>
      </c>
      <c r="C357" t="str">
        <f>"236"</f>
        <v>236</v>
      </c>
      <c r="D357" t="s">
        <v>5116</v>
      </c>
      <c r="E357" t="str">
        <f>"184659"</f>
        <v>184659</v>
      </c>
      <c r="F357" t="str">
        <f t="shared" si="7"/>
        <v>33130000</v>
      </c>
      <c r="H357" t="s">
        <v>5117</v>
      </c>
      <c r="K357" s="4">
        <v>4290</v>
      </c>
    </row>
    <row r="358" spans="1:11" hidden="1" outlineLevel="2" x14ac:dyDescent="0.35">
      <c r="A358" t="s">
        <v>3115</v>
      </c>
      <c r="B358" s="1">
        <v>45740</v>
      </c>
      <c r="C358" t="str">
        <f>"237"</f>
        <v>237</v>
      </c>
      <c r="D358" t="s">
        <v>5118</v>
      </c>
      <c r="E358" t="str">
        <f>"184658"</f>
        <v>184658</v>
      </c>
      <c r="F358" t="str">
        <f t="shared" si="7"/>
        <v>33130000</v>
      </c>
      <c r="H358" t="s">
        <v>5119</v>
      </c>
      <c r="K358" s="4">
        <v>33600</v>
      </c>
    </row>
    <row r="359" spans="1:11" hidden="1" outlineLevel="2" x14ac:dyDescent="0.35">
      <c r="A359" t="s">
        <v>3115</v>
      </c>
      <c r="B359" s="1">
        <v>45740</v>
      </c>
      <c r="C359" t="str">
        <f>"238"</f>
        <v>238</v>
      </c>
      <c r="D359" t="s">
        <v>5120</v>
      </c>
      <c r="E359" t="str">
        <f>"184657"</f>
        <v>184657</v>
      </c>
      <c r="F359" t="str">
        <f t="shared" si="7"/>
        <v>33130000</v>
      </c>
      <c r="H359" t="s">
        <v>5121</v>
      </c>
      <c r="K359" s="4">
        <v>3298</v>
      </c>
    </row>
    <row r="360" spans="1:11" hidden="1" outlineLevel="2" x14ac:dyDescent="0.35">
      <c r="A360" t="s">
        <v>3115</v>
      </c>
      <c r="B360" s="1">
        <v>45740</v>
      </c>
      <c r="C360" t="str">
        <f>"240"</f>
        <v>240</v>
      </c>
      <c r="D360" t="s">
        <v>5124</v>
      </c>
      <c r="E360" t="str">
        <f>"184653"</f>
        <v>184653</v>
      </c>
      <c r="F360" t="str">
        <f t="shared" si="7"/>
        <v>33130000</v>
      </c>
      <c r="H360" t="s">
        <v>5125</v>
      </c>
      <c r="K360" s="4">
        <v>3298</v>
      </c>
    </row>
    <row r="361" spans="1:11" hidden="1" outlineLevel="2" x14ac:dyDescent="0.35">
      <c r="A361" t="s">
        <v>3115</v>
      </c>
      <c r="B361" s="1">
        <v>45740</v>
      </c>
      <c r="C361" t="str">
        <f>"243"</f>
        <v>243</v>
      </c>
      <c r="D361" t="s">
        <v>5130</v>
      </c>
      <c r="E361" t="str">
        <f>"184655"</f>
        <v>184655</v>
      </c>
      <c r="F361" t="str">
        <f t="shared" si="7"/>
        <v>33130000</v>
      </c>
      <c r="H361" t="s">
        <v>5131</v>
      </c>
      <c r="K361" s="4">
        <v>1649</v>
      </c>
    </row>
    <row r="362" spans="1:11" hidden="1" outlineLevel="2" x14ac:dyDescent="0.35">
      <c r="A362" t="s">
        <v>3115</v>
      </c>
      <c r="B362" s="1">
        <v>45741</v>
      </c>
      <c r="C362" t="str">
        <f>"58"</f>
        <v>58</v>
      </c>
      <c r="D362" t="s">
        <v>5242</v>
      </c>
      <c r="E362" t="str">
        <f>"184661"</f>
        <v>184661</v>
      </c>
      <c r="F362" t="str">
        <f t="shared" si="7"/>
        <v>33130000</v>
      </c>
      <c r="H362" t="s">
        <v>5243</v>
      </c>
      <c r="K362" s="4">
        <v>1649</v>
      </c>
    </row>
    <row r="363" spans="1:11" hidden="1" outlineLevel="2" x14ac:dyDescent="0.35">
      <c r="A363" t="s">
        <v>3115</v>
      </c>
      <c r="B363" s="1">
        <v>45741</v>
      </c>
      <c r="C363" t="str">
        <f>"59"</f>
        <v>59</v>
      </c>
      <c r="D363" t="s">
        <v>5244</v>
      </c>
      <c r="E363" t="str">
        <f>"184660"</f>
        <v>184660</v>
      </c>
      <c r="F363" t="str">
        <f t="shared" si="7"/>
        <v>33130000</v>
      </c>
      <c r="H363" t="s">
        <v>5245</v>
      </c>
      <c r="K363" s="4">
        <v>3298</v>
      </c>
    </row>
    <row r="364" spans="1:11" hidden="1" outlineLevel="2" x14ac:dyDescent="0.35">
      <c r="A364" t="s">
        <v>3115</v>
      </c>
      <c r="B364" s="1">
        <v>45741</v>
      </c>
      <c r="C364" t="str">
        <f>"61"</f>
        <v>61</v>
      </c>
      <c r="D364" t="s">
        <v>5248</v>
      </c>
      <c r="E364" t="str">
        <f>"182286"</f>
        <v>182286</v>
      </c>
      <c r="F364" t="str">
        <f t="shared" si="7"/>
        <v>33130000</v>
      </c>
      <c r="H364" t="s">
        <v>5249</v>
      </c>
      <c r="K364" s="4">
        <v>4947</v>
      </c>
    </row>
    <row r="365" spans="1:11" hidden="1" outlineLevel="2" x14ac:dyDescent="0.35">
      <c r="A365" t="s">
        <v>3115</v>
      </c>
      <c r="B365" s="1">
        <v>45741</v>
      </c>
      <c r="C365" t="str">
        <f>"62"</f>
        <v>62</v>
      </c>
      <c r="D365" t="s">
        <v>5250</v>
      </c>
      <c r="E365" t="str">
        <f>"182287"</f>
        <v>182287</v>
      </c>
      <c r="F365" t="str">
        <f t="shared" si="7"/>
        <v>33130000</v>
      </c>
      <c r="H365" t="s">
        <v>5251</v>
      </c>
      <c r="K365" s="4">
        <v>2917</v>
      </c>
    </row>
    <row r="366" spans="1:11" hidden="1" outlineLevel="2" x14ac:dyDescent="0.35">
      <c r="A366" t="s">
        <v>3115</v>
      </c>
      <c r="B366" s="1">
        <v>45741</v>
      </c>
      <c r="C366" t="str">
        <f>"67"</f>
        <v>67</v>
      </c>
      <c r="D366" t="s">
        <v>5260</v>
      </c>
      <c r="E366" t="str">
        <f>"182288"</f>
        <v>182288</v>
      </c>
      <c r="F366" t="str">
        <f t="shared" si="7"/>
        <v>33130000</v>
      </c>
      <c r="H366" t="s">
        <v>5261</v>
      </c>
      <c r="K366" s="4">
        <v>13440</v>
      </c>
    </row>
    <row r="367" spans="1:11" hidden="1" outlineLevel="2" x14ac:dyDescent="0.35">
      <c r="A367" t="s">
        <v>3115</v>
      </c>
      <c r="B367" s="1">
        <v>45742</v>
      </c>
      <c r="C367" t="str">
        <f>"131"</f>
        <v>131</v>
      </c>
      <c r="D367" t="s">
        <v>5388</v>
      </c>
      <c r="E367" t="str">
        <f>"184662"</f>
        <v>184662</v>
      </c>
      <c r="F367" t="str">
        <f t="shared" si="7"/>
        <v>33130000</v>
      </c>
      <c r="H367" t="s">
        <v>5389</v>
      </c>
      <c r="K367" s="4">
        <v>3298</v>
      </c>
    </row>
    <row r="368" spans="1:11" hidden="1" outlineLevel="2" x14ac:dyDescent="0.35">
      <c r="A368" t="s">
        <v>3115</v>
      </c>
      <c r="B368" s="1">
        <v>45742</v>
      </c>
      <c r="C368" t="str">
        <f>"137"</f>
        <v>137</v>
      </c>
      <c r="D368" t="s">
        <v>5400</v>
      </c>
      <c r="E368" t="str">
        <f>"184663"</f>
        <v>184663</v>
      </c>
      <c r="F368" t="str">
        <f t="shared" si="7"/>
        <v>33130000</v>
      </c>
      <c r="H368" t="s">
        <v>5401</v>
      </c>
      <c r="K368" s="4">
        <v>3298</v>
      </c>
    </row>
    <row r="369" spans="1:11" hidden="1" outlineLevel="2" x14ac:dyDescent="0.35">
      <c r="A369" t="s">
        <v>3115</v>
      </c>
      <c r="B369" s="1">
        <v>45744</v>
      </c>
      <c r="C369" t="str">
        <f>"157"</f>
        <v>157</v>
      </c>
      <c r="D369" t="s">
        <v>5470</v>
      </c>
      <c r="E369" t="str">
        <f>"184666"</f>
        <v>184666</v>
      </c>
      <c r="F369" t="str">
        <f t="shared" si="7"/>
        <v>33130000</v>
      </c>
      <c r="H369" t="s">
        <v>5471</v>
      </c>
      <c r="K369" s="4">
        <v>2641</v>
      </c>
    </row>
    <row r="370" spans="1:11" hidden="1" outlineLevel="2" x14ac:dyDescent="0.35">
      <c r="A370" t="s">
        <v>3115</v>
      </c>
      <c r="B370" s="1">
        <v>45744</v>
      </c>
      <c r="C370" t="str">
        <f>"165"</f>
        <v>165</v>
      </c>
      <c r="D370" t="s">
        <v>5486</v>
      </c>
      <c r="E370" t="str">
        <f>"184667"</f>
        <v>184667</v>
      </c>
      <c r="F370" t="str">
        <f t="shared" si="7"/>
        <v>33130000</v>
      </c>
      <c r="H370" t="s">
        <v>5487</v>
      </c>
      <c r="K370" s="4">
        <v>992</v>
      </c>
    </row>
    <row r="371" spans="1:11" outlineLevel="1" collapsed="1" x14ac:dyDescent="0.35">
      <c r="B371" s="1"/>
      <c r="F371" s="3" t="s">
        <v>6526</v>
      </c>
      <c r="J371" s="4">
        <f>SUBTOTAL(9,J245:J370)</f>
        <v>34972599</v>
      </c>
      <c r="K371" s="4">
        <f>SUBTOTAL(9,K245:K370)</f>
        <v>19388823</v>
      </c>
    </row>
    <row r="372" spans="1:11" hidden="1" outlineLevel="2" x14ac:dyDescent="0.35">
      <c r="A372" t="s">
        <v>354</v>
      </c>
      <c r="B372" s="1">
        <v>45719</v>
      </c>
      <c r="C372" t="str">
        <f>"486"</f>
        <v>486</v>
      </c>
      <c r="D372" t="s">
        <v>361</v>
      </c>
      <c r="E372" t="s">
        <v>362</v>
      </c>
      <c r="F372" t="str">
        <f t="shared" ref="F372:F435" si="8">"33140000"</f>
        <v>33140000</v>
      </c>
      <c r="H372" t="s">
        <v>363</v>
      </c>
      <c r="J372" s="4">
        <v>15000</v>
      </c>
    </row>
    <row r="373" spans="1:11" hidden="1" outlineLevel="2" x14ac:dyDescent="0.35">
      <c r="A373" t="s">
        <v>354</v>
      </c>
      <c r="B373" s="1">
        <v>45719</v>
      </c>
      <c r="C373" t="str">
        <f>"490"</f>
        <v>490</v>
      </c>
      <c r="D373" t="s">
        <v>370</v>
      </c>
      <c r="E373" t="s">
        <v>371</v>
      </c>
      <c r="F373" t="str">
        <f t="shared" si="8"/>
        <v>33140000</v>
      </c>
      <c r="H373" t="s">
        <v>372</v>
      </c>
      <c r="J373" s="4">
        <v>10850</v>
      </c>
    </row>
    <row r="374" spans="1:11" hidden="1" outlineLevel="2" x14ac:dyDescent="0.35">
      <c r="A374" t="s">
        <v>354</v>
      </c>
      <c r="B374" s="1">
        <v>45719</v>
      </c>
      <c r="C374" t="str">
        <f>"491"</f>
        <v>491</v>
      </c>
      <c r="D374" t="s">
        <v>373</v>
      </c>
      <c r="E374" t="s">
        <v>374</v>
      </c>
      <c r="F374" t="str">
        <f t="shared" si="8"/>
        <v>33140000</v>
      </c>
      <c r="H374" t="s">
        <v>375</v>
      </c>
      <c r="J374" s="4">
        <v>196000</v>
      </c>
    </row>
    <row r="375" spans="1:11" hidden="1" outlineLevel="2" x14ac:dyDescent="0.35">
      <c r="A375" t="s">
        <v>354</v>
      </c>
      <c r="B375" s="1">
        <v>45719</v>
      </c>
      <c r="C375" t="str">
        <f>"492"</f>
        <v>492</v>
      </c>
      <c r="D375" t="s">
        <v>376</v>
      </c>
      <c r="E375" t="s">
        <v>377</v>
      </c>
      <c r="F375" t="str">
        <f t="shared" si="8"/>
        <v>33140000</v>
      </c>
      <c r="H375" t="s">
        <v>378</v>
      </c>
      <c r="J375" s="4">
        <v>97000</v>
      </c>
    </row>
    <row r="376" spans="1:11" hidden="1" outlineLevel="2" x14ac:dyDescent="0.35">
      <c r="A376" t="s">
        <v>354</v>
      </c>
      <c r="B376" s="1">
        <v>45719</v>
      </c>
      <c r="C376" t="str">
        <f>"516"</f>
        <v>516</v>
      </c>
      <c r="D376" t="s">
        <v>448</v>
      </c>
      <c r="E376" t="s">
        <v>449</v>
      </c>
      <c r="F376" t="str">
        <f t="shared" si="8"/>
        <v>33140000</v>
      </c>
      <c r="H376" t="s">
        <v>450</v>
      </c>
      <c r="J376" s="4">
        <v>175000</v>
      </c>
    </row>
    <row r="377" spans="1:11" hidden="1" outlineLevel="2" x14ac:dyDescent="0.35">
      <c r="A377" t="s">
        <v>354</v>
      </c>
      <c r="B377" s="1">
        <v>45719</v>
      </c>
      <c r="C377" t="str">
        <f>"707"</f>
        <v>707</v>
      </c>
      <c r="D377" t="s">
        <v>509</v>
      </c>
      <c r="E377" t="s">
        <v>510</v>
      </c>
      <c r="F377" t="str">
        <f t="shared" si="8"/>
        <v>33140000</v>
      </c>
      <c r="H377" t="s">
        <v>511</v>
      </c>
      <c r="J377" s="4">
        <v>273000</v>
      </c>
    </row>
    <row r="378" spans="1:11" hidden="1" outlineLevel="2" x14ac:dyDescent="0.35">
      <c r="A378" t="s">
        <v>354</v>
      </c>
      <c r="B378" s="1">
        <v>45722</v>
      </c>
      <c r="C378" t="str">
        <f>"535"</f>
        <v>535</v>
      </c>
      <c r="D378" t="s">
        <v>538</v>
      </c>
      <c r="E378" t="str">
        <f>"00001115"</f>
        <v>00001115</v>
      </c>
      <c r="F378" t="str">
        <f t="shared" si="8"/>
        <v>33140000</v>
      </c>
      <c r="H378" t="s">
        <v>539</v>
      </c>
      <c r="J378" s="4">
        <v>20000</v>
      </c>
    </row>
    <row r="379" spans="1:11" hidden="1" outlineLevel="2" x14ac:dyDescent="0.35">
      <c r="A379" t="s">
        <v>354</v>
      </c>
      <c r="B379" s="1">
        <v>45722</v>
      </c>
      <c r="C379" t="str">
        <f>"566"</f>
        <v>566</v>
      </c>
      <c r="D379" t="s">
        <v>579</v>
      </c>
      <c r="E379" t="s">
        <v>580</v>
      </c>
      <c r="F379" t="str">
        <f t="shared" si="8"/>
        <v>33140000</v>
      </c>
      <c r="H379" t="s">
        <v>581</v>
      </c>
      <c r="J379" s="4">
        <v>9168</v>
      </c>
    </row>
    <row r="380" spans="1:11" hidden="1" outlineLevel="2" x14ac:dyDescent="0.35">
      <c r="A380" t="s">
        <v>354</v>
      </c>
      <c r="B380" s="1">
        <v>45722</v>
      </c>
      <c r="C380" t="str">
        <f>"567"</f>
        <v>567</v>
      </c>
      <c r="D380" t="s">
        <v>582</v>
      </c>
      <c r="E380" t="s">
        <v>583</v>
      </c>
      <c r="F380" t="str">
        <f t="shared" si="8"/>
        <v>33140000</v>
      </c>
      <c r="H380" t="s">
        <v>584</v>
      </c>
      <c r="J380" s="4">
        <v>9168</v>
      </c>
    </row>
    <row r="381" spans="1:11" hidden="1" outlineLevel="2" x14ac:dyDescent="0.35">
      <c r="A381" t="s">
        <v>354</v>
      </c>
      <c r="B381" s="1">
        <v>45722</v>
      </c>
      <c r="C381" t="str">
        <f>"569"</f>
        <v>569</v>
      </c>
      <c r="D381" t="s">
        <v>588</v>
      </c>
      <c r="E381" t="s">
        <v>589</v>
      </c>
      <c r="F381" t="str">
        <f t="shared" si="8"/>
        <v>33140000</v>
      </c>
      <c r="H381" t="s">
        <v>590</v>
      </c>
      <c r="J381" s="4">
        <v>9168</v>
      </c>
    </row>
    <row r="382" spans="1:11" hidden="1" outlineLevel="2" x14ac:dyDescent="0.35">
      <c r="A382" t="s">
        <v>354</v>
      </c>
      <c r="B382" s="1">
        <v>45722</v>
      </c>
      <c r="C382" t="str">
        <f>"571"</f>
        <v>571</v>
      </c>
      <c r="D382" t="s">
        <v>594</v>
      </c>
      <c r="E382" t="s">
        <v>595</v>
      </c>
      <c r="F382" t="str">
        <f t="shared" si="8"/>
        <v>33140000</v>
      </c>
      <c r="H382" t="s">
        <v>596</v>
      </c>
      <c r="J382" s="4">
        <v>9168</v>
      </c>
    </row>
    <row r="383" spans="1:11" hidden="1" outlineLevel="2" x14ac:dyDescent="0.35">
      <c r="A383" t="s">
        <v>354</v>
      </c>
      <c r="B383" s="1">
        <v>45722</v>
      </c>
      <c r="C383" t="str">
        <f>"575"</f>
        <v>575</v>
      </c>
      <c r="D383" t="s">
        <v>606</v>
      </c>
      <c r="E383" t="s">
        <v>607</v>
      </c>
      <c r="F383" t="str">
        <f t="shared" si="8"/>
        <v>33140000</v>
      </c>
      <c r="H383" t="s">
        <v>608</v>
      </c>
      <c r="J383" s="4">
        <v>144908</v>
      </c>
    </row>
    <row r="384" spans="1:11" hidden="1" outlineLevel="2" x14ac:dyDescent="0.35">
      <c r="A384" t="s">
        <v>354</v>
      </c>
      <c r="B384" s="1">
        <v>45722</v>
      </c>
      <c r="C384" t="str">
        <f>"577"</f>
        <v>577</v>
      </c>
      <c r="D384" t="s">
        <v>612</v>
      </c>
      <c r="E384" t="s">
        <v>613</v>
      </c>
      <c r="F384" t="str">
        <f t="shared" si="8"/>
        <v>33140000</v>
      </c>
      <c r="H384" t="s">
        <v>614</v>
      </c>
      <c r="J384" s="4">
        <v>54080</v>
      </c>
    </row>
    <row r="385" spans="1:10" hidden="1" outlineLevel="2" x14ac:dyDescent="0.35">
      <c r="A385" t="s">
        <v>354</v>
      </c>
      <c r="B385" s="1">
        <v>45722</v>
      </c>
      <c r="C385" t="str">
        <f>"606"</f>
        <v>606</v>
      </c>
      <c r="D385" t="s">
        <v>645</v>
      </c>
      <c r="E385" t="str">
        <f>"00233368"</f>
        <v>00233368</v>
      </c>
      <c r="F385" t="str">
        <f t="shared" si="8"/>
        <v>33140000</v>
      </c>
      <c r="H385" t="s">
        <v>646</v>
      </c>
      <c r="J385" s="4">
        <v>1000</v>
      </c>
    </row>
    <row r="386" spans="1:10" hidden="1" outlineLevel="2" x14ac:dyDescent="0.35">
      <c r="A386" t="s">
        <v>354</v>
      </c>
      <c r="B386" s="1">
        <v>45722</v>
      </c>
      <c r="C386" t="str">
        <f>"650"</f>
        <v>650</v>
      </c>
      <c r="D386" t="s">
        <v>661</v>
      </c>
      <c r="E386" t="str">
        <f>"00880977"</f>
        <v>00880977</v>
      </c>
      <c r="F386" t="str">
        <f t="shared" si="8"/>
        <v>33140000</v>
      </c>
      <c r="H386" t="s">
        <v>662</v>
      </c>
      <c r="J386" s="4">
        <v>34000</v>
      </c>
    </row>
    <row r="387" spans="1:10" hidden="1" outlineLevel="2" x14ac:dyDescent="0.35">
      <c r="A387" t="s">
        <v>354</v>
      </c>
      <c r="B387" s="1">
        <v>45722</v>
      </c>
      <c r="C387" t="str">
        <f>"655"</f>
        <v>655</v>
      </c>
      <c r="D387" t="s">
        <v>666</v>
      </c>
      <c r="E387" t="s">
        <v>667</v>
      </c>
      <c r="F387" t="str">
        <f t="shared" si="8"/>
        <v>33140000</v>
      </c>
      <c r="H387" t="s">
        <v>668</v>
      </c>
      <c r="J387" s="4">
        <v>9168</v>
      </c>
    </row>
    <row r="388" spans="1:10" hidden="1" outlineLevel="2" x14ac:dyDescent="0.35">
      <c r="A388" t="s">
        <v>354</v>
      </c>
      <c r="B388" s="1">
        <v>45726</v>
      </c>
      <c r="C388" t="str">
        <f>"537"</f>
        <v>537</v>
      </c>
      <c r="D388" t="s">
        <v>672</v>
      </c>
      <c r="E388" t="s">
        <v>673</v>
      </c>
      <c r="F388" t="str">
        <f t="shared" si="8"/>
        <v>33140000</v>
      </c>
      <c r="H388" t="s">
        <v>674</v>
      </c>
      <c r="J388" s="4">
        <v>8448</v>
      </c>
    </row>
    <row r="389" spans="1:10" hidden="1" outlineLevel="2" x14ac:dyDescent="0.35">
      <c r="A389" t="s">
        <v>354</v>
      </c>
      <c r="B389" s="1">
        <v>45726</v>
      </c>
      <c r="C389" t="str">
        <f>"539"</f>
        <v>539</v>
      </c>
      <c r="D389" t="s">
        <v>675</v>
      </c>
      <c r="E389" t="s">
        <v>676</v>
      </c>
      <c r="F389" t="str">
        <f t="shared" si="8"/>
        <v>33140000</v>
      </c>
      <c r="H389" t="s">
        <v>677</v>
      </c>
      <c r="J389" s="4">
        <v>226903</v>
      </c>
    </row>
    <row r="390" spans="1:10" hidden="1" outlineLevel="2" x14ac:dyDescent="0.35">
      <c r="A390" t="s">
        <v>354</v>
      </c>
      <c r="B390" s="1">
        <v>45726</v>
      </c>
      <c r="C390" t="str">
        <f>"676"</f>
        <v>676</v>
      </c>
      <c r="D390" t="s">
        <v>743</v>
      </c>
      <c r="E390" t="s">
        <v>744</v>
      </c>
      <c r="F390" t="str">
        <f t="shared" si="8"/>
        <v>33140000</v>
      </c>
      <c r="H390" t="s">
        <v>745</v>
      </c>
      <c r="J390" s="4">
        <v>78806</v>
      </c>
    </row>
    <row r="391" spans="1:10" hidden="1" outlineLevel="2" x14ac:dyDescent="0.35">
      <c r="A391" t="s">
        <v>354</v>
      </c>
      <c r="B391" s="1">
        <v>45728</v>
      </c>
      <c r="C391" t="str">
        <f>"658"</f>
        <v>658</v>
      </c>
      <c r="D391" t="s">
        <v>748</v>
      </c>
      <c r="E391" t="s">
        <v>749</v>
      </c>
      <c r="F391" t="str">
        <f t="shared" si="8"/>
        <v>33140000</v>
      </c>
      <c r="H391" t="s">
        <v>750</v>
      </c>
      <c r="J391" s="4">
        <v>14500</v>
      </c>
    </row>
    <row r="392" spans="1:10" hidden="1" outlineLevel="2" x14ac:dyDescent="0.35">
      <c r="A392" t="s">
        <v>354</v>
      </c>
      <c r="B392" s="1">
        <v>45728</v>
      </c>
      <c r="C392" t="str">
        <f>"659"</f>
        <v>659</v>
      </c>
      <c r="D392" t="s">
        <v>751</v>
      </c>
      <c r="E392" t="s">
        <v>752</v>
      </c>
      <c r="F392" t="str">
        <f t="shared" si="8"/>
        <v>33140000</v>
      </c>
      <c r="H392" t="s">
        <v>753</v>
      </c>
      <c r="J392" s="4">
        <v>125000</v>
      </c>
    </row>
    <row r="393" spans="1:10" hidden="1" outlineLevel="2" x14ac:dyDescent="0.35">
      <c r="A393" t="s">
        <v>354</v>
      </c>
      <c r="B393" s="1">
        <v>45728</v>
      </c>
      <c r="C393" t="str">
        <f>"660"</f>
        <v>660</v>
      </c>
      <c r="D393" t="s">
        <v>754</v>
      </c>
      <c r="E393" t="s">
        <v>755</v>
      </c>
      <c r="F393" t="str">
        <f t="shared" si="8"/>
        <v>33140000</v>
      </c>
      <c r="H393" t="s">
        <v>756</v>
      </c>
      <c r="J393" s="4">
        <v>1260</v>
      </c>
    </row>
    <row r="394" spans="1:10" hidden="1" outlineLevel="2" x14ac:dyDescent="0.35">
      <c r="A394" t="s">
        <v>354</v>
      </c>
      <c r="B394" s="1">
        <v>45728</v>
      </c>
      <c r="C394" t="str">
        <f>"662"</f>
        <v>662</v>
      </c>
      <c r="D394" t="s">
        <v>760</v>
      </c>
      <c r="E394" t="s">
        <v>761</v>
      </c>
      <c r="F394" t="str">
        <f t="shared" si="8"/>
        <v>33140000</v>
      </c>
      <c r="H394" t="s">
        <v>762</v>
      </c>
      <c r="J394" s="4">
        <v>182459</v>
      </c>
    </row>
    <row r="395" spans="1:10" hidden="1" outlineLevel="2" x14ac:dyDescent="0.35">
      <c r="A395" t="s">
        <v>354</v>
      </c>
      <c r="B395" s="1">
        <v>45728</v>
      </c>
      <c r="C395" t="str">
        <f>"807"</f>
        <v>807</v>
      </c>
      <c r="D395" t="s">
        <v>763</v>
      </c>
      <c r="E395" t="s">
        <v>764</v>
      </c>
      <c r="F395" t="str">
        <f t="shared" si="8"/>
        <v>33140000</v>
      </c>
      <c r="H395" t="s">
        <v>765</v>
      </c>
      <c r="J395" s="4">
        <v>90000</v>
      </c>
    </row>
    <row r="396" spans="1:10" hidden="1" outlineLevel="2" x14ac:dyDescent="0.35">
      <c r="A396" t="s">
        <v>354</v>
      </c>
      <c r="B396" s="1">
        <v>45729</v>
      </c>
      <c r="C396" t="str">
        <f>"629"</f>
        <v>629</v>
      </c>
      <c r="D396" t="s">
        <v>766</v>
      </c>
      <c r="E396" t="str">
        <f>"00233362"</f>
        <v>00233362</v>
      </c>
      <c r="F396" t="str">
        <f t="shared" si="8"/>
        <v>33140000</v>
      </c>
      <c r="H396" t="s">
        <v>767</v>
      </c>
      <c r="J396" s="4">
        <v>4000</v>
      </c>
    </row>
    <row r="397" spans="1:10" hidden="1" outlineLevel="2" x14ac:dyDescent="0.35">
      <c r="A397" t="s">
        <v>354</v>
      </c>
      <c r="B397" s="1">
        <v>45730</v>
      </c>
      <c r="C397" t="str">
        <f>"651"</f>
        <v>651</v>
      </c>
      <c r="D397" t="s">
        <v>812</v>
      </c>
      <c r="E397" t="str">
        <f>"00880978"</f>
        <v>00880978</v>
      </c>
      <c r="F397" t="str">
        <f t="shared" si="8"/>
        <v>33140000</v>
      </c>
      <c r="H397" t="s">
        <v>813</v>
      </c>
      <c r="J397" s="4">
        <v>17000</v>
      </c>
    </row>
    <row r="398" spans="1:10" hidden="1" outlineLevel="2" x14ac:dyDescent="0.35">
      <c r="A398" t="s">
        <v>354</v>
      </c>
      <c r="B398" s="1">
        <v>45734</v>
      </c>
      <c r="C398" t="str">
        <f>"701"</f>
        <v>701</v>
      </c>
      <c r="D398" t="s">
        <v>853</v>
      </c>
      <c r="E398" t="s">
        <v>854</v>
      </c>
      <c r="F398" t="str">
        <f t="shared" si="8"/>
        <v>33140000</v>
      </c>
      <c r="H398" t="s">
        <v>855</v>
      </c>
      <c r="J398" s="4">
        <v>120000</v>
      </c>
    </row>
    <row r="399" spans="1:10" hidden="1" outlineLevel="2" x14ac:dyDescent="0.35">
      <c r="A399" t="s">
        <v>354</v>
      </c>
      <c r="B399" s="1">
        <v>45734</v>
      </c>
      <c r="C399" t="str">
        <f>"702"</f>
        <v>702</v>
      </c>
      <c r="D399" t="s">
        <v>856</v>
      </c>
      <c r="E399" t="s">
        <v>857</v>
      </c>
      <c r="F399" t="str">
        <f t="shared" si="8"/>
        <v>33140000</v>
      </c>
      <c r="H399" t="s">
        <v>858</v>
      </c>
      <c r="J399" s="4">
        <v>30000</v>
      </c>
    </row>
    <row r="400" spans="1:10" hidden="1" outlineLevel="2" x14ac:dyDescent="0.35">
      <c r="A400" t="s">
        <v>354</v>
      </c>
      <c r="B400" s="1">
        <v>45734</v>
      </c>
      <c r="C400" t="str">
        <f>"727"</f>
        <v>727</v>
      </c>
      <c r="D400" t="s">
        <v>865</v>
      </c>
      <c r="E400" t="s">
        <v>866</v>
      </c>
      <c r="F400" t="str">
        <f t="shared" si="8"/>
        <v>33140000</v>
      </c>
      <c r="H400" t="s">
        <v>867</v>
      </c>
      <c r="J400" s="4">
        <v>14700</v>
      </c>
    </row>
    <row r="401" spans="1:10" hidden="1" outlineLevel="2" x14ac:dyDescent="0.35">
      <c r="A401" t="s">
        <v>354</v>
      </c>
      <c r="B401" s="1">
        <v>45734</v>
      </c>
      <c r="C401" t="str">
        <f>"729"</f>
        <v>729</v>
      </c>
      <c r="D401" t="s">
        <v>871</v>
      </c>
      <c r="E401" t="s">
        <v>872</v>
      </c>
      <c r="F401" t="str">
        <f t="shared" si="8"/>
        <v>33140000</v>
      </c>
      <c r="H401" t="s">
        <v>873</v>
      </c>
      <c r="J401" s="4">
        <v>14700</v>
      </c>
    </row>
    <row r="402" spans="1:10" hidden="1" outlineLevel="2" x14ac:dyDescent="0.35">
      <c r="A402" t="s">
        <v>354</v>
      </c>
      <c r="B402" s="1">
        <v>45734</v>
      </c>
      <c r="C402" t="str">
        <f>"731"</f>
        <v>731</v>
      </c>
      <c r="D402" t="s">
        <v>877</v>
      </c>
      <c r="E402" t="s">
        <v>878</v>
      </c>
      <c r="F402" t="str">
        <f t="shared" si="8"/>
        <v>33140000</v>
      </c>
      <c r="H402" t="s">
        <v>879</v>
      </c>
      <c r="J402" s="4">
        <v>14700</v>
      </c>
    </row>
    <row r="403" spans="1:10" hidden="1" outlineLevel="2" x14ac:dyDescent="0.35">
      <c r="A403" t="s">
        <v>354</v>
      </c>
      <c r="B403" s="1">
        <v>45734</v>
      </c>
      <c r="C403" t="str">
        <f>"732"</f>
        <v>732</v>
      </c>
      <c r="D403" t="s">
        <v>880</v>
      </c>
      <c r="E403" t="s">
        <v>881</v>
      </c>
      <c r="F403" t="str">
        <f t="shared" si="8"/>
        <v>33140000</v>
      </c>
      <c r="H403" t="s">
        <v>882</v>
      </c>
      <c r="J403" s="4">
        <v>14700</v>
      </c>
    </row>
    <row r="404" spans="1:10" hidden="1" outlineLevel="2" x14ac:dyDescent="0.35">
      <c r="A404" t="s">
        <v>354</v>
      </c>
      <c r="B404" s="1">
        <v>45734</v>
      </c>
      <c r="C404" t="str">
        <f>"733"</f>
        <v>733</v>
      </c>
      <c r="D404" t="s">
        <v>883</v>
      </c>
      <c r="E404" t="s">
        <v>884</v>
      </c>
      <c r="F404" t="str">
        <f t="shared" si="8"/>
        <v>33140000</v>
      </c>
      <c r="H404" t="s">
        <v>885</v>
      </c>
      <c r="J404" s="4">
        <v>4900</v>
      </c>
    </row>
    <row r="405" spans="1:10" hidden="1" outlineLevel="2" x14ac:dyDescent="0.35">
      <c r="A405" t="s">
        <v>354</v>
      </c>
      <c r="B405" s="1">
        <v>45734</v>
      </c>
      <c r="C405" t="str">
        <f>"735"</f>
        <v>735</v>
      </c>
      <c r="D405" t="s">
        <v>889</v>
      </c>
      <c r="E405" t="s">
        <v>890</v>
      </c>
      <c r="F405" t="str">
        <f t="shared" si="8"/>
        <v>33140000</v>
      </c>
      <c r="H405" t="s">
        <v>891</v>
      </c>
      <c r="J405" s="4">
        <v>4900</v>
      </c>
    </row>
    <row r="406" spans="1:10" hidden="1" outlineLevel="2" x14ac:dyDescent="0.35">
      <c r="A406" t="s">
        <v>354</v>
      </c>
      <c r="B406" s="1">
        <v>45734</v>
      </c>
      <c r="C406" t="str">
        <f>"736"</f>
        <v>736</v>
      </c>
      <c r="D406" t="s">
        <v>892</v>
      </c>
      <c r="E406" t="s">
        <v>893</v>
      </c>
      <c r="F406" t="str">
        <f t="shared" si="8"/>
        <v>33140000</v>
      </c>
      <c r="H406" t="s">
        <v>894</v>
      </c>
      <c r="J406" s="4">
        <v>14700</v>
      </c>
    </row>
    <row r="407" spans="1:10" hidden="1" outlineLevel="2" x14ac:dyDescent="0.35">
      <c r="A407" t="s">
        <v>354</v>
      </c>
      <c r="B407" s="1">
        <v>45736</v>
      </c>
      <c r="C407" t="str">
        <f>"680"</f>
        <v>680</v>
      </c>
      <c r="D407" t="s">
        <v>930</v>
      </c>
      <c r="E407" t="s">
        <v>931</v>
      </c>
      <c r="F407" t="str">
        <f t="shared" si="8"/>
        <v>33140000</v>
      </c>
      <c r="H407" t="s">
        <v>932</v>
      </c>
      <c r="J407" s="4">
        <v>13182</v>
      </c>
    </row>
    <row r="408" spans="1:10" hidden="1" outlineLevel="2" x14ac:dyDescent="0.35">
      <c r="A408" t="s">
        <v>354</v>
      </c>
      <c r="B408" s="1">
        <v>45737</v>
      </c>
      <c r="C408" t="str">
        <f>"756"</f>
        <v>756</v>
      </c>
      <c r="D408" t="s">
        <v>971</v>
      </c>
      <c r="E408" t="str">
        <f>"779401"</f>
        <v>779401</v>
      </c>
      <c r="F408" t="str">
        <f t="shared" si="8"/>
        <v>33140000</v>
      </c>
      <c r="H408" t="s">
        <v>972</v>
      </c>
      <c r="J408" s="4">
        <v>65000</v>
      </c>
    </row>
    <row r="409" spans="1:10" hidden="1" outlineLevel="2" x14ac:dyDescent="0.35">
      <c r="A409" t="s">
        <v>354</v>
      </c>
      <c r="B409" s="1">
        <v>45740</v>
      </c>
      <c r="C409" t="str">
        <f>"797"</f>
        <v>797</v>
      </c>
      <c r="D409" t="s">
        <v>1003</v>
      </c>
      <c r="E409" t="str">
        <f>"00290689"</f>
        <v>00290689</v>
      </c>
      <c r="F409" t="str">
        <f t="shared" si="8"/>
        <v>33140000</v>
      </c>
      <c r="H409" t="s">
        <v>1004</v>
      </c>
      <c r="J409" s="4">
        <v>4000</v>
      </c>
    </row>
    <row r="410" spans="1:10" hidden="1" outlineLevel="2" x14ac:dyDescent="0.35">
      <c r="A410" t="s">
        <v>354</v>
      </c>
      <c r="B410" s="1">
        <v>45741</v>
      </c>
      <c r="C410" t="str">
        <f>"708"</f>
        <v>708</v>
      </c>
      <c r="D410" t="s">
        <v>1009</v>
      </c>
      <c r="E410" t="s">
        <v>1010</v>
      </c>
      <c r="F410" t="str">
        <f t="shared" si="8"/>
        <v>33140000</v>
      </c>
      <c r="H410" t="s">
        <v>1011</v>
      </c>
      <c r="J410" s="4">
        <v>2500</v>
      </c>
    </row>
    <row r="411" spans="1:10" hidden="1" outlineLevel="2" x14ac:dyDescent="0.35">
      <c r="A411" t="s">
        <v>354</v>
      </c>
      <c r="B411" s="1">
        <v>45741</v>
      </c>
      <c r="C411" t="str">
        <f>"709"</f>
        <v>709</v>
      </c>
      <c r="D411" t="s">
        <v>1012</v>
      </c>
      <c r="E411" t="s">
        <v>1013</v>
      </c>
      <c r="F411" t="str">
        <f t="shared" si="8"/>
        <v>33140000</v>
      </c>
      <c r="H411" t="s">
        <v>1014</v>
      </c>
      <c r="J411" s="4">
        <v>33500</v>
      </c>
    </row>
    <row r="412" spans="1:10" hidden="1" outlineLevel="2" x14ac:dyDescent="0.35">
      <c r="A412" t="s">
        <v>354</v>
      </c>
      <c r="B412" s="1">
        <v>45741</v>
      </c>
      <c r="C412" t="str">
        <f>"710"</f>
        <v>710</v>
      </c>
      <c r="D412" t="s">
        <v>1015</v>
      </c>
      <c r="E412" t="s">
        <v>1016</v>
      </c>
      <c r="F412" t="str">
        <f t="shared" si="8"/>
        <v>33140000</v>
      </c>
      <c r="H412" t="s">
        <v>1017</v>
      </c>
      <c r="J412" s="4">
        <v>65700</v>
      </c>
    </row>
    <row r="413" spans="1:10" hidden="1" outlineLevel="2" x14ac:dyDescent="0.35">
      <c r="A413" t="s">
        <v>354</v>
      </c>
      <c r="B413" s="1">
        <v>45741</v>
      </c>
      <c r="C413" t="str">
        <f>"711"</f>
        <v>711</v>
      </c>
      <c r="D413" t="s">
        <v>1018</v>
      </c>
      <c r="E413" t="s">
        <v>1019</v>
      </c>
      <c r="F413" t="str">
        <f t="shared" si="8"/>
        <v>33140000</v>
      </c>
      <c r="H413" t="s">
        <v>1020</v>
      </c>
      <c r="J413" s="4">
        <v>41400</v>
      </c>
    </row>
    <row r="414" spans="1:10" hidden="1" outlineLevel="2" x14ac:dyDescent="0.35">
      <c r="A414" t="s">
        <v>354</v>
      </c>
      <c r="B414" s="1">
        <v>45741</v>
      </c>
      <c r="C414" t="str">
        <f>"712"</f>
        <v>712</v>
      </c>
      <c r="D414" t="s">
        <v>1021</v>
      </c>
      <c r="E414" t="s">
        <v>1022</v>
      </c>
      <c r="F414" t="str">
        <f t="shared" si="8"/>
        <v>33140000</v>
      </c>
      <c r="H414" t="s">
        <v>1023</v>
      </c>
      <c r="J414" s="4">
        <v>97000</v>
      </c>
    </row>
    <row r="415" spans="1:10" hidden="1" outlineLevel="2" x14ac:dyDescent="0.35">
      <c r="A415" t="s">
        <v>354</v>
      </c>
      <c r="B415" s="1">
        <v>45741</v>
      </c>
      <c r="C415" t="str">
        <f>"713"</f>
        <v>713</v>
      </c>
      <c r="D415" t="s">
        <v>1024</v>
      </c>
      <c r="E415" t="s">
        <v>1025</v>
      </c>
      <c r="F415" t="str">
        <f t="shared" si="8"/>
        <v>33140000</v>
      </c>
      <c r="H415" t="s">
        <v>1026</v>
      </c>
      <c r="J415" s="4">
        <v>88000</v>
      </c>
    </row>
    <row r="416" spans="1:10" hidden="1" outlineLevel="2" x14ac:dyDescent="0.35">
      <c r="A416" t="s">
        <v>354</v>
      </c>
      <c r="B416" s="1">
        <v>45742</v>
      </c>
      <c r="C416" t="str">
        <f>"677"</f>
        <v>677</v>
      </c>
      <c r="D416" t="s">
        <v>1095</v>
      </c>
      <c r="E416" t="s">
        <v>1096</v>
      </c>
      <c r="F416" t="str">
        <f t="shared" si="8"/>
        <v>33140000</v>
      </c>
      <c r="H416" t="s">
        <v>1097</v>
      </c>
      <c r="J416" s="4">
        <v>156827</v>
      </c>
    </row>
    <row r="417" spans="1:11" hidden="1" outlineLevel="2" x14ac:dyDescent="0.35">
      <c r="A417" t="s">
        <v>354</v>
      </c>
      <c r="B417" s="1">
        <v>45742</v>
      </c>
      <c r="C417" t="str">
        <f>"703"</f>
        <v>703</v>
      </c>
      <c r="D417" t="s">
        <v>1104</v>
      </c>
      <c r="E417" t="s">
        <v>1105</v>
      </c>
      <c r="F417" t="str">
        <f t="shared" si="8"/>
        <v>33140000</v>
      </c>
      <c r="H417" t="s">
        <v>1106</v>
      </c>
      <c r="J417" s="4">
        <v>58500</v>
      </c>
    </row>
    <row r="418" spans="1:11" hidden="1" outlineLevel="2" x14ac:dyDescent="0.35">
      <c r="A418" t="s">
        <v>354</v>
      </c>
      <c r="B418" s="1">
        <v>45742</v>
      </c>
      <c r="C418" t="str">
        <f>"704"</f>
        <v>704</v>
      </c>
      <c r="D418" t="s">
        <v>1107</v>
      </c>
      <c r="E418" t="s">
        <v>1108</v>
      </c>
      <c r="F418" t="str">
        <f t="shared" si="8"/>
        <v>33140000</v>
      </c>
      <c r="H418" t="s">
        <v>1109</v>
      </c>
      <c r="J418" s="4">
        <v>15000</v>
      </c>
    </row>
    <row r="419" spans="1:11" hidden="1" outlineLevel="2" x14ac:dyDescent="0.35">
      <c r="A419" t="s">
        <v>354</v>
      </c>
      <c r="B419" s="1">
        <v>45742</v>
      </c>
      <c r="C419" t="str">
        <f>"705"</f>
        <v>705</v>
      </c>
      <c r="D419" t="s">
        <v>1110</v>
      </c>
      <c r="E419" t="s">
        <v>1111</v>
      </c>
      <c r="F419" t="str">
        <f t="shared" si="8"/>
        <v>33140000</v>
      </c>
      <c r="H419" t="s">
        <v>1112</v>
      </c>
      <c r="J419" s="4">
        <v>45000</v>
      </c>
    </row>
    <row r="420" spans="1:11" hidden="1" outlineLevel="2" x14ac:dyDescent="0.35">
      <c r="A420" t="s">
        <v>354</v>
      </c>
      <c r="B420" s="1">
        <v>45744</v>
      </c>
      <c r="C420" t="str">
        <f>"670"</f>
        <v>670</v>
      </c>
      <c r="D420" t="s">
        <v>1122</v>
      </c>
      <c r="E420" t="s">
        <v>1123</v>
      </c>
      <c r="F420" t="str">
        <f t="shared" si="8"/>
        <v>33140000</v>
      </c>
      <c r="H420" t="s">
        <v>1124</v>
      </c>
      <c r="J420" s="4">
        <v>77484</v>
      </c>
    </row>
    <row r="421" spans="1:11" hidden="1" outlineLevel="2" x14ac:dyDescent="0.35">
      <c r="A421" t="s">
        <v>354</v>
      </c>
      <c r="B421" s="1">
        <v>45744</v>
      </c>
      <c r="C421" t="str">
        <f>"718"</f>
        <v>718</v>
      </c>
      <c r="D421" t="s">
        <v>1131</v>
      </c>
      <c r="E421" t="s">
        <v>1132</v>
      </c>
      <c r="F421" t="str">
        <f t="shared" si="8"/>
        <v>33140000</v>
      </c>
      <c r="H421" t="s">
        <v>1133</v>
      </c>
      <c r="J421" s="4">
        <v>24000</v>
      </c>
    </row>
    <row r="422" spans="1:11" hidden="1" outlineLevel="2" x14ac:dyDescent="0.35">
      <c r="A422" t="s">
        <v>354</v>
      </c>
      <c r="B422" s="1">
        <v>45744</v>
      </c>
      <c r="C422" t="str">
        <f>"790"</f>
        <v>790</v>
      </c>
      <c r="D422" t="s">
        <v>1150</v>
      </c>
      <c r="E422" t="str">
        <f>"00190448"</f>
        <v>00190448</v>
      </c>
      <c r="F422" t="str">
        <f t="shared" si="8"/>
        <v>33140000</v>
      </c>
      <c r="H422" t="s">
        <v>1151</v>
      </c>
      <c r="J422" s="4">
        <v>900</v>
      </c>
    </row>
    <row r="423" spans="1:11" hidden="1" outlineLevel="2" x14ac:dyDescent="0.35">
      <c r="A423" t="s">
        <v>354</v>
      </c>
      <c r="B423" s="1">
        <v>45744</v>
      </c>
      <c r="C423" t="str">
        <f>"791"</f>
        <v>791</v>
      </c>
      <c r="D423" t="s">
        <v>1152</v>
      </c>
      <c r="E423" t="str">
        <f>"00190449"</f>
        <v>00190449</v>
      </c>
      <c r="F423" t="str">
        <f t="shared" si="8"/>
        <v>33140000</v>
      </c>
      <c r="H423" t="s">
        <v>1153</v>
      </c>
      <c r="J423" s="4">
        <v>300</v>
      </c>
    </row>
    <row r="424" spans="1:11" hidden="1" outlineLevel="2" x14ac:dyDescent="0.35">
      <c r="A424" t="s">
        <v>354</v>
      </c>
      <c r="B424" s="1">
        <v>45744</v>
      </c>
      <c r="C424" t="str">
        <f>"808"</f>
        <v>808</v>
      </c>
      <c r="D424" t="s">
        <v>1178</v>
      </c>
      <c r="E424" t="str">
        <f>"00290700"</f>
        <v>00290700</v>
      </c>
      <c r="F424" t="str">
        <f t="shared" si="8"/>
        <v>33140000</v>
      </c>
      <c r="H424" t="s">
        <v>1179</v>
      </c>
      <c r="J424" s="4">
        <v>600</v>
      </c>
    </row>
    <row r="425" spans="1:11" hidden="1" outlineLevel="2" x14ac:dyDescent="0.35">
      <c r="A425" t="s">
        <v>101</v>
      </c>
      <c r="B425" s="1">
        <v>45717</v>
      </c>
      <c r="C425" t="str">
        <f>"2"</f>
        <v>2</v>
      </c>
      <c r="F425" t="str">
        <f t="shared" si="8"/>
        <v>33140000</v>
      </c>
      <c r="H425" t="s">
        <v>2723</v>
      </c>
      <c r="J425" s="4">
        <v>-462592</v>
      </c>
    </row>
    <row r="426" spans="1:11" hidden="1" outlineLevel="2" x14ac:dyDescent="0.35">
      <c r="A426" t="s">
        <v>101</v>
      </c>
      <c r="B426" s="1">
        <v>45747</v>
      </c>
      <c r="C426" t="str">
        <f>"77"</f>
        <v>77</v>
      </c>
      <c r="F426" t="str">
        <f t="shared" si="8"/>
        <v>33140000</v>
      </c>
      <c r="H426" t="s">
        <v>2925</v>
      </c>
      <c r="J426" s="4">
        <v>1375792</v>
      </c>
    </row>
    <row r="427" spans="1:11" hidden="1" outlineLevel="2" x14ac:dyDescent="0.35">
      <c r="A427" t="s">
        <v>3115</v>
      </c>
      <c r="B427" s="1">
        <v>45717</v>
      </c>
      <c r="C427" t="str">
        <f>"1179"</f>
        <v>1179</v>
      </c>
      <c r="D427" t="s">
        <v>3134</v>
      </c>
      <c r="E427" t="str">
        <f>"182414"</f>
        <v>182414</v>
      </c>
      <c r="F427" t="str">
        <f t="shared" si="8"/>
        <v>33140000</v>
      </c>
      <c r="H427" t="s">
        <v>3135</v>
      </c>
      <c r="K427" s="4">
        <v>3295</v>
      </c>
    </row>
    <row r="428" spans="1:11" hidden="1" outlineLevel="2" x14ac:dyDescent="0.35">
      <c r="A428" t="s">
        <v>3115</v>
      </c>
      <c r="B428" s="1">
        <v>45717</v>
      </c>
      <c r="C428" t="str">
        <f>"1180"</f>
        <v>1180</v>
      </c>
      <c r="D428" t="s">
        <v>3136</v>
      </c>
      <c r="E428" t="str">
        <f>"182481"</f>
        <v>182481</v>
      </c>
      <c r="F428" t="str">
        <f t="shared" si="8"/>
        <v>33140000</v>
      </c>
      <c r="H428" t="s">
        <v>3137</v>
      </c>
      <c r="K428" s="4">
        <v>750</v>
      </c>
    </row>
    <row r="429" spans="1:11" hidden="1" outlineLevel="2" x14ac:dyDescent="0.35">
      <c r="A429" t="s">
        <v>3115</v>
      </c>
      <c r="B429" s="1">
        <v>45718</v>
      </c>
      <c r="C429" t="str">
        <f>"1157"</f>
        <v>1157</v>
      </c>
      <c r="D429" t="s">
        <v>3164</v>
      </c>
      <c r="E429" t="str">
        <f>"182484"</f>
        <v>182484</v>
      </c>
      <c r="F429" t="str">
        <f t="shared" si="8"/>
        <v>33140000</v>
      </c>
      <c r="H429" t="s">
        <v>3165</v>
      </c>
      <c r="K429" s="4">
        <v>196</v>
      </c>
    </row>
    <row r="430" spans="1:11" hidden="1" outlineLevel="2" x14ac:dyDescent="0.35">
      <c r="A430" t="s">
        <v>3115</v>
      </c>
      <c r="B430" s="1">
        <v>45718</v>
      </c>
      <c r="C430" t="str">
        <f>"1169"</f>
        <v>1169</v>
      </c>
      <c r="D430" t="s">
        <v>3188</v>
      </c>
      <c r="E430" t="str">
        <f>"182415"</f>
        <v>182415</v>
      </c>
      <c r="F430" t="str">
        <f t="shared" si="8"/>
        <v>33140000</v>
      </c>
      <c r="H430" t="s">
        <v>3189</v>
      </c>
      <c r="K430" s="4">
        <v>1009</v>
      </c>
    </row>
    <row r="431" spans="1:11" hidden="1" outlineLevel="2" x14ac:dyDescent="0.35">
      <c r="A431" t="s">
        <v>3115</v>
      </c>
      <c r="B431" s="1">
        <v>45719</v>
      </c>
      <c r="C431" t="str">
        <f>"769"</f>
        <v>769</v>
      </c>
      <c r="D431" t="s">
        <v>3190</v>
      </c>
      <c r="E431" t="str">
        <f>"147254"</f>
        <v>147254</v>
      </c>
      <c r="F431" t="str">
        <f t="shared" si="8"/>
        <v>33140000</v>
      </c>
      <c r="H431" t="s">
        <v>3191</v>
      </c>
      <c r="K431" s="4">
        <v>15481</v>
      </c>
    </row>
    <row r="432" spans="1:11" hidden="1" outlineLevel="2" x14ac:dyDescent="0.35">
      <c r="A432" t="s">
        <v>3115</v>
      </c>
      <c r="B432" s="1">
        <v>45719</v>
      </c>
      <c r="C432" t="str">
        <f>"783"</f>
        <v>783</v>
      </c>
      <c r="D432" t="s">
        <v>3218</v>
      </c>
      <c r="E432" t="str">
        <f>"181236"</f>
        <v>181236</v>
      </c>
      <c r="F432" t="str">
        <f t="shared" si="8"/>
        <v>33140000</v>
      </c>
      <c r="H432" t="s">
        <v>3219</v>
      </c>
      <c r="K432" s="4">
        <v>294</v>
      </c>
    </row>
    <row r="433" spans="1:11" hidden="1" outlineLevel="2" x14ac:dyDescent="0.35">
      <c r="A433" t="s">
        <v>3115</v>
      </c>
      <c r="B433" s="1">
        <v>45719</v>
      </c>
      <c r="C433" t="str">
        <f>"795"</f>
        <v>795</v>
      </c>
      <c r="D433" t="s">
        <v>3242</v>
      </c>
      <c r="E433" t="str">
        <f>"182496"</f>
        <v>182496</v>
      </c>
      <c r="F433" t="str">
        <f t="shared" si="8"/>
        <v>33140000</v>
      </c>
      <c r="H433" t="s">
        <v>3243</v>
      </c>
      <c r="K433" s="4">
        <v>750</v>
      </c>
    </row>
    <row r="434" spans="1:11" hidden="1" outlineLevel="2" x14ac:dyDescent="0.35">
      <c r="A434" t="s">
        <v>3115</v>
      </c>
      <c r="B434" s="1">
        <v>45719</v>
      </c>
      <c r="C434" t="str">
        <f>"797"</f>
        <v>797</v>
      </c>
      <c r="D434" t="s">
        <v>3246</v>
      </c>
      <c r="E434" t="str">
        <f>"182497"</f>
        <v>182497</v>
      </c>
      <c r="F434" t="str">
        <f t="shared" si="8"/>
        <v>33140000</v>
      </c>
      <c r="H434" t="s">
        <v>3247</v>
      </c>
      <c r="K434" s="4">
        <v>750</v>
      </c>
    </row>
    <row r="435" spans="1:11" hidden="1" outlineLevel="2" x14ac:dyDescent="0.35">
      <c r="A435" t="s">
        <v>3115</v>
      </c>
      <c r="B435" s="1">
        <v>45719</v>
      </c>
      <c r="C435" t="str">
        <f>"799"</f>
        <v>799</v>
      </c>
      <c r="D435" t="s">
        <v>3250</v>
      </c>
      <c r="E435" t="str">
        <f>"182125"</f>
        <v>182125</v>
      </c>
      <c r="F435" t="str">
        <f t="shared" si="8"/>
        <v>33140000</v>
      </c>
      <c r="H435" t="s">
        <v>3251</v>
      </c>
      <c r="K435" s="4">
        <v>3409</v>
      </c>
    </row>
    <row r="436" spans="1:11" hidden="1" outlineLevel="2" x14ac:dyDescent="0.35">
      <c r="A436" t="s">
        <v>3115</v>
      </c>
      <c r="B436" s="1">
        <v>45719</v>
      </c>
      <c r="C436" t="str">
        <f>"801"</f>
        <v>801</v>
      </c>
      <c r="D436" t="s">
        <v>3254</v>
      </c>
      <c r="E436" t="str">
        <f>"182129"</f>
        <v>182129</v>
      </c>
      <c r="F436" t="str">
        <f t="shared" ref="F436:F499" si="9">"33140000"</f>
        <v>33140000</v>
      </c>
      <c r="H436" t="s">
        <v>3255</v>
      </c>
      <c r="K436" s="4">
        <v>4420</v>
      </c>
    </row>
    <row r="437" spans="1:11" hidden="1" outlineLevel="2" x14ac:dyDescent="0.35">
      <c r="A437" t="s">
        <v>3115</v>
      </c>
      <c r="B437" s="1">
        <v>45719</v>
      </c>
      <c r="C437" t="str">
        <f>"802"</f>
        <v>802</v>
      </c>
      <c r="D437" t="s">
        <v>3256</v>
      </c>
      <c r="E437" t="str">
        <f>"182123"</f>
        <v>182123</v>
      </c>
      <c r="F437" t="str">
        <f t="shared" si="9"/>
        <v>33140000</v>
      </c>
      <c r="H437" t="s">
        <v>3257</v>
      </c>
      <c r="K437" s="4">
        <v>2273</v>
      </c>
    </row>
    <row r="438" spans="1:11" hidden="1" outlineLevel="2" x14ac:dyDescent="0.35">
      <c r="A438" t="s">
        <v>3115</v>
      </c>
      <c r="B438" s="1">
        <v>45719</v>
      </c>
      <c r="C438" t="str">
        <f>"803"</f>
        <v>803</v>
      </c>
      <c r="D438" t="s">
        <v>3258</v>
      </c>
      <c r="E438" t="str">
        <f>"182124"</f>
        <v>182124</v>
      </c>
      <c r="F438" t="str">
        <f t="shared" si="9"/>
        <v>33140000</v>
      </c>
      <c r="H438" t="s">
        <v>3259</v>
      </c>
      <c r="K438" s="4">
        <v>14966</v>
      </c>
    </row>
    <row r="439" spans="1:11" hidden="1" outlineLevel="2" x14ac:dyDescent="0.35">
      <c r="A439" t="s">
        <v>3115</v>
      </c>
      <c r="B439" s="1">
        <v>45719</v>
      </c>
      <c r="C439" t="str">
        <f>"807"</f>
        <v>807</v>
      </c>
      <c r="D439" t="s">
        <v>3266</v>
      </c>
      <c r="E439" t="str">
        <f>"183312"</f>
        <v>183312</v>
      </c>
      <c r="F439" t="str">
        <f t="shared" si="9"/>
        <v>33140000</v>
      </c>
      <c r="H439" t="s">
        <v>3267</v>
      </c>
      <c r="K439" s="4">
        <v>980</v>
      </c>
    </row>
    <row r="440" spans="1:11" hidden="1" outlineLevel="2" x14ac:dyDescent="0.35">
      <c r="A440" t="s">
        <v>3115</v>
      </c>
      <c r="B440" s="1">
        <v>45719</v>
      </c>
      <c r="C440" t="str">
        <f>"808"</f>
        <v>808</v>
      </c>
      <c r="D440" t="s">
        <v>3268</v>
      </c>
      <c r="E440" t="str">
        <f>"182491"</f>
        <v>182491</v>
      </c>
      <c r="F440" t="str">
        <f t="shared" si="9"/>
        <v>33140000</v>
      </c>
      <c r="H440" t="s">
        <v>3269</v>
      </c>
      <c r="K440" s="4">
        <v>750</v>
      </c>
    </row>
    <row r="441" spans="1:11" hidden="1" outlineLevel="2" x14ac:dyDescent="0.35">
      <c r="A441" t="s">
        <v>3115</v>
      </c>
      <c r="B441" s="1">
        <v>45719</v>
      </c>
      <c r="C441" t="str">
        <f>"812"</f>
        <v>812</v>
      </c>
      <c r="D441" t="s">
        <v>3276</v>
      </c>
      <c r="E441" t="str">
        <f>"182122"</f>
        <v>182122</v>
      </c>
      <c r="F441" t="str">
        <f t="shared" si="9"/>
        <v>33140000</v>
      </c>
      <c r="H441" t="s">
        <v>3277</v>
      </c>
      <c r="K441" s="4">
        <v>4847</v>
      </c>
    </row>
    <row r="442" spans="1:11" hidden="1" outlineLevel="2" x14ac:dyDescent="0.35">
      <c r="A442" t="s">
        <v>3115</v>
      </c>
      <c r="B442" s="1">
        <v>45719</v>
      </c>
      <c r="C442" t="str">
        <f>"819"</f>
        <v>819</v>
      </c>
      <c r="D442" t="s">
        <v>3290</v>
      </c>
      <c r="E442" t="str">
        <f>"182421"</f>
        <v>182421</v>
      </c>
      <c r="F442" t="str">
        <f t="shared" si="9"/>
        <v>33140000</v>
      </c>
      <c r="H442" t="s">
        <v>3291</v>
      </c>
      <c r="K442" s="4">
        <v>1150</v>
      </c>
    </row>
    <row r="443" spans="1:11" hidden="1" outlineLevel="2" x14ac:dyDescent="0.35">
      <c r="A443" t="s">
        <v>3115</v>
      </c>
      <c r="B443" s="1">
        <v>45719</v>
      </c>
      <c r="C443" t="str">
        <f>"824"</f>
        <v>824</v>
      </c>
      <c r="D443" t="s">
        <v>3300</v>
      </c>
      <c r="E443" t="str">
        <f>"182315"</f>
        <v>182315</v>
      </c>
      <c r="F443" t="str">
        <f t="shared" si="9"/>
        <v>33140000</v>
      </c>
      <c r="H443" t="s">
        <v>3301</v>
      </c>
      <c r="K443" s="4">
        <v>3150</v>
      </c>
    </row>
    <row r="444" spans="1:11" hidden="1" outlineLevel="2" x14ac:dyDescent="0.35">
      <c r="A444" t="s">
        <v>3115</v>
      </c>
      <c r="B444" s="1">
        <v>45719</v>
      </c>
      <c r="C444" t="str">
        <f>"826"</f>
        <v>826</v>
      </c>
      <c r="D444" t="s">
        <v>3304</v>
      </c>
      <c r="E444" t="str">
        <f>"182317"</f>
        <v>182317</v>
      </c>
      <c r="F444" t="str">
        <f t="shared" si="9"/>
        <v>33140000</v>
      </c>
      <c r="H444" t="s">
        <v>3305</v>
      </c>
      <c r="K444" s="4">
        <v>600</v>
      </c>
    </row>
    <row r="445" spans="1:11" hidden="1" outlineLevel="2" x14ac:dyDescent="0.35">
      <c r="A445" t="s">
        <v>3115</v>
      </c>
      <c r="B445" s="1">
        <v>45719</v>
      </c>
      <c r="C445" t="str">
        <f>"829"</f>
        <v>829</v>
      </c>
      <c r="D445" t="s">
        <v>3310</v>
      </c>
      <c r="E445" t="str">
        <f>"182316"</f>
        <v>182316</v>
      </c>
      <c r="F445" t="str">
        <f t="shared" si="9"/>
        <v>33140000</v>
      </c>
      <c r="H445" t="s">
        <v>3311</v>
      </c>
      <c r="K445" s="4">
        <v>750</v>
      </c>
    </row>
    <row r="446" spans="1:11" hidden="1" outlineLevel="2" x14ac:dyDescent="0.35">
      <c r="A446" t="s">
        <v>3115</v>
      </c>
      <c r="B446" s="1">
        <v>45719</v>
      </c>
      <c r="C446" t="str">
        <f>"834"</f>
        <v>834</v>
      </c>
      <c r="D446" t="s">
        <v>3320</v>
      </c>
      <c r="E446" t="str">
        <f>"182416"</f>
        <v>182416</v>
      </c>
      <c r="F446" t="str">
        <f t="shared" si="9"/>
        <v>33140000</v>
      </c>
      <c r="H446" t="s">
        <v>3321</v>
      </c>
      <c r="K446" s="4">
        <v>3619</v>
      </c>
    </row>
    <row r="447" spans="1:11" hidden="1" outlineLevel="2" x14ac:dyDescent="0.35">
      <c r="A447" t="s">
        <v>3115</v>
      </c>
      <c r="B447" s="1">
        <v>45719</v>
      </c>
      <c r="C447" t="str">
        <f>"836"</f>
        <v>836</v>
      </c>
      <c r="D447" t="s">
        <v>3324</v>
      </c>
      <c r="E447" t="str">
        <f>"182417"</f>
        <v>182417</v>
      </c>
      <c r="F447" t="str">
        <f t="shared" si="9"/>
        <v>33140000</v>
      </c>
      <c r="H447" t="s">
        <v>3325</v>
      </c>
      <c r="K447" s="4">
        <v>2273</v>
      </c>
    </row>
    <row r="448" spans="1:11" hidden="1" outlineLevel="2" x14ac:dyDescent="0.35">
      <c r="A448" t="s">
        <v>3115</v>
      </c>
      <c r="B448" s="1">
        <v>45719</v>
      </c>
      <c r="C448" t="str">
        <f>"837"</f>
        <v>837</v>
      </c>
      <c r="D448" t="s">
        <v>3326</v>
      </c>
      <c r="E448" t="str">
        <f>"182418"</f>
        <v>182418</v>
      </c>
      <c r="F448" t="str">
        <f t="shared" si="9"/>
        <v>33140000</v>
      </c>
      <c r="H448" t="s">
        <v>3327</v>
      </c>
      <c r="K448" s="4">
        <v>1136</v>
      </c>
    </row>
    <row r="449" spans="1:11" hidden="1" outlineLevel="2" x14ac:dyDescent="0.35">
      <c r="A449" t="s">
        <v>3115</v>
      </c>
      <c r="B449" s="1">
        <v>45719</v>
      </c>
      <c r="C449" t="str">
        <f>"838"</f>
        <v>838</v>
      </c>
      <c r="D449" t="s">
        <v>3328</v>
      </c>
      <c r="E449" t="str">
        <f>"182419"</f>
        <v>182419</v>
      </c>
      <c r="F449" t="str">
        <f t="shared" si="9"/>
        <v>33140000</v>
      </c>
      <c r="H449" t="s">
        <v>3329</v>
      </c>
      <c r="K449" s="4">
        <v>1809</v>
      </c>
    </row>
    <row r="450" spans="1:11" hidden="1" outlineLevel="2" x14ac:dyDescent="0.35">
      <c r="A450" t="s">
        <v>3115</v>
      </c>
      <c r="B450" s="1">
        <v>45719</v>
      </c>
      <c r="C450" t="str">
        <f>"839"</f>
        <v>839</v>
      </c>
      <c r="D450" t="s">
        <v>3330</v>
      </c>
      <c r="E450" t="str">
        <f>"182420"</f>
        <v>182420</v>
      </c>
      <c r="F450" t="str">
        <f t="shared" si="9"/>
        <v>33140000</v>
      </c>
      <c r="H450" t="s">
        <v>3331</v>
      </c>
      <c r="K450" s="4">
        <v>68932</v>
      </c>
    </row>
    <row r="451" spans="1:11" hidden="1" outlineLevel="2" x14ac:dyDescent="0.35">
      <c r="A451" t="s">
        <v>3115</v>
      </c>
      <c r="B451" s="1">
        <v>45720</v>
      </c>
      <c r="C451" t="str">
        <f>"843"</f>
        <v>843</v>
      </c>
      <c r="D451" t="s">
        <v>3338</v>
      </c>
      <c r="E451" t="str">
        <f>"170531"</f>
        <v>170531</v>
      </c>
      <c r="F451" t="str">
        <f t="shared" si="9"/>
        <v>33140000</v>
      </c>
      <c r="H451" t="s">
        <v>3339</v>
      </c>
      <c r="K451" s="4">
        <v>1225</v>
      </c>
    </row>
    <row r="452" spans="1:11" hidden="1" outlineLevel="2" x14ac:dyDescent="0.35">
      <c r="A452" t="s">
        <v>3115</v>
      </c>
      <c r="B452" s="1">
        <v>45720</v>
      </c>
      <c r="C452" t="str">
        <f>"848"</f>
        <v>848</v>
      </c>
      <c r="D452" t="s">
        <v>3348</v>
      </c>
      <c r="E452" t="str">
        <f>"180183"</f>
        <v>180183</v>
      </c>
      <c r="F452" t="str">
        <f t="shared" si="9"/>
        <v>33140000</v>
      </c>
      <c r="H452" t="s">
        <v>3349</v>
      </c>
      <c r="K452" s="4">
        <v>9168</v>
      </c>
    </row>
    <row r="453" spans="1:11" hidden="1" outlineLevel="2" x14ac:dyDescent="0.35">
      <c r="A453" t="s">
        <v>3115</v>
      </c>
      <c r="B453" s="1">
        <v>45720</v>
      </c>
      <c r="C453" t="str">
        <f>"851"</f>
        <v>851</v>
      </c>
      <c r="D453" t="s">
        <v>3354</v>
      </c>
      <c r="E453" t="str">
        <f>"180177"</f>
        <v>180177</v>
      </c>
      <c r="F453" t="str">
        <f t="shared" si="9"/>
        <v>33140000</v>
      </c>
      <c r="H453" t="s">
        <v>3355</v>
      </c>
      <c r="K453" s="4">
        <v>9168</v>
      </c>
    </row>
    <row r="454" spans="1:11" hidden="1" outlineLevel="2" x14ac:dyDescent="0.35">
      <c r="A454" t="s">
        <v>3115</v>
      </c>
      <c r="B454" s="1">
        <v>45720</v>
      </c>
      <c r="C454" t="str">
        <f>"854"</f>
        <v>854</v>
      </c>
      <c r="D454" t="s">
        <v>3360</v>
      </c>
      <c r="E454" t="str">
        <f>"180175"</f>
        <v>180175</v>
      </c>
      <c r="F454" t="str">
        <f t="shared" si="9"/>
        <v>33140000</v>
      </c>
      <c r="H454" t="s">
        <v>3361</v>
      </c>
      <c r="K454" s="4">
        <v>9168</v>
      </c>
    </row>
    <row r="455" spans="1:11" hidden="1" outlineLevel="2" x14ac:dyDescent="0.35">
      <c r="A455" t="s">
        <v>3115</v>
      </c>
      <c r="B455" s="1">
        <v>45720</v>
      </c>
      <c r="C455" t="str">
        <f>"863"</f>
        <v>863</v>
      </c>
      <c r="D455" t="s">
        <v>3378</v>
      </c>
      <c r="E455" t="str">
        <f>"180184"</f>
        <v>180184</v>
      </c>
      <c r="F455" t="str">
        <f t="shared" si="9"/>
        <v>33140000</v>
      </c>
      <c r="H455" t="s">
        <v>3379</v>
      </c>
      <c r="K455" s="4">
        <v>9168</v>
      </c>
    </row>
    <row r="456" spans="1:11" hidden="1" outlineLevel="2" x14ac:dyDescent="0.35">
      <c r="A456" t="s">
        <v>3115</v>
      </c>
      <c r="B456" s="1">
        <v>45720</v>
      </c>
      <c r="C456" t="str">
        <f>"870"</f>
        <v>870</v>
      </c>
      <c r="D456" t="s">
        <v>3392</v>
      </c>
      <c r="E456" t="str">
        <f>"183452"</f>
        <v>183452</v>
      </c>
      <c r="F456" t="str">
        <f t="shared" si="9"/>
        <v>33140000</v>
      </c>
      <c r="H456" t="s">
        <v>3393</v>
      </c>
      <c r="K456" s="4">
        <v>735</v>
      </c>
    </row>
    <row r="457" spans="1:11" hidden="1" outlineLevel="2" x14ac:dyDescent="0.35">
      <c r="A457" t="s">
        <v>3115</v>
      </c>
      <c r="B457" s="1">
        <v>45720</v>
      </c>
      <c r="C457" t="str">
        <f>"872"</f>
        <v>872</v>
      </c>
      <c r="D457" t="s">
        <v>3396</v>
      </c>
      <c r="E457" t="str">
        <f>"182131"</f>
        <v>182131</v>
      </c>
      <c r="F457" t="str">
        <f t="shared" si="9"/>
        <v>33140000</v>
      </c>
      <c r="H457" t="s">
        <v>3397</v>
      </c>
      <c r="K457" s="4">
        <v>4082</v>
      </c>
    </row>
    <row r="458" spans="1:11" hidden="1" outlineLevel="2" x14ac:dyDescent="0.35">
      <c r="A458" t="s">
        <v>3115</v>
      </c>
      <c r="B458" s="1">
        <v>45720</v>
      </c>
      <c r="C458" t="str">
        <f>"873"</f>
        <v>873</v>
      </c>
      <c r="D458" t="s">
        <v>3398</v>
      </c>
      <c r="E458" t="str">
        <f>"182130"</f>
        <v>182130</v>
      </c>
      <c r="F458" t="str">
        <f t="shared" si="9"/>
        <v>33140000</v>
      </c>
      <c r="H458" t="s">
        <v>3399</v>
      </c>
      <c r="K458" s="4">
        <v>3409</v>
      </c>
    </row>
    <row r="459" spans="1:11" hidden="1" outlineLevel="2" x14ac:dyDescent="0.35">
      <c r="A459" t="s">
        <v>3115</v>
      </c>
      <c r="B459" s="1">
        <v>45720</v>
      </c>
      <c r="C459" t="str">
        <f>"877"</f>
        <v>877</v>
      </c>
      <c r="D459" t="s">
        <v>3406</v>
      </c>
      <c r="E459" t="str">
        <f>"181921"</f>
        <v>181921</v>
      </c>
      <c r="F459" t="str">
        <f t="shared" si="9"/>
        <v>33140000</v>
      </c>
      <c r="H459" t="s">
        <v>3407</v>
      </c>
      <c r="K459" s="4">
        <v>1968</v>
      </c>
    </row>
    <row r="460" spans="1:11" hidden="1" outlineLevel="2" x14ac:dyDescent="0.35">
      <c r="A460" t="s">
        <v>3115</v>
      </c>
      <c r="B460" s="1">
        <v>45720</v>
      </c>
      <c r="C460" t="str">
        <f>"878"</f>
        <v>878</v>
      </c>
      <c r="D460" t="s">
        <v>3408</v>
      </c>
      <c r="E460" t="str">
        <f>"177505"</f>
        <v>177505</v>
      </c>
      <c r="F460" t="str">
        <f t="shared" si="9"/>
        <v>33140000</v>
      </c>
      <c r="H460" t="s">
        <v>3409</v>
      </c>
      <c r="K460" s="4">
        <v>700</v>
      </c>
    </row>
    <row r="461" spans="1:11" hidden="1" outlineLevel="2" x14ac:dyDescent="0.35">
      <c r="A461" t="s">
        <v>3115</v>
      </c>
      <c r="B461" s="1">
        <v>45720</v>
      </c>
      <c r="C461" t="str">
        <f>"886"</f>
        <v>886</v>
      </c>
      <c r="D461" t="s">
        <v>3424</v>
      </c>
      <c r="E461" t="str">
        <f>"2506"</f>
        <v>2506</v>
      </c>
      <c r="F461" t="str">
        <f t="shared" si="9"/>
        <v>33140000</v>
      </c>
      <c r="H461" t="s">
        <v>3425</v>
      </c>
      <c r="K461" s="4">
        <v>144908</v>
      </c>
    </row>
    <row r="462" spans="1:11" hidden="1" outlineLevel="2" x14ac:dyDescent="0.35">
      <c r="A462" t="s">
        <v>3115</v>
      </c>
      <c r="B462" s="1">
        <v>45720</v>
      </c>
      <c r="C462" t="str">
        <f>"890"</f>
        <v>890</v>
      </c>
      <c r="D462" t="s">
        <v>3432</v>
      </c>
      <c r="E462" t="str">
        <f>"182075"</f>
        <v>182075</v>
      </c>
      <c r="F462" t="str">
        <f t="shared" si="9"/>
        <v>33140000</v>
      </c>
      <c r="H462" t="s">
        <v>3433</v>
      </c>
      <c r="K462" s="4">
        <v>3000</v>
      </c>
    </row>
    <row r="463" spans="1:11" hidden="1" outlineLevel="2" x14ac:dyDescent="0.35">
      <c r="A463" t="s">
        <v>3115</v>
      </c>
      <c r="B463" s="1">
        <v>45720</v>
      </c>
      <c r="C463" t="str">
        <f>"912"</f>
        <v>912</v>
      </c>
      <c r="D463" t="s">
        <v>3476</v>
      </c>
      <c r="E463" t="str">
        <f>"183317"</f>
        <v>183317</v>
      </c>
      <c r="F463" t="str">
        <f t="shared" si="9"/>
        <v>33140000</v>
      </c>
      <c r="H463" t="s">
        <v>3477</v>
      </c>
      <c r="K463" s="4">
        <v>392</v>
      </c>
    </row>
    <row r="464" spans="1:11" hidden="1" outlineLevel="2" x14ac:dyDescent="0.35">
      <c r="A464" t="s">
        <v>3115</v>
      </c>
      <c r="B464" s="1">
        <v>45720</v>
      </c>
      <c r="C464" t="str">
        <f>"913"</f>
        <v>913</v>
      </c>
      <c r="D464" t="s">
        <v>3478</v>
      </c>
      <c r="E464" t="str">
        <f>"181838"</f>
        <v>181838</v>
      </c>
      <c r="F464" t="str">
        <f t="shared" si="9"/>
        <v>33140000</v>
      </c>
      <c r="H464" t="s">
        <v>3479</v>
      </c>
      <c r="K464" s="4">
        <v>1500</v>
      </c>
    </row>
    <row r="465" spans="1:11" hidden="1" outlineLevel="2" x14ac:dyDescent="0.35">
      <c r="A465" t="s">
        <v>3115</v>
      </c>
      <c r="B465" s="1">
        <v>45720</v>
      </c>
      <c r="C465" t="str">
        <f>"921"</f>
        <v>921</v>
      </c>
      <c r="D465" t="s">
        <v>3494</v>
      </c>
      <c r="E465" t="str">
        <f>"182422"</f>
        <v>182422</v>
      </c>
      <c r="F465" t="str">
        <f t="shared" si="9"/>
        <v>33140000</v>
      </c>
      <c r="H465" t="s">
        <v>3495</v>
      </c>
      <c r="K465" s="4">
        <v>808</v>
      </c>
    </row>
    <row r="466" spans="1:11" hidden="1" outlineLevel="2" x14ac:dyDescent="0.35">
      <c r="A466" t="s">
        <v>3115</v>
      </c>
      <c r="B466" s="1">
        <v>45720</v>
      </c>
      <c r="C466" t="str">
        <f>"922"</f>
        <v>922</v>
      </c>
      <c r="D466" t="s">
        <v>3496</v>
      </c>
      <c r="E466" t="str">
        <f>"182423"</f>
        <v>182423</v>
      </c>
      <c r="F466" t="str">
        <f t="shared" si="9"/>
        <v>33140000</v>
      </c>
      <c r="H466" t="s">
        <v>3497</v>
      </c>
      <c r="K466" s="4">
        <v>2953</v>
      </c>
    </row>
    <row r="467" spans="1:11" hidden="1" outlineLevel="2" x14ac:dyDescent="0.35">
      <c r="A467" t="s">
        <v>3115</v>
      </c>
      <c r="B467" s="1">
        <v>45720</v>
      </c>
      <c r="C467" t="str">
        <f>"924"</f>
        <v>924</v>
      </c>
      <c r="D467" t="s">
        <v>3500</v>
      </c>
      <c r="E467" t="str">
        <f>"183454"</f>
        <v>183454</v>
      </c>
      <c r="F467" t="str">
        <f t="shared" si="9"/>
        <v>33140000</v>
      </c>
      <c r="H467" t="s">
        <v>3501</v>
      </c>
      <c r="K467" s="4">
        <v>14966</v>
      </c>
    </row>
    <row r="468" spans="1:11" hidden="1" outlineLevel="2" x14ac:dyDescent="0.35">
      <c r="A468" t="s">
        <v>3115</v>
      </c>
      <c r="B468" s="1">
        <v>45721</v>
      </c>
      <c r="C468" t="str">
        <f>"927"</f>
        <v>927</v>
      </c>
      <c r="D468" t="s">
        <v>3506</v>
      </c>
      <c r="E468" t="str">
        <f>"147260"</f>
        <v>147260</v>
      </c>
      <c r="F468" t="str">
        <f t="shared" si="9"/>
        <v>33140000</v>
      </c>
      <c r="H468" t="s">
        <v>3507</v>
      </c>
      <c r="K468" s="4">
        <v>787</v>
      </c>
    </row>
    <row r="469" spans="1:11" hidden="1" outlineLevel="2" x14ac:dyDescent="0.35">
      <c r="A469" t="s">
        <v>3115</v>
      </c>
      <c r="B469" s="1">
        <v>45721</v>
      </c>
      <c r="C469" t="str">
        <f>"939"</f>
        <v>939</v>
      </c>
      <c r="D469" t="s">
        <v>3530</v>
      </c>
      <c r="E469" t="str">
        <f>"177508"</f>
        <v>177508</v>
      </c>
      <c r="F469" t="str">
        <f t="shared" si="9"/>
        <v>33140000</v>
      </c>
      <c r="H469" t="s">
        <v>3531</v>
      </c>
      <c r="K469" s="4">
        <v>350</v>
      </c>
    </row>
    <row r="470" spans="1:11" hidden="1" outlineLevel="2" x14ac:dyDescent="0.35">
      <c r="A470" t="s">
        <v>3115</v>
      </c>
      <c r="B470" s="1">
        <v>45721</v>
      </c>
      <c r="C470" t="str">
        <f>"944"</f>
        <v>944</v>
      </c>
      <c r="D470" t="s">
        <v>3540</v>
      </c>
      <c r="E470" t="str">
        <f>"183277"</f>
        <v>183277</v>
      </c>
      <c r="F470" t="str">
        <f t="shared" si="9"/>
        <v>33140000</v>
      </c>
      <c r="H470" t="s">
        <v>3541</v>
      </c>
      <c r="K470" s="4">
        <v>5000</v>
      </c>
    </row>
    <row r="471" spans="1:11" hidden="1" outlineLevel="2" x14ac:dyDescent="0.35">
      <c r="A471" t="s">
        <v>3115</v>
      </c>
      <c r="B471" s="1">
        <v>45721</v>
      </c>
      <c r="C471" t="str">
        <f>"960"</f>
        <v>960</v>
      </c>
      <c r="D471" t="s">
        <v>3572</v>
      </c>
      <c r="E471" t="str">
        <f>"182424"</f>
        <v>182424</v>
      </c>
      <c r="F471" t="str">
        <f t="shared" si="9"/>
        <v>33140000</v>
      </c>
      <c r="H471" t="s">
        <v>3573</v>
      </c>
      <c r="K471" s="4">
        <v>9801</v>
      </c>
    </row>
    <row r="472" spans="1:11" hidden="1" outlineLevel="2" x14ac:dyDescent="0.35">
      <c r="A472" t="s">
        <v>3115</v>
      </c>
      <c r="B472" s="1">
        <v>45721</v>
      </c>
      <c r="C472" t="str">
        <f>"962"</f>
        <v>962</v>
      </c>
      <c r="D472" t="s">
        <v>3576</v>
      </c>
      <c r="E472" t="str">
        <f>"183318"</f>
        <v>183318</v>
      </c>
      <c r="F472" t="str">
        <f t="shared" si="9"/>
        <v>33140000</v>
      </c>
      <c r="H472" t="s">
        <v>3577</v>
      </c>
      <c r="K472" s="4">
        <v>980</v>
      </c>
    </row>
    <row r="473" spans="1:11" hidden="1" outlineLevel="2" x14ac:dyDescent="0.35">
      <c r="A473" t="s">
        <v>3115</v>
      </c>
      <c r="B473" s="1">
        <v>45721</v>
      </c>
      <c r="C473" t="str">
        <f>"963"</f>
        <v>963</v>
      </c>
      <c r="D473" t="s">
        <v>3578</v>
      </c>
      <c r="E473" t="str">
        <f>"183319"</f>
        <v>183319</v>
      </c>
      <c r="F473" t="str">
        <f t="shared" si="9"/>
        <v>33140000</v>
      </c>
      <c r="H473" t="s">
        <v>3579</v>
      </c>
      <c r="K473" s="4">
        <v>490</v>
      </c>
    </row>
    <row r="474" spans="1:11" hidden="1" outlineLevel="2" x14ac:dyDescent="0.35">
      <c r="A474" t="s">
        <v>3115</v>
      </c>
      <c r="B474" s="1">
        <v>45721</v>
      </c>
      <c r="C474" t="str">
        <f>"966"</f>
        <v>966</v>
      </c>
      <c r="D474" t="s">
        <v>3584</v>
      </c>
      <c r="E474" t="str">
        <f>"183451"</f>
        <v>183451</v>
      </c>
      <c r="F474" t="str">
        <f t="shared" si="9"/>
        <v>33140000</v>
      </c>
      <c r="H474" t="s">
        <v>3585</v>
      </c>
      <c r="K474" s="4">
        <v>4082</v>
      </c>
    </row>
    <row r="475" spans="1:11" hidden="1" outlineLevel="2" x14ac:dyDescent="0.35">
      <c r="A475" t="s">
        <v>3115</v>
      </c>
      <c r="B475" s="1">
        <v>45721</v>
      </c>
      <c r="C475" t="str">
        <f>"967"</f>
        <v>967</v>
      </c>
      <c r="D475" t="s">
        <v>3586</v>
      </c>
      <c r="E475" t="str">
        <f>"183456"</f>
        <v>183456</v>
      </c>
      <c r="F475" t="str">
        <f t="shared" si="9"/>
        <v>33140000</v>
      </c>
      <c r="H475" t="s">
        <v>3587</v>
      </c>
      <c r="K475" s="4">
        <v>4700</v>
      </c>
    </row>
    <row r="476" spans="1:11" hidden="1" outlineLevel="2" x14ac:dyDescent="0.35">
      <c r="A476" t="s">
        <v>3115</v>
      </c>
      <c r="B476" s="1">
        <v>45721</v>
      </c>
      <c r="C476" t="str">
        <f>"969"</f>
        <v>969</v>
      </c>
      <c r="D476" t="s">
        <v>3590</v>
      </c>
      <c r="E476" t="str">
        <f>"182425"</f>
        <v>182425</v>
      </c>
      <c r="F476" t="str">
        <f t="shared" si="9"/>
        <v>33140000</v>
      </c>
      <c r="H476" t="s">
        <v>3591</v>
      </c>
      <c r="K476" s="4">
        <v>9741</v>
      </c>
    </row>
    <row r="477" spans="1:11" hidden="1" outlineLevel="2" x14ac:dyDescent="0.35">
      <c r="A477" t="s">
        <v>3115</v>
      </c>
      <c r="B477" s="1">
        <v>45721</v>
      </c>
      <c r="C477" t="str">
        <f>"971"</f>
        <v>971</v>
      </c>
      <c r="D477" t="s">
        <v>3594</v>
      </c>
      <c r="E477" t="str">
        <f>"182426"</f>
        <v>182426</v>
      </c>
      <c r="F477" t="str">
        <f t="shared" si="9"/>
        <v>33140000</v>
      </c>
      <c r="H477" t="s">
        <v>3595</v>
      </c>
      <c r="K477" s="4">
        <v>4545</v>
      </c>
    </row>
    <row r="478" spans="1:11" hidden="1" outlineLevel="2" x14ac:dyDescent="0.35">
      <c r="A478" t="s">
        <v>3115</v>
      </c>
      <c r="B478" s="1">
        <v>45721</v>
      </c>
      <c r="C478" t="str">
        <f>"972"</f>
        <v>972</v>
      </c>
      <c r="D478" t="s">
        <v>3596</v>
      </c>
      <c r="E478" t="str">
        <f>"182132"</f>
        <v>182132</v>
      </c>
      <c r="F478" t="str">
        <f t="shared" si="9"/>
        <v>33140000</v>
      </c>
      <c r="H478" t="s">
        <v>3597</v>
      </c>
      <c r="K478" s="4">
        <v>4400</v>
      </c>
    </row>
    <row r="479" spans="1:11" hidden="1" outlineLevel="2" x14ac:dyDescent="0.35">
      <c r="A479" t="s">
        <v>3115</v>
      </c>
      <c r="B479" s="1">
        <v>45722</v>
      </c>
      <c r="C479" t="str">
        <f>"977"</f>
        <v>977</v>
      </c>
      <c r="D479" t="s">
        <v>3606</v>
      </c>
      <c r="E479" t="str">
        <f>"178443"</f>
        <v>178443</v>
      </c>
      <c r="F479" t="str">
        <f t="shared" si="9"/>
        <v>33140000</v>
      </c>
      <c r="H479" t="s">
        <v>3607</v>
      </c>
      <c r="K479" s="4">
        <v>14700</v>
      </c>
    </row>
    <row r="480" spans="1:11" hidden="1" outlineLevel="2" x14ac:dyDescent="0.35">
      <c r="A480" t="s">
        <v>3115</v>
      </c>
      <c r="B480" s="1">
        <v>45722</v>
      </c>
      <c r="C480" t="str">
        <f>"978"</f>
        <v>978</v>
      </c>
      <c r="D480" t="s">
        <v>3608</v>
      </c>
      <c r="E480" t="str">
        <f>"178439"</f>
        <v>178439</v>
      </c>
      <c r="F480" t="str">
        <f t="shared" si="9"/>
        <v>33140000</v>
      </c>
      <c r="H480" t="s">
        <v>3609</v>
      </c>
      <c r="K480" s="4">
        <v>4900</v>
      </c>
    </row>
    <row r="481" spans="1:11" hidden="1" outlineLevel="2" x14ac:dyDescent="0.35">
      <c r="A481" t="s">
        <v>3115</v>
      </c>
      <c r="B481" s="1">
        <v>45722</v>
      </c>
      <c r="C481" t="str">
        <f>"979"</f>
        <v>979</v>
      </c>
      <c r="D481" t="s">
        <v>3610</v>
      </c>
      <c r="E481" t="str">
        <f>"183323"</f>
        <v>183323</v>
      </c>
      <c r="F481" t="str">
        <f t="shared" si="9"/>
        <v>33140000</v>
      </c>
      <c r="H481" t="s">
        <v>3611</v>
      </c>
      <c r="K481" s="4">
        <v>294</v>
      </c>
    </row>
    <row r="482" spans="1:11" hidden="1" outlineLevel="2" x14ac:dyDescent="0.35">
      <c r="A482" t="s">
        <v>3115</v>
      </c>
      <c r="B482" s="1">
        <v>45722</v>
      </c>
      <c r="C482" t="str">
        <f>"980"</f>
        <v>980</v>
      </c>
      <c r="D482" t="s">
        <v>3612</v>
      </c>
      <c r="E482" t="str">
        <f>"183457"</f>
        <v>183457</v>
      </c>
      <c r="F482" t="str">
        <f t="shared" si="9"/>
        <v>33140000</v>
      </c>
      <c r="H482" t="s">
        <v>3613</v>
      </c>
      <c r="K482" s="4">
        <v>3155</v>
      </c>
    </row>
    <row r="483" spans="1:11" hidden="1" outlineLevel="2" x14ac:dyDescent="0.35">
      <c r="A483" t="s">
        <v>3115</v>
      </c>
      <c r="B483" s="1">
        <v>45722</v>
      </c>
      <c r="C483" t="str">
        <f>"981"</f>
        <v>981</v>
      </c>
      <c r="D483" t="s">
        <v>3614</v>
      </c>
      <c r="E483" t="str">
        <f>"183321"</f>
        <v>183321</v>
      </c>
      <c r="F483" t="str">
        <f t="shared" si="9"/>
        <v>33140000</v>
      </c>
      <c r="H483" t="s">
        <v>3615</v>
      </c>
      <c r="K483" s="4">
        <v>392</v>
      </c>
    </row>
    <row r="484" spans="1:11" hidden="1" outlineLevel="2" x14ac:dyDescent="0.35">
      <c r="A484" t="s">
        <v>3115</v>
      </c>
      <c r="B484" s="1">
        <v>45722</v>
      </c>
      <c r="C484" t="str">
        <f>"982"</f>
        <v>982</v>
      </c>
      <c r="D484" t="s">
        <v>3616</v>
      </c>
      <c r="E484" t="str">
        <f>"1822133"</f>
        <v>1822133</v>
      </c>
      <c r="F484" t="str">
        <f t="shared" si="9"/>
        <v>33140000</v>
      </c>
      <c r="H484" t="s">
        <v>3617</v>
      </c>
      <c r="K484" s="4">
        <v>4400</v>
      </c>
    </row>
    <row r="485" spans="1:11" hidden="1" outlineLevel="2" x14ac:dyDescent="0.35">
      <c r="A485" t="s">
        <v>3115</v>
      </c>
      <c r="B485" s="1">
        <v>45722</v>
      </c>
      <c r="C485" t="str">
        <f>"983"</f>
        <v>983</v>
      </c>
      <c r="D485" t="s">
        <v>3618</v>
      </c>
      <c r="E485" t="str">
        <f>"182194"</f>
        <v>182194</v>
      </c>
      <c r="F485" t="str">
        <f t="shared" si="9"/>
        <v>33140000</v>
      </c>
      <c r="H485" t="s">
        <v>3619</v>
      </c>
      <c r="K485" s="4">
        <v>39465</v>
      </c>
    </row>
    <row r="486" spans="1:11" hidden="1" outlineLevel="2" x14ac:dyDescent="0.35">
      <c r="A486" t="s">
        <v>3115</v>
      </c>
      <c r="B486" s="1">
        <v>45722</v>
      </c>
      <c r="C486" t="str">
        <f>"994"</f>
        <v>994</v>
      </c>
      <c r="D486" t="s">
        <v>3640</v>
      </c>
      <c r="E486" t="str">
        <f>"182429"</f>
        <v>182429</v>
      </c>
      <c r="F486" t="str">
        <f t="shared" si="9"/>
        <v>33140000</v>
      </c>
      <c r="H486" t="s">
        <v>3641</v>
      </c>
      <c r="K486" s="4">
        <v>2106</v>
      </c>
    </row>
    <row r="487" spans="1:11" hidden="1" outlineLevel="2" x14ac:dyDescent="0.35">
      <c r="A487" t="s">
        <v>3115</v>
      </c>
      <c r="B487" s="1">
        <v>45722</v>
      </c>
      <c r="C487" t="str">
        <f>"995"</f>
        <v>995</v>
      </c>
      <c r="D487" t="s">
        <v>3642</v>
      </c>
      <c r="E487" t="str">
        <f>"182253"</f>
        <v>182253</v>
      </c>
      <c r="F487" t="str">
        <f t="shared" si="9"/>
        <v>33140000</v>
      </c>
      <c r="H487" t="s">
        <v>3643</v>
      </c>
      <c r="K487" s="4">
        <v>35000</v>
      </c>
    </row>
    <row r="488" spans="1:11" hidden="1" outlineLevel="2" x14ac:dyDescent="0.35">
      <c r="A488" t="s">
        <v>3115</v>
      </c>
      <c r="B488" s="1">
        <v>45722</v>
      </c>
      <c r="C488" t="str">
        <f>"1000"</f>
        <v>1000</v>
      </c>
      <c r="D488" t="s">
        <v>3652</v>
      </c>
      <c r="E488" t="str">
        <f>"182427"</f>
        <v>182427</v>
      </c>
      <c r="F488" t="str">
        <f t="shared" si="9"/>
        <v>33140000</v>
      </c>
      <c r="H488" t="s">
        <v>3653</v>
      </c>
      <c r="K488" s="4">
        <v>1136</v>
      </c>
    </row>
    <row r="489" spans="1:11" hidden="1" outlineLevel="2" x14ac:dyDescent="0.35">
      <c r="A489" t="s">
        <v>3115</v>
      </c>
      <c r="B489" s="1">
        <v>45722</v>
      </c>
      <c r="C489" t="str">
        <f>"1001"</f>
        <v>1001</v>
      </c>
      <c r="D489" t="s">
        <v>3654</v>
      </c>
      <c r="E489" t="str">
        <f>"182428"</f>
        <v>182428</v>
      </c>
      <c r="F489" t="str">
        <f t="shared" si="9"/>
        <v>33140000</v>
      </c>
      <c r="H489" t="s">
        <v>3655</v>
      </c>
      <c r="K489" s="4">
        <v>3177</v>
      </c>
    </row>
    <row r="490" spans="1:11" hidden="1" outlineLevel="2" x14ac:dyDescent="0.35">
      <c r="A490" t="s">
        <v>3115</v>
      </c>
      <c r="B490" s="1">
        <v>45722</v>
      </c>
      <c r="C490" t="str">
        <f>"1004"</f>
        <v>1004</v>
      </c>
      <c r="D490" t="s">
        <v>3660</v>
      </c>
      <c r="E490" t="str">
        <f>"182134"</f>
        <v>182134</v>
      </c>
      <c r="F490" t="str">
        <f t="shared" si="9"/>
        <v>33140000</v>
      </c>
      <c r="H490" t="s">
        <v>3661</v>
      </c>
      <c r="K490" s="4">
        <v>2273</v>
      </c>
    </row>
    <row r="491" spans="1:11" hidden="1" outlineLevel="2" x14ac:dyDescent="0.35">
      <c r="A491" t="s">
        <v>3115</v>
      </c>
      <c r="B491" s="1">
        <v>45722</v>
      </c>
      <c r="C491" t="str">
        <f>"1006"</f>
        <v>1006</v>
      </c>
      <c r="D491" t="s">
        <v>3664</v>
      </c>
      <c r="E491" t="str">
        <f>"183324"</f>
        <v>183324</v>
      </c>
      <c r="F491" t="str">
        <f t="shared" si="9"/>
        <v>33140000</v>
      </c>
      <c r="H491" t="s">
        <v>3665</v>
      </c>
      <c r="K491" s="4">
        <v>294</v>
      </c>
    </row>
    <row r="492" spans="1:11" hidden="1" outlineLevel="2" x14ac:dyDescent="0.35">
      <c r="A492" t="s">
        <v>3115</v>
      </c>
      <c r="B492" s="1">
        <v>45723</v>
      </c>
      <c r="C492" t="str">
        <f>"1011"</f>
        <v>1011</v>
      </c>
      <c r="D492" t="s">
        <v>3674</v>
      </c>
      <c r="E492" t="str">
        <f>"177966"</f>
        <v>177966</v>
      </c>
      <c r="F492" t="str">
        <f t="shared" si="9"/>
        <v>33140000</v>
      </c>
      <c r="H492" t="s">
        <v>3675</v>
      </c>
      <c r="K492" s="4">
        <v>20000</v>
      </c>
    </row>
    <row r="493" spans="1:11" hidden="1" outlineLevel="2" x14ac:dyDescent="0.35">
      <c r="A493" t="s">
        <v>3115</v>
      </c>
      <c r="B493" s="1">
        <v>45723</v>
      </c>
      <c r="C493" t="str">
        <f>"1068"</f>
        <v>1068</v>
      </c>
      <c r="D493" t="s">
        <v>3788</v>
      </c>
      <c r="E493" t="str">
        <f>"177526"</f>
        <v>177526</v>
      </c>
      <c r="F493" t="str">
        <f t="shared" si="9"/>
        <v>33140000</v>
      </c>
      <c r="H493" t="s">
        <v>3789</v>
      </c>
      <c r="K493" s="4">
        <v>350</v>
      </c>
    </row>
    <row r="494" spans="1:11" hidden="1" outlineLevel="2" x14ac:dyDescent="0.35">
      <c r="A494" t="s">
        <v>3115</v>
      </c>
      <c r="B494" s="1">
        <v>45723</v>
      </c>
      <c r="C494" t="str">
        <f>"1075"</f>
        <v>1075</v>
      </c>
      <c r="D494" t="s">
        <v>3802</v>
      </c>
      <c r="E494" t="str">
        <f>"182430"</f>
        <v>182430</v>
      </c>
      <c r="F494" t="str">
        <f t="shared" si="9"/>
        <v>33140000</v>
      </c>
      <c r="H494" t="s">
        <v>3803</v>
      </c>
      <c r="K494" s="4">
        <v>2673</v>
      </c>
    </row>
    <row r="495" spans="1:11" hidden="1" outlineLevel="2" x14ac:dyDescent="0.35">
      <c r="A495" t="s">
        <v>3115</v>
      </c>
      <c r="B495" s="1">
        <v>45723</v>
      </c>
      <c r="C495" t="str">
        <f>"1076"</f>
        <v>1076</v>
      </c>
      <c r="D495" t="s">
        <v>3804</v>
      </c>
      <c r="E495" t="str">
        <f>"182431"</f>
        <v>182431</v>
      </c>
      <c r="F495" t="str">
        <f t="shared" si="9"/>
        <v>33140000</v>
      </c>
      <c r="H495" t="s">
        <v>3805</v>
      </c>
      <c r="K495" s="4">
        <v>1782</v>
      </c>
    </row>
    <row r="496" spans="1:11" hidden="1" outlineLevel="2" x14ac:dyDescent="0.35">
      <c r="A496" t="s">
        <v>3115</v>
      </c>
      <c r="B496" s="1">
        <v>45723</v>
      </c>
      <c r="C496" t="str">
        <f>"1078"</f>
        <v>1078</v>
      </c>
      <c r="D496" t="s">
        <v>3808</v>
      </c>
      <c r="E496" t="str">
        <f>"182432"</f>
        <v>182432</v>
      </c>
      <c r="F496" t="str">
        <f t="shared" si="9"/>
        <v>33140000</v>
      </c>
      <c r="H496" t="s">
        <v>3809</v>
      </c>
      <c r="K496" s="4">
        <v>2273</v>
      </c>
    </row>
    <row r="497" spans="1:11" hidden="1" outlineLevel="2" x14ac:dyDescent="0.35">
      <c r="A497" t="s">
        <v>3115</v>
      </c>
      <c r="B497" s="1">
        <v>45723</v>
      </c>
      <c r="C497" t="str">
        <f>"1087"</f>
        <v>1087</v>
      </c>
      <c r="D497" t="s">
        <v>3826</v>
      </c>
      <c r="E497" t="str">
        <f>"182433"</f>
        <v>182433</v>
      </c>
      <c r="F497" t="str">
        <f t="shared" si="9"/>
        <v>33140000</v>
      </c>
      <c r="H497" t="s">
        <v>3827</v>
      </c>
      <c r="K497" s="4">
        <v>3409</v>
      </c>
    </row>
    <row r="498" spans="1:11" hidden="1" outlineLevel="2" x14ac:dyDescent="0.35">
      <c r="A498" t="s">
        <v>3115</v>
      </c>
      <c r="B498" s="1">
        <v>45723</v>
      </c>
      <c r="C498" t="str">
        <f>"1101"</f>
        <v>1101</v>
      </c>
      <c r="D498" t="s">
        <v>3854</v>
      </c>
      <c r="E498" t="str">
        <f>"182136"</f>
        <v>182136</v>
      </c>
      <c r="F498" t="str">
        <f t="shared" si="9"/>
        <v>33140000</v>
      </c>
      <c r="H498" t="s">
        <v>3855</v>
      </c>
      <c r="K498" s="4">
        <v>2273</v>
      </c>
    </row>
    <row r="499" spans="1:11" hidden="1" outlineLevel="2" x14ac:dyDescent="0.35">
      <c r="A499" t="s">
        <v>3115</v>
      </c>
      <c r="B499" s="1">
        <v>45723</v>
      </c>
      <c r="C499" t="str">
        <f>"1103"</f>
        <v>1103</v>
      </c>
      <c r="D499" t="s">
        <v>3858</v>
      </c>
      <c r="E499" t="str">
        <f>"182137"</f>
        <v>182137</v>
      </c>
      <c r="F499" t="str">
        <f t="shared" si="9"/>
        <v>33140000</v>
      </c>
      <c r="H499" t="s">
        <v>3859</v>
      </c>
      <c r="K499" s="4">
        <v>2400</v>
      </c>
    </row>
    <row r="500" spans="1:11" hidden="1" outlineLevel="2" x14ac:dyDescent="0.35">
      <c r="A500" t="s">
        <v>3115</v>
      </c>
      <c r="B500" s="1">
        <v>45723</v>
      </c>
      <c r="C500" t="str">
        <f>"1104"</f>
        <v>1104</v>
      </c>
      <c r="D500" t="s">
        <v>3860</v>
      </c>
      <c r="E500" t="str">
        <f>"182135"</f>
        <v>182135</v>
      </c>
      <c r="F500" t="str">
        <f t="shared" ref="F500:F563" si="10">"33140000"</f>
        <v>33140000</v>
      </c>
      <c r="H500" t="s">
        <v>3861</v>
      </c>
      <c r="K500" s="4">
        <v>42900</v>
      </c>
    </row>
    <row r="501" spans="1:11" hidden="1" outlineLevel="2" x14ac:dyDescent="0.35">
      <c r="A501" t="s">
        <v>3115</v>
      </c>
      <c r="B501" s="1">
        <v>45723</v>
      </c>
      <c r="C501" t="str">
        <f>"1105"</f>
        <v>1105</v>
      </c>
      <c r="D501" t="s">
        <v>3862</v>
      </c>
      <c r="E501" t="str">
        <f>"183325"</f>
        <v>183325</v>
      </c>
      <c r="F501" t="str">
        <f t="shared" si="10"/>
        <v>33140000</v>
      </c>
      <c r="H501" t="s">
        <v>3863</v>
      </c>
      <c r="K501" s="4">
        <v>1250</v>
      </c>
    </row>
    <row r="502" spans="1:11" hidden="1" outlineLevel="2" x14ac:dyDescent="0.35">
      <c r="A502" t="s">
        <v>3115</v>
      </c>
      <c r="B502" s="1">
        <v>45723</v>
      </c>
      <c r="C502" t="str">
        <f>"1109"</f>
        <v>1109</v>
      </c>
      <c r="D502" t="s">
        <v>3870</v>
      </c>
      <c r="E502" t="str">
        <f>"182138"</f>
        <v>182138</v>
      </c>
      <c r="F502" t="str">
        <f t="shared" si="10"/>
        <v>33140000</v>
      </c>
      <c r="H502" t="s">
        <v>3871</v>
      </c>
      <c r="K502" s="4">
        <v>2120</v>
      </c>
    </row>
    <row r="503" spans="1:11" hidden="1" outlineLevel="2" x14ac:dyDescent="0.35">
      <c r="A503" t="s">
        <v>3115</v>
      </c>
      <c r="B503" s="1">
        <v>45723</v>
      </c>
      <c r="C503" t="str">
        <f>"1110"</f>
        <v>1110</v>
      </c>
      <c r="D503" t="s">
        <v>3872</v>
      </c>
      <c r="E503" t="str">
        <f>"182139"</f>
        <v>182139</v>
      </c>
      <c r="F503" t="str">
        <f t="shared" si="10"/>
        <v>33140000</v>
      </c>
      <c r="H503" t="s">
        <v>3873</v>
      </c>
      <c r="K503" s="4">
        <v>2629</v>
      </c>
    </row>
    <row r="504" spans="1:11" hidden="1" outlineLevel="2" x14ac:dyDescent="0.35">
      <c r="A504" t="s">
        <v>3115</v>
      </c>
      <c r="B504" s="1">
        <v>45724</v>
      </c>
      <c r="C504" t="str">
        <f>"1121"</f>
        <v>1121</v>
      </c>
      <c r="D504" t="s">
        <v>3894</v>
      </c>
      <c r="E504" t="str">
        <f>"182434"</f>
        <v>182434</v>
      </c>
      <c r="F504" t="str">
        <f t="shared" si="10"/>
        <v>33140000</v>
      </c>
      <c r="H504" t="s">
        <v>3895</v>
      </c>
      <c r="K504" s="4">
        <v>1136</v>
      </c>
    </row>
    <row r="505" spans="1:11" hidden="1" outlineLevel="2" x14ac:dyDescent="0.35">
      <c r="A505" t="s">
        <v>3115</v>
      </c>
      <c r="B505" s="1">
        <v>45724</v>
      </c>
      <c r="C505" t="str">
        <f>"1125"</f>
        <v>1125</v>
      </c>
      <c r="D505" t="s">
        <v>3902</v>
      </c>
      <c r="E505" t="str">
        <f>"182435"</f>
        <v>182435</v>
      </c>
      <c r="F505" t="str">
        <f t="shared" si="10"/>
        <v>33140000</v>
      </c>
      <c r="H505" t="s">
        <v>3903</v>
      </c>
      <c r="K505" s="4">
        <v>1136</v>
      </c>
    </row>
    <row r="506" spans="1:11" hidden="1" outlineLevel="2" x14ac:dyDescent="0.35">
      <c r="A506" t="s">
        <v>3115</v>
      </c>
      <c r="B506" s="1">
        <v>45726</v>
      </c>
      <c r="C506" t="str">
        <f>"512"</f>
        <v>512</v>
      </c>
      <c r="D506" t="s">
        <v>3944</v>
      </c>
      <c r="E506" t="str">
        <f>"170532"</f>
        <v>170532</v>
      </c>
      <c r="F506" t="str">
        <f t="shared" si="10"/>
        <v>33140000</v>
      </c>
      <c r="H506" t="s">
        <v>3945</v>
      </c>
      <c r="K506" s="4">
        <v>3564</v>
      </c>
    </row>
    <row r="507" spans="1:11" hidden="1" outlineLevel="2" x14ac:dyDescent="0.35">
      <c r="A507" t="s">
        <v>3115</v>
      </c>
      <c r="B507" s="1">
        <v>45726</v>
      </c>
      <c r="C507" t="str">
        <f>"520"</f>
        <v>520</v>
      </c>
      <c r="D507" t="s">
        <v>3960</v>
      </c>
      <c r="E507" t="str">
        <f>"181240"</f>
        <v>181240</v>
      </c>
      <c r="F507" t="str">
        <f t="shared" si="10"/>
        <v>33140000</v>
      </c>
      <c r="H507" t="s">
        <v>3961</v>
      </c>
      <c r="K507" s="4">
        <v>1050</v>
      </c>
    </row>
    <row r="508" spans="1:11" hidden="1" outlineLevel="2" x14ac:dyDescent="0.35">
      <c r="A508" t="s">
        <v>3115</v>
      </c>
      <c r="B508" s="1">
        <v>45726</v>
      </c>
      <c r="C508" t="str">
        <f>"522"</f>
        <v>522</v>
      </c>
      <c r="D508" t="s">
        <v>3964</v>
      </c>
      <c r="E508" t="str">
        <f>"181242"</f>
        <v>181242</v>
      </c>
      <c r="F508" t="str">
        <f t="shared" si="10"/>
        <v>33140000</v>
      </c>
      <c r="H508" t="s">
        <v>3965</v>
      </c>
      <c r="K508" s="4">
        <v>328</v>
      </c>
    </row>
    <row r="509" spans="1:11" hidden="1" outlineLevel="2" x14ac:dyDescent="0.35">
      <c r="A509" t="s">
        <v>3115</v>
      </c>
      <c r="B509" s="1">
        <v>45726</v>
      </c>
      <c r="C509" t="str">
        <f>"536"</f>
        <v>536</v>
      </c>
      <c r="D509" t="s">
        <v>3992</v>
      </c>
      <c r="E509" t="str">
        <f>"182440"</f>
        <v>182440</v>
      </c>
      <c r="F509" t="str">
        <f t="shared" si="10"/>
        <v>33140000</v>
      </c>
      <c r="H509" t="s">
        <v>3993</v>
      </c>
      <c r="K509" s="4">
        <v>404</v>
      </c>
    </row>
    <row r="510" spans="1:11" hidden="1" outlineLevel="2" x14ac:dyDescent="0.35">
      <c r="A510" t="s">
        <v>3115</v>
      </c>
      <c r="B510" s="1">
        <v>45726</v>
      </c>
      <c r="C510" t="str">
        <f>"537"</f>
        <v>537</v>
      </c>
      <c r="D510" t="s">
        <v>3994</v>
      </c>
      <c r="E510" t="str">
        <f>"182436"</f>
        <v>182436</v>
      </c>
      <c r="F510" t="str">
        <f t="shared" si="10"/>
        <v>33140000</v>
      </c>
      <c r="H510" t="s">
        <v>3995</v>
      </c>
      <c r="K510" s="4">
        <v>2273</v>
      </c>
    </row>
    <row r="511" spans="1:11" hidden="1" outlineLevel="2" x14ac:dyDescent="0.35">
      <c r="A511" t="s">
        <v>3115</v>
      </c>
      <c r="B511" s="1">
        <v>45726</v>
      </c>
      <c r="C511" t="str">
        <f>"538"</f>
        <v>538</v>
      </c>
      <c r="D511" t="s">
        <v>3996</v>
      </c>
      <c r="E511" t="str">
        <f>"182437"</f>
        <v>182437</v>
      </c>
      <c r="F511" t="str">
        <f t="shared" si="10"/>
        <v>33140000</v>
      </c>
      <c r="H511" t="s">
        <v>3997</v>
      </c>
      <c r="K511" s="4">
        <v>336</v>
      </c>
    </row>
    <row r="512" spans="1:11" hidden="1" outlineLevel="2" x14ac:dyDescent="0.35">
      <c r="A512" t="s">
        <v>3115</v>
      </c>
      <c r="B512" s="1">
        <v>45726</v>
      </c>
      <c r="C512" t="str">
        <f>"539"</f>
        <v>539</v>
      </c>
      <c r="D512" t="s">
        <v>3998</v>
      </c>
      <c r="E512" t="str">
        <f>"182441"</f>
        <v>182441</v>
      </c>
      <c r="F512" t="str">
        <f t="shared" si="10"/>
        <v>33140000</v>
      </c>
      <c r="H512" t="s">
        <v>3999</v>
      </c>
      <c r="K512" s="4">
        <v>1136</v>
      </c>
    </row>
    <row r="513" spans="1:11" hidden="1" outlineLevel="2" x14ac:dyDescent="0.35">
      <c r="A513" t="s">
        <v>3115</v>
      </c>
      <c r="B513" s="1">
        <v>45726</v>
      </c>
      <c r="C513" t="str">
        <f>"540"</f>
        <v>540</v>
      </c>
      <c r="D513" t="s">
        <v>4000</v>
      </c>
      <c r="E513" t="str">
        <f>"182438"</f>
        <v>182438</v>
      </c>
      <c r="F513" t="str">
        <f t="shared" si="10"/>
        <v>33140000</v>
      </c>
      <c r="H513" t="s">
        <v>4001</v>
      </c>
      <c r="K513" s="4">
        <v>1906</v>
      </c>
    </row>
    <row r="514" spans="1:11" hidden="1" outlineLevel="2" x14ac:dyDescent="0.35">
      <c r="A514" t="s">
        <v>3115</v>
      </c>
      <c r="B514" s="1">
        <v>45726</v>
      </c>
      <c r="C514" t="str">
        <f>"541"</f>
        <v>541</v>
      </c>
      <c r="D514" t="s">
        <v>4002</v>
      </c>
      <c r="E514" t="str">
        <f>"182442"</f>
        <v>182442</v>
      </c>
      <c r="F514" t="str">
        <f t="shared" si="10"/>
        <v>33140000</v>
      </c>
      <c r="H514" t="s">
        <v>4003</v>
      </c>
      <c r="K514" s="4">
        <v>3659</v>
      </c>
    </row>
    <row r="515" spans="1:11" hidden="1" outlineLevel="2" x14ac:dyDescent="0.35">
      <c r="A515" t="s">
        <v>3115</v>
      </c>
      <c r="B515" s="1">
        <v>45726</v>
      </c>
      <c r="C515" t="str">
        <f>"546"</f>
        <v>546</v>
      </c>
      <c r="D515" t="s">
        <v>4012</v>
      </c>
      <c r="E515" t="str">
        <f>"183326"</f>
        <v>183326</v>
      </c>
      <c r="F515" t="str">
        <f t="shared" si="10"/>
        <v>33140000</v>
      </c>
      <c r="H515" t="s">
        <v>4013</v>
      </c>
      <c r="K515" s="4">
        <v>294</v>
      </c>
    </row>
    <row r="516" spans="1:11" hidden="1" outlineLevel="2" x14ac:dyDescent="0.35">
      <c r="A516" t="s">
        <v>3115</v>
      </c>
      <c r="B516" s="1">
        <v>45726</v>
      </c>
      <c r="C516" t="str">
        <f>"554"</f>
        <v>554</v>
      </c>
      <c r="D516" t="s">
        <v>4028</v>
      </c>
      <c r="E516" t="str">
        <f>"183459"</f>
        <v>183459</v>
      </c>
      <c r="F516" t="str">
        <f t="shared" si="10"/>
        <v>33140000</v>
      </c>
      <c r="H516" t="s">
        <v>4029</v>
      </c>
      <c r="K516" s="4">
        <v>673</v>
      </c>
    </row>
    <row r="517" spans="1:11" hidden="1" outlineLevel="2" x14ac:dyDescent="0.35">
      <c r="A517" t="s">
        <v>3115</v>
      </c>
      <c r="B517" s="1">
        <v>45726</v>
      </c>
      <c r="C517" t="str">
        <f>"555"</f>
        <v>555</v>
      </c>
      <c r="D517" t="s">
        <v>4030</v>
      </c>
      <c r="F517" t="str">
        <f t="shared" si="10"/>
        <v>33140000</v>
      </c>
      <c r="H517" t="s">
        <v>4031</v>
      </c>
      <c r="K517" s="4">
        <v>61766</v>
      </c>
    </row>
    <row r="518" spans="1:11" hidden="1" outlineLevel="2" x14ac:dyDescent="0.35">
      <c r="A518" t="s">
        <v>3115</v>
      </c>
      <c r="B518" s="1">
        <v>45727</v>
      </c>
      <c r="C518" t="str">
        <f>"559"</f>
        <v>559</v>
      </c>
      <c r="D518" t="s">
        <v>4038</v>
      </c>
      <c r="E518" t="str">
        <f>"147213"</f>
        <v>147213</v>
      </c>
      <c r="F518" t="str">
        <f t="shared" si="10"/>
        <v>33140000</v>
      </c>
      <c r="H518" t="s">
        <v>4039</v>
      </c>
      <c r="K518" s="4">
        <v>294</v>
      </c>
    </row>
    <row r="519" spans="1:11" hidden="1" outlineLevel="2" x14ac:dyDescent="0.35">
      <c r="A519" t="s">
        <v>3115</v>
      </c>
      <c r="B519" s="1">
        <v>45727</v>
      </c>
      <c r="C519" t="str">
        <f>"566"</f>
        <v>566</v>
      </c>
      <c r="D519" t="s">
        <v>4052</v>
      </c>
      <c r="E519" t="str">
        <f>"181013"</f>
        <v>181013</v>
      </c>
      <c r="F519" t="str">
        <f t="shared" si="10"/>
        <v>33140000</v>
      </c>
      <c r="H519" t="s">
        <v>4053</v>
      </c>
      <c r="K519" s="4">
        <v>125000</v>
      </c>
    </row>
    <row r="520" spans="1:11" hidden="1" outlineLevel="2" x14ac:dyDescent="0.35">
      <c r="A520" t="s">
        <v>3115</v>
      </c>
      <c r="B520" s="1">
        <v>45727</v>
      </c>
      <c r="C520" t="str">
        <f>"567"</f>
        <v>567</v>
      </c>
      <c r="D520" t="s">
        <v>4054</v>
      </c>
      <c r="E520" t="str">
        <f>"181032"</f>
        <v>181032</v>
      </c>
      <c r="F520" t="str">
        <f t="shared" si="10"/>
        <v>33140000</v>
      </c>
      <c r="H520" t="s">
        <v>4055</v>
      </c>
      <c r="K520" s="4">
        <v>65000</v>
      </c>
    </row>
    <row r="521" spans="1:11" hidden="1" outlineLevel="2" x14ac:dyDescent="0.35">
      <c r="A521" t="s">
        <v>3115</v>
      </c>
      <c r="B521" s="1">
        <v>45727</v>
      </c>
      <c r="C521" t="str">
        <f>"578"</f>
        <v>578</v>
      </c>
      <c r="D521" t="s">
        <v>4076</v>
      </c>
      <c r="E521" t="str">
        <f>"182146"</f>
        <v>182146</v>
      </c>
      <c r="F521" t="str">
        <f t="shared" si="10"/>
        <v>33140000</v>
      </c>
      <c r="H521" t="s">
        <v>4077</v>
      </c>
      <c r="K521" s="4">
        <v>39000</v>
      </c>
    </row>
    <row r="522" spans="1:11" hidden="1" outlineLevel="2" x14ac:dyDescent="0.35">
      <c r="A522" t="s">
        <v>3115</v>
      </c>
      <c r="B522" s="1">
        <v>45727</v>
      </c>
      <c r="C522" t="str">
        <f>"581"</f>
        <v>581</v>
      </c>
      <c r="D522" t="s">
        <v>4082</v>
      </c>
      <c r="E522" t="str">
        <f>"180458"</f>
        <v>180458</v>
      </c>
      <c r="F522" t="str">
        <f t="shared" si="10"/>
        <v>33140000</v>
      </c>
      <c r="H522" t="s">
        <v>4083</v>
      </c>
      <c r="K522" s="4">
        <v>6900</v>
      </c>
    </row>
    <row r="523" spans="1:11" hidden="1" outlineLevel="2" x14ac:dyDescent="0.35">
      <c r="A523" t="s">
        <v>3115</v>
      </c>
      <c r="B523" s="1">
        <v>45727</v>
      </c>
      <c r="C523" t="str">
        <f>"582"</f>
        <v>582</v>
      </c>
      <c r="D523" t="s">
        <v>4084</v>
      </c>
      <c r="E523" t="str">
        <f>"182443"</f>
        <v>182443</v>
      </c>
      <c r="F523" t="str">
        <f t="shared" si="10"/>
        <v>33140000</v>
      </c>
      <c r="H523" t="s">
        <v>4085</v>
      </c>
      <c r="K523" s="4">
        <v>7683</v>
      </c>
    </row>
    <row r="524" spans="1:11" hidden="1" outlineLevel="2" x14ac:dyDescent="0.35">
      <c r="A524" t="s">
        <v>3115</v>
      </c>
      <c r="B524" s="1">
        <v>45727</v>
      </c>
      <c r="C524" t="str">
        <f>"590"</f>
        <v>590</v>
      </c>
      <c r="D524" t="s">
        <v>4100</v>
      </c>
      <c r="E524" t="str">
        <f>"180847"</f>
        <v>180847</v>
      </c>
      <c r="F524" t="str">
        <f t="shared" si="10"/>
        <v>33140000</v>
      </c>
      <c r="H524" t="s">
        <v>4101</v>
      </c>
      <c r="K524" s="4">
        <v>4500</v>
      </c>
    </row>
    <row r="525" spans="1:11" hidden="1" outlineLevel="2" x14ac:dyDescent="0.35">
      <c r="A525" t="s">
        <v>3115</v>
      </c>
      <c r="B525" s="1">
        <v>45727</v>
      </c>
      <c r="C525" t="str">
        <f>"596"</f>
        <v>596</v>
      </c>
      <c r="D525" t="s">
        <v>4112</v>
      </c>
      <c r="E525" t="str">
        <f>"182145"</f>
        <v>182145</v>
      </c>
      <c r="F525" t="str">
        <f t="shared" si="10"/>
        <v>33140000</v>
      </c>
      <c r="H525" t="s">
        <v>4113</v>
      </c>
      <c r="K525" s="4">
        <v>13583</v>
      </c>
    </row>
    <row r="526" spans="1:11" hidden="1" outlineLevel="2" x14ac:dyDescent="0.35">
      <c r="A526" t="s">
        <v>3115</v>
      </c>
      <c r="B526" s="1">
        <v>45727</v>
      </c>
      <c r="C526" t="str">
        <f>"597"</f>
        <v>597</v>
      </c>
      <c r="D526" t="s">
        <v>4114</v>
      </c>
      <c r="E526" t="str">
        <f>"182144"</f>
        <v>182144</v>
      </c>
      <c r="F526" t="str">
        <f t="shared" si="10"/>
        <v>33140000</v>
      </c>
      <c r="H526" t="s">
        <v>4115</v>
      </c>
      <c r="K526" s="4">
        <v>3270</v>
      </c>
    </row>
    <row r="527" spans="1:11" hidden="1" outlineLevel="2" x14ac:dyDescent="0.35">
      <c r="A527" t="s">
        <v>3115</v>
      </c>
      <c r="B527" s="1">
        <v>45728</v>
      </c>
      <c r="C527" t="str">
        <f>"601"</f>
        <v>601</v>
      </c>
      <c r="D527" t="s">
        <v>4122</v>
      </c>
      <c r="E527" t="str">
        <f>"183467"</f>
        <v>183467</v>
      </c>
      <c r="F527" t="str">
        <f t="shared" si="10"/>
        <v>33140000</v>
      </c>
      <c r="H527" t="s">
        <v>4123</v>
      </c>
      <c r="K527" s="4">
        <v>53966</v>
      </c>
    </row>
    <row r="528" spans="1:11" hidden="1" outlineLevel="2" x14ac:dyDescent="0.35">
      <c r="A528" t="s">
        <v>3115</v>
      </c>
      <c r="B528" s="1">
        <v>45728</v>
      </c>
      <c r="C528" t="str">
        <f>"602"</f>
        <v>602</v>
      </c>
      <c r="D528" t="s">
        <v>4124</v>
      </c>
      <c r="E528" t="str">
        <f>"183466"</f>
        <v>183466</v>
      </c>
      <c r="F528" t="str">
        <f t="shared" si="10"/>
        <v>33140000</v>
      </c>
      <c r="H528" t="s">
        <v>4125</v>
      </c>
      <c r="K528" s="4">
        <v>13583</v>
      </c>
    </row>
    <row r="529" spans="1:11" hidden="1" outlineLevel="2" x14ac:dyDescent="0.35">
      <c r="A529" t="s">
        <v>3115</v>
      </c>
      <c r="B529" s="1">
        <v>45728</v>
      </c>
      <c r="C529" t="str">
        <f>"603"</f>
        <v>603</v>
      </c>
      <c r="D529" t="s">
        <v>4126</v>
      </c>
      <c r="E529" t="str">
        <f>"183329"</f>
        <v>183329</v>
      </c>
      <c r="F529" t="str">
        <f t="shared" si="10"/>
        <v>33140000</v>
      </c>
      <c r="H529" t="s">
        <v>4127</v>
      </c>
      <c r="K529" s="4">
        <v>8400</v>
      </c>
    </row>
    <row r="530" spans="1:11" hidden="1" outlineLevel="2" x14ac:dyDescent="0.35">
      <c r="A530" t="s">
        <v>3115</v>
      </c>
      <c r="B530" s="1">
        <v>45728</v>
      </c>
      <c r="C530" t="str">
        <f>"607"</f>
        <v>607</v>
      </c>
      <c r="D530" t="s">
        <v>4134</v>
      </c>
      <c r="E530" t="str">
        <f>"176321"</f>
        <v>176321</v>
      </c>
      <c r="F530" t="str">
        <f t="shared" si="10"/>
        <v>33140000</v>
      </c>
      <c r="H530" t="s">
        <v>4135</v>
      </c>
      <c r="K530" s="4">
        <v>4500</v>
      </c>
    </row>
    <row r="531" spans="1:11" hidden="1" outlineLevel="2" x14ac:dyDescent="0.35">
      <c r="A531" t="s">
        <v>3115</v>
      </c>
      <c r="B531" s="1">
        <v>45728</v>
      </c>
      <c r="C531" t="str">
        <f>"610"</f>
        <v>610</v>
      </c>
      <c r="D531" t="s">
        <v>4140</v>
      </c>
      <c r="E531" t="str">
        <f>"183330"</f>
        <v>183330</v>
      </c>
      <c r="F531" t="str">
        <f t="shared" si="10"/>
        <v>33140000</v>
      </c>
      <c r="H531" t="s">
        <v>4141</v>
      </c>
      <c r="K531" s="4">
        <v>196</v>
      </c>
    </row>
    <row r="532" spans="1:11" hidden="1" outlineLevel="2" x14ac:dyDescent="0.35">
      <c r="A532" t="s">
        <v>3115</v>
      </c>
      <c r="B532" s="1">
        <v>45728</v>
      </c>
      <c r="C532" t="str">
        <f>"611"</f>
        <v>611</v>
      </c>
      <c r="D532" t="s">
        <v>4142</v>
      </c>
      <c r="E532" t="str">
        <f>"180850"</f>
        <v>180850</v>
      </c>
      <c r="F532" t="str">
        <f t="shared" si="10"/>
        <v>33140000</v>
      </c>
      <c r="H532" t="s">
        <v>4143</v>
      </c>
      <c r="K532" s="4">
        <v>1500</v>
      </c>
    </row>
    <row r="533" spans="1:11" hidden="1" outlineLevel="2" x14ac:dyDescent="0.35">
      <c r="A533" t="s">
        <v>3115</v>
      </c>
      <c r="B533" s="1">
        <v>45728</v>
      </c>
      <c r="C533" t="str">
        <f>"623"</f>
        <v>623</v>
      </c>
      <c r="D533" t="s">
        <v>4166</v>
      </c>
      <c r="E533" t="str">
        <f>"182447"</f>
        <v>182447</v>
      </c>
      <c r="F533" t="str">
        <f t="shared" si="10"/>
        <v>33140000</v>
      </c>
      <c r="H533" t="s">
        <v>4167</v>
      </c>
      <c r="K533" s="4">
        <v>1136</v>
      </c>
    </row>
    <row r="534" spans="1:11" hidden="1" outlineLevel="2" x14ac:dyDescent="0.35">
      <c r="A534" t="s">
        <v>3115</v>
      </c>
      <c r="B534" s="1">
        <v>45728</v>
      </c>
      <c r="C534" t="str">
        <f>"624"</f>
        <v>624</v>
      </c>
      <c r="D534" t="s">
        <v>4168</v>
      </c>
      <c r="E534" t="str">
        <f>"182448"</f>
        <v>182448</v>
      </c>
      <c r="F534" t="str">
        <f t="shared" si="10"/>
        <v>33140000</v>
      </c>
      <c r="H534" t="s">
        <v>4169</v>
      </c>
      <c r="K534" s="4">
        <v>336</v>
      </c>
    </row>
    <row r="535" spans="1:11" hidden="1" outlineLevel="2" x14ac:dyDescent="0.35">
      <c r="A535" t="s">
        <v>3115</v>
      </c>
      <c r="B535" s="1">
        <v>45728</v>
      </c>
      <c r="C535" t="str">
        <f>"625"</f>
        <v>625</v>
      </c>
      <c r="D535" t="s">
        <v>4170</v>
      </c>
      <c r="E535" t="str">
        <f>"182449"</f>
        <v>182449</v>
      </c>
      <c r="F535" t="str">
        <f t="shared" si="10"/>
        <v>33140000</v>
      </c>
      <c r="H535" t="s">
        <v>4171</v>
      </c>
      <c r="K535" s="4">
        <v>1150</v>
      </c>
    </row>
    <row r="536" spans="1:11" hidden="1" outlineLevel="2" x14ac:dyDescent="0.35">
      <c r="A536" t="s">
        <v>3115</v>
      </c>
      <c r="B536" s="1">
        <v>45728</v>
      </c>
      <c r="C536" t="str">
        <f>"626"</f>
        <v>626</v>
      </c>
      <c r="D536" t="s">
        <v>4172</v>
      </c>
      <c r="E536" t="str">
        <f>"182446"</f>
        <v>182446</v>
      </c>
      <c r="F536" t="str">
        <f t="shared" si="10"/>
        <v>33140000</v>
      </c>
      <c r="H536" t="s">
        <v>4173</v>
      </c>
      <c r="K536" s="4">
        <v>4754</v>
      </c>
    </row>
    <row r="537" spans="1:11" hidden="1" outlineLevel="2" x14ac:dyDescent="0.35">
      <c r="A537" t="s">
        <v>3115</v>
      </c>
      <c r="B537" s="1">
        <v>45728</v>
      </c>
      <c r="C537" t="str">
        <f>"630"</f>
        <v>630</v>
      </c>
      <c r="D537" t="s">
        <v>4180</v>
      </c>
      <c r="E537" t="str">
        <f>"182444"</f>
        <v>182444</v>
      </c>
      <c r="F537" t="str">
        <f t="shared" si="10"/>
        <v>33140000</v>
      </c>
      <c r="H537" t="s">
        <v>4181</v>
      </c>
      <c r="K537" s="4">
        <v>233</v>
      </c>
    </row>
    <row r="538" spans="1:11" hidden="1" outlineLevel="2" x14ac:dyDescent="0.35">
      <c r="A538" t="s">
        <v>3115</v>
      </c>
      <c r="B538" s="1">
        <v>45729</v>
      </c>
      <c r="C538" t="str">
        <f>"648"</f>
        <v>648</v>
      </c>
      <c r="D538" t="s">
        <v>4216</v>
      </c>
      <c r="E538" t="str">
        <f>"147266"</f>
        <v>147266</v>
      </c>
      <c r="F538" t="str">
        <f t="shared" si="10"/>
        <v>33140000</v>
      </c>
      <c r="H538" t="s">
        <v>4217</v>
      </c>
      <c r="K538" s="4">
        <v>328</v>
      </c>
    </row>
    <row r="539" spans="1:11" hidden="1" outlineLevel="2" x14ac:dyDescent="0.35">
      <c r="A539" t="s">
        <v>3115</v>
      </c>
      <c r="B539" s="1">
        <v>45729</v>
      </c>
      <c r="C539" t="str">
        <f>"658"</f>
        <v>658</v>
      </c>
      <c r="D539" t="s">
        <v>4236</v>
      </c>
      <c r="E539" t="str">
        <f>"183470"</f>
        <v>183470</v>
      </c>
      <c r="F539" t="str">
        <f t="shared" si="10"/>
        <v>33140000</v>
      </c>
      <c r="H539" t="s">
        <v>4237</v>
      </c>
      <c r="K539" s="4">
        <v>673</v>
      </c>
    </row>
    <row r="540" spans="1:11" hidden="1" outlineLevel="2" x14ac:dyDescent="0.35">
      <c r="A540" t="s">
        <v>3115</v>
      </c>
      <c r="B540" s="1">
        <v>45729</v>
      </c>
      <c r="C540" t="str">
        <f>"663"</f>
        <v>663</v>
      </c>
      <c r="D540" t="s">
        <v>4246</v>
      </c>
      <c r="E540" t="str">
        <f>"183331"</f>
        <v>183331</v>
      </c>
      <c r="F540" t="str">
        <f t="shared" si="10"/>
        <v>33140000</v>
      </c>
      <c r="H540" t="s">
        <v>4247</v>
      </c>
      <c r="K540" s="4">
        <v>588</v>
      </c>
    </row>
    <row r="541" spans="1:11" hidden="1" outlineLevel="2" x14ac:dyDescent="0.35">
      <c r="A541" t="s">
        <v>3115</v>
      </c>
      <c r="B541" s="1">
        <v>45729</v>
      </c>
      <c r="C541" t="str">
        <f>"664"</f>
        <v>664</v>
      </c>
      <c r="D541" t="s">
        <v>4248</v>
      </c>
      <c r="E541" t="str">
        <f>"183469"</f>
        <v>183469</v>
      </c>
      <c r="F541" t="str">
        <f t="shared" si="10"/>
        <v>33140000</v>
      </c>
      <c r="H541" t="s">
        <v>4249</v>
      </c>
      <c r="K541" s="4">
        <v>17820</v>
      </c>
    </row>
    <row r="542" spans="1:11" hidden="1" outlineLevel="2" x14ac:dyDescent="0.35">
      <c r="A542" t="s">
        <v>3115</v>
      </c>
      <c r="B542" s="1">
        <v>45729</v>
      </c>
      <c r="C542" t="str">
        <f>"667"</f>
        <v>667</v>
      </c>
      <c r="D542" t="s">
        <v>4254</v>
      </c>
      <c r="E542" t="str">
        <f>"178446"</f>
        <v>178446</v>
      </c>
      <c r="F542" t="str">
        <f t="shared" si="10"/>
        <v>33140000</v>
      </c>
      <c r="H542" t="s">
        <v>4255</v>
      </c>
      <c r="K542" s="4">
        <v>17500</v>
      </c>
    </row>
    <row r="543" spans="1:11" hidden="1" outlineLevel="2" x14ac:dyDescent="0.35">
      <c r="A543" t="s">
        <v>3115</v>
      </c>
      <c r="B543" s="1">
        <v>45729</v>
      </c>
      <c r="C543" t="str">
        <f>"672"</f>
        <v>672</v>
      </c>
      <c r="D543" t="s">
        <v>4264</v>
      </c>
      <c r="E543" t="str">
        <f>"182148"</f>
        <v>182148</v>
      </c>
      <c r="F543" t="str">
        <f t="shared" si="10"/>
        <v>33140000</v>
      </c>
      <c r="H543" t="s">
        <v>4265</v>
      </c>
      <c r="K543" s="4">
        <v>1150</v>
      </c>
    </row>
    <row r="544" spans="1:11" hidden="1" outlineLevel="2" x14ac:dyDescent="0.35">
      <c r="A544" t="s">
        <v>3115</v>
      </c>
      <c r="B544" s="1">
        <v>45729</v>
      </c>
      <c r="C544" t="str">
        <f>"688"</f>
        <v>688</v>
      </c>
      <c r="D544" t="s">
        <v>4296</v>
      </c>
      <c r="E544" t="str">
        <f>"182450"</f>
        <v>182450</v>
      </c>
      <c r="F544" t="str">
        <f t="shared" si="10"/>
        <v>33140000</v>
      </c>
      <c r="H544" t="s">
        <v>4297</v>
      </c>
      <c r="K544" s="4">
        <v>673</v>
      </c>
    </row>
    <row r="545" spans="1:11" hidden="1" outlineLevel="2" x14ac:dyDescent="0.35">
      <c r="A545" t="s">
        <v>3115</v>
      </c>
      <c r="B545" s="1">
        <v>45730</v>
      </c>
      <c r="C545" t="str">
        <f>"180"</f>
        <v>180</v>
      </c>
      <c r="D545" t="s">
        <v>4326</v>
      </c>
      <c r="E545" t="str">
        <f>"180501"</f>
        <v>180501</v>
      </c>
      <c r="F545" t="str">
        <f t="shared" si="10"/>
        <v>33140000</v>
      </c>
      <c r="H545" t="s">
        <v>4327</v>
      </c>
      <c r="K545" s="4">
        <v>1718</v>
      </c>
    </row>
    <row r="546" spans="1:11" hidden="1" outlineLevel="2" x14ac:dyDescent="0.35">
      <c r="A546" t="s">
        <v>3115</v>
      </c>
      <c r="B546" s="1">
        <v>45730</v>
      </c>
      <c r="C546" t="str">
        <f>"182"</f>
        <v>182</v>
      </c>
      <c r="D546" t="s">
        <v>4330</v>
      </c>
      <c r="E546" t="str">
        <f>"170472"</f>
        <v>170472</v>
      </c>
      <c r="F546" t="str">
        <f t="shared" si="10"/>
        <v>33140000</v>
      </c>
      <c r="H546" t="s">
        <v>4331</v>
      </c>
      <c r="K546" s="4">
        <v>35000</v>
      </c>
    </row>
    <row r="547" spans="1:11" hidden="1" outlineLevel="2" x14ac:dyDescent="0.35">
      <c r="A547" t="s">
        <v>3115</v>
      </c>
      <c r="B547" s="1">
        <v>45730</v>
      </c>
      <c r="C547" t="str">
        <f>"183"</f>
        <v>183</v>
      </c>
      <c r="D547" t="s">
        <v>4332</v>
      </c>
      <c r="E547" t="str">
        <f>"170653"</f>
        <v>170653</v>
      </c>
      <c r="F547" t="str">
        <f t="shared" si="10"/>
        <v>33140000</v>
      </c>
      <c r="H547" t="s">
        <v>4333</v>
      </c>
      <c r="K547" s="4">
        <v>35000</v>
      </c>
    </row>
    <row r="548" spans="1:11" hidden="1" outlineLevel="2" x14ac:dyDescent="0.35">
      <c r="A548" t="s">
        <v>3115</v>
      </c>
      <c r="B548" s="1">
        <v>45730</v>
      </c>
      <c r="C548" t="str">
        <f>"187"</f>
        <v>187</v>
      </c>
      <c r="D548" t="s">
        <v>4340</v>
      </c>
      <c r="E548" t="str">
        <f>"162592"</f>
        <v>162592</v>
      </c>
      <c r="F548" t="str">
        <f t="shared" si="10"/>
        <v>33140000</v>
      </c>
      <c r="H548" t="s">
        <v>4341</v>
      </c>
      <c r="K548" s="4">
        <v>350</v>
      </c>
    </row>
    <row r="549" spans="1:11" hidden="1" outlineLevel="2" x14ac:dyDescent="0.35">
      <c r="A549" t="s">
        <v>3115</v>
      </c>
      <c r="B549" s="1">
        <v>45730</v>
      </c>
      <c r="C549" t="str">
        <f>"189"</f>
        <v>189</v>
      </c>
      <c r="D549" t="s">
        <v>4344</v>
      </c>
      <c r="E549" t="str">
        <f>"181841"</f>
        <v>181841</v>
      </c>
      <c r="F549" t="str">
        <f t="shared" si="10"/>
        <v>33140000</v>
      </c>
      <c r="H549" t="s">
        <v>4345</v>
      </c>
      <c r="K549" s="4">
        <v>1500</v>
      </c>
    </row>
    <row r="550" spans="1:11" hidden="1" outlineLevel="2" x14ac:dyDescent="0.35">
      <c r="A550" t="s">
        <v>3115</v>
      </c>
      <c r="B550" s="1">
        <v>45730</v>
      </c>
      <c r="C550" t="str">
        <f>"190"</f>
        <v>190</v>
      </c>
      <c r="D550" t="s">
        <v>4346</v>
      </c>
      <c r="E550" t="str">
        <f>"183334"</f>
        <v>183334</v>
      </c>
      <c r="F550" t="str">
        <f t="shared" si="10"/>
        <v>33140000</v>
      </c>
      <c r="H550" t="s">
        <v>4347</v>
      </c>
      <c r="K550" s="4">
        <v>72900</v>
      </c>
    </row>
    <row r="551" spans="1:11" hidden="1" outlineLevel="2" x14ac:dyDescent="0.35">
      <c r="A551" t="s">
        <v>3115</v>
      </c>
      <c r="B551" s="1">
        <v>45730</v>
      </c>
      <c r="C551" t="str">
        <f>"193"</f>
        <v>193</v>
      </c>
      <c r="D551" t="s">
        <v>4352</v>
      </c>
      <c r="E551" t="str">
        <f>"183473"</f>
        <v>183473</v>
      </c>
      <c r="F551" t="str">
        <f t="shared" si="10"/>
        <v>33140000</v>
      </c>
      <c r="H551" t="s">
        <v>4353</v>
      </c>
      <c r="K551" s="4">
        <v>673</v>
      </c>
    </row>
    <row r="552" spans="1:11" hidden="1" outlineLevel="2" x14ac:dyDescent="0.35">
      <c r="A552" t="s">
        <v>3115</v>
      </c>
      <c r="B552" s="1">
        <v>45730</v>
      </c>
      <c r="C552" t="str">
        <f>"194"</f>
        <v>194</v>
      </c>
      <c r="D552" t="s">
        <v>4354</v>
      </c>
      <c r="E552" t="str">
        <f>"183355"</f>
        <v>183355</v>
      </c>
      <c r="F552" t="str">
        <f t="shared" si="10"/>
        <v>33140000</v>
      </c>
      <c r="H552" t="s">
        <v>4355</v>
      </c>
      <c r="K552" s="4">
        <v>9168</v>
      </c>
    </row>
    <row r="553" spans="1:11" hidden="1" outlineLevel="2" x14ac:dyDescent="0.35">
      <c r="A553" t="s">
        <v>3115</v>
      </c>
      <c r="B553" s="1">
        <v>45730</v>
      </c>
      <c r="C553" t="str">
        <f>"195"</f>
        <v>195</v>
      </c>
      <c r="D553" t="s">
        <v>4356</v>
      </c>
      <c r="E553" t="str">
        <f>"183354"</f>
        <v>183354</v>
      </c>
      <c r="F553" t="str">
        <f t="shared" si="10"/>
        <v>33140000</v>
      </c>
      <c r="H553" t="s">
        <v>4357</v>
      </c>
      <c r="K553" s="4">
        <v>18336</v>
      </c>
    </row>
    <row r="554" spans="1:11" hidden="1" outlineLevel="2" x14ac:dyDescent="0.35">
      <c r="A554" t="s">
        <v>3115</v>
      </c>
      <c r="B554" s="1">
        <v>45730</v>
      </c>
      <c r="C554" t="str">
        <f>"196"</f>
        <v>196</v>
      </c>
      <c r="D554" t="s">
        <v>4358</v>
      </c>
      <c r="E554" t="str">
        <f>"182087"</f>
        <v>182087</v>
      </c>
      <c r="F554" t="str">
        <f t="shared" si="10"/>
        <v>33140000</v>
      </c>
      <c r="H554" t="s">
        <v>4359</v>
      </c>
      <c r="K554" s="4">
        <v>328</v>
      </c>
    </row>
    <row r="555" spans="1:11" hidden="1" outlineLevel="2" x14ac:dyDescent="0.35">
      <c r="A555" t="s">
        <v>3115</v>
      </c>
      <c r="B555" s="1">
        <v>45730</v>
      </c>
      <c r="C555" t="str">
        <f>"199"</f>
        <v>199</v>
      </c>
      <c r="D555" t="s">
        <v>4364</v>
      </c>
      <c r="E555" t="str">
        <f>"183471"</f>
        <v>183471</v>
      </c>
      <c r="F555" t="str">
        <f t="shared" si="10"/>
        <v>33140000</v>
      </c>
      <c r="H555" t="s">
        <v>4365</v>
      </c>
      <c r="K555" s="4">
        <v>1346</v>
      </c>
    </row>
    <row r="556" spans="1:11" hidden="1" outlineLevel="2" x14ac:dyDescent="0.35">
      <c r="A556" t="s">
        <v>3115</v>
      </c>
      <c r="B556" s="1">
        <v>45730</v>
      </c>
      <c r="C556" t="str">
        <f>"200"</f>
        <v>200</v>
      </c>
      <c r="D556" t="s">
        <v>4366</v>
      </c>
      <c r="E556" t="str">
        <f>"181246"</f>
        <v>181246</v>
      </c>
      <c r="F556" t="str">
        <f t="shared" si="10"/>
        <v>33140000</v>
      </c>
      <c r="H556" t="s">
        <v>4367</v>
      </c>
      <c r="K556" s="4">
        <v>900</v>
      </c>
    </row>
    <row r="557" spans="1:11" hidden="1" outlineLevel="2" x14ac:dyDescent="0.35">
      <c r="A557" t="s">
        <v>3115</v>
      </c>
      <c r="B557" s="1">
        <v>45730</v>
      </c>
      <c r="C557" t="str">
        <f>"201"</f>
        <v>201</v>
      </c>
      <c r="D557" t="s">
        <v>4368</v>
      </c>
      <c r="E557" t="str">
        <f>"183472"</f>
        <v>183472</v>
      </c>
      <c r="F557" t="str">
        <f t="shared" si="10"/>
        <v>33140000</v>
      </c>
      <c r="H557" t="s">
        <v>4369</v>
      </c>
      <c r="K557" s="4">
        <v>14966</v>
      </c>
    </row>
    <row r="558" spans="1:11" hidden="1" outlineLevel="2" x14ac:dyDescent="0.35">
      <c r="A558" t="s">
        <v>3115</v>
      </c>
      <c r="B558" s="1">
        <v>45730</v>
      </c>
      <c r="C558" t="str">
        <f>"204"</f>
        <v>204</v>
      </c>
      <c r="D558" t="s">
        <v>4374</v>
      </c>
      <c r="E558" t="str">
        <f>"181748"</f>
        <v>181748</v>
      </c>
      <c r="F558" t="str">
        <f t="shared" si="10"/>
        <v>33140000</v>
      </c>
      <c r="H558" t="s">
        <v>4375</v>
      </c>
      <c r="K558" s="4">
        <v>43650</v>
      </c>
    </row>
    <row r="559" spans="1:11" hidden="1" outlineLevel="2" x14ac:dyDescent="0.35">
      <c r="A559" t="s">
        <v>3115</v>
      </c>
      <c r="B559" s="1">
        <v>45730</v>
      </c>
      <c r="C559" t="str">
        <f>"205"</f>
        <v>205</v>
      </c>
      <c r="D559" t="s">
        <v>4376</v>
      </c>
      <c r="E559" t="str">
        <f>"182206"</f>
        <v>182206</v>
      </c>
      <c r="F559" t="str">
        <f t="shared" si="10"/>
        <v>33140000</v>
      </c>
      <c r="H559" t="s">
        <v>4377</v>
      </c>
      <c r="K559" s="4">
        <v>700</v>
      </c>
    </row>
    <row r="560" spans="1:11" hidden="1" outlineLevel="2" x14ac:dyDescent="0.35">
      <c r="A560" t="s">
        <v>3115</v>
      </c>
      <c r="B560" s="1">
        <v>45730</v>
      </c>
      <c r="C560" t="str">
        <f>"1141"</f>
        <v>1141</v>
      </c>
      <c r="D560" t="s">
        <v>4382</v>
      </c>
      <c r="E560" t="str">
        <f>"181949"</f>
        <v>181949</v>
      </c>
      <c r="F560" t="str">
        <f t="shared" si="10"/>
        <v>33140000</v>
      </c>
      <c r="H560" t="s">
        <v>4383</v>
      </c>
      <c r="K560" s="4">
        <v>3000</v>
      </c>
    </row>
    <row r="561" spans="1:11" hidden="1" outlineLevel="2" x14ac:dyDescent="0.35">
      <c r="A561" t="s">
        <v>3115</v>
      </c>
      <c r="B561" s="1">
        <v>45730</v>
      </c>
      <c r="C561" t="str">
        <f>"1143"</f>
        <v>1143</v>
      </c>
      <c r="D561" t="s">
        <v>4386</v>
      </c>
      <c r="E561" t="str">
        <f>"183335"</f>
        <v>183335</v>
      </c>
      <c r="F561" t="str">
        <f t="shared" si="10"/>
        <v>33140000</v>
      </c>
      <c r="H561" t="s">
        <v>4387</v>
      </c>
      <c r="K561" s="4">
        <v>294</v>
      </c>
    </row>
    <row r="562" spans="1:11" hidden="1" outlineLevel="2" x14ac:dyDescent="0.35">
      <c r="A562" t="s">
        <v>3115</v>
      </c>
      <c r="B562" s="1">
        <v>45730</v>
      </c>
      <c r="C562" t="str">
        <f>"1152"</f>
        <v>1152</v>
      </c>
      <c r="D562" t="s">
        <v>4404</v>
      </c>
      <c r="E562" t="str">
        <f>"147267"</f>
        <v>147267</v>
      </c>
      <c r="F562" t="str">
        <f t="shared" si="10"/>
        <v>33140000</v>
      </c>
      <c r="H562" t="s">
        <v>4405</v>
      </c>
      <c r="K562" s="4">
        <v>6888</v>
      </c>
    </row>
    <row r="563" spans="1:11" hidden="1" outlineLevel="2" x14ac:dyDescent="0.35">
      <c r="A563" t="s">
        <v>3115</v>
      </c>
      <c r="B563" s="1">
        <v>45731</v>
      </c>
      <c r="C563" t="str">
        <f>"763"</f>
        <v>763</v>
      </c>
      <c r="D563" t="s">
        <v>4420</v>
      </c>
      <c r="E563" t="str">
        <f>"183474"</f>
        <v>183474</v>
      </c>
      <c r="F563" t="str">
        <f t="shared" si="10"/>
        <v>33140000</v>
      </c>
      <c r="H563" t="s">
        <v>4421</v>
      </c>
      <c r="K563" s="4">
        <v>6900</v>
      </c>
    </row>
    <row r="564" spans="1:11" hidden="1" outlineLevel="2" x14ac:dyDescent="0.35">
      <c r="A564" t="s">
        <v>3115</v>
      </c>
      <c r="B564" s="1">
        <v>45731</v>
      </c>
      <c r="C564" t="str">
        <f>"768"</f>
        <v>768</v>
      </c>
      <c r="D564" t="s">
        <v>4430</v>
      </c>
      <c r="E564" t="str">
        <f>"181247"</f>
        <v>181247</v>
      </c>
      <c r="F564" t="str">
        <f t="shared" ref="F564:F627" si="11">"33140000"</f>
        <v>33140000</v>
      </c>
      <c r="H564" t="s">
        <v>4431</v>
      </c>
      <c r="K564" s="4">
        <v>147</v>
      </c>
    </row>
    <row r="565" spans="1:11" hidden="1" outlineLevel="2" x14ac:dyDescent="0.35">
      <c r="A565" t="s">
        <v>3115</v>
      </c>
      <c r="B565" s="1">
        <v>45732</v>
      </c>
      <c r="C565" t="str">
        <f>"752"</f>
        <v>752</v>
      </c>
      <c r="D565" t="s">
        <v>4436</v>
      </c>
      <c r="E565" t="str">
        <f>"182214"</f>
        <v>182214</v>
      </c>
      <c r="F565" t="str">
        <f t="shared" si="11"/>
        <v>33140000</v>
      </c>
      <c r="H565" t="s">
        <v>4437</v>
      </c>
      <c r="K565" s="4">
        <v>700</v>
      </c>
    </row>
    <row r="566" spans="1:11" hidden="1" outlineLevel="2" x14ac:dyDescent="0.35">
      <c r="A566" t="s">
        <v>3115</v>
      </c>
      <c r="B566" s="1">
        <v>45732</v>
      </c>
      <c r="C566" t="str">
        <f>"753"</f>
        <v>753</v>
      </c>
      <c r="D566" t="s">
        <v>4438</v>
      </c>
      <c r="E566" t="str">
        <f>"180502"</f>
        <v>180502</v>
      </c>
      <c r="F566" t="str">
        <f t="shared" si="11"/>
        <v>33140000</v>
      </c>
      <c r="H566" t="s">
        <v>4439</v>
      </c>
      <c r="K566" s="4">
        <v>13583</v>
      </c>
    </row>
    <row r="567" spans="1:11" hidden="1" outlineLevel="2" x14ac:dyDescent="0.35">
      <c r="A567" t="s">
        <v>3115</v>
      </c>
      <c r="B567" s="1">
        <v>45732</v>
      </c>
      <c r="C567" t="str">
        <f>"754"</f>
        <v>754</v>
      </c>
      <c r="D567" t="s">
        <v>4440</v>
      </c>
      <c r="E567" t="str">
        <f>"180503"</f>
        <v>180503</v>
      </c>
      <c r="F567" t="str">
        <f t="shared" si="11"/>
        <v>33140000</v>
      </c>
      <c r="H567" t="s">
        <v>4441</v>
      </c>
      <c r="K567" s="4">
        <v>435</v>
      </c>
    </row>
    <row r="568" spans="1:11" hidden="1" outlineLevel="2" x14ac:dyDescent="0.35">
      <c r="A568" t="s">
        <v>3115</v>
      </c>
      <c r="B568" s="1">
        <v>45733</v>
      </c>
      <c r="C568" t="str">
        <f>"696"</f>
        <v>696</v>
      </c>
      <c r="D568" t="s">
        <v>4454</v>
      </c>
      <c r="E568" t="str">
        <f>"181250"</f>
        <v>181250</v>
      </c>
      <c r="F568" t="str">
        <f t="shared" si="11"/>
        <v>33140000</v>
      </c>
      <c r="H568" t="s">
        <v>4455</v>
      </c>
      <c r="K568" s="4">
        <v>300</v>
      </c>
    </row>
    <row r="569" spans="1:11" hidden="1" outlineLevel="2" x14ac:dyDescent="0.35">
      <c r="A569" t="s">
        <v>3115</v>
      </c>
      <c r="B569" s="1">
        <v>45733</v>
      </c>
      <c r="C569" t="str">
        <f>"697"</f>
        <v>697</v>
      </c>
      <c r="D569" t="s">
        <v>4456</v>
      </c>
      <c r="E569" t="str">
        <f>"182276"</f>
        <v>182276</v>
      </c>
      <c r="F569" t="str">
        <f t="shared" si="11"/>
        <v>33140000</v>
      </c>
      <c r="H569" t="s">
        <v>4457</v>
      </c>
      <c r="K569" s="4">
        <v>39465</v>
      </c>
    </row>
    <row r="570" spans="1:11" hidden="1" outlineLevel="2" x14ac:dyDescent="0.35">
      <c r="A570" t="s">
        <v>3115</v>
      </c>
      <c r="B570" s="1">
        <v>45733</v>
      </c>
      <c r="C570" t="str">
        <f>"698"</f>
        <v>698</v>
      </c>
      <c r="D570" t="s">
        <v>4458</v>
      </c>
      <c r="E570" t="str">
        <f>"180505"</f>
        <v>180505</v>
      </c>
      <c r="F570" t="str">
        <f t="shared" si="11"/>
        <v>33140000</v>
      </c>
      <c r="H570" t="s">
        <v>4459</v>
      </c>
      <c r="K570" s="4">
        <v>2019</v>
      </c>
    </row>
    <row r="571" spans="1:11" hidden="1" outlineLevel="2" x14ac:dyDescent="0.35">
      <c r="A571" t="s">
        <v>3115</v>
      </c>
      <c r="B571" s="1">
        <v>45733</v>
      </c>
      <c r="C571" t="str">
        <f>"699"</f>
        <v>699</v>
      </c>
      <c r="D571" t="s">
        <v>4460</v>
      </c>
      <c r="E571" t="str">
        <f>"180506"</f>
        <v>180506</v>
      </c>
      <c r="F571" t="str">
        <f t="shared" si="11"/>
        <v>33140000</v>
      </c>
      <c r="H571" t="s">
        <v>4461</v>
      </c>
      <c r="K571" s="4">
        <v>356</v>
      </c>
    </row>
    <row r="572" spans="1:11" hidden="1" outlineLevel="2" x14ac:dyDescent="0.35">
      <c r="A572" t="s">
        <v>3115</v>
      </c>
      <c r="B572" s="1">
        <v>45733</v>
      </c>
      <c r="C572" t="str">
        <f>"704"</f>
        <v>704</v>
      </c>
      <c r="D572" t="s">
        <v>4470</v>
      </c>
      <c r="E572" t="str">
        <f>"182149"</f>
        <v>182149</v>
      </c>
      <c r="F572" t="str">
        <f t="shared" si="11"/>
        <v>33140000</v>
      </c>
      <c r="H572" t="s">
        <v>4471</v>
      </c>
      <c r="K572" s="4">
        <v>1346</v>
      </c>
    </row>
    <row r="573" spans="1:11" hidden="1" outlineLevel="2" x14ac:dyDescent="0.35">
      <c r="A573" t="s">
        <v>3115</v>
      </c>
      <c r="B573" s="1">
        <v>45733</v>
      </c>
      <c r="C573" t="str">
        <f>"708"</f>
        <v>708</v>
      </c>
      <c r="D573" t="s">
        <v>4478</v>
      </c>
      <c r="E573" t="str">
        <f>"182024"</f>
        <v>182024</v>
      </c>
      <c r="F573" t="str">
        <f t="shared" si="11"/>
        <v>33140000</v>
      </c>
      <c r="H573" t="s">
        <v>4479</v>
      </c>
      <c r="K573" s="4">
        <v>600</v>
      </c>
    </row>
    <row r="574" spans="1:11" hidden="1" outlineLevel="2" x14ac:dyDescent="0.35">
      <c r="A574" t="s">
        <v>3115</v>
      </c>
      <c r="B574" s="1">
        <v>45733</v>
      </c>
      <c r="C574" t="str">
        <f>"711"</f>
        <v>711</v>
      </c>
      <c r="D574" t="s">
        <v>4484</v>
      </c>
      <c r="E574" t="str">
        <f>"181826"</f>
        <v>181826</v>
      </c>
      <c r="F574" t="str">
        <f t="shared" si="11"/>
        <v>33140000</v>
      </c>
      <c r="H574" t="s">
        <v>4485</v>
      </c>
      <c r="K574" s="4">
        <v>1500</v>
      </c>
    </row>
    <row r="575" spans="1:11" hidden="1" outlineLevel="2" x14ac:dyDescent="0.35">
      <c r="A575" t="s">
        <v>3115</v>
      </c>
      <c r="B575" s="1">
        <v>45733</v>
      </c>
      <c r="C575" t="str">
        <f>"717"</f>
        <v>717</v>
      </c>
      <c r="D575" t="s">
        <v>4496</v>
      </c>
      <c r="E575" t="str">
        <f>"170698"</f>
        <v>170698</v>
      </c>
      <c r="F575" t="str">
        <f t="shared" si="11"/>
        <v>33140000</v>
      </c>
      <c r="H575" t="s">
        <v>4497</v>
      </c>
      <c r="K575" s="4">
        <v>35000</v>
      </c>
    </row>
    <row r="576" spans="1:11" hidden="1" outlineLevel="2" x14ac:dyDescent="0.35">
      <c r="A576" t="s">
        <v>3115</v>
      </c>
      <c r="B576" s="1">
        <v>45734</v>
      </c>
      <c r="C576" t="str">
        <f>"447"</f>
        <v>447</v>
      </c>
      <c r="D576" t="s">
        <v>4562</v>
      </c>
      <c r="E576" t="str">
        <f>"147214"</f>
        <v>147214</v>
      </c>
      <c r="F576" t="str">
        <f t="shared" si="11"/>
        <v>33140000</v>
      </c>
      <c r="H576" t="s">
        <v>4563</v>
      </c>
      <c r="K576" s="4">
        <v>918</v>
      </c>
    </row>
    <row r="577" spans="1:11" hidden="1" outlineLevel="2" x14ac:dyDescent="0.35">
      <c r="A577" t="s">
        <v>3115</v>
      </c>
      <c r="B577" s="1">
        <v>45734</v>
      </c>
      <c r="C577" t="str">
        <f>"451"</f>
        <v>451</v>
      </c>
      <c r="D577" t="s">
        <v>4570</v>
      </c>
      <c r="E577" t="str">
        <f>"183340"</f>
        <v>183340</v>
      </c>
      <c r="F577" t="str">
        <f t="shared" si="11"/>
        <v>33140000</v>
      </c>
      <c r="H577" t="s">
        <v>4571</v>
      </c>
      <c r="K577" s="4">
        <v>196</v>
      </c>
    </row>
    <row r="578" spans="1:11" hidden="1" outlineLevel="2" x14ac:dyDescent="0.35">
      <c r="A578" t="s">
        <v>3115</v>
      </c>
      <c r="B578" s="1">
        <v>45734</v>
      </c>
      <c r="C578" t="str">
        <f>"455"</f>
        <v>455</v>
      </c>
      <c r="D578" t="s">
        <v>4578</v>
      </c>
      <c r="E578" t="str">
        <f>"183478"</f>
        <v>183478</v>
      </c>
      <c r="F578" t="str">
        <f t="shared" si="11"/>
        <v>33140000</v>
      </c>
      <c r="H578" t="s">
        <v>4579</v>
      </c>
      <c r="K578" s="4">
        <v>1350</v>
      </c>
    </row>
    <row r="579" spans="1:11" hidden="1" outlineLevel="2" x14ac:dyDescent="0.35">
      <c r="A579" t="s">
        <v>3115</v>
      </c>
      <c r="B579" s="1">
        <v>45734</v>
      </c>
      <c r="C579" t="str">
        <f>"456"</f>
        <v>456</v>
      </c>
      <c r="D579" t="s">
        <v>4580</v>
      </c>
      <c r="E579" t="str">
        <f>"183565"</f>
        <v>183565</v>
      </c>
      <c r="F579" t="str">
        <f t="shared" si="11"/>
        <v>33140000</v>
      </c>
      <c r="H579" t="s">
        <v>4581</v>
      </c>
      <c r="K579" s="4">
        <v>1312</v>
      </c>
    </row>
    <row r="580" spans="1:11" hidden="1" outlineLevel="2" x14ac:dyDescent="0.35">
      <c r="A580" t="s">
        <v>3115</v>
      </c>
      <c r="B580" s="1">
        <v>45734</v>
      </c>
      <c r="C580" t="str">
        <f>"458"</f>
        <v>458</v>
      </c>
      <c r="D580" t="s">
        <v>4584</v>
      </c>
      <c r="E580" t="str">
        <f>"183477"</f>
        <v>183477</v>
      </c>
      <c r="F580" t="str">
        <f t="shared" si="11"/>
        <v>33140000</v>
      </c>
      <c r="H580" t="s">
        <v>4585</v>
      </c>
      <c r="K580" s="4">
        <v>1346</v>
      </c>
    </row>
    <row r="581" spans="1:11" hidden="1" outlineLevel="2" x14ac:dyDescent="0.35">
      <c r="A581" t="s">
        <v>3115</v>
      </c>
      <c r="B581" s="1">
        <v>45734</v>
      </c>
      <c r="C581" t="str">
        <f>"459"</f>
        <v>459</v>
      </c>
      <c r="D581" t="s">
        <v>4586</v>
      </c>
      <c r="E581" t="str">
        <f>"183337"</f>
        <v>183337</v>
      </c>
      <c r="F581" t="str">
        <f t="shared" si="11"/>
        <v>33140000</v>
      </c>
      <c r="H581" t="s">
        <v>4587</v>
      </c>
      <c r="K581" s="4">
        <v>294</v>
      </c>
    </row>
    <row r="582" spans="1:11" hidden="1" outlineLevel="2" x14ac:dyDescent="0.35">
      <c r="A582" t="s">
        <v>3115</v>
      </c>
      <c r="B582" s="1">
        <v>45734</v>
      </c>
      <c r="C582" t="str">
        <f>"462"</f>
        <v>462</v>
      </c>
      <c r="D582" t="s">
        <v>4592</v>
      </c>
      <c r="E582" t="str">
        <f>"183691"</f>
        <v>183691</v>
      </c>
      <c r="F582" t="str">
        <f t="shared" si="11"/>
        <v>33140000</v>
      </c>
      <c r="H582" t="s">
        <v>4593</v>
      </c>
      <c r="K582" s="4">
        <v>3000</v>
      </c>
    </row>
    <row r="583" spans="1:11" hidden="1" outlineLevel="2" x14ac:dyDescent="0.35">
      <c r="A583" t="s">
        <v>3115</v>
      </c>
      <c r="B583" s="1">
        <v>45734</v>
      </c>
      <c r="C583" t="str">
        <f>"464"</f>
        <v>464</v>
      </c>
      <c r="D583" t="s">
        <v>4596</v>
      </c>
      <c r="E583" t="str">
        <f>"182091"</f>
        <v>182091</v>
      </c>
      <c r="F583" t="str">
        <f t="shared" si="11"/>
        <v>33140000</v>
      </c>
      <c r="H583" t="s">
        <v>4597</v>
      </c>
      <c r="K583" s="4">
        <v>3000</v>
      </c>
    </row>
    <row r="584" spans="1:11" hidden="1" outlineLevel="2" x14ac:dyDescent="0.35">
      <c r="A584" t="s">
        <v>3115</v>
      </c>
      <c r="B584" s="1">
        <v>45734</v>
      </c>
      <c r="C584" t="str">
        <f>"466"</f>
        <v>466</v>
      </c>
      <c r="D584" t="s">
        <v>4600</v>
      </c>
      <c r="E584" t="str">
        <f>"182220"</f>
        <v>182220</v>
      </c>
      <c r="F584" t="str">
        <f t="shared" si="11"/>
        <v>33140000</v>
      </c>
      <c r="H584" t="s">
        <v>4601</v>
      </c>
      <c r="K584" s="4">
        <v>750</v>
      </c>
    </row>
    <row r="585" spans="1:11" hidden="1" outlineLevel="2" x14ac:dyDescent="0.35">
      <c r="A585" t="s">
        <v>3115</v>
      </c>
      <c r="B585" s="1">
        <v>45734</v>
      </c>
      <c r="C585" t="str">
        <f>"479"</f>
        <v>479</v>
      </c>
      <c r="D585" t="s">
        <v>4626</v>
      </c>
      <c r="E585" t="str">
        <f>"181750"</f>
        <v>181750</v>
      </c>
      <c r="F585" t="str">
        <f t="shared" si="11"/>
        <v>33140000</v>
      </c>
      <c r="H585" t="s">
        <v>4627</v>
      </c>
      <c r="K585" s="4">
        <v>1200</v>
      </c>
    </row>
    <row r="586" spans="1:11" hidden="1" outlineLevel="2" x14ac:dyDescent="0.35">
      <c r="A586" t="s">
        <v>3115</v>
      </c>
      <c r="B586" s="1">
        <v>45734</v>
      </c>
      <c r="C586" t="str">
        <f>"480"</f>
        <v>480</v>
      </c>
      <c r="D586" t="s">
        <v>4628</v>
      </c>
      <c r="E586" t="str">
        <f>"183479"</f>
        <v>183479</v>
      </c>
      <c r="F586" t="str">
        <f t="shared" si="11"/>
        <v>33140000</v>
      </c>
      <c r="H586" t="s">
        <v>4629</v>
      </c>
      <c r="K586" s="4">
        <v>19290</v>
      </c>
    </row>
    <row r="587" spans="1:11" hidden="1" outlineLevel="2" x14ac:dyDescent="0.35">
      <c r="A587" t="s">
        <v>3115</v>
      </c>
      <c r="B587" s="1">
        <v>45734</v>
      </c>
      <c r="C587" t="str">
        <f>"483"</f>
        <v>483</v>
      </c>
      <c r="D587" t="s">
        <v>4634</v>
      </c>
      <c r="E587" t="str">
        <f>"180507"</f>
        <v>180507</v>
      </c>
      <c r="F587" t="str">
        <f t="shared" si="11"/>
        <v>33140000</v>
      </c>
      <c r="H587" t="s">
        <v>4635</v>
      </c>
      <c r="K587" s="4">
        <v>1809</v>
      </c>
    </row>
    <row r="588" spans="1:11" hidden="1" outlineLevel="2" x14ac:dyDescent="0.35">
      <c r="A588" t="s">
        <v>3115</v>
      </c>
      <c r="B588" s="1">
        <v>45734</v>
      </c>
      <c r="C588" t="str">
        <f>"484"</f>
        <v>484</v>
      </c>
      <c r="D588" t="s">
        <v>4636</v>
      </c>
      <c r="E588" t="str">
        <f>"180508"</f>
        <v>180508</v>
      </c>
      <c r="F588" t="str">
        <f t="shared" si="11"/>
        <v>33140000</v>
      </c>
      <c r="H588" t="s">
        <v>4637</v>
      </c>
      <c r="K588" s="4">
        <v>3409</v>
      </c>
    </row>
    <row r="589" spans="1:11" hidden="1" outlineLevel="2" x14ac:dyDescent="0.35">
      <c r="A589" t="s">
        <v>3115</v>
      </c>
      <c r="B589" s="1">
        <v>45735</v>
      </c>
      <c r="C589" t="str">
        <f>"342"</f>
        <v>342</v>
      </c>
      <c r="D589" t="s">
        <v>4646</v>
      </c>
      <c r="E589" t="str">
        <f>"147273"</f>
        <v>147273</v>
      </c>
      <c r="F589" t="str">
        <f t="shared" si="11"/>
        <v>33140000</v>
      </c>
      <c r="H589" t="s">
        <v>4647</v>
      </c>
      <c r="K589" s="4">
        <v>58500</v>
      </c>
    </row>
    <row r="590" spans="1:11" hidden="1" outlineLevel="2" x14ac:dyDescent="0.35">
      <c r="A590" t="s">
        <v>3115</v>
      </c>
      <c r="B590" s="1">
        <v>45735</v>
      </c>
      <c r="C590" t="str">
        <f>"345"</f>
        <v>345</v>
      </c>
      <c r="D590" t="s">
        <v>4652</v>
      </c>
      <c r="E590" t="str">
        <f>"183566"</f>
        <v>183566</v>
      </c>
      <c r="F590" t="str">
        <f t="shared" si="11"/>
        <v>33140000</v>
      </c>
      <c r="H590" t="s">
        <v>4653</v>
      </c>
      <c r="K590" s="4">
        <v>600</v>
      </c>
    </row>
    <row r="591" spans="1:11" hidden="1" outlineLevel="2" x14ac:dyDescent="0.35">
      <c r="A591" t="s">
        <v>3115</v>
      </c>
      <c r="B591" s="1">
        <v>45735</v>
      </c>
      <c r="C591" t="str">
        <f>"347"</f>
        <v>347</v>
      </c>
      <c r="D591" t="s">
        <v>4656</v>
      </c>
      <c r="E591" t="str">
        <f>"183342"</f>
        <v>183342</v>
      </c>
      <c r="F591" t="str">
        <f t="shared" si="11"/>
        <v>33140000</v>
      </c>
      <c r="H591" t="s">
        <v>4657</v>
      </c>
      <c r="K591" s="4">
        <v>490</v>
      </c>
    </row>
    <row r="592" spans="1:11" hidden="1" outlineLevel="2" x14ac:dyDescent="0.35">
      <c r="A592" t="s">
        <v>3115</v>
      </c>
      <c r="B592" s="1">
        <v>45735</v>
      </c>
      <c r="C592" t="str">
        <f>"348"</f>
        <v>348</v>
      </c>
      <c r="D592" t="s">
        <v>4658</v>
      </c>
      <c r="E592" t="str">
        <f>"183343"</f>
        <v>183343</v>
      </c>
      <c r="F592" t="str">
        <f t="shared" si="11"/>
        <v>33140000</v>
      </c>
      <c r="H592" t="s">
        <v>4659</v>
      </c>
      <c r="K592" s="4">
        <v>490</v>
      </c>
    </row>
    <row r="593" spans="1:11" hidden="1" outlineLevel="2" x14ac:dyDescent="0.35">
      <c r="A593" t="s">
        <v>3115</v>
      </c>
      <c r="B593" s="1">
        <v>45735</v>
      </c>
      <c r="C593" t="str">
        <f>"349"</f>
        <v>349</v>
      </c>
      <c r="D593" t="s">
        <v>4660</v>
      </c>
      <c r="E593" t="str">
        <f>"183344"</f>
        <v>183344</v>
      </c>
      <c r="F593" t="str">
        <f t="shared" si="11"/>
        <v>33140000</v>
      </c>
      <c r="H593" t="s">
        <v>4661</v>
      </c>
      <c r="K593" s="4">
        <v>980</v>
      </c>
    </row>
    <row r="594" spans="1:11" hidden="1" outlineLevel="2" x14ac:dyDescent="0.35">
      <c r="A594" t="s">
        <v>3115</v>
      </c>
      <c r="B594" s="1">
        <v>45735</v>
      </c>
      <c r="C594" t="str">
        <f>"352"</f>
        <v>352</v>
      </c>
      <c r="D594" t="s">
        <v>4666</v>
      </c>
      <c r="E594" t="str">
        <f>"183346"</f>
        <v>183346</v>
      </c>
      <c r="F594" t="str">
        <f t="shared" si="11"/>
        <v>33140000</v>
      </c>
      <c r="H594" t="s">
        <v>4667</v>
      </c>
      <c r="K594" s="4">
        <v>980</v>
      </c>
    </row>
    <row r="595" spans="1:11" hidden="1" outlineLevel="2" x14ac:dyDescent="0.35">
      <c r="A595" t="s">
        <v>3115</v>
      </c>
      <c r="B595" s="1">
        <v>45735</v>
      </c>
      <c r="C595" t="str">
        <f>"355"</f>
        <v>355</v>
      </c>
      <c r="D595" t="s">
        <v>4672</v>
      </c>
      <c r="E595" t="str">
        <f>"183430"</f>
        <v>183430</v>
      </c>
      <c r="F595" t="str">
        <f t="shared" si="11"/>
        <v>33140000</v>
      </c>
      <c r="H595" t="s">
        <v>4673</v>
      </c>
      <c r="K595" s="4">
        <v>1500</v>
      </c>
    </row>
    <row r="596" spans="1:11" hidden="1" outlineLevel="2" x14ac:dyDescent="0.35">
      <c r="A596" t="s">
        <v>3115</v>
      </c>
      <c r="B596" s="1">
        <v>45735</v>
      </c>
      <c r="C596" t="str">
        <f>"370"</f>
        <v>370</v>
      </c>
      <c r="D596" t="s">
        <v>4702</v>
      </c>
      <c r="E596" t="str">
        <f>"183481"</f>
        <v>183481</v>
      </c>
      <c r="F596" t="str">
        <f t="shared" si="11"/>
        <v>33140000</v>
      </c>
      <c r="H596" t="s">
        <v>4703</v>
      </c>
      <c r="K596" s="4">
        <v>17820</v>
      </c>
    </row>
    <row r="597" spans="1:11" hidden="1" outlineLevel="2" x14ac:dyDescent="0.35">
      <c r="A597" t="s">
        <v>3115</v>
      </c>
      <c r="B597" s="1">
        <v>45735</v>
      </c>
      <c r="C597" t="str">
        <f>"372"</f>
        <v>372</v>
      </c>
      <c r="D597" t="s">
        <v>4706</v>
      </c>
      <c r="E597" t="str">
        <f>"179598"</f>
        <v>179598</v>
      </c>
      <c r="F597" t="str">
        <f t="shared" si="11"/>
        <v>33140000</v>
      </c>
      <c r="H597" t="s">
        <v>4707</v>
      </c>
      <c r="K597" s="4">
        <v>679</v>
      </c>
    </row>
    <row r="598" spans="1:11" hidden="1" outlineLevel="2" x14ac:dyDescent="0.35">
      <c r="A598" t="s">
        <v>3115</v>
      </c>
      <c r="B598" s="1">
        <v>45735</v>
      </c>
      <c r="C598" t="str">
        <f>"374"</f>
        <v>374</v>
      </c>
      <c r="D598" t="s">
        <v>4710</v>
      </c>
      <c r="E598" t="str">
        <f>"183482"</f>
        <v>183482</v>
      </c>
      <c r="F598" t="str">
        <f t="shared" si="11"/>
        <v>33140000</v>
      </c>
      <c r="H598" t="s">
        <v>4711</v>
      </c>
      <c r="K598" s="4">
        <v>13583</v>
      </c>
    </row>
    <row r="599" spans="1:11" hidden="1" outlineLevel="2" x14ac:dyDescent="0.35">
      <c r="A599" t="s">
        <v>3115</v>
      </c>
      <c r="B599" s="1">
        <v>45735</v>
      </c>
      <c r="C599" t="str">
        <f>"375"</f>
        <v>375</v>
      </c>
      <c r="D599" t="s">
        <v>4712</v>
      </c>
      <c r="E599" t="str">
        <f>"181345"</f>
        <v>181345</v>
      </c>
      <c r="F599" t="str">
        <f t="shared" si="11"/>
        <v>33140000</v>
      </c>
      <c r="H599" t="s">
        <v>4713</v>
      </c>
      <c r="K599" s="4">
        <v>9168</v>
      </c>
    </row>
    <row r="600" spans="1:11" hidden="1" outlineLevel="2" x14ac:dyDescent="0.35">
      <c r="A600" t="s">
        <v>3115</v>
      </c>
      <c r="B600" s="1">
        <v>45735</v>
      </c>
      <c r="C600" t="str">
        <f>"390"</f>
        <v>390</v>
      </c>
      <c r="D600" t="s">
        <v>4742</v>
      </c>
      <c r="E600" t="str">
        <f>"182278"</f>
        <v>182278</v>
      </c>
      <c r="F600" t="str">
        <f t="shared" si="11"/>
        <v>33140000</v>
      </c>
      <c r="H600" t="s">
        <v>4743</v>
      </c>
      <c r="K600" s="4">
        <v>35000</v>
      </c>
    </row>
    <row r="601" spans="1:11" hidden="1" outlineLevel="2" x14ac:dyDescent="0.35">
      <c r="A601" t="s">
        <v>3115</v>
      </c>
      <c r="B601" s="1">
        <v>45735</v>
      </c>
      <c r="C601" t="str">
        <f>"395"</f>
        <v>395</v>
      </c>
      <c r="D601" t="s">
        <v>4752</v>
      </c>
      <c r="E601" t="str">
        <f>"180504"</f>
        <v>180504</v>
      </c>
      <c r="F601" t="str">
        <f t="shared" si="11"/>
        <v>33140000</v>
      </c>
      <c r="H601" t="s">
        <v>4753</v>
      </c>
      <c r="K601" s="4">
        <v>904</v>
      </c>
    </row>
    <row r="602" spans="1:11" hidden="1" outlineLevel="2" x14ac:dyDescent="0.35">
      <c r="A602" t="s">
        <v>3115</v>
      </c>
      <c r="B602" s="1">
        <v>45735</v>
      </c>
      <c r="C602" t="str">
        <f>"401"</f>
        <v>401</v>
      </c>
      <c r="D602" t="s">
        <v>4764</v>
      </c>
      <c r="E602" t="str">
        <f>"180509"</f>
        <v>180509</v>
      </c>
      <c r="F602" t="str">
        <f t="shared" si="11"/>
        <v>33140000</v>
      </c>
      <c r="H602" t="s">
        <v>4765</v>
      </c>
      <c r="K602" s="4">
        <v>568</v>
      </c>
    </row>
    <row r="603" spans="1:11" hidden="1" outlineLevel="2" x14ac:dyDescent="0.35">
      <c r="A603" t="s">
        <v>3115</v>
      </c>
      <c r="B603" s="1">
        <v>45736</v>
      </c>
      <c r="C603" t="str">
        <f>"307"</f>
        <v>307</v>
      </c>
      <c r="D603" t="s">
        <v>4820</v>
      </c>
      <c r="E603" t="str">
        <f>"181920"</f>
        <v>181920</v>
      </c>
      <c r="F603" t="str">
        <f t="shared" si="11"/>
        <v>33140000</v>
      </c>
      <c r="H603" t="s">
        <v>4821</v>
      </c>
      <c r="K603" s="4">
        <v>88000</v>
      </c>
    </row>
    <row r="604" spans="1:11" hidden="1" outlineLevel="2" x14ac:dyDescent="0.35">
      <c r="A604" t="s">
        <v>3115</v>
      </c>
      <c r="B604" s="1">
        <v>45736</v>
      </c>
      <c r="C604" t="str">
        <f>"308"</f>
        <v>308</v>
      </c>
      <c r="D604" t="s">
        <v>4822</v>
      </c>
      <c r="E604" t="str">
        <f>"182232"</f>
        <v>182232</v>
      </c>
      <c r="F604" t="str">
        <f t="shared" si="11"/>
        <v>33140000</v>
      </c>
      <c r="H604" t="s">
        <v>4823</v>
      </c>
      <c r="K604" s="4">
        <v>350</v>
      </c>
    </row>
    <row r="605" spans="1:11" hidden="1" outlineLevel="2" x14ac:dyDescent="0.35">
      <c r="A605" t="s">
        <v>3115</v>
      </c>
      <c r="B605" s="1">
        <v>45736</v>
      </c>
      <c r="C605" t="str">
        <f>"309"</f>
        <v>309</v>
      </c>
      <c r="D605" t="s">
        <v>4824</v>
      </c>
      <c r="E605" t="str">
        <f>"180488"</f>
        <v>180488</v>
      </c>
      <c r="F605" t="str">
        <f t="shared" si="11"/>
        <v>33140000</v>
      </c>
      <c r="H605" t="s">
        <v>4825</v>
      </c>
      <c r="K605" s="4">
        <v>300</v>
      </c>
    </row>
    <row r="606" spans="1:11" hidden="1" outlineLevel="2" x14ac:dyDescent="0.35">
      <c r="A606" t="s">
        <v>3115</v>
      </c>
      <c r="B606" s="1">
        <v>45736</v>
      </c>
      <c r="C606" t="str">
        <f>"310"</f>
        <v>310</v>
      </c>
      <c r="D606" t="s">
        <v>4826</v>
      </c>
      <c r="E606" t="str">
        <f>"180510"</f>
        <v>180510</v>
      </c>
      <c r="F606" t="str">
        <f t="shared" si="11"/>
        <v>33140000</v>
      </c>
      <c r="H606" t="s">
        <v>4827</v>
      </c>
      <c r="K606" s="4">
        <v>2717</v>
      </c>
    </row>
    <row r="607" spans="1:11" hidden="1" outlineLevel="2" x14ac:dyDescent="0.35">
      <c r="A607" t="s">
        <v>3115</v>
      </c>
      <c r="B607" s="1">
        <v>45736</v>
      </c>
      <c r="C607" t="str">
        <f>"311"</f>
        <v>311</v>
      </c>
      <c r="D607" t="s">
        <v>4828</v>
      </c>
      <c r="E607" t="str">
        <f>"180511"</f>
        <v>180511</v>
      </c>
      <c r="F607" t="str">
        <f t="shared" si="11"/>
        <v>33140000</v>
      </c>
      <c r="H607" t="s">
        <v>4829</v>
      </c>
      <c r="K607" s="4">
        <v>202</v>
      </c>
    </row>
    <row r="608" spans="1:11" hidden="1" outlineLevel="2" x14ac:dyDescent="0.35">
      <c r="A608" t="s">
        <v>3115</v>
      </c>
      <c r="B608" s="1">
        <v>45736</v>
      </c>
      <c r="C608" t="str">
        <f>"312"</f>
        <v>312</v>
      </c>
      <c r="D608" t="s">
        <v>4830</v>
      </c>
      <c r="E608" t="str">
        <f>"180512"</f>
        <v>180512</v>
      </c>
      <c r="F608" t="str">
        <f t="shared" si="11"/>
        <v>33140000</v>
      </c>
      <c r="H608" t="s">
        <v>4831</v>
      </c>
      <c r="K608" s="4">
        <v>1718</v>
      </c>
    </row>
    <row r="609" spans="1:11" hidden="1" outlineLevel="2" x14ac:dyDescent="0.35">
      <c r="A609" t="s">
        <v>3115</v>
      </c>
      <c r="B609" s="1">
        <v>45736</v>
      </c>
      <c r="C609" t="str">
        <f>"313"</f>
        <v>313</v>
      </c>
      <c r="D609" t="s">
        <v>4832</v>
      </c>
      <c r="E609" t="str">
        <f>"183486"</f>
        <v>183486</v>
      </c>
      <c r="F609" t="str">
        <f t="shared" si="11"/>
        <v>33140000</v>
      </c>
      <c r="H609" t="s">
        <v>4833</v>
      </c>
      <c r="K609" s="4">
        <v>14966</v>
      </c>
    </row>
    <row r="610" spans="1:11" hidden="1" outlineLevel="2" x14ac:dyDescent="0.35">
      <c r="A610" t="s">
        <v>3115</v>
      </c>
      <c r="B610" s="1">
        <v>45736</v>
      </c>
      <c r="C610" t="str">
        <f>"314"</f>
        <v>314</v>
      </c>
      <c r="D610" t="s">
        <v>4834</v>
      </c>
      <c r="E610" t="str">
        <f>"183349"</f>
        <v>183349</v>
      </c>
      <c r="F610" t="str">
        <f t="shared" si="11"/>
        <v>33140000</v>
      </c>
      <c r="H610" t="s">
        <v>4835</v>
      </c>
      <c r="K610" s="4">
        <v>294</v>
      </c>
    </row>
    <row r="611" spans="1:11" hidden="1" outlineLevel="2" x14ac:dyDescent="0.35">
      <c r="A611" t="s">
        <v>3115</v>
      </c>
      <c r="B611" s="1">
        <v>45736</v>
      </c>
      <c r="C611" t="str">
        <f>"316"</f>
        <v>316</v>
      </c>
      <c r="D611" t="s">
        <v>4838</v>
      </c>
      <c r="E611" t="str">
        <f>"183487"</f>
        <v>183487</v>
      </c>
      <c r="F611" t="str">
        <f t="shared" si="11"/>
        <v>33140000</v>
      </c>
      <c r="H611" t="s">
        <v>4839</v>
      </c>
      <c r="K611" s="4">
        <v>1346</v>
      </c>
    </row>
    <row r="612" spans="1:11" hidden="1" outlineLevel="2" x14ac:dyDescent="0.35">
      <c r="A612" t="s">
        <v>3115</v>
      </c>
      <c r="B612" s="1">
        <v>45736</v>
      </c>
      <c r="C612" t="str">
        <f>"317"</f>
        <v>317</v>
      </c>
      <c r="D612" t="s">
        <v>4840</v>
      </c>
      <c r="E612" t="str">
        <f>"183350"</f>
        <v>183350</v>
      </c>
      <c r="F612" t="str">
        <f t="shared" si="11"/>
        <v>33140000</v>
      </c>
      <c r="H612" t="s">
        <v>4841</v>
      </c>
      <c r="K612" s="4">
        <v>980</v>
      </c>
    </row>
    <row r="613" spans="1:11" hidden="1" outlineLevel="2" x14ac:dyDescent="0.35">
      <c r="A613" t="s">
        <v>3115</v>
      </c>
      <c r="B613" s="1">
        <v>45736</v>
      </c>
      <c r="C613" t="str">
        <f>"318"</f>
        <v>318</v>
      </c>
      <c r="D613" t="s">
        <v>4842</v>
      </c>
      <c r="E613" t="str">
        <f>"184351"</f>
        <v>184351</v>
      </c>
      <c r="F613" t="str">
        <f t="shared" si="11"/>
        <v>33140000</v>
      </c>
      <c r="H613" t="s">
        <v>4843</v>
      </c>
      <c r="K613" s="4">
        <v>980</v>
      </c>
    </row>
    <row r="614" spans="1:11" hidden="1" outlineLevel="2" x14ac:dyDescent="0.35">
      <c r="A614" t="s">
        <v>3115</v>
      </c>
      <c r="B614" s="1">
        <v>45736</v>
      </c>
      <c r="C614" t="str">
        <f>"319"</f>
        <v>319</v>
      </c>
      <c r="D614" t="s">
        <v>4844</v>
      </c>
      <c r="E614" t="str">
        <f>"184353"</f>
        <v>184353</v>
      </c>
      <c r="F614" t="str">
        <f t="shared" si="11"/>
        <v>33140000</v>
      </c>
      <c r="H614" t="s">
        <v>4845</v>
      </c>
      <c r="K614" s="4">
        <v>980</v>
      </c>
    </row>
    <row r="615" spans="1:11" hidden="1" outlineLevel="2" x14ac:dyDescent="0.35">
      <c r="A615" t="s">
        <v>3115</v>
      </c>
      <c r="B615" s="1">
        <v>45736</v>
      </c>
      <c r="C615" t="str">
        <f>"321"</f>
        <v>321</v>
      </c>
      <c r="D615" t="s">
        <v>4848</v>
      </c>
      <c r="E615" t="str">
        <f>"182126"</f>
        <v>182126</v>
      </c>
      <c r="F615" t="str">
        <f t="shared" si="11"/>
        <v>33140000</v>
      </c>
      <c r="H615" t="s">
        <v>4849</v>
      </c>
      <c r="K615" s="4">
        <v>41400</v>
      </c>
    </row>
    <row r="616" spans="1:11" hidden="1" outlineLevel="2" x14ac:dyDescent="0.35">
      <c r="A616" t="s">
        <v>3115</v>
      </c>
      <c r="B616" s="1">
        <v>45736</v>
      </c>
      <c r="C616" t="str">
        <f>"329"</f>
        <v>329</v>
      </c>
      <c r="D616" t="s">
        <v>4864</v>
      </c>
      <c r="E616" t="str">
        <f>"183348"</f>
        <v>183348</v>
      </c>
      <c r="F616" t="str">
        <f t="shared" si="11"/>
        <v>33140000</v>
      </c>
      <c r="H616" t="s">
        <v>4865</v>
      </c>
      <c r="K616" s="4">
        <v>1960</v>
      </c>
    </row>
    <row r="617" spans="1:11" hidden="1" outlineLevel="2" x14ac:dyDescent="0.35">
      <c r="A617" t="s">
        <v>3115</v>
      </c>
      <c r="B617" s="1">
        <v>45736</v>
      </c>
      <c r="C617" t="str">
        <f>"330"</f>
        <v>330</v>
      </c>
      <c r="D617" t="s">
        <v>4866</v>
      </c>
      <c r="E617" t="str">
        <f>"183485"</f>
        <v>183485</v>
      </c>
      <c r="F617" t="str">
        <f t="shared" si="11"/>
        <v>33140000</v>
      </c>
      <c r="H617" t="s">
        <v>4867</v>
      </c>
      <c r="K617" s="4">
        <v>2546</v>
      </c>
    </row>
    <row r="618" spans="1:11" hidden="1" outlineLevel="2" x14ac:dyDescent="0.35">
      <c r="A618" t="s">
        <v>3115</v>
      </c>
      <c r="B618" s="1">
        <v>45736</v>
      </c>
      <c r="C618" t="str">
        <f>"331"</f>
        <v>331</v>
      </c>
      <c r="D618" t="s">
        <v>4868</v>
      </c>
      <c r="E618" t="str">
        <f>"183483"</f>
        <v>183483</v>
      </c>
      <c r="F618" t="str">
        <f t="shared" si="11"/>
        <v>33140000</v>
      </c>
      <c r="H618" t="s">
        <v>4869</v>
      </c>
      <c r="K618" s="4">
        <v>1346</v>
      </c>
    </row>
    <row r="619" spans="1:11" hidden="1" outlineLevel="2" x14ac:dyDescent="0.35">
      <c r="A619" t="s">
        <v>3115</v>
      </c>
      <c r="B619" s="1">
        <v>45736</v>
      </c>
      <c r="C619" t="str">
        <f>"334"</f>
        <v>334</v>
      </c>
      <c r="D619" t="s">
        <v>4874</v>
      </c>
      <c r="E619" t="str">
        <f>"181850"</f>
        <v>181850</v>
      </c>
      <c r="F619" t="str">
        <f t="shared" si="11"/>
        <v>33140000</v>
      </c>
      <c r="H619" t="s">
        <v>4875</v>
      </c>
      <c r="K619" s="4">
        <v>18500</v>
      </c>
    </row>
    <row r="620" spans="1:11" hidden="1" outlineLevel="2" x14ac:dyDescent="0.35">
      <c r="A620" t="s">
        <v>3115</v>
      </c>
      <c r="B620" s="1">
        <v>45736</v>
      </c>
      <c r="C620" t="str">
        <f>"335"</f>
        <v>335</v>
      </c>
      <c r="D620" t="s">
        <v>4876</v>
      </c>
      <c r="E620" t="str">
        <f>"162585"</f>
        <v>162585</v>
      </c>
      <c r="F620" t="str">
        <f t="shared" si="11"/>
        <v>33140000</v>
      </c>
      <c r="H620" t="s">
        <v>4877</v>
      </c>
      <c r="K620" s="4">
        <v>1748</v>
      </c>
    </row>
    <row r="621" spans="1:11" hidden="1" outlineLevel="2" x14ac:dyDescent="0.35">
      <c r="A621" t="s">
        <v>3115</v>
      </c>
      <c r="B621" s="1">
        <v>45736</v>
      </c>
      <c r="C621" t="str">
        <f>"336"</f>
        <v>336</v>
      </c>
      <c r="D621" t="s">
        <v>4878</v>
      </c>
      <c r="E621" t="str">
        <f>"180187"</f>
        <v>180187</v>
      </c>
      <c r="F621" t="str">
        <f t="shared" si="11"/>
        <v>33140000</v>
      </c>
      <c r="H621" t="s">
        <v>4879</v>
      </c>
      <c r="K621" s="4">
        <v>33500</v>
      </c>
    </row>
    <row r="622" spans="1:11" hidden="1" outlineLevel="2" x14ac:dyDescent="0.35">
      <c r="A622" t="s">
        <v>3115</v>
      </c>
      <c r="B622" s="1">
        <v>45737</v>
      </c>
      <c r="C622" t="str">
        <f>"260"</f>
        <v>260</v>
      </c>
      <c r="D622" t="s">
        <v>4964</v>
      </c>
      <c r="E622" t="str">
        <f>"181826"</f>
        <v>181826</v>
      </c>
      <c r="F622" t="str">
        <f t="shared" si="11"/>
        <v>33140000</v>
      </c>
      <c r="H622" t="s">
        <v>4965</v>
      </c>
      <c r="K622" s="4">
        <v>2500</v>
      </c>
    </row>
    <row r="623" spans="1:11" hidden="1" outlineLevel="2" x14ac:dyDescent="0.35">
      <c r="A623" t="s">
        <v>3115</v>
      </c>
      <c r="B623" s="1">
        <v>45737</v>
      </c>
      <c r="C623" t="str">
        <f>"265"</f>
        <v>265</v>
      </c>
      <c r="D623" t="s">
        <v>4974</v>
      </c>
      <c r="E623" t="str">
        <f>"184352"</f>
        <v>184352</v>
      </c>
      <c r="F623" t="str">
        <f t="shared" si="11"/>
        <v>33140000</v>
      </c>
      <c r="H623" t="s">
        <v>4975</v>
      </c>
      <c r="K623" s="4">
        <v>980</v>
      </c>
    </row>
    <row r="624" spans="1:11" hidden="1" outlineLevel="2" x14ac:dyDescent="0.35">
      <c r="A624" t="s">
        <v>3115</v>
      </c>
      <c r="B624" s="1">
        <v>45737</v>
      </c>
      <c r="C624" t="str">
        <f>"267"</f>
        <v>267</v>
      </c>
      <c r="D624" t="s">
        <v>4978</v>
      </c>
      <c r="E624" t="str">
        <f>"183489"</f>
        <v>183489</v>
      </c>
      <c r="F624" t="str">
        <f t="shared" si="11"/>
        <v>33140000</v>
      </c>
      <c r="H624" t="s">
        <v>4979</v>
      </c>
      <c r="K624" s="4">
        <v>673</v>
      </c>
    </row>
    <row r="625" spans="1:11" hidden="1" outlineLevel="2" x14ac:dyDescent="0.35">
      <c r="A625" t="s">
        <v>3115</v>
      </c>
      <c r="B625" s="1">
        <v>45737</v>
      </c>
      <c r="C625" t="str">
        <f>"268"</f>
        <v>268</v>
      </c>
      <c r="D625" t="s">
        <v>4980</v>
      </c>
      <c r="E625" t="str">
        <f>"184355"</f>
        <v>184355</v>
      </c>
      <c r="F625" t="str">
        <f t="shared" si="11"/>
        <v>33140000</v>
      </c>
      <c r="H625" t="s">
        <v>4981</v>
      </c>
      <c r="K625" s="4">
        <v>980</v>
      </c>
    </row>
    <row r="626" spans="1:11" hidden="1" outlineLevel="2" x14ac:dyDescent="0.35">
      <c r="A626" t="s">
        <v>3115</v>
      </c>
      <c r="B626" s="1">
        <v>45737</v>
      </c>
      <c r="C626" t="str">
        <f>"269"</f>
        <v>269</v>
      </c>
      <c r="D626" t="s">
        <v>4982</v>
      </c>
      <c r="E626" t="str">
        <f>"1181232"</f>
        <v>1181232</v>
      </c>
      <c r="F626" t="str">
        <f t="shared" si="11"/>
        <v>33140000</v>
      </c>
      <c r="H626" t="s">
        <v>4983</v>
      </c>
      <c r="K626" s="4">
        <v>150</v>
      </c>
    </row>
    <row r="627" spans="1:11" hidden="1" outlineLevel="2" x14ac:dyDescent="0.35">
      <c r="A627" t="s">
        <v>3115</v>
      </c>
      <c r="B627" s="1">
        <v>45737</v>
      </c>
      <c r="C627" t="str">
        <f>"270"</f>
        <v>270</v>
      </c>
      <c r="D627" t="s">
        <v>4984</v>
      </c>
      <c r="E627" t="str">
        <f>"181223"</f>
        <v>181223</v>
      </c>
      <c r="F627" t="str">
        <f t="shared" si="11"/>
        <v>33140000</v>
      </c>
      <c r="H627" t="s">
        <v>4985</v>
      </c>
      <c r="K627" s="4">
        <v>300</v>
      </c>
    </row>
    <row r="628" spans="1:11" hidden="1" outlineLevel="2" x14ac:dyDescent="0.35">
      <c r="A628" t="s">
        <v>3115</v>
      </c>
      <c r="B628" s="1">
        <v>45737</v>
      </c>
      <c r="C628" t="str">
        <f>"276"</f>
        <v>276</v>
      </c>
      <c r="D628" t="s">
        <v>4992</v>
      </c>
      <c r="E628" t="str">
        <f>"178448"</f>
        <v>178448</v>
      </c>
      <c r="F628" t="str">
        <f t="shared" ref="F628:F688" si="12">"33140000"</f>
        <v>33140000</v>
      </c>
      <c r="H628" t="s">
        <v>4993</v>
      </c>
      <c r="K628" s="4">
        <v>14700</v>
      </c>
    </row>
    <row r="629" spans="1:11" hidden="1" outlineLevel="2" x14ac:dyDescent="0.35">
      <c r="A629" t="s">
        <v>3115</v>
      </c>
      <c r="B629" s="1">
        <v>45740</v>
      </c>
      <c r="C629" t="str">
        <f>"17"</f>
        <v>17</v>
      </c>
      <c r="D629" t="s">
        <v>5056</v>
      </c>
      <c r="E629" t="str">
        <f>"180492"</f>
        <v>180492</v>
      </c>
      <c r="F629" t="str">
        <f t="shared" si="12"/>
        <v>33140000</v>
      </c>
      <c r="H629" t="s">
        <v>5057</v>
      </c>
      <c r="K629" s="4">
        <v>900</v>
      </c>
    </row>
    <row r="630" spans="1:11" hidden="1" outlineLevel="2" x14ac:dyDescent="0.35">
      <c r="A630" t="s">
        <v>3115</v>
      </c>
      <c r="B630" s="1">
        <v>45740</v>
      </c>
      <c r="C630" t="str">
        <f>"18"</f>
        <v>18</v>
      </c>
      <c r="D630" t="s">
        <v>5058</v>
      </c>
      <c r="E630" t="str">
        <f>"181303"</f>
        <v>181303</v>
      </c>
      <c r="F630" t="str">
        <f t="shared" si="12"/>
        <v>33140000</v>
      </c>
      <c r="H630" t="s">
        <v>5059</v>
      </c>
      <c r="K630" s="4">
        <v>98</v>
      </c>
    </row>
    <row r="631" spans="1:11" hidden="1" outlineLevel="2" x14ac:dyDescent="0.35">
      <c r="A631" t="s">
        <v>3115</v>
      </c>
      <c r="B631" s="1">
        <v>45740</v>
      </c>
      <c r="C631" t="str">
        <f>"208"</f>
        <v>208</v>
      </c>
      <c r="D631" t="s">
        <v>5060</v>
      </c>
      <c r="E631" t="str">
        <f>"180513"</f>
        <v>180513</v>
      </c>
      <c r="F631" t="str">
        <f t="shared" si="12"/>
        <v>33140000</v>
      </c>
      <c r="H631" t="s">
        <v>5061</v>
      </c>
      <c r="K631" s="4">
        <v>904</v>
      </c>
    </row>
    <row r="632" spans="1:11" hidden="1" outlineLevel="2" x14ac:dyDescent="0.35">
      <c r="A632" t="s">
        <v>3115</v>
      </c>
      <c r="B632" s="1">
        <v>45740</v>
      </c>
      <c r="C632" t="str">
        <f>"209"</f>
        <v>209</v>
      </c>
      <c r="D632" t="s">
        <v>5062</v>
      </c>
      <c r="E632" t="str">
        <f>"180491"</f>
        <v>180491</v>
      </c>
      <c r="F632" t="str">
        <f t="shared" si="12"/>
        <v>33140000</v>
      </c>
      <c r="H632" t="s">
        <v>5063</v>
      </c>
      <c r="K632" s="4">
        <v>300</v>
      </c>
    </row>
    <row r="633" spans="1:11" hidden="1" outlineLevel="2" x14ac:dyDescent="0.35">
      <c r="A633" t="s">
        <v>3115</v>
      </c>
      <c r="B633" s="1">
        <v>45740</v>
      </c>
      <c r="C633" t="str">
        <f>"213"</f>
        <v>213</v>
      </c>
      <c r="D633" t="s">
        <v>5070</v>
      </c>
      <c r="E633" t="str">
        <f>"181229"</f>
        <v>181229</v>
      </c>
      <c r="F633" t="str">
        <f t="shared" si="12"/>
        <v>33140000</v>
      </c>
      <c r="H633" t="s">
        <v>5071</v>
      </c>
      <c r="K633" s="4">
        <v>300</v>
      </c>
    </row>
    <row r="634" spans="1:11" hidden="1" outlineLevel="2" x14ac:dyDescent="0.35">
      <c r="A634" t="s">
        <v>3115</v>
      </c>
      <c r="B634" s="1">
        <v>45740</v>
      </c>
      <c r="C634" t="str">
        <f>"214"</f>
        <v>214</v>
      </c>
      <c r="D634" t="s">
        <v>5072</v>
      </c>
      <c r="E634" t="str">
        <f>"181050"</f>
        <v>181050</v>
      </c>
      <c r="F634" t="str">
        <f t="shared" si="12"/>
        <v>33140000</v>
      </c>
      <c r="H634" t="s">
        <v>5073</v>
      </c>
      <c r="K634" s="4">
        <v>108000</v>
      </c>
    </row>
    <row r="635" spans="1:11" hidden="1" outlineLevel="2" x14ac:dyDescent="0.35">
      <c r="A635" t="s">
        <v>3115</v>
      </c>
      <c r="B635" s="1">
        <v>45740</v>
      </c>
      <c r="C635" t="str">
        <f>"215"</f>
        <v>215</v>
      </c>
      <c r="D635" t="s">
        <v>5074</v>
      </c>
      <c r="E635" t="str">
        <f>"181044"</f>
        <v>181044</v>
      </c>
      <c r="F635" t="str">
        <f t="shared" si="12"/>
        <v>33140000</v>
      </c>
      <c r="H635" t="s">
        <v>5075</v>
      </c>
      <c r="K635" s="4">
        <v>140000</v>
      </c>
    </row>
    <row r="636" spans="1:11" hidden="1" outlineLevel="2" x14ac:dyDescent="0.35">
      <c r="A636" t="s">
        <v>3115</v>
      </c>
      <c r="B636" s="1">
        <v>45740</v>
      </c>
      <c r="C636" t="str">
        <f>"216"</f>
        <v>216</v>
      </c>
      <c r="D636" t="s">
        <v>5076</v>
      </c>
      <c r="E636" t="str">
        <f>"181039"</f>
        <v>181039</v>
      </c>
      <c r="F636" t="str">
        <f t="shared" si="12"/>
        <v>33140000</v>
      </c>
      <c r="H636" t="s">
        <v>5077</v>
      </c>
      <c r="K636" s="4">
        <v>112000</v>
      </c>
    </row>
    <row r="637" spans="1:11" hidden="1" outlineLevel="2" x14ac:dyDescent="0.35">
      <c r="A637" t="s">
        <v>3115</v>
      </c>
      <c r="B637" s="1">
        <v>45740</v>
      </c>
      <c r="C637" t="str">
        <f>"219"</f>
        <v>219</v>
      </c>
      <c r="D637" t="s">
        <v>5082</v>
      </c>
      <c r="E637" t="str">
        <f>"183334"</f>
        <v>183334</v>
      </c>
      <c r="F637" t="str">
        <f t="shared" si="12"/>
        <v>33140000</v>
      </c>
      <c r="H637" t="s">
        <v>5083</v>
      </c>
      <c r="K637" s="4">
        <v>103500</v>
      </c>
    </row>
    <row r="638" spans="1:11" hidden="1" outlineLevel="2" x14ac:dyDescent="0.35">
      <c r="A638" t="s">
        <v>3115</v>
      </c>
      <c r="B638" s="1">
        <v>45740</v>
      </c>
      <c r="C638" t="str">
        <f>"221"</f>
        <v>221</v>
      </c>
      <c r="D638" t="s">
        <v>5086</v>
      </c>
      <c r="E638" t="str">
        <f>"180847"</f>
        <v>180847</v>
      </c>
      <c r="F638" t="str">
        <f t="shared" si="12"/>
        <v>33140000</v>
      </c>
      <c r="H638" t="s">
        <v>5087</v>
      </c>
      <c r="K638" s="4">
        <v>33750</v>
      </c>
    </row>
    <row r="639" spans="1:11" hidden="1" outlineLevel="2" x14ac:dyDescent="0.35">
      <c r="A639" t="s">
        <v>3115</v>
      </c>
      <c r="B639" s="1">
        <v>45740</v>
      </c>
      <c r="C639" t="str">
        <f>"223"</f>
        <v>223</v>
      </c>
      <c r="D639" t="s">
        <v>5090</v>
      </c>
      <c r="E639" t="str">
        <f>"183491"</f>
        <v>183491</v>
      </c>
      <c r="F639" t="str">
        <f t="shared" si="12"/>
        <v>33140000</v>
      </c>
      <c r="H639" t="s">
        <v>5091</v>
      </c>
      <c r="K639" s="4">
        <v>15329</v>
      </c>
    </row>
    <row r="640" spans="1:11" hidden="1" outlineLevel="2" x14ac:dyDescent="0.35">
      <c r="A640" t="s">
        <v>3115</v>
      </c>
      <c r="B640" s="1">
        <v>45740</v>
      </c>
      <c r="C640" t="str">
        <f>"225"</f>
        <v>225</v>
      </c>
      <c r="D640" t="s">
        <v>5094</v>
      </c>
      <c r="E640" t="str">
        <f>"184658"</f>
        <v>184658</v>
      </c>
      <c r="F640" t="str">
        <f t="shared" si="12"/>
        <v>33140000</v>
      </c>
      <c r="H640" t="s">
        <v>5095</v>
      </c>
      <c r="K640" s="4">
        <v>1500</v>
      </c>
    </row>
    <row r="641" spans="1:11" hidden="1" outlineLevel="2" x14ac:dyDescent="0.35">
      <c r="A641" t="s">
        <v>3115</v>
      </c>
      <c r="B641" s="1">
        <v>45740</v>
      </c>
      <c r="C641" t="str">
        <f>"226"</f>
        <v>226</v>
      </c>
      <c r="D641" t="s">
        <v>5096</v>
      </c>
      <c r="E641" t="str">
        <f>"183468"</f>
        <v>183468</v>
      </c>
      <c r="F641" t="str">
        <f t="shared" si="12"/>
        <v>33140000</v>
      </c>
      <c r="H641" t="s">
        <v>5097</v>
      </c>
      <c r="K641" s="4">
        <v>85000</v>
      </c>
    </row>
    <row r="642" spans="1:11" hidden="1" outlineLevel="2" x14ac:dyDescent="0.35">
      <c r="A642" t="s">
        <v>3115</v>
      </c>
      <c r="B642" s="1">
        <v>45740</v>
      </c>
      <c r="C642" t="str">
        <f>"246"</f>
        <v>246</v>
      </c>
      <c r="D642" t="s">
        <v>5136</v>
      </c>
      <c r="E642" t="str">
        <f>"178445"</f>
        <v>178445</v>
      </c>
      <c r="F642" t="str">
        <f t="shared" si="12"/>
        <v>33140000</v>
      </c>
      <c r="H642" t="s">
        <v>5137</v>
      </c>
      <c r="K642" s="4">
        <v>4900</v>
      </c>
    </row>
    <row r="643" spans="1:11" hidden="1" outlineLevel="2" x14ac:dyDescent="0.35">
      <c r="A643" t="s">
        <v>3115</v>
      </c>
      <c r="B643" s="1">
        <v>45740</v>
      </c>
      <c r="C643" t="str">
        <f>"248"</f>
        <v>248</v>
      </c>
      <c r="D643" t="s">
        <v>5140</v>
      </c>
      <c r="E643" t="str">
        <f>"178447"</f>
        <v>178447</v>
      </c>
      <c r="F643" t="str">
        <f t="shared" si="12"/>
        <v>33140000</v>
      </c>
      <c r="H643" t="s">
        <v>5141</v>
      </c>
      <c r="K643" s="4">
        <v>14700</v>
      </c>
    </row>
    <row r="644" spans="1:11" hidden="1" outlineLevel="2" x14ac:dyDescent="0.35">
      <c r="A644" t="s">
        <v>3115</v>
      </c>
      <c r="B644" s="1">
        <v>45740</v>
      </c>
      <c r="C644" t="str">
        <f>"252"</f>
        <v>252</v>
      </c>
      <c r="D644" t="s">
        <v>5148</v>
      </c>
      <c r="E644" t="str">
        <f>"181843"</f>
        <v>181843</v>
      </c>
      <c r="F644" t="str">
        <f t="shared" si="12"/>
        <v>33140000</v>
      </c>
      <c r="H644" t="s">
        <v>5149</v>
      </c>
      <c r="K644" s="4">
        <v>2600</v>
      </c>
    </row>
    <row r="645" spans="1:11" hidden="1" outlineLevel="2" x14ac:dyDescent="0.35">
      <c r="A645" t="s">
        <v>3115</v>
      </c>
      <c r="B645" s="1">
        <v>45741</v>
      </c>
      <c r="C645" t="str">
        <f>"26"</f>
        <v>26</v>
      </c>
      <c r="D645" t="s">
        <v>5178</v>
      </c>
      <c r="E645" t="str">
        <f>"183300"</f>
        <v>183300</v>
      </c>
      <c r="F645" t="str">
        <f t="shared" si="12"/>
        <v>33140000</v>
      </c>
      <c r="H645" t="s">
        <v>5179</v>
      </c>
      <c r="K645" s="4">
        <v>300</v>
      </c>
    </row>
    <row r="646" spans="1:11" hidden="1" outlineLevel="2" x14ac:dyDescent="0.35">
      <c r="A646" t="s">
        <v>3115</v>
      </c>
      <c r="B646" s="1">
        <v>45741</v>
      </c>
      <c r="C646" t="str">
        <f>"28"</f>
        <v>28</v>
      </c>
      <c r="D646" t="s">
        <v>5182</v>
      </c>
      <c r="E646" t="str">
        <f>"181943"</f>
        <v>181943</v>
      </c>
      <c r="F646" t="str">
        <f t="shared" si="12"/>
        <v>33140000</v>
      </c>
      <c r="H646" t="s">
        <v>5183</v>
      </c>
      <c r="K646" s="4">
        <v>600</v>
      </c>
    </row>
    <row r="647" spans="1:11" hidden="1" outlineLevel="2" x14ac:dyDescent="0.35">
      <c r="A647" t="s">
        <v>3115</v>
      </c>
      <c r="B647" s="1">
        <v>45741</v>
      </c>
      <c r="C647" t="str">
        <f>"31"</f>
        <v>31</v>
      </c>
      <c r="D647" t="s">
        <v>5188</v>
      </c>
      <c r="E647" t="str">
        <f>"183299"</f>
        <v>183299</v>
      </c>
      <c r="F647" t="str">
        <f t="shared" si="12"/>
        <v>33140000</v>
      </c>
      <c r="H647" t="s">
        <v>5189</v>
      </c>
      <c r="K647" s="4">
        <v>300</v>
      </c>
    </row>
    <row r="648" spans="1:11" hidden="1" outlineLevel="2" x14ac:dyDescent="0.35">
      <c r="A648" t="s">
        <v>3115</v>
      </c>
      <c r="B648" s="1">
        <v>45741</v>
      </c>
      <c r="C648" t="str">
        <f>"33"</f>
        <v>33</v>
      </c>
      <c r="D648" t="s">
        <v>5192</v>
      </c>
      <c r="E648" t="str">
        <f>"176068"</f>
        <v>176068</v>
      </c>
      <c r="F648" t="str">
        <f t="shared" si="12"/>
        <v>33140000</v>
      </c>
      <c r="H648" t="s">
        <v>5193</v>
      </c>
      <c r="K648" s="4">
        <v>4600</v>
      </c>
    </row>
    <row r="649" spans="1:11" hidden="1" outlineLevel="2" x14ac:dyDescent="0.35">
      <c r="A649" t="s">
        <v>3115</v>
      </c>
      <c r="B649" s="1">
        <v>45741</v>
      </c>
      <c r="C649" t="str">
        <f>"35"</f>
        <v>35</v>
      </c>
      <c r="D649" t="s">
        <v>5196</v>
      </c>
      <c r="F649" t="str">
        <f t="shared" si="12"/>
        <v>33140000</v>
      </c>
      <c r="H649" t="s">
        <v>5197</v>
      </c>
      <c r="K649" s="4">
        <v>5745</v>
      </c>
    </row>
    <row r="650" spans="1:11" hidden="1" outlineLevel="2" x14ac:dyDescent="0.35">
      <c r="A650" t="s">
        <v>3115</v>
      </c>
      <c r="B650" s="1">
        <v>45741</v>
      </c>
      <c r="C650" t="str">
        <f>"39"</f>
        <v>39</v>
      </c>
      <c r="D650" t="s">
        <v>5204</v>
      </c>
      <c r="E650" t="str">
        <f>"180514"</f>
        <v>180514</v>
      </c>
      <c r="F650" t="str">
        <f t="shared" si="12"/>
        <v>33140000</v>
      </c>
      <c r="H650" t="s">
        <v>5205</v>
      </c>
      <c r="K650" s="4">
        <v>2841</v>
      </c>
    </row>
    <row r="651" spans="1:11" hidden="1" outlineLevel="2" x14ac:dyDescent="0.35">
      <c r="A651" t="s">
        <v>3115</v>
      </c>
      <c r="B651" s="1">
        <v>45741</v>
      </c>
      <c r="C651" t="str">
        <f>"44"</f>
        <v>44</v>
      </c>
      <c r="D651" t="s">
        <v>5214</v>
      </c>
      <c r="E651" t="str">
        <f>"184360"</f>
        <v>184360</v>
      </c>
      <c r="F651" t="str">
        <f t="shared" si="12"/>
        <v>33140000</v>
      </c>
      <c r="H651" t="s">
        <v>5215</v>
      </c>
      <c r="K651" s="4">
        <v>294</v>
      </c>
    </row>
    <row r="652" spans="1:11" hidden="1" outlineLevel="2" x14ac:dyDescent="0.35">
      <c r="A652" t="s">
        <v>3115</v>
      </c>
      <c r="B652" s="1">
        <v>45741</v>
      </c>
      <c r="C652" t="str">
        <f>"51"</f>
        <v>51</v>
      </c>
      <c r="D652" t="s">
        <v>5228</v>
      </c>
      <c r="E652" t="str">
        <f>"184453"</f>
        <v>184453</v>
      </c>
      <c r="F652" t="str">
        <f t="shared" si="12"/>
        <v>33140000</v>
      </c>
      <c r="H652" t="s">
        <v>5229</v>
      </c>
      <c r="K652" s="4">
        <v>3409</v>
      </c>
    </row>
    <row r="653" spans="1:11" hidden="1" outlineLevel="2" x14ac:dyDescent="0.35">
      <c r="A653" t="s">
        <v>3115</v>
      </c>
      <c r="B653" s="1">
        <v>45741</v>
      </c>
      <c r="C653" t="str">
        <f>"53"</f>
        <v>53</v>
      </c>
      <c r="D653" t="s">
        <v>5232</v>
      </c>
      <c r="E653" t="str">
        <f>"184452"</f>
        <v>184452</v>
      </c>
      <c r="F653" t="str">
        <f t="shared" si="12"/>
        <v>33140000</v>
      </c>
      <c r="H653" t="s">
        <v>5233</v>
      </c>
      <c r="K653" s="4">
        <v>2700</v>
      </c>
    </row>
    <row r="654" spans="1:11" hidden="1" outlineLevel="2" x14ac:dyDescent="0.35">
      <c r="A654" t="s">
        <v>3115</v>
      </c>
      <c r="B654" s="1">
        <v>45741</v>
      </c>
      <c r="C654" t="str">
        <f>"56"</f>
        <v>56</v>
      </c>
      <c r="D654" t="s">
        <v>5238</v>
      </c>
      <c r="E654" t="str">
        <f>"180493"</f>
        <v>180493</v>
      </c>
      <c r="F654" t="str">
        <f t="shared" si="12"/>
        <v>33140000</v>
      </c>
      <c r="H654" t="s">
        <v>5239</v>
      </c>
      <c r="K654" s="4">
        <v>1200</v>
      </c>
    </row>
    <row r="655" spans="1:11" hidden="1" outlineLevel="2" x14ac:dyDescent="0.35">
      <c r="A655" t="s">
        <v>3115</v>
      </c>
      <c r="B655" s="1">
        <v>45741</v>
      </c>
      <c r="C655" t="str">
        <f>"66"</f>
        <v>66</v>
      </c>
      <c r="D655" t="s">
        <v>5258</v>
      </c>
      <c r="E655" t="str">
        <f>"184702"</f>
        <v>184702</v>
      </c>
      <c r="F655" t="str">
        <f t="shared" si="12"/>
        <v>33140000</v>
      </c>
      <c r="H655" t="s">
        <v>5259</v>
      </c>
      <c r="K655" s="4">
        <v>600</v>
      </c>
    </row>
    <row r="656" spans="1:11" hidden="1" outlineLevel="2" x14ac:dyDescent="0.35">
      <c r="A656" t="s">
        <v>3115</v>
      </c>
      <c r="B656" s="1">
        <v>45741</v>
      </c>
      <c r="C656" t="str">
        <f>"72"</f>
        <v>72</v>
      </c>
      <c r="D656" t="s">
        <v>5270</v>
      </c>
      <c r="E656" t="str">
        <f>"182034"</f>
        <v>182034</v>
      </c>
      <c r="F656" t="str">
        <f t="shared" si="12"/>
        <v>33140000</v>
      </c>
      <c r="H656" t="s">
        <v>5271</v>
      </c>
      <c r="K656" s="4">
        <v>600</v>
      </c>
    </row>
    <row r="657" spans="1:11" hidden="1" outlineLevel="2" x14ac:dyDescent="0.35">
      <c r="A657" t="s">
        <v>3115</v>
      </c>
      <c r="B657" s="1">
        <v>45741</v>
      </c>
      <c r="C657" t="str">
        <f>"77"</f>
        <v>77</v>
      </c>
      <c r="D657" t="s">
        <v>5280</v>
      </c>
      <c r="E657" t="str">
        <f>"184701"</f>
        <v>184701</v>
      </c>
      <c r="F657" t="str">
        <f t="shared" si="12"/>
        <v>33140000</v>
      </c>
      <c r="H657" t="s">
        <v>5281</v>
      </c>
      <c r="K657" s="4">
        <v>900</v>
      </c>
    </row>
    <row r="658" spans="1:11" hidden="1" outlineLevel="2" x14ac:dyDescent="0.35">
      <c r="A658" t="s">
        <v>3115</v>
      </c>
      <c r="B658" s="1">
        <v>45741</v>
      </c>
      <c r="C658" t="str">
        <f>"81"</f>
        <v>81</v>
      </c>
      <c r="D658" t="s">
        <v>5288</v>
      </c>
      <c r="E658" t="str">
        <f>"181032"</f>
        <v>181032</v>
      </c>
      <c r="F658" t="str">
        <f t="shared" si="12"/>
        <v>33140000</v>
      </c>
      <c r="H658" t="s">
        <v>5289</v>
      </c>
      <c r="K658" s="4">
        <v>90000</v>
      </c>
    </row>
    <row r="659" spans="1:11" hidden="1" outlineLevel="2" x14ac:dyDescent="0.35">
      <c r="A659" t="s">
        <v>3115</v>
      </c>
      <c r="B659" s="1">
        <v>45741</v>
      </c>
      <c r="C659" t="str">
        <f>"90"</f>
        <v>90</v>
      </c>
      <c r="D659" t="s">
        <v>5306</v>
      </c>
      <c r="E659" t="str">
        <f>"181878"</f>
        <v>181878</v>
      </c>
      <c r="F659" t="str">
        <f t="shared" si="12"/>
        <v>33140000</v>
      </c>
      <c r="H659" t="s">
        <v>5307</v>
      </c>
      <c r="K659" s="4">
        <v>300</v>
      </c>
    </row>
    <row r="660" spans="1:11" hidden="1" outlineLevel="2" x14ac:dyDescent="0.35">
      <c r="A660" t="s">
        <v>3115</v>
      </c>
      <c r="B660" s="1">
        <v>45741</v>
      </c>
      <c r="C660" t="str">
        <f>"97"</f>
        <v>97</v>
      </c>
      <c r="D660" t="s">
        <v>5320</v>
      </c>
      <c r="E660" t="str">
        <f>"184358"</f>
        <v>184358</v>
      </c>
      <c r="F660" t="str">
        <f t="shared" si="12"/>
        <v>33140000</v>
      </c>
      <c r="H660" t="s">
        <v>5321</v>
      </c>
      <c r="K660" s="4">
        <v>3000</v>
      </c>
    </row>
    <row r="661" spans="1:11" hidden="1" outlineLevel="2" x14ac:dyDescent="0.35">
      <c r="A661" t="s">
        <v>3115</v>
      </c>
      <c r="B661" s="1">
        <v>45741</v>
      </c>
      <c r="C661" t="str">
        <f>"99"</f>
        <v>99</v>
      </c>
      <c r="D661" t="s">
        <v>5324</v>
      </c>
      <c r="E661" t="str">
        <f>"184358"</f>
        <v>184358</v>
      </c>
      <c r="F661" t="str">
        <f t="shared" si="12"/>
        <v>33140000</v>
      </c>
      <c r="H661" t="s">
        <v>5325</v>
      </c>
      <c r="K661" s="4">
        <v>980</v>
      </c>
    </row>
    <row r="662" spans="1:11" hidden="1" outlineLevel="2" x14ac:dyDescent="0.35">
      <c r="A662" t="s">
        <v>3115</v>
      </c>
      <c r="B662" s="1">
        <v>45741</v>
      </c>
      <c r="C662" t="str">
        <f>"101"</f>
        <v>101</v>
      </c>
      <c r="D662" t="s">
        <v>5328</v>
      </c>
      <c r="E662" t="str">
        <f>"184357"</f>
        <v>184357</v>
      </c>
      <c r="F662" t="str">
        <f t="shared" si="12"/>
        <v>33140000</v>
      </c>
      <c r="H662" t="s">
        <v>5329</v>
      </c>
      <c r="K662" s="4">
        <v>294</v>
      </c>
    </row>
    <row r="663" spans="1:11" hidden="1" outlineLevel="2" x14ac:dyDescent="0.35">
      <c r="A663" t="s">
        <v>3115</v>
      </c>
      <c r="B663" s="1">
        <v>45742</v>
      </c>
      <c r="C663" t="str">
        <f>"111"</f>
        <v>111</v>
      </c>
      <c r="D663" t="s">
        <v>5348</v>
      </c>
      <c r="E663" t="str">
        <f>"182050"</f>
        <v>182050</v>
      </c>
      <c r="F663" t="str">
        <f t="shared" si="12"/>
        <v>33140000</v>
      </c>
      <c r="H663" t="s">
        <v>5349</v>
      </c>
      <c r="K663" s="4">
        <v>750</v>
      </c>
    </row>
    <row r="664" spans="1:11" hidden="1" outlineLevel="2" x14ac:dyDescent="0.35">
      <c r="A664" t="s">
        <v>3115</v>
      </c>
      <c r="B664" s="1">
        <v>45742</v>
      </c>
      <c r="C664" t="str">
        <f>"112"</f>
        <v>112</v>
      </c>
      <c r="D664" t="s">
        <v>5350</v>
      </c>
      <c r="E664" t="str">
        <f>"182049"</f>
        <v>182049</v>
      </c>
      <c r="F664" t="str">
        <f t="shared" si="12"/>
        <v>33140000</v>
      </c>
      <c r="H664" t="s">
        <v>5351</v>
      </c>
      <c r="K664" s="4">
        <v>750</v>
      </c>
    </row>
    <row r="665" spans="1:11" hidden="1" outlineLevel="2" x14ac:dyDescent="0.35">
      <c r="A665" t="s">
        <v>3115</v>
      </c>
      <c r="B665" s="1">
        <v>45742</v>
      </c>
      <c r="C665" t="str">
        <f>"117"</f>
        <v>117</v>
      </c>
      <c r="D665" t="s">
        <v>5360</v>
      </c>
      <c r="E665" t="str">
        <f>"182047"</f>
        <v>182047</v>
      </c>
      <c r="F665" t="str">
        <f t="shared" si="12"/>
        <v>33140000</v>
      </c>
      <c r="H665" t="s">
        <v>5361</v>
      </c>
      <c r="K665" s="4">
        <v>750</v>
      </c>
    </row>
    <row r="666" spans="1:11" hidden="1" outlineLevel="2" x14ac:dyDescent="0.35">
      <c r="A666" t="s">
        <v>3115</v>
      </c>
      <c r="B666" s="1">
        <v>45742</v>
      </c>
      <c r="C666" t="str">
        <f>"118"</f>
        <v>118</v>
      </c>
      <c r="D666" t="s">
        <v>5362</v>
      </c>
      <c r="E666" t="str">
        <f>"182046"</f>
        <v>182046</v>
      </c>
      <c r="F666" t="str">
        <f t="shared" si="12"/>
        <v>33140000</v>
      </c>
      <c r="H666" t="s">
        <v>5363</v>
      </c>
      <c r="K666" s="4">
        <v>750</v>
      </c>
    </row>
    <row r="667" spans="1:11" hidden="1" outlineLevel="2" x14ac:dyDescent="0.35">
      <c r="A667" t="s">
        <v>3115</v>
      </c>
      <c r="B667" s="1">
        <v>45742</v>
      </c>
      <c r="C667" t="str">
        <f>"121"</f>
        <v>121</v>
      </c>
      <c r="D667" t="s">
        <v>5368</v>
      </c>
      <c r="E667" t="str">
        <f>"182048"</f>
        <v>182048</v>
      </c>
      <c r="F667" t="str">
        <f t="shared" si="12"/>
        <v>33140000</v>
      </c>
      <c r="H667" t="s">
        <v>5369</v>
      </c>
      <c r="K667" s="4">
        <v>750</v>
      </c>
    </row>
    <row r="668" spans="1:11" hidden="1" outlineLevel="2" x14ac:dyDescent="0.35">
      <c r="A668" t="s">
        <v>3115</v>
      </c>
      <c r="B668" s="1">
        <v>45742</v>
      </c>
      <c r="C668" t="str">
        <f>"130"</f>
        <v>130</v>
      </c>
      <c r="D668" t="s">
        <v>5386</v>
      </c>
      <c r="E668" t="str">
        <f>"183494"</f>
        <v>183494</v>
      </c>
      <c r="F668" t="str">
        <f t="shared" si="12"/>
        <v>33140000</v>
      </c>
      <c r="H668" t="s">
        <v>5387</v>
      </c>
      <c r="K668" s="4">
        <v>1960</v>
      </c>
    </row>
    <row r="669" spans="1:11" hidden="1" outlineLevel="2" x14ac:dyDescent="0.35">
      <c r="A669" t="s">
        <v>3115</v>
      </c>
      <c r="B669" s="1">
        <v>45742</v>
      </c>
      <c r="C669" t="str">
        <f>"135"</f>
        <v>135</v>
      </c>
      <c r="D669" t="s">
        <v>5396</v>
      </c>
      <c r="E669" t="str">
        <f>"183441"</f>
        <v>183441</v>
      </c>
      <c r="F669" t="str">
        <f t="shared" si="12"/>
        <v>33140000</v>
      </c>
      <c r="H669" t="s">
        <v>5397</v>
      </c>
      <c r="K669" s="4">
        <v>350</v>
      </c>
    </row>
    <row r="670" spans="1:11" hidden="1" outlineLevel="2" x14ac:dyDescent="0.35">
      <c r="A670" t="s">
        <v>3115</v>
      </c>
      <c r="B670" s="1">
        <v>45742</v>
      </c>
      <c r="C670" t="str">
        <f>"139"</f>
        <v>139</v>
      </c>
      <c r="D670" t="s">
        <v>5404</v>
      </c>
      <c r="E670" t="str">
        <f>"183495"</f>
        <v>183495</v>
      </c>
      <c r="F670" t="str">
        <f t="shared" si="12"/>
        <v>33140000</v>
      </c>
      <c r="H670" t="s">
        <v>5405</v>
      </c>
      <c r="K670" s="4">
        <v>42900</v>
      </c>
    </row>
    <row r="671" spans="1:11" hidden="1" outlineLevel="2" x14ac:dyDescent="0.35">
      <c r="A671" t="s">
        <v>3115</v>
      </c>
      <c r="B671" s="1">
        <v>45742</v>
      </c>
      <c r="C671" t="str">
        <f>"142"</f>
        <v>142</v>
      </c>
      <c r="D671" t="s">
        <v>5410</v>
      </c>
      <c r="E671" t="str">
        <f>"184364"</f>
        <v>184364</v>
      </c>
      <c r="F671" t="str">
        <f t="shared" si="12"/>
        <v>33140000</v>
      </c>
      <c r="H671" t="s">
        <v>5411</v>
      </c>
      <c r="K671" s="4">
        <v>980</v>
      </c>
    </row>
    <row r="672" spans="1:11" hidden="1" outlineLevel="2" x14ac:dyDescent="0.35">
      <c r="A672" t="s">
        <v>3115</v>
      </c>
      <c r="B672" s="1">
        <v>45742</v>
      </c>
      <c r="C672" t="str">
        <f>"143"</f>
        <v>143</v>
      </c>
      <c r="D672" t="s">
        <v>5412</v>
      </c>
      <c r="E672" t="str">
        <f>"184363"</f>
        <v>184363</v>
      </c>
      <c r="F672" t="str">
        <f t="shared" si="12"/>
        <v>33140000</v>
      </c>
      <c r="H672" t="s">
        <v>5413</v>
      </c>
      <c r="K672" s="4">
        <v>294</v>
      </c>
    </row>
    <row r="673" spans="1:11" hidden="1" outlineLevel="2" x14ac:dyDescent="0.35">
      <c r="A673" t="s">
        <v>3115</v>
      </c>
      <c r="B673" s="1">
        <v>45742</v>
      </c>
      <c r="C673" t="str">
        <f>"144"</f>
        <v>144</v>
      </c>
      <c r="D673" t="s">
        <v>5414</v>
      </c>
      <c r="E673" t="str">
        <f>"184365"</f>
        <v>184365</v>
      </c>
      <c r="F673" t="str">
        <f t="shared" si="12"/>
        <v>33140000</v>
      </c>
      <c r="H673" t="s">
        <v>5415</v>
      </c>
      <c r="K673" s="4">
        <v>784</v>
      </c>
    </row>
    <row r="674" spans="1:11" hidden="1" outlineLevel="2" x14ac:dyDescent="0.35">
      <c r="A674" t="s">
        <v>3115</v>
      </c>
      <c r="B674" s="1">
        <v>45742</v>
      </c>
      <c r="C674" t="str">
        <f>"145"</f>
        <v>145</v>
      </c>
      <c r="D674" t="s">
        <v>5416</v>
      </c>
      <c r="E674" t="str">
        <f>"184459"</f>
        <v>184459</v>
      </c>
      <c r="F674" t="str">
        <f t="shared" si="12"/>
        <v>33140000</v>
      </c>
      <c r="H674" t="s">
        <v>5417</v>
      </c>
      <c r="K674" s="4">
        <v>1346</v>
      </c>
    </row>
    <row r="675" spans="1:11" hidden="1" outlineLevel="2" x14ac:dyDescent="0.35">
      <c r="A675" t="s">
        <v>3115</v>
      </c>
      <c r="B675" s="1">
        <v>45742</v>
      </c>
      <c r="C675" t="str">
        <f>"147"</f>
        <v>147</v>
      </c>
      <c r="D675" t="s">
        <v>5420</v>
      </c>
      <c r="E675" t="str">
        <f>"184603"</f>
        <v>184603</v>
      </c>
      <c r="F675" t="str">
        <f t="shared" si="12"/>
        <v>33140000</v>
      </c>
      <c r="H675" t="s">
        <v>5421</v>
      </c>
      <c r="K675" s="4">
        <v>2000</v>
      </c>
    </row>
    <row r="676" spans="1:11" hidden="1" outlineLevel="2" x14ac:dyDescent="0.35">
      <c r="A676" t="s">
        <v>3115</v>
      </c>
      <c r="B676" s="1">
        <v>45742</v>
      </c>
      <c r="C676" t="str">
        <f>"148"</f>
        <v>148</v>
      </c>
      <c r="D676" t="s">
        <v>5422</v>
      </c>
      <c r="E676" t="str">
        <f>"184517"</f>
        <v>184517</v>
      </c>
      <c r="F676" t="str">
        <f t="shared" si="12"/>
        <v>33140000</v>
      </c>
      <c r="H676" t="s">
        <v>5423</v>
      </c>
      <c r="K676" s="4">
        <v>5000</v>
      </c>
    </row>
    <row r="677" spans="1:11" hidden="1" outlineLevel="2" x14ac:dyDescent="0.35">
      <c r="A677" t="s">
        <v>3115</v>
      </c>
      <c r="B677" s="1">
        <v>45744</v>
      </c>
      <c r="C677" t="str">
        <f>"1"</f>
        <v>1</v>
      </c>
      <c r="D677" t="s">
        <v>5426</v>
      </c>
      <c r="E677" t="str">
        <f>"182045"</f>
        <v>182045</v>
      </c>
      <c r="F677" t="str">
        <f t="shared" si="12"/>
        <v>33140000</v>
      </c>
      <c r="H677" t="s">
        <v>5427</v>
      </c>
      <c r="K677" s="4">
        <v>600</v>
      </c>
    </row>
    <row r="678" spans="1:11" hidden="1" outlineLevel="2" x14ac:dyDescent="0.35">
      <c r="A678" t="s">
        <v>3115</v>
      </c>
      <c r="B678" s="1">
        <v>45744</v>
      </c>
      <c r="C678" t="str">
        <f>"2"</f>
        <v>2</v>
      </c>
      <c r="D678" t="s">
        <v>5428</v>
      </c>
      <c r="E678" t="str">
        <f>"182042"</f>
        <v>182042</v>
      </c>
      <c r="F678" t="str">
        <f t="shared" si="12"/>
        <v>33140000</v>
      </c>
      <c r="H678" t="s">
        <v>5429</v>
      </c>
      <c r="K678" s="4">
        <v>600</v>
      </c>
    </row>
    <row r="679" spans="1:11" hidden="1" outlineLevel="2" x14ac:dyDescent="0.35">
      <c r="A679" t="s">
        <v>3115</v>
      </c>
      <c r="B679" s="1">
        <v>45744</v>
      </c>
      <c r="C679" t="str">
        <f>"3"</f>
        <v>3</v>
      </c>
      <c r="D679" t="s">
        <v>5430</v>
      </c>
      <c r="E679" t="str">
        <f>"184368"</f>
        <v>184368</v>
      </c>
      <c r="F679" t="str">
        <f t="shared" si="12"/>
        <v>33140000</v>
      </c>
      <c r="H679" t="s">
        <v>5431</v>
      </c>
      <c r="K679" s="4">
        <v>6900</v>
      </c>
    </row>
    <row r="680" spans="1:11" hidden="1" outlineLevel="2" x14ac:dyDescent="0.35">
      <c r="A680" t="s">
        <v>3115</v>
      </c>
      <c r="B680" s="1">
        <v>45744</v>
      </c>
      <c r="C680" t="str">
        <f>"4"</f>
        <v>4</v>
      </c>
      <c r="D680" t="s">
        <v>5432</v>
      </c>
      <c r="E680" t="str">
        <f>"184369"</f>
        <v>184369</v>
      </c>
      <c r="F680" t="str">
        <f t="shared" si="12"/>
        <v>33140000</v>
      </c>
      <c r="H680" t="s">
        <v>5433</v>
      </c>
      <c r="K680" s="4">
        <v>294</v>
      </c>
    </row>
    <row r="681" spans="1:11" hidden="1" outlineLevel="2" x14ac:dyDescent="0.35">
      <c r="A681" t="s">
        <v>3115</v>
      </c>
      <c r="B681" s="1">
        <v>45744</v>
      </c>
      <c r="C681" t="str">
        <f>"5"</f>
        <v>5</v>
      </c>
      <c r="D681" t="s">
        <v>5434</v>
      </c>
      <c r="E681" t="str">
        <f>"184367"</f>
        <v>184367</v>
      </c>
      <c r="F681" t="str">
        <f t="shared" si="12"/>
        <v>33140000</v>
      </c>
      <c r="H681" t="s">
        <v>5435</v>
      </c>
      <c r="K681" s="4">
        <v>294</v>
      </c>
    </row>
    <row r="682" spans="1:11" hidden="1" outlineLevel="2" x14ac:dyDescent="0.35">
      <c r="A682" t="s">
        <v>3115</v>
      </c>
      <c r="B682" s="1">
        <v>45744</v>
      </c>
      <c r="C682" t="str">
        <f>"6"</f>
        <v>6</v>
      </c>
      <c r="D682" t="s">
        <v>5436</v>
      </c>
      <c r="E682" t="str">
        <f>"184665"</f>
        <v>184665</v>
      </c>
      <c r="F682" t="str">
        <f t="shared" si="12"/>
        <v>33140000</v>
      </c>
      <c r="H682" t="s">
        <v>5437</v>
      </c>
      <c r="K682" s="4">
        <v>35000</v>
      </c>
    </row>
    <row r="683" spans="1:11" hidden="1" outlineLevel="2" x14ac:dyDescent="0.35">
      <c r="A683" t="s">
        <v>3115</v>
      </c>
      <c r="B683" s="1">
        <v>45744</v>
      </c>
      <c r="C683" t="str">
        <f>"7"</f>
        <v>7</v>
      </c>
      <c r="D683" t="s">
        <v>5438</v>
      </c>
      <c r="E683" t="str">
        <f>"183496"</f>
        <v>183496</v>
      </c>
      <c r="F683" t="str">
        <f t="shared" si="12"/>
        <v>33140000</v>
      </c>
      <c r="H683" t="s">
        <v>5439</v>
      </c>
      <c r="K683" s="4">
        <v>4319</v>
      </c>
    </row>
    <row r="684" spans="1:11" hidden="1" outlineLevel="2" x14ac:dyDescent="0.35">
      <c r="A684" t="s">
        <v>3115</v>
      </c>
      <c r="B684" s="1">
        <v>45744</v>
      </c>
      <c r="C684" t="str">
        <f>"8"</f>
        <v>8</v>
      </c>
      <c r="D684" t="s">
        <v>5440</v>
      </c>
      <c r="E684" t="str">
        <f>"184604"</f>
        <v>184604</v>
      </c>
      <c r="F684" t="str">
        <f t="shared" si="12"/>
        <v>33140000</v>
      </c>
      <c r="H684" t="s">
        <v>5441</v>
      </c>
      <c r="K684" s="4">
        <v>1470</v>
      </c>
    </row>
    <row r="685" spans="1:11" hidden="1" outlineLevel="2" x14ac:dyDescent="0.35">
      <c r="A685" t="s">
        <v>3115</v>
      </c>
      <c r="B685" s="1">
        <v>45744</v>
      </c>
      <c r="C685" t="str">
        <f>"10"</f>
        <v>10</v>
      </c>
      <c r="D685" t="s">
        <v>5444</v>
      </c>
      <c r="E685" t="str">
        <f>"183339"</f>
        <v>183339</v>
      </c>
      <c r="F685" t="str">
        <f t="shared" si="12"/>
        <v>33140000</v>
      </c>
      <c r="H685" t="s">
        <v>5445</v>
      </c>
      <c r="K685" s="4">
        <v>13800</v>
      </c>
    </row>
    <row r="686" spans="1:11" hidden="1" outlineLevel="2" x14ac:dyDescent="0.35">
      <c r="A686" t="s">
        <v>3115</v>
      </c>
      <c r="B686" s="1">
        <v>45744</v>
      </c>
      <c r="C686" t="str">
        <f>"11"</f>
        <v>11</v>
      </c>
      <c r="D686" t="s">
        <v>5446</v>
      </c>
      <c r="E686" t="str">
        <f>"183497"</f>
        <v>183497</v>
      </c>
      <c r="F686" t="str">
        <f t="shared" si="12"/>
        <v>33140000</v>
      </c>
      <c r="H686" t="s">
        <v>5447</v>
      </c>
      <c r="K686" s="4">
        <v>245</v>
      </c>
    </row>
    <row r="687" spans="1:11" hidden="1" outlineLevel="2" x14ac:dyDescent="0.35">
      <c r="A687" t="s">
        <v>3115</v>
      </c>
      <c r="B687" s="1">
        <v>45744</v>
      </c>
      <c r="C687" t="str">
        <f>"12"</f>
        <v>12</v>
      </c>
      <c r="D687" t="s">
        <v>5448</v>
      </c>
      <c r="E687" t="str">
        <f>"184461"</f>
        <v>184461</v>
      </c>
      <c r="F687" t="str">
        <f t="shared" si="12"/>
        <v>33140000</v>
      </c>
      <c r="H687" t="s">
        <v>5449</v>
      </c>
      <c r="K687" s="4">
        <v>2300</v>
      </c>
    </row>
    <row r="688" spans="1:11" hidden="1" outlineLevel="2" x14ac:dyDescent="0.35">
      <c r="A688" t="s">
        <v>3115</v>
      </c>
      <c r="B688" s="1">
        <v>45744</v>
      </c>
      <c r="C688" t="str">
        <f>"15"</f>
        <v>15</v>
      </c>
      <c r="D688" t="s">
        <v>5454</v>
      </c>
      <c r="E688" t="str">
        <f>"178428"</f>
        <v>178428</v>
      </c>
      <c r="F688" t="str">
        <f t="shared" si="12"/>
        <v>33140000</v>
      </c>
      <c r="H688" t="s">
        <v>5455</v>
      </c>
      <c r="K688" s="4">
        <v>77484</v>
      </c>
    </row>
    <row r="689" spans="1:11" outlineLevel="1" collapsed="1" x14ac:dyDescent="0.35">
      <c r="B689" s="1"/>
      <c r="F689" s="3" t="s">
        <v>6527</v>
      </c>
      <c r="J689" s="4">
        <f>SUBTOTAL(9,J372:J688)</f>
        <v>3750447</v>
      </c>
      <c r="K689" s="4">
        <f>SUBTOTAL(9,K372:K688)</f>
        <v>2775945</v>
      </c>
    </row>
    <row r="690" spans="1:11" hidden="1" outlineLevel="2" x14ac:dyDescent="0.35">
      <c r="A690" t="s">
        <v>354</v>
      </c>
      <c r="B690" s="1">
        <v>45717</v>
      </c>
      <c r="C690" t="str">
        <f>"553"</f>
        <v>553</v>
      </c>
      <c r="D690" t="s">
        <v>355</v>
      </c>
      <c r="E690" t="s">
        <v>356</v>
      </c>
      <c r="F690" t="str">
        <f t="shared" ref="F690:F753" si="13">"33200000"</f>
        <v>33200000</v>
      </c>
      <c r="H690" t="s">
        <v>357</v>
      </c>
      <c r="J690" s="4">
        <v>23304</v>
      </c>
    </row>
    <row r="691" spans="1:11" hidden="1" outlineLevel="2" x14ac:dyDescent="0.35">
      <c r="A691" t="s">
        <v>354</v>
      </c>
      <c r="B691" s="1">
        <v>45719</v>
      </c>
      <c r="C691" t="str">
        <f>"486"</f>
        <v>486</v>
      </c>
      <c r="D691" t="s">
        <v>361</v>
      </c>
      <c r="E691" t="s">
        <v>362</v>
      </c>
      <c r="F691" t="str">
        <f t="shared" si="13"/>
        <v>33200000</v>
      </c>
      <c r="H691" t="s">
        <v>363</v>
      </c>
      <c r="J691" s="4">
        <v>63560</v>
      </c>
    </row>
    <row r="692" spans="1:11" hidden="1" outlineLevel="2" x14ac:dyDescent="0.35">
      <c r="A692" t="s">
        <v>354</v>
      </c>
      <c r="B692" s="1">
        <v>45719</v>
      </c>
      <c r="C692" t="str">
        <f>"487"</f>
        <v>487</v>
      </c>
      <c r="D692" t="s">
        <v>364</v>
      </c>
      <c r="E692" t="str">
        <f>"0001558"</f>
        <v>0001558</v>
      </c>
      <c r="F692" t="str">
        <f t="shared" si="13"/>
        <v>33200000</v>
      </c>
      <c r="H692" t="s">
        <v>365</v>
      </c>
      <c r="J692" s="4">
        <v>64400</v>
      </c>
    </row>
    <row r="693" spans="1:11" hidden="1" outlineLevel="2" x14ac:dyDescent="0.35">
      <c r="A693" t="s">
        <v>354</v>
      </c>
      <c r="B693" s="1">
        <v>45719</v>
      </c>
      <c r="C693" t="str">
        <f>"488"</f>
        <v>488</v>
      </c>
      <c r="D693" t="s">
        <v>366</v>
      </c>
      <c r="E693" t="str">
        <f>"0001559"</f>
        <v>0001559</v>
      </c>
      <c r="F693" t="str">
        <f t="shared" si="13"/>
        <v>33200000</v>
      </c>
      <c r="H693" t="s">
        <v>367</v>
      </c>
      <c r="J693" s="4">
        <v>51800</v>
      </c>
    </row>
    <row r="694" spans="1:11" hidden="1" outlineLevel="2" x14ac:dyDescent="0.35">
      <c r="A694" t="s">
        <v>354</v>
      </c>
      <c r="B694" s="1">
        <v>45719</v>
      </c>
      <c r="C694" t="str">
        <f>"493"</f>
        <v>493</v>
      </c>
      <c r="D694" t="s">
        <v>379</v>
      </c>
      <c r="E694" t="s">
        <v>380</v>
      </c>
      <c r="F694" t="str">
        <f t="shared" si="13"/>
        <v>33200000</v>
      </c>
      <c r="H694" t="s">
        <v>381</v>
      </c>
      <c r="J694" s="4">
        <v>509063</v>
      </c>
    </row>
    <row r="695" spans="1:11" hidden="1" outlineLevel="2" x14ac:dyDescent="0.35">
      <c r="A695" t="s">
        <v>354</v>
      </c>
      <c r="B695" s="1">
        <v>45719</v>
      </c>
      <c r="C695" t="str">
        <f>"494"</f>
        <v>494</v>
      </c>
      <c r="D695" t="s">
        <v>382</v>
      </c>
      <c r="E695" t="s">
        <v>383</v>
      </c>
      <c r="F695" t="str">
        <f t="shared" si="13"/>
        <v>33200000</v>
      </c>
      <c r="H695" t="s">
        <v>384</v>
      </c>
      <c r="J695" s="4">
        <v>20489</v>
      </c>
    </row>
    <row r="696" spans="1:11" hidden="1" outlineLevel="2" x14ac:dyDescent="0.35">
      <c r="A696" t="s">
        <v>354</v>
      </c>
      <c r="B696" s="1">
        <v>45719</v>
      </c>
      <c r="C696" t="str">
        <f>"495"</f>
        <v>495</v>
      </c>
      <c r="D696" t="s">
        <v>385</v>
      </c>
      <c r="E696" t="s">
        <v>386</v>
      </c>
      <c r="F696" t="str">
        <f t="shared" si="13"/>
        <v>33200000</v>
      </c>
      <c r="H696" t="s">
        <v>387</v>
      </c>
      <c r="J696" s="4">
        <v>231548</v>
      </c>
    </row>
    <row r="697" spans="1:11" hidden="1" outlineLevel="2" x14ac:dyDescent="0.35">
      <c r="A697" t="s">
        <v>354</v>
      </c>
      <c r="B697" s="1">
        <v>45719</v>
      </c>
      <c r="C697" t="str">
        <f>"496"</f>
        <v>496</v>
      </c>
      <c r="D697" t="s">
        <v>388</v>
      </c>
      <c r="E697" t="s">
        <v>389</v>
      </c>
      <c r="F697" t="str">
        <f t="shared" si="13"/>
        <v>33200000</v>
      </c>
      <c r="H697" t="s">
        <v>390</v>
      </c>
      <c r="J697" s="4">
        <v>87359</v>
      </c>
    </row>
    <row r="698" spans="1:11" hidden="1" outlineLevel="2" x14ac:dyDescent="0.35">
      <c r="A698" t="s">
        <v>354</v>
      </c>
      <c r="B698" s="1">
        <v>45719</v>
      </c>
      <c r="C698" t="str">
        <f>"497"</f>
        <v>497</v>
      </c>
      <c r="D698" t="s">
        <v>391</v>
      </c>
      <c r="E698" t="s">
        <v>392</v>
      </c>
      <c r="F698" t="str">
        <f t="shared" si="13"/>
        <v>33200000</v>
      </c>
      <c r="H698" t="s">
        <v>393</v>
      </c>
      <c r="J698" s="4">
        <v>22282</v>
      </c>
    </row>
    <row r="699" spans="1:11" hidden="1" outlineLevel="2" x14ac:dyDescent="0.35">
      <c r="A699" t="s">
        <v>354</v>
      </c>
      <c r="B699" s="1">
        <v>45719</v>
      </c>
      <c r="C699" t="str">
        <f>"498"</f>
        <v>498</v>
      </c>
      <c r="D699" t="s">
        <v>394</v>
      </c>
      <c r="E699" t="s">
        <v>395</v>
      </c>
      <c r="F699" t="str">
        <f t="shared" si="13"/>
        <v>33200000</v>
      </c>
      <c r="H699" t="s">
        <v>396</v>
      </c>
      <c r="J699" s="4">
        <v>53530</v>
      </c>
    </row>
    <row r="700" spans="1:11" hidden="1" outlineLevel="2" x14ac:dyDescent="0.35">
      <c r="A700" t="s">
        <v>354</v>
      </c>
      <c r="B700" s="1">
        <v>45719</v>
      </c>
      <c r="C700" t="str">
        <f>"499"</f>
        <v>499</v>
      </c>
      <c r="D700" t="s">
        <v>397</v>
      </c>
      <c r="E700" t="s">
        <v>398</v>
      </c>
      <c r="F700" t="str">
        <f t="shared" si="13"/>
        <v>33200000</v>
      </c>
      <c r="H700" t="s">
        <v>399</v>
      </c>
      <c r="J700" s="4">
        <v>7944</v>
      </c>
    </row>
    <row r="701" spans="1:11" hidden="1" outlineLevel="2" x14ac:dyDescent="0.35">
      <c r="A701" t="s">
        <v>354</v>
      </c>
      <c r="B701" s="1">
        <v>45719</v>
      </c>
      <c r="C701" t="str">
        <f>"500"</f>
        <v>500</v>
      </c>
      <c r="D701" t="s">
        <v>400</v>
      </c>
      <c r="E701" t="s">
        <v>401</v>
      </c>
      <c r="F701" t="str">
        <f t="shared" si="13"/>
        <v>33200000</v>
      </c>
      <c r="H701" t="s">
        <v>402</v>
      </c>
      <c r="J701" s="4">
        <v>44460</v>
      </c>
    </row>
    <row r="702" spans="1:11" hidden="1" outlineLevel="2" x14ac:dyDescent="0.35">
      <c r="A702" t="s">
        <v>354</v>
      </c>
      <c r="B702" s="1">
        <v>45719</v>
      </c>
      <c r="C702" t="str">
        <f>"501"</f>
        <v>501</v>
      </c>
      <c r="D702" t="s">
        <v>403</v>
      </c>
      <c r="E702" t="s">
        <v>404</v>
      </c>
      <c r="F702" t="str">
        <f t="shared" si="13"/>
        <v>33200000</v>
      </c>
      <c r="H702" t="s">
        <v>405</v>
      </c>
      <c r="J702" s="4">
        <v>58287</v>
      </c>
    </row>
    <row r="703" spans="1:11" hidden="1" outlineLevel="2" x14ac:dyDescent="0.35">
      <c r="A703" t="s">
        <v>354</v>
      </c>
      <c r="B703" s="1">
        <v>45719</v>
      </c>
      <c r="C703" t="str">
        <f>"502"</f>
        <v>502</v>
      </c>
      <c r="D703" t="s">
        <v>406</v>
      </c>
      <c r="E703" t="s">
        <v>407</v>
      </c>
      <c r="F703" t="str">
        <f t="shared" si="13"/>
        <v>33200000</v>
      </c>
      <c r="H703" t="s">
        <v>408</v>
      </c>
      <c r="J703" s="4">
        <v>122100</v>
      </c>
    </row>
    <row r="704" spans="1:11" hidden="1" outlineLevel="2" x14ac:dyDescent="0.35">
      <c r="A704" t="s">
        <v>354</v>
      </c>
      <c r="B704" s="1">
        <v>45719</v>
      </c>
      <c r="C704" t="str">
        <f>"503"</f>
        <v>503</v>
      </c>
      <c r="D704" t="s">
        <v>409</v>
      </c>
      <c r="E704" t="s">
        <v>410</v>
      </c>
      <c r="F704" t="str">
        <f t="shared" si="13"/>
        <v>33200000</v>
      </c>
      <c r="H704" t="s">
        <v>411</v>
      </c>
      <c r="J704" s="4">
        <v>122100</v>
      </c>
    </row>
    <row r="705" spans="1:10" hidden="1" outlineLevel="2" x14ac:dyDescent="0.35">
      <c r="A705" t="s">
        <v>354</v>
      </c>
      <c r="B705" s="1">
        <v>45719</v>
      </c>
      <c r="C705" t="str">
        <f>"504"</f>
        <v>504</v>
      </c>
      <c r="D705" t="s">
        <v>412</v>
      </c>
      <c r="E705" t="s">
        <v>413</v>
      </c>
      <c r="F705" t="str">
        <f t="shared" si="13"/>
        <v>33200000</v>
      </c>
      <c r="H705" t="s">
        <v>414</v>
      </c>
      <c r="J705" s="4">
        <v>4087</v>
      </c>
    </row>
    <row r="706" spans="1:10" hidden="1" outlineLevel="2" x14ac:dyDescent="0.35">
      <c r="A706" t="s">
        <v>354</v>
      </c>
      <c r="B706" s="1">
        <v>45719</v>
      </c>
      <c r="C706" t="str">
        <f>"505"</f>
        <v>505</v>
      </c>
      <c r="D706" t="s">
        <v>415</v>
      </c>
      <c r="E706" t="s">
        <v>416</v>
      </c>
      <c r="F706" t="str">
        <f t="shared" si="13"/>
        <v>33200000</v>
      </c>
      <c r="H706" t="s">
        <v>417</v>
      </c>
      <c r="J706" s="4">
        <v>65200</v>
      </c>
    </row>
    <row r="707" spans="1:10" hidden="1" outlineLevel="2" x14ac:dyDescent="0.35">
      <c r="A707" t="s">
        <v>354</v>
      </c>
      <c r="B707" s="1">
        <v>45719</v>
      </c>
      <c r="C707" t="str">
        <f>"506"</f>
        <v>506</v>
      </c>
      <c r="D707" t="s">
        <v>418</v>
      </c>
      <c r="E707" t="s">
        <v>419</v>
      </c>
      <c r="F707" t="str">
        <f t="shared" si="13"/>
        <v>33200000</v>
      </c>
      <c r="H707" t="s">
        <v>420</v>
      </c>
      <c r="J707" s="4">
        <v>25974</v>
      </c>
    </row>
    <row r="708" spans="1:10" hidden="1" outlineLevel="2" x14ac:dyDescent="0.35">
      <c r="A708" t="s">
        <v>354</v>
      </c>
      <c r="B708" s="1">
        <v>45719</v>
      </c>
      <c r="C708" t="str">
        <f>"507"</f>
        <v>507</v>
      </c>
      <c r="D708" t="s">
        <v>421</v>
      </c>
      <c r="E708" t="s">
        <v>422</v>
      </c>
      <c r="F708" t="str">
        <f t="shared" si="13"/>
        <v>33200000</v>
      </c>
      <c r="H708" t="s">
        <v>423</v>
      </c>
      <c r="J708" s="4">
        <v>84000</v>
      </c>
    </row>
    <row r="709" spans="1:10" hidden="1" outlineLevel="2" x14ac:dyDescent="0.35">
      <c r="A709" t="s">
        <v>354</v>
      </c>
      <c r="B709" s="1">
        <v>45719</v>
      </c>
      <c r="C709" t="str">
        <f>"538"</f>
        <v>538</v>
      </c>
      <c r="D709" t="s">
        <v>505</v>
      </c>
      <c r="E709" t="str">
        <f>"0001818"</f>
        <v>0001818</v>
      </c>
      <c r="F709" t="str">
        <f t="shared" si="13"/>
        <v>33200000</v>
      </c>
      <c r="H709" t="s">
        <v>506</v>
      </c>
      <c r="J709" s="4">
        <v>182000</v>
      </c>
    </row>
    <row r="710" spans="1:10" hidden="1" outlineLevel="2" x14ac:dyDescent="0.35">
      <c r="A710" t="s">
        <v>354</v>
      </c>
      <c r="B710" s="1">
        <v>45719</v>
      </c>
      <c r="C710" t="str">
        <f>"579"</f>
        <v>579</v>
      </c>
      <c r="D710" t="s">
        <v>507</v>
      </c>
      <c r="E710" t="str">
        <f>"0089399"</f>
        <v>0089399</v>
      </c>
      <c r="F710" t="str">
        <f t="shared" si="13"/>
        <v>33200000</v>
      </c>
      <c r="H710" t="s">
        <v>508</v>
      </c>
      <c r="J710" s="4">
        <v>1985000</v>
      </c>
    </row>
    <row r="711" spans="1:10" hidden="1" outlineLevel="2" x14ac:dyDescent="0.35">
      <c r="A711" t="s">
        <v>354</v>
      </c>
      <c r="B711" s="1">
        <v>45721</v>
      </c>
      <c r="C711" t="str">
        <f>"560"</f>
        <v>560</v>
      </c>
      <c r="D711" t="s">
        <v>516</v>
      </c>
      <c r="E711" t="s">
        <v>517</v>
      </c>
      <c r="F711" t="str">
        <f t="shared" si="13"/>
        <v>33200000</v>
      </c>
      <c r="H711" t="s">
        <v>518</v>
      </c>
      <c r="J711" s="4">
        <v>357500</v>
      </c>
    </row>
    <row r="712" spans="1:10" hidden="1" outlineLevel="2" x14ac:dyDescent="0.35">
      <c r="A712" t="s">
        <v>354</v>
      </c>
      <c r="B712" s="1">
        <v>45721</v>
      </c>
      <c r="C712" t="str">
        <f>"561"</f>
        <v>561</v>
      </c>
      <c r="D712" t="s">
        <v>519</v>
      </c>
      <c r="E712" t="s">
        <v>520</v>
      </c>
      <c r="F712" t="str">
        <f t="shared" si="13"/>
        <v>33200000</v>
      </c>
      <c r="H712" t="s">
        <v>521</v>
      </c>
      <c r="J712" s="4">
        <v>15580</v>
      </c>
    </row>
    <row r="713" spans="1:10" hidden="1" outlineLevel="2" x14ac:dyDescent="0.35">
      <c r="A713" t="s">
        <v>354</v>
      </c>
      <c r="B713" s="1">
        <v>45721</v>
      </c>
      <c r="C713" t="str">
        <f>"581"</f>
        <v>581</v>
      </c>
      <c r="D713" t="s">
        <v>522</v>
      </c>
      <c r="E713" t="str">
        <f>"966426"</f>
        <v>966426</v>
      </c>
      <c r="F713" t="str">
        <f t="shared" si="13"/>
        <v>33200000</v>
      </c>
      <c r="H713" t="s">
        <v>523</v>
      </c>
      <c r="J713" s="4">
        <v>75000</v>
      </c>
    </row>
    <row r="714" spans="1:10" hidden="1" outlineLevel="2" x14ac:dyDescent="0.35">
      <c r="A714" t="s">
        <v>354</v>
      </c>
      <c r="B714" s="1">
        <v>45721</v>
      </c>
      <c r="C714" t="str">
        <f>"582"</f>
        <v>582</v>
      </c>
      <c r="D714" t="s">
        <v>524</v>
      </c>
      <c r="E714" t="str">
        <f>"966427"</f>
        <v>966427</v>
      </c>
      <c r="F714" t="str">
        <f t="shared" si="13"/>
        <v>33200000</v>
      </c>
      <c r="H714" t="s">
        <v>525</v>
      </c>
      <c r="J714" s="4">
        <v>125000</v>
      </c>
    </row>
    <row r="715" spans="1:10" hidden="1" outlineLevel="2" x14ac:dyDescent="0.35">
      <c r="A715" t="s">
        <v>354</v>
      </c>
      <c r="B715" s="1">
        <v>45721</v>
      </c>
      <c r="C715" t="str">
        <f>"583"</f>
        <v>583</v>
      </c>
      <c r="D715" t="s">
        <v>526</v>
      </c>
      <c r="E715" t="str">
        <f>"966428"</f>
        <v>966428</v>
      </c>
      <c r="F715" t="str">
        <f t="shared" si="13"/>
        <v>33200000</v>
      </c>
      <c r="H715" t="s">
        <v>527</v>
      </c>
      <c r="J715" s="4">
        <v>38000</v>
      </c>
    </row>
    <row r="716" spans="1:10" hidden="1" outlineLevel="2" x14ac:dyDescent="0.35">
      <c r="A716" t="s">
        <v>354</v>
      </c>
      <c r="B716" s="1">
        <v>45721</v>
      </c>
      <c r="C716" t="str">
        <f>"584"</f>
        <v>584</v>
      </c>
      <c r="D716" t="s">
        <v>528</v>
      </c>
      <c r="E716" t="str">
        <f>"966429"</f>
        <v>966429</v>
      </c>
      <c r="F716" t="str">
        <f t="shared" si="13"/>
        <v>33200000</v>
      </c>
      <c r="H716" t="s">
        <v>529</v>
      </c>
      <c r="J716" s="4">
        <v>85000</v>
      </c>
    </row>
    <row r="717" spans="1:10" hidden="1" outlineLevel="2" x14ac:dyDescent="0.35">
      <c r="A717" t="s">
        <v>354</v>
      </c>
      <c r="B717" s="1">
        <v>45721</v>
      </c>
      <c r="C717" t="str">
        <f>"585"</f>
        <v>585</v>
      </c>
      <c r="D717" t="s">
        <v>530</v>
      </c>
      <c r="E717" t="str">
        <f>"966430"</f>
        <v>966430</v>
      </c>
      <c r="F717" t="str">
        <f t="shared" si="13"/>
        <v>33200000</v>
      </c>
      <c r="H717" t="s">
        <v>531</v>
      </c>
      <c r="J717" s="4">
        <v>95000</v>
      </c>
    </row>
    <row r="718" spans="1:10" hidden="1" outlineLevel="2" x14ac:dyDescent="0.35">
      <c r="A718" t="s">
        <v>354</v>
      </c>
      <c r="B718" s="1">
        <v>45721</v>
      </c>
      <c r="C718" t="str">
        <f>"587"</f>
        <v>587</v>
      </c>
      <c r="D718" t="s">
        <v>532</v>
      </c>
      <c r="E718" t="str">
        <f>"966432"</f>
        <v>966432</v>
      </c>
      <c r="F718" t="str">
        <f t="shared" si="13"/>
        <v>33200000</v>
      </c>
      <c r="H718" t="s">
        <v>533</v>
      </c>
      <c r="J718" s="4">
        <v>36000</v>
      </c>
    </row>
    <row r="719" spans="1:10" hidden="1" outlineLevel="2" x14ac:dyDescent="0.35">
      <c r="A719" t="s">
        <v>354</v>
      </c>
      <c r="B719" s="1">
        <v>45721</v>
      </c>
      <c r="C719" t="str">
        <f>"588"</f>
        <v>588</v>
      </c>
      <c r="D719" t="s">
        <v>534</v>
      </c>
      <c r="E719" t="str">
        <f>"966434"</f>
        <v>966434</v>
      </c>
      <c r="F719" t="str">
        <f t="shared" si="13"/>
        <v>33200000</v>
      </c>
      <c r="H719" t="s">
        <v>535</v>
      </c>
      <c r="J719" s="4">
        <v>51000</v>
      </c>
    </row>
    <row r="720" spans="1:10" hidden="1" outlineLevel="2" x14ac:dyDescent="0.35">
      <c r="A720" t="s">
        <v>354</v>
      </c>
      <c r="B720" s="1">
        <v>45721</v>
      </c>
      <c r="C720" t="str">
        <f>"628"</f>
        <v>628</v>
      </c>
      <c r="D720" t="s">
        <v>536</v>
      </c>
      <c r="E720" t="str">
        <f>"966433"</f>
        <v>966433</v>
      </c>
      <c r="F720" t="str">
        <f t="shared" si="13"/>
        <v>33200000</v>
      </c>
      <c r="H720" t="s">
        <v>537</v>
      </c>
      <c r="J720" s="4">
        <v>66000</v>
      </c>
    </row>
    <row r="721" spans="1:10" hidden="1" outlineLevel="2" x14ac:dyDescent="0.35">
      <c r="A721" t="s">
        <v>354</v>
      </c>
      <c r="B721" s="1">
        <v>45722</v>
      </c>
      <c r="C721" t="str">
        <f>"536"</f>
        <v>536</v>
      </c>
      <c r="D721" t="s">
        <v>540</v>
      </c>
      <c r="E721" t="s">
        <v>541</v>
      </c>
      <c r="F721" t="str">
        <f t="shared" si="13"/>
        <v>33200000</v>
      </c>
      <c r="H721" t="s">
        <v>542</v>
      </c>
      <c r="J721" s="4">
        <v>7077</v>
      </c>
    </row>
    <row r="722" spans="1:10" hidden="1" outlineLevel="2" x14ac:dyDescent="0.35">
      <c r="A722" t="s">
        <v>354</v>
      </c>
      <c r="B722" s="1">
        <v>45722</v>
      </c>
      <c r="C722" t="str">
        <f>"545"</f>
        <v>545</v>
      </c>
      <c r="D722" t="s">
        <v>546</v>
      </c>
      <c r="E722" t="s">
        <v>547</v>
      </c>
      <c r="F722" t="str">
        <f t="shared" si="13"/>
        <v>33200000</v>
      </c>
      <c r="H722" t="s">
        <v>548</v>
      </c>
      <c r="J722" s="4">
        <v>58544</v>
      </c>
    </row>
    <row r="723" spans="1:10" hidden="1" outlineLevel="2" x14ac:dyDescent="0.35">
      <c r="A723" t="s">
        <v>354</v>
      </c>
      <c r="B723" s="1">
        <v>45722</v>
      </c>
      <c r="C723" t="str">
        <f>"546"</f>
        <v>546</v>
      </c>
      <c r="D723" t="s">
        <v>549</v>
      </c>
      <c r="E723" t="s">
        <v>550</v>
      </c>
      <c r="F723" t="str">
        <f t="shared" si="13"/>
        <v>33200000</v>
      </c>
      <c r="H723" t="s">
        <v>551</v>
      </c>
      <c r="J723" s="4">
        <v>238273</v>
      </c>
    </row>
    <row r="724" spans="1:10" hidden="1" outlineLevel="2" x14ac:dyDescent="0.35">
      <c r="A724" t="s">
        <v>354</v>
      </c>
      <c r="B724" s="1">
        <v>45722</v>
      </c>
      <c r="C724" t="str">
        <f>"547"</f>
        <v>547</v>
      </c>
      <c r="D724" t="s">
        <v>552</v>
      </c>
      <c r="E724" t="s">
        <v>553</v>
      </c>
      <c r="F724" t="str">
        <f t="shared" si="13"/>
        <v>33200000</v>
      </c>
      <c r="H724" t="s">
        <v>554</v>
      </c>
      <c r="J724" s="4">
        <v>58544</v>
      </c>
    </row>
    <row r="725" spans="1:10" hidden="1" outlineLevel="2" x14ac:dyDescent="0.35">
      <c r="A725" t="s">
        <v>354</v>
      </c>
      <c r="B725" s="1">
        <v>45722</v>
      </c>
      <c r="C725" t="str">
        <f>"548"</f>
        <v>548</v>
      </c>
      <c r="D725" t="s">
        <v>555</v>
      </c>
      <c r="E725" t="s">
        <v>556</v>
      </c>
      <c r="F725" t="str">
        <f t="shared" si="13"/>
        <v>33200000</v>
      </c>
      <c r="H725" t="s">
        <v>557</v>
      </c>
      <c r="J725" s="4">
        <v>247686</v>
      </c>
    </row>
    <row r="726" spans="1:10" hidden="1" outlineLevel="2" x14ac:dyDescent="0.35">
      <c r="A726" t="s">
        <v>354</v>
      </c>
      <c r="B726" s="1">
        <v>45722</v>
      </c>
      <c r="C726" t="str">
        <f>"549"</f>
        <v>549</v>
      </c>
      <c r="D726" t="s">
        <v>558</v>
      </c>
      <c r="E726" t="s">
        <v>559</v>
      </c>
      <c r="F726" t="str">
        <f t="shared" si="13"/>
        <v>33200000</v>
      </c>
      <c r="H726" t="s">
        <v>560</v>
      </c>
      <c r="J726" s="4">
        <v>371529</v>
      </c>
    </row>
    <row r="727" spans="1:10" hidden="1" outlineLevel="2" x14ac:dyDescent="0.35">
      <c r="A727" t="s">
        <v>354</v>
      </c>
      <c r="B727" s="1">
        <v>45722</v>
      </c>
      <c r="C727" t="str">
        <f>"550"</f>
        <v>550</v>
      </c>
      <c r="D727" t="s">
        <v>561</v>
      </c>
      <c r="E727" t="s">
        <v>562</v>
      </c>
      <c r="F727" t="str">
        <f t="shared" si="13"/>
        <v>33200000</v>
      </c>
      <c r="H727" t="s">
        <v>563</v>
      </c>
      <c r="J727" s="4">
        <v>371529</v>
      </c>
    </row>
    <row r="728" spans="1:10" hidden="1" outlineLevel="2" x14ac:dyDescent="0.35">
      <c r="A728" t="s">
        <v>354</v>
      </c>
      <c r="B728" s="1">
        <v>45722</v>
      </c>
      <c r="C728" t="str">
        <f>"551"</f>
        <v>551</v>
      </c>
      <c r="D728" t="s">
        <v>564</v>
      </c>
      <c r="E728" t="s">
        <v>565</v>
      </c>
      <c r="F728" t="str">
        <f t="shared" si="13"/>
        <v>33200000</v>
      </c>
      <c r="H728" t="s">
        <v>566</v>
      </c>
      <c r="J728" s="4">
        <v>396158</v>
      </c>
    </row>
    <row r="729" spans="1:10" hidden="1" outlineLevel="2" x14ac:dyDescent="0.35">
      <c r="A729" t="s">
        <v>354</v>
      </c>
      <c r="B729" s="1">
        <v>45722</v>
      </c>
      <c r="C729" t="str">
        <f>"562"</f>
        <v>562</v>
      </c>
      <c r="D729" t="s">
        <v>570</v>
      </c>
      <c r="E729" t="s">
        <v>571</v>
      </c>
      <c r="F729" t="str">
        <f t="shared" si="13"/>
        <v>33200000</v>
      </c>
      <c r="H729" t="s">
        <v>572</v>
      </c>
      <c r="J729" s="4">
        <v>64101</v>
      </c>
    </row>
    <row r="730" spans="1:10" hidden="1" outlineLevel="2" x14ac:dyDescent="0.35">
      <c r="A730" t="s">
        <v>354</v>
      </c>
      <c r="B730" s="1">
        <v>45722</v>
      </c>
      <c r="C730" t="str">
        <f>"563"</f>
        <v>563</v>
      </c>
      <c r="D730" t="s">
        <v>573</v>
      </c>
      <c r="E730" t="s">
        <v>574</v>
      </c>
      <c r="F730" t="str">
        <f t="shared" si="13"/>
        <v>33200000</v>
      </c>
      <c r="H730" t="s">
        <v>575</v>
      </c>
      <c r="J730" s="4">
        <v>76271</v>
      </c>
    </row>
    <row r="731" spans="1:10" hidden="1" outlineLevel="2" x14ac:dyDescent="0.35">
      <c r="A731" t="s">
        <v>354</v>
      </c>
      <c r="B731" s="1">
        <v>45722</v>
      </c>
      <c r="C731" t="str">
        <f>"565"</f>
        <v>565</v>
      </c>
      <c r="D731" t="s">
        <v>576</v>
      </c>
      <c r="E731" t="s">
        <v>577</v>
      </c>
      <c r="F731" t="str">
        <f t="shared" si="13"/>
        <v>33200000</v>
      </c>
      <c r="H731" t="s">
        <v>578</v>
      </c>
      <c r="J731" s="4">
        <v>234777</v>
      </c>
    </row>
    <row r="732" spans="1:10" hidden="1" outlineLevel="2" x14ac:dyDescent="0.35">
      <c r="A732" t="s">
        <v>354</v>
      </c>
      <c r="B732" s="1">
        <v>45722</v>
      </c>
      <c r="C732" t="str">
        <f>"567"</f>
        <v>567</v>
      </c>
      <c r="D732" t="s">
        <v>582</v>
      </c>
      <c r="E732" t="s">
        <v>583</v>
      </c>
      <c r="F732" t="str">
        <f t="shared" si="13"/>
        <v>33200000</v>
      </c>
      <c r="H732" t="s">
        <v>584</v>
      </c>
      <c r="J732" s="4">
        <v>546905</v>
      </c>
    </row>
    <row r="733" spans="1:10" hidden="1" outlineLevel="2" x14ac:dyDescent="0.35">
      <c r="A733" t="s">
        <v>354</v>
      </c>
      <c r="B733" s="1">
        <v>45722</v>
      </c>
      <c r="C733" t="str">
        <f>"568"</f>
        <v>568</v>
      </c>
      <c r="D733" t="s">
        <v>585</v>
      </c>
      <c r="E733" t="s">
        <v>586</v>
      </c>
      <c r="F733" t="str">
        <f t="shared" si="13"/>
        <v>33200000</v>
      </c>
      <c r="H733" t="s">
        <v>587</v>
      </c>
      <c r="J733" s="4">
        <v>113377</v>
      </c>
    </row>
    <row r="734" spans="1:10" hidden="1" outlineLevel="2" x14ac:dyDescent="0.35">
      <c r="A734" t="s">
        <v>354</v>
      </c>
      <c r="B734" s="1">
        <v>45722</v>
      </c>
      <c r="C734" t="str">
        <f>"569"</f>
        <v>569</v>
      </c>
      <c r="D734" t="s">
        <v>588</v>
      </c>
      <c r="E734" t="s">
        <v>589</v>
      </c>
      <c r="F734" t="str">
        <f t="shared" si="13"/>
        <v>33200000</v>
      </c>
      <c r="H734" t="s">
        <v>590</v>
      </c>
      <c r="J734" s="4">
        <v>219454</v>
      </c>
    </row>
    <row r="735" spans="1:10" hidden="1" outlineLevel="2" x14ac:dyDescent="0.35">
      <c r="A735" t="s">
        <v>354</v>
      </c>
      <c r="B735" s="1">
        <v>45722</v>
      </c>
      <c r="C735" t="str">
        <f>"570"</f>
        <v>570</v>
      </c>
      <c r="D735" t="s">
        <v>591</v>
      </c>
      <c r="E735" t="s">
        <v>592</v>
      </c>
      <c r="F735" t="str">
        <f t="shared" si="13"/>
        <v>33200000</v>
      </c>
      <c r="H735" t="s">
        <v>593</v>
      </c>
      <c r="J735" s="4">
        <v>37536</v>
      </c>
    </row>
    <row r="736" spans="1:10" hidden="1" outlineLevel="2" x14ac:dyDescent="0.35">
      <c r="A736" t="s">
        <v>354</v>
      </c>
      <c r="B736" s="1">
        <v>45722</v>
      </c>
      <c r="C736" t="str">
        <f>"571"</f>
        <v>571</v>
      </c>
      <c r="D736" t="s">
        <v>594</v>
      </c>
      <c r="E736" t="s">
        <v>595</v>
      </c>
      <c r="F736" t="str">
        <f t="shared" si="13"/>
        <v>33200000</v>
      </c>
      <c r="H736" t="s">
        <v>596</v>
      </c>
      <c r="J736" s="4">
        <v>545070</v>
      </c>
    </row>
    <row r="737" spans="1:10" hidden="1" outlineLevel="2" x14ac:dyDescent="0.35">
      <c r="A737" t="s">
        <v>354</v>
      </c>
      <c r="B737" s="1">
        <v>45722</v>
      </c>
      <c r="C737" t="str">
        <f>"572"</f>
        <v>572</v>
      </c>
      <c r="D737" t="s">
        <v>597</v>
      </c>
      <c r="E737" t="s">
        <v>598</v>
      </c>
      <c r="F737" t="str">
        <f t="shared" si="13"/>
        <v>33200000</v>
      </c>
      <c r="H737" t="s">
        <v>599</v>
      </c>
      <c r="J737" s="4">
        <v>125851</v>
      </c>
    </row>
    <row r="738" spans="1:10" hidden="1" outlineLevel="2" x14ac:dyDescent="0.35">
      <c r="A738" t="s">
        <v>354</v>
      </c>
      <c r="B738" s="1">
        <v>45722</v>
      </c>
      <c r="C738" t="str">
        <f>"573"</f>
        <v>573</v>
      </c>
      <c r="D738" t="s">
        <v>600</v>
      </c>
      <c r="E738" t="s">
        <v>601</v>
      </c>
      <c r="F738" t="str">
        <f t="shared" si="13"/>
        <v>33200000</v>
      </c>
      <c r="H738" t="s">
        <v>602</v>
      </c>
      <c r="J738" s="4">
        <v>531856</v>
      </c>
    </row>
    <row r="739" spans="1:10" hidden="1" outlineLevel="2" x14ac:dyDescent="0.35">
      <c r="A739" t="s">
        <v>354</v>
      </c>
      <c r="B739" s="1">
        <v>45722</v>
      </c>
      <c r="C739" t="str">
        <f>"574"</f>
        <v>574</v>
      </c>
      <c r="D739" t="s">
        <v>603</v>
      </c>
      <c r="E739" t="s">
        <v>604</v>
      </c>
      <c r="F739" t="str">
        <f t="shared" si="13"/>
        <v>33200000</v>
      </c>
      <c r="H739" t="s">
        <v>605</v>
      </c>
      <c r="J739" s="4">
        <v>20739</v>
      </c>
    </row>
    <row r="740" spans="1:10" hidden="1" outlineLevel="2" x14ac:dyDescent="0.35">
      <c r="A740" t="s">
        <v>354</v>
      </c>
      <c r="B740" s="1">
        <v>45722</v>
      </c>
      <c r="C740" t="str">
        <f>"575"</f>
        <v>575</v>
      </c>
      <c r="D740" t="s">
        <v>606</v>
      </c>
      <c r="E740" t="s">
        <v>607</v>
      </c>
      <c r="F740" t="str">
        <f t="shared" si="13"/>
        <v>33200000</v>
      </c>
      <c r="H740" t="s">
        <v>608</v>
      </c>
      <c r="J740" s="4">
        <v>36052</v>
      </c>
    </row>
    <row r="741" spans="1:10" hidden="1" outlineLevel="2" x14ac:dyDescent="0.35">
      <c r="A741" t="s">
        <v>354</v>
      </c>
      <c r="B741" s="1">
        <v>45722</v>
      </c>
      <c r="C741" t="str">
        <f>"576"</f>
        <v>576</v>
      </c>
      <c r="D741" t="s">
        <v>609</v>
      </c>
      <c r="E741" t="s">
        <v>610</v>
      </c>
      <c r="F741" t="str">
        <f t="shared" si="13"/>
        <v>33200000</v>
      </c>
      <c r="H741" t="s">
        <v>611</v>
      </c>
      <c r="J741" s="4">
        <v>14421</v>
      </c>
    </row>
    <row r="742" spans="1:10" hidden="1" outlineLevel="2" x14ac:dyDescent="0.35">
      <c r="A742" t="s">
        <v>354</v>
      </c>
      <c r="B742" s="1">
        <v>45722</v>
      </c>
      <c r="C742" t="str">
        <f>"591"</f>
        <v>591</v>
      </c>
      <c r="D742" t="s">
        <v>615</v>
      </c>
      <c r="E742" t="str">
        <f>"0023352"</f>
        <v>0023352</v>
      </c>
      <c r="F742" t="str">
        <f t="shared" si="13"/>
        <v>33200000</v>
      </c>
      <c r="H742" t="s">
        <v>616</v>
      </c>
      <c r="J742" s="4">
        <v>1105000</v>
      </c>
    </row>
    <row r="743" spans="1:10" hidden="1" outlineLevel="2" x14ac:dyDescent="0.35">
      <c r="A743" t="s">
        <v>354</v>
      </c>
      <c r="B743" s="1">
        <v>45722</v>
      </c>
      <c r="C743" t="str">
        <f>"592"</f>
        <v>592</v>
      </c>
      <c r="D743" t="s">
        <v>617</v>
      </c>
      <c r="E743" t="str">
        <f>"00233353"</f>
        <v>00233353</v>
      </c>
      <c r="F743" t="str">
        <f t="shared" si="13"/>
        <v>33200000</v>
      </c>
      <c r="H743" t="s">
        <v>618</v>
      </c>
      <c r="J743" s="4">
        <v>495000</v>
      </c>
    </row>
    <row r="744" spans="1:10" hidden="1" outlineLevel="2" x14ac:dyDescent="0.35">
      <c r="A744" t="s">
        <v>354</v>
      </c>
      <c r="B744" s="1">
        <v>45722</v>
      </c>
      <c r="C744" t="str">
        <f>"593"</f>
        <v>593</v>
      </c>
      <c r="D744" t="s">
        <v>619</v>
      </c>
      <c r="E744" t="str">
        <f>"00233354"</f>
        <v>00233354</v>
      </c>
      <c r="F744" t="str">
        <f t="shared" si="13"/>
        <v>33200000</v>
      </c>
      <c r="H744" t="s">
        <v>620</v>
      </c>
      <c r="J744" s="4">
        <v>330300</v>
      </c>
    </row>
    <row r="745" spans="1:10" hidden="1" outlineLevel="2" x14ac:dyDescent="0.35">
      <c r="A745" t="s">
        <v>354</v>
      </c>
      <c r="B745" s="1">
        <v>45722</v>
      </c>
      <c r="C745" t="str">
        <f>"594"</f>
        <v>594</v>
      </c>
      <c r="D745" t="s">
        <v>621</v>
      </c>
      <c r="E745" t="str">
        <f>"00233355"</f>
        <v>00233355</v>
      </c>
      <c r="F745" t="str">
        <f t="shared" si="13"/>
        <v>33200000</v>
      </c>
      <c r="H745" t="s">
        <v>622</v>
      </c>
      <c r="J745" s="4">
        <v>180000</v>
      </c>
    </row>
    <row r="746" spans="1:10" hidden="1" outlineLevel="2" x14ac:dyDescent="0.35">
      <c r="A746" t="s">
        <v>354</v>
      </c>
      <c r="B746" s="1">
        <v>45722</v>
      </c>
      <c r="C746" t="str">
        <f>"595"</f>
        <v>595</v>
      </c>
      <c r="D746" t="s">
        <v>623</v>
      </c>
      <c r="E746" t="str">
        <f>"00233356"</f>
        <v>00233356</v>
      </c>
      <c r="F746" t="str">
        <f t="shared" si="13"/>
        <v>33200000</v>
      </c>
      <c r="H746" t="s">
        <v>624</v>
      </c>
      <c r="J746" s="4">
        <v>330000</v>
      </c>
    </row>
    <row r="747" spans="1:10" hidden="1" outlineLevel="2" x14ac:dyDescent="0.35">
      <c r="A747" t="s">
        <v>354</v>
      </c>
      <c r="B747" s="1">
        <v>45722</v>
      </c>
      <c r="C747" t="str">
        <f>"596"</f>
        <v>596</v>
      </c>
      <c r="D747" t="s">
        <v>625</v>
      </c>
      <c r="E747" t="str">
        <f>"00233357"</f>
        <v>00233357</v>
      </c>
      <c r="F747" t="str">
        <f t="shared" si="13"/>
        <v>33200000</v>
      </c>
      <c r="H747" t="s">
        <v>626</v>
      </c>
      <c r="J747" s="4">
        <v>1600000</v>
      </c>
    </row>
    <row r="748" spans="1:10" hidden="1" outlineLevel="2" x14ac:dyDescent="0.35">
      <c r="A748" t="s">
        <v>354</v>
      </c>
      <c r="B748" s="1">
        <v>45722</v>
      </c>
      <c r="C748" t="str">
        <f>"597"</f>
        <v>597</v>
      </c>
      <c r="D748" t="s">
        <v>627</v>
      </c>
      <c r="E748" t="str">
        <f>"00233358"</f>
        <v>00233358</v>
      </c>
      <c r="F748" t="str">
        <f t="shared" si="13"/>
        <v>33200000</v>
      </c>
      <c r="H748" t="s">
        <v>628</v>
      </c>
      <c r="J748" s="4">
        <v>160300</v>
      </c>
    </row>
    <row r="749" spans="1:10" hidden="1" outlineLevel="2" x14ac:dyDescent="0.35">
      <c r="A749" t="s">
        <v>354</v>
      </c>
      <c r="B749" s="1">
        <v>45722</v>
      </c>
      <c r="C749" t="str">
        <f>"598"</f>
        <v>598</v>
      </c>
      <c r="D749" t="s">
        <v>629</v>
      </c>
      <c r="E749" t="str">
        <f>"00233359"</f>
        <v>00233359</v>
      </c>
      <c r="F749" t="str">
        <f t="shared" si="13"/>
        <v>33200000</v>
      </c>
      <c r="H749" t="s">
        <v>630</v>
      </c>
      <c r="J749" s="4">
        <v>2200000</v>
      </c>
    </row>
    <row r="750" spans="1:10" hidden="1" outlineLevel="2" x14ac:dyDescent="0.35">
      <c r="A750" t="s">
        <v>354</v>
      </c>
      <c r="B750" s="1">
        <v>45722</v>
      </c>
      <c r="C750" t="str">
        <f>"599"</f>
        <v>599</v>
      </c>
      <c r="D750" t="s">
        <v>631</v>
      </c>
      <c r="E750" t="str">
        <f>"00233360"</f>
        <v>00233360</v>
      </c>
      <c r="F750" t="str">
        <f t="shared" si="13"/>
        <v>33200000</v>
      </c>
      <c r="H750" t="s">
        <v>632</v>
      </c>
      <c r="J750" s="4">
        <v>435000</v>
      </c>
    </row>
    <row r="751" spans="1:10" hidden="1" outlineLevel="2" x14ac:dyDescent="0.35">
      <c r="A751" t="s">
        <v>354</v>
      </c>
      <c r="B751" s="1">
        <v>45722</v>
      </c>
      <c r="C751" t="str">
        <f>"600"</f>
        <v>600</v>
      </c>
      <c r="D751" t="s">
        <v>633</v>
      </c>
      <c r="E751" t="str">
        <f>"00233361"</f>
        <v>00233361</v>
      </c>
      <c r="F751" t="str">
        <f t="shared" si="13"/>
        <v>33200000</v>
      </c>
      <c r="H751" t="s">
        <v>634</v>
      </c>
      <c r="J751" s="4">
        <v>195300</v>
      </c>
    </row>
    <row r="752" spans="1:10" hidden="1" outlineLevel="2" x14ac:dyDescent="0.35">
      <c r="A752" t="s">
        <v>354</v>
      </c>
      <c r="B752" s="1">
        <v>45722</v>
      </c>
      <c r="C752" t="str">
        <f>"601"</f>
        <v>601</v>
      </c>
      <c r="D752" t="s">
        <v>635</v>
      </c>
      <c r="E752" t="str">
        <f>"00233363"</f>
        <v>00233363</v>
      </c>
      <c r="F752" t="str">
        <f t="shared" si="13"/>
        <v>33200000</v>
      </c>
      <c r="H752" t="s">
        <v>636</v>
      </c>
      <c r="J752" s="4">
        <v>300300</v>
      </c>
    </row>
    <row r="753" spans="1:10" hidden="1" outlineLevel="2" x14ac:dyDescent="0.35">
      <c r="A753" t="s">
        <v>354</v>
      </c>
      <c r="B753" s="1">
        <v>45722</v>
      </c>
      <c r="C753" t="str">
        <f>"602"</f>
        <v>602</v>
      </c>
      <c r="D753" t="s">
        <v>637</v>
      </c>
      <c r="E753" t="str">
        <f>"00233364"</f>
        <v>00233364</v>
      </c>
      <c r="F753" t="str">
        <f t="shared" si="13"/>
        <v>33200000</v>
      </c>
      <c r="H753" t="s">
        <v>638</v>
      </c>
      <c r="J753" s="4">
        <v>240300</v>
      </c>
    </row>
    <row r="754" spans="1:10" hidden="1" outlineLevel="2" x14ac:dyDescent="0.35">
      <c r="A754" t="s">
        <v>354</v>
      </c>
      <c r="B754" s="1">
        <v>45722</v>
      </c>
      <c r="C754" t="str">
        <f>"603"</f>
        <v>603</v>
      </c>
      <c r="D754" t="s">
        <v>639</v>
      </c>
      <c r="E754" t="str">
        <f>"00233365"</f>
        <v>00233365</v>
      </c>
      <c r="F754" t="str">
        <f t="shared" ref="F754:F817" si="14">"33200000"</f>
        <v>33200000</v>
      </c>
      <c r="H754" t="s">
        <v>640</v>
      </c>
      <c r="J754" s="4">
        <v>380000</v>
      </c>
    </row>
    <row r="755" spans="1:10" hidden="1" outlineLevel="2" x14ac:dyDescent="0.35">
      <c r="A755" t="s">
        <v>354</v>
      </c>
      <c r="B755" s="1">
        <v>45722</v>
      </c>
      <c r="C755" t="str">
        <f>"604"</f>
        <v>604</v>
      </c>
      <c r="D755" t="s">
        <v>641</v>
      </c>
      <c r="E755" t="str">
        <f>"00233366"</f>
        <v>00233366</v>
      </c>
      <c r="F755" t="str">
        <f t="shared" si="14"/>
        <v>33200000</v>
      </c>
      <c r="H755" t="s">
        <v>642</v>
      </c>
      <c r="J755" s="4">
        <v>2200000</v>
      </c>
    </row>
    <row r="756" spans="1:10" hidden="1" outlineLevel="2" x14ac:dyDescent="0.35">
      <c r="A756" t="s">
        <v>354</v>
      </c>
      <c r="B756" s="1">
        <v>45722</v>
      </c>
      <c r="C756" t="str">
        <f>"605"</f>
        <v>605</v>
      </c>
      <c r="D756" t="s">
        <v>643</v>
      </c>
      <c r="E756" t="str">
        <f>"00233367"</f>
        <v>00233367</v>
      </c>
      <c r="F756" t="str">
        <f t="shared" si="14"/>
        <v>33200000</v>
      </c>
      <c r="H756" t="s">
        <v>644</v>
      </c>
      <c r="J756" s="4">
        <v>380300</v>
      </c>
    </row>
    <row r="757" spans="1:10" hidden="1" outlineLevel="2" x14ac:dyDescent="0.35">
      <c r="A757" t="s">
        <v>354</v>
      </c>
      <c r="B757" s="1">
        <v>45722</v>
      </c>
      <c r="C757" t="str">
        <f>"606"</f>
        <v>606</v>
      </c>
      <c r="D757" t="s">
        <v>645</v>
      </c>
      <c r="E757" t="str">
        <f>"00233368"</f>
        <v>00233368</v>
      </c>
      <c r="F757" t="str">
        <f t="shared" si="14"/>
        <v>33200000</v>
      </c>
      <c r="H757" t="s">
        <v>646</v>
      </c>
      <c r="J757" s="4">
        <v>105600</v>
      </c>
    </row>
    <row r="758" spans="1:10" hidden="1" outlineLevel="2" x14ac:dyDescent="0.35">
      <c r="A758" t="s">
        <v>354</v>
      </c>
      <c r="B758" s="1">
        <v>45722</v>
      </c>
      <c r="C758" t="str">
        <f>"607"</f>
        <v>607</v>
      </c>
      <c r="D758" t="s">
        <v>647</v>
      </c>
      <c r="E758" t="str">
        <f>"00233369"</f>
        <v>00233369</v>
      </c>
      <c r="F758" t="str">
        <f t="shared" si="14"/>
        <v>33200000</v>
      </c>
      <c r="H758" t="s">
        <v>648</v>
      </c>
      <c r="J758" s="4">
        <v>190000</v>
      </c>
    </row>
    <row r="759" spans="1:10" hidden="1" outlineLevel="2" x14ac:dyDescent="0.35">
      <c r="A759" t="s">
        <v>354</v>
      </c>
      <c r="B759" s="1">
        <v>45722</v>
      </c>
      <c r="C759" t="str">
        <f>"608"</f>
        <v>608</v>
      </c>
      <c r="D759" t="s">
        <v>649</v>
      </c>
      <c r="E759" t="str">
        <f>"00233370"</f>
        <v>00233370</v>
      </c>
      <c r="F759" t="str">
        <f t="shared" si="14"/>
        <v>33200000</v>
      </c>
      <c r="H759" t="s">
        <v>650</v>
      </c>
      <c r="J759" s="4">
        <v>113000</v>
      </c>
    </row>
    <row r="760" spans="1:10" hidden="1" outlineLevel="2" x14ac:dyDescent="0.35">
      <c r="A760" t="s">
        <v>354</v>
      </c>
      <c r="B760" s="1">
        <v>45722</v>
      </c>
      <c r="C760" t="str">
        <f>"609"</f>
        <v>609</v>
      </c>
      <c r="D760" t="s">
        <v>651</v>
      </c>
      <c r="E760" t="str">
        <f>"00233371"</f>
        <v>00233371</v>
      </c>
      <c r="F760" t="str">
        <f t="shared" si="14"/>
        <v>33200000</v>
      </c>
      <c r="H760" t="s">
        <v>652</v>
      </c>
      <c r="J760" s="4">
        <v>340300</v>
      </c>
    </row>
    <row r="761" spans="1:10" hidden="1" outlineLevel="2" x14ac:dyDescent="0.35">
      <c r="A761" t="s">
        <v>354</v>
      </c>
      <c r="B761" s="1">
        <v>45722</v>
      </c>
      <c r="C761" t="str">
        <f>"610"</f>
        <v>610</v>
      </c>
      <c r="D761" t="s">
        <v>653</v>
      </c>
      <c r="E761" t="str">
        <f>"00233372"</f>
        <v>00233372</v>
      </c>
      <c r="F761" t="str">
        <f t="shared" si="14"/>
        <v>33200000</v>
      </c>
      <c r="H761" t="s">
        <v>654</v>
      </c>
      <c r="J761" s="4">
        <v>155000</v>
      </c>
    </row>
    <row r="762" spans="1:10" hidden="1" outlineLevel="2" x14ac:dyDescent="0.35">
      <c r="A762" t="s">
        <v>354</v>
      </c>
      <c r="B762" s="1">
        <v>45722</v>
      </c>
      <c r="C762" t="str">
        <f>"611"</f>
        <v>611</v>
      </c>
      <c r="D762" t="s">
        <v>655</v>
      </c>
      <c r="E762" t="str">
        <f>"00233373"</f>
        <v>00233373</v>
      </c>
      <c r="F762" t="str">
        <f t="shared" si="14"/>
        <v>33200000</v>
      </c>
      <c r="H762" t="s">
        <v>656</v>
      </c>
      <c r="J762" s="4">
        <v>600000</v>
      </c>
    </row>
    <row r="763" spans="1:10" hidden="1" outlineLevel="2" x14ac:dyDescent="0.35">
      <c r="A763" t="s">
        <v>354</v>
      </c>
      <c r="B763" s="1">
        <v>45722</v>
      </c>
      <c r="C763" t="str">
        <f>"612"</f>
        <v>612</v>
      </c>
      <c r="D763" t="s">
        <v>657</v>
      </c>
      <c r="E763" t="str">
        <f>"00233374"</f>
        <v>00233374</v>
      </c>
      <c r="F763" t="str">
        <f t="shared" si="14"/>
        <v>33200000</v>
      </c>
      <c r="H763" t="s">
        <v>658</v>
      </c>
      <c r="J763" s="4">
        <v>700000</v>
      </c>
    </row>
    <row r="764" spans="1:10" hidden="1" outlineLevel="2" x14ac:dyDescent="0.35">
      <c r="A764" t="s">
        <v>354</v>
      </c>
      <c r="B764" s="1">
        <v>45722</v>
      </c>
      <c r="C764" t="str">
        <f>"613"</f>
        <v>613</v>
      </c>
      <c r="D764" t="s">
        <v>659</v>
      </c>
      <c r="E764" t="str">
        <f>"00233375"</f>
        <v>00233375</v>
      </c>
      <c r="F764" t="str">
        <f t="shared" si="14"/>
        <v>33200000</v>
      </c>
      <c r="H764" t="s">
        <v>660</v>
      </c>
      <c r="J764" s="4">
        <v>400000</v>
      </c>
    </row>
    <row r="765" spans="1:10" hidden="1" outlineLevel="2" x14ac:dyDescent="0.35">
      <c r="A765" t="s">
        <v>354</v>
      </c>
      <c r="B765" s="1">
        <v>45722</v>
      </c>
      <c r="C765" t="str">
        <f>"654"</f>
        <v>654</v>
      </c>
      <c r="D765" t="s">
        <v>663</v>
      </c>
      <c r="E765" t="s">
        <v>664</v>
      </c>
      <c r="F765" t="str">
        <f t="shared" si="14"/>
        <v>33200000</v>
      </c>
      <c r="H765" t="s">
        <v>665</v>
      </c>
      <c r="J765" s="4">
        <v>11639</v>
      </c>
    </row>
    <row r="766" spans="1:10" hidden="1" outlineLevel="2" x14ac:dyDescent="0.35">
      <c r="A766" t="s">
        <v>354</v>
      </c>
      <c r="B766" s="1">
        <v>45722</v>
      </c>
      <c r="C766" t="str">
        <f>"655"</f>
        <v>655</v>
      </c>
      <c r="D766" t="s">
        <v>666</v>
      </c>
      <c r="E766" t="s">
        <v>667</v>
      </c>
      <c r="F766" t="str">
        <f t="shared" si="14"/>
        <v>33200000</v>
      </c>
      <c r="H766" t="s">
        <v>668</v>
      </c>
      <c r="J766" s="4">
        <v>219454</v>
      </c>
    </row>
    <row r="767" spans="1:10" hidden="1" outlineLevel="2" x14ac:dyDescent="0.35">
      <c r="A767" t="s">
        <v>354</v>
      </c>
      <c r="B767" s="1">
        <v>45722</v>
      </c>
      <c r="C767" t="str">
        <f>"657"</f>
        <v>657</v>
      </c>
      <c r="D767" t="s">
        <v>669</v>
      </c>
      <c r="E767" t="s">
        <v>670</v>
      </c>
      <c r="F767" t="str">
        <f t="shared" si="14"/>
        <v>33200000</v>
      </c>
      <c r="H767" t="s">
        <v>671</v>
      </c>
      <c r="J767" s="4">
        <v>186996</v>
      </c>
    </row>
    <row r="768" spans="1:10" hidden="1" outlineLevel="2" x14ac:dyDescent="0.35">
      <c r="A768" t="s">
        <v>354</v>
      </c>
      <c r="B768" s="1">
        <v>45726</v>
      </c>
      <c r="C768" t="str">
        <f>"537"</f>
        <v>537</v>
      </c>
      <c r="D768" t="s">
        <v>672</v>
      </c>
      <c r="E768" t="s">
        <v>673</v>
      </c>
      <c r="F768" t="str">
        <f t="shared" si="14"/>
        <v>33200000</v>
      </c>
      <c r="H768" t="s">
        <v>674</v>
      </c>
      <c r="J768" s="4">
        <v>48429</v>
      </c>
    </row>
    <row r="769" spans="1:10" hidden="1" outlineLevel="2" x14ac:dyDescent="0.35">
      <c r="A769" t="s">
        <v>354</v>
      </c>
      <c r="B769" s="1">
        <v>45726</v>
      </c>
      <c r="C769" t="str">
        <f>"554"</f>
        <v>554</v>
      </c>
      <c r="D769" t="s">
        <v>686</v>
      </c>
      <c r="E769" t="s">
        <v>687</v>
      </c>
      <c r="F769" t="str">
        <f t="shared" si="14"/>
        <v>33200000</v>
      </c>
      <c r="H769" t="s">
        <v>688</v>
      </c>
      <c r="J769" s="4">
        <v>74750</v>
      </c>
    </row>
    <row r="770" spans="1:10" hidden="1" outlineLevel="2" x14ac:dyDescent="0.35">
      <c r="A770" t="s">
        <v>354</v>
      </c>
      <c r="B770" s="1">
        <v>45726</v>
      </c>
      <c r="C770" t="str">
        <f>"555"</f>
        <v>555</v>
      </c>
      <c r="D770" t="s">
        <v>689</v>
      </c>
      <c r="E770" t="s">
        <v>690</v>
      </c>
      <c r="F770" t="str">
        <f t="shared" si="14"/>
        <v>33200000</v>
      </c>
      <c r="H770" t="s">
        <v>691</v>
      </c>
      <c r="J770" s="4">
        <v>494065</v>
      </c>
    </row>
    <row r="771" spans="1:10" hidden="1" outlineLevel="2" x14ac:dyDescent="0.35">
      <c r="A771" t="s">
        <v>354</v>
      </c>
      <c r="B771" s="1">
        <v>45726</v>
      </c>
      <c r="C771" t="str">
        <f>"556"</f>
        <v>556</v>
      </c>
      <c r="D771" t="s">
        <v>692</v>
      </c>
      <c r="E771" t="s">
        <v>693</v>
      </c>
      <c r="F771" t="str">
        <f t="shared" si="14"/>
        <v>33200000</v>
      </c>
      <c r="H771" t="s">
        <v>694</v>
      </c>
      <c r="J771" s="4">
        <v>357500</v>
      </c>
    </row>
    <row r="772" spans="1:10" hidden="1" outlineLevel="2" x14ac:dyDescent="0.35">
      <c r="A772" t="s">
        <v>354</v>
      </c>
      <c r="B772" s="1">
        <v>45726</v>
      </c>
      <c r="C772" t="str">
        <f>"557"</f>
        <v>557</v>
      </c>
      <c r="D772" t="s">
        <v>695</v>
      </c>
      <c r="E772" t="s">
        <v>696</v>
      </c>
      <c r="F772" t="str">
        <f t="shared" si="14"/>
        <v>33200000</v>
      </c>
      <c r="H772" t="s">
        <v>697</v>
      </c>
      <c r="J772" s="4">
        <v>36716</v>
      </c>
    </row>
    <row r="773" spans="1:10" hidden="1" outlineLevel="2" x14ac:dyDescent="0.35">
      <c r="A773" t="s">
        <v>354</v>
      </c>
      <c r="B773" s="1">
        <v>45726</v>
      </c>
      <c r="C773" t="str">
        <f>"558"</f>
        <v>558</v>
      </c>
      <c r="D773" t="s">
        <v>698</v>
      </c>
      <c r="E773" t="s">
        <v>699</v>
      </c>
      <c r="F773" t="str">
        <f t="shared" si="14"/>
        <v>33200000</v>
      </c>
      <c r="H773" t="s">
        <v>700</v>
      </c>
      <c r="J773" s="4">
        <v>57237</v>
      </c>
    </row>
    <row r="774" spans="1:10" hidden="1" outlineLevel="2" x14ac:dyDescent="0.35">
      <c r="A774" t="s">
        <v>354</v>
      </c>
      <c r="B774" s="1">
        <v>45726</v>
      </c>
      <c r="C774" t="str">
        <f>"559"</f>
        <v>559</v>
      </c>
      <c r="D774" t="s">
        <v>701</v>
      </c>
      <c r="E774" t="s">
        <v>702</v>
      </c>
      <c r="F774" t="str">
        <f t="shared" si="14"/>
        <v>33200000</v>
      </c>
      <c r="H774" t="s">
        <v>703</v>
      </c>
      <c r="J774" s="4">
        <v>29720</v>
      </c>
    </row>
    <row r="775" spans="1:10" hidden="1" outlineLevel="2" x14ac:dyDescent="0.35">
      <c r="A775" t="s">
        <v>354</v>
      </c>
      <c r="B775" s="1">
        <v>45726</v>
      </c>
      <c r="C775" t="str">
        <f>"564"</f>
        <v>564</v>
      </c>
      <c r="D775" t="s">
        <v>704</v>
      </c>
      <c r="E775" t="s">
        <v>705</v>
      </c>
      <c r="F775" t="str">
        <f t="shared" si="14"/>
        <v>33200000</v>
      </c>
      <c r="H775" t="s">
        <v>706</v>
      </c>
      <c r="J775" s="4">
        <v>507000</v>
      </c>
    </row>
    <row r="776" spans="1:10" hidden="1" outlineLevel="2" x14ac:dyDescent="0.35">
      <c r="A776" t="s">
        <v>354</v>
      </c>
      <c r="B776" s="1">
        <v>45726</v>
      </c>
      <c r="C776" t="str">
        <f>"580"</f>
        <v>580</v>
      </c>
      <c r="D776" t="s">
        <v>707</v>
      </c>
      <c r="E776" t="str">
        <f>"9666425"</f>
        <v>9666425</v>
      </c>
      <c r="F776" t="str">
        <f t="shared" si="14"/>
        <v>33200000</v>
      </c>
      <c r="H776" t="s">
        <v>708</v>
      </c>
      <c r="J776" s="4">
        <v>44000</v>
      </c>
    </row>
    <row r="777" spans="1:10" hidden="1" outlineLevel="2" x14ac:dyDescent="0.35">
      <c r="A777" t="s">
        <v>354</v>
      </c>
      <c r="B777" s="1">
        <v>45726</v>
      </c>
      <c r="C777" t="str">
        <f>"586"</f>
        <v>586</v>
      </c>
      <c r="D777" t="s">
        <v>709</v>
      </c>
      <c r="E777" t="str">
        <f>"966431"</f>
        <v>966431</v>
      </c>
      <c r="F777" t="str">
        <f t="shared" si="14"/>
        <v>33200000</v>
      </c>
      <c r="H777" t="s">
        <v>710</v>
      </c>
      <c r="J777" s="4">
        <v>53000</v>
      </c>
    </row>
    <row r="778" spans="1:10" hidden="1" outlineLevel="2" x14ac:dyDescent="0.35">
      <c r="A778" t="s">
        <v>354</v>
      </c>
      <c r="B778" s="1">
        <v>45726</v>
      </c>
      <c r="C778" t="str">
        <f>"589"</f>
        <v>589</v>
      </c>
      <c r="D778" t="s">
        <v>711</v>
      </c>
      <c r="E778" t="str">
        <f>"966444"</f>
        <v>966444</v>
      </c>
      <c r="F778" t="str">
        <f t="shared" si="14"/>
        <v>33200000</v>
      </c>
      <c r="H778" t="s">
        <v>712</v>
      </c>
      <c r="J778" s="4">
        <v>20000</v>
      </c>
    </row>
    <row r="779" spans="1:10" hidden="1" outlineLevel="2" x14ac:dyDescent="0.35">
      <c r="A779" t="s">
        <v>354</v>
      </c>
      <c r="B779" s="1">
        <v>45726</v>
      </c>
      <c r="C779" t="str">
        <f>"590"</f>
        <v>590</v>
      </c>
      <c r="D779" t="s">
        <v>713</v>
      </c>
      <c r="E779" t="str">
        <f>"966446"</f>
        <v>966446</v>
      </c>
      <c r="F779" t="str">
        <f t="shared" si="14"/>
        <v>33200000</v>
      </c>
      <c r="H779" t="s">
        <v>714</v>
      </c>
      <c r="J779" s="4">
        <v>32000</v>
      </c>
    </row>
    <row r="780" spans="1:10" hidden="1" outlineLevel="2" x14ac:dyDescent="0.35">
      <c r="A780" t="s">
        <v>354</v>
      </c>
      <c r="B780" s="1">
        <v>45726</v>
      </c>
      <c r="C780" t="str">
        <f>"614"</f>
        <v>614</v>
      </c>
      <c r="D780" t="s">
        <v>715</v>
      </c>
      <c r="E780" t="str">
        <f>"00233376"</f>
        <v>00233376</v>
      </c>
      <c r="F780" t="str">
        <f t="shared" si="14"/>
        <v>33200000</v>
      </c>
      <c r="H780" t="s">
        <v>716</v>
      </c>
      <c r="J780" s="4">
        <v>750000</v>
      </c>
    </row>
    <row r="781" spans="1:10" hidden="1" outlineLevel="2" x14ac:dyDescent="0.35">
      <c r="A781" t="s">
        <v>354</v>
      </c>
      <c r="B781" s="1">
        <v>45726</v>
      </c>
      <c r="C781" t="str">
        <f>"615"</f>
        <v>615</v>
      </c>
      <c r="D781" t="s">
        <v>717</v>
      </c>
      <c r="E781" t="str">
        <f>"00233377"</f>
        <v>00233377</v>
      </c>
      <c r="F781" t="str">
        <f t="shared" si="14"/>
        <v>33200000</v>
      </c>
      <c r="H781" t="s">
        <v>718</v>
      </c>
      <c r="J781" s="4">
        <v>510000</v>
      </c>
    </row>
    <row r="782" spans="1:10" hidden="1" outlineLevel="2" x14ac:dyDescent="0.35">
      <c r="A782" t="s">
        <v>354</v>
      </c>
      <c r="B782" s="1">
        <v>45726</v>
      </c>
      <c r="C782" t="str">
        <f>"616"</f>
        <v>616</v>
      </c>
      <c r="D782" t="s">
        <v>719</v>
      </c>
      <c r="E782" t="str">
        <f>"00233378"</f>
        <v>00233378</v>
      </c>
      <c r="F782" t="str">
        <f t="shared" si="14"/>
        <v>33200000</v>
      </c>
      <c r="H782" t="s">
        <v>720</v>
      </c>
      <c r="J782" s="4">
        <v>2100000</v>
      </c>
    </row>
    <row r="783" spans="1:10" hidden="1" outlineLevel="2" x14ac:dyDescent="0.35">
      <c r="A783" t="s">
        <v>354</v>
      </c>
      <c r="B783" s="1">
        <v>45726</v>
      </c>
      <c r="C783" t="str">
        <f>"617"</f>
        <v>617</v>
      </c>
      <c r="D783" t="s">
        <v>721</v>
      </c>
      <c r="E783" t="str">
        <f>"00233379"</f>
        <v>00233379</v>
      </c>
      <c r="F783" t="str">
        <f t="shared" si="14"/>
        <v>33200000</v>
      </c>
      <c r="H783" t="s">
        <v>722</v>
      </c>
      <c r="J783" s="4">
        <v>90000</v>
      </c>
    </row>
    <row r="784" spans="1:10" hidden="1" outlineLevel="2" x14ac:dyDescent="0.35">
      <c r="A784" t="s">
        <v>354</v>
      </c>
      <c r="B784" s="1">
        <v>45726</v>
      </c>
      <c r="C784" t="str">
        <f>"618"</f>
        <v>618</v>
      </c>
      <c r="D784" t="s">
        <v>723</v>
      </c>
      <c r="E784" t="str">
        <f>"00233380"</f>
        <v>00233380</v>
      </c>
      <c r="F784" t="str">
        <f t="shared" si="14"/>
        <v>33200000</v>
      </c>
      <c r="H784" t="s">
        <v>724</v>
      </c>
      <c r="J784" s="4">
        <v>2200000</v>
      </c>
    </row>
    <row r="785" spans="1:10" hidden="1" outlineLevel="2" x14ac:dyDescent="0.35">
      <c r="A785" t="s">
        <v>354</v>
      </c>
      <c r="B785" s="1">
        <v>45726</v>
      </c>
      <c r="C785" t="str">
        <f>"619"</f>
        <v>619</v>
      </c>
      <c r="D785" t="s">
        <v>725</v>
      </c>
      <c r="E785" t="str">
        <f>"00233381"</f>
        <v>00233381</v>
      </c>
      <c r="F785" t="str">
        <f t="shared" si="14"/>
        <v>33200000</v>
      </c>
      <c r="H785" t="s">
        <v>726</v>
      </c>
      <c r="J785" s="4">
        <v>430000</v>
      </c>
    </row>
    <row r="786" spans="1:10" hidden="1" outlineLevel="2" x14ac:dyDescent="0.35">
      <c r="A786" t="s">
        <v>354</v>
      </c>
      <c r="B786" s="1">
        <v>45726</v>
      </c>
      <c r="C786" t="str">
        <f>"620"</f>
        <v>620</v>
      </c>
      <c r="D786" t="s">
        <v>727</v>
      </c>
      <c r="E786" t="str">
        <f>"00233382"</f>
        <v>00233382</v>
      </c>
      <c r="F786" t="str">
        <f t="shared" si="14"/>
        <v>33200000</v>
      </c>
      <c r="H786" t="s">
        <v>728</v>
      </c>
      <c r="J786" s="4">
        <v>555000</v>
      </c>
    </row>
    <row r="787" spans="1:10" hidden="1" outlineLevel="2" x14ac:dyDescent="0.35">
      <c r="A787" t="s">
        <v>354</v>
      </c>
      <c r="B787" s="1">
        <v>45726</v>
      </c>
      <c r="C787" t="str">
        <f>"621"</f>
        <v>621</v>
      </c>
      <c r="D787" t="s">
        <v>729</v>
      </c>
      <c r="E787" t="str">
        <f>"00233383"</f>
        <v>00233383</v>
      </c>
      <c r="F787" t="str">
        <f t="shared" si="14"/>
        <v>33200000</v>
      </c>
      <c r="H787" t="s">
        <v>730</v>
      </c>
      <c r="J787" s="4">
        <v>1845000</v>
      </c>
    </row>
    <row r="788" spans="1:10" hidden="1" outlineLevel="2" x14ac:dyDescent="0.35">
      <c r="A788" t="s">
        <v>354</v>
      </c>
      <c r="B788" s="1">
        <v>45726</v>
      </c>
      <c r="C788" t="str">
        <f>"622"</f>
        <v>622</v>
      </c>
      <c r="D788" t="s">
        <v>731</v>
      </c>
      <c r="E788" t="str">
        <f>"00233384"</f>
        <v>00233384</v>
      </c>
      <c r="F788" t="str">
        <f t="shared" si="14"/>
        <v>33200000</v>
      </c>
      <c r="H788" t="s">
        <v>732</v>
      </c>
      <c r="J788" s="4">
        <v>240000</v>
      </c>
    </row>
    <row r="789" spans="1:10" hidden="1" outlineLevel="2" x14ac:dyDescent="0.35">
      <c r="A789" t="s">
        <v>354</v>
      </c>
      <c r="B789" s="1">
        <v>45726</v>
      </c>
      <c r="C789" t="str">
        <f>"623"</f>
        <v>623</v>
      </c>
      <c r="D789" t="s">
        <v>733</v>
      </c>
      <c r="E789" t="str">
        <f>"00233385"</f>
        <v>00233385</v>
      </c>
      <c r="F789" t="str">
        <f t="shared" si="14"/>
        <v>33200000</v>
      </c>
      <c r="H789" t="s">
        <v>734</v>
      </c>
      <c r="J789" s="4">
        <v>1005000</v>
      </c>
    </row>
    <row r="790" spans="1:10" hidden="1" outlineLevel="2" x14ac:dyDescent="0.35">
      <c r="A790" t="s">
        <v>354</v>
      </c>
      <c r="B790" s="1">
        <v>45726</v>
      </c>
      <c r="C790" t="str">
        <f>"624"</f>
        <v>624</v>
      </c>
      <c r="D790" t="s">
        <v>735</v>
      </c>
      <c r="E790" t="str">
        <f>"00233386"</f>
        <v>00233386</v>
      </c>
      <c r="F790" t="str">
        <f t="shared" si="14"/>
        <v>33200000</v>
      </c>
      <c r="H790" t="s">
        <v>736</v>
      </c>
      <c r="J790" s="4">
        <v>113000</v>
      </c>
    </row>
    <row r="791" spans="1:10" hidden="1" outlineLevel="2" x14ac:dyDescent="0.35">
      <c r="A791" t="s">
        <v>354</v>
      </c>
      <c r="B791" s="1">
        <v>45726</v>
      </c>
      <c r="C791" t="str">
        <f>"625"</f>
        <v>625</v>
      </c>
      <c r="D791" t="s">
        <v>737</v>
      </c>
      <c r="E791" t="str">
        <f>"00233387"</f>
        <v>00233387</v>
      </c>
      <c r="F791" t="str">
        <f t="shared" si="14"/>
        <v>33200000</v>
      </c>
      <c r="H791" t="s">
        <v>738</v>
      </c>
      <c r="J791" s="4">
        <v>125300</v>
      </c>
    </row>
    <row r="792" spans="1:10" hidden="1" outlineLevel="2" x14ac:dyDescent="0.35">
      <c r="A792" t="s">
        <v>354</v>
      </c>
      <c r="B792" s="1">
        <v>45726</v>
      </c>
      <c r="C792" t="str">
        <f>"626"</f>
        <v>626</v>
      </c>
      <c r="D792" t="s">
        <v>739</v>
      </c>
      <c r="E792" t="str">
        <f>"00233388"</f>
        <v>00233388</v>
      </c>
      <c r="F792" t="str">
        <f t="shared" si="14"/>
        <v>33200000</v>
      </c>
      <c r="H792" t="s">
        <v>740</v>
      </c>
      <c r="J792" s="4">
        <v>73000</v>
      </c>
    </row>
    <row r="793" spans="1:10" hidden="1" outlineLevel="2" x14ac:dyDescent="0.35">
      <c r="A793" t="s">
        <v>354</v>
      </c>
      <c r="B793" s="1">
        <v>45726</v>
      </c>
      <c r="C793" t="str">
        <f>"627"</f>
        <v>627</v>
      </c>
      <c r="D793" t="s">
        <v>741</v>
      </c>
      <c r="E793" t="str">
        <f>"00233390"</f>
        <v>00233390</v>
      </c>
      <c r="F793" t="str">
        <f t="shared" si="14"/>
        <v>33200000</v>
      </c>
      <c r="H793" t="s">
        <v>742</v>
      </c>
      <c r="J793" s="4">
        <v>1435000</v>
      </c>
    </row>
    <row r="794" spans="1:10" hidden="1" outlineLevel="2" x14ac:dyDescent="0.35">
      <c r="A794" t="s">
        <v>354</v>
      </c>
      <c r="B794" s="1">
        <v>45726</v>
      </c>
      <c r="C794" t="str">
        <f>"676"</f>
        <v>676</v>
      </c>
      <c r="D794" t="s">
        <v>743</v>
      </c>
      <c r="E794" t="s">
        <v>744</v>
      </c>
      <c r="F794" t="str">
        <f t="shared" si="14"/>
        <v>33200000</v>
      </c>
      <c r="H794" t="s">
        <v>745</v>
      </c>
      <c r="J794" s="4">
        <v>128700</v>
      </c>
    </row>
    <row r="795" spans="1:10" hidden="1" outlineLevel="2" x14ac:dyDescent="0.35">
      <c r="A795" t="s">
        <v>354</v>
      </c>
      <c r="B795" s="1">
        <v>45726</v>
      </c>
      <c r="C795" t="str">
        <f>"751"</f>
        <v>751</v>
      </c>
      <c r="D795" t="s">
        <v>746</v>
      </c>
      <c r="E795" t="str">
        <f>"000405"</f>
        <v>000405</v>
      </c>
      <c r="F795" t="str">
        <f t="shared" si="14"/>
        <v>33200000</v>
      </c>
      <c r="H795" t="s">
        <v>747</v>
      </c>
      <c r="J795" s="4">
        <v>220000</v>
      </c>
    </row>
    <row r="796" spans="1:10" hidden="1" outlineLevel="2" x14ac:dyDescent="0.35">
      <c r="A796" t="s">
        <v>354</v>
      </c>
      <c r="B796" s="1">
        <v>45728</v>
      </c>
      <c r="C796" t="str">
        <f>"660"</f>
        <v>660</v>
      </c>
      <c r="D796" t="s">
        <v>754</v>
      </c>
      <c r="E796" t="s">
        <v>755</v>
      </c>
      <c r="F796" t="str">
        <f t="shared" si="14"/>
        <v>33200000</v>
      </c>
      <c r="H796" t="s">
        <v>756</v>
      </c>
      <c r="J796" s="4">
        <v>5940</v>
      </c>
    </row>
    <row r="797" spans="1:10" hidden="1" outlineLevel="2" x14ac:dyDescent="0.35">
      <c r="A797" t="s">
        <v>354</v>
      </c>
      <c r="B797" s="1">
        <v>45728</v>
      </c>
      <c r="C797" t="str">
        <f>"661"</f>
        <v>661</v>
      </c>
      <c r="D797" t="s">
        <v>757</v>
      </c>
      <c r="E797" t="s">
        <v>758</v>
      </c>
      <c r="F797" t="str">
        <f t="shared" si="14"/>
        <v>33200000</v>
      </c>
      <c r="H797" t="s">
        <v>759</v>
      </c>
      <c r="J797" s="4">
        <v>149400</v>
      </c>
    </row>
    <row r="798" spans="1:10" hidden="1" outlineLevel="2" x14ac:dyDescent="0.35">
      <c r="A798" t="s">
        <v>354</v>
      </c>
      <c r="B798" s="1">
        <v>45729</v>
      </c>
      <c r="C798" t="str">
        <f>"629"</f>
        <v>629</v>
      </c>
      <c r="D798" t="s">
        <v>766</v>
      </c>
      <c r="E798" t="str">
        <f>"00233362"</f>
        <v>00233362</v>
      </c>
      <c r="F798" t="str">
        <f t="shared" si="14"/>
        <v>33200000</v>
      </c>
      <c r="H798" t="s">
        <v>767</v>
      </c>
      <c r="J798" s="4">
        <v>107000</v>
      </c>
    </row>
    <row r="799" spans="1:10" hidden="1" outlineLevel="2" x14ac:dyDescent="0.35">
      <c r="A799" t="s">
        <v>354</v>
      </c>
      <c r="B799" s="1">
        <v>45729</v>
      </c>
      <c r="C799" t="str">
        <f>"630"</f>
        <v>630</v>
      </c>
      <c r="D799" t="s">
        <v>768</v>
      </c>
      <c r="E799" t="str">
        <f>"00233391"</f>
        <v>00233391</v>
      </c>
      <c r="F799" t="str">
        <f t="shared" si="14"/>
        <v>33200000</v>
      </c>
      <c r="H799" t="s">
        <v>769</v>
      </c>
      <c r="J799" s="4">
        <v>335000</v>
      </c>
    </row>
    <row r="800" spans="1:10" hidden="1" outlineLevel="2" x14ac:dyDescent="0.35">
      <c r="A800" t="s">
        <v>354</v>
      </c>
      <c r="B800" s="1">
        <v>45729</v>
      </c>
      <c r="C800" t="str">
        <f>"631"</f>
        <v>631</v>
      </c>
      <c r="D800" t="s">
        <v>770</v>
      </c>
      <c r="E800" t="str">
        <f>"00233392"</f>
        <v>00233392</v>
      </c>
      <c r="F800" t="str">
        <f t="shared" si="14"/>
        <v>33200000</v>
      </c>
      <c r="H800" t="s">
        <v>771</v>
      </c>
      <c r="J800" s="4">
        <v>850000</v>
      </c>
    </row>
    <row r="801" spans="1:10" hidden="1" outlineLevel="2" x14ac:dyDescent="0.35">
      <c r="A801" t="s">
        <v>354</v>
      </c>
      <c r="B801" s="1">
        <v>45729</v>
      </c>
      <c r="C801" t="str">
        <f>"632"</f>
        <v>632</v>
      </c>
      <c r="D801" t="s">
        <v>772</v>
      </c>
      <c r="E801" t="str">
        <f>"00233394"</f>
        <v>00233394</v>
      </c>
      <c r="F801" t="str">
        <f t="shared" si="14"/>
        <v>33200000</v>
      </c>
      <c r="H801" t="s">
        <v>773</v>
      </c>
      <c r="J801" s="4">
        <v>1235000</v>
      </c>
    </row>
    <row r="802" spans="1:10" hidden="1" outlineLevel="2" x14ac:dyDescent="0.35">
      <c r="A802" t="s">
        <v>354</v>
      </c>
      <c r="B802" s="1">
        <v>45729</v>
      </c>
      <c r="C802" t="str">
        <f>"633"</f>
        <v>633</v>
      </c>
      <c r="D802" t="s">
        <v>774</v>
      </c>
      <c r="E802" t="str">
        <f>"00233395"</f>
        <v>00233395</v>
      </c>
      <c r="F802" t="str">
        <f t="shared" si="14"/>
        <v>33200000</v>
      </c>
      <c r="H802" t="s">
        <v>775</v>
      </c>
      <c r="J802" s="4">
        <v>351500</v>
      </c>
    </row>
    <row r="803" spans="1:10" hidden="1" outlineLevel="2" x14ac:dyDescent="0.35">
      <c r="A803" t="s">
        <v>354</v>
      </c>
      <c r="B803" s="1">
        <v>45729</v>
      </c>
      <c r="C803" t="str">
        <f>"634"</f>
        <v>634</v>
      </c>
      <c r="D803" t="s">
        <v>776</v>
      </c>
      <c r="E803" t="str">
        <f>"00233397"</f>
        <v>00233397</v>
      </c>
      <c r="F803" t="str">
        <f t="shared" si="14"/>
        <v>33200000</v>
      </c>
      <c r="H803" t="s">
        <v>777</v>
      </c>
      <c r="J803" s="4">
        <v>385000</v>
      </c>
    </row>
    <row r="804" spans="1:10" hidden="1" outlineLevel="2" x14ac:dyDescent="0.35">
      <c r="A804" t="s">
        <v>354</v>
      </c>
      <c r="B804" s="1">
        <v>45729</v>
      </c>
      <c r="C804" t="str">
        <f>"635"</f>
        <v>635</v>
      </c>
      <c r="D804" t="s">
        <v>778</v>
      </c>
      <c r="E804" t="str">
        <f>"00233398"</f>
        <v>00233398</v>
      </c>
      <c r="F804" t="str">
        <f t="shared" si="14"/>
        <v>33200000</v>
      </c>
      <c r="H804" t="s">
        <v>779</v>
      </c>
      <c r="J804" s="4">
        <v>340000</v>
      </c>
    </row>
    <row r="805" spans="1:10" hidden="1" outlineLevel="2" x14ac:dyDescent="0.35">
      <c r="A805" t="s">
        <v>354</v>
      </c>
      <c r="B805" s="1">
        <v>45729</v>
      </c>
      <c r="C805" t="str">
        <f>"636"</f>
        <v>636</v>
      </c>
      <c r="D805" t="s">
        <v>780</v>
      </c>
      <c r="E805" t="str">
        <f>"00233399"</f>
        <v>00233399</v>
      </c>
      <c r="F805" t="str">
        <f t="shared" si="14"/>
        <v>33200000</v>
      </c>
      <c r="H805" t="s">
        <v>781</v>
      </c>
      <c r="J805" s="4">
        <v>265000</v>
      </c>
    </row>
    <row r="806" spans="1:10" hidden="1" outlineLevel="2" x14ac:dyDescent="0.35">
      <c r="A806" t="s">
        <v>354</v>
      </c>
      <c r="B806" s="1">
        <v>45729</v>
      </c>
      <c r="C806" t="str">
        <f>"637"</f>
        <v>637</v>
      </c>
      <c r="D806" t="s">
        <v>782</v>
      </c>
      <c r="E806" t="str">
        <f>"00233400"</f>
        <v>00233400</v>
      </c>
      <c r="F806" t="str">
        <f t="shared" si="14"/>
        <v>33200000</v>
      </c>
      <c r="H806" t="s">
        <v>783</v>
      </c>
      <c r="J806" s="4">
        <v>185000</v>
      </c>
    </row>
    <row r="807" spans="1:10" hidden="1" outlineLevel="2" x14ac:dyDescent="0.35">
      <c r="A807" t="s">
        <v>354</v>
      </c>
      <c r="B807" s="1">
        <v>45729</v>
      </c>
      <c r="C807" t="str">
        <f>"638"</f>
        <v>638</v>
      </c>
      <c r="D807" t="s">
        <v>784</v>
      </c>
      <c r="E807" t="str">
        <f>"00290672"</f>
        <v>00290672</v>
      </c>
      <c r="F807" t="str">
        <f t="shared" si="14"/>
        <v>33200000</v>
      </c>
      <c r="H807" t="s">
        <v>785</v>
      </c>
      <c r="J807" s="4">
        <v>330000</v>
      </c>
    </row>
    <row r="808" spans="1:10" hidden="1" outlineLevel="2" x14ac:dyDescent="0.35">
      <c r="A808" t="s">
        <v>354</v>
      </c>
      <c r="B808" s="1">
        <v>45729</v>
      </c>
      <c r="C808" t="str">
        <f>"639"</f>
        <v>639</v>
      </c>
      <c r="D808" t="s">
        <v>786</v>
      </c>
      <c r="E808" t="str">
        <f>"00290673"</f>
        <v>00290673</v>
      </c>
      <c r="F808" t="str">
        <f t="shared" si="14"/>
        <v>33200000</v>
      </c>
      <c r="H808" t="s">
        <v>787</v>
      </c>
      <c r="J808" s="4">
        <v>305000</v>
      </c>
    </row>
    <row r="809" spans="1:10" hidden="1" outlineLevel="2" x14ac:dyDescent="0.35">
      <c r="A809" t="s">
        <v>354</v>
      </c>
      <c r="B809" s="1">
        <v>45729</v>
      </c>
      <c r="C809" t="str">
        <f>"640"</f>
        <v>640</v>
      </c>
      <c r="D809" t="s">
        <v>788</v>
      </c>
      <c r="E809" t="str">
        <f>"00290674"</f>
        <v>00290674</v>
      </c>
      <c r="F809" t="str">
        <f t="shared" si="14"/>
        <v>33200000</v>
      </c>
      <c r="H809" t="s">
        <v>789</v>
      </c>
      <c r="J809" s="4">
        <v>214000</v>
      </c>
    </row>
    <row r="810" spans="1:10" hidden="1" outlineLevel="2" x14ac:dyDescent="0.35">
      <c r="A810" t="s">
        <v>354</v>
      </c>
      <c r="B810" s="1">
        <v>45729</v>
      </c>
      <c r="C810" t="str">
        <f>"641"</f>
        <v>641</v>
      </c>
      <c r="D810" t="s">
        <v>790</v>
      </c>
      <c r="E810" t="str">
        <f>"00290677"</f>
        <v>00290677</v>
      </c>
      <c r="F810" t="str">
        <f t="shared" si="14"/>
        <v>33200000</v>
      </c>
      <c r="H810" t="s">
        <v>791</v>
      </c>
      <c r="J810" s="4">
        <v>150000</v>
      </c>
    </row>
    <row r="811" spans="1:10" hidden="1" outlineLevel="2" x14ac:dyDescent="0.35">
      <c r="A811" t="s">
        <v>354</v>
      </c>
      <c r="B811" s="1">
        <v>45729</v>
      </c>
      <c r="C811" t="str">
        <f>"642"</f>
        <v>642</v>
      </c>
      <c r="D811" t="s">
        <v>792</v>
      </c>
      <c r="E811" t="str">
        <f>"0290678"</f>
        <v>0290678</v>
      </c>
      <c r="F811" t="str">
        <f t="shared" si="14"/>
        <v>33200000</v>
      </c>
      <c r="H811" t="s">
        <v>793</v>
      </c>
      <c r="J811" s="4">
        <v>255000</v>
      </c>
    </row>
    <row r="812" spans="1:10" hidden="1" outlineLevel="2" x14ac:dyDescent="0.35">
      <c r="A812" t="s">
        <v>354</v>
      </c>
      <c r="B812" s="1">
        <v>45729</v>
      </c>
      <c r="C812" t="str">
        <f>"643"</f>
        <v>643</v>
      </c>
      <c r="D812" t="s">
        <v>794</v>
      </c>
      <c r="E812" t="str">
        <f>"00290679"</f>
        <v>00290679</v>
      </c>
      <c r="F812" t="str">
        <f t="shared" si="14"/>
        <v>33200000</v>
      </c>
      <c r="H812" t="s">
        <v>795</v>
      </c>
      <c r="J812" s="4">
        <v>255300</v>
      </c>
    </row>
    <row r="813" spans="1:10" hidden="1" outlineLevel="2" x14ac:dyDescent="0.35">
      <c r="A813" t="s">
        <v>354</v>
      </c>
      <c r="B813" s="1">
        <v>45729</v>
      </c>
      <c r="C813" t="str">
        <f>"644"</f>
        <v>644</v>
      </c>
      <c r="D813" t="s">
        <v>796</v>
      </c>
      <c r="E813" t="str">
        <f>"00290680"</f>
        <v>00290680</v>
      </c>
      <c r="F813" t="str">
        <f t="shared" si="14"/>
        <v>33200000</v>
      </c>
      <c r="H813" t="s">
        <v>797</v>
      </c>
      <c r="J813" s="4">
        <v>285000</v>
      </c>
    </row>
    <row r="814" spans="1:10" hidden="1" outlineLevel="2" x14ac:dyDescent="0.35">
      <c r="A814" t="s">
        <v>354</v>
      </c>
      <c r="B814" s="1">
        <v>45729</v>
      </c>
      <c r="C814" t="str">
        <f>"645"</f>
        <v>645</v>
      </c>
      <c r="D814" t="s">
        <v>798</v>
      </c>
      <c r="E814" t="str">
        <f>"00290681"</f>
        <v>00290681</v>
      </c>
      <c r="F814" t="str">
        <f t="shared" si="14"/>
        <v>33200000</v>
      </c>
      <c r="H814" t="s">
        <v>799</v>
      </c>
      <c r="J814" s="4">
        <v>550000</v>
      </c>
    </row>
    <row r="815" spans="1:10" hidden="1" outlineLevel="2" x14ac:dyDescent="0.35">
      <c r="A815" t="s">
        <v>354</v>
      </c>
      <c r="B815" s="1">
        <v>45729</v>
      </c>
      <c r="C815" t="str">
        <f>"646"</f>
        <v>646</v>
      </c>
      <c r="D815" t="s">
        <v>800</v>
      </c>
      <c r="E815" t="str">
        <f>"00290682"</f>
        <v>00290682</v>
      </c>
      <c r="F815" t="str">
        <f t="shared" si="14"/>
        <v>33200000</v>
      </c>
      <c r="H815" t="s">
        <v>801</v>
      </c>
      <c r="J815" s="4">
        <v>325300</v>
      </c>
    </row>
    <row r="816" spans="1:10" hidden="1" outlineLevel="2" x14ac:dyDescent="0.35">
      <c r="A816" t="s">
        <v>354</v>
      </c>
      <c r="B816" s="1">
        <v>45729</v>
      </c>
      <c r="C816" t="str">
        <f>"647"</f>
        <v>647</v>
      </c>
      <c r="D816" t="s">
        <v>802</v>
      </c>
      <c r="E816" t="str">
        <f>"00290683"</f>
        <v>00290683</v>
      </c>
      <c r="F816" t="str">
        <f t="shared" si="14"/>
        <v>33200000</v>
      </c>
      <c r="H816" t="s">
        <v>803</v>
      </c>
      <c r="J816" s="4">
        <v>180300</v>
      </c>
    </row>
    <row r="817" spans="1:10" hidden="1" outlineLevel="2" x14ac:dyDescent="0.35">
      <c r="A817" t="s">
        <v>354</v>
      </c>
      <c r="B817" s="1">
        <v>45729</v>
      </c>
      <c r="C817" t="str">
        <f>"648"</f>
        <v>648</v>
      </c>
      <c r="D817" t="s">
        <v>804</v>
      </c>
      <c r="E817" t="str">
        <f>"00290684"</f>
        <v>00290684</v>
      </c>
      <c r="F817" t="str">
        <f t="shared" si="14"/>
        <v>33200000</v>
      </c>
      <c r="H817" t="s">
        <v>805</v>
      </c>
      <c r="J817" s="4">
        <v>1600000</v>
      </c>
    </row>
    <row r="818" spans="1:10" hidden="1" outlineLevel="2" x14ac:dyDescent="0.35">
      <c r="A818" t="s">
        <v>354</v>
      </c>
      <c r="B818" s="1">
        <v>45729</v>
      </c>
      <c r="C818" t="str">
        <f>"649"</f>
        <v>649</v>
      </c>
      <c r="D818" t="s">
        <v>806</v>
      </c>
      <c r="E818" t="str">
        <f>"00290685"</f>
        <v>00290685</v>
      </c>
      <c r="F818" t="str">
        <f t="shared" ref="F818:F881" si="15">"33200000"</f>
        <v>33200000</v>
      </c>
      <c r="H818" t="s">
        <v>807</v>
      </c>
      <c r="J818" s="4">
        <v>773500</v>
      </c>
    </row>
    <row r="819" spans="1:10" hidden="1" outlineLevel="2" x14ac:dyDescent="0.35">
      <c r="A819" t="s">
        <v>354</v>
      </c>
      <c r="B819" s="1">
        <v>45729</v>
      </c>
      <c r="C819" t="str">
        <f>"653"</f>
        <v>653</v>
      </c>
      <c r="D819" t="s">
        <v>808</v>
      </c>
      <c r="E819" t="str">
        <f>"0286528"</f>
        <v>0286528</v>
      </c>
      <c r="F819" t="str">
        <f t="shared" si="15"/>
        <v>33200000</v>
      </c>
      <c r="H819" t="s">
        <v>809</v>
      </c>
      <c r="J819" s="4">
        <v>170000</v>
      </c>
    </row>
    <row r="820" spans="1:10" hidden="1" outlineLevel="2" x14ac:dyDescent="0.35">
      <c r="A820" t="s">
        <v>354</v>
      </c>
      <c r="B820" s="1">
        <v>45729</v>
      </c>
      <c r="C820" t="str">
        <f>"796"</f>
        <v>796</v>
      </c>
      <c r="D820" t="s">
        <v>810</v>
      </c>
      <c r="E820" t="str">
        <f>"00290675"</f>
        <v>00290675</v>
      </c>
      <c r="F820" t="str">
        <f t="shared" si="15"/>
        <v>33200000</v>
      </c>
      <c r="H820" t="s">
        <v>811</v>
      </c>
      <c r="J820" s="4">
        <v>530000</v>
      </c>
    </row>
    <row r="821" spans="1:10" hidden="1" outlineLevel="2" x14ac:dyDescent="0.35">
      <c r="A821" t="s">
        <v>354</v>
      </c>
      <c r="B821" s="1">
        <v>45730</v>
      </c>
      <c r="C821" t="str">
        <f>"652"</f>
        <v>652</v>
      </c>
      <c r="D821" t="s">
        <v>814</v>
      </c>
      <c r="E821" t="s">
        <v>815</v>
      </c>
      <c r="F821" t="str">
        <f t="shared" si="15"/>
        <v>33200000</v>
      </c>
      <c r="H821" t="s">
        <v>816</v>
      </c>
      <c r="J821" s="4">
        <v>87518</v>
      </c>
    </row>
    <row r="822" spans="1:10" hidden="1" outlineLevel="2" x14ac:dyDescent="0.35">
      <c r="A822" t="s">
        <v>354</v>
      </c>
      <c r="B822" s="1">
        <v>45730</v>
      </c>
      <c r="C822" t="str">
        <f>"663"</f>
        <v>663</v>
      </c>
      <c r="D822" t="s">
        <v>817</v>
      </c>
      <c r="E822" t="s">
        <v>818</v>
      </c>
      <c r="F822" t="str">
        <f t="shared" si="15"/>
        <v>33200000</v>
      </c>
      <c r="H822" t="s">
        <v>819</v>
      </c>
      <c r="J822" s="4">
        <v>405999</v>
      </c>
    </row>
    <row r="823" spans="1:10" hidden="1" outlineLevel="2" x14ac:dyDescent="0.35">
      <c r="A823" t="s">
        <v>354</v>
      </c>
      <c r="B823" s="1">
        <v>45730</v>
      </c>
      <c r="C823" t="str">
        <f>"664"</f>
        <v>664</v>
      </c>
      <c r="D823" t="s">
        <v>820</v>
      </c>
      <c r="E823" t="s">
        <v>821</v>
      </c>
      <c r="F823" t="str">
        <f t="shared" si="15"/>
        <v>33200000</v>
      </c>
      <c r="H823" t="s">
        <v>822</v>
      </c>
      <c r="J823" s="4">
        <v>-157873</v>
      </c>
    </row>
    <row r="824" spans="1:10" hidden="1" outlineLevel="2" x14ac:dyDescent="0.35">
      <c r="A824" t="s">
        <v>354</v>
      </c>
      <c r="B824" s="1">
        <v>45730</v>
      </c>
      <c r="C824" t="str">
        <f>"665"</f>
        <v>665</v>
      </c>
      <c r="D824" t="s">
        <v>823</v>
      </c>
      <c r="E824" t="s">
        <v>824</v>
      </c>
      <c r="F824" t="str">
        <f t="shared" si="15"/>
        <v>33200000</v>
      </c>
      <c r="H824" t="s">
        <v>825</v>
      </c>
      <c r="J824" s="4">
        <v>11376</v>
      </c>
    </row>
    <row r="825" spans="1:10" hidden="1" outlineLevel="2" x14ac:dyDescent="0.35">
      <c r="A825" t="s">
        <v>354</v>
      </c>
      <c r="B825" s="1">
        <v>45733</v>
      </c>
      <c r="C825" t="str">
        <f>"656"</f>
        <v>656</v>
      </c>
      <c r="D825" t="s">
        <v>826</v>
      </c>
      <c r="E825" t="s">
        <v>827</v>
      </c>
      <c r="F825" t="str">
        <f t="shared" si="15"/>
        <v>33200000</v>
      </c>
      <c r="H825" t="s">
        <v>828</v>
      </c>
      <c r="J825" s="4">
        <v>106245</v>
      </c>
    </row>
    <row r="826" spans="1:10" hidden="1" outlineLevel="2" x14ac:dyDescent="0.35">
      <c r="A826" t="s">
        <v>354</v>
      </c>
      <c r="B826" s="1">
        <v>45734</v>
      </c>
      <c r="C826" t="str">
        <f>"691"</f>
        <v>691</v>
      </c>
      <c r="D826" t="s">
        <v>829</v>
      </c>
      <c r="E826" t="s">
        <v>830</v>
      </c>
      <c r="F826" t="str">
        <f t="shared" si="15"/>
        <v>33200000</v>
      </c>
      <c r="H826" t="s">
        <v>831</v>
      </c>
      <c r="J826" s="4">
        <v>6520</v>
      </c>
    </row>
    <row r="827" spans="1:10" hidden="1" outlineLevel="2" x14ac:dyDescent="0.35">
      <c r="A827" t="s">
        <v>354</v>
      </c>
      <c r="B827" s="1">
        <v>45734</v>
      </c>
      <c r="C827" t="str">
        <f>"692"</f>
        <v>692</v>
      </c>
      <c r="D827" t="s">
        <v>832</v>
      </c>
      <c r="E827" t="s">
        <v>833</v>
      </c>
      <c r="F827" t="str">
        <f t="shared" si="15"/>
        <v>33200000</v>
      </c>
      <c r="H827" t="s">
        <v>834</v>
      </c>
      <c r="J827" s="4">
        <v>32600</v>
      </c>
    </row>
    <row r="828" spans="1:10" hidden="1" outlineLevel="2" x14ac:dyDescent="0.35">
      <c r="A828" t="s">
        <v>354</v>
      </c>
      <c r="B828" s="1">
        <v>45734</v>
      </c>
      <c r="C828" t="str">
        <f>"693"</f>
        <v>693</v>
      </c>
      <c r="D828" t="s">
        <v>835</v>
      </c>
      <c r="E828" t="s">
        <v>836</v>
      </c>
      <c r="F828" t="str">
        <f t="shared" si="15"/>
        <v>33200000</v>
      </c>
      <c r="H828" t="s">
        <v>837</v>
      </c>
      <c r="J828" s="4">
        <v>505340</v>
      </c>
    </row>
    <row r="829" spans="1:10" hidden="1" outlineLevel="2" x14ac:dyDescent="0.35">
      <c r="A829" t="s">
        <v>354</v>
      </c>
      <c r="B829" s="1">
        <v>45734</v>
      </c>
      <c r="C829" t="str">
        <f>"694"</f>
        <v>694</v>
      </c>
      <c r="D829" t="s">
        <v>838</v>
      </c>
      <c r="E829" t="s">
        <v>839</v>
      </c>
      <c r="F829" t="str">
        <f t="shared" si="15"/>
        <v>33200000</v>
      </c>
      <c r="H829" t="s">
        <v>840</v>
      </c>
      <c r="J829" s="4">
        <v>106004</v>
      </c>
    </row>
    <row r="830" spans="1:10" hidden="1" outlineLevel="2" x14ac:dyDescent="0.35">
      <c r="A830" t="s">
        <v>354</v>
      </c>
      <c r="B830" s="1">
        <v>45734</v>
      </c>
      <c r="C830" t="str">
        <f>"695"</f>
        <v>695</v>
      </c>
      <c r="D830" t="s">
        <v>841</v>
      </c>
      <c r="E830" t="s">
        <v>842</v>
      </c>
      <c r="F830" t="str">
        <f t="shared" si="15"/>
        <v>33200000</v>
      </c>
      <c r="H830" t="s">
        <v>843</v>
      </c>
      <c r="J830" s="4">
        <v>240500</v>
      </c>
    </row>
    <row r="831" spans="1:10" hidden="1" outlineLevel="2" x14ac:dyDescent="0.35">
      <c r="A831" t="s">
        <v>354</v>
      </c>
      <c r="B831" s="1">
        <v>45734</v>
      </c>
      <c r="C831" t="str">
        <f>"696"</f>
        <v>696</v>
      </c>
      <c r="D831" t="s">
        <v>844</v>
      </c>
      <c r="E831" t="s">
        <v>845</v>
      </c>
      <c r="F831" t="str">
        <f t="shared" si="15"/>
        <v>33200000</v>
      </c>
      <c r="H831" t="s">
        <v>846</v>
      </c>
      <c r="J831" s="4">
        <v>143000</v>
      </c>
    </row>
    <row r="832" spans="1:10" hidden="1" outlineLevel="2" x14ac:dyDescent="0.35">
      <c r="A832" t="s">
        <v>354</v>
      </c>
      <c r="B832" s="1">
        <v>45734</v>
      </c>
      <c r="C832" t="str">
        <f>"699"</f>
        <v>699</v>
      </c>
      <c r="D832" t="s">
        <v>847</v>
      </c>
      <c r="E832" t="s">
        <v>848</v>
      </c>
      <c r="F832" t="str">
        <f t="shared" si="15"/>
        <v>33200000</v>
      </c>
      <c r="H832" t="s">
        <v>849</v>
      </c>
      <c r="J832" s="4">
        <v>423800</v>
      </c>
    </row>
    <row r="833" spans="1:10" hidden="1" outlineLevel="2" x14ac:dyDescent="0.35">
      <c r="A833" t="s">
        <v>354</v>
      </c>
      <c r="B833" s="1">
        <v>45734</v>
      </c>
      <c r="C833" t="str">
        <f>"700"</f>
        <v>700</v>
      </c>
      <c r="D833" t="s">
        <v>850</v>
      </c>
      <c r="E833" t="s">
        <v>851</v>
      </c>
      <c r="F833" t="str">
        <f t="shared" si="15"/>
        <v>33200000</v>
      </c>
      <c r="H833" t="s">
        <v>852</v>
      </c>
      <c r="J833" s="4">
        <v>21190</v>
      </c>
    </row>
    <row r="834" spans="1:10" hidden="1" outlineLevel="2" x14ac:dyDescent="0.35">
      <c r="A834" t="s">
        <v>354</v>
      </c>
      <c r="B834" s="1">
        <v>45734</v>
      </c>
      <c r="C834" t="str">
        <f>"725"</f>
        <v>725</v>
      </c>
      <c r="D834" t="s">
        <v>859</v>
      </c>
      <c r="E834" t="s">
        <v>860</v>
      </c>
      <c r="F834" t="str">
        <f t="shared" si="15"/>
        <v>33200000</v>
      </c>
      <c r="H834" t="s">
        <v>861</v>
      </c>
      <c r="J834" s="4">
        <v>70000</v>
      </c>
    </row>
    <row r="835" spans="1:10" hidden="1" outlineLevel="2" x14ac:dyDescent="0.35">
      <c r="A835" t="s">
        <v>354</v>
      </c>
      <c r="B835" s="1">
        <v>45734</v>
      </c>
      <c r="C835" t="str">
        <f>"726"</f>
        <v>726</v>
      </c>
      <c r="D835" t="s">
        <v>862</v>
      </c>
      <c r="E835" t="s">
        <v>863</v>
      </c>
      <c r="F835" t="str">
        <f t="shared" si="15"/>
        <v>33200000</v>
      </c>
      <c r="H835" t="s">
        <v>864</v>
      </c>
      <c r="J835" s="4">
        <v>44800</v>
      </c>
    </row>
    <row r="836" spans="1:10" hidden="1" outlineLevel="2" x14ac:dyDescent="0.35">
      <c r="A836" t="s">
        <v>354</v>
      </c>
      <c r="B836" s="1">
        <v>45734</v>
      </c>
      <c r="C836" t="str">
        <f>"727"</f>
        <v>727</v>
      </c>
      <c r="D836" t="s">
        <v>865</v>
      </c>
      <c r="E836" t="s">
        <v>866</v>
      </c>
      <c r="F836" t="str">
        <f t="shared" si="15"/>
        <v>33200000</v>
      </c>
      <c r="H836" t="s">
        <v>867</v>
      </c>
      <c r="J836" s="4">
        <v>93240</v>
      </c>
    </row>
    <row r="837" spans="1:10" hidden="1" outlineLevel="2" x14ac:dyDescent="0.35">
      <c r="A837" t="s">
        <v>354</v>
      </c>
      <c r="B837" s="1">
        <v>45734</v>
      </c>
      <c r="C837" t="str">
        <f>"728"</f>
        <v>728</v>
      </c>
      <c r="D837" t="s">
        <v>868</v>
      </c>
      <c r="E837" t="s">
        <v>869</v>
      </c>
      <c r="F837" t="str">
        <f t="shared" si="15"/>
        <v>33200000</v>
      </c>
      <c r="H837" t="s">
        <v>870</v>
      </c>
      <c r="J837" s="4">
        <v>37800</v>
      </c>
    </row>
    <row r="838" spans="1:10" hidden="1" outlineLevel="2" x14ac:dyDescent="0.35">
      <c r="A838" t="s">
        <v>354</v>
      </c>
      <c r="B838" s="1">
        <v>45734</v>
      </c>
      <c r="C838" t="str">
        <f>"729"</f>
        <v>729</v>
      </c>
      <c r="D838" t="s">
        <v>871</v>
      </c>
      <c r="E838" t="s">
        <v>872</v>
      </c>
      <c r="F838" t="str">
        <f t="shared" si="15"/>
        <v>33200000</v>
      </c>
      <c r="H838" t="s">
        <v>873</v>
      </c>
      <c r="J838" s="4">
        <v>91762</v>
      </c>
    </row>
    <row r="839" spans="1:10" hidden="1" outlineLevel="2" x14ac:dyDescent="0.35">
      <c r="A839" t="s">
        <v>354</v>
      </c>
      <c r="B839" s="1">
        <v>45734</v>
      </c>
      <c r="C839" t="str">
        <f>"730"</f>
        <v>730</v>
      </c>
      <c r="D839" t="s">
        <v>874</v>
      </c>
      <c r="E839" t="s">
        <v>875</v>
      </c>
      <c r="F839" t="str">
        <f t="shared" si="15"/>
        <v>33200000</v>
      </c>
      <c r="H839" t="s">
        <v>876</v>
      </c>
      <c r="J839" s="4">
        <v>163128</v>
      </c>
    </row>
    <row r="840" spans="1:10" hidden="1" outlineLevel="2" x14ac:dyDescent="0.35">
      <c r="A840" t="s">
        <v>354</v>
      </c>
      <c r="B840" s="1">
        <v>45734</v>
      </c>
      <c r="C840" t="str">
        <f>"731"</f>
        <v>731</v>
      </c>
      <c r="D840" t="s">
        <v>877</v>
      </c>
      <c r="E840" t="s">
        <v>878</v>
      </c>
      <c r="F840" t="str">
        <f t="shared" si="15"/>
        <v>33200000</v>
      </c>
      <c r="H840" t="s">
        <v>879</v>
      </c>
      <c r="J840" s="4">
        <v>71484</v>
      </c>
    </row>
    <row r="841" spans="1:10" hidden="1" outlineLevel="2" x14ac:dyDescent="0.35">
      <c r="A841" t="s">
        <v>354</v>
      </c>
      <c r="B841" s="1">
        <v>45734</v>
      </c>
      <c r="C841" t="str">
        <f>"732"</f>
        <v>732</v>
      </c>
      <c r="D841" t="s">
        <v>880</v>
      </c>
      <c r="E841" t="s">
        <v>881</v>
      </c>
      <c r="F841" t="str">
        <f t="shared" si="15"/>
        <v>33200000</v>
      </c>
      <c r="H841" t="s">
        <v>882</v>
      </c>
      <c r="J841" s="4">
        <v>96340</v>
      </c>
    </row>
    <row r="842" spans="1:10" hidden="1" outlineLevel="2" x14ac:dyDescent="0.35">
      <c r="A842" t="s">
        <v>354</v>
      </c>
      <c r="B842" s="1">
        <v>45734</v>
      </c>
      <c r="C842" t="str">
        <f>"733"</f>
        <v>733</v>
      </c>
      <c r="D842" t="s">
        <v>883</v>
      </c>
      <c r="E842" t="s">
        <v>884</v>
      </c>
      <c r="F842" t="str">
        <f t="shared" si="15"/>
        <v>33200000</v>
      </c>
      <c r="H842" t="s">
        <v>885</v>
      </c>
      <c r="J842" s="4">
        <v>36400</v>
      </c>
    </row>
    <row r="843" spans="1:10" hidden="1" outlineLevel="2" x14ac:dyDescent="0.35">
      <c r="A843" t="s">
        <v>354</v>
      </c>
      <c r="B843" s="1">
        <v>45734</v>
      </c>
      <c r="C843" t="str">
        <f>"734"</f>
        <v>734</v>
      </c>
      <c r="D843" t="s">
        <v>886</v>
      </c>
      <c r="E843" t="s">
        <v>887</v>
      </c>
      <c r="F843" t="str">
        <f t="shared" si="15"/>
        <v>33200000</v>
      </c>
      <c r="H843" t="s">
        <v>888</v>
      </c>
      <c r="J843" s="4">
        <v>70000</v>
      </c>
    </row>
    <row r="844" spans="1:10" hidden="1" outlineLevel="2" x14ac:dyDescent="0.35">
      <c r="A844" t="s">
        <v>354</v>
      </c>
      <c r="B844" s="1">
        <v>45734</v>
      </c>
      <c r="C844" t="str">
        <f>"735"</f>
        <v>735</v>
      </c>
      <c r="D844" t="s">
        <v>889</v>
      </c>
      <c r="E844" t="s">
        <v>890</v>
      </c>
      <c r="F844" t="str">
        <f t="shared" si="15"/>
        <v>33200000</v>
      </c>
      <c r="H844" t="s">
        <v>891</v>
      </c>
      <c r="J844" s="4">
        <v>31304</v>
      </c>
    </row>
    <row r="845" spans="1:10" hidden="1" outlineLevel="2" x14ac:dyDescent="0.35">
      <c r="A845" t="s">
        <v>354</v>
      </c>
      <c r="B845" s="1">
        <v>45734</v>
      </c>
      <c r="C845" t="str">
        <f>"736"</f>
        <v>736</v>
      </c>
      <c r="D845" t="s">
        <v>892</v>
      </c>
      <c r="E845" t="s">
        <v>893</v>
      </c>
      <c r="F845" t="str">
        <f t="shared" si="15"/>
        <v>33200000</v>
      </c>
      <c r="H845" t="s">
        <v>894</v>
      </c>
      <c r="J845" s="4">
        <v>91762</v>
      </c>
    </row>
    <row r="846" spans="1:10" hidden="1" outlineLevel="2" x14ac:dyDescent="0.35">
      <c r="A846" t="s">
        <v>354</v>
      </c>
      <c r="B846" s="1">
        <v>45734</v>
      </c>
      <c r="C846" t="str">
        <f>"737"</f>
        <v>737</v>
      </c>
      <c r="D846" t="s">
        <v>895</v>
      </c>
      <c r="E846" t="s">
        <v>896</v>
      </c>
      <c r="F846" t="str">
        <f t="shared" si="15"/>
        <v>33200000</v>
      </c>
      <c r="H846" t="s">
        <v>897</v>
      </c>
      <c r="J846" s="4">
        <v>67900</v>
      </c>
    </row>
    <row r="847" spans="1:10" hidden="1" outlineLevel="2" x14ac:dyDescent="0.35">
      <c r="A847" t="s">
        <v>354</v>
      </c>
      <c r="B847" s="1">
        <v>45734</v>
      </c>
      <c r="C847" t="str">
        <f>"738"</f>
        <v>738</v>
      </c>
      <c r="D847" t="s">
        <v>898</v>
      </c>
      <c r="E847" t="s">
        <v>899</v>
      </c>
      <c r="F847" t="str">
        <f t="shared" si="15"/>
        <v>33200000</v>
      </c>
      <c r="H847" t="s">
        <v>900</v>
      </c>
      <c r="J847" s="4">
        <v>75600</v>
      </c>
    </row>
    <row r="848" spans="1:10" hidden="1" outlineLevel="2" x14ac:dyDescent="0.35">
      <c r="A848" t="s">
        <v>354</v>
      </c>
      <c r="B848" s="1">
        <v>45734</v>
      </c>
      <c r="C848" t="str">
        <f>"740"</f>
        <v>740</v>
      </c>
      <c r="D848" t="s">
        <v>901</v>
      </c>
      <c r="E848" t="s">
        <v>902</v>
      </c>
      <c r="F848" t="str">
        <f t="shared" si="15"/>
        <v>33200000</v>
      </c>
      <c r="H848" t="s">
        <v>903</v>
      </c>
      <c r="J848" s="4">
        <v>75600</v>
      </c>
    </row>
    <row r="849" spans="1:10" hidden="1" outlineLevel="2" x14ac:dyDescent="0.35">
      <c r="A849" t="s">
        <v>354</v>
      </c>
      <c r="B849" s="1">
        <v>45734</v>
      </c>
      <c r="C849" t="str">
        <f>"741"</f>
        <v>741</v>
      </c>
      <c r="D849" t="s">
        <v>904</v>
      </c>
      <c r="E849" t="s">
        <v>905</v>
      </c>
      <c r="F849" t="str">
        <f t="shared" si="15"/>
        <v>33200000</v>
      </c>
      <c r="H849" t="s">
        <v>906</v>
      </c>
      <c r="J849" s="4">
        <v>50180</v>
      </c>
    </row>
    <row r="850" spans="1:10" hidden="1" outlineLevel="2" x14ac:dyDescent="0.35">
      <c r="A850" t="s">
        <v>354</v>
      </c>
      <c r="B850" s="1">
        <v>45735</v>
      </c>
      <c r="C850" t="str">
        <f>"671"</f>
        <v>671</v>
      </c>
      <c r="D850" t="s">
        <v>907</v>
      </c>
      <c r="E850" t="str">
        <f>"0005575"</f>
        <v>0005575</v>
      </c>
      <c r="F850" t="str">
        <f t="shared" si="15"/>
        <v>33200000</v>
      </c>
      <c r="H850" t="s">
        <v>908</v>
      </c>
      <c r="J850" s="4">
        <v>360000</v>
      </c>
    </row>
    <row r="851" spans="1:10" hidden="1" outlineLevel="2" x14ac:dyDescent="0.35">
      <c r="A851" t="s">
        <v>354</v>
      </c>
      <c r="B851" s="1">
        <v>45735</v>
      </c>
      <c r="C851" t="str">
        <f>"757"</f>
        <v>757</v>
      </c>
      <c r="D851" t="s">
        <v>915</v>
      </c>
      <c r="E851" t="str">
        <f>"779405"</f>
        <v>779405</v>
      </c>
      <c r="F851" t="str">
        <f t="shared" si="15"/>
        <v>33200000</v>
      </c>
      <c r="H851" t="s">
        <v>916</v>
      </c>
      <c r="J851" s="4">
        <v>195000</v>
      </c>
    </row>
    <row r="852" spans="1:10" hidden="1" outlineLevel="2" x14ac:dyDescent="0.35">
      <c r="A852" t="s">
        <v>354</v>
      </c>
      <c r="B852" s="1">
        <v>45736</v>
      </c>
      <c r="C852" t="str">
        <f>"667"</f>
        <v>667</v>
      </c>
      <c r="D852" t="s">
        <v>917</v>
      </c>
      <c r="E852" t="s">
        <v>918</v>
      </c>
      <c r="F852" t="str">
        <f t="shared" si="15"/>
        <v>33200000</v>
      </c>
      <c r="H852" t="s">
        <v>919</v>
      </c>
      <c r="J852" s="4">
        <v>44498</v>
      </c>
    </row>
    <row r="853" spans="1:10" hidden="1" outlineLevel="2" x14ac:dyDescent="0.35">
      <c r="A853" t="s">
        <v>354</v>
      </c>
      <c r="B853" s="1">
        <v>45736</v>
      </c>
      <c r="C853" t="str">
        <f>"678"</f>
        <v>678</v>
      </c>
      <c r="D853" t="s">
        <v>924</v>
      </c>
      <c r="E853" t="s">
        <v>925</v>
      </c>
      <c r="F853" t="str">
        <f t="shared" si="15"/>
        <v>33200000</v>
      </c>
      <c r="H853" t="s">
        <v>926</v>
      </c>
      <c r="J853" s="4">
        <v>52730</v>
      </c>
    </row>
    <row r="854" spans="1:10" hidden="1" outlineLevel="2" x14ac:dyDescent="0.35">
      <c r="A854" t="s">
        <v>354</v>
      </c>
      <c r="B854" s="1">
        <v>45736</v>
      </c>
      <c r="C854" t="str">
        <f>"679"</f>
        <v>679</v>
      </c>
      <c r="D854" t="s">
        <v>927</v>
      </c>
      <c r="E854" t="s">
        <v>928</v>
      </c>
      <c r="F854" t="str">
        <f t="shared" si="15"/>
        <v>33200000</v>
      </c>
      <c r="H854" t="s">
        <v>929</v>
      </c>
      <c r="J854" s="4">
        <v>77083</v>
      </c>
    </row>
    <row r="855" spans="1:10" hidden="1" outlineLevel="2" x14ac:dyDescent="0.35">
      <c r="A855" t="s">
        <v>354</v>
      </c>
      <c r="B855" s="1">
        <v>45736</v>
      </c>
      <c r="C855" t="str">
        <f>"680"</f>
        <v>680</v>
      </c>
      <c r="D855" t="s">
        <v>930</v>
      </c>
      <c r="E855" t="s">
        <v>931</v>
      </c>
      <c r="F855" t="str">
        <f t="shared" si="15"/>
        <v>33200000</v>
      </c>
      <c r="H855" t="s">
        <v>932</v>
      </c>
      <c r="J855" s="4">
        <v>18768</v>
      </c>
    </row>
    <row r="856" spans="1:10" hidden="1" outlineLevel="2" x14ac:dyDescent="0.35">
      <c r="A856" t="s">
        <v>354</v>
      </c>
      <c r="B856" s="1">
        <v>45736</v>
      </c>
      <c r="C856" t="str">
        <f>"681"</f>
        <v>681</v>
      </c>
      <c r="D856" t="s">
        <v>933</v>
      </c>
      <c r="E856" t="str">
        <f>"0001888"</f>
        <v>0001888</v>
      </c>
      <c r="F856" t="str">
        <f t="shared" si="15"/>
        <v>33200000</v>
      </c>
      <c r="H856" t="s">
        <v>934</v>
      </c>
      <c r="J856" s="4">
        <v>40600</v>
      </c>
    </row>
    <row r="857" spans="1:10" hidden="1" outlineLevel="2" x14ac:dyDescent="0.35">
      <c r="A857" t="s">
        <v>354</v>
      </c>
      <c r="B857" s="1">
        <v>45736</v>
      </c>
      <c r="C857" t="str">
        <f>"759"</f>
        <v>759</v>
      </c>
      <c r="D857" t="s">
        <v>937</v>
      </c>
      <c r="E857" t="str">
        <f>"0000367"</f>
        <v>0000367</v>
      </c>
      <c r="F857" t="str">
        <f t="shared" si="15"/>
        <v>33200000</v>
      </c>
      <c r="H857" t="s">
        <v>938</v>
      </c>
      <c r="J857" s="4">
        <v>121045</v>
      </c>
    </row>
    <row r="858" spans="1:10" hidden="1" outlineLevel="2" x14ac:dyDescent="0.35">
      <c r="A858" t="s">
        <v>354</v>
      </c>
      <c r="B858" s="1">
        <v>45737</v>
      </c>
      <c r="C858" t="str">
        <f>"739"</f>
        <v>739</v>
      </c>
      <c r="D858" t="s">
        <v>939</v>
      </c>
      <c r="E858" t="s">
        <v>940</v>
      </c>
      <c r="F858" t="str">
        <f t="shared" si="15"/>
        <v>33200000</v>
      </c>
      <c r="H858" t="s">
        <v>941</v>
      </c>
      <c r="J858" s="4">
        <v>320000</v>
      </c>
    </row>
    <row r="859" spans="1:10" hidden="1" outlineLevel="2" x14ac:dyDescent="0.35">
      <c r="A859" t="s">
        <v>354</v>
      </c>
      <c r="B859" s="1">
        <v>45737</v>
      </c>
      <c r="C859" t="str">
        <f>"742"</f>
        <v>742</v>
      </c>
      <c r="D859" t="s">
        <v>942</v>
      </c>
      <c r="E859" t="s">
        <v>943</v>
      </c>
      <c r="F859" t="str">
        <f t="shared" si="15"/>
        <v>33200000</v>
      </c>
      <c r="H859" t="s">
        <v>944</v>
      </c>
      <c r="J859" s="4">
        <v>35000</v>
      </c>
    </row>
    <row r="860" spans="1:10" hidden="1" outlineLevel="2" x14ac:dyDescent="0.35">
      <c r="A860" t="s">
        <v>354</v>
      </c>
      <c r="B860" s="1">
        <v>45737</v>
      </c>
      <c r="C860" t="str">
        <f>"743"</f>
        <v>743</v>
      </c>
      <c r="D860" t="s">
        <v>945</v>
      </c>
      <c r="E860" t="s">
        <v>946</v>
      </c>
      <c r="F860" t="str">
        <f t="shared" si="15"/>
        <v>33200000</v>
      </c>
      <c r="H860" t="s">
        <v>947</v>
      </c>
      <c r="J860" s="4">
        <v>50180</v>
      </c>
    </row>
    <row r="861" spans="1:10" hidden="1" outlineLevel="2" x14ac:dyDescent="0.35">
      <c r="A861" t="s">
        <v>354</v>
      </c>
      <c r="B861" s="1">
        <v>45737</v>
      </c>
      <c r="C861" t="str">
        <f>"744"</f>
        <v>744</v>
      </c>
      <c r="D861" t="s">
        <v>948</v>
      </c>
      <c r="E861" t="s">
        <v>949</v>
      </c>
      <c r="F861" t="str">
        <f t="shared" si="15"/>
        <v>33200000</v>
      </c>
      <c r="H861" t="s">
        <v>950</v>
      </c>
      <c r="J861" s="4">
        <v>20391</v>
      </c>
    </row>
    <row r="862" spans="1:10" hidden="1" outlineLevel="2" x14ac:dyDescent="0.35">
      <c r="A862" t="s">
        <v>354</v>
      </c>
      <c r="B862" s="1">
        <v>45737</v>
      </c>
      <c r="C862" t="str">
        <f>"745"</f>
        <v>745</v>
      </c>
      <c r="D862" t="s">
        <v>951</v>
      </c>
      <c r="E862" t="s">
        <v>952</v>
      </c>
      <c r="F862" t="str">
        <f t="shared" si="15"/>
        <v>33200000</v>
      </c>
      <c r="H862" t="s">
        <v>953</v>
      </c>
      <c r="J862" s="4">
        <v>122346</v>
      </c>
    </row>
    <row r="863" spans="1:10" hidden="1" outlineLevel="2" x14ac:dyDescent="0.35">
      <c r="A863" t="s">
        <v>354</v>
      </c>
      <c r="B863" s="1">
        <v>45737</v>
      </c>
      <c r="C863" t="str">
        <f>"746"</f>
        <v>746</v>
      </c>
      <c r="D863" t="s">
        <v>954</v>
      </c>
      <c r="E863" t="s">
        <v>955</v>
      </c>
      <c r="F863" t="str">
        <f t="shared" si="15"/>
        <v>33200000</v>
      </c>
      <c r="H863" t="s">
        <v>956</v>
      </c>
      <c r="J863" s="4">
        <v>98875</v>
      </c>
    </row>
    <row r="864" spans="1:10" hidden="1" outlineLevel="2" x14ac:dyDescent="0.35">
      <c r="A864" t="s">
        <v>354</v>
      </c>
      <c r="B864" s="1">
        <v>45737</v>
      </c>
      <c r="C864" t="str">
        <f>"747"</f>
        <v>747</v>
      </c>
      <c r="D864" t="s">
        <v>957</v>
      </c>
      <c r="E864" t="s">
        <v>958</v>
      </c>
      <c r="F864" t="str">
        <f t="shared" si="15"/>
        <v>33200000</v>
      </c>
      <c r="H864" t="s">
        <v>959</v>
      </c>
      <c r="J864" s="4">
        <v>145250</v>
      </c>
    </row>
    <row r="865" spans="1:10" hidden="1" outlineLevel="2" x14ac:dyDescent="0.35">
      <c r="A865" t="s">
        <v>354</v>
      </c>
      <c r="B865" s="1">
        <v>45737</v>
      </c>
      <c r="C865" t="str">
        <f>"748"</f>
        <v>748</v>
      </c>
      <c r="D865" t="s">
        <v>960</v>
      </c>
      <c r="E865" t="s">
        <v>961</v>
      </c>
      <c r="F865" t="str">
        <f t="shared" si="15"/>
        <v>33200000</v>
      </c>
      <c r="H865" t="s">
        <v>962</v>
      </c>
      <c r="J865" s="4">
        <v>81564</v>
      </c>
    </row>
    <row r="866" spans="1:10" hidden="1" outlineLevel="2" x14ac:dyDescent="0.35">
      <c r="A866" t="s">
        <v>354</v>
      </c>
      <c r="B866" s="1">
        <v>45737</v>
      </c>
      <c r="C866" t="str">
        <f>"749"</f>
        <v>749</v>
      </c>
      <c r="D866" t="s">
        <v>963</v>
      </c>
      <c r="E866" t="s">
        <v>964</v>
      </c>
      <c r="F866" t="str">
        <f t="shared" si="15"/>
        <v>33200000</v>
      </c>
      <c r="H866" t="s">
        <v>965</v>
      </c>
      <c r="J866" s="4">
        <v>35000</v>
      </c>
    </row>
    <row r="867" spans="1:10" hidden="1" outlineLevel="2" x14ac:dyDescent="0.35">
      <c r="A867" t="s">
        <v>354</v>
      </c>
      <c r="B867" s="1">
        <v>45737</v>
      </c>
      <c r="C867" t="str">
        <f>"750"</f>
        <v>750</v>
      </c>
      <c r="D867" t="s">
        <v>966</v>
      </c>
      <c r="E867" t="s">
        <v>967</v>
      </c>
      <c r="F867" t="str">
        <f t="shared" si="15"/>
        <v>33200000</v>
      </c>
      <c r="H867" t="s">
        <v>968</v>
      </c>
      <c r="J867" s="4">
        <v>90000</v>
      </c>
    </row>
    <row r="868" spans="1:10" hidden="1" outlineLevel="2" x14ac:dyDescent="0.35">
      <c r="A868" t="s">
        <v>354</v>
      </c>
      <c r="B868" s="1">
        <v>45737</v>
      </c>
      <c r="C868" t="str">
        <f>"752"</f>
        <v>752</v>
      </c>
      <c r="D868" t="s">
        <v>969</v>
      </c>
      <c r="E868" t="str">
        <f>"0416687"</f>
        <v>0416687</v>
      </c>
      <c r="F868" t="str">
        <f t="shared" si="15"/>
        <v>33200000</v>
      </c>
      <c r="H868" t="s">
        <v>970</v>
      </c>
      <c r="J868" s="4">
        <v>150000</v>
      </c>
    </row>
    <row r="869" spans="1:10" hidden="1" outlineLevel="2" x14ac:dyDescent="0.35">
      <c r="A869" t="s">
        <v>354</v>
      </c>
      <c r="B869" s="1">
        <v>45740</v>
      </c>
      <c r="C869" t="str">
        <f>"669"</f>
        <v>669</v>
      </c>
      <c r="D869" t="s">
        <v>973</v>
      </c>
      <c r="E869" t="str">
        <f>"27"</f>
        <v>27</v>
      </c>
      <c r="F869" t="str">
        <f t="shared" si="15"/>
        <v>33200000</v>
      </c>
      <c r="H869" t="s">
        <v>974</v>
      </c>
      <c r="J869" s="4">
        <v>903000</v>
      </c>
    </row>
    <row r="870" spans="1:10" hidden="1" outlineLevel="2" x14ac:dyDescent="0.35">
      <c r="A870" t="s">
        <v>354</v>
      </c>
      <c r="B870" s="1">
        <v>45740</v>
      </c>
      <c r="C870" t="str">
        <f>"672"</f>
        <v>672</v>
      </c>
      <c r="D870" t="s">
        <v>975</v>
      </c>
      <c r="E870" t="str">
        <f>"0000338"</f>
        <v>0000338</v>
      </c>
      <c r="F870" t="str">
        <f t="shared" si="15"/>
        <v>33200000</v>
      </c>
      <c r="H870" t="s">
        <v>976</v>
      </c>
      <c r="J870" s="4">
        <v>675000</v>
      </c>
    </row>
    <row r="871" spans="1:10" hidden="1" outlineLevel="2" x14ac:dyDescent="0.35">
      <c r="A871" t="s">
        <v>354</v>
      </c>
      <c r="B871" s="1">
        <v>45740</v>
      </c>
      <c r="C871" t="str">
        <f>"673"</f>
        <v>673</v>
      </c>
      <c r="D871" t="s">
        <v>977</v>
      </c>
      <c r="E871" t="str">
        <f>"0000339"</f>
        <v>0000339</v>
      </c>
      <c r="F871" t="str">
        <f t="shared" si="15"/>
        <v>33200000</v>
      </c>
      <c r="H871" t="s">
        <v>978</v>
      </c>
      <c r="J871" s="4">
        <v>637000</v>
      </c>
    </row>
    <row r="872" spans="1:10" hidden="1" outlineLevel="2" x14ac:dyDescent="0.35">
      <c r="A872" t="s">
        <v>354</v>
      </c>
      <c r="B872" s="1">
        <v>45740</v>
      </c>
      <c r="C872" t="str">
        <f>"682"</f>
        <v>682</v>
      </c>
      <c r="D872" t="s">
        <v>979</v>
      </c>
      <c r="E872" t="str">
        <f>"0001909"</f>
        <v>0001909</v>
      </c>
      <c r="F872" t="str">
        <f t="shared" si="15"/>
        <v>33200000</v>
      </c>
      <c r="H872" t="s">
        <v>980</v>
      </c>
      <c r="J872" s="4">
        <v>58800</v>
      </c>
    </row>
    <row r="873" spans="1:10" hidden="1" outlineLevel="2" x14ac:dyDescent="0.35">
      <c r="A873" t="s">
        <v>354</v>
      </c>
      <c r="B873" s="1">
        <v>45740</v>
      </c>
      <c r="C873" t="str">
        <f>"683"</f>
        <v>683</v>
      </c>
      <c r="D873" t="s">
        <v>981</v>
      </c>
      <c r="E873" t="str">
        <f>"0001910"</f>
        <v>0001910</v>
      </c>
      <c r="F873" t="str">
        <f t="shared" si="15"/>
        <v>33200000</v>
      </c>
      <c r="H873" t="s">
        <v>982</v>
      </c>
      <c r="J873" s="4">
        <v>84000</v>
      </c>
    </row>
    <row r="874" spans="1:10" hidden="1" outlineLevel="2" x14ac:dyDescent="0.35">
      <c r="A874" t="s">
        <v>354</v>
      </c>
      <c r="B874" s="1">
        <v>45740</v>
      </c>
      <c r="C874" t="str">
        <f>"685"</f>
        <v>685</v>
      </c>
      <c r="D874" t="s">
        <v>983</v>
      </c>
      <c r="E874" t="s">
        <v>984</v>
      </c>
      <c r="F874" t="str">
        <f t="shared" si="15"/>
        <v>33200000</v>
      </c>
      <c r="H874" t="s">
        <v>985</v>
      </c>
      <c r="J874" s="4">
        <v>111096</v>
      </c>
    </row>
    <row r="875" spans="1:10" hidden="1" outlineLevel="2" x14ac:dyDescent="0.35">
      <c r="A875" t="s">
        <v>354</v>
      </c>
      <c r="B875" s="1">
        <v>45740</v>
      </c>
      <c r="C875" t="str">
        <f>"686"</f>
        <v>686</v>
      </c>
      <c r="D875" t="s">
        <v>986</v>
      </c>
      <c r="E875" t="s">
        <v>987</v>
      </c>
      <c r="F875" t="str">
        <f t="shared" si="15"/>
        <v>33200000</v>
      </c>
      <c r="H875" t="s">
        <v>988</v>
      </c>
      <c r="J875" s="4">
        <v>304411</v>
      </c>
    </row>
    <row r="876" spans="1:10" hidden="1" outlineLevel="2" x14ac:dyDescent="0.35">
      <c r="A876" t="s">
        <v>354</v>
      </c>
      <c r="B876" s="1">
        <v>45740</v>
      </c>
      <c r="C876" t="str">
        <f>"687"</f>
        <v>687</v>
      </c>
      <c r="D876" t="s">
        <v>989</v>
      </c>
      <c r="E876" t="s">
        <v>990</v>
      </c>
      <c r="F876" t="str">
        <f t="shared" si="15"/>
        <v>33200000</v>
      </c>
      <c r="H876" t="s">
        <v>991</v>
      </c>
      <c r="J876" s="4">
        <v>51776</v>
      </c>
    </row>
    <row r="877" spans="1:10" hidden="1" outlineLevel="2" x14ac:dyDescent="0.35">
      <c r="A877" t="s">
        <v>354</v>
      </c>
      <c r="B877" s="1">
        <v>45740</v>
      </c>
      <c r="C877" t="str">
        <f>"689"</f>
        <v>689</v>
      </c>
      <c r="D877" t="s">
        <v>995</v>
      </c>
      <c r="E877" t="s">
        <v>996</v>
      </c>
      <c r="F877" t="str">
        <f t="shared" si="15"/>
        <v>33200000</v>
      </c>
      <c r="H877" t="s">
        <v>997</v>
      </c>
      <c r="J877" s="4">
        <v>198555</v>
      </c>
    </row>
    <row r="878" spans="1:10" hidden="1" outlineLevel="2" x14ac:dyDescent="0.35">
      <c r="A878" t="s">
        <v>354</v>
      </c>
      <c r="B878" s="1">
        <v>45740</v>
      </c>
      <c r="C878" t="str">
        <f>"797"</f>
        <v>797</v>
      </c>
      <c r="D878" t="s">
        <v>1003</v>
      </c>
      <c r="E878" t="str">
        <f>"00290689"</f>
        <v>00290689</v>
      </c>
      <c r="F878" t="str">
        <f t="shared" si="15"/>
        <v>33200000</v>
      </c>
      <c r="H878" t="s">
        <v>1004</v>
      </c>
      <c r="J878" s="4">
        <v>465000</v>
      </c>
    </row>
    <row r="879" spans="1:10" hidden="1" outlineLevel="2" x14ac:dyDescent="0.35">
      <c r="A879" t="s">
        <v>354</v>
      </c>
      <c r="B879" s="1">
        <v>45740</v>
      </c>
      <c r="C879" t="str">
        <f>"798"</f>
        <v>798</v>
      </c>
      <c r="D879" t="s">
        <v>1005</v>
      </c>
      <c r="E879" t="str">
        <f>"00290690"</f>
        <v>00290690</v>
      </c>
      <c r="F879" t="str">
        <f t="shared" si="15"/>
        <v>33200000</v>
      </c>
      <c r="H879" t="s">
        <v>1006</v>
      </c>
      <c r="J879" s="4">
        <v>1045300</v>
      </c>
    </row>
    <row r="880" spans="1:10" hidden="1" outlineLevel="2" x14ac:dyDescent="0.35">
      <c r="A880" t="s">
        <v>354</v>
      </c>
      <c r="B880" s="1">
        <v>45741</v>
      </c>
      <c r="C880" t="str">
        <f>"684"</f>
        <v>684</v>
      </c>
      <c r="D880" t="s">
        <v>1007</v>
      </c>
      <c r="E880" t="str">
        <f>"0001922"</f>
        <v>0001922</v>
      </c>
      <c r="F880" t="str">
        <f t="shared" si="15"/>
        <v>33200000</v>
      </c>
      <c r="H880" t="s">
        <v>1008</v>
      </c>
      <c r="J880" s="4">
        <v>33600</v>
      </c>
    </row>
    <row r="881" spans="1:10" hidden="1" outlineLevel="2" x14ac:dyDescent="0.35">
      <c r="A881" t="s">
        <v>354</v>
      </c>
      <c r="B881" s="1">
        <v>45741</v>
      </c>
      <c r="C881" t="str">
        <f>"714"</f>
        <v>714</v>
      </c>
      <c r="D881" t="s">
        <v>1027</v>
      </c>
      <c r="E881" t="s">
        <v>1028</v>
      </c>
      <c r="F881" t="str">
        <f t="shared" si="15"/>
        <v>33200000</v>
      </c>
      <c r="H881" t="s">
        <v>1029</v>
      </c>
      <c r="J881" s="4">
        <v>456801</v>
      </c>
    </row>
    <row r="882" spans="1:10" hidden="1" outlineLevel="2" x14ac:dyDescent="0.35">
      <c r="A882" t="s">
        <v>354</v>
      </c>
      <c r="B882" s="1">
        <v>45741</v>
      </c>
      <c r="C882" t="str">
        <f>"715"</f>
        <v>715</v>
      </c>
      <c r="D882" t="s">
        <v>1030</v>
      </c>
      <c r="E882" t="s">
        <v>1031</v>
      </c>
      <c r="F882" t="str">
        <f t="shared" ref="F882:F945" si="16">"33200000"</f>
        <v>33200000</v>
      </c>
      <c r="H882" t="s">
        <v>1032</v>
      </c>
      <c r="J882" s="4">
        <v>340902</v>
      </c>
    </row>
    <row r="883" spans="1:10" hidden="1" outlineLevel="2" x14ac:dyDescent="0.35">
      <c r="A883" t="s">
        <v>354</v>
      </c>
      <c r="B883" s="1">
        <v>45741</v>
      </c>
      <c r="C883" t="str">
        <f>"763"</f>
        <v>763</v>
      </c>
      <c r="D883" t="s">
        <v>1045</v>
      </c>
      <c r="E883" t="str">
        <f>"00190415"</f>
        <v>00190415</v>
      </c>
      <c r="F883" t="str">
        <f t="shared" si="16"/>
        <v>33200000</v>
      </c>
      <c r="H883" t="s">
        <v>1046</v>
      </c>
      <c r="J883" s="4">
        <v>540000</v>
      </c>
    </row>
    <row r="884" spans="1:10" hidden="1" outlineLevel="2" x14ac:dyDescent="0.35">
      <c r="A884" t="s">
        <v>354</v>
      </c>
      <c r="B884" s="1">
        <v>45741</v>
      </c>
      <c r="C884" t="str">
        <f>"764"</f>
        <v>764</v>
      </c>
      <c r="D884" t="s">
        <v>1047</v>
      </c>
      <c r="E884" t="str">
        <f>"00190416"</f>
        <v>00190416</v>
      </c>
      <c r="F884" t="str">
        <f t="shared" si="16"/>
        <v>33200000</v>
      </c>
      <c r="H884" t="s">
        <v>1048</v>
      </c>
      <c r="J884" s="4">
        <v>545000</v>
      </c>
    </row>
    <row r="885" spans="1:10" hidden="1" outlineLevel="2" x14ac:dyDescent="0.35">
      <c r="A885" t="s">
        <v>354</v>
      </c>
      <c r="B885" s="1">
        <v>45741</v>
      </c>
      <c r="C885" t="str">
        <f>"765"</f>
        <v>765</v>
      </c>
      <c r="D885" t="s">
        <v>1049</v>
      </c>
      <c r="E885" t="str">
        <f>"00190418"</f>
        <v>00190418</v>
      </c>
      <c r="F885" t="str">
        <f t="shared" si="16"/>
        <v>33200000</v>
      </c>
      <c r="H885" t="s">
        <v>1050</v>
      </c>
      <c r="J885" s="4">
        <v>1020000</v>
      </c>
    </row>
    <row r="886" spans="1:10" hidden="1" outlineLevel="2" x14ac:dyDescent="0.35">
      <c r="A886" t="s">
        <v>354</v>
      </c>
      <c r="B886" s="1">
        <v>45741</v>
      </c>
      <c r="C886" t="str">
        <f>"766"</f>
        <v>766</v>
      </c>
      <c r="D886" t="s">
        <v>1051</v>
      </c>
      <c r="E886" t="str">
        <f>"00190419"</f>
        <v>00190419</v>
      </c>
      <c r="F886" t="str">
        <f t="shared" si="16"/>
        <v>33200000</v>
      </c>
      <c r="H886" t="s">
        <v>1052</v>
      </c>
      <c r="J886" s="4">
        <v>199000</v>
      </c>
    </row>
    <row r="887" spans="1:10" hidden="1" outlineLevel="2" x14ac:dyDescent="0.35">
      <c r="A887" t="s">
        <v>354</v>
      </c>
      <c r="B887" s="1">
        <v>45741</v>
      </c>
      <c r="C887" t="str">
        <f>"767"</f>
        <v>767</v>
      </c>
      <c r="D887" t="s">
        <v>1053</v>
      </c>
      <c r="E887" t="str">
        <f>"00190420"</f>
        <v>00190420</v>
      </c>
      <c r="F887" t="str">
        <f t="shared" si="16"/>
        <v>33200000</v>
      </c>
      <c r="H887" t="s">
        <v>1054</v>
      </c>
      <c r="J887" s="4">
        <v>912000</v>
      </c>
    </row>
    <row r="888" spans="1:10" hidden="1" outlineLevel="2" x14ac:dyDescent="0.35">
      <c r="A888" t="s">
        <v>354</v>
      </c>
      <c r="B888" s="1">
        <v>45741</v>
      </c>
      <c r="C888" t="str">
        <f>"768"</f>
        <v>768</v>
      </c>
      <c r="D888" t="s">
        <v>1055</v>
      </c>
      <c r="E888" t="str">
        <f>"00190421"</f>
        <v>00190421</v>
      </c>
      <c r="F888" t="str">
        <f t="shared" si="16"/>
        <v>33200000</v>
      </c>
      <c r="H888" t="s">
        <v>1056</v>
      </c>
      <c r="J888" s="4">
        <v>480000</v>
      </c>
    </row>
    <row r="889" spans="1:10" hidden="1" outlineLevel="2" x14ac:dyDescent="0.35">
      <c r="A889" t="s">
        <v>354</v>
      </c>
      <c r="B889" s="1">
        <v>45741</v>
      </c>
      <c r="C889" t="str">
        <f>"769"</f>
        <v>769</v>
      </c>
      <c r="D889" t="s">
        <v>1057</v>
      </c>
      <c r="E889" t="str">
        <f>"00190423"</f>
        <v>00190423</v>
      </c>
      <c r="F889" t="str">
        <f t="shared" si="16"/>
        <v>33200000</v>
      </c>
      <c r="H889" t="s">
        <v>1058</v>
      </c>
      <c r="J889" s="4">
        <v>100000</v>
      </c>
    </row>
    <row r="890" spans="1:10" hidden="1" outlineLevel="2" x14ac:dyDescent="0.35">
      <c r="A890" t="s">
        <v>354</v>
      </c>
      <c r="B890" s="1">
        <v>45741</v>
      </c>
      <c r="C890" t="str">
        <f>"770"</f>
        <v>770</v>
      </c>
      <c r="D890" t="s">
        <v>1059</v>
      </c>
      <c r="E890" t="str">
        <f>"00190424"</f>
        <v>00190424</v>
      </c>
      <c r="F890" t="str">
        <f t="shared" si="16"/>
        <v>33200000</v>
      </c>
      <c r="H890" t="s">
        <v>1060</v>
      </c>
      <c r="J890" s="4">
        <v>2200000</v>
      </c>
    </row>
    <row r="891" spans="1:10" hidden="1" outlineLevel="2" x14ac:dyDescent="0.35">
      <c r="A891" t="s">
        <v>354</v>
      </c>
      <c r="B891" s="1">
        <v>45741</v>
      </c>
      <c r="C891" t="str">
        <f>"771"</f>
        <v>771</v>
      </c>
      <c r="D891" t="s">
        <v>1061</v>
      </c>
      <c r="E891" t="str">
        <f>"00190427"</f>
        <v>00190427</v>
      </c>
      <c r="F891" t="str">
        <f t="shared" si="16"/>
        <v>33200000</v>
      </c>
      <c r="H891" t="s">
        <v>1062</v>
      </c>
      <c r="J891" s="4">
        <v>430600</v>
      </c>
    </row>
    <row r="892" spans="1:10" hidden="1" outlineLevel="2" x14ac:dyDescent="0.35">
      <c r="A892" t="s">
        <v>354</v>
      </c>
      <c r="B892" s="1">
        <v>45741</v>
      </c>
      <c r="C892" t="str">
        <f>"772"</f>
        <v>772</v>
      </c>
      <c r="D892" t="s">
        <v>1063</v>
      </c>
      <c r="E892" t="str">
        <f>"00190428"</f>
        <v>00190428</v>
      </c>
      <c r="F892" t="str">
        <f t="shared" si="16"/>
        <v>33200000</v>
      </c>
      <c r="H892" t="s">
        <v>1064</v>
      </c>
      <c r="J892" s="4">
        <v>350000</v>
      </c>
    </row>
    <row r="893" spans="1:10" hidden="1" outlineLevel="2" x14ac:dyDescent="0.35">
      <c r="A893" t="s">
        <v>354</v>
      </c>
      <c r="B893" s="1">
        <v>45741</v>
      </c>
      <c r="C893" t="str">
        <f>"773"</f>
        <v>773</v>
      </c>
      <c r="D893" t="s">
        <v>1065</v>
      </c>
      <c r="E893" t="str">
        <f>"00190429"</f>
        <v>00190429</v>
      </c>
      <c r="F893" t="str">
        <f t="shared" si="16"/>
        <v>33200000</v>
      </c>
      <c r="H893" t="s">
        <v>1066</v>
      </c>
      <c r="J893" s="4">
        <v>445000</v>
      </c>
    </row>
    <row r="894" spans="1:10" hidden="1" outlineLevel="2" x14ac:dyDescent="0.35">
      <c r="A894" t="s">
        <v>354</v>
      </c>
      <c r="B894" s="1">
        <v>45741</v>
      </c>
      <c r="C894" t="str">
        <f>"774"</f>
        <v>774</v>
      </c>
      <c r="D894" t="s">
        <v>1067</v>
      </c>
      <c r="E894" t="str">
        <f>"00190431"</f>
        <v>00190431</v>
      </c>
      <c r="F894" t="str">
        <f t="shared" si="16"/>
        <v>33200000</v>
      </c>
      <c r="H894" t="s">
        <v>1068</v>
      </c>
      <c r="J894" s="4">
        <v>295600</v>
      </c>
    </row>
    <row r="895" spans="1:10" hidden="1" outlineLevel="2" x14ac:dyDescent="0.35">
      <c r="A895" t="s">
        <v>354</v>
      </c>
      <c r="B895" s="1">
        <v>45741</v>
      </c>
      <c r="C895" t="str">
        <f>"775"</f>
        <v>775</v>
      </c>
      <c r="D895" t="s">
        <v>1069</v>
      </c>
      <c r="E895" t="str">
        <f>"00190432"</f>
        <v>00190432</v>
      </c>
      <c r="F895" t="str">
        <f t="shared" si="16"/>
        <v>33200000</v>
      </c>
      <c r="H895" t="s">
        <v>1070</v>
      </c>
      <c r="J895" s="4">
        <v>620600</v>
      </c>
    </row>
    <row r="896" spans="1:10" hidden="1" outlineLevel="2" x14ac:dyDescent="0.35">
      <c r="A896" t="s">
        <v>354</v>
      </c>
      <c r="B896" s="1">
        <v>45741</v>
      </c>
      <c r="C896" t="str">
        <f>"776"</f>
        <v>776</v>
      </c>
      <c r="D896" t="s">
        <v>1071</v>
      </c>
      <c r="E896" t="str">
        <f>"00190433"</f>
        <v>00190433</v>
      </c>
      <c r="F896" t="str">
        <f t="shared" si="16"/>
        <v>33200000</v>
      </c>
      <c r="H896" t="s">
        <v>1072</v>
      </c>
      <c r="J896" s="4">
        <v>178000</v>
      </c>
    </row>
    <row r="897" spans="1:10" hidden="1" outlineLevel="2" x14ac:dyDescent="0.35">
      <c r="A897" t="s">
        <v>354</v>
      </c>
      <c r="B897" s="1">
        <v>45741</v>
      </c>
      <c r="C897" t="str">
        <f>"777"</f>
        <v>777</v>
      </c>
      <c r="D897" t="s">
        <v>1073</v>
      </c>
      <c r="E897" t="str">
        <f>"00190434"</f>
        <v>00190434</v>
      </c>
      <c r="F897" t="str">
        <f t="shared" si="16"/>
        <v>33200000</v>
      </c>
      <c r="H897" t="s">
        <v>1074</v>
      </c>
      <c r="J897" s="4">
        <v>750000</v>
      </c>
    </row>
    <row r="898" spans="1:10" hidden="1" outlineLevel="2" x14ac:dyDescent="0.35">
      <c r="A898" t="s">
        <v>354</v>
      </c>
      <c r="B898" s="1">
        <v>45741</v>
      </c>
      <c r="C898" t="str">
        <f>"778"</f>
        <v>778</v>
      </c>
      <c r="D898" t="s">
        <v>1075</v>
      </c>
      <c r="E898" t="str">
        <f>"00190435"</f>
        <v>00190435</v>
      </c>
      <c r="F898" t="str">
        <f t="shared" si="16"/>
        <v>33200000</v>
      </c>
      <c r="H898" t="s">
        <v>1076</v>
      </c>
      <c r="J898" s="4">
        <v>505000</v>
      </c>
    </row>
    <row r="899" spans="1:10" hidden="1" outlineLevel="2" x14ac:dyDescent="0.35">
      <c r="A899" t="s">
        <v>354</v>
      </c>
      <c r="B899" s="1">
        <v>45741</v>
      </c>
      <c r="C899" t="str">
        <f>"779"</f>
        <v>779</v>
      </c>
      <c r="D899" t="s">
        <v>1077</v>
      </c>
      <c r="E899" t="str">
        <f>"00190436"</f>
        <v>00190436</v>
      </c>
      <c r="F899" t="str">
        <f t="shared" si="16"/>
        <v>33200000</v>
      </c>
      <c r="H899" t="s">
        <v>1078</v>
      </c>
      <c r="J899" s="4">
        <v>120000</v>
      </c>
    </row>
    <row r="900" spans="1:10" hidden="1" outlineLevel="2" x14ac:dyDescent="0.35">
      <c r="A900" t="s">
        <v>354</v>
      </c>
      <c r="B900" s="1">
        <v>45741</v>
      </c>
      <c r="C900" t="str">
        <f>"780"</f>
        <v>780</v>
      </c>
      <c r="D900" t="s">
        <v>1079</v>
      </c>
      <c r="E900" t="str">
        <f>"00190437"</f>
        <v>00190437</v>
      </c>
      <c r="F900" t="str">
        <f t="shared" si="16"/>
        <v>33200000</v>
      </c>
      <c r="H900" t="s">
        <v>1080</v>
      </c>
      <c r="J900" s="4">
        <v>163500</v>
      </c>
    </row>
    <row r="901" spans="1:10" hidden="1" outlineLevel="2" x14ac:dyDescent="0.35">
      <c r="A901" t="s">
        <v>354</v>
      </c>
      <c r="B901" s="1">
        <v>45741</v>
      </c>
      <c r="C901" t="str">
        <f>"781"</f>
        <v>781</v>
      </c>
      <c r="D901" t="s">
        <v>1081</v>
      </c>
      <c r="E901" t="str">
        <f>"00190438"</f>
        <v>00190438</v>
      </c>
      <c r="F901" t="str">
        <f t="shared" si="16"/>
        <v>33200000</v>
      </c>
      <c r="H901" t="s">
        <v>1082</v>
      </c>
      <c r="J901" s="4">
        <v>240000</v>
      </c>
    </row>
    <row r="902" spans="1:10" hidden="1" outlineLevel="2" x14ac:dyDescent="0.35">
      <c r="A902" t="s">
        <v>354</v>
      </c>
      <c r="B902" s="1">
        <v>45741</v>
      </c>
      <c r="C902" t="str">
        <f>"782"</f>
        <v>782</v>
      </c>
      <c r="D902" t="s">
        <v>1083</v>
      </c>
      <c r="E902" t="str">
        <f>"00190439"</f>
        <v>00190439</v>
      </c>
      <c r="F902" t="str">
        <f t="shared" si="16"/>
        <v>33200000</v>
      </c>
      <c r="H902" t="s">
        <v>1084</v>
      </c>
      <c r="J902" s="4">
        <v>490000</v>
      </c>
    </row>
    <row r="903" spans="1:10" hidden="1" outlineLevel="2" x14ac:dyDescent="0.35">
      <c r="A903" t="s">
        <v>354</v>
      </c>
      <c r="B903" s="1">
        <v>45741</v>
      </c>
      <c r="C903" t="str">
        <f>"783"</f>
        <v>783</v>
      </c>
      <c r="D903" t="s">
        <v>1085</v>
      </c>
      <c r="E903" t="str">
        <f>"00190440"</f>
        <v>00190440</v>
      </c>
      <c r="F903" t="str">
        <f t="shared" si="16"/>
        <v>33200000</v>
      </c>
      <c r="H903" t="s">
        <v>1086</v>
      </c>
      <c r="J903" s="4">
        <v>2200000</v>
      </c>
    </row>
    <row r="904" spans="1:10" hidden="1" outlineLevel="2" x14ac:dyDescent="0.35">
      <c r="A904" t="s">
        <v>354</v>
      </c>
      <c r="B904" s="1">
        <v>45741</v>
      </c>
      <c r="C904" t="str">
        <f>"784"</f>
        <v>784</v>
      </c>
      <c r="D904" t="s">
        <v>1087</v>
      </c>
      <c r="E904" t="str">
        <f>"00190441"</f>
        <v>00190441</v>
      </c>
      <c r="F904" t="str">
        <f t="shared" si="16"/>
        <v>33200000</v>
      </c>
      <c r="H904" t="s">
        <v>1088</v>
      </c>
      <c r="J904" s="4">
        <v>90000</v>
      </c>
    </row>
    <row r="905" spans="1:10" hidden="1" outlineLevel="2" x14ac:dyDescent="0.35">
      <c r="A905" t="s">
        <v>354</v>
      </c>
      <c r="B905" s="1">
        <v>45741</v>
      </c>
      <c r="C905" t="str">
        <f>"785"</f>
        <v>785</v>
      </c>
      <c r="D905" t="s">
        <v>1089</v>
      </c>
      <c r="E905" t="str">
        <f>"00190442"</f>
        <v>00190442</v>
      </c>
      <c r="F905" t="str">
        <f t="shared" si="16"/>
        <v>33200000</v>
      </c>
      <c r="H905" t="s">
        <v>1090</v>
      </c>
      <c r="J905" s="4">
        <v>1600000</v>
      </c>
    </row>
    <row r="906" spans="1:10" hidden="1" outlineLevel="2" x14ac:dyDescent="0.35">
      <c r="A906" t="s">
        <v>354</v>
      </c>
      <c r="B906" s="1">
        <v>45741</v>
      </c>
      <c r="C906" t="str">
        <f>"786"</f>
        <v>786</v>
      </c>
      <c r="D906" t="s">
        <v>1091</v>
      </c>
      <c r="E906" t="str">
        <f>"00190443"</f>
        <v>00190443</v>
      </c>
      <c r="F906" t="str">
        <f t="shared" si="16"/>
        <v>33200000</v>
      </c>
      <c r="H906" t="s">
        <v>1092</v>
      </c>
      <c r="J906" s="4">
        <v>90000</v>
      </c>
    </row>
    <row r="907" spans="1:10" hidden="1" outlineLevel="2" x14ac:dyDescent="0.35">
      <c r="A907" t="s">
        <v>354</v>
      </c>
      <c r="B907" s="1">
        <v>45741</v>
      </c>
      <c r="C907" t="str">
        <f>"787"</f>
        <v>787</v>
      </c>
      <c r="D907" t="s">
        <v>1093</v>
      </c>
      <c r="E907" t="str">
        <f>"00190444"</f>
        <v>00190444</v>
      </c>
      <c r="F907" t="str">
        <f t="shared" si="16"/>
        <v>33200000</v>
      </c>
      <c r="H907" t="s">
        <v>1094</v>
      </c>
      <c r="J907" s="4">
        <v>285000</v>
      </c>
    </row>
    <row r="908" spans="1:10" hidden="1" outlineLevel="2" x14ac:dyDescent="0.35">
      <c r="A908" t="s">
        <v>354</v>
      </c>
      <c r="B908" s="1">
        <v>45742</v>
      </c>
      <c r="C908" t="str">
        <f>"697"</f>
        <v>697</v>
      </c>
      <c r="D908" t="s">
        <v>1098</v>
      </c>
      <c r="E908" t="s">
        <v>1099</v>
      </c>
      <c r="F908" t="str">
        <f t="shared" si="16"/>
        <v>33200000</v>
      </c>
      <c r="H908" t="s">
        <v>1100</v>
      </c>
      <c r="J908" s="4">
        <v>30947</v>
      </c>
    </row>
    <row r="909" spans="1:10" hidden="1" outlineLevel="2" x14ac:dyDescent="0.35">
      <c r="A909" t="s">
        <v>354</v>
      </c>
      <c r="B909" s="1">
        <v>45742</v>
      </c>
      <c r="C909" t="str">
        <f>"698"</f>
        <v>698</v>
      </c>
      <c r="D909" t="s">
        <v>1101</v>
      </c>
      <c r="E909" t="s">
        <v>1102</v>
      </c>
      <c r="F909" t="str">
        <f t="shared" si="16"/>
        <v>33200000</v>
      </c>
      <c r="H909" t="s">
        <v>1103</v>
      </c>
      <c r="J909" s="4">
        <v>49246</v>
      </c>
    </row>
    <row r="910" spans="1:10" hidden="1" outlineLevel="2" x14ac:dyDescent="0.35">
      <c r="A910" t="s">
        <v>354</v>
      </c>
      <c r="B910" s="1">
        <v>45742</v>
      </c>
      <c r="C910" t="str">
        <f>"706"</f>
        <v>706</v>
      </c>
      <c r="D910" t="s">
        <v>1113</v>
      </c>
      <c r="E910" t="s">
        <v>1114</v>
      </c>
      <c r="F910" t="str">
        <f t="shared" si="16"/>
        <v>33200000</v>
      </c>
      <c r="H910" t="s">
        <v>1115</v>
      </c>
      <c r="J910" s="4">
        <v>317800</v>
      </c>
    </row>
    <row r="911" spans="1:10" hidden="1" outlineLevel="2" x14ac:dyDescent="0.35">
      <c r="A911" t="s">
        <v>354</v>
      </c>
      <c r="B911" s="1">
        <v>45744</v>
      </c>
      <c r="C911" t="str">
        <f>"666"</f>
        <v>666</v>
      </c>
      <c r="D911" t="s">
        <v>1116</v>
      </c>
      <c r="E911" t="s">
        <v>1117</v>
      </c>
      <c r="F911" t="str">
        <f t="shared" si="16"/>
        <v>33200000</v>
      </c>
      <c r="H911" t="s">
        <v>1118</v>
      </c>
      <c r="J911" s="4">
        <v>117263</v>
      </c>
    </row>
    <row r="912" spans="1:10" hidden="1" outlineLevel="2" x14ac:dyDescent="0.35">
      <c r="A912" t="s">
        <v>354</v>
      </c>
      <c r="B912" s="1">
        <v>45744</v>
      </c>
      <c r="C912" t="str">
        <f>"668"</f>
        <v>668</v>
      </c>
      <c r="D912" t="s">
        <v>1119</v>
      </c>
      <c r="E912" t="s">
        <v>1120</v>
      </c>
      <c r="F912" t="str">
        <f t="shared" si="16"/>
        <v>33200000</v>
      </c>
      <c r="H912" t="s">
        <v>1121</v>
      </c>
      <c r="J912" s="4">
        <v>34500</v>
      </c>
    </row>
    <row r="913" spans="1:10" hidden="1" outlineLevel="2" x14ac:dyDescent="0.35">
      <c r="A913" t="s">
        <v>354</v>
      </c>
      <c r="B913" s="1">
        <v>45744</v>
      </c>
      <c r="C913" t="str">
        <f>"716"</f>
        <v>716</v>
      </c>
      <c r="D913" t="s">
        <v>1125</v>
      </c>
      <c r="E913" t="s">
        <v>1126</v>
      </c>
      <c r="F913" t="str">
        <f t="shared" si="16"/>
        <v>33200000</v>
      </c>
      <c r="H913" t="s">
        <v>1127</v>
      </c>
      <c r="J913" s="4">
        <v>575342</v>
      </c>
    </row>
    <row r="914" spans="1:10" hidden="1" outlineLevel="2" x14ac:dyDescent="0.35">
      <c r="A914" t="s">
        <v>354</v>
      </c>
      <c r="B914" s="1">
        <v>45744</v>
      </c>
      <c r="C914" t="str">
        <f>"717"</f>
        <v>717</v>
      </c>
      <c r="D914" t="s">
        <v>1128</v>
      </c>
      <c r="E914" t="s">
        <v>1129</v>
      </c>
      <c r="F914" t="str">
        <f t="shared" si="16"/>
        <v>33200000</v>
      </c>
      <c r="H914" t="s">
        <v>1130</v>
      </c>
      <c r="J914" s="4">
        <v>152236</v>
      </c>
    </row>
    <row r="915" spans="1:10" hidden="1" outlineLevel="2" x14ac:dyDescent="0.35">
      <c r="A915" t="s">
        <v>354</v>
      </c>
      <c r="B915" s="1">
        <v>45744</v>
      </c>
      <c r="C915" t="str">
        <f>"719"</f>
        <v>719</v>
      </c>
      <c r="D915" t="s">
        <v>1134</v>
      </c>
      <c r="E915" t="s">
        <v>1135</v>
      </c>
      <c r="F915" t="str">
        <f t="shared" si="16"/>
        <v>33200000</v>
      </c>
      <c r="H915" t="s">
        <v>1136</v>
      </c>
      <c r="J915" s="4">
        <v>912285</v>
      </c>
    </row>
    <row r="916" spans="1:10" hidden="1" outlineLevel="2" x14ac:dyDescent="0.35">
      <c r="A916" t="s">
        <v>354</v>
      </c>
      <c r="B916" s="1">
        <v>45744</v>
      </c>
      <c r="C916" t="str">
        <f>"720"</f>
        <v>720</v>
      </c>
      <c r="D916" t="s">
        <v>1137</v>
      </c>
      <c r="E916" t="s">
        <v>1138</v>
      </c>
      <c r="F916" t="str">
        <f t="shared" si="16"/>
        <v>33200000</v>
      </c>
      <c r="H916" t="s">
        <v>1139</v>
      </c>
      <c r="J916" s="4">
        <v>435885</v>
      </c>
    </row>
    <row r="917" spans="1:10" hidden="1" outlineLevel="2" x14ac:dyDescent="0.35">
      <c r="A917" t="s">
        <v>354</v>
      </c>
      <c r="B917" s="1">
        <v>45744</v>
      </c>
      <c r="C917" t="str">
        <f>"753"</f>
        <v>753</v>
      </c>
      <c r="D917" t="s">
        <v>1140</v>
      </c>
      <c r="E917" t="str">
        <f>"0416689"</f>
        <v>0416689</v>
      </c>
      <c r="F917" t="str">
        <f t="shared" si="16"/>
        <v>33200000</v>
      </c>
      <c r="H917" t="s">
        <v>1141</v>
      </c>
      <c r="J917" s="4">
        <v>150000</v>
      </c>
    </row>
    <row r="918" spans="1:10" hidden="1" outlineLevel="2" x14ac:dyDescent="0.35">
      <c r="A918" t="s">
        <v>354</v>
      </c>
      <c r="B918" s="1">
        <v>45744</v>
      </c>
      <c r="C918" t="str">
        <f>"761"</f>
        <v>761</v>
      </c>
      <c r="D918" t="s">
        <v>1142</v>
      </c>
      <c r="E918" t="str">
        <f>"00190412"</f>
        <v>00190412</v>
      </c>
      <c r="F918" t="str">
        <f t="shared" si="16"/>
        <v>33200000</v>
      </c>
      <c r="H918" t="s">
        <v>1143</v>
      </c>
      <c r="J918" s="4">
        <v>472000</v>
      </c>
    </row>
    <row r="919" spans="1:10" hidden="1" outlineLevel="2" x14ac:dyDescent="0.35">
      <c r="A919" t="s">
        <v>354</v>
      </c>
      <c r="B919" s="1">
        <v>45744</v>
      </c>
      <c r="C919" t="str">
        <f>"762"</f>
        <v>762</v>
      </c>
      <c r="D919" t="s">
        <v>1144</v>
      </c>
      <c r="E919" t="str">
        <f>"00190413"</f>
        <v>00190413</v>
      </c>
      <c r="F919" t="str">
        <f t="shared" si="16"/>
        <v>33200000</v>
      </c>
      <c r="H919" t="s">
        <v>1145</v>
      </c>
      <c r="J919" s="4">
        <v>385000</v>
      </c>
    </row>
    <row r="920" spans="1:10" hidden="1" outlineLevel="2" x14ac:dyDescent="0.35">
      <c r="A920" t="s">
        <v>354</v>
      </c>
      <c r="B920" s="1">
        <v>45744</v>
      </c>
      <c r="C920" t="str">
        <f>"788"</f>
        <v>788</v>
      </c>
      <c r="D920" t="s">
        <v>1146</v>
      </c>
      <c r="E920" t="str">
        <f>"00190445"</f>
        <v>00190445</v>
      </c>
      <c r="F920" t="str">
        <f t="shared" si="16"/>
        <v>33200000</v>
      </c>
      <c r="H920" t="s">
        <v>1147</v>
      </c>
      <c r="J920" s="4">
        <v>450000</v>
      </c>
    </row>
    <row r="921" spans="1:10" hidden="1" outlineLevel="2" x14ac:dyDescent="0.35">
      <c r="A921" t="s">
        <v>354</v>
      </c>
      <c r="B921" s="1">
        <v>45744</v>
      </c>
      <c r="C921" t="str">
        <f>"789"</f>
        <v>789</v>
      </c>
      <c r="D921" t="s">
        <v>1148</v>
      </c>
      <c r="E921" t="str">
        <f>"00190446"</f>
        <v>00190446</v>
      </c>
      <c r="F921" t="str">
        <f t="shared" si="16"/>
        <v>33200000</v>
      </c>
      <c r="H921" t="s">
        <v>1149</v>
      </c>
      <c r="J921" s="4">
        <v>450000</v>
      </c>
    </row>
    <row r="922" spans="1:10" hidden="1" outlineLevel="2" x14ac:dyDescent="0.35">
      <c r="A922" t="s">
        <v>354</v>
      </c>
      <c r="B922" s="1">
        <v>45744</v>
      </c>
      <c r="C922" t="str">
        <f>"790"</f>
        <v>790</v>
      </c>
      <c r="D922" t="s">
        <v>1150</v>
      </c>
      <c r="E922" t="str">
        <f>"00190448"</f>
        <v>00190448</v>
      </c>
      <c r="F922" t="str">
        <f t="shared" si="16"/>
        <v>33200000</v>
      </c>
      <c r="H922" t="s">
        <v>1151</v>
      </c>
      <c r="J922" s="4">
        <v>130000</v>
      </c>
    </row>
    <row r="923" spans="1:10" hidden="1" outlineLevel="2" x14ac:dyDescent="0.35">
      <c r="A923" t="s">
        <v>354</v>
      </c>
      <c r="B923" s="1">
        <v>45744</v>
      </c>
      <c r="C923" t="str">
        <f>"791"</f>
        <v>791</v>
      </c>
      <c r="D923" t="s">
        <v>1152</v>
      </c>
      <c r="E923" t="str">
        <f>"00190449"</f>
        <v>00190449</v>
      </c>
      <c r="F923" t="str">
        <f t="shared" si="16"/>
        <v>33200000</v>
      </c>
      <c r="H923" t="s">
        <v>1153</v>
      </c>
      <c r="J923" s="4">
        <v>290000</v>
      </c>
    </row>
    <row r="924" spans="1:10" hidden="1" outlineLevel="2" x14ac:dyDescent="0.35">
      <c r="A924" t="s">
        <v>354</v>
      </c>
      <c r="B924" s="1">
        <v>45744</v>
      </c>
      <c r="C924" t="str">
        <f>"792"</f>
        <v>792</v>
      </c>
      <c r="D924" t="s">
        <v>1154</v>
      </c>
      <c r="E924" t="str">
        <f>"00233951"</f>
        <v>00233951</v>
      </c>
      <c r="F924" t="str">
        <f t="shared" si="16"/>
        <v>33200000</v>
      </c>
      <c r="H924" t="s">
        <v>1155</v>
      </c>
      <c r="J924" s="4">
        <v>850000</v>
      </c>
    </row>
    <row r="925" spans="1:10" hidden="1" outlineLevel="2" x14ac:dyDescent="0.35">
      <c r="A925" t="s">
        <v>354</v>
      </c>
      <c r="B925" s="1">
        <v>45744</v>
      </c>
      <c r="C925" t="str">
        <f>"793"</f>
        <v>793</v>
      </c>
      <c r="D925" t="s">
        <v>1156</v>
      </c>
      <c r="E925" t="str">
        <f>"00233952"</f>
        <v>00233952</v>
      </c>
      <c r="F925" t="str">
        <f t="shared" si="16"/>
        <v>33200000</v>
      </c>
      <c r="H925" t="s">
        <v>1157</v>
      </c>
      <c r="J925" s="4">
        <v>174000</v>
      </c>
    </row>
    <row r="926" spans="1:10" hidden="1" outlineLevel="2" x14ac:dyDescent="0.35">
      <c r="A926" t="s">
        <v>354</v>
      </c>
      <c r="B926" s="1">
        <v>45744</v>
      </c>
      <c r="C926" t="str">
        <f>"794"</f>
        <v>794</v>
      </c>
      <c r="D926" t="s">
        <v>1158</v>
      </c>
      <c r="E926" t="str">
        <f>"00233954"</f>
        <v>00233954</v>
      </c>
      <c r="F926" t="str">
        <f t="shared" si="16"/>
        <v>33200000</v>
      </c>
      <c r="H926" t="s">
        <v>1159</v>
      </c>
      <c r="J926" s="4">
        <v>430000</v>
      </c>
    </row>
    <row r="927" spans="1:10" hidden="1" outlineLevel="2" x14ac:dyDescent="0.35">
      <c r="A927" t="s">
        <v>354</v>
      </c>
      <c r="B927" s="1">
        <v>45744</v>
      </c>
      <c r="C927" t="str">
        <f>"795"</f>
        <v>795</v>
      </c>
      <c r="D927" t="s">
        <v>1160</v>
      </c>
      <c r="E927" t="str">
        <f>"00233955"</f>
        <v>00233955</v>
      </c>
      <c r="F927" t="str">
        <f t="shared" si="16"/>
        <v>33200000</v>
      </c>
      <c r="H927" t="s">
        <v>1161</v>
      </c>
      <c r="J927" s="4">
        <v>395300</v>
      </c>
    </row>
    <row r="928" spans="1:10" hidden="1" outlineLevel="2" x14ac:dyDescent="0.35">
      <c r="A928" t="s">
        <v>354</v>
      </c>
      <c r="B928" s="1">
        <v>45744</v>
      </c>
      <c r="C928" t="str">
        <f>"799"</f>
        <v>799</v>
      </c>
      <c r="D928" t="s">
        <v>1162</v>
      </c>
      <c r="E928" t="str">
        <f>"00290962"</f>
        <v>00290962</v>
      </c>
      <c r="F928" t="str">
        <f t="shared" si="16"/>
        <v>33200000</v>
      </c>
      <c r="H928" t="s">
        <v>1163</v>
      </c>
      <c r="J928" s="4">
        <v>65300</v>
      </c>
    </row>
    <row r="929" spans="1:11" hidden="1" outlineLevel="2" x14ac:dyDescent="0.35">
      <c r="A929" t="s">
        <v>354</v>
      </c>
      <c r="B929" s="1">
        <v>45744</v>
      </c>
      <c r="C929" t="str">
        <f>"800"</f>
        <v>800</v>
      </c>
      <c r="D929" t="s">
        <v>1164</v>
      </c>
      <c r="E929" t="str">
        <f>"00290693"</f>
        <v>00290693</v>
      </c>
      <c r="F929" t="str">
        <f t="shared" si="16"/>
        <v>33200000</v>
      </c>
      <c r="H929" t="s">
        <v>1165</v>
      </c>
      <c r="J929" s="4">
        <v>200000</v>
      </c>
    </row>
    <row r="930" spans="1:11" hidden="1" outlineLevel="2" x14ac:dyDescent="0.35">
      <c r="A930" t="s">
        <v>354</v>
      </c>
      <c r="B930" s="1">
        <v>45744</v>
      </c>
      <c r="C930" t="str">
        <f>"801"</f>
        <v>801</v>
      </c>
      <c r="D930" t="s">
        <v>1166</v>
      </c>
      <c r="E930" t="str">
        <f>"00290694"</f>
        <v>00290694</v>
      </c>
      <c r="F930" t="str">
        <f t="shared" si="16"/>
        <v>33200000</v>
      </c>
      <c r="H930" t="s">
        <v>1167</v>
      </c>
      <c r="J930" s="4">
        <v>565000</v>
      </c>
    </row>
    <row r="931" spans="1:11" hidden="1" outlineLevel="2" x14ac:dyDescent="0.35">
      <c r="A931" t="s">
        <v>354</v>
      </c>
      <c r="B931" s="1">
        <v>45744</v>
      </c>
      <c r="C931" t="str">
        <f>"802"</f>
        <v>802</v>
      </c>
      <c r="D931" t="s">
        <v>1168</v>
      </c>
      <c r="E931" t="str">
        <f>"00290695"</f>
        <v>00290695</v>
      </c>
      <c r="F931" t="str">
        <f t="shared" si="16"/>
        <v>33200000</v>
      </c>
      <c r="H931" t="s">
        <v>1169</v>
      </c>
      <c r="J931" s="4">
        <v>1600000</v>
      </c>
    </row>
    <row r="932" spans="1:11" hidden="1" outlineLevel="2" x14ac:dyDescent="0.35">
      <c r="A932" t="s">
        <v>354</v>
      </c>
      <c r="B932" s="1">
        <v>45744</v>
      </c>
      <c r="C932" t="str">
        <f>"803"</f>
        <v>803</v>
      </c>
      <c r="D932" t="s">
        <v>1170</v>
      </c>
      <c r="E932" t="str">
        <f>"00290696"</f>
        <v>00290696</v>
      </c>
      <c r="F932" t="str">
        <f t="shared" si="16"/>
        <v>33200000</v>
      </c>
      <c r="H932" t="s">
        <v>1171</v>
      </c>
      <c r="J932" s="4">
        <v>255300</v>
      </c>
    </row>
    <row r="933" spans="1:11" hidden="1" outlineLevel="2" x14ac:dyDescent="0.35">
      <c r="A933" t="s">
        <v>354</v>
      </c>
      <c r="B933" s="1">
        <v>45744</v>
      </c>
      <c r="C933" t="str">
        <f>"804"</f>
        <v>804</v>
      </c>
      <c r="D933" t="s">
        <v>1172</v>
      </c>
      <c r="E933" t="str">
        <f>"00290697"</f>
        <v>00290697</v>
      </c>
      <c r="F933" t="str">
        <f t="shared" si="16"/>
        <v>33200000</v>
      </c>
      <c r="H933" t="s">
        <v>1173</v>
      </c>
      <c r="J933" s="4">
        <v>283500</v>
      </c>
    </row>
    <row r="934" spans="1:11" hidden="1" outlineLevel="2" x14ac:dyDescent="0.35">
      <c r="A934" t="s">
        <v>354</v>
      </c>
      <c r="B934" s="1">
        <v>45744</v>
      </c>
      <c r="C934" t="str">
        <f>"805"</f>
        <v>805</v>
      </c>
      <c r="D934" t="s">
        <v>1174</v>
      </c>
      <c r="E934" t="str">
        <f>"00290698"</f>
        <v>00290698</v>
      </c>
      <c r="F934" t="str">
        <f t="shared" si="16"/>
        <v>33200000</v>
      </c>
      <c r="H934" t="s">
        <v>1175</v>
      </c>
      <c r="J934" s="4">
        <v>146500</v>
      </c>
    </row>
    <row r="935" spans="1:11" hidden="1" outlineLevel="2" x14ac:dyDescent="0.35">
      <c r="A935" t="s">
        <v>354</v>
      </c>
      <c r="B935" s="1">
        <v>45744</v>
      </c>
      <c r="C935" t="str">
        <f>"806"</f>
        <v>806</v>
      </c>
      <c r="D935" t="s">
        <v>1176</v>
      </c>
      <c r="E935" t="str">
        <f>"00290699"</f>
        <v>00290699</v>
      </c>
      <c r="F935" t="str">
        <f t="shared" si="16"/>
        <v>33200000</v>
      </c>
      <c r="H935" t="s">
        <v>1177</v>
      </c>
      <c r="J935" s="4">
        <v>350000</v>
      </c>
    </row>
    <row r="936" spans="1:11" hidden="1" outlineLevel="2" x14ac:dyDescent="0.35">
      <c r="A936" t="s">
        <v>354</v>
      </c>
      <c r="B936" s="1">
        <v>45744</v>
      </c>
      <c r="C936" t="str">
        <f>"808"</f>
        <v>808</v>
      </c>
      <c r="D936" t="s">
        <v>1178</v>
      </c>
      <c r="E936" t="str">
        <f>"00290700"</f>
        <v>00290700</v>
      </c>
      <c r="F936" t="str">
        <f t="shared" si="16"/>
        <v>33200000</v>
      </c>
      <c r="H936" t="s">
        <v>1179</v>
      </c>
      <c r="J936" s="4">
        <v>240000</v>
      </c>
    </row>
    <row r="937" spans="1:11" hidden="1" outlineLevel="2" x14ac:dyDescent="0.35">
      <c r="A937" t="s">
        <v>26</v>
      </c>
      <c r="B937" s="1">
        <v>45717</v>
      </c>
      <c r="C937" t="str">
        <f>"149"</f>
        <v>149</v>
      </c>
      <c r="D937" t="s">
        <v>1406</v>
      </c>
      <c r="E937" t="s">
        <v>1407</v>
      </c>
      <c r="F937" t="str">
        <f t="shared" si="16"/>
        <v>33200000</v>
      </c>
      <c r="H937" t="s">
        <v>1408</v>
      </c>
      <c r="J937" s="4">
        <v>510000</v>
      </c>
    </row>
    <row r="938" spans="1:11" hidden="1" outlineLevel="2" x14ac:dyDescent="0.35">
      <c r="A938" t="s">
        <v>101</v>
      </c>
      <c r="B938" s="1">
        <v>45717</v>
      </c>
      <c r="C938" t="str">
        <f>"2"</f>
        <v>2</v>
      </c>
      <c r="F938" t="str">
        <f t="shared" si="16"/>
        <v>33200000</v>
      </c>
      <c r="H938" t="s">
        <v>2724</v>
      </c>
      <c r="J938" s="4">
        <v>-39739371</v>
      </c>
    </row>
    <row r="939" spans="1:11" hidden="1" outlineLevel="2" x14ac:dyDescent="0.35">
      <c r="A939" t="s">
        <v>101</v>
      </c>
      <c r="B939" s="1">
        <v>45717</v>
      </c>
      <c r="C939" t="str">
        <f>"7"</f>
        <v>7</v>
      </c>
      <c r="F939" t="str">
        <f t="shared" si="16"/>
        <v>33200000</v>
      </c>
      <c r="H939" t="s">
        <v>2747</v>
      </c>
      <c r="K939" s="4">
        <v>-14000000</v>
      </c>
    </row>
    <row r="940" spans="1:11" hidden="1" outlineLevel="2" x14ac:dyDescent="0.35">
      <c r="A940" t="s">
        <v>101</v>
      </c>
      <c r="B940" s="1">
        <v>45717</v>
      </c>
      <c r="C940" t="str">
        <f>"9"</f>
        <v>9</v>
      </c>
      <c r="F940" t="str">
        <f t="shared" si="16"/>
        <v>33200000</v>
      </c>
      <c r="H940" t="s">
        <v>2748</v>
      </c>
      <c r="K940" s="4">
        <v>-6000000</v>
      </c>
    </row>
    <row r="941" spans="1:11" hidden="1" outlineLevel="2" x14ac:dyDescent="0.35">
      <c r="A941" t="s">
        <v>101</v>
      </c>
      <c r="B941" s="1">
        <v>45747</v>
      </c>
      <c r="C941" t="str">
        <f>"77"</f>
        <v>77</v>
      </c>
      <c r="F941" t="str">
        <f t="shared" si="16"/>
        <v>33200000</v>
      </c>
      <c r="H941" t="s">
        <v>2926</v>
      </c>
      <c r="J941" s="4">
        <v>8680454</v>
      </c>
    </row>
    <row r="942" spans="1:11" hidden="1" outlineLevel="2" x14ac:dyDescent="0.35">
      <c r="A942" t="s">
        <v>3115</v>
      </c>
      <c r="B942" s="1">
        <v>45717</v>
      </c>
      <c r="C942" t="str">
        <f>"1170"</f>
        <v>1170</v>
      </c>
      <c r="D942" t="s">
        <v>3116</v>
      </c>
      <c r="E942" t="str">
        <f>"181173"</f>
        <v>181173</v>
      </c>
      <c r="F942" t="str">
        <f t="shared" si="16"/>
        <v>33200000</v>
      </c>
      <c r="H942" t="s">
        <v>3117</v>
      </c>
      <c r="K942" s="4">
        <v>43950</v>
      </c>
    </row>
    <row r="943" spans="1:11" hidden="1" outlineLevel="2" x14ac:dyDescent="0.35">
      <c r="A943" t="s">
        <v>3115</v>
      </c>
      <c r="B943" s="1">
        <v>45717</v>
      </c>
      <c r="C943" t="str">
        <f>"1171"</f>
        <v>1171</v>
      </c>
      <c r="D943" t="s">
        <v>3118</v>
      </c>
      <c r="E943" t="str">
        <f>"181165"</f>
        <v>181165</v>
      </c>
      <c r="F943" t="str">
        <f t="shared" si="16"/>
        <v>33200000</v>
      </c>
      <c r="H943" t="s">
        <v>3119</v>
      </c>
      <c r="K943" s="4">
        <v>33979</v>
      </c>
    </row>
    <row r="944" spans="1:11" hidden="1" outlineLevel="2" x14ac:dyDescent="0.35">
      <c r="A944" t="s">
        <v>3115</v>
      </c>
      <c r="B944" s="1">
        <v>45717</v>
      </c>
      <c r="C944" t="str">
        <f>"1172"</f>
        <v>1172</v>
      </c>
      <c r="D944" t="s">
        <v>3120</v>
      </c>
      <c r="E944" t="str">
        <f>"181196"</f>
        <v>181196</v>
      </c>
      <c r="F944" t="str">
        <f t="shared" si="16"/>
        <v>33200000</v>
      </c>
      <c r="H944" t="s">
        <v>3121</v>
      </c>
      <c r="K944" s="4">
        <v>43950</v>
      </c>
    </row>
    <row r="945" spans="1:11" hidden="1" outlineLevel="2" x14ac:dyDescent="0.35">
      <c r="A945" t="s">
        <v>3115</v>
      </c>
      <c r="B945" s="1">
        <v>45717</v>
      </c>
      <c r="C945" t="str">
        <f>"1173"</f>
        <v>1173</v>
      </c>
      <c r="D945" t="s">
        <v>3122</v>
      </c>
      <c r="E945" t="str">
        <f>"181179"</f>
        <v>181179</v>
      </c>
      <c r="F945" t="str">
        <f t="shared" si="16"/>
        <v>33200000</v>
      </c>
      <c r="H945" t="s">
        <v>3123</v>
      </c>
      <c r="K945" s="4">
        <v>43950</v>
      </c>
    </row>
    <row r="946" spans="1:11" hidden="1" outlineLevel="2" x14ac:dyDescent="0.35">
      <c r="A946" t="s">
        <v>3115</v>
      </c>
      <c r="B946" s="1">
        <v>45717</v>
      </c>
      <c r="C946" t="str">
        <f>"1174"</f>
        <v>1174</v>
      </c>
      <c r="D946" t="s">
        <v>3124</v>
      </c>
      <c r="E946" t="str">
        <f>"183406"</f>
        <v>183406</v>
      </c>
      <c r="F946" t="str">
        <f t="shared" ref="F946:F1009" si="17">"33200000"</f>
        <v>33200000</v>
      </c>
      <c r="H946" t="s">
        <v>3125</v>
      </c>
      <c r="K946" s="4">
        <v>30961</v>
      </c>
    </row>
    <row r="947" spans="1:11" hidden="1" outlineLevel="2" x14ac:dyDescent="0.35">
      <c r="A947" t="s">
        <v>3115</v>
      </c>
      <c r="B947" s="1">
        <v>45717</v>
      </c>
      <c r="C947" t="str">
        <f>"1175"</f>
        <v>1175</v>
      </c>
      <c r="D947" t="s">
        <v>3126</v>
      </c>
      <c r="E947" t="str">
        <f>"181167"</f>
        <v>181167</v>
      </c>
      <c r="F947" t="str">
        <f t="shared" si="17"/>
        <v>33200000</v>
      </c>
      <c r="H947" t="s">
        <v>3127</v>
      </c>
      <c r="K947" s="4">
        <v>22959</v>
      </c>
    </row>
    <row r="948" spans="1:11" hidden="1" outlineLevel="2" x14ac:dyDescent="0.35">
      <c r="A948" t="s">
        <v>3115</v>
      </c>
      <c r="B948" s="1">
        <v>45717</v>
      </c>
      <c r="C948" t="str">
        <f>"1176"</f>
        <v>1176</v>
      </c>
      <c r="D948" t="s">
        <v>3128</v>
      </c>
      <c r="E948" t="str">
        <f>"181190"</f>
        <v>181190</v>
      </c>
      <c r="F948" t="str">
        <f t="shared" si="17"/>
        <v>33200000</v>
      </c>
      <c r="H948" t="s">
        <v>3129</v>
      </c>
      <c r="K948" s="4">
        <v>181701</v>
      </c>
    </row>
    <row r="949" spans="1:11" hidden="1" outlineLevel="2" x14ac:dyDescent="0.35">
      <c r="A949" t="s">
        <v>3115</v>
      </c>
      <c r="B949" s="1">
        <v>45717</v>
      </c>
      <c r="C949" t="str">
        <f>"1177"</f>
        <v>1177</v>
      </c>
      <c r="D949" t="s">
        <v>3130</v>
      </c>
      <c r="E949" t="str">
        <f>"181176"</f>
        <v>181176</v>
      </c>
      <c r="F949" t="str">
        <f t="shared" si="17"/>
        <v>33200000</v>
      </c>
      <c r="H949" t="s">
        <v>3131</v>
      </c>
      <c r="K949" s="4">
        <v>40801</v>
      </c>
    </row>
    <row r="950" spans="1:11" hidden="1" outlineLevel="2" x14ac:dyDescent="0.35">
      <c r="A950" t="s">
        <v>3115</v>
      </c>
      <c r="B950" s="1">
        <v>45717</v>
      </c>
      <c r="C950" t="str">
        <f>"1178"</f>
        <v>1178</v>
      </c>
      <c r="D950" t="s">
        <v>3132</v>
      </c>
      <c r="E950" t="str">
        <f>"182309"</f>
        <v>182309</v>
      </c>
      <c r="F950" t="str">
        <f t="shared" si="17"/>
        <v>33200000</v>
      </c>
      <c r="H950" t="s">
        <v>3133</v>
      </c>
      <c r="K950" s="4">
        <v>3017</v>
      </c>
    </row>
    <row r="951" spans="1:11" hidden="1" outlineLevel="2" x14ac:dyDescent="0.35">
      <c r="A951" t="s">
        <v>3115</v>
      </c>
      <c r="B951" s="1">
        <v>45717</v>
      </c>
      <c r="C951" t="str">
        <f>"1181"</f>
        <v>1181</v>
      </c>
      <c r="D951" t="s">
        <v>3138</v>
      </c>
      <c r="E951" t="str">
        <f>"182479"</f>
        <v>182479</v>
      </c>
      <c r="F951" t="str">
        <f t="shared" si="17"/>
        <v>33200000</v>
      </c>
      <c r="H951" t="s">
        <v>3139</v>
      </c>
      <c r="K951" s="4">
        <v>850</v>
      </c>
    </row>
    <row r="952" spans="1:11" hidden="1" outlineLevel="2" x14ac:dyDescent="0.35">
      <c r="A952" t="s">
        <v>3115</v>
      </c>
      <c r="B952" s="1">
        <v>45717</v>
      </c>
      <c r="C952" t="str">
        <f>"1182"</f>
        <v>1182</v>
      </c>
      <c r="D952" t="s">
        <v>3140</v>
      </c>
      <c r="E952" t="str">
        <f>"182311"</f>
        <v>182311</v>
      </c>
      <c r="F952" t="str">
        <f t="shared" si="17"/>
        <v>33200000</v>
      </c>
      <c r="H952" t="s">
        <v>3141</v>
      </c>
      <c r="K952" s="4">
        <v>101</v>
      </c>
    </row>
    <row r="953" spans="1:11" hidden="1" outlineLevel="2" x14ac:dyDescent="0.35">
      <c r="A953" t="s">
        <v>3115</v>
      </c>
      <c r="B953" s="1">
        <v>45717</v>
      </c>
      <c r="C953" t="str">
        <f>"1186"</f>
        <v>1186</v>
      </c>
      <c r="D953" t="s">
        <v>3148</v>
      </c>
      <c r="E953" t="str">
        <f>"181182"</f>
        <v>181182</v>
      </c>
      <c r="F953" t="str">
        <f t="shared" si="17"/>
        <v>33200000</v>
      </c>
      <c r="H953" t="s">
        <v>3149</v>
      </c>
      <c r="K953" s="4">
        <v>70516</v>
      </c>
    </row>
    <row r="954" spans="1:11" hidden="1" outlineLevel="2" x14ac:dyDescent="0.35">
      <c r="A954" t="s">
        <v>3115</v>
      </c>
      <c r="B954" s="1">
        <v>45717</v>
      </c>
      <c r="C954" t="str">
        <f>"1187"</f>
        <v>1187</v>
      </c>
      <c r="D954" t="s">
        <v>3150</v>
      </c>
      <c r="E954" t="str">
        <f>"182311"</f>
        <v>182311</v>
      </c>
      <c r="F954" t="str">
        <f t="shared" si="17"/>
        <v>33200000</v>
      </c>
      <c r="H954" t="s">
        <v>3151</v>
      </c>
      <c r="K954" s="4">
        <v>328</v>
      </c>
    </row>
    <row r="955" spans="1:11" hidden="1" outlineLevel="2" x14ac:dyDescent="0.35">
      <c r="A955" t="s">
        <v>3115</v>
      </c>
      <c r="B955" s="1">
        <v>45717</v>
      </c>
      <c r="C955" t="str">
        <f>"1188"</f>
        <v>1188</v>
      </c>
      <c r="D955" t="s">
        <v>3152</v>
      </c>
      <c r="E955" t="str">
        <f>"182312"</f>
        <v>182312</v>
      </c>
      <c r="F955" t="str">
        <f t="shared" si="17"/>
        <v>33200000</v>
      </c>
      <c r="H955" t="s">
        <v>3153</v>
      </c>
      <c r="K955" s="4">
        <v>525</v>
      </c>
    </row>
    <row r="956" spans="1:11" hidden="1" outlineLevel="2" x14ac:dyDescent="0.35">
      <c r="A956" t="s">
        <v>3115</v>
      </c>
      <c r="B956" s="1">
        <v>45718</v>
      </c>
      <c r="C956" t="str">
        <f>"1154"</f>
        <v>1154</v>
      </c>
      <c r="D956" t="s">
        <v>3158</v>
      </c>
      <c r="E956" t="str">
        <f>"182482"</f>
        <v>182482</v>
      </c>
      <c r="F956" t="str">
        <f t="shared" si="17"/>
        <v>33200000</v>
      </c>
      <c r="H956" t="s">
        <v>3159</v>
      </c>
      <c r="K956" s="4">
        <v>16858</v>
      </c>
    </row>
    <row r="957" spans="1:11" hidden="1" outlineLevel="2" x14ac:dyDescent="0.35">
      <c r="A957" t="s">
        <v>3115</v>
      </c>
      <c r="B957" s="1">
        <v>45718</v>
      </c>
      <c r="C957" t="str">
        <f>"1156"</f>
        <v>1156</v>
      </c>
      <c r="D957" t="s">
        <v>3162</v>
      </c>
      <c r="E957" t="str">
        <f>"182485"</f>
        <v>182485</v>
      </c>
      <c r="F957" t="str">
        <f t="shared" si="17"/>
        <v>33200000</v>
      </c>
      <c r="H957" t="s">
        <v>3163</v>
      </c>
      <c r="K957" s="4">
        <v>224535</v>
      </c>
    </row>
    <row r="958" spans="1:11" hidden="1" outlineLevel="2" x14ac:dyDescent="0.35">
      <c r="A958" t="s">
        <v>3115</v>
      </c>
      <c r="B958" s="1">
        <v>45718</v>
      </c>
      <c r="C958" t="str">
        <f>"1158"</f>
        <v>1158</v>
      </c>
      <c r="D958" t="s">
        <v>3166</v>
      </c>
      <c r="E958" t="str">
        <f>"182485"</f>
        <v>182485</v>
      </c>
      <c r="F958" t="str">
        <f t="shared" si="17"/>
        <v>33200000</v>
      </c>
      <c r="H958" t="s">
        <v>3167</v>
      </c>
      <c r="K958" s="4">
        <v>14457</v>
      </c>
    </row>
    <row r="959" spans="1:11" hidden="1" outlineLevel="2" x14ac:dyDescent="0.35">
      <c r="A959" t="s">
        <v>3115</v>
      </c>
      <c r="B959" s="1">
        <v>45718</v>
      </c>
      <c r="C959" t="str">
        <f>"1159"</f>
        <v>1159</v>
      </c>
      <c r="D959" t="s">
        <v>3168</v>
      </c>
      <c r="E959" t="str">
        <f>"182483"</f>
        <v>182483</v>
      </c>
      <c r="F959" t="str">
        <f t="shared" si="17"/>
        <v>33200000</v>
      </c>
      <c r="H959" t="s">
        <v>3169</v>
      </c>
      <c r="K959" s="4">
        <v>130536</v>
      </c>
    </row>
    <row r="960" spans="1:11" hidden="1" outlineLevel="2" x14ac:dyDescent="0.35">
      <c r="A960" t="s">
        <v>3115</v>
      </c>
      <c r="B960" s="1">
        <v>45718</v>
      </c>
      <c r="C960" t="str">
        <f>"1160"</f>
        <v>1160</v>
      </c>
      <c r="D960" t="s">
        <v>3170</v>
      </c>
      <c r="E960" t="str">
        <f>"182486"</f>
        <v>182486</v>
      </c>
      <c r="F960" t="str">
        <f t="shared" si="17"/>
        <v>33200000</v>
      </c>
      <c r="H960" t="s">
        <v>3171</v>
      </c>
      <c r="K960" s="4">
        <v>50509</v>
      </c>
    </row>
    <row r="961" spans="1:11" hidden="1" outlineLevel="2" x14ac:dyDescent="0.35">
      <c r="A961" t="s">
        <v>3115</v>
      </c>
      <c r="B961" s="1">
        <v>45718</v>
      </c>
      <c r="C961" t="str">
        <f>"1161"</f>
        <v>1161</v>
      </c>
      <c r="D961" t="s">
        <v>3172</v>
      </c>
      <c r="E961" t="str">
        <f>"182487"</f>
        <v>182487</v>
      </c>
      <c r="F961" t="str">
        <f t="shared" si="17"/>
        <v>33200000</v>
      </c>
      <c r="H961" t="s">
        <v>3173</v>
      </c>
      <c r="K961" s="4">
        <v>2500</v>
      </c>
    </row>
    <row r="962" spans="1:11" hidden="1" outlineLevel="2" x14ac:dyDescent="0.35">
      <c r="A962" t="s">
        <v>3115</v>
      </c>
      <c r="B962" s="1">
        <v>45718</v>
      </c>
      <c r="C962" t="str">
        <f>"1162"</f>
        <v>1162</v>
      </c>
      <c r="D962" t="s">
        <v>3174</v>
      </c>
      <c r="E962" t="str">
        <f>"182488"</f>
        <v>182488</v>
      </c>
      <c r="F962" t="str">
        <f t="shared" si="17"/>
        <v>33200000</v>
      </c>
      <c r="H962" t="s">
        <v>3175</v>
      </c>
      <c r="K962" s="4">
        <v>37000</v>
      </c>
    </row>
    <row r="963" spans="1:11" hidden="1" outlineLevel="2" x14ac:dyDescent="0.35">
      <c r="A963" t="s">
        <v>3115</v>
      </c>
      <c r="B963" s="1">
        <v>45718</v>
      </c>
      <c r="C963" t="str">
        <f>"1163"</f>
        <v>1163</v>
      </c>
      <c r="D963" t="s">
        <v>3176</v>
      </c>
      <c r="E963" t="str">
        <f>"182488"</f>
        <v>182488</v>
      </c>
      <c r="F963" t="str">
        <f t="shared" si="17"/>
        <v>33200000</v>
      </c>
      <c r="H963" t="s">
        <v>3177</v>
      </c>
      <c r="K963" s="4">
        <v>1199</v>
      </c>
    </row>
    <row r="964" spans="1:11" hidden="1" outlineLevel="2" x14ac:dyDescent="0.35">
      <c r="A964" t="s">
        <v>3115</v>
      </c>
      <c r="B964" s="1">
        <v>45718</v>
      </c>
      <c r="C964" t="str">
        <f>"1164"</f>
        <v>1164</v>
      </c>
      <c r="D964" t="s">
        <v>3178</v>
      </c>
      <c r="E964" t="str">
        <f>"182489"</f>
        <v>182489</v>
      </c>
      <c r="F964" t="str">
        <f t="shared" si="17"/>
        <v>33200000</v>
      </c>
      <c r="H964" t="s">
        <v>3179</v>
      </c>
      <c r="K964" s="4">
        <v>3936</v>
      </c>
    </row>
    <row r="965" spans="1:11" hidden="1" outlineLevel="2" x14ac:dyDescent="0.35">
      <c r="A965" t="s">
        <v>3115</v>
      </c>
      <c r="B965" s="1">
        <v>45718</v>
      </c>
      <c r="C965" t="str">
        <f>"1165"</f>
        <v>1165</v>
      </c>
      <c r="D965" t="s">
        <v>3180</v>
      </c>
      <c r="E965" t="str">
        <f>"182489"</f>
        <v>182489</v>
      </c>
      <c r="F965" t="str">
        <f t="shared" si="17"/>
        <v>33200000</v>
      </c>
      <c r="H965" t="s">
        <v>3181</v>
      </c>
      <c r="K965" s="4">
        <v>10511</v>
      </c>
    </row>
    <row r="966" spans="1:11" hidden="1" outlineLevel="2" x14ac:dyDescent="0.35">
      <c r="A966" t="s">
        <v>3115</v>
      </c>
      <c r="B966" s="1">
        <v>45718</v>
      </c>
      <c r="C966" t="str">
        <f>"1166"</f>
        <v>1166</v>
      </c>
      <c r="D966" t="s">
        <v>3182</v>
      </c>
      <c r="E966" t="str">
        <f>"182313"</f>
        <v>182313</v>
      </c>
      <c r="F966" t="str">
        <f t="shared" si="17"/>
        <v>33200000</v>
      </c>
      <c r="H966" t="s">
        <v>3183</v>
      </c>
      <c r="K966" s="4">
        <v>8003</v>
      </c>
    </row>
    <row r="967" spans="1:11" hidden="1" outlineLevel="2" x14ac:dyDescent="0.35">
      <c r="A967" t="s">
        <v>3115</v>
      </c>
      <c r="B967" s="1">
        <v>45718</v>
      </c>
      <c r="C967" t="str">
        <f>"1167"</f>
        <v>1167</v>
      </c>
      <c r="D967" t="s">
        <v>3184</v>
      </c>
      <c r="E967" t="str">
        <f>"182314"</f>
        <v>182314</v>
      </c>
      <c r="F967" t="str">
        <f t="shared" si="17"/>
        <v>33200000</v>
      </c>
      <c r="H967" t="s">
        <v>3185</v>
      </c>
      <c r="K967" s="4">
        <v>6137</v>
      </c>
    </row>
    <row r="968" spans="1:11" hidden="1" outlineLevel="2" x14ac:dyDescent="0.35">
      <c r="A968" t="s">
        <v>3115</v>
      </c>
      <c r="B968" s="1">
        <v>45718</v>
      </c>
      <c r="C968" t="str">
        <f>"1168"</f>
        <v>1168</v>
      </c>
      <c r="D968" t="s">
        <v>3186</v>
      </c>
      <c r="E968" t="str">
        <f>"182314"</f>
        <v>182314</v>
      </c>
      <c r="F968" t="str">
        <f t="shared" si="17"/>
        <v>33200000</v>
      </c>
      <c r="H968" t="s">
        <v>3187</v>
      </c>
      <c r="K968" s="4">
        <v>3943</v>
      </c>
    </row>
    <row r="969" spans="1:11" hidden="1" outlineLevel="2" x14ac:dyDescent="0.35">
      <c r="A969" t="s">
        <v>3115</v>
      </c>
      <c r="B969" s="1">
        <v>45719</v>
      </c>
      <c r="C969" t="str">
        <f>"769"</f>
        <v>769</v>
      </c>
      <c r="D969" t="s">
        <v>3190</v>
      </c>
      <c r="E969" t="str">
        <f>"147254"</f>
        <v>147254</v>
      </c>
      <c r="F969" t="str">
        <f t="shared" si="17"/>
        <v>33200000</v>
      </c>
      <c r="H969" t="s">
        <v>3191</v>
      </c>
      <c r="K969" s="4">
        <v>80027</v>
      </c>
    </row>
    <row r="970" spans="1:11" hidden="1" outlineLevel="2" x14ac:dyDescent="0.35">
      <c r="A970" t="s">
        <v>3115</v>
      </c>
      <c r="B970" s="1">
        <v>45719</v>
      </c>
      <c r="C970" t="str">
        <f>"770"</f>
        <v>770</v>
      </c>
      <c r="D970" t="s">
        <v>3192</v>
      </c>
      <c r="E970" t="str">
        <f>"181234"</f>
        <v>181234</v>
      </c>
      <c r="F970" t="str">
        <f t="shared" si="17"/>
        <v>33200000</v>
      </c>
      <c r="H970" t="s">
        <v>3193</v>
      </c>
      <c r="K970" s="4">
        <v>12266</v>
      </c>
    </row>
    <row r="971" spans="1:11" hidden="1" outlineLevel="2" x14ac:dyDescent="0.35">
      <c r="A971" t="s">
        <v>3115</v>
      </c>
      <c r="B971" s="1">
        <v>45719</v>
      </c>
      <c r="C971" t="str">
        <f>"770"</f>
        <v>770</v>
      </c>
      <c r="D971" t="s">
        <v>3192</v>
      </c>
      <c r="E971" t="str">
        <f>"181234"</f>
        <v>181234</v>
      </c>
      <c r="F971" t="str">
        <f t="shared" si="17"/>
        <v>33200000</v>
      </c>
      <c r="H971" t="s">
        <v>3193</v>
      </c>
      <c r="K971" s="4">
        <v>5707</v>
      </c>
    </row>
    <row r="972" spans="1:11" hidden="1" outlineLevel="2" x14ac:dyDescent="0.35">
      <c r="A972" t="s">
        <v>3115</v>
      </c>
      <c r="B972" s="1">
        <v>45719</v>
      </c>
      <c r="C972" t="str">
        <f>"772"</f>
        <v>772</v>
      </c>
      <c r="D972" t="s">
        <v>3196</v>
      </c>
      <c r="E972" t="str">
        <f>"181233"</f>
        <v>181233</v>
      </c>
      <c r="F972" t="str">
        <f t="shared" si="17"/>
        <v>33200000</v>
      </c>
      <c r="H972" t="s">
        <v>3197</v>
      </c>
      <c r="K972" s="4">
        <v>12266</v>
      </c>
    </row>
    <row r="973" spans="1:11" hidden="1" outlineLevel="2" x14ac:dyDescent="0.35">
      <c r="A973" t="s">
        <v>3115</v>
      </c>
      <c r="B973" s="1">
        <v>45719</v>
      </c>
      <c r="C973" t="str">
        <f>"772"</f>
        <v>772</v>
      </c>
      <c r="D973" t="s">
        <v>3196</v>
      </c>
      <c r="E973" t="str">
        <f>"181233"</f>
        <v>181233</v>
      </c>
      <c r="F973" t="str">
        <f t="shared" si="17"/>
        <v>33200000</v>
      </c>
      <c r="H973" t="s">
        <v>3197</v>
      </c>
      <c r="K973" s="4">
        <v>5707</v>
      </c>
    </row>
    <row r="974" spans="1:11" hidden="1" outlineLevel="2" x14ac:dyDescent="0.35">
      <c r="A974" t="s">
        <v>3115</v>
      </c>
      <c r="B974" s="1">
        <v>45719</v>
      </c>
      <c r="C974" t="str">
        <f>"773"</f>
        <v>773</v>
      </c>
      <c r="D974" t="s">
        <v>3198</v>
      </c>
      <c r="E974" t="str">
        <f>"181231"</f>
        <v>181231</v>
      </c>
      <c r="F974" t="str">
        <f t="shared" si="17"/>
        <v>33200000</v>
      </c>
      <c r="H974" t="s">
        <v>3199</v>
      </c>
      <c r="K974" s="4">
        <v>2793</v>
      </c>
    </row>
    <row r="975" spans="1:11" hidden="1" outlineLevel="2" x14ac:dyDescent="0.35">
      <c r="A975" t="s">
        <v>3115</v>
      </c>
      <c r="B975" s="1">
        <v>45719</v>
      </c>
      <c r="C975" t="str">
        <f>"775"</f>
        <v>775</v>
      </c>
      <c r="D975" t="s">
        <v>3202</v>
      </c>
      <c r="E975" t="str">
        <f>"181189"</f>
        <v>181189</v>
      </c>
      <c r="F975" t="str">
        <f t="shared" si="17"/>
        <v>33200000</v>
      </c>
      <c r="H975" t="s">
        <v>3203</v>
      </c>
      <c r="K975" s="4">
        <v>181701</v>
      </c>
    </row>
    <row r="976" spans="1:11" hidden="1" outlineLevel="2" x14ac:dyDescent="0.35">
      <c r="A976" t="s">
        <v>3115</v>
      </c>
      <c r="B976" s="1">
        <v>45719</v>
      </c>
      <c r="C976" t="str">
        <f>"777"</f>
        <v>777</v>
      </c>
      <c r="D976" t="s">
        <v>3206</v>
      </c>
      <c r="E976" t="str">
        <f>"181183"</f>
        <v>181183</v>
      </c>
      <c r="F976" t="str">
        <f t="shared" si="17"/>
        <v>33200000</v>
      </c>
      <c r="H976" t="s">
        <v>3207</v>
      </c>
      <c r="K976" s="4">
        <v>181701</v>
      </c>
    </row>
    <row r="977" spans="1:11" hidden="1" outlineLevel="2" x14ac:dyDescent="0.35">
      <c r="A977" t="s">
        <v>3115</v>
      </c>
      <c r="B977" s="1">
        <v>45719</v>
      </c>
      <c r="C977" t="str">
        <f>"778"</f>
        <v>778</v>
      </c>
      <c r="D977" t="s">
        <v>3208</v>
      </c>
      <c r="E977" t="str">
        <f>"181199"</f>
        <v>181199</v>
      </c>
      <c r="F977" t="str">
        <f t="shared" si="17"/>
        <v>33200000</v>
      </c>
      <c r="H977" t="s">
        <v>3209</v>
      </c>
      <c r="K977" s="4">
        <v>17973</v>
      </c>
    </row>
    <row r="978" spans="1:11" hidden="1" outlineLevel="2" x14ac:dyDescent="0.35">
      <c r="A978" t="s">
        <v>3115</v>
      </c>
      <c r="B978" s="1">
        <v>45719</v>
      </c>
      <c r="C978" t="str">
        <f>"779"</f>
        <v>779</v>
      </c>
      <c r="D978" t="s">
        <v>3210</v>
      </c>
      <c r="E978" t="str">
        <f>"181193"</f>
        <v>181193</v>
      </c>
      <c r="F978" t="str">
        <f t="shared" si="17"/>
        <v>33200000</v>
      </c>
      <c r="H978" t="s">
        <v>3211</v>
      </c>
      <c r="K978" s="4">
        <v>12988</v>
      </c>
    </row>
    <row r="979" spans="1:11" hidden="1" outlineLevel="2" x14ac:dyDescent="0.35">
      <c r="A979" t="s">
        <v>3115</v>
      </c>
      <c r="B979" s="1">
        <v>45719</v>
      </c>
      <c r="C979" t="str">
        <f>"780"</f>
        <v>780</v>
      </c>
      <c r="D979" t="s">
        <v>3212</v>
      </c>
      <c r="E979" t="str">
        <f>"181192"</f>
        <v>181192</v>
      </c>
      <c r="F979" t="str">
        <f t="shared" si="17"/>
        <v>33200000</v>
      </c>
      <c r="H979" t="s">
        <v>3213</v>
      </c>
      <c r="K979" s="4">
        <v>30961</v>
      </c>
    </row>
    <row r="980" spans="1:11" hidden="1" outlineLevel="2" x14ac:dyDescent="0.35">
      <c r="A980" t="s">
        <v>3115</v>
      </c>
      <c r="B980" s="1">
        <v>45719</v>
      </c>
      <c r="C980" t="str">
        <f>"781"</f>
        <v>781</v>
      </c>
      <c r="D980" t="s">
        <v>3214</v>
      </c>
      <c r="E980" t="str">
        <f>"182015"</f>
        <v>182015</v>
      </c>
      <c r="F980" t="str">
        <f t="shared" si="17"/>
        <v>33200000</v>
      </c>
      <c r="H980" t="s">
        <v>3215</v>
      </c>
      <c r="K980" s="4">
        <v>17974</v>
      </c>
    </row>
    <row r="981" spans="1:11" hidden="1" outlineLevel="2" x14ac:dyDescent="0.35">
      <c r="A981" t="s">
        <v>3115</v>
      </c>
      <c r="B981" s="1">
        <v>45719</v>
      </c>
      <c r="C981" t="str">
        <f>"782"</f>
        <v>782</v>
      </c>
      <c r="D981" t="s">
        <v>3216</v>
      </c>
      <c r="E981" t="str">
        <f>"182073"</f>
        <v>182073</v>
      </c>
      <c r="F981" t="str">
        <f t="shared" si="17"/>
        <v>33200000</v>
      </c>
      <c r="H981" t="s">
        <v>3217</v>
      </c>
      <c r="K981" s="4">
        <v>3477</v>
      </c>
    </row>
    <row r="982" spans="1:11" hidden="1" outlineLevel="2" x14ac:dyDescent="0.35">
      <c r="A982" t="s">
        <v>3115</v>
      </c>
      <c r="B982" s="1">
        <v>45719</v>
      </c>
      <c r="C982" t="str">
        <f>"784"</f>
        <v>784</v>
      </c>
      <c r="D982" t="s">
        <v>3220</v>
      </c>
      <c r="E982" t="str">
        <f>"181235"</f>
        <v>181235</v>
      </c>
      <c r="F982" t="str">
        <f t="shared" si="17"/>
        <v>33200000</v>
      </c>
      <c r="H982" t="s">
        <v>3221</v>
      </c>
      <c r="K982" s="4">
        <v>86390</v>
      </c>
    </row>
    <row r="983" spans="1:11" hidden="1" outlineLevel="2" x14ac:dyDescent="0.35">
      <c r="A983" t="s">
        <v>3115</v>
      </c>
      <c r="B983" s="1">
        <v>45719</v>
      </c>
      <c r="C983" t="str">
        <f>"785"</f>
        <v>785</v>
      </c>
      <c r="D983" t="s">
        <v>3222</v>
      </c>
      <c r="E983" t="str">
        <f>"181837"</f>
        <v>181837</v>
      </c>
      <c r="F983" t="str">
        <f t="shared" si="17"/>
        <v>33200000</v>
      </c>
      <c r="H983" t="s">
        <v>3223</v>
      </c>
      <c r="K983" s="4">
        <v>12464</v>
      </c>
    </row>
    <row r="984" spans="1:11" hidden="1" outlineLevel="2" x14ac:dyDescent="0.35">
      <c r="A984" t="s">
        <v>3115</v>
      </c>
      <c r="B984" s="1">
        <v>45719</v>
      </c>
      <c r="C984" t="str">
        <f>"786"</f>
        <v>786</v>
      </c>
      <c r="D984" t="s">
        <v>3224</v>
      </c>
      <c r="E984" t="str">
        <f>"180947"</f>
        <v>180947</v>
      </c>
      <c r="F984" t="str">
        <f t="shared" si="17"/>
        <v>33200000</v>
      </c>
      <c r="H984" t="s">
        <v>3225</v>
      </c>
      <c r="K984" s="4">
        <v>10000</v>
      </c>
    </row>
    <row r="985" spans="1:11" hidden="1" outlineLevel="2" x14ac:dyDescent="0.35">
      <c r="A985" t="s">
        <v>3115</v>
      </c>
      <c r="B985" s="1">
        <v>45719</v>
      </c>
      <c r="C985" t="str">
        <f>"788"</f>
        <v>788</v>
      </c>
      <c r="D985" t="s">
        <v>3228</v>
      </c>
      <c r="E985" t="str">
        <f>"181236"</f>
        <v>181236</v>
      </c>
      <c r="F985" t="str">
        <f t="shared" si="17"/>
        <v>33200000</v>
      </c>
      <c r="H985" t="s">
        <v>3229</v>
      </c>
      <c r="K985" s="4">
        <v>38439</v>
      </c>
    </row>
    <row r="986" spans="1:11" hidden="1" outlineLevel="2" x14ac:dyDescent="0.35">
      <c r="A986" t="s">
        <v>3115</v>
      </c>
      <c r="B986" s="1">
        <v>45719</v>
      </c>
      <c r="C986" t="str">
        <f>"793"</f>
        <v>793</v>
      </c>
      <c r="D986" t="s">
        <v>3238</v>
      </c>
      <c r="E986" t="str">
        <f>"182495"</f>
        <v>182495</v>
      </c>
      <c r="F986" t="str">
        <f t="shared" si="17"/>
        <v>33200000</v>
      </c>
      <c r="H986" t="s">
        <v>3239</v>
      </c>
      <c r="K986" s="4">
        <v>99968</v>
      </c>
    </row>
    <row r="987" spans="1:11" hidden="1" outlineLevel="2" x14ac:dyDescent="0.35">
      <c r="A987" t="s">
        <v>3115</v>
      </c>
      <c r="B987" s="1">
        <v>45719</v>
      </c>
      <c r="C987" t="str">
        <f>"794"</f>
        <v>794</v>
      </c>
      <c r="D987" t="s">
        <v>3240</v>
      </c>
      <c r="E987" t="str">
        <f>"182496"</f>
        <v>182496</v>
      </c>
      <c r="F987" t="str">
        <f t="shared" si="17"/>
        <v>33200000</v>
      </c>
      <c r="H987" t="s">
        <v>3241</v>
      </c>
      <c r="K987" s="4">
        <v>3149</v>
      </c>
    </row>
    <row r="988" spans="1:11" hidden="1" outlineLevel="2" x14ac:dyDescent="0.35">
      <c r="A988" t="s">
        <v>3115</v>
      </c>
      <c r="B988" s="1">
        <v>45719</v>
      </c>
      <c r="C988" t="str">
        <f>"796"</f>
        <v>796</v>
      </c>
      <c r="D988" t="s">
        <v>3244</v>
      </c>
      <c r="E988" t="str">
        <f>"182497"</f>
        <v>182497</v>
      </c>
      <c r="F988" t="str">
        <f t="shared" si="17"/>
        <v>33200000</v>
      </c>
      <c r="H988" t="s">
        <v>3245</v>
      </c>
      <c r="K988" s="4">
        <v>3477</v>
      </c>
    </row>
    <row r="989" spans="1:11" hidden="1" outlineLevel="2" x14ac:dyDescent="0.35">
      <c r="A989" t="s">
        <v>3115</v>
      </c>
      <c r="B989" s="1">
        <v>45719</v>
      </c>
      <c r="C989" t="str">
        <f>"797"</f>
        <v>797</v>
      </c>
      <c r="D989" t="s">
        <v>3246</v>
      </c>
      <c r="E989" t="str">
        <f>"182497"</f>
        <v>182497</v>
      </c>
      <c r="F989" t="str">
        <f t="shared" si="17"/>
        <v>33200000</v>
      </c>
      <c r="H989" t="s">
        <v>3247</v>
      </c>
      <c r="K989" s="4">
        <v>101</v>
      </c>
    </row>
    <row r="990" spans="1:11" hidden="1" outlineLevel="2" x14ac:dyDescent="0.35">
      <c r="A990" t="s">
        <v>3115</v>
      </c>
      <c r="B990" s="1">
        <v>45719</v>
      </c>
      <c r="C990" t="str">
        <f>"798"</f>
        <v>798</v>
      </c>
      <c r="D990" t="s">
        <v>3248</v>
      </c>
      <c r="E990" t="str">
        <f>"182188"</f>
        <v>182188</v>
      </c>
      <c r="F990" t="str">
        <f t="shared" si="17"/>
        <v>33200000</v>
      </c>
      <c r="H990" t="s">
        <v>3249</v>
      </c>
      <c r="K990" s="4">
        <v>6356</v>
      </c>
    </row>
    <row r="991" spans="1:11" hidden="1" outlineLevel="2" x14ac:dyDescent="0.35">
      <c r="A991" t="s">
        <v>3115</v>
      </c>
      <c r="B991" s="1">
        <v>45719</v>
      </c>
      <c r="C991" t="str">
        <f>"804"</f>
        <v>804</v>
      </c>
      <c r="D991" t="s">
        <v>3260</v>
      </c>
      <c r="E991" t="str">
        <f>"182490"</f>
        <v>182490</v>
      </c>
      <c r="F991" t="str">
        <f t="shared" si="17"/>
        <v>33200000</v>
      </c>
      <c r="H991" t="s">
        <v>3261</v>
      </c>
      <c r="K991" s="4">
        <v>29387</v>
      </c>
    </row>
    <row r="992" spans="1:11" hidden="1" outlineLevel="2" x14ac:dyDescent="0.35">
      <c r="A992" t="s">
        <v>3115</v>
      </c>
      <c r="B992" s="1">
        <v>45719</v>
      </c>
      <c r="C992" t="str">
        <f>"805"</f>
        <v>805</v>
      </c>
      <c r="D992" t="s">
        <v>3262</v>
      </c>
      <c r="E992" t="str">
        <f>"181187"</f>
        <v>181187</v>
      </c>
      <c r="F992" t="str">
        <f t="shared" si="17"/>
        <v>33200000</v>
      </c>
      <c r="H992" t="s">
        <v>3263</v>
      </c>
      <c r="K992" s="4">
        <v>165696</v>
      </c>
    </row>
    <row r="993" spans="1:11" hidden="1" outlineLevel="2" x14ac:dyDescent="0.35">
      <c r="A993" t="s">
        <v>3115</v>
      </c>
      <c r="B993" s="1">
        <v>45719</v>
      </c>
      <c r="C993" t="str">
        <f>"806"</f>
        <v>806</v>
      </c>
      <c r="D993" t="s">
        <v>3264</v>
      </c>
      <c r="E993" t="str">
        <f>"182490"</f>
        <v>182490</v>
      </c>
      <c r="F993" t="str">
        <f t="shared" si="17"/>
        <v>33200000</v>
      </c>
      <c r="H993" t="s">
        <v>3265</v>
      </c>
      <c r="K993" s="4">
        <v>10000</v>
      </c>
    </row>
    <row r="994" spans="1:11" hidden="1" outlineLevel="2" x14ac:dyDescent="0.35">
      <c r="A994" t="s">
        <v>3115</v>
      </c>
      <c r="B994" s="1">
        <v>45719</v>
      </c>
      <c r="C994" t="str">
        <f>"807"</f>
        <v>807</v>
      </c>
      <c r="D994" t="s">
        <v>3266</v>
      </c>
      <c r="E994" t="str">
        <f>"183312"</f>
        <v>183312</v>
      </c>
      <c r="F994" t="str">
        <f t="shared" si="17"/>
        <v>33200000</v>
      </c>
      <c r="H994" t="s">
        <v>3267</v>
      </c>
      <c r="K994" s="4">
        <v>23083</v>
      </c>
    </row>
    <row r="995" spans="1:11" hidden="1" outlineLevel="2" x14ac:dyDescent="0.35">
      <c r="A995" t="s">
        <v>3115</v>
      </c>
      <c r="B995" s="1">
        <v>45719</v>
      </c>
      <c r="C995" t="str">
        <f>"810"</f>
        <v>810</v>
      </c>
      <c r="D995" t="s">
        <v>3272</v>
      </c>
      <c r="E995" t="str">
        <f>"182492"</f>
        <v>182492</v>
      </c>
      <c r="F995" t="str">
        <f t="shared" si="17"/>
        <v>33200000</v>
      </c>
      <c r="H995" t="s">
        <v>3273</v>
      </c>
      <c r="K995" s="4">
        <v>614</v>
      </c>
    </row>
    <row r="996" spans="1:11" hidden="1" outlineLevel="2" x14ac:dyDescent="0.35">
      <c r="A996" t="s">
        <v>3115</v>
      </c>
      <c r="B996" s="1">
        <v>45719</v>
      </c>
      <c r="C996" t="str">
        <f>"811"</f>
        <v>811</v>
      </c>
      <c r="D996" t="s">
        <v>3274</v>
      </c>
      <c r="E996" t="str">
        <f>"182493"</f>
        <v>182493</v>
      </c>
      <c r="F996" t="str">
        <f t="shared" si="17"/>
        <v>33200000</v>
      </c>
      <c r="H996" t="s">
        <v>3275</v>
      </c>
      <c r="K996" s="4">
        <v>159791</v>
      </c>
    </row>
    <row r="997" spans="1:11" hidden="1" outlineLevel="2" x14ac:dyDescent="0.35">
      <c r="A997" t="s">
        <v>3115</v>
      </c>
      <c r="B997" s="1">
        <v>45719</v>
      </c>
      <c r="C997" t="str">
        <f>"813"</f>
        <v>813</v>
      </c>
      <c r="D997" t="s">
        <v>3278</v>
      </c>
      <c r="E997" t="str">
        <f>"181186"</f>
        <v>181186</v>
      </c>
      <c r="F997" t="str">
        <f t="shared" si="17"/>
        <v>33200000</v>
      </c>
      <c r="H997" t="s">
        <v>3279</v>
      </c>
      <c r="K997" s="4">
        <v>165696</v>
      </c>
    </row>
    <row r="998" spans="1:11" hidden="1" outlineLevel="2" x14ac:dyDescent="0.35">
      <c r="A998" t="s">
        <v>3115</v>
      </c>
      <c r="B998" s="1">
        <v>45719</v>
      </c>
      <c r="C998" t="str">
        <f>"814"</f>
        <v>814</v>
      </c>
      <c r="D998" t="s">
        <v>3280</v>
      </c>
      <c r="E998" t="str">
        <f>"182127"</f>
        <v>182127</v>
      </c>
      <c r="F998" t="str">
        <f t="shared" si="17"/>
        <v>33200000</v>
      </c>
      <c r="H998" t="s">
        <v>3281</v>
      </c>
      <c r="K998" s="4">
        <v>2403</v>
      </c>
    </row>
    <row r="999" spans="1:11" hidden="1" outlineLevel="2" x14ac:dyDescent="0.35">
      <c r="A999" t="s">
        <v>3115</v>
      </c>
      <c r="B999" s="1">
        <v>45719</v>
      </c>
      <c r="C999" t="str">
        <f>"818"</f>
        <v>818</v>
      </c>
      <c r="D999" t="s">
        <v>3288</v>
      </c>
      <c r="E999" t="str">
        <f>"183502"</f>
        <v>183502</v>
      </c>
      <c r="F999" t="str">
        <f t="shared" si="17"/>
        <v>33200000</v>
      </c>
      <c r="H999" t="s">
        <v>3289</v>
      </c>
      <c r="K999" s="4">
        <v>93802</v>
      </c>
    </row>
    <row r="1000" spans="1:11" hidden="1" outlineLevel="2" x14ac:dyDescent="0.35">
      <c r="A1000" t="s">
        <v>3115</v>
      </c>
      <c r="B1000" s="1">
        <v>45719</v>
      </c>
      <c r="C1000" t="str">
        <f>"820"</f>
        <v>820</v>
      </c>
      <c r="D1000" t="s">
        <v>3292</v>
      </c>
      <c r="E1000" t="str">
        <f>"183501"</f>
        <v>183501</v>
      </c>
      <c r="F1000" t="str">
        <f t="shared" si="17"/>
        <v>33200000</v>
      </c>
      <c r="H1000" t="s">
        <v>3293</v>
      </c>
      <c r="K1000" s="4">
        <v>43950</v>
      </c>
    </row>
    <row r="1001" spans="1:11" hidden="1" outlineLevel="2" x14ac:dyDescent="0.35">
      <c r="A1001" t="s">
        <v>3115</v>
      </c>
      <c r="B1001" s="1">
        <v>45719</v>
      </c>
      <c r="C1001" t="str">
        <f>"821"</f>
        <v>821</v>
      </c>
      <c r="D1001" t="s">
        <v>3294</v>
      </c>
      <c r="E1001" t="str">
        <f>"181918"</f>
        <v>181918</v>
      </c>
      <c r="F1001" t="str">
        <f t="shared" si="17"/>
        <v>33200000</v>
      </c>
      <c r="H1001" t="s">
        <v>3295</v>
      </c>
      <c r="K1001" s="4">
        <v>21580</v>
      </c>
    </row>
    <row r="1002" spans="1:11" hidden="1" outlineLevel="2" x14ac:dyDescent="0.35">
      <c r="A1002" t="s">
        <v>3115</v>
      </c>
      <c r="B1002" s="1">
        <v>45719</v>
      </c>
      <c r="C1002" t="str">
        <f>"822"</f>
        <v>822</v>
      </c>
      <c r="D1002" t="s">
        <v>3296</v>
      </c>
      <c r="E1002" t="str">
        <f>"181919"</f>
        <v>181919</v>
      </c>
      <c r="F1002" t="str">
        <f t="shared" si="17"/>
        <v>33200000</v>
      </c>
      <c r="H1002" t="s">
        <v>3297</v>
      </c>
      <c r="K1002" s="4">
        <v>1050</v>
      </c>
    </row>
    <row r="1003" spans="1:11" hidden="1" outlineLevel="2" x14ac:dyDescent="0.35">
      <c r="A1003" t="s">
        <v>3115</v>
      </c>
      <c r="B1003" s="1">
        <v>45719</v>
      </c>
      <c r="C1003" t="str">
        <f>"823"</f>
        <v>823</v>
      </c>
      <c r="D1003" t="s">
        <v>3298</v>
      </c>
      <c r="E1003" t="str">
        <f>"182317"</f>
        <v>182317</v>
      </c>
      <c r="F1003" t="str">
        <f t="shared" si="17"/>
        <v>33200000</v>
      </c>
      <c r="H1003" t="s">
        <v>3299</v>
      </c>
      <c r="K1003" s="4">
        <v>3153</v>
      </c>
    </row>
    <row r="1004" spans="1:11" hidden="1" outlineLevel="2" x14ac:dyDescent="0.35">
      <c r="A1004" t="s">
        <v>3115</v>
      </c>
      <c r="B1004" s="1">
        <v>45719</v>
      </c>
      <c r="C1004" t="str">
        <f>"824"</f>
        <v>824</v>
      </c>
      <c r="D1004" t="s">
        <v>3300</v>
      </c>
      <c r="E1004" t="str">
        <f>"182315"</f>
        <v>182315</v>
      </c>
      <c r="F1004" t="str">
        <f t="shared" si="17"/>
        <v>33200000</v>
      </c>
      <c r="H1004" t="s">
        <v>3301</v>
      </c>
      <c r="K1004" s="4">
        <v>701</v>
      </c>
    </row>
    <row r="1005" spans="1:11" hidden="1" outlineLevel="2" x14ac:dyDescent="0.35">
      <c r="A1005" t="s">
        <v>3115</v>
      </c>
      <c r="B1005" s="1">
        <v>45719</v>
      </c>
      <c r="C1005" t="str">
        <f>"825"</f>
        <v>825</v>
      </c>
      <c r="D1005" t="s">
        <v>3302</v>
      </c>
      <c r="E1005" t="str">
        <f>"182315"</f>
        <v>182315</v>
      </c>
      <c r="F1005" t="str">
        <f t="shared" si="17"/>
        <v>33200000</v>
      </c>
      <c r="H1005" t="s">
        <v>3303</v>
      </c>
      <c r="K1005" s="4">
        <v>3411</v>
      </c>
    </row>
    <row r="1006" spans="1:11" hidden="1" outlineLevel="2" x14ac:dyDescent="0.35">
      <c r="A1006" t="s">
        <v>3115</v>
      </c>
      <c r="B1006" s="1">
        <v>45719</v>
      </c>
      <c r="C1006" t="str">
        <f>"827"</f>
        <v>827</v>
      </c>
      <c r="D1006" t="s">
        <v>3306</v>
      </c>
      <c r="E1006" t="str">
        <f>"182316"</f>
        <v>182316</v>
      </c>
      <c r="F1006" t="str">
        <f t="shared" si="17"/>
        <v>33200000</v>
      </c>
      <c r="H1006" t="s">
        <v>3307</v>
      </c>
      <c r="K1006" s="4">
        <v>656</v>
      </c>
    </row>
    <row r="1007" spans="1:11" hidden="1" outlineLevel="2" x14ac:dyDescent="0.35">
      <c r="A1007" t="s">
        <v>3115</v>
      </c>
      <c r="B1007" s="1">
        <v>45719</v>
      </c>
      <c r="C1007" t="str">
        <f>"828"</f>
        <v>828</v>
      </c>
      <c r="D1007" t="s">
        <v>3308</v>
      </c>
      <c r="E1007" t="str">
        <f>"182318"</f>
        <v>182318</v>
      </c>
      <c r="F1007" t="str">
        <f t="shared" si="17"/>
        <v>33200000</v>
      </c>
      <c r="H1007" t="s">
        <v>3309</v>
      </c>
      <c r="K1007" s="4">
        <v>1443</v>
      </c>
    </row>
    <row r="1008" spans="1:11" hidden="1" outlineLevel="2" x14ac:dyDescent="0.35">
      <c r="A1008" t="s">
        <v>3115</v>
      </c>
      <c r="B1008" s="1">
        <v>45719</v>
      </c>
      <c r="C1008" t="str">
        <f>"830"</f>
        <v>830</v>
      </c>
      <c r="D1008" t="s">
        <v>3312</v>
      </c>
      <c r="E1008" t="str">
        <f>"182319"</f>
        <v>182319</v>
      </c>
      <c r="F1008" t="str">
        <f t="shared" si="17"/>
        <v>33200000</v>
      </c>
      <c r="H1008" t="s">
        <v>3313</v>
      </c>
      <c r="K1008" s="4">
        <v>1968</v>
      </c>
    </row>
    <row r="1009" spans="1:11" hidden="1" outlineLevel="2" x14ac:dyDescent="0.35">
      <c r="A1009" t="s">
        <v>3115</v>
      </c>
      <c r="B1009" s="1">
        <v>45719</v>
      </c>
      <c r="C1009" t="str">
        <f>"831"</f>
        <v>831</v>
      </c>
      <c r="D1009" t="s">
        <v>3314</v>
      </c>
      <c r="E1009" t="str">
        <f>"182319"</f>
        <v>182319</v>
      </c>
      <c r="F1009" t="str">
        <f t="shared" si="17"/>
        <v>33200000</v>
      </c>
      <c r="H1009" t="s">
        <v>3315</v>
      </c>
      <c r="K1009" s="4">
        <v>797</v>
      </c>
    </row>
    <row r="1010" spans="1:11" hidden="1" outlineLevel="2" x14ac:dyDescent="0.35">
      <c r="A1010" t="s">
        <v>3115</v>
      </c>
      <c r="B1010" s="1">
        <v>45719</v>
      </c>
      <c r="C1010" t="str">
        <f>"832"</f>
        <v>832</v>
      </c>
      <c r="D1010" t="s">
        <v>3316</v>
      </c>
      <c r="E1010" t="str">
        <f>"182320"</f>
        <v>182320</v>
      </c>
      <c r="F1010" t="str">
        <f t="shared" ref="F1010:F1073" si="18">"33200000"</f>
        <v>33200000</v>
      </c>
      <c r="H1010" t="s">
        <v>3317</v>
      </c>
      <c r="K1010" s="4">
        <v>3936</v>
      </c>
    </row>
    <row r="1011" spans="1:11" hidden="1" outlineLevel="2" x14ac:dyDescent="0.35">
      <c r="A1011" t="s">
        <v>3115</v>
      </c>
      <c r="B1011" s="1">
        <v>45720</v>
      </c>
      <c r="C1011" t="str">
        <f>"840"</f>
        <v>840</v>
      </c>
      <c r="D1011" t="s">
        <v>3332</v>
      </c>
      <c r="E1011" t="str">
        <f>"147256"</f>
        <v>147256</v>
      </c>
      <c r="F1011" t="str">
        <f t="shared" si="18"/>
        <v>33200000</v>
      </c>
      <c r="H1011" t="s">
        <v>3333</v>
      </c>
      <c r="K1011" s="4">
        <v>80027</v>
      </c>
    </row>
    <row r="1012" spans="1:11" hidden="1" outlineLevel="2" x14ac:dyDescent="0.35">
      <c r="A1012" t="s">
        <v>3115</v>
      </c>
      <c r="B1012" s="1">
        <v>45720</v>
      </c>
      <c r="C1012" t="str">
        <f>"841"</f>
        <v>841</v>
      </c>
      <c r="D1012" t="s">
        <v>3334</v>
      </c>
      <c r="E1012" t="str">
        <f>"170685"</f>
        <v>170685</v>
      </c>
      <c r="F1012" t="str">
        <f t="shared" si="18"/>
        <v>33200000</v>
      </c>
      <c r="H1012" t="s">
        <v>3335</v>
      </c>
      <c r="K1012" s="4">
        <v>3178</v>
      </c>
    </row>
    <row r="1013" spans="1:11" hidden="1" outlineLevel="2" x14ac:dyDescent="0.35">
      <c r="A1013" t="s">
        <v>3115</v>
      </c>
      <c r="B1013" s="1">
        <v>45720</v>
      </c>
      <c r="C1013" t="str">
        <f>"844"</f>
        <v>844</v>
      </c>
      <c r="D1013" t="s">
        <v>3340</v>
      </c>
      <c r="E1013" t="str">
        <f>"181237"</f>
        <v>181237</v>
      </c>
      <c r="F1013" t="str">
        <f t="shared" si="18"/>
        <v>33200000</v>
      </c>
      <c r="H1013" t="s">
        <v>3341</v>
      </c>
      <c r="K1013" s="4">
        <v>262</v>
      </c>
    </row>
    <row r="1014" spans="1:11" hidden="1" outlineLevel="2" x14ac:dyDescent="0.35">
      <c r="A1014" t="s">
        <v>3115</v>
      </c>
      <c r="B1014" s="1">
        <v>45720</v>
      </c>
      <c r="C1014" t="str">
        <f>"845"</f>
        <v>845</v>
      </c>
      <c r="D1014" t="s">
        <v>3342</v>
      </c>
      <c r="E1014" t="str">
        <f>"183407"</f>
        <v>183407</v>
      </c>
      <c r="F1014" t="str">
        <f t="shared" si="18"/>
        <v>33200000</v>
      </c>
      <c r="H1014" t="s">
        <v>3343</v>
      </c>
      <c r="K1014" s="4">
        <v>17973</v>
      </c>
    </row>
    <row r="1015" spans="1:11" hidden="1" outlineLevel="2" x14ac:dyDescent="0.35">
      <c r="A1015" t="s">
        <v>3115</v>
      </c>
      <c r="B1015" s="1">
        <v>45720</v>
      </c>
      <c r="C1015" t="str">
        <f>"848"</f>
        <v>848</v>
      </c>
      <c r="D1015" t="s">
        <v>3348</v>
      </c>
      <c r="E1015" t="str">
        <f>"180183"</f>
        <v>180183</v>
      </c>
      <c r="F1015" t="str">
        <f t="shared" si="18"/>
        <v>33200000</v>
      </c>
      <c r="H1015" t="s">
        <v>3349</v>
      </c>
      <c r="K1015" s="4">
        <v>219451</v>
      </c>
    </row>
    <row r="1016" spans="1:11" hidden="1" outlineLevel="2" x14ac:dyDescent="0.35">
      <c r="A1016" t="s">
        <v>3115</v>
      </c>
      <c r="B1016" s="1">
        <v>45720</v>
      </c>
      <c r="C1016" t="str">
        <f>"851"</f>
        <v>851</v>
      </c>
      <c r="D1016" t="s">
        <v>3354</v>
      </c>
      <c r="E1016" t="str">
        <f>"180177"</f>
        <v>180177</v>
      </c>
      <c r="F1016" t="str">
        <f t="shared" si="18"/>
        <v>33200000</v>
      </c>
      <c r="H1016" t="s">
        <v>3355</v>
      </c>
      <c r="K1016" s="4">
        <v>219455</v>
      </c>
    </row>
    <row r="1017" spans="1:11" hidden="1" outlineLevel="2" x14ac:dyDescent="0.35">
      <c r="A1017" t="s">
        <v>3115</v>
      </c>
      <c r="B1017" s="1">
        <v>45720</v>
      </c>
      <c r="C1017" t="str">
        <f>"853"</f>
        <v>853</v>
      </c>
      <c r="D1017" t="s">
        <v>3358</v>
      </c>
      <c r="E1017" t="str">
        <f>"162585"</f>
        <v>162585</v>
      </c>
      <c r="F1017" t="str">
        <f t="shared" si="18"/>
        <v>33200000</v>
      </c>
      <c r="H1017" t="s">
        <v>3359</v>
      </c>
      <c r="K1017" s="4">
        <v>1985000</v>
      </c>
    </row>
    <row r="1018" spans="1:11" hidden="1" outlineLevel="2" x14ac:dyDescent="0.35">
      <c r="A1018" t="s">
        <v>3115</v>
      </c>
      <c r="B1018" s="1">
        <v>45720</v>
      </c>
      <c r="C1018" t="str">
        <f>"854"</f>
        <v>854</v>
      </c>
      <c r="D1018" t="s">
        <v>3360</v>
      </c>
      <c r="E1018" t="str">
        <f>"180175"</f>
        <v>180175</v>
      </c>
      <c r="F1018" t="str">
        <f t="shared" si="18"/>
        <v>33200000</v>
      </c>
      <c r="H1018" t="s">
        <v>3361</v>
      </c>
      <c r="K1018" s="4">
        <v>546894</v>
      </c>
    </row>
    <row r="1019" spans="1:11" hidden="1" outlineLevel="2" x14ac:dyDescent="0.35">
      <c r="A1019" t="s">
        <v>3115</v>
      </c>
      <c r="B1019" s="1">
        <v>45720</v>
      </c>
      <c r="C1019" t="str">
        <f>"856"</f>
        <v>856</v>
      </c>
      <c r="D1019" t="s">
        <v>3364</v>
      </c>
      <c r="E1019" t="str">
        <f>"180185"</f>
        <v>180185</v>
      </c>
      <c r="F1019" t="str">
        <f t="shared" si="18"/>
        <v>33200000</v>
      </c>
      <c r="H1019" t="s">
        <v>3365</v>
      </c>
      <c r="K1019" s="4">
        <v>20740</v>
      </c>
    </row>
    <row r="1020" spans="1:11" hidden="1" outlineLevel="2" x14ac:dyDescent="0.35">
      <c r="A1020" t="s">
        <v>3115</v>
      </c>
      <c r="B1020" s="1">
        <v>45720</v>
      </c>
      <c r="C1020" t="str">
        <f>"858"</f>
        <v>858</v>
      </c>
      <c r="D1020" t="s">
        <v>3368</v>
      </c>
      <c r="E1020" t="str">
        <f>"180182"</f>
        <v>180182</v>
      </c>
      <c r="F1020" t="str">
        <f t="shared" si="18"/>
        <v>33200000</v>
      </c>
      <c r="H1020" t="s">
        <v>3369</v>
      </c>
      <c r="K1020" s="4">
        <v>113378</v>
      </c>
    </row>
    <row r="1021" spans="1:11" hidden="1" outlineLevel="2" x14ac:dyDescent="0.35">
      <c r="A1021" t="s">
        <v>3115</v>
      </c>
      <c r="B1021" s="1">
        <v>45720</v>
      </c>
      <c r="C1021" t="str">
        <f>"859"</f>
        <v>859</v>
      </c>
      <c r="D1021" t="s">
        <v>3370</v>
      </c>
      <c r="E1021" t="str">
        <f>"179578"</f>
        <v>179578</v>
      </c>
      <c r="F1021" t="str">
        <f t="shared" si="18"/>
        <v>33200000</v>
      </c>
      <c r="H1021" t="s">
        <v>3371</v>
      </c>
      <c r="K1021" s="4">
        <v>182000</v>
      </c>
    </row>
    <row r="1022" spans="1:11" hidden="1" outlineLevel="2" x14ac:dyDescent="0.35">
      <c r="A1022" t="s">
        <v>3115</v>
      </c>
      <c r="B1022" s="1">
        <v>45720</v>
      </c>
      <c r="C1022" t="str">
        <f>"860"</f>
        <v>860</v>
      </c>
      <c r="D1022" t="s">
        <v>3372</v>
      </c>
      <c r="E1022" t="str">
        <f>"180170"</f>
        <v>180170</v>
      </c>
      <c r="F1022" t="str">
        <f t="shared" si="18"/>
        <v>33200000</v>
      </c>
      <c r="H1022" t="s">
        <v>3373</v>
      </c>
      <c r="K1022" s="4">
        <v>536722</v>
      </c>
    </row>
    <row r="1023" spans="1:11" hidden="1" outlineLevel="2" x14ac:dyDescent="0.35">
      <c r="A1023" t="s">
        <v>3115</v>
      </c>
      <c r="B1023" s="1">
        <v>45720</v>
      </c>
      <c r="C1023" t="str">
        <f>"861"</f>
        <v>861</v>
      </c>
      <c r="D1023" t="s">
        <v>3374</v>
      </c>
      <c r="E1023" t="str">
        <f>"179793"</f>
        <v>179793</v>
      </c>
      <c r="F1023" t="str">
        <f t="shared" si="18"/>
        <v>33200000</v>
      </c>
      <c r="H1023" t="s">
        <v>3375</v>
      </c>
      <c r="K1023" s="4">
        <v>111096</v>
      </c>
    </row>
    <row r="1024" spans="1:11" hidden="1" outlineLevel="2" x14ac:dyDescent="0.35">
      <c r="A1024" t="s">
        <v>3115</v>
      </c>
      <c r="B1024" s="1">
        <v>45720</v>
      </c>
      <c r="C1024" t="str">
        <f>"862"</f>
        <v>862</v>
      </c>
      <c r="D1024" t="s">
        <v>3376</v>
      </c>
      <c r="E1024" t="str">
        <f>"180178"</f>
        <v>180178</v>
      </c>
      <c r="F1024" t="str">
        <f t="shared" si="18"/>
        <v>33200000</v>
      </c>
      <c r="H1024" t="s">
        <v>3377</v>
      </c>
      <c r="K1024" s="4">
        <v>125850</v>
      </c>
    </row>
    <row r="1025" spans="1:11" hidden="1" outlineLevel="2" x14ac:dyDescent="0.35">
      <c r="A1025" t="s">
        <v>3115</v>
      </c>
      <c r="B1025" s="1">
        <v>45720</v>
      </c>
      <c r="C1025" t="str">
        <f>"863"</f>
        <v>863</v>
      </c>
      <c r="D1025" t="s">
        <v>3378</v>
      </c>
      <c r="E1025" t="str">
        <f>"180184"</f>
        <v>180184</v>
      </c>
      <c r="F1025" t="str">
        <f t="shared" si="18"/>
        <v>33200000</v>
      </c>
      <c r="H1025" t="s">
        <v>3379</v>
      </c>
      <c r="K1025" s="4">
        <v>545059</v>
      </c>
    </row>
    <row r="1026" spans="1:11" hidden="1" outlineLevel="2" x14ac:dyDescent="0.35">
      <c r="A1026" t="s">
        <v>3115</v>
      </c>
      <c r="B1026" s="1">
        <v>45720</v>
      </c>
      <c r="C1026" t="str">
        <f>"864"</f>
        <v>864</v>
      </c>
      <c r="D1026" t="s">
        <v>3380</v>
      </c>
      <c r="E1026" t="str">
        <f>"180186"</f>
        <v>180186</v>
      </c>
      <c r="F1026" t="str">
        <f t="shared" si="18"/>
        <v>33200000</v>
      </c>
      <c r="H1026" t="s">
        <v>3381</v>
      </c>
      <c r="K1026" s="4">
        <v>37537</v>
      </c>
    </row>
    <row r="1027" spans="1:11" hidden="1" outlineLevel="2" x14ac:dyDescent="0.35">
      <c r="A1027" t="s">
        <v>3115</v>
      </c>
      <c r="B1027" s="1">
        <v>45720</v>
      </c>
      <c r="C1027" t="str">
        <f>"865"</f>
        <v>865</v>
      </c>
      <c r="D1027" t="s">
        <v>3382</v>
      </c>
      <c r="E1027" t="str">
        <f>"181888"</f>
        <v>181888</v>
      </c>
      <c r="F1027" t="str">
        <f t="shared" si="18"/>
        <v>33200000</v>
      </c>
      <c r="H1027" t="s">
        <v>3383</v>
      </c>
      <c r="K1027" s="4">
        <v>143000</v>
      </c>
    </row>
    <row r="1028" spans="1:11" hidden="1" outlineLevel="2" x14ac:dyDescent="0.35">
      <c r="A1028" t="s">
        <v>3115</v>
      </c>
      <c r="B1028" s="1">
        <v>45720</v>
      </c>
      <c r="C1028" t="str">
        <f>"866"</f>
        <v>866</v>
      </c>
      <c r="D1028" t="s">
        <v>3384</v>
      </c>
      <c r="E1028" t="str">
        <f>"181994"</f>
        <v>181994</v>
      </c>
      <c r="F1028" t="str">
        <f t="shared" si="18"/>
        <v>33200000</v>
      </c>
      <c r="H1028" t="s">
        <v>3385</v>
      </c>
      <c r="K1028" s="4">
        <v>240500</v>
      </c>
    </row>
    <row r="1029" spans="1:11" hidden="1" outlineLevel="2" x14ac:dyDescent="0.35">
      <c r="A1029" t="s">
        <v>3115</v>
      </c>
      <c r="B1029" s="1">
        <v>45720</v>
      </c>
      <c r="C1029" t="str">
        <f>"867"</f>
        <v>867</v>
      </c>
      <c r="D1029" t="s">
        <v>3386</v>
      </c>
      <c r="E1029" t="str">
        <f>"181880"</f>
        <v>181880</v>
      </c>
      <c r="F1029" t="str">
        <f t="shared" si="18"/>
        <v>33200000</v>
      </c>
      <c r="H1029" t="s">
        <v>3387</v>
      </c>
      <c r="K1029" s="4">
        <v>106003</v>
      </c>
    </row>
    <row r="1030" spans="1:11" hidden="1" outlineLevel="2" x14ac:dyDescent="0.35">
      <c r="A1030" t="s">
        <v>3115</v>
      </c>
      <c r="B1030" s="1">
        <v>45720</v>
      </c>
      <c r="C1030" t="str">
        <f>"868"</f>
        <v>868</v>
      </c>
      <c r="D1030" t="s">
        <v>3388</v>
      </c>
      <c r="E1030" t="str">
        <f>"180188"</f>
        <v>180188</v>
      </c>
      <c r="F1030" t="str">
        <f t="shared" si="18"/>
        <v>33200000</v>
      </c>
      <c r="H1030" t="s">
        <v>3389</v>
      </c>
      <c r="K1030" s="4">
        <v>14421</v>
      </c>
    </row>
    <row r="1031" spans="1:11" hidden="1" outlineLevel="2" x14ac:dyDescent="0.35">
      <c r="A1031" t="s">
        <v>3115</v>
      </c>
      <c r="B1031" s="1">
        <v>45720</v>
      </c>
      <c r="C1031" t="str">
        <f>"869"</f>
        <v>869</v>
      </c>
      <c r="D1031" t="s">
        <v>3390</v>
      </c>
      <c r="E1031" t="str">
        <f>"183453"</f>
        <v>183453</v>
      </c>
      <c r="F1031" t="str">
        <f t="shared" si="18"/>
        <v>33200000</v>
      </c>
      <c r="H1031" t="s">
        <v>3391</v>
      </c>
      <c r="K1031" s="4">
        <v>1546</v>
      </c>
    </row>
    <row r="1032" spans="1:11" hidden="1" outlineLevel="2" x14ac:dyDescent="0.35">
      <c r="A1032" t="s">
        <v>3115</v>
      </c>
      <c r="B1032" s="1">
        <v>45720</v>
      </c>
      <c r="C1032" t="str">
        <f>"870"</f>
        <v>870</v>
      </c>
      <c r="D1032" t="s">
        <v>3392</v>
      </c>
      <c r="E1032" t="str">
        <f>"183452"</f>
        <v>183452</v>
      </c>
      <c r="F1032" t="str">
        <f t="shared" si="18"/>
        <v>33200000</v>
      </c>
      <c r="H1032" t="s">
        <v>3393</v>
      </c>
      <c r="K1032" s="4">
        <v>63273</v>
      </c>
    </row>
    <row r="1033" spans="1:11" hidden="1" outlineLevel="2" x14ac:dyDescent="0.35">
      <c r="A1033" t="s">
        <v>3115</v>
      </c>
      <c r="B1033" s="1">
        <v>45720</v>
      </c>
      <c r="C1033" t="str">
        <f>"871"</f>
        <v>871</v>
      </c>
      <c r="D1033" t="s">
        <v>3394</v>
      </c>
      <c r="E1033" t="str">
        <f>"183455"</f>
        <v>183455</v>
      </c>
      <c r="F1033" t="str">
        <f t="shared" si="18"/>
        <v>33200000</v>
      </c>
      <c r="H1033" t="s">
        <v>3395</v>
      </c>
      <c r="K1033" s="4">
        <v>3218</v>
      </c>
    </row>
    <row r="1034" spans="1:11" hidden="1" outlineLevel="2" x14ac:dyDescent="0.35">
      <c r="A1034" t="s">
        <v>3115</v>
      </c>
      <c r="B1034" s="1">
        <v>45720</v>
      </c>
      <c r="C1034" t="str">
        <f>"874"</f>
        <v>874</v>
      </c>
      <c r="D1034" t="s">
        <v>3400</v>
      </c>
      <c r="E1034" t="str">
        <f>"183273"</f>
        <v>183273</v>
      </c>
      <c r="F1034" t="str">
        <f t="shared" si="18"/>
        <v>33200000</v>
      </c>
      <c r="H1034" t="s">
        <v>3401</v>
      </c>
      <c r="K1034" s="4">
        <v>3936</v>
      </c>
    </row>
    <row r="1035" spans="1:11" hidden="1" outlineLevel="2" x14ac:dyDescent="0.35">
      <c r="A1035" t="s">
        <v>3115</v>
      </c>
      <c r="B1035" s="1">
        <v>45720</v>
      </c>
      <c r="C1035" t="str">
        <f>"875"</f>
        <v>875</v>
      </c>
      <c r="D1035" t="s">
        <v>3402</v>
      </c>
      <c r="E1035" t="str">
        <f>"183272"</f>
        <v>183272</v>
      </c>
      <c r="F1035" t="str">
        <f t="shared" si="18"/>
        <v>33200000</v>
      </c>
      <c r="H1035" t="s">
        <v>3403</v>
      </c>
      <c r="K1035" s="4">
        <v>1574</v>
      </c>
    </row>
    <row r="1036" spans="1:11" hidden="1" outlineLevel="2" x14ac:dyDescent="0.35">
      <c r="A1036" t="s">
        <v>3115</v>
      </c>
      <c r="B1036" s="1">
        <v>45720</v>
      </c>
      <c r="C1036" t="str">
        <f>"876"</f>
        <v>876</v>
      </c>
      <c r="D1036" t="s">
        <v>3404</v>
      </c>
      <c r="E1036" t="str">
        <f>"183269"</f>
        <v>183269</v>
      </c>
      <c r="F1036" t="str">
        <f t="shared" si="18"/>
        <v>33200000</v>
      </c>
      <c r="H1036" t="s">
        <v>3405</v>
      </c>
      <c r="K1036" s="4">
        <v>2165</v>
      </c>
    </row>
    <row r="1037" spans="1:11" hidden="1" outlineLevel="2" x14ac:dyDescent="0.35">
      <c r="A1037" t="s">
        <v>3115</v>
      </c>
      <c r="B1037" s="1">
        <v>45720</v>
      </c>
      <c r="C1037" t="str">
        <f>"877"</f>
        <v>877</v>
      </c>
      <c r="D1037" t="s">
        <v>3406</v>
      </c>
      <c r="E1037" t="str">
        <f>"181921"</f>
        <v>181921</v>
      </c>
      <c r="F1037" t="str">
        <f t="shared" si="18"/>
        <v>33200000</v>
      </c>
      <c r="H1037" t="s">
        <v>3407</v>
      </c>
      <c r="K1037" s="4">
        <v>6232</v>
      </c>
    </row>
    <row r="1038" spans="1:11" hidden="1" outlineLevel="2" x14ac:dyDescent="0.35">
      <c r="A1038" t="s">
        <v>3115</v>
      </c>
      <c r="B1038" s="1">
        <v>45720</v>
      </c>
      <c r="C1038" t="str">
        <f>"878"</f>
        <v>878</v>
      </c>
      <c r="D1038" t="s">
        <v>3408</v>
      </c>
      <c r="E1038" t="str">
        <f>"177505"</f>
        <v>177505</v>
      </c>
      <c r="F1038" t="str">
        <f t="shared" si="18"/>
        <v>33200000</v>
      </c>
      <c r="H1038" t="s">
        <v>3409</v>
      </c>
      <c r="K1038" s="4">
        <v>3400</v>
      </c>
    </row>
    <row r="1039" spans="1:11" hidden="1" outlineLevel="2" x14ac:dyDescent="0.35">
      <c r="A1039" t="s">
        <v>3115</v>
      </c>
      <c r="B1039" s="1">
        <v>45720</v>
      </c>
      <c r="C1039" t="str">
        <f>"879"</f>
        <v>879</v>
      </c>
      <c r="D1039" t="s">
        <v>3410</v>
      </c>
      <c r="E1039" t="str">
        <f>"177506"</f>
        <v>177506</v>
      </c>
      <c r="F1039" t="str">
        <f t="shared" si="18"/>
        <v>33200000</v>
      </c>
      <c r="H1039" t="s">
        <v>3411</v>
      </c>
      <c r="K1039" s="4">
        <v>3149</v>
      </c>
    </row>
    <row r="1040" spans="1:11" hidden="1" outlineLevel="2" x14ac:dyDescent="0.35">
      <c r="A1040" t="s">
        <v>3115</v>
      </c>
      <c r="B1040" s="1">
        <v>45720</v>
      </c>
      <c r="C1040" t="str">
        <f>"880"</f>
        <v>880</v>
      </c>
      <c r="D1040" t="s">
        <v>3412</v>
      </c>
      <c r="E1040" t="str">
        <f>"177506"</f>
        <v>177506</v>
      </c>
      <c r="F1040" t="str">
        <f t="shared" si="18"/>
        <v>33200000</v>
      </c>
      <c r="H1040" t="s">
        <v>3413</v>
      </c>
      <c r="K1040" s="4">
        <v>499</v>
      </c>
    </row>
    <row r="1041" spans="1:11" hidden="1" outlineLevel="2" x14ac:dyDescent="0.35">
      <c r="A1041" t="s">
        <v>3115</v>
      </c>
      <c r="B1041" s="1">
        <v>45720</v>
      </c>
      <c r="C1041" t="str">
        <f>"881"</f>
        <v>881</v>
      </c>
      <c r="D1041" t="s">
        <v>3414</v>
      </c>
      <c r="E1041" t="str">
        <f>"182011"</f>
        <v>182011</v>
      </c>
      <c r="F1041" t="str">
        <f t="shared" si="18"/>
        <v>33200000</v>
      </c>
      <c r="H1041" t="s">
        <v>3415</v>
      </c>
      <c r="K1041" s="4">
        <v>3542</v>
      </c>
    </row>
    <row r="1042" spans="1:11" hidden="1" outlineLevel="2" x14ac:dyDescent="0.35">
      <c r="A1042" t="s">
        <v>3115</v>
      </c>
      <c r="B1042" s="1">
        <v>45720</v>
      </c>
      <c r="C1042" t="str">
        <f>"882"</f>
        <v>882</v>
      </c>
      <c r="D1042" t="s">
        <v>3416</v>
      </c>
      <c r="F1042" t="str">
        <f t="shared" si="18"/>
        <v>33200000</v>
      </c>
      <c r="H1042" t="s">
        <v>3417</v>
      </c>
      <c r="K1042" s="4">
        <v>6954</v>
      </c>
    </row>
    <row r="1043" spans="1:11" hidden="1" outlineLevel="2" x14ac:dyDescent="0.35">
      <c r="A1043" t="s">
        <v>3115</v>
      </c>
      <c r="B1043" s="1">
        <v>45720</v>
      </c>
      <c r="C1043" t="str">
        <f>"883"</f>
        <v>883</v>
      </c>
      <c r="D1043" t="s">
        <v>3418</v>
      </c>
      <c r="E1043" t="str">
        <f>"177507"</f>
        <v>177507</v>
      </c>
      <c r="F1043" t="str">
        <f t="shared" si="18"/>
        <v>33200000</v>
      </c>
      <c r="H1043" t="s">
        <v>3419</v>
      </c>
      <c r="K1043" s="4">
        <v>3059</v>
      </c>
    </row>
    <row r="1044" spans="1:11" hidden="1" outlineLevel="2" x14ac:dyDescent="0.35">
      <c r="A1044" t="s">
        <v>3115</v>
      </c>
      <c r="B1044" s="1">
        <v>45720</v>
      </c>
      <c r="C1044" t="str">
        <f>"884"</f>
        <v>884</v>
      </c>
      <c r="D1044" t="s">
        <v>3420</v>
      </c>
      <c r="E1044" t="str">
        <f>"182012"</f>
        <v>182012</v>
      </c>
      <c r="F1044" t="str">
        <f t="shared" si="18"/>
        <v>33200000</v>
      </c>
      <c r="H1044" t="s">
        <v>3421</v>
      </c>
      <c r="K1044" s="4">
        <v>6035</v>
      </c>
    </row>
    <row r="1045" spans="1:11" hidden="1" outlineLevel="2" x14ac:dyDescent="0.35">
      <c r="A1045" t="s">
        <v>3115</v>
      </c>
      <c r="B1045" s="1">
        <v>45720</v>
      </c>
      <c r="C1045" t="str">
        <f>"885"</f>
        <v>885</v>
      </c>
      <c r="D1045" t="s">
        <v>3422</v>
      </c>
      <c r="E1045" t="str">
        <f>"183274"</f>
        <v>183274</v>
      </c>
      <c r="F1045" t="str">
        <f t="shared" si="18"/>
        <v>33200000</v>
      </c>
      <c r="H1045" t="s">
        <v>3423</v>
      </c>
      <c r="K1045" s="4">
        <v>2230</v>
      </c>
    </row>
    <row r="1046" spans="1:11" hidden="1" outlineLevel="2" x14ac:dyDescent="0.35">
      <c r="A1046" t="s">
        <v>3115</v>
      </c>
      <c r="B1046" s="1">
        <v>45720</v>
      </c>
      <c r="C1046" t="str">
        <f>"887"</f>
        <v>887</v>
      </c>
      <c r="D1046" t="s">
        <v>3426</v>
      </c>
      <c r="E1046" t="str">
        <f>"182013"</f>
        <v>182013</v>
      </c>
      <c r="F1046" t="str">
        <f t="shared" si="18"/>
        <v>33200000</v>
      </c>
      <c r="H1046" t="s">
        <v>3427</v>
      </c>
      <c r="K1046" s="4">
        <v>6035</v>
      </c>
    </row>
    <row r="1047" spans="1:11" hidden="1" outlineLevel="2" x14ac:dyDescent="0.35">
      <c r="A1047" t="s">
        <v>3115</v>
      </c>
      <c r="B1047" s="1">
        <v>45720</v>
      </c>
      <c r="C1047" t="str">
        <f>"888"</f>
        <v>888</v>
      </c>
      <c r="D1047" t="s">
        <v>3428</v>
      </c>
      <c r="E1047" t="str">
        <f>"182014"</f>
        <v>182014</v>
      </c>
      <c r="F1047" t="str">
        <f t="shared" si="18"/>
        <v>33200000</v>
      </c>
      <c r="H1047" t="s">
        <v>3429</v>
      </c>
      <c r="K1047" s="4">
        <v>6035</v>
      </c>
    </row>
    <row r="1048" spans="1:11" hidden="1" outlineLevel="2" x14ac:dyDescent="0.35">
      <c r="A1048" t="s">
        <v>3115</v>
      </c>
      <c r="B1048" s="1">
        <v>45720</v>
      </c>
      <c r="C1048" t="str">
        <f>"889"</f>
        <v>889</v>
      </c>
      <c r="D1048" t="s">
        <v>3430</v>
      </c>
      <c r="E1048" t="str">
        <f>"182323"</f>
        <v>182323</v>
      </c>
      <c r="F1048" t="str">
        <f t="shared" si="18"/>
        <v>33200000</v>
      </c>
      <c r="H1048" t="s">
        <v>3431</v>
      </c>
      <c r="K1048" s="4">
        <v>2465</v>
      </c>
    </row>
    <row r="1049" spans="1:11" hidden="1" outlineLevel="2" x14ac:dyDescent="0.35">
      <c r="A1049" t="s">
        <v>3115</v>
      </c>
      <c r="B1049" s="1">
        <v>45720</v>
      </c>
      <c r="C1049" t="str">
        <f>"890"</f>
        <v>890</v>
      </c>
      <c r="D1049" t="s">
        <v>3432</v>
      </c>
      <c r="E1049" t="str">
        <f>"182075"</f>
        <v>182075</v>
      </c>
      <c r="F1049" t="str">
        <f t="shared" si="18"/>
        <v>33200000</v>
      </c>
      <c r="H1049" t="s">
        <v>3433</v>
      </c>
      <c r="K1049" s="4">
        <v>21000</v>
      </c>
    </row>
    <row r="1050" spans="1:11" hidden="1" outlineLevel="2" x14ac:dyDescent="0.35">
      <c r="A1050" t="s">
        <v>3115</v>
      </c>
      <c r="B1050" s="1">
        <v>45720</v>
      </c>
      <c r="C1050" t="str">
        <f>"891"</f>
        <v>891</v>
      </c>
      <c r="D1050" t="s">
        <v>3434</v>
      </c>
      <c r="E1050" t="str">
        <f>"182016"</f>
        <v>182016</v>
      </c>
      <c r="F1050" t="str">
        <f t="shared" si="18"/>
        <v>33200000</v>
      </c>
      <c r="H1050" t="s">
        <v>3435</v>
      </c>
      <c r="K1050" s="4">
        <v>6035</v>
      </c>
    </row>
    <row r="1051" spans="1:11" hidden="1" outlineLevel="2" x14ac:dyDescent="0.35">
      <c r="A1051" t="s">
        <v>3115</v>
      </c>
      <c r="B1051" s="1">
        <v>45720</v>
      </c>
      <c r="C1051" t="str">
        <f>"892"</f>
        <v>892</v>
      </c>
      <c r="D1051" t="s">
        <v>3436</v>
      </c>
      <c r="E1051" t="str">
        <f>"182323"</f>
        <v>182323</v>
      </c>
      <c r="F1051" t="str">
        <f t="shared" si="18"/>
        <v>33200000</v>
      </c>
      <c r="H1051" t="s">
        <v>3437</v>
      </c>
      <c r="K1051" s="4">
        <v>300</v>
      </c>
    </row>
    <row r="1052" spans="1:11" hidden="1" outlineLevel="2" x14ac:dyDescent="0.35">
      <c r="A1052" t="s">
        <v>3115</v>
      </c>
      <c r="B1052" s="1">
        <v>45720</v>
      </c>
      <c r="C1052" t="str">
        <f>"893"</f>
        <v>893</v>
      </c>
      <c r="D1052" t="s">
        <v>3438</v>
      </c>
      <c r="E1052" t="str">
        <f>"182324"</f>
        <v>182324</v>
      </c>
      <c r="F1052" t="str">
        <f t="shared" si="18"/>
        <v>33200000</v>
      </c>
      <c r="H1052" t="s">
        <v>3439</v>
      </c>
      <c r="K1052" s="4">
        <v>328</v>
      </c>
    </row>
    <row r="1053" spans="1:11" hidden="1" outlineLevel="2" x14ac:dyDescent="0.35">
      <c r="A1053" t="s">
        <v>3115</v>
      </c>
      <c r="B1053" s="1">
        <v>45720</v>
      </c>
      <c r="C1053" t="str">
        <f>"894"</f>
        <v>894</v>
      </c>
      <c r="D1053" t="s">
        <v>3440</v>
      </c>
      <c r="E1053" t="str">
        <f>"183271"</f>
        <v>183271</v>
      </c>
      <c r="F1053" t="str">
        <f t="shared" si="18"/>
        <v>33200000</v>
      </c>
      <c r="H1053" t="s">
        <v>3441</v>
      </c>
      <c r="K1053" s="4">
        <v>1443</v>
      </c>
    </row>
    <row r="1054" spans="1:11" hidden="1" outlineLevel="2" x14ac:dyDescent="0.35">
      <c r="A1054" t="s">
        <v>3115</v>
      </c>
      <c r="B1054" s="1">
        <v>45720</v>
      </c>
      <c r="C1054" t="str">
        <f>"895"</f>
        <v>895</v>
      </c>
      <c r="D1054" t="s">
        <v>3442</v>
      </c>
      <c r="E1054" t="str">
        <f>"182325"</f>
        <v>182325</v>
      </c>
      <c r="F1054" t="str">
        <f t="shared" si="18"/>
        <v>33200000</v>
      </c>
      <c r="H1054" t="s">
        <v>3443</v>
      </c>
      <c r="K1054" s="4">
        <v>787</v>
      </c>
    </row>
    <row r="1055" spans="1:11" hidden="1" outlineLevel="2" x14ac:dyDescent="0.35">
      <c r="A1055" t="s">
        <v>3115</v>
      </c>
      <c r="B1055" s="1">
        <v>45720</v>
      </c>
      <c r="C1055" t="str">
        <f>"896"</f>
        <v>896</v>
      </c>
      <c r="D1055" t="s">
        <v>3444</v>
      </c>
      <c r="E1055" t="str">
        <f>"183268"</f>
        <v>183268</v>
      </c>
      <c r="F1055" t="str">
        <f t="shared" si="18"/>
        <v>33200000</v>
      </c>
      <c r="H1055" t="s">
        <v>3445</v>
      </c>
      <c r="K1055" s="4">
        <v>7084</v>
      </c>
    </row>
    <row r="1056" spans="1:11" hidden="1" outlineLevel="2" x14ac:dyDescent="0.35">
      <c r="A1056" t="s">
        <v>3115</v>
      </c>
      <c r="B1056" s="1">
        <v>45720</v>
      </c>
      <c r="C1056" t="str">
        <f>"897"</f>
        <v>897</v>
      </c>
      <c r="D1056" t="s">
        <v>3446</v>
      </c>
      <c r="E1056" t="str">
        <f>"182326"</f>
        <v>182326</v>
      </c>
      <c r="F1056" t="str">
        <f t="shared" si="18"/>
        <v>33200000</v>
      </c>
      <c r="H1056" t="s">
        <v>3447</v>
      </c>
      <c r="K1056" s="4">
        <v>984</v>
      </c>
    </row>
    <row r="1057" spans="1:11" hidden="1" outlineLevel="2" x14ac:dyDescent="0.35">
      <c r="A1057" t="s">
        <v>3115</v>
      </c>
      <c r="B1057" s="1">
        <v>45720</v>
      </c>
      <c r="C1057" t="str">
        <f>"898"</f>
        <v>898</v>
      </c>
      <c r="D1057" t="s">
        <v>3448</v>
      </c>
      <c r="E1057" t="str">
        <f>"182327"</f>
        <v>182327</v>
      </c>
      <c r="F1057" t="str">
        <f t="shared" si="18"/>
        <v>33200000</v>
      </c>
      <c r="H1057" t="s">
        <v>3449</v>
      </c>
      <c r="K1057" s="4">
        <v>1968</v>
      </c>
    </row>
    <row r="1058" spans="1:11" hidden="1" outlineLevel="2" x14ac:dyDescent="0.35">
      <c r="A1058" t="s">
        <v>3115</v>
      </c>
      <c r="B1058" s="1">
        <v>45720</v>
      </c>
      <c r="C1058" t="str">
        <f>"899"</f>
        <v>899</v>
      </c>
      <c r="D1058" t="s">
        <v>3450</v>
      </c>
      <c r="E1058" t="str">
        <f>"180197"</f>
        <v>180197</v>
      </c>
      <c r="F1058" t="str">
        <f t="shared" si="18"/>
        <v>33200000</v>
      </c>
      <c r="H1058" t="s">
        <v>3451</v>
      </c>
      <c r="K1058" s="4">
        <v>21500</v>
      </c>
    </row>
    <row r="1059" spans="1:11" hidden="1" outlineLevel="2" x14ac:dyDescent="0.35">
      <c r="A1059" t="s">
        <v>3115</v>
      </c>
      <c r="B1059" s="1">
        <v>45720</v>
      </c>
      <c r="C1059" t="str">
        <f>"900"</f>
        <v>900</v>
      </c>
      <c r="D1059" t="s">
        <v>3452</v>
      </c>
      <c r="E1059" t="str">
        <f>"182328"</f>
        <v>182328</v>
      </c>
      <c r="F1059" t="str">
        <f t="shared" si="18"/>
        <v>33200000</v>
      </c>
      <c r="H1059" t="s">
        <v>3453</v>
      </c>
      <c r="K1059" s="4">
        <v>6035</v>
      </c>
    </row>
    <row r="1060" spans="1:11" hidden="1" outlineLevel="2" x14ac:dyDescent="0.35">
      <c r="A1060" t="s">
        <v>3115</v>
      </c>
      <c r="B1060" s="1">
        <v>45720</v>
      </c>
      <c r="C1060" t="str">
        <f>"901"</f>
        <v>901</v>
      </c>
      <c r="D1060" t="s">
        <v>3454</v>
      </c>
      <c r="E1060" t="str">
        <f>"182329"</f>
        <v>182329</v>
      </c>
      <c r="F1060" t="str">
        <f t="shared" si="18"/>
        <v>33200000</v>
      </c>
      <c r="H1060" t="s">
        <v>3455</v>
      </c>
      <c r="K1060" s="4">
        <v>724</v>
      </c>
    </row>
    <row r="1061" spans="1:11" hidden="1" outlineLevel="2" x14ac:dyDescent="0.35">
      <c r="A1061" t="s">
        <v>3115</v>
      </c>
      <c r="B1061" s="1">
        <v>45720</v>
      </c>
      <c r="C1061" t="str">
        <f>"902"</f>
        <v>902</v>
      </c>
      <c r="D1061" t="s">
        <v>3456</v>
      </c>
      <c r="E1061" t="str">
        <f>"183270"</f>
        <v>183270</v>
      </c>
      <c r="F1061" t="str">
        <f t="shared" si="18"/>
        <v>33200000</v>
      </c>
      <c r="H1061" t="s">
        <v>3457</v>
      </c>
      <c r="K1061" s="4">
        <v>1837</v>
      </c>
    </row>
    <row r="1062" spans="1:11" hidden="1" outlineLevel="2" x14ac:dyDescent="0.35">
      <c r="A1062" t="s">
        <v>3115</v>
      </c>
      <c r="B1062" s="1">
        <v>45720</v>
      </c>
      <c r="C1062" t="str">
        <f>"903"</f>
        <v>903</v>
      </c>
      <c r="D1062" t="s">
        <v>3458</v>
      </c>
      <c r="E1062" t="str">
        <f>"183267"</f>
        <v>183267</v>
      </c>
      <c r="F1062" t="str">
        <f t="shared" si="18"/>
        <v>33200000</v>
      </c>
      <c r="H1062" t="s">
        <v>3459</v>
      </c>
      <c r="K1062" s="4">
        <v>6822</v>
      </c>
    </row>
    <row r="1063" spans="1:11" hidden="1" outlineLevel="2" x14ac:dyDescent="0.35">
      <c r="A1063" t="s">
        <v>3115</v>
      </c>
      <c r="B1063" s="1">
        <v>45720</v>
      </c>
      <c r="C1063" t="str">
        <f>"904"</f>
        <v>904</v>
      </c>
      <c r="D1063" t="s">
        <v>3460</v>
      </c>
      <c r="E1063" t="str">
        <f>"182498"</f>
        <v>182498</v>
      </c>
      <c r="F1063" t="str">
        <f t="shared" si="18"/>
        <v>33200000</v>
      </c>
      <c r="H1063" t="s">
        <v>3461</v>
      </c>
      <c r="K1063" s="4">
        <v>2788</v>
      </c>
    </row>
    <row r="1064" spans="1:11" hidden="1" outlineLevel="2" x14ac:dyDescent="0.35">
      <c r="A1064" t="s">
        <v>3115</v>
      </c>
      <c r="B1064" s="1">
        <v>45720</v>
      </c>
      <c r="C1064" t="str">
        <f>"905"</f>
        <v>905</v>
      </c>
      <c r="D1064" t="s">
        <v>3462</v>
      </c>
      <c r="E1064" t="str">
        <f>"182499"</f>
        <v>182499</v>
      </c>
      <c r="F1064" t="str">
        <f t="shared" si="18"/>
        <v>33200000</v>
      </c>
      <c r="H1064" t="s">
        <v>3463</v>
      </c>
      <c r="K1064" s="4">
        <v>79</v>
      </c>
    </row>
    <row r="1065" spans="1:11" hidden="1" outlineLevel="2" x14ac:dyDescent="0.35">
      <c r="A1065" t="s">
        <v>3115</v>
      </c>
      <c r="B1065" s="1">
        <v>45720</v>
      </c>
      <c r="C1065" t="str">
        <f>"906"</f>
        <v>906</v>
      </c>
      <c r="D1065" t="s">
        <v>3464</v>
      </c>
      <c r="E1065" t="str">
        <f>"182500"</f>
        <v>182500</v>
      </c>
      <c r="F1065" t="str">
        <f t="shared" si="18"/>
        <v>33200000</v>
      </c>
      <c r="H1065" t="s">
        <v>3465</v>
      </c>
      <c r="K1065" s="4">
        <v>10495</v>
      </c>
    </row>
    <row r="1066" spans="1:11" hidden="1" outlineLevel="2" x14ac:dyDescent="0.35">
      <c r="A1066" t="s">
        <v>3115</v>
      </c>
      <c r="B1066" s="1">
        <v>45720</v>
      </c>
      <c r="C1066" t="str">
        <f>"909"</f>
        <v>909</v>
      </c>
      <c r="D1066" t="s">
        <v>3470</v>
      </c>
      <c r="E1066" t="str">
        <f>"182189"</f>
        <v>182189</v>
      </c>
      <c r="F1066" t="str">
        <f t="shared" si="18"/>
        <v>33200000</v>
      </c>
      <c r="H1066" t="s">
        <v>3471</v>
      </c>
      <c r="K1066" s="4">
        <v>9213</v>
      </c>
    </row>
    <row r="1067" spans="1:11" hidden="1" outlineLevel="2" x14ac:dyDescent="0.35">
      <c r="A1067" t="s">
        <v>3115</v>
      </c>
      <c r="B1067" s="1">
        <v>45720</v>
      </c>
      <c r="C1067" t="str">
        <f>"910"</f>
        <v>910</v>
      </c>
      <c r="D1067" t="s">
        <v>3472</v>
      </c>
      <c r="E1067" t="str">
        <f>"177501"</f>
        <v>177501</v>
      </c>
      <c r="F1067" t="str">
        <f t="shared" si="18"/>
        <v>33200000</v>
      </c>
      <c r="H1067" t="s">
        <v>3473</v>
      </c>
      <c r="K1067" s="4">
        <v>287</v>
      </c>
    </row>
    <row r="1068" spans="1:11" hidden="1" outlineLevel="2" x14ac:dyDescent="0.35">
      <c r="A1068" t="s">
        <v>3115</v>
      </c>
      <c r="B1068" s="1">
        <v>45720</v>
      </c>
      <c r="C1068" t="str">
        <f>"911"</f>
        <v>911</v>
      </c>
      <c r="D1068" t="s">
        <v>3474</v>
      </c>
      <c r="E1068" t="str">
        <f>"182076"</f>
        <v>182076</v>
      </c>
      <c r="F1068" t="str">
        <f t="shared" si="18"/>
        <v>33200000</v>
      </c>
      <c r="H1068" t="s">
        <v>3475</v>
      </c>
      <c r="K1068" s="4">
        <v>10080</v>
      </c>
    </row>
    <row r="1069" spans="1:11" hidden="1" outlineLevel="2" x14ac:dyDescent="0.35">
      <c r="A1069" t="s">
        <v>3115</v>
      </c>
      <c r="B1069" s="1">
        <v>45720</v>
      </c>
      <c r="C1069" t="str">
        <f>"912"</f>
        <v>912</v>
      </c>
      <c r="D1069" t="s">
        <v>3476</v>
      </c>
      <c r="E1069" t="str">
        <f>"183317"</f>
        <v>183317</v>
      </c>
      <c r="F1069" t="str">
        <f t="shared" si="18"/>
        <v>33200000</v>
      </c>
      <c r="H1069" t="s">
        <v>3477</v>
      </c>
      <c r="K1069" s="4">
        <v>10564</v>
      </c>
    </row>
    <row r="1070" spans="1:11" hidden="1" outlineLevel="2" x14ac:dyDescent="0.35">
      <c r="A1070" t="s">
        <v>3115</v>
      </c>
      <c r="B1070" s="1">
        <v>45720</v>
      </c>
      <c r="C1070" t="str">
        <f>"914"</f>
        <v>914</v>
      </c>
      <c r="D1070" t="s">
        <v>3480</v>
      </c>
      <c r="E1070" t="str">
        <f>"177502"</f>
        <v>177502</v>
      </c>
      <c r="F1070" t="str">
        <f t="shared" si="18"/>
        <v>33200000</v>
      </c>
      <c r="H1070" t="s">
        <v>3481</v>
      </c>
      <c r="K1070" s="4">
        <v>7347</v>
      </c>
    </row>
    <row r="1071" spans="1:11" hidden="1" outlineLevel="2" x14ac:dyDescent="0.35">
      <c r="A1071" t="s">
        <v>3115</v>
      </c>
      <c r="B1071" s="1">
        <v>45720</v>
      </c>
      <c r="C1071" t="str">
        <f>"915"</f>
        <v>915</v>
      </c>
      <c r="D1071" t="s">
        <v>3482</v>
      </c>
      <c r="E1071" t="str">
        <f>"181239"</f>
        <v>181239</v>
      </c>
      <c r="F1071" t="str">
        <f t="shared" si="18"/>
        <v>33200000</v>
      </c>
      <c r="H1071" t="s">
        <v>3483</v>
      </c>
      <c r="K1071" s="4">
        <v>99968</v>
      </c>
    </row>
    <row r="1072" spans="1:11" hidden="1" outlineLevel="2" x14ac:dyDescent="0.35">
      <c r="A1072" t="s">
        <v>3115</v>
      </c>
      <c r="B1072" s="1">
        <v>45720</v>
      </c>
      <c r="C1072" t="str">
        <f>"918"</f>
        <v>918</v>
      </c>
      <c r="D1072" t="s">
        <v>3488</v>
      </c>
      <c r="E1072" t="str">
        <f>"181238"</f>
        <v>181238</v>
      </c>
      <c r="F1072" t="str">
        <f t="shared" si="18"/>
        <v>33200000</v>
      </c>
      <c r="H1072" t="s">
        <v>3489</v>
      </c>
      <c r="K1072" s="4">
        <v>49984</v>
      </c>
    </row>
    <row r="1073" spans="1:11" hidden="1" outlineLevel="2" x14ac:dyDescent="0.35">
      <c r="A1073" t="s">
        <v>3115</v>
      </c>
      <c r="B1073" s="1">
        <v>45720</v>
      </c>
      <c r="C1073" t="str">
        <f>"919"</f>
        <v>919</v>
      </c>
      <c r="D1073" t="s">
        <v>3490</v>
      </c>
      <c r="E1073" t="str">
        <f>"177504"</f>
        <v>177504</v>
      </c>
      <c r="F1073" t="str">
        <f t="shared" si="18"/>
        <v>33200000</v>
      </c>
      <c r="H1073" t="s">
        <v>3491</v>
      </c>
      <c r="K1073" s="4">
        <v>122270</v>
      </c>
    </row>
    <row r="1074" spans="1:11" hidden="1" outlineLevel="2" x14ac:dyDescent="0.35">
      <c r="A1074" t="s">
        <v>3115</v>
      </c>
      <c r="B1074" s="1">
        <v>45720</v>
      </c>
      <c r="C1074" t="str">
        <f>"922"</f>
        <v>922</v>
      </c>
      <c r="D1074" t="s">
        <v>3496</v>
      </c>
      <c r="E1074" t="str">
        <f>"182423"</f>
        <v>182423</v>
      </c>
      <c r="F1074" t="str">
        <f t="shared" ref="F1074:F1137" si="19">"33200000"</f>
        <v>33200000</v>
      </c>
      <c r="H1074" t="s">
        <v>3497</v>
      </c>
      <c r="K1074" s="4">
        <v>1604</v>
      </c>
    </row>
    <row r="1075" spans="1:11" hidden="1" outlineLevel="2" x14ac:dyDescent="0.35">
      <c r="A1075" t="s">
        <v>3115</v>
      </c>
      <c r="B1075" s="1">
        <v>45720</v>
      </c>
      <c r="C1075" t="str">
        <f>"923"</f>
        <v>923</v>
      </c>
      <c r="D1075" t="s">
        <v>3498</v>
      </c>
      <c r="E1075" t="str">
        <f>"182322"</f>
        <v>182322</v>
      </c>
      <c r="F1075" t="str">
        <f t="shared" si="19"/>
        <v>33200000</v>
      </c>
      <c r="H1075" t="s">
        <v>3499</v>
      </c>
      <c r="K1075" s="4">
        <v>3936</v>
      </c>
    </row>
    <row r="1076" spans="1:11" hidden="1" outlineLevel="2" x14ac:dyDescent="0.35">
      <c r="A1076" t="s">
        <v>3115</v>
      </c>
      <c r="B1076" s="1">
        <v>45721</v>
      </c>
      <c r="C1076" t="str">
        <f>"928"</f>
        <v>928</v>
      </c>
      <c r="D1076" t="s">
        <v>3508</v>
      </c>
      <c r="E1076" t="str">
        <f>"147206"</f>
        <v>147206</v>
      </c>
      <c r="F1076" t="str">
        <f t="shared" si="19"/>
        <v>33200000</v>
      </c>
      <c r="H1076" t="s">
        <v>3509</v>
      </c>
      <c r="K1076" s="4">
        <v>919</v>
      </c>
    </row>
    <row r="1077" spans="1:11" hidden="1" outlineLevel="2" x14ac:dyDescent="0.35">
      <c r="A1077" t="s">
        <v>3115</v>
      </c>
      <c r="B1077" s="1">
        <v>45721</v>
      </c>
      <c r="C1077" t="str">
        <f>"929"</f>
        <v>929</v>
      </c>
      <c r="D1077" t="s">
        <v>3510</v>
      </c>
      <c r="E1077" t="str">
        <f>"147259"</f>
        <v>147259</v>
      </c>
      <c r="F1077" t="str">
        <f t="shared" si="19"/>
        <v>33200000</v>
      </c>
      <c r="H1077" t="s">
        <v>3511</v>
      </c>
      <c r="K1077" s="4">
        <v>65006</v>
      </c>
    </row>
    <row r="1078" spans="1:11" hidden="1" outlineLevel="2" x14ac:dyDescent="0.35">
      <c r="A1078" t="s">
        <v>3115</v>
      </c>
      <c r="B1078" s="1">
        <v>45721</v>
      </c>
      <c r="C1078" t="str">
        <f>"930"</f>
        <v>930</v>
      </c>
      <c r="D1078" t="s">
        <v>3512</v>
      </c>
      <c r="E1078" t="str">
        <f>"183276"</f>
        <v>183276</v>
      </c>
      <c r="F1078" t="str">
        <f t="shared" si="19"/>
        <v>33200000</v>
      </c>
      <c r="H1078" t="s">
        <v>3513</v>
      </c>
      <c r="K1078" s="4">
        <v>2230</v>
      </c>
    </row>
    <row r="1079" spans="1:11" hidden="1" outlineLevel="2" x14ac:dyDescent="0.35">
      <c r="A1079" t="s">
        <v>3115</v>
      </c>
      <c r="B1079" s="1">
        <v>45721</v>
      </c>
      <c r="C1079" t="str">
        <f>"931"</f>
        <v>931</v>
      </c>
      <c r="D1079" t="s">
        <v>3514</v>
      </c>
      <c r="E1079" t="str">
        <f>"183275"</f>
        <v>183275</v>
      </c>
      <c r="F1079" t="str">
        <f t="shared" si="19"/>
        <v>33200000</v>
      </c>
      <c r="H1079" t="s">
        <v>3515</v>
      </c>
      <c r="K1079" s="4">
        <v>2230</v>
      </c>
    </row>
    <row r="1080" spans="1:11" hidden="1" outlineLevel="2" x14ac:dyDescent="0.35">
      <c r="A1080" t="s">
        <v>3115</v>
      </c>
      <c r="B1080" s="1">
        <v>45721</v>
      </c>
      <c r="C1080" t="str">
        <f>"932"</f>
        <v>932</v>
      </c>
      <c r="D1080" t="s">
        <v>3516</v>
      </c>
      <c r="E1080" t="str">
        <f>"183279"</f>
        <v>183279</v>
      </c>
      <c r="F1080" t="str">
        <f t="shared" si="19"/>
        <v>33200000</v>
      </c>
      <c r="H1080" t="s">
        <v>3517</v>
      </c>
      <c r="K1080" s="4">
        <v>1312</v>
      </c>
    </row>
    <row r="1081" spans="1:11" hidden="1" outlineLevel="2" x14ac:dyDescent="0.35">
      <c r="A1081" t="s">
        <v>3115</v>
      </c>
      <c r="B1081" s="1">
        <v>45721</v>
      </c>
      <c r="C1081" t="str">
        <f>"933"</f>
        <v>933</v>
      </c>
      <c r="D1081" t="s">
        <v>3518</v>
      </c>
      <c r="E1081" t="str">
        <f>"183279"</f>
        <v>183279</v>
      </c>
      <c r="F1081" t="str">
        <f t="shared" si="19"/>
        <v>33200000</v>
      </c>
      <c r="H1081" t="s">
        <v>3519</v>
      </c>
      <c r="K1081" s="4">
        <v>1620</v>
      </c>
    </row>
    <row r="1082" spans="1:11" hidden="1" outlineLevel="2" x14ac:dyDescent="0.35">
      <c r="A1082" t="s">
        <v>3115</v>
      </c>
      <c r="B1082" s="1">
        <v>45721</v>
      </c>
      <c r="C1082" t="str">
        <f>"934"</f>
        <v>934</v>
      </c>
      <c r="D1082" t="s">
        <v>3520</v>
      </c>
      <c r="E1082" t="str">
        <f>"183278"</f>
        <v>183278</v>
      </c>
      <c r="F1082" t="str">
        <f t="shared" si="19"/>
        <v>33200000</v>
      </c>
      <c r="H1082" t="s">
        <v>3521</v>
      </c>
      <c r="K1082" s="4">
        <v>11021</v>
      </c>
    </row>
    <row r="1083" spans="1:11" hidden="1" outlineLevel="2" x14ac:dyDescent="0.35">
      <c r="A1083" t="s">
        <v>3115</v>
      </c>
      <c r="B1083" s="1">
        <v>45721</v>
      </c>
      <c r="C1083" t="str">
        <f>"935"</f>
        <v>935</v>
      </c>
      <c r="D1083" t="s">
        <v>3522</v>
      </c>
      <c r="E1083" t="str">
        <f>"183278"</f>
        <v>183278</v>
      </c>
      <c r="F1083" t="str">
        <f t="shared" si="19"/>
        <v>33200000</v>
      </c>
      <c r="H1083" t="s">
        <v>3523</v>
      </c>
      <c r="K1083" s="4">
        <v>1620</v>
      </c>
    </row>
    <row r="1084" spans="1:11" hidden="1" outlineLevel="2" x14ac:dyDescent="0.35">
      <c r="A1084" t="s">
        <v>3115</v>
      </c>
      <c r="B1084" s="1">
        <v>45721</v>
      </c>
      <c r="C1084" t="str">
        <f>"936"</f>
        <v>936</v>
      </c>
      <c r="D1084" t="s">
        <v>3524</v>
      </c>
      <c r="E1084" t="str">
        <f>"183503"</f>
        <v>183503</v>
      </c>
      <c r="F1084" t="str">
        <f t="shared" si="19"/>
        <v>33200000</v>
      </c>
      <c r="H1084" t="s">
        <v>3525</v>
      </c>
      <c r="K1084" s="4">
        <v>62054</v>
      </c>
    </row>
    <row r="1085" spans="1:11" hidden="1" outlineLevel="2" x14ac:dyDescent="0.35">
      <c r="A1085" t="s">
        <v>3115</v>
      </c>
      <c r="B1085" s="1">
        <v>45721</v>
      </c>
      <c r="C1085" t="str">
        <f>"937"</f>
        <v>937</v>
      </c>
      <c r="D1085" t="s">
        <v>3526</v>
      </c>
      <c r="E1085" t="str">
        <f>"181175"</f>
        <v>181175</v>
      </c>
      <c r="F1085" t="str">
        <f t="shared" si="19"/>
        <v>33200000</v>
      </c>
      <c r="H1085" t="s">
        <v>3527</v>
      </c>
      <c r="K1085" s="4">
        <v>40801</v>
      </c>
    </row>
    <row r="1086" spans="1:11" hidden="1" outlineLevel="2" x14ac:dyDescent="0.35">
      <c r="A1086" t="s">
        <v>3115</v>
      </c>
      <c r="B1086" s="1">
        <v>45721</v>
      </c>
      <c r="C1086" t="str">
        <f>"939"</f>
        <v>939</v>
      </c>
      <c r="D1086" t="s">
        <v>3530</v>
      </c>
      <c r="E1086" t="str">
        <f>"177508"</f>
        <v>177508</v>
      </c>
      <c r="F1086" t="str">
        <f t="shared" si="19"/>
        <v>33200000</v>
      </c>
      <c r="H1086" t="s">
        <v>3531</v>
      </c>
      <c r="K1086" s="4">
        <v>2768</v>
      </c>
    </row>
    <row r="1087" spans="1:11" hidden="1" outlineLevel="2" x14ac:dyDescent="0.35">
      <c r="A1087" t="s">
        <v>3115</v>
      </c>
      <c r="B1087" s="1">
        <v>45721</v>
      </c>
      <c r="C1087" t="str">
        <f>"940"</f>
        <v>940</v>
      </c>
      <c r="D1087" t="s">
        <v>3532</v>
      </c>
      <c r="E1087" t="str">
        <f>"177509"</f>
        <v>177509</v>
      </c>
      <c r="F1087" t="str">
        <f t="shared" si="19"/>
        <v>33200000</v>
      </c>
      <c r="H1087" t="s">
        <v>3533</v>
      </c>
      <c r="K1087" s="4">
        <v>580</v>
      </c>
    </row>
    <row r="1088" spans="1:11" hidden="1" outlineLevel="2" x14ac:dyDescent="0.35">
      <c r="A1088" t="s">
        <v>3115</v>
      </c>
      <c r="B1088" s="1">
        <v>45721</v>
      </c>
      <c r="C1088" t="str">
        <f>"942"</f>
        <v>942</v>
      </c>
      <c r="D1088" t="s">
        <v>3536</v>
      </c>
      <c r="E1088" t="str">
        <f>"177510"</f>
        <v>177510</v>
      </c>
      <c r="F1088" t="str">
        <f t="shared" si="19"/>
        <v>33200000</v>
      </c>
      <c r="H1088" t="s">
        <v>3537</v>
      </c>
      <c r="K1088" s="4">
        <v>125</v>
      </c>
    </row>
    <row r="1089" spans="1:11" hidden="1" outlineLevel="2" x14ac:dyDescent="0.35">
      <c r="A1089" t="s">
        <v>3115</v>
      </c>
      <c r="B1089" s="1">
        <v>45721</v>
      </c>
      <c r="C1089" t="str">
        <f>"943"</f>
        <v>943</v>
      </c>
      <c r="D1089" t="s">
        <v>3538</v>
      </c>
      <c r="E1089" t="str">
        <f>"177511"</f>
        <v>177511</v>
      </c>
      <c r="F1089" t="str">
        <f t="shared" si="19"/>
        <v>33200000</v>
      </c>
      <c r="H1089" t="s">
        <v>3539</v>
      </c>
      <c r="K1089" s="4">
        <v>7500</v>
      </c>
    </row>
    <row r="1090" spans="1:11" hidden="1" outlineLevel="2" x14ac:dyDescent="0.35">
      <c r="A1090" t="s">
        <v>3115</v>
      </c>
      <c r="B1090" s="1">
        <v>45721</v>
      </c>
      <c r="C1090" t="str">
        <f>"945"</f>
        <v>945</v>
      </c>
      <c r="D1090" t="s">
        <v>3542</v>
      </c>
      <c r="E1090" t="str">
        <f>"182330"</f>
        <v>182330</v>
      </c>
      <c r="F1090" t="str">
        <f t="shared" si="19"/>
        <v>33200000</v>
      </c>
      <c r="H1090" t="s">
        <v>3543</v>
      </c>
      <c r="K1090" s="4">
        <v>24336</v>
      </c>
    </row>
    <row r="1091" spans="1:11" hidden="1" outlineLevel="2" x14ac:dyDescent="0.35">
      <c r="A1091" t="s">
        <v>3115</v>
      </c>
      <c r="B1091" s="1">
        <v>45721</v>
      </c>
      <c r="C1091" t="str">
        <f>"946"</f>
        <v>946</v>
      </c>
      <c r="D1091" t="s">
        <v>3544</v>
      </c>
      <c r="E1091" t="str">
        <f>"180199"</f>
        <v>180199</v>
      </c>
      <c r="F1091" t="str">
        <f t="shared" si="19"/>
        <v>33200000</v>
      </c>
      <c r="H1091" t="s">
        <v>3545</v>
      </c>
      <c r="K1091" s="4">
        <v>7500</v>
      </c>
    </row>
    <row r="1092" spans="1:11" hidden="1" outlineLevel="2" x14ac:dyDescent="0.35">
      <c r="A1092" t="s">
        <v>3115</v>
      </c>
      <c r="B1092" s="1">
        <v>45721</v>
      </c>
      <c r="C1092" t="str">
        <f>"947"</f>
        <v>947</v>
      </c>
      <c r="D1092" t="s">
        <v>3546</v>
      </c>
      <c r="E1092" t="str">
        <f>"182331"</f>
        <v>182331</v>
      </c>
      <c r="F1092" t="str">
        <f t="shared" si="19"/>
        <v>33200000</v>
      </c>
      <c r="H1092" t="s">
        <v>3547</v>
      </c>
      <c r="K1092" s="4">
        <v>1968</v>
      </c>
    </row>
    <row r="1093" spans="1:11" hidden="1" outlineLevel="2" x14ac:dyDescent="0.35">
      <c r="A1093" t="s">
        <v>3115</v>
      </c>
      <c r="B1093" s="1">
        <v>45721</v>
      </c>
      <c r="C1093" t="str">
        <f>"948"</f>
        <v>948</v>
      </c>
      <c r="D1093" t="s">
        <v>3548</v>
      </c>
      <c r="E1093" t="str">
        <f>"182332"</f>
        <v>182332</v>
      </c>
      <c r="F1093" t="str">
        <f t="shared" si="19"/>
        <v>33200000</v>
      </c>
      <c r="H1093" t="s">
        <v>3549</v>
      </c>
      <c r="K1093" s="4">
        <v>394</v>
      </c>
    </row>
    <row r="1094" spans="1:11" hidden="1" outlineLevel="2" x14ac:dyDescent="0.35">
      <c r="A1094" t="s">
        <v>3115</v>
      </c>
      <c r="B1094" s="1">
        <v>45721</v>
      </c>
      <c r="C1094" t="str">
        <f>"949"</f>
        <v>949</v>
      </c>
      <c r="D1094" t="s">
        <v>3550</v>
      </c>
      <c r="E1094" t="str">
        <f>"182333"</f>
        <v>182333</v>
      </c>
      <c r="F1094" t="str">
        <f t="shared" si="19"/>
        <v>33200000</v>
      </c>
      <c r="H1094" t="s">
        <v>3551</v>
      </c>
      <c r="K1094" s="4">
        <v>787</v>
      </c>
    </row>
    <row r="1095" spans="1:11" hidden="1" outlineLevel="2" x14ac:dyDescent="0.35">
      <c r="A1095" t="s">
        <v>3115</v>
      </c>
      <c r="B1095" s="1">
        <v>45721</v>
      </c>
      <c r="C1095" t="str">
        <f>"950"</f>
        <v>950</v>
      </c>
      <c r="D1095" t="s">
        <v>3552</v>
      </c>
      <c r="E1095" t="str">
        <f>"180198"</f>
        <v>180198</v>
      </c>
      <c r="F1095" t="str">
        <f t="shared" si="19"/>
        <v>33200000</v>
      </c>
      <c r="H1095" t="s">
        <v>3553</v>
      </c>
      <c r="K1095" s="4">
        <v>19700</v>
      </c>
    </row>
    <row r="1096" spans="1:11" hidden="1" outlineLevel="2" x14ac:dyDescent="0.35">
      <c r="A1096" t="s">
        <v>3115</v>
      </c>
      <c r="B1096" s="1">
        <v>45721</v>
      </c>
      <c r="C1096" t="str">
        <f>"951"</f>
        <v>951</v>
      </c>
      <c r="D1096" t="s">
        <v>3554</v>
      </c>
      <c r="E1096" t="str">
        <f>"182334"</f>
        <v>182334</v>
      </c>
      <c r="F1096" t="str">
        <f t="shared" si="19"/>
        <v>33200000</v>
      </c>
      <c r="H1096" t="s">
        <v>3555</v>
      </c>
      <c r="K1096" s="4">
        <v>2755</v>
      </c>
    </row>
    <row r="1097" spans="1:11" hidden="1" outlineLevel="2" x14ac:dyDescent="0.35">
      <c r="A1097" t="s">
        <v>3115</v>
      </c>
      <c r="B1097" s="1">
        <v>45721</v>
      </c>
      <c r="C1097" t="str">
        <f>"952"</f>
        <v>952</v>
      </c>
      <c r="D1097" t="s">
        <v>3556</v>
      </c>
      <c r="E1097" t="str">
        <f>"182335"</f>
        <v>182335</v>
      </c>
      <c r="F1097" t="str">
        <f t="shared" si="19"/>
        <v>33200000</v>
      </c>
      <c r="H1097" t="s">
        <v>3557</v>
      </c>
      <c r="K1097" s="4">
        <v>1181</v>
      </c>
    </row>
    <row r="1098" spans="1:11" hidden="1" outlineLevel="2" x14ac:dyDescent="0.35">
      <c r="A1098" t="s">
        <v>3115</v>
      </c>
      <c r="B1098" s="1">
        <v>45721</v>
      </c>
      <c r="C1098" t="str">
        <f>"953"</f>
        <v>953</v>
      </c>
      <c r="D1098" t="s">
        <v>3558</v>
      </c>
      <c r="E1098" t="str">
        <f>"177512"</f>
        <v>177512</v>
      </c>
      <c r="F1098" t="str">
        <f t="shared" si="19"/>
        <v>33200000</v>
      </c>
      <c r="H1098" t="s">
        <v>3559</v>
      </c>
      <c r="K1098" s="4">
        <v>13972</v>
      </c>
    </row>
    <row r="1099" spans="1:11" hidden="1" outlineLevel="2" x14ac:dyDescent="0.35">
      <c r="A1099" t="s">
        <v>3115</v>
      </c>
      <c r="B1099" s="1">
        <v>45721</v>
      </c>
      <c r="C1099" t="str">
        <f>"954"</f>
        <v>954</v>
      </c>
      <c r="D1099" t="s">
        <v>3560</v>
      </c>
      <c r="E1099" t="str">
        <f>"177518"</f>
        <v>177518</v>
      </c>
      <c r="F1099" t="str">
        <f t="shared" si="19"/>
        <v>33200000</v>
      </c>
      <c r="H1099" t="s">
        <v>3561</v>
      </c>
      <c r="K1099" s="4">
        <v>1520</v>
      </c>
    </row>
    <row r="1100" spans="1:11" hidden="1" outlineLevel="2" x14ac:dyDescent="0.35">
      <c r="A1100" t="s">
        <v>3115</v>
      </c>
      <c r="B1100" s="1">
        <v>45721</v>
      </c>
      <c r="C1100" t="str">
        <f>"955"</f>
        <v>955</v>
      </c>
      <c r="D1100" t="s">
        <v>3562</v>
      </c>
      <c r="E1100" t="str">
        <f>"177514"</f>
        <v>177514</v>
      </c>
      <c r="F1100" t="str">
        <f t="shared" si="19"/>
        <v>33200000</v>
      </c>
      <c r="H1100" t="s">
        <v>3563</v>
      </c>
      <c r="K1100" s="4">
        <v>99968</v>
      </c>
    </row>
    <row r="1101" spans="1:11" hidden="1" outlineLevel="2" x14ac:dyDescent="0.35">
      <c r="A1101" t="s">
        <v>3115</v>
      </c>
      <c r="B1101" s="1">
        <v>45721</v>
      </c>
      <c r="C1101" t="str">
        <f>"958"</f>
        <v>958</v>
      </c>
      <c r="D1101" t="s">
        <v>3568</v>
      </c>
      <c r="E1101" t="str">
        <f>"183320"</f>
        <v>183320</v>
      </c>
      <c r="F1101" t="str">
        <f t="shared" si="19"/>
        <v>33200000</v>
      </c>
      <c r="H1101" t="s">
        <v>3569</v>
      </c>
      <c r="K1101" s="4">
        <v>11951</v>
      </c>
    </row>
    <row r="1102" spans="1:11" hidden="1" outlineLevel="2" x14ac:dyDescent="0.35">
      <c r="A1102" t="s">
        <v>3115</v>
      </c>
      <c r="B1102" s="1">
        <v>45721</v>
      </c>
      <c r="C1102" t="str">
        <f>"959"</f>
        <v>959</v>
      </c>
      <c r="D1102" t="s">
        <v>3570</v>
      </c>
      <c r="E1102" t="str">
        <f>"177515"</f>
        <v>177515</v>
      </c>
      <c r="F1102" t="str">
        <f t="shared" si="19"/>
        <v>33200000</v>
      </c>
      <c r="H1102" t="s">
        <v>3571</v>
      </c>
      <c r="K1102" s="4">
        <v>19941</v>
      </c>
    </row>
    <row r="1103" spans="1:11" hidden="1" outlineLevel="2" x14ac:dyDescent="0.35">
      <c r="A1103" t="s">
        <v>3115</v>
      </c>
      <c r="B1103" s="1">
        <v>45721</v>
      </c>
      <c r="C1103" t="str">
        <f>"961"</f>
        <v>961</v>
      </c>
      <c r="D1103" t="s">
        <v>3574</v>
      </c>
      <c r="E1103" t="str">
        <f>"177517"</f>
        <v>177517</v>
      </c>
      <c r="F1103" t="str">
        <f t="shared" si="19"/>
        <v>33200000</v>
      </c>
      <c r="H1103" t="s">
        <v>3575</v>
      </c>
      <c r="K1103" s="4">
        <v>200002</v>
      </c>
    </row>
    <row r="1104" spans="1:11" hidden="1" outlineLevel="2" x14ac:dyDescent="0.35">
      <c r="A1104" t="s">
        <v>3115</v>
      </c>
      <c r="B1104" s="1">
        <v>45721</v>
      </c>
      <c r="C1104" t="str">
        <f>"962"</f>
        <v>962</v>
      </c>
      <c r="D1104" t="s">
        <v>3576</v>
      </c>
      <c r="E1104" t="str">
        <f>"183318"</f>
        <v>183318</v>
      </c>
      <c r="F1104" t="str">
        <f t="shared" si="19"/>
        <v>33200000</v>
      </c>
      <c r="H1104" t="s">
        <v>3577</v>
      </c>
      <c r="K1104" s="4">
        <v>22283</v>
      </c>
    </row>
    <row r="1105" spans="1:11" hidden="1" outlineLevel="2" x14ac:dyDescent="0.35">
      <c r="A1105" t="s">
        <v>3115</v>
      </c>
      <c r="B1105" s="1">
        <v>45721</v>
      </c>
      <c r="C1105" t="str">
        <f>"963"</f>
        <v>963</v>
      </c>
      <c r="D1105" t="s">
        <v>3578</v>
      </c>
      <c r="E1105" t="str">
        <f>"183319"</f>
        <v>183319</v>
      </c>
      <c r="F1105" t="str">
        <f t="shared" si="19"/>
        <v>33200000</v>
      </c>
      <c r="H1105" t="s">
        <v>3579</v>
      </c>
      <c r="K1105" s="4">
        <v>9409</v>
      </c>
    </row>
    <row r="1106" spans="1:11" hidden="1" outlineLevel="2" x14ac:dyDescent="0.35">
      <c r="A1106" t="s">
        <v>3115</v>
      </c>
      <c r="B1106" s="1">
        <v>45721</v>
      </c>
      <c r="C1106" t="str">
        <f>"964"</f>
        <v>964</v>
      </c>
      <c r="D1106" t="s">
        <v>3580</v>
      </c>
      <c r="E1106" t="str">
        <f>"182078"</f>
        <v>182078</v>
      </c>
      <c r="F1106" t="str">
        <f t="shared" si="19"/>
        <v>33200000</v>
      </c>
      <c r="H1106" t="s">
        <v>3581</v>
      </c>
      <c r="K1106" s="4">
        <v>6000</v>
      </c>
    </row>
    <row r="1107" spans="1:11" hidden="1" outlineLevel="2" x14ac:dyDescent="0.35">
      <c r="A1107" t="s">
        <v>3115</v>
      </c>
      <c r="B1107" s="1">
        <v>45721</v>
      </c>
      <c r="C1107" t="str">
        <f>"970"</f>
        <v>970</v>
      </c>
      <c r="D1107" t="s">
        <v>3592</v>
      </c>
      <c r="E1107" t="str">
        <f>"182079"</f>
        <v>182079</v>
      </c>
      <c r="F1107" t="str">
        <f t="shared" si="19"/>
        <v>33200000</v>
      </c>
      <c r="H1107" t="s">
        <v>3593</v>
      </c>
      <c r="K1107" s="4">
        <v>21122</v>
      </c>
    </row>
    <row r="1108" spans="1:11" hidden="1" outlineLevel="2" x14ac:dyDescent="0.35">
      <c r="A1108" t="s">
        <v>3115</v>
      </c>
      <c r="B1108" s="1">
        <v>45721</v>
      </c>
      <c r="C1108" t="str">
        <f>"973"</f>
        <v>973</v>
      </c>
      <c r="D1108" t="s">
        <v>3598</v>
      </c>
      <c r="E1108" t="str">
        <f>"183280"</f>
        <v>183280</v>
      </c>
      <c r="F1108" t="str">
        <f t="shared" si="19"/>
        <v>33200000</v>
      </c>
      <c r="H1108" t="s">
        <v>3599</v>
      </c>
      <c r="K1108" s="4">
        <v>15285</v>
      </c>
    </row>
    <row r="1109" spans="1:11" hidden="1" outlineLevel="2" x14ac:dyDescent="0.35">
      <c r="A1109" t="s">
        <v>3115</v>
      </c>
      <c r="B1109" s="1">
        <v>45722</v>
      </c>
      <c r="C1109" t="str">
        <f>"974"</f>
        <v>974</v>
      </c>
      <c r="D1109" t="s">
        <v>3600</v>
      </c>
      <c r="E1109" t="str">
        <f>"170686"</f>
        <v>170686</v>
      </c>
      <c r="F1109" t="str">
        <f t="shared" si="19"/>
        <v>33200000</v>
      </c>
      <c r="H1109" t="s">
        <v>3601</v>
      </c>
      <c r="K1109" s="4">
        <v>3178</v>
      </c>
    </row>
    <row r="1110" spans="1:11" hidden="1" outlineLevel="2" x14ac:dyDescent="0.35">
      <c r="A1110" t="s">
        <v>3115</v>
      </c>
      <c r="B1110" s="1">
        <v>45722</v>
      </c>
      <c r="C1110" t="str">
        <f>"975"</f>
        <v>975</v>
      </c>
      <c r="D1110" t="s">
        <v>3602</v>
      </c>
      <c r="E1110" t="str">
        <f>"147261"</f>
        <v>147261</v>
      </c>
      <c r="F1110" t="str">
        <f t="shared" si="19"/>
        <v>33200000</v>
      </c>
      <c r="H1110" t="s">
        <v>3603</v>
      </c>
      <c r="K1110" s="4">
        <v>74976</v>
      </c>
    </row>
    <row r="1111" spans="1:11" hidden="1" outlineLevel="2" x14ac:dyDescent="0.35">
      <c r="A1111" t="s">
        <v>3115</v>
      </c>
      <c r="B1111" s="1">
        <v>45722</v>
      </c>
      <c r="C1111" t="str">
        <f>"977"</f>
        <v>977</v>
      </c>
      <c r="D1111" t="s">
        <v>3606</v>
      </c>
      <c r="E1111" t="str">
        <f>"178443"</f>
        <v>178443</v>
      </c>
      <c r="F1111" t="str">
        <f t="shared" si="19"/>
        <v>33200000</v>
      </c>
      <c r="H1111" t="s">
        <v>3607</v>
      </c>
      <c r="K1111" s="4">
        <v>91762</v>
      </c>
    </row>
    <row r="1112" spans="1:11" hidden="1" outlineLevel="2" x14ac:dyDescent="0.35">
      <c r="A1112" t="s">
        <v>3115</v>
      </c>
      <c r="B1112" s="1">
        <v>45722</v>
      </c>
      <c r="C1112" t="str">
        <f>"978"</f>
        <v>978</v>
      </c>
      <c r="D1112" t="s">
        <v>3608</v>
      </c>
      <c r="E1112" t="str">
        <f>"178439"</f>
        <v>178439</v>
      </c>
      <c r="F1112" t="str">
        <f t="shared" si="19"/>
        <v>33200000</v>
      </c>
      <c r="H1112" t="s">
        <v>3609</v>
      </c>
      <c r="K1112" s="4">
        <v>31304</v>
      </c>
    </row>
    <row r="1113" spans="1:11" hidden="1" outlineLevel="2" x14ac:dyDescent="0.35">
      <c r="A1113" t="s">
        <v>3115</v>
      </c>
      <c r="B1113" s="1">
        <v>45722</v>
      </c>
      <c r="C1113" t="str">
        <f>"979"</f>
        <v>979</v>
      </c>
      <c r="D1113" t="s">
        <v>3610</v>
      </c>
      <c r="E1113" t="str">
        <f>"183323"</f>
        <v>183323</v>
      </c>
      <c r="F1113" t="str">
        <f t="shared" si="19"/>
        <v>33200000</v>
      </c>
      <c r="H1113" t="s">
        <v>3611</v>
      </c>
      <c r="K1113" s="4">
        <v>2506</v>
      </c>
    </row>
    <row r="1114" spans="1:11" hidden="1" outlineLevel="2" x14ac:dyDescent="0.35">
      <c r="A1114" t="s">
        <v>3115</v>
      </c>
      <c r="B1114" s="1">
        <v>45722</v>
      </c>
      <c r="C1114" t="str">
        <f>"984"</f>
        <v>984</v>
      </c>
      <c r="D1114" t="s">
        <v>3620</v>
      </c>
      <c r="E1114" t="str">
        <f>"182193"</f>
        <v>182193</v>
      </c>
      <c r="F1114" t="str">
        <f t="shared" si="19"/>
        <v>33200000</v>
      </c>
      <c r="H1114" t="s">
        <v>3621</v>
      </c>
      <c r="K1114" s="4">
        <v>6356</v>
      </c>
    </row>
    <row r="1115" spans="1:11" hidden="1" outlineLevel="2" x14ac:dyDescent="0.35">
      <c r="A1115" t="s">
        <v>3115</v>
      </c>
      <c r="B1115" s="1">
        <v>45722</v>
      </c>
      <c r="C1115" t="str">
        <f>"986"</f>
        <v>986</v>
      </c>
      <c r="D1115" t="s">
        <v>3624</v>
      </c>
      <c r="E1115" t="str">
        <f>"183281"</f>
        <v>183281</v>
      </c>
      <c r="F1115" t="str">
        <f t="shared" si="19"/>
        <v>33200000</v>
      </c>
      <c r="H1115" t="s">
        <v>3625</v>
      </c>
      <c r="K1115" s="4">
        <v>2952</v>
      </c>
    </row>
    <row r="1116" spans="1:11" hidden="1" outlineLevel="2" x14ac:dyDescent="0.35">
      <c r="A1116" t="s">
        <v>3115</v>
      </c>
      <c r="B1116" s="1">
        <v>45722</v>
      </c>
      <c r="C1116" t="str">
        <f>"987"</f>
        <v>987</v>
      </c>
      <c r="D1116" t="s">
        <v>3626</v>
      </c>
      <c r="E1116" t="str">
        <f>"183282"</f>
        <v>183282</v>
      </c>
      <c r="F1116" t="str">
        <f t="shared" si="19"/>
        <v>33200000</v>
      </c>
      <c r="H1116" t="s">
        <v>3627</v>
      </c>
      <c r="K1116" s="4">
        <v>26567</v>
      </c>
    </row>
    <row r="1117" spans="1:11" hidden="1" outlineLevel="2" x14ac:dyDescent="0.35">
      <c r="A1117" t="s">
        <v>3115</v>
      </c>
      <c r="B1117" s="1">
        <v>45722</v>
      </c>
      <c r="C1117" t="str">
        <f>"988"</f>
        <v>988</v>
      </c>
      <c r="D1117" t="s">
        <v>3628</v>
      </c>
      <c r="E1117" t="str">
        <f>"183282"</f>
        <v>183282</v>
      </c>
      <c r="F1117" t="str">
        <f t="shared" si="19"/>
        <v>33200000</v>
      </c>
      <c r="H1117" t="s">
        <v>3629</v>
      </c>
      <c r="K1117" s="4">
        <v>230</v>
      </c>
    </row>
    <row r="1118" spans="1:11" hidden="1" outlineLevel="2" x14ac:dyDescent="0.35">
      <c r="A1118" t="s">
        <v>3115</v>
      </c>
      <c r="B1118" s="1">
        <v>45722</v>
      </c>
      <c r="C1118" t="str">
        <f>"989"</f>
        <v>989</v>
      </c>
      <c r="D1118" t="s">
        <v>3630</v>
      </c>
      <c r="E1118" t="str">
        <f>"177521"</f>
        <v>177521</v>
      </c>
      <c r="F1118" t="str">
        <f t="shared" si="19"/>
        <v>33200000</v>
      </c>
      <c r="H1118" t="s">
        <v>3631</v>
      </c>
      <c r="K1118" s="4">
        <v>122270</v>
      </c>
    </row>
    <row r="1119" spans="1:11" hidden="1" outlineLevel="2" x14ac:dyDescent="0.35">
      <c r="A1119" t="s">
        <v>3115</v>
      </c>
      <c r="B1119" s="1">
        <v>45722</v>
      </c>
      <c r="C1119" t="str">
        <f>"992"</f>
        <v>992</v>
      </c>
      <c r="D1119" t="s">
        <v>3636</v>
      </c>
      <c r="E1119" t="str">
        <f>"177523"</f>
        <v>177523</v>
      </c>
      <c r="F1119" t="str">
        <f t="shared" si="19"/>
        <v>33200000</v>
      </c>
      <c r="H1119" t="s">
        <v>3637</v>
      </c>
      <c r="K1119" s="4">
        <v>2500</v>
      </c>
    </row>
    <row r="1120" spans="1:11" hidden="1" outlineLevel="2" x14ac:dyDescent="0.35">
      <c r="A1120" t="s">
        <v>3115</v>
      </c>
      <c r="B1120" s="1">
        <v>45722</v>
      </c>
      <c r="C1120" t="str">
        <f>"993"</f>
        <v>993</v>
      </c>
      <c r="D1120" t="s">
        <v>3638</v>
      </c>
      <c r="E1120" t="str">
        <f>"177524"</f>
        <v>177524</v>
      </c>
      <c r="F1120" t="str">
        <f t="shared" si="19"/>
        <v>33200000</v>
      </c>
      <c r="H1120" t="s">
        <v>3639</v>
      </c>
      <c r="K1120" s="4">
        <v>2500</v>
      </c>
    </row>
    <row r="1121" spans="1:11" hidden="1" outlineLevel="2" x14ac:dyDescent="0.35">
      <c r="A1121" t="s">
        <v>3115</v>
      </c>
      <c r="B1121" s="1">
        <v>45722</v>
      </c>
      <c r="C1121" t="str">
        <f>"995"</f>
        <v>995</v>
      </c>
      <c r="D1121" t="s">
        <v>3642</v>
      </c>
      <c r="E1121" t="str">
        <f>"182253"</f>
        <v>182253</v>
      </c>
      <c r="F1121" t="str">
        <f t="shared" si="19"/>
        <v>33200000</v>
      </c>
      <c r="H1121" t="s">
        <v>3643</v>
      </c>
      <c r="K1121" s="4">
        <v>6356</v>
      </c>
    </row>
    <row r="1122" spans="1:11" hidden="1" outlineLevel="2" x14ac:dyDescent="0.35">
      <c r="A1122" t="s">
        <v>3115</v>
      </c>
      <c r="B1122" s="1">
        <v>45722</v>
      </c>
      <c r="C1122" t="str">
        <f>"996"</f>
        <v>996</v>
      </c>
      <c r="D1122" t="s">
        <v>3644</v>
      </c>
      <c r="E1122" t="str">
        <f>"177518"</f>
        <v>177518</v>
      </c>
      <c r="F1122" t="str">
        <f t="shared" si="19"/>
        <v>33200000</v>
      </c>
      <c r="H1122" t="s">
        <v>3645</v>
      </c>
      <c r="K1122" s="4">
        <v>189310</v>
      </c>
    </row>
    <row r="1123" spans="1:11" hidden="1" outlineLevel="2" x14ac:dyDescent="0.35">
      <c r="A1123" t="s">
        <v>3115</v>
      </c>
      <c r="B1123" s="1">
        <v>45722</v>
      </c>
      <c r="C1123" t="str">
        <f>"998"</f>
        <v>998</v>
      </c>
      <c r="D1123" t="s">
        <v>3648</v>
      </c>
      <c r="E1123" t="str">
        <f>"177519"</f>
        <v>177519</v>
      </c>
      <c r="F1123" t="str">
        <f t="shared" si="19"/>
        <v>33200000</v>
      </c>
      <c r="H1123" t="s">
        <v>3649</v>
      </c>
      <c r="K1123" s="4">
        <v>15941</v>
      </c>
    </row>
    <row r="1124" spans="1:11" hidden="1" outlineLevel="2" x14ac:dyDescent="0.35">
      <c r="A1124" t="s">
        <v>3115</v>
      </c>
      <c r="B1124" s="1">
        <v>45722</v>
      </c>
      <c r="C1124" t="str">
        <f>"999"</f>
        <v>999</v>
      </c>
      <c r="D1124" t="s">
        <v>3650</v>
      </c>
      <c r="E1124" t="str">
        <f>"177520"</f>
        <v>177520</v>
      </c>
      <c r="F1124" t="str">
        <f t="shared" si="19"/>
        <v>33200000</v>
      </c>
      <c r="H1124" t="s">
        <v>3651</v>
      </c>
      <c r="K1124" s="4">
        <v>2886</v>
      </c>
    </row>
    <row r="1125" spans="1:11" hidden="1" outlineLevel="2" x14ac:dyDescent="0.35">
      <c r="A1125" t="s">
        <v>3115</v>
      </c>
      <c r="B1125" s="1">
        <v>45722</v>
      </c>
      <c r="C1125" t="str">
        <f>"1002"</f>
        <v>1002</v>
      </c>
      <c r="D1125" t="s">
        <v>3656</v>
      </c>
      <c r="E1125" t="str">
        <f>"180358"</f>
        <v>180358</v>
      </c>
      <c r="F1125" t="str">
        <f t="shared" si="19"/>
        <v>33200000</v>
      </c>
      <c r="H1125" t="s">
        <v>3657</v>
      </c>
      <c r="K1125" s="4">
        <v>250000</v>
      </c>
    </row>
    <row r="1126" spans="1:11" hidden="1" outlineLevel="2" x14ac:dyDescent="0.35">
      <c r="A1126" t="s">
        <v>3115</v>
      </c>
      <c r="B1126" s="1">
        <v>45722</v>
      </c>
      <c r="C1126" t="str">
        <f>"1003"</f>
        <v>1003</v>
      </c>
      <c r="D1126" t="s">
        <v>3658</v>
      </c>
      <c r="E1126" t="str">
        <f>"180361"</f>
        <v>180361</v>
      </c>
      <c r="F1126" t="str">
        <f t="shared" si="19"/>
        <v>33200000</v>
      </c>
      <c r="H1126" t="s">
        <v>3659</v>
      </c>
      <c r="K1126" s="4">
        <v>250000</v>
      </c>
    </row>
    <row r="1127" spans="1:11" hidden="1" outlineLevel="2" x14ac:dyDescent="0.35">
      <c r="A1127" t="s">
        <v>3115</v>
      </c>
      <c r="B1127" s="1">
        <v>45722</v>
      </c>
      <c r="C1127" t="str">
        <f>"1005"</f>
        <v>1005</v>
      </c>
      <c r="D1127" t="s">
        <v>3662</v>
      </c>
      <c r="E1127" t="str">
        <f>"177672"</f>
        <v>177672</v>
      </c>
      <c r="F1127" t="str">
        <f t="shared" si="19"/>
        <v>33200000</v>
      </c>
      <c r="H1127" t="s">
        <v>3663</v>
      </c>
      <c r="K1127" s="4">
        <v>200002</v>
      </c>
    </row>
    <row r="1128" spans="1:11" hidden="1" outlineLevel="2" x14ac:dyDescent="0.35">
      <c r="A1128" t="s">
        <v>3115</v>
      </c>
      <c r="B1128" s="1">
        <v>45722</v>
      </c>
      <c r="C1128" t="str">
        <f>"1007"</f>
        <v>1007</v>
      </c>
      <c r="D1128" t="s">
        <v>3666</v>
      </c>
      <c r="E1128" t="str">
        <f>"181922"</f>
        <v>181922</v>
      </c>
      <c r="F1128" t="str">
        <f t="shared" si="19"/>
        <v>33200000</v>
      </c>
      <c r="H1128" t="s">
        <v>3667</v>
      </c>
      <c r="K1128" s="4">
        <v>11677</v>
      </c>
    </row>
    <row r="1129" spans="1:11" hidden="1" outlineLevel="2" x14ac:dyDescent="0.35">
      <c r="A1129" t="s">
        <v>3115</v>
      </c>
      <c r="B1129" s="1">
        <v>45722</v>
      </c>
      <c r="C1129" t="str">
        <f>"1008"</f>
        <v>1008</v>
      </c>
      <c r="D1129" t="s">
        <v>3668</v>
      </c>
      <c r="E1129" t="str">
        <f>"183284"</f>
        <v>183284</v>
      </c>
      <c r="F1129" t="str">
        <f t="shared" si="19"/>
        <v>33200000</v>
      </c>
      <c r="H1129" t="s">
        <v>3669</v>
      </c>
      <c r="K1129" s="4">
        <v>1837</v>
      </c>
    </row>
    <row r="1130" spans="1:11" hidden="1" outlineLevel="2" x14ac:dyDescent="0.35">
      <c r="A1130" t="s">
        <v>3115</v>
      </c>
      <c r="B1130" s="1">
        <v>45722</v>
      </c>
      <c r="C1130" t="str">
        <f>"1009"</f>
        <v>1009</v>
      </c>
      <c r="D1130" t="s">
        <v>3670</v>
      </c>
      <c r="E1130" t="str">
        <f>"183286"</f>
        <v>183286</v>
      </c>
      <c r="F1130" t="str">
        <f t="shared" si="19"/>
        <v>33200000</v>
      </c>
      <c r="H1130" t="s">
        <v>3671</v>
      </c>
      <c r="K1130" s="4">
        <v>4002</v>
      </c>
    </row>
    <row r="1131" spans="1:11" hidden="1" outlineLevel="2" x14ac:dyDescent="0.35">
      <c r="A1131" t="s">
        <v>3115</v>
      </c>
      <c r="B1131" s="1">
        <v>45722</v>
      </c>
      <c r="C1131" t="str">
        <f>"1010"</f>
        <v>1010</v>
      </c>
      <c r="D1131" t="s">
        <v>3672</v>
      </c>
      <c r="E1131" t="str">
        <f>"183285"</f>
        <v>183285</v>
      </c>
      <c r="F1131" t="str">
        <f t="shared" si="19"/>
        <v>33200000</v>
      </c>
      <c r="H1131" t="s">
        <v>3673</v>
      </c>
      <c r="K1131" s="4">
        <v>6166</v>
      </c>
    </row>
    <row r="1132" spans="1:11" hidden="1" outlineLevel="2" x14ac:dyDescent="0.35">
      <c r="A1132" t="s">
        <v>3115</v>
      </c>
      <c r="B1132" s="1">
        <v>45723</v>
      </c>
      <c r="C1132" t="str">
        <f>"1012"</f>
        <v>1012</v>
      </c>
      <c r="D1132" t="s">
        <v>3676</v>
      </c>
      <c r="E1132" t="str">
        <f>"179553"</f>
        <v>179553</v>
      </c>
      <c r="F1132" t="str">
        <f t="shared" si="19"/>
        <v>33200000</v>
      </c>
      <c r="H1132" t="s">
        <v>3677</v>
      </c>
      <c r="K1132" s="4">
        <v>11539</v>
      </c>
    </row>
    <row r="1133" spans="1:11" hidden="1" outlineLevel="2" x14ac:dyDescent="0.35">
      <c r="A1133" t="s">
        <v>3115</v>
      </c>
      <c r="B1133" s="1">
        <v>45723</v>
      </c>
      <c r="C1133" t="str">
        <f>"1013"</f>
        <v>1013</v>
      </c>
      <c r="D1133" t="s">
        <v>3678</v>
      </c>
      <c r="E1133" t="str">
        <f>"179434"</f>
        <v>179434</v>
      </c>
      <c r="F1133" t="str">
        <f t="shared" si="19"/>
        <v>33200000</v>
      </c>
      <c r="H1133" t="s">
        <v>3679</v>
      </c>
      <c r="K1133" s="4">
        <v>34000</v>
      </c>
    </row>
    <row r="1134" spans="1:11" hidden="1" outlineLevel="2" x14ac:dyDescent="0.35">
      <c r="A1134" t="s">
        <v>3115</v>
      </c>
      <c r="B1134" s="1">
        <v>45723</v>
      </c>
      <c r="C1134" t="str">
        <f>"1014"</f>
        <v>1014</v>
      </c>
      <c r="D1134" t="s">
        <v>3680</v>
      </c>
      <c r="E1134" t="str">
        <f>"182066"</f>
        <v>182066</v>
      </c>
      <c r="F1134" t="str">
        <f t="shared" si="19"/>
        <v>33200000</v>
      </c>
      <c r="H1134" t="s">
        <v>3681</v>
      </c>
      <c r="K1134" s="4">
        <v>8000</v>
      </c>
    </row>
    <row r="1135" spans="1:11" hidden="1" outlineLevel="2" x14ac:dyDescent="0.35">
      <c r="A1135" t="s">
        <v>3115</v>
      </c>
      <c r="B1135" s="1">
        <v>45723</v>
      </c>
      <c r="C1135" t="str">
        <f>"1015"</f>
        <v>1015</v>
      </c>
      <c r="D1135" t="s">
        <v>3682</v>
      </c>
      <c r="E1135" t="str">
        <f>"180943"</f>
        <v>180943</v>
      </c>
      <c r="F1135" t="str">
        <f t="shared" si="19"/>
        <v>33200000</v>
      </c>
      <c r="H1135" t="s">
        <v>3683</v>
      </c>
      <c r="K1135" s="4">
        <v>45000</v>
      </c>
    </row>
    <row r="1136" spans="1:11" hidden="1" outlineLevel="2" x14ac:dyDescent="0.35">
      <c r="A1136" t="s">
        <v>3115</v>
      </c>
      <c r="B1136" s="1">
        <v>45723</v>
      </c>
      <c r="C1136" t="str">
        <f>"1016"</f>
        <v>1016</v>
      </c>
      <c r="D1136" t="s">
        <v>3684</v>
      </c>
      <c r="E1136" t="str">
        <f>"181975"</f>
        <v>181975</v>
      </c>
      <c r="F1136" t="str">
        <f t="shared" si="19"/>
        <v>33200000</v>
      </c>
      <c r="H1136" t="s">
        <v>3685</v>
      </c>
      <c r="K1136" s="4">
        <v>300000</v>
      </c>
    </row>
    <row r="1137" spans="1:11" hidden="1" outlineLevel="2" x14ac:dyDescent="0.35">
      <c r="A1137" t="s">
        <v>3115</v>
      </c>
      <c r="B1137" s="1">
        <v>45723</v>
      </c>
      <c r="C1137" t="str">
        <f>"1017"</f>
        <v>1017</v>
      </c>
      <c r="D1137" t="s">
        <v>3686</v>
      </c>
      <c r="E1137" t="str">
        <f>"181721"</f>
        <v>181721</v>
      </c>
      <c r="F1137" t="str">
        <f t="shared" si="19"/>
        <v>33200000</v>
      </c>
      <c r="H1137" t="s">
        <v>3687</v>
      </c>
      <c r="K1137" s="4">
        <v>25000</v>
      </c>
    </row>
    <row r="1138" spans="1:11" hidden="1" outlineLevel="2" x14ac:dyDescent="0.35">
      <c r="A1138" t="s">
        <v>3115</v>
      </c>
      <c r="B1138" s="1">
        <v>45723</v>
      </c>
      <c r="C1138" t="str">
        <f>"1018"</f>
        <v>1018</v>
      </c>
      <c r="D1138" t="s">
        <v>3688</v>
      </c>
      <c r="E1138" t="str">
        <f>"180062"</f>
        <v>180062</v>
      </c>
      <c r="F1138" t="str">
        <f t="shared" ref="F1138:F1201" si="20">"33200000"</f>
        <v>33200000</v>
      </c>
      <c r="H1138" t="s">
        <v>3689</v>
      </c>
      <c r="K1138" s="4">
        <v>150000</v>
      </c>
    </row>
    <row r="1139" spans="1:11" hidden="1" outlineLevel="2" x14ac:dyDescent="0.35">
      <c r="A1139" t="s">
        <v>3115</v>
      </c>
      <c r="B1139" s="1">
        <v>45723</v>
      </c>
      <c r="C1139" t="str">
        <f>"1019"</f>
        <v>1019</v>
      </c>
      <c r="D1139" t="s">
        <v>3690</v>
      </c>
      <c r="E1139" t="str">
        <f>"180139"</f>
        <v>180139</v>
      </c>
      <c r="F1139" t="str">
        <f t="shared" si="20"/>
        <v>33200000</v>
      </c>
      <c r="H1139" t="s">
        <v>3691</v>
      </c>
      <c r="K1139" s="4">
        <v>75000</v>
      </c>
    </row>
    <row r="1140" spans="1:11" hidden="1" outlineLevel="2" x14ac:dyDescent="0.35">
      <c r="A1140" t="s">
        <v>3115</v>
      </c>
      <c r="B1140" s="1">
        <v>45723</v>
      </c>
      <c r="C1140" t="str">
        <f>"1020"</f>
        <v>1020</v>
      </c>
      <c r="D1140" t="s">
        <v>3692</v>
      </c>
      <c r="E1140" t="str">
        <f>"180131"</f>
        <v>180131</v>
      </c>
      <c r="F1140" t="str">
        <f t="shared" si="20"/>
        <v>33200000</v>
      </c>
      <c r="H1140" t="s">
        <v>3693</v>
      </c>
      <c r="K1140" s="4">
        <v>175000</v>
      </c>
    </row>
    <row r="1141" spans="1:11" hidden="1" outlineLevel="2" x14ac:dyDescent="0.35">
      <c r="A1141" t="s">
        <v>3115</v>
      </c>
      <c r="B1141" s="1">
        <v>45723</v>
      </c>
      <c r="C1141" t="str">
        <f>"1021"</f>
        <v>1021</v>
      </c>
      <c r="D1141" t="s">
        <v>3694</v>
      </c>
      <c r="E1141" t="str">
        <f>"181971"</f>
        <v>181971</v>
      </c>
      <c r="F1141" t="str">
        <f t="shared" si="20"/>
        <v>33200000</v>
      </c>
      <c r="H1141" t="s">
        <v>3695</v>
      </c>
      <c r="K1141" s="4">
        <v>300</v>
      </c>
    </row>
    <row r="1142" spans="1:11" hidden="1" outlineLevel="2" x14ac:dyDescent="0.35">
      <c r="A1142" t="s">
        <v>3115</v>
      </c>
      <c r="B1142" s="1">
        <v>45723</v>
      </c>
      <c r="C1142" t="str">
        <f>"1022"</f>
        <v>1022</v>
      </c>
      <c r="D1142" t="s">
        <v>3696</v>
      </c>
      <c r="E1142" t="str">
        <f>"147207"</f>
        <v>147207</v>
      </c>
      <c r="F1142" t="str">
        <f t="shared" si="20"/>
        <v>33200000</v>
      </c>
      <c r="H1142" t="s">
        <v>3697</v>
      </c>
      <c r="K1142" s="4">
        <v>60554</v>
      </c>
    </row>
    <row r="1143" spans="1:11" hidden="1" outlineLevel="2" x14ac:dyDescent="0.35">
      <c r="A1143" t="s">
        <v>3115</v>
      </c>
      <c r="B1143" s="1">
        <v>45723</v>
      </c>
      <c r="C1143" t="str">
        <f>"1023"</f>
        <v>1023</v>
      </c>
      <c r="D1143" t="s">
        <v>3698</v>
      </c>
      <c r="E1143" t="str">
        <f>"181811"</f>
        <v>181811</v>
      </c>
      <c r="F1143" t="str">
        <f t="shared" si="20"/>
        <v>33200000</v>
      </c>
      <c r="H1143" t="s">
        <v>3699</v>
      </c>
      <c r="K1143" s="4">
        <v>150000</v>
      </c>
    </row>
    <row r="1144" spans="1:11" hidden="1" outlineLevel="2" x14ac:dyDescent="0.35">
      <c r="A1144" t="s">
        <v>3115</v>
      </c>
      <c r="B1144" s="1">
        <v>45723</v>
      </c>
      <c r="C1144" t="str">
        <f>"1024"</f>
        <v>1024</v>
      </c>
      <c r="D1144" t="s">
        <v>3700</v>
      </c>
      <c r="E1144" t="str">
        <f>"181719"</f>
        <v>181719</v>
      </c>
      <c r="F1144" t="str">
        <f t="shared" si="20"/>
        <v>33200000</v>
      </c>
      <c r="H1144" t="s">
        <v>3701</v>
      </c>
      <c r="K1144" s="4">
        <v>160000</v>
      </c>
    </row>
    <row r="1145" spans="1:11" hidden="1" outlineLevel="2" x14ac:dyDescent="0.35">
      <c r="A1145" t="s">
        <v>3115</v>
      </c>
      <c r="B1145" s="1">
        <v>45723</v>
      </c>
      <c r="C1145" t="str">
        <f>"1025"</f>
        <v>1025</v>
      </c>
      <c r="D1145" t="s">
        <v>3702</v>
      </c>
      <c r="E1145" t="str">
        <f>"179885"</f>
        <v>179885</v>
      </c>
      <c r="F1145" t="str">
        <f t="shared" si="20"/>
        <v>33200000</v>
      </c>
      <c r="H1145" t="s">
        <v>3703</v>
      </c>
      <c r="K1145" s="4">
        <v>65000</v>
      </c>
    </row>
    <row r="1146" spans="1:11" hidden="1" outlineLevel="2" x14ac:dyDescent="0.35">
      <c r="A1146" t="s">
        <v>3115</v>
      </c>
      <c r="B1146" s="1">
        <v>45723</v>
      </c>
      <c r="C1146" t="str">
        <f>"1026"</f>
        <v>1026</v>
      </c>
      <c r="D1146" t="s">
        <v>3704</v>
      </c>
      <c r="E1146" t="str">
        <f>"181868"</f>
        <v>181868</v>
      </c>
      <c r="F1146" t="str">
        <f t="shared" si="20"/>
        <v>33200000</v>
      </c>
      <c r="H1146" t="s">
        <v>3705</v>
      </c>
      <c r="K1146" s="4">
        <v>40000</v>
      </c>
    </row>
    <row r="1147" spans="1:11" hidden="1" outlineLevel="2" x14ac:dyDescent="0.35">
      <c r="A1147" t="s">
        <v>3115</v>
      </c>
      <c r="B1147" s="1">
        <v>45723</v>
      </c>
      <c r="C1147" t="str">
        <f>"1027"</f>
        <v>1027</v>
      </c>
      <c r="D1147" t="s">
        <v>3706</v>
      </c>
      <c r="E1147" t="str">
        <f>"181720"</f>
        <v>181720</v>
      </c>
      <c r="F1147" t="str">
        <f t="shared" si="20"/>
        <v>33200000</v>
      </c>
      <c r="H1147" t="s">
        <v>3707</v>
      </c>
      <c r="K1147" s="4">
        <v>340000</v>
      </c>
    </row>
    <row r="1148" spans="1:11" hidden="1" outlineLevel="2" x14ac:dyDescent="0.35">
      <c r="A1148" t="s">
        <v>3115</v>
      </c>
      <c r="B1148" s="1">
        <v>45723</v>
      </c>
      <c r="C1148" t="str">
        <f>"1028"</f>
        <v>1028</v>
      </c>
      <c r="D1148" t="s">
        <v>3708</v>
      </c>
      <c r="E1148" t="str">
        <f>"180060"</f>
        <v>180060</v>
      </c>
      <c r="F1148" t="str">
        <f t="shared" si="20"/>
        <v>33200000</v>
      </c>
      <c r="H1148" t="s">
        <v>3709</v>
      </c>
      <c r="K1148" s="4">
        <v>320000</v>
      </c>
    </row>
    <row r="1149" spans="1:11" hidden="1" outlineLevel="2" x14ac:dyDescent="0.35">
      <c r="A1149" t="s">
        <v>3115</v>
      </c>
      <c r="B1149" s="1">
        <v>45723</v>
      </c>
      <c r="C1149" t="str">
        <f>"1029"</f>
        <v>1029</v>
      </c>
      <c r="D1149" t="s">
        <v>3710</v>
      </c>
      <c r="E1149" t="str">
        <f>"181182"</f>
        <v>181182</v>
      </c>
      <c r="F1149" t="str">
        <f t="shared" si="20"/>
        <v>33200000</v>
      </c>
      <c r="H1149" t="s">
        <v>3711</v>
      </c>
      <c r="K1149" s="4">
        <v>65000</v>
      </c>
    </row>
    <row r="1150" spans="1:11" hidden="1" outlineLevel="2" x14ac:dyDescent="0.35">
      <c r="A1150" t="s">
        <v>3115</v>
      </c>
      <c r="B1150" s="1">
        <v>45723</v>
      </c>
      <c r="C1150" t="str">
        <f>"1030"</f>
        <v>1030</v>
      </c>
      <c r="D1150" t="s">
        <v>3712</v>
      </c>
      <c r="E1150" t="str">
        <f>"181995"</f>
        <v>181995</v>
      </c>
      <c r="F1150" t="str">
        <f t="shared" si="20"/>
        <v>33200000</v>
      </c>
      <c r="H1150" t="s">
        <v>3713</v>
      </c>
      <c r="K1150" s="4">
        <v>850000</v>
      </c>
    </row>
    <row r="1151" spans="1:11" hidden="1" outlineLevel="2" x14ac:dyDescent="0.35">
      <c r="A1151" t="s">
        <v>3115</v>
      </c>
      <c r="B1151" s="1">
        <v>45723</v>
      </c>
      <c r="C1151" t="str">
        <f>"1031"</f>
        <v>1031</v>
      </c>
      <c r="D1151" t="s">
        <v>3714</v>
      </c>
      <c r="E1151" t="str">
        <f>"181821"</f>
        <v>181821</v>
      </c>
      <c r="F1151" t="str">
        <f t="shared" si="20"/>
        <v>33200000</v>
      </c>
      <c r="H1151" t="s">
        <v>3715</v>
      </c>
      <c r="K1151" s="4">
        <v>190000</v>
      </c>
    </row>
    <row r="1152" spans="1:11" hidden="1" outlineLevel="2" x14ac:dyDescent="0.35">
      <c r="A1152" t="s">
        <v>3115</v>
      </c>
      <c r="B1152" s="1">
        <v>45723</v>
      </c>
      <c r="C1152" t="str">
        <f>"1032"</f>
        <v>1032</v>
      </c>
      <c r="D1152" t="s">
        <v>3716</v>
      </c>
      <c r="E1152" t="str">
        <f>"181990"</f>
        <v>181990</v>
      </c>
      <c r="F1152" t="str">
        <f t="shared" si="20"/>
        <v>33200000</v>
      </c>
      <c r="H1152" t="s">
        <v>3717</v>
      </c>
      <c r="K1152" s="4">
        <v>24000</v>
      </c>
    </row>
    <row r="1153" spans="1:11" hidden="1" outlineLevel="2" x14ac:dyDescent="0.35">
      <c r="A1153" t="s">
        <v>3115</v>
      </c>
      <c r="B1153" s="1">
        <v>45723</v>
      </c>
      <c r="C1153" t="str">
        <f>"1033"</f>
        <v>1033</v>
      </c>
      <c r="D1153" t="s">
        <v>3718</v>
      </c>
      <c r="E1153" t="str">
        <f>"181187"</f>
        <v>181187</v>
      </c>
      <c r="F1153" t="str">
        <f t="shared" si="20"/>
        <v>33200000</v>
      </c>
      <c r="H1153" t="s">
        <v>3719</v>
      </c>
      <c r="K1153" s="4">
        <v>65000</v>
      </c>
    </row>
    <row r="1154" spans="1:11" hidden="1" outlineLevel="2" x14ac:dyDescent="0.35">
      <c r="A1154" t="s">
        <v>3115</v>
      </c>
      <c r="B1154" s="1">
        <v>45723</v>
      </c>
      <c r="C1154" t="str">
        <f>"1034"</f>
        <v>1034</v>
      </c>
      <c r="D1154" t="s">
        <v>3720</v>
      </c>
      <c r="E1154" t="str">
        <f>"181186"</f>
        <v>181186</v>
      </c>
      <c r="F1154" t="str">
        <f t="shared" si="20"/>
        <v>33200000</v>
      </c>
      <c r="H1154" t="s">
        <v>3721</v>
      </c>
      <c r="K1154" s="4">
        <v>65000</v>
      </c>
    </row>
    <row r="1155" spans="1:11" hidden="1" outlineLevel="2" x14ac:dyDescent="0.35">
      <c r="A1155" t="s">
        <v>3115</v>
      </c>
      <c r="B1155" s="1">
        <v>45723</v>
      </c>
      <c r="C1155" t="str">
        <f>"1035"</f>
        <v>1035</v>
      </c>
      <c r="D1155" t="s">
        <v>3722</v>
      </c>
      <c r="E1155" t="str">
        <f>"181183"</f>
        <v>181183</v>
      </c>
      <c r="F1155" t="str">
        <f t="shared" si="20"/>
        <v>33200000</v>
      </c>
      <c r="H1155" t="s">
        <v>3723</v>
      </c>
      <c r="K1155" s="4">
        <v>65000</v>
      </c>
    </row>
    <row r="1156" spans="1:11" hidden="1" outlineLevel="2" x14ac:dyDescent="0.35">
      <c r="A1156" t="s">
        <v>3115</v>
      </c>
      <c r="B1156" s="1">
        <v>45723</v>
      </c>
      <c r="C1156" t="str">
        <f>"1036"</f>
        <v>1036</v>
      </c>
      <c r="D1156" t="s">
        <v>3724</v>
      </c>
      <c r="E1156" t="str">
        <f>"182053"</f>
        <v>182053</v>
      </c>
      <c r="F1156" t="str">
        <f t="shared" si="20"/>
        <v>33200000</v>
      </c>
      <c r="H1156" t="s">
        <v>3725</v>
      </c>
      <c r="K1156" s="4">
        <v>80000</v>
      </c>
    </row>
    <row r="1157" spans="1:11" hidden="1" outlineLevel="2" x14ac:dyDescent="0.35">
      <c r="A1157" t="s">
        <v>3115</v>
      </c>
      <c r="B1157" s="1">
        <v>45723</v>
      </c>
      <c r="C1157" t="str">
        <f>"1037"</f>
        <v>1037</v>
      </c>
      <c r="D1157" t="s">
        <v>3726</v>
      </c>
      <c r="E1157" t="str">
        <f>"181870"</f>
        <v>181870</v>
      </c>
      <c r="F1157" t="str">
        <f t="shared" si="20"/>
        <v>33200000</v>
      </c>
      <c r="H1157" t="s">
        <v>3727</v>
      </c>
      <c r="K1157" s="4">
        <v>60000</v>
      </c>
    </row>
    <row r="1158" spans="1:11" hidden="1" outlineLevel="2" x14ac:dyDescent="0.35">
      <c r="A1158" t="s">
        <v>3115</v>
      </c>
      <c r="B1158" s="1">
        <v>45723</v>
      </c>
      <c r="C1158" t="str">
        <f>"1038"</f>
        <v>1038</v>
      </c>
      <c r="D1158" t="s">
        <v>3728</v>
      </c>
      <c r="E1158" t="str">
        <f>"182058"</f>
        <v>182058</v>
      </c>
      <c r="F1158" t="str">
        <f t="shared" si="20"/>
        <v>33200000</v>
      </c>
      <c r="H1158" t="s">
        <v>3729</v>
      </c>
      <c r="K1158" s="4">
        <v>65000</v>
      </c>
    </row>
    <row r="1159" spans="1:11" hidden="1" outlineLevel="2" x14ac:dyDescent="0.35">
      <c r="A1159" t="s">
        <v>3115</v>
      </c>
      <c r="B1159" s="1">
        <v>45723</v>
      </c>
      <c r="C1159" t="str">
        <f>"1039"</f>
        <v>1039</v>
      </c>
      <c r="D1159" t="s">
        <v>3730</v>
      </c>
      <c r="E1159" t="str">
        <f>"181729"</f>
        <v>181729</v>
      </c>
      <c r="F1159" t="str">
        <f t="shared" si="20"/>
        <v>33200000</v>
      </c>
      <c r="H1159" t="s">
        <v>3731</v>
      </c>
      <c r="K1159" s="4">
        <v>160000</v>
      </c>
    </row>
    <row r="1160" spans="1:11" hidden="1" outlineLevel="2" x14ac:dyDescent="0.35">
      <c r="A1160" t="s">
        <v>3115</v>
      </c>
      <c r="B1160" s="1">
        <v>45723</v>
      </c>
      <c r="C1160" t="str">
        <f>"1040"</f>
        <v>1040</v>
      </c>
      <c r="D1160" t="s">
        <v>3732</v>
      </c>
      <c r="E1160" t="str">
        <f>"181823"</f>
        <v>181823</v>
      </c>
      <c r="F1160" t="str">
        <f t="shared" si="20"/>
        <v>33200000</v>
      </c>
      <c r="H1160" t="s">
        <v>3733</v>
      </c>
      <c r="K1160" s="4">
        <v>80000</v>
      </c>
    </row>
    <row r="1161" spans="1:11" hidden="1" outlineLevel="2" x14ac:dyDescent="0.35">
      <c r="A1161" t="s">
        <v>3115</v>
      </c>
      <c r="B1161" s="1">
        <v>45723</v>
      </c>
      <c r="C1161" t="str">
        <f>"1041"</f>
        <v>1041</v>
      </c>
      <c r="D1161" t="s">
        <v>3734</v>
      </c>
      <c r="E1161" t="str">
        <f>"181822"</f>
        <v>181822</v>
      </c>
      <c r="F1161" t="str">
        <f t="shared" si="20"/>
        <v>33200000</v>
      </c>
      <c r="H1161" t="s">
        <v>3735</v>
      </c>
      <c r="K1161" s="4">
        <v>80000</v>
      </c>
    </row>
    <row r="1162" spans="1:11" hidden="1" outlineLevel="2" x14ac:dyDescent="0.35">
      <c r="A1162" t="s">
        <v>3115</v>
      </c>
      <c r="B1162" s="1">
        <v>45723</v>
      </c>
      <c r="C1162" t="str">
        <f>"1042"</f>
        <v>1042</v>
      </c>
      <c r="D1162" t="s">
        <v>3736</v>
      </c>
      <c r="E1162" t="str">
        <f>"181988"</f>
        <v>181988</v>
      </c>
      <c r="F1162" t="str">
        <f t="shared" si="20"/>
        <v>33200000</v>
      </c>
      <c r="H1162" t="s">
        <v>3737</v>
      </c>
      <c r="K1162" s="4">
        <v>330000</v>
      </c>
    </row>
    <row r="1163" spans="1:11" hidden="1" outlineLevel="2" x14ac:dyDescent="0.35">
      <c r="A1163" t="s">
        <v>3115</v>
      </c>
      <c r="B1163" s="1">
        <v>45723</v>
      </c>
      <c r="C1163" t="str">
        <f>"1043"</f>
        <v>1043</v>
      </c>
      <c r="D1163" t="s">
        <v>3738</v>
      </c>
      <c r="E1163" t="str">
        <f>"181191"</f>
        <v>181191</v>
      </c>
      <c r="F1163" t="str">
        <f t="shared" si="20"/>
        <v>33200000</v>
      </c>
      <c r="H1163" t="s">
        <v>3739</v>
      </c>
      <c r="K1163" s="4">
        <v>135000</v>
      </c>
    </row>
    <row r="1164" spans="1:11" hidden="1" outlineLevel="2" x14ac:dyDescent="0.35">
      <c r="A1164" t="s">
        <v>3115</v>
      </c>
      <c r="B1164" s="1">
        <v>45723</v>
      </c>
      <c r="C1164" t="str">
        <f>"1044"</f>
        <v>1044</v>
      </c>
      <c r="D1164" t="s">
        <v>3740</v>
      </c>
      <c r="E1164" t="str">
        <f>"181190"</f>
        <v>181190</v>
      </c>
      <c r="F1164" t="str">
        <f t="shared" si="20"/>
        <v>33200000</v>
      </c>
      <c r="H1164" t="s">
        <v>3741</v>
      </c>
      <c r="K1164" s="4">
        <v>65000</v>
      </c>
    </row>
    <row r="1165" spans="1:11" hidden="1" outlineLevel="2" x14ac:dyDescent="0.35">
      <c r="A1165" t="s">
        <v>3115</v>
      </c>
      <c r="B1165" s="1">
        <v>45723</v>
      </c>
      <c r="C1165" t="str">
        <f>"1045"</f>
        <v>1045</v>
      </c>
      <c r="D1165" t="s">
        <v>3742</v>
      </c>
      <c r="E1165" t="str">
        <f>"183289"</f>
        <v>183289</v>
      </c>
      <c r="F1165" t="str">
        <f t="shared" si="20"/>
        <v>33200000</v>
      </c>
      <c r="H1165" t="s">
        <v>3743</v>
      </c>
      <c r="K1165" s="4">
        <v>6035</v>
      </c>
    </row>
    <row r="1166" spans="1:11" hidden="1" outlineLevel="2" x14ac:dyDescent="0.35">
      <c r="A1166" t="s">
        <v>3115</v>
      </c>
      <c r="B1166" s="1">
        <v>45723</v>
      </c>
      <c r="C1166" t="str">
        <f>"1046"</f>
        <v>1046</v>
      </c>
      <c r="D1166" t="s">
        <v>3744</v>
      </c>
      <c r="E1166" t="str">
        <f>"183287"</f>
        <v>183287</v>
      </c>
      <c r="F1166" t="str">
        <f t="shared" si="20"/>
        <v>33200000</v>
      </c>
      <c r="H1166" t="s">
        <v>3745</v>
      </c>
      <c r="K1166" s="4">
        <v>4723</v>
      </c>
    </row>
    <row r="1167" spans="1:11" hidden="1" outlineLevel="2" x14ac:dyDescent="0.35">
      <c r="A1167" t="s">
        <v>3115</v>
      </c>
      <c r="B1167" s="1">
        <v>45723</v>
      </c>
      <c r="C1167" t="str">
        <f>"1047"</f>
        <v>1047</v>
      </c>
      <c r="D1167" t="s">
        <v>3746</v>
      </c>
      <c r="E1167" t="str">
        <f>"182136"</f>
        <v>182136</v>
      </c>
      <c r="F1167" t="str">
        <f t="shared" si="20"/>
        <v>33200000</v>
      </c>
      <c r="H1167" t="s">
        <v>3747</v>
      </c>
      <c r="K1167" s="4">
        <v>3739</v>
      </c>
    </row>
    <row r="1168" spans="1:11" hidden="1" outlineLevel="2" x14ac:dyDescent="0.35">
      <c r="A1168" t="s">
        <v>3115</v>
      </c>
      <c r="B1168" s="1">
        <v>45723</v>
      </c>
      <c r="C1168" t="str">
        <f>"1048"</f>
        <v>1048</v>
      </c>
      <c r="D1168" t="s">
        <v>3748</v>
      </c>
      <c r="E1168" t="str">
        <f>"181866"</f>
        <v>181866</v>
      </c>
      <c r="F1168" t="str">
        <f t="shared" si="20"/>
        <v>33200000</v>
      </c>
      <c r="H1168" t="s">
        <v>3749</v>
      </c>
      <c r="K1168" s="4">
        <v>300</v>
      </c>
    </row>
    <row r="1169" spans="1:11" hidden="1" outlineLevel="2" x14ac:dyDescent="0.35">
      <c r="A1169" t="s">
        <v>3115</v>
      </c>
      <c r="B1169" s="1">
        <v>45723</v>
      </c>
      <c r="C1169" t="str">
        <f>"1049"</f>
        <v>1049</v>
      </c>
      <c r="D1169" t="s">
        <v>3750</v>
      </c>
      <c r="E1169" t="str">
        <f>"181718"</f>
        <v>181718</v>
      </c>
      <c r="F1169" t="str">
        <f t="shared" si="20"/>
        <v>33200000</v>
      </c>
      <c r="H1169" t="s">
        <v>3751</v>
      </c>
      <c r="K1169" s="4">
        <v>870000</v>
      </c>
    </row>
    <row r="1170" spans="1:11" hidden="1" outlineLevel="2" x14ac:dyDescent="0.35">
      <c r="A1170" t="s">
        <v>3115</v>
      </c>
      <c r="B1170" s="1">
        <v>45723</v>
      </c>
      <c r="C1170" t="str">
        <f>"1050"</f>
        <v>1050</v>
      </c>
      <c r="D1170" t="s">
        <v>3752</v>
      </c>
      <c r="E1170" t="str">
        <f>"181814"</f>
        <v>181814</v>
      </c>
      <c r="F1170" t="str">
        <f t="shared" si="20"/>
        <v>33200000</v>
      </c>
      <c r="H1170" t="s">
        <v>3753</v>
      </c>
      <c r="K1170" s="4">
        <v>175000</v>
      </c>
    </row>
    <row r="1171" spans="1:11" hidden="1" outlineLevel="2" x14ac:dyDescent="0.35">
      <c r="A1171" t="s">
        <v>3115</v>
      </c>
      <c r="B1171" s="1">
        <v>45723</v>
      </c>
      <c r="C1171" t="str">
        <f>"1051"</f>
        <v>1051</v>
      </c>
      <c r="D1171" t="s">
        <v>3754</v>
      </c>
      <c r="E1171" t="str">
        <f>"179880"</f>
        <v>179880</v>
      </c>
      <c r="F1171" t="str">
        <f t="shared" si="20"/>
        <v>33200000</v>
      </c>
      <c r="H1171" t="s">
        <v>3755</v>
      </c>
      <c r="K1171" s="4">
        <v>50000</v>
      </c>
    </row>
    <row r="1172" spans="1:11" hidden="1" outlineLevel="2" x14ac:dyDescent="0.35">
      <c r="A1172" t="s">
        <v>3115</v>
      </c>
      <c r="B1172" s="1">
        <v>45723</v>
      </c>
      <c r="C1172" t="str">
        <f>"1052"</f>
        <v>1052</v>
      </c>
      <c r="D1172" t="s">
        <v>3756</v>
      </c>
      <c r="E1172" t="str">
        <f>"181813"</f>
        <v>181813</v>
      </c>
      <c r="F1172" t="str">
        <f t="shared" si="20"/>
        <v>33200000</v>
      </c>
      <c r="H1172" t="s">
        <v>3757</v>
      </c>
      <c r="K1172" s="4">
        <v>70000</v>
      </c>
    </row>
    <row r="1173" spans="1:11" hidden="1" outlineLevel="2" x14ac:dyDescent="0.35">
      <c r="A1173" t="s">
        <v>3115</v>
      </c>
      <c r="B1173" s="1">
        <v>45723</v>
      </c>
      <c r="C1173" t="str">
        <f>"1053"</f>
        <v>1053</v>
      </c>
      <c r="D1173" t="s">
        <v>3758</v>
      </c>
      <c r="E1173" t="str">
        <f>"182052"</f>
        <v>182052</v>
      </c>
      <c r="F1173" t="str">
        <f t="shared" si="20"/>
        <v>33200000</v>
      </c>
      <c r="H1173" t="s">
        <v>3759</v>
      </c>
      <c r="K1173" s="4">
        <v>30000</v>
      </c>
    </row>
    <row r="1174" spans="1:11" hidden="1" outlineLevel="2" x14ac:dyDescent="0.35">
      <c r="A1174" t="s">
        <v>3115</v>
      </c>
      <c r="B1174" s="1">
        <v>45723</v>
      </c>
      <c r="C1174" t="str">
        <f>"1054"</f>
        <v>1054</v>
      </c>
      <c r="D1174" t="s">
        <v>3760</v>
      </c>
      <c r="E1174" t="str">
        <f>"181723"</f>
        <v>181723</v>
      </c>
      <c r="F1174" t="str">
        <f t="shared" si="20"/>
        <v>33200000</v>
      </c>
      <c r="H1174" t="s">
        <v>3761</v>
      </c>
      <c r="K1174" s="4">
        <v>90000</v>
      </c>
    </row>
    <row r="1175" spans="1:11" hidden="1" outlineLevel="2" x14ac:dyDescent="0.35">
      <c r="A1175" t="s">
        <v>3115</v>
      </c>
      <c r="B1175" s="1">
        <v>45723</v>
      </c>
      <c r="C1175" t="str">
        <f>"1055"</f>
        <v>1055</v>
      </c>
      <c r="D1175" t="s">
        <v>3762</v>
      </c>
      <c r="E1175" t="str">
        <f>"181804"</f>
        <v>181804</v>
      </c>
      <c r="F1175" t="str">
        <f t="shared" si="20"/>
        <v>33200000</v>
      </c>
      <c r="H1175" t="s">
        <v>3763</v>
      </c>
      <c r="K1175" s="4">
        <v>70000</v>
      </c>
    </row>
    <row r="1176" spans="1:11" hidden="1" outlineLevel="2" x14ac:dyDescent="0.35">
      <c r="A1176" t="s">
        <v>3115</v>
      </c>
      <c r="B1176" s="1">
        <v>45723</v>
      </c>
      <c r="C1176" t="str">
        <f>"1056"</f>
        <v>1056</v>
      </c>
      <c r="D1176" t="s">
        <v>3764</v>
      </c>
      <c r="E1176" t="str">
        <f>"181973"</f>
        <v>181973</v>
      </c>
      <c r="F1176" t="str">
        <f t="shared" si="20"/>
        <v>33200000</v>
      </c>
      <c r="H1176" t="s">
        <v>3765</v>
      </c>
      <c r="K1176" s="4">
        <v>45000</v>
      </c>
    </row>
    <row r="1177" spans="1:11" hidden="1" outlineLevel="2" x14ac:dyDescent="0.35">
      <c r="A1177" t="s">
        <v>3115</v>
      </c>
      <c r="B1177" s="1">
        <v>45723</v>
      </c>
      <c r="C1177" t="str">
        <f>"1057"</f>
        <v>1057</v>
      </c>
      <c r="D1177" t="s">
        <v>3766</v>
      </c>
      <c r="E1177" t="str">
        <f>"181722"</f>
        <v>181722</v>
      </c>
      <c r="F1177" t="str">
        <f t="shared" si="20"/>
        <v>33200000</v>
      </c>
      <c r="H1177" t="s">
        <v>3767</v>
      </c>
      <c r="K1177" s="4">
        <v>80000</v>
      </c>
    </row>
    <row r="1178" spans="1:11" hidden="1" outlineLevel="2" x14ac:dyDescent="0.35">
      <c r="A1178" t="s">
        <v>3115</v>
      </c>
      <c r="B1178" s="1">
        <v>45723</v>
      </c>
      <c r="C1178" t="str">
        <f>"1058"</f>
        <v>1058</v>
      </c>
      <c r="D1178" t="s">
        <v>3768</v>
      </c>
      <c r="E1178" t="str">
        <f>"180129"</f>
        <v>180129</v>
      </c>
      <c r="F1178" t="str">
        <f t="shared" si="20"/>
        <v>33200000</v>
      </c>
      <c r="H1178" t="s">
        <v>3769</v>
      </c>
      <c r="K1178" s="4">
        <v>65000</v>
      </c>
    </row>
    <row r="1179" spans="1:11" hidden="1" outlineLevel="2" x14ac:dyDescent="0.35">
      <c r="A1179" t="s">
        <v>3115</v>
      </c>
      <c r="B1179" s="1">
        <v>45723</v>
      </c>
      <c r="C1179" t="str">
        <f>"1059"</f>
        <v>1059</v>
      </c>
      <c r="D1179" t="s">
        <v>3770</v>
      </c>
      <c r="E1179" t="str">
        <f>"180762"</f>
        <v>180762</v>
      </c>
      <c r="F1179" t="str">
        <f t="shared" si="20"/>
        <v>33200000</v>
      </c>
      <c r="H1179" t="s">
        <v>3771</v>
      </c>
      <c r="K1179" s="4">
        <v>185112</v>
      </c>
    </row>
    <row r="1180" spans="1:11" hidden="1" outlineLevel="2" x14ac:dyDescent="0.35">
      <c r="A1180" t="s">
        <v>3115</v>
      </c>
      <c r="B1180" s="1">
        <v>45723</v>
      </c>
      <c r="C1180" t="str">
        <f>"1060"</f>
        <v>1060</v>
      </c>
      <c r="D1180" t="s">
        <v>3772</v>
      </c>
      <c r="E1180" t="str">
        <f>"174446"</f>
        <v>174446</v>
      </c>
      <c r="F1180" t="str">
        <f t="shared" si="20"/>
        <v>33200000</v>
      </c>
      <c r="H1180" t="s">
        <v>3773</v>
      </c>
      <c r="K1180" s="4">
        <v>30000</v>
      </c>
    </row>
    <row r="1181" spans="1:11" hidden="1" outlineLevel="2" x14ac:dyDescent="0.35">
      <c r="A1181" t="s">
        <v>3115</v>
      </c>
      <c r="B1181" s="1">
        <v>45723</v>
      </c>
      <c r="C1181" t="str">
        <f>"1061"</f>
        <v>1061</v>
      </c>
      <c r="D1181" t="s">
        <v>3774</v>
      </c>
      <c r="E1181" t="str">
        <f>"181982"</f>
        <v>181982</v>
      </c>
      <c r="F1181" t="str">
        <f t="shared" si="20"/>
        <v>33200000</v>
      </c>
      <c r="H1181" t="s">
        <v>3775</v>
      </c>
      <c r="K1181" s="4">
        <v>80000</v>
      </c>
    </row>
    <row r="1182" spans="1:11" hidden="1" outlineLevel="2" x14ac:dyDescent="0.35">
      <c r="A1182" t="s">
        <v>3115</v>
      </c>
      <c r="B1182" s="1">
        <v>45723</v>
      </c>
      <c r="C1182" t="str">
        <f>"1062"</f>
        <v>1062</v>
      </c>
      <c r="D1182" t="s">
        <v>3776</v>
      </c>
      <c r="E1182" t="str">
        <f>"182055"</f>
        <v>182055</v>
      </c>
      <c r="F1182" t="str">
        <f t="shared" si="20"/>
        <v>33200000</v>
      </c>
      <c r="H1182" t="s">
        <v>3777</v>
      </c>
      <c r="K1182" s="4">
        <v>65000</v>
      </c>
    </row>
    <row r="1183" spans="1:11" hidden="1" outlineLevel="2" x14ac:dyDescent="0.35">
      <c r="A1183" t="s">
        <v>3115</v>
      </c>
      <c r="B1183" s="1">
        <v>45723</v>
      </c>
      <c r="C1183" t="str">
        <f>"1063"</f>
        <v>1063</v>
      </c>
      <c r="D1183" t="s">
        <v>3778</v>
      </c>
      <c r="E1183" t="str">
        <f>"181189"</f>
        <v>181189</v>
      </c>
      <c r="F1183" t="str">
        <f t="shared" si="20"/>
        <v>33200000</v>
      </c>
      <c r="H1183" t="s">
        <v>3779</v>
      </c>
      <c r="K1183" s="4">
        <v>65000</v>
      </c>
    </row>
    <row r="1184" spans="1:11" hidden="1" outlineLevel="2" x14ac:dyDescent="0.35">
      <c r="A1184" t="s">
        <v>3115</v>
      </c>
      <c r="B1184" s="1">
        <v>45723</v>
      </c>
      <c r="C1184" t="str">
        <f>"1064"</f>
        <v>1064</v>
      </c>
      <c r="D1184" t="s">
        <v>3780</v>
      </c>
      <c r="E1184" t="str">
        <f>"182010"</f>
        <v>182010</v>
      </c>
      <c r="F1184" t="str">
        <f t="shared" si="20"/>
        <v>33200000</v>
      </c>
      <c r="H1184" t="s">
        <v>3781</v>
      </c>
      <c r="K1184" s="4">
        <v>15000</v>
      </c>
    </row>
    <row r="1185" spans="1:11" hidden="1" outlineLevel="2" x14ac:dyDescent="0.35">
      <c r="A1185" t="s">
        <v>3115</v>
      </c>
      <c r="B1185" s="1">
        <v>45723</v>
      </c>
      <c r="C1185" t="str">
        <f>"1065"</f>
        <v>1065</v>
      </c>
      <c r="D1185" t="s">
        <v>3782</v>
      </c>
      <c r="E1185" t="str">
        <f>"182010"</f>
        <v>182010</v>
      </c>
      <c r="F1185" t="str">
        <f t="shared" si="20"/>
        <v>33200000</v>
      </c>
      <c r="H1185" t="s">
        <v>3783</v>
      </c>
      <c r="K1185" s="4">
        <v>300</v>
      </c>
    </row>
    <row r="1186" spans="1:11" hidden="1" outlineLevel="2" x14ac:dyDescent="0.35">
      <c r="A1186" t="s">
        <v>3115</v>
      </c>
      <c r="B1186" s="1">
        <v>45723</v>
      </c>
      <c r="C1186" t="str">
        <f>"1066"</f>
        <v>1066</v>
      </c>
      <c r="D1186" t="s">
        <v>3784</v>
      </c>
      <c r="E1186" t="str">
        <f>"182008"</f>
        <v>182008</v>
      </c>
      <c r="F1186" t="str">
        <f t="shared" si="20"/>
        <v>33200000</v>
      </c>
      <c r="H1186" t="s">
        <v>3785</v>
      </c>
      <c r="K1186" s="4">
        <v>15000</v>
      </c>
    </row>
    <row r="1187" spans="1:11" hidden="1" outlineLevel="2" x14ac:dyDescent="0.35">
      <c r="A1187" t="s">
        <v>3115</v>
      </c>
      <c r="B1187" s="1">
        <v>45723</v>
      </c>
      <c r="C1187" t="str">
        <f>"1067"</f>
        <v>1067</v>
      </c>
      <c r="D1187" t="s">
        <v>3786</v>
      </c>
      <c r="E1187" t="str">
        <f>"177525"</f>
        <v>177525</v>
      </c>
      <c r="F1187" t="str">
        <f t="shared" si="20"/>
        <v>33200000</v>
      </c>
      <c r="H1187" t="s">
        <v>3787</v>
      </c>
      <c r="K1187" s="4">
        <v>49984</v>
      </c>
    </row>
    <row r="1188" spans="1:11" hidden="1" outlineLevel="2" x14ac:dyDescent="0.35">
      <c r="A1188" t="s">
        <v>3115</v>
      </c>
      <c r="B1188" s="1">
        <v>45723</v>
      </c>
      <c r="C1188" t="str">
        <f>"1068"</f>
        <v>1068</v>
      </c>
      <c r="D1188" t="s">
        <v>3788</v>
      </c>
      <c r="E1188" t="str">
        <f>"177526"</f>
        <v>177526</v>
      </c>
      <c r="F1188" t="str">
        <f t="shared" si="20"/>
        <v>33200000</v>
      </c>
      <c r="H1188" t="s">
        <v>3789</v>
      </c>
      <c r="K1188" s="4">
        <v>550</v>
      </c>
    </row>
    <row r="1189" spans="1:11" hidden="1" outlineLevel="2" x14ac:dyDescent="0.35">
      <c r="A1189" t="s">
        <v>3115</v>
      </c>
      <c r="B1189" s="1">
        <v>45723</v>
      </c>
      <c r="C1189" t="str">
        <f>"1069"</f>
        <v>1069</v>
      </c>
      <c r="D1189" t="s">
        <v>3790</v>
      </c>
      <c r="E1189" t="str">
        <f>"177527"</f>
        <v>177527</v>
      </c>
      <c r="F1189" t="str">
        <f t="shared" si="20"/>
        <v>33200000</v>
      </c>
      <c r="H1189" t="s">
        <v>3791</v>
      </c>
      <c r="K1189" s="4">
        <v>7100</v>
      </c>
    </row>
    <row r="1190" spans="1:11" hidden="1" outlineLevel="2" x14ac:dyDescent="0.35">
      <c r="A1190" t="s">
        <v>3115</v>
      </c>
      <c r="B1190" s="1">
        <v>45723</v>
      </c>
      <c r="C1190" t="str">
        <f>"1070"</f>
        <v>1070</v>
      </c>
      <c r="D1190" t="s">
        <v>3792</v>
      </c>
      <c r="E1190" t="str">
        <f>"182336"</f>
        <v>182336</v>
      </c>
      <c r="F1190" t="str">
        <f t="shared" si="20"/>
        <v>33200000</v>
      </c>
      <c r="H1190" t="s">
        <v>3793</v>
      </c>
      <c r="K1190" s="4">
        <v>2230</v>
      </c>
    </row>
    <row r="1191" spans="1:11" hidden="1" outlineLevel="2" x14ac:dyDescent="0.35">
      <c r="A1191" t="s">
        <v>3115</v>
      </c>
      <c r="B1191" s="1">
        <v>45723</v>
      </c>
      <c r="C1191" t="str">
        <f>"1071"</f>
        <v>1071</v>
      </c>
      <c r="D1191" t="s">
        <v>3794</v>
      </c>
      <c r="E1191" t="str">
        <f>"182337"</f>
        <v>182337</v>
      </c>
      <c r="F1191" t="str">
        <f t="shared" si="20"/>
        <v>33200000</v>
      </c>
      <c r="H1191" t="s">
        <v>3795</v>
      </c>
      <c r="K1191" s="4">
        <v>590</v>
      </c>
    </row>
    <row r="1192" spans="1:11" hidden="1" outlineLevel="2" x14ac:dyDescent="0.35">
      <c r="A1192" t="s">
        <v>3115</v>
      </c>
      <c r="B1192" s="1">
        <v>45723</v>
      </c>
      <c r="C1192" t="str">
        <f>"1072"</f>
        <v>1072</v>
      </c>
      <c r="D1192" t="s">
        <v>3796</v>
      </c>
      <c r="E1192" t="str">
        <f>"182338"</f>
        <v>182338</v>
      </c>
      <c r="F1192" t="str">
        <f t="shared" si="20"/>
        <v>33200000</v>
      </c>
      <c r="H1192" t="s">
        <v>3797</v>
      </c>
      <c r="K1192" s="4">
        <v>60021</v>
      </c>
    </row>
    <row r="1193" spans="1:11" hidden="1" outlineLevel="2" x14ac:dyDescent="0.35">
      <c r="A1193" t="s">
        <v>3115</v>
      </c>
      <c r="B1193" s="1">
        <v>45723</v>
      </c>
      <c r="C1193" t="str">
        <f>"1073"</f>
        <v>1073</v>
      </c>
      <c r="D1193" t="s">
        <v>3798</v>
      </c>
      <c r="E1193" t="str">
        <f>"181825"</f>
        <v>181825</v>
      </c>
      <c r="F1193" t="str">
        <f t="shared" si="20"/>
        <v>33200000</v>
      </c>
      <c r="H1193" t="s">
        <v>3799</v>
      </c>
      <c r="K1193" s="4">
        <v>300000</v>
      </c>
    </row>
    <row r="1194" spans="1:11" hidden="1" outlineLevel="2" x14ac:dyDescent="0.35">
      <c r="A1194" t="s">
        <v>3115</v>
      </c>
      <c r="B1194" s="1">
        <v>45723</v>
      </c>
      <c r="C1194" t="str">
        <f>"1074"</f>
        <v>1074</v>
      </c>
      <c r="D1194" t="s">
        <v>3800</v>
      </c>
      <c r="E1194" t="str">
        <f>"182338"</f>
        <v>182338</v>
      </c>
      <c r="F1194" t="str">
        <f t="shared" si="20"/>
        <v>33200000</v>
      </c>
      <c r="H1194" t="s">
        <v>3801</v>
      </c>
      <c r="K1194" s="4">
        <v>12442</v>
      </c>
    </row>
    <row r="1195" spans="1:11" hidden="1" outlineLevel="2" x14ac:dyDescent="0.35">
      <c r="A1195" t="s">
        <v>3115</v>
      </c>
      <c r="B1195" s="1">
        <v>45723</v>
      </c>
      <c r="C1195" t="str">
        <f>"1077"</f>
        <v>1077</v>
      </c>
      <c r="D1195" t="s">
        <v>3806</v>
      </c>
      <c r="E1195" t="str">
        <f>"181997"</f>
        <v>181997</v>
      </c>
      <c r="F1195" t="str">
        <f t="shared" si="20"/>
        <v>33200000</v>
      </c>
      <c r="H1195" t="s">
        <v>3807</v>
      </c>
      <c r="K1195" s="4">
        <v>200000</v>
      </c>
    </row>
    <row r="1196" spans="1:11" hidden="1" outlineLevel="2" x14ac:dyDescent="0.35">
      <c r="A1196" t="s">
        <v>3115</v>
      </c>
      <c r="B1196" s="1">
        <v>45723</v>
      </c>
      <c r="C1196" t="str">
        <f>"1079"</f>
        <v>1079</v>
      </c>
      <c r="D1196" t="s">
        <v>3810</v>
      </c>
      <c r="E1196" t="str">
        <f>"182062"</f>
        <v>182062</v>
      </c>
      <c r="F1196" t="str">
        <f t="shared" si="20"/>
        <v>33200000</v>
      </c>
      <c r="H1196" t="s">
        <v>3811</v>
      </c>
      <c r="K1196" s="4">
        <v>3500</v>
      </c>
    </row>
    <row r="1197" spans="1:11" hidden="1" outlineLevel="2" x14ac:dyDescent="0.35">
      <c r="A1197" t="s">
        <v>3115</v>
      </c>
      <c r="B1197" s="1">
        <v>45723</v>
      </c>
      <c r="C1197" t="str">
        <f>"1081"</f>
        <v>1081</v>
      </c>
      <c r="D1197" t="s">
        <v>3814</v>
      </c>
      <c r="E1197" t="str">
        <f>"180767"</f>
        <v>180767</v>
      </c>
      <c r="F1197" t="str">
        <f t="shared" si="20"/>
        <v>33200000</v>
      </c>
      <c r="H1197" t="s">
        <v>3815</v>
      </c>
      <c r="K1197" s="4">
        <v>270000</v>
      </c>
    </row>
    <row r="1198" spans="1:11" hidden="1" outlineLevel="2" x14ac:dyDescent="0.35">
      <c r="A1198" t="s">
        <v>3115</v>
      </c>
      <c r="B1198" s="1">
        <v>45723</v>
      </c>
      <c r="C1198" t="str">
        <f>"1082"</f>
        <v>1082</v>
      </c>
      <c r="D1198" t="s">
        <v>3816</v>
      </c>
      <c r="E1198" t="str">
        <f>"177528"</f>
        <v>177528</v>
      </c>
      <c r="F1198" t="str">
        <f t="shared" si="20"/>
        <v>33200000</v>
      </c>
      <c r="H1198" t="s">
        <v>3817</v>
      </c>
      <c r="K1198" s="4">
        <v>122270</v>
      </c>
    </row>
    <row r="1199" spans="1:11" hidden="1" outlineLevel="2" x14ac:dyDescent="0.35">
      <c r="A1199" t="s">
        <v>3115</v>
      </c>
      <c r="B1199" s="1">
        <v>45723</v>
      </c>
      <c r="C1199" t="str">
        <f>"1083"</f>
        <v>1083</v>
      </c>
      <c r="D1199" t="s">
        <v>3818</v>
      </c>
      <c r="E1199" t="str">
        <f>"182306"</f>
        <v>182306</v>
      </c>
      <c r="F1199" t="str">
        <f t="shared" si="20"/>
        <v>33200000</v>
      </c>
      <c r="H1199" t="s">
        <v>3819</v>
      </c>
      <c r="K1199" s="4">
        <v>261072</v>
      </c>
    </row>
    <row r="1200" spans="1:11" hidden="1" outlineLevel="2" x14ac:dyDescent="0.35">
      <c r="A1200" t="s">
        <v>3115</v>
      </c>
      <c r="B1200" s="1">
        <v>45723</v>
      </c>
      <c r="C1200" t="str">
        <f>"1084"</f>
        <v>1084</v>
      </c>
      <c r="D1200" t="s">
        <v>3820</v>
      </c>
      <c r="E1200" t="str">
        <f>"180143"</f>
        <v>180143</v>
      </c>
      <c r="F1200" t="str">
        <f t="shared" si="20"/>
        <v>33200000</v>
      </c>
      <c r="H1200" t="s">
        <v>3821</v>
      </c>
      <c r="K1200" s="4">
        <v>1600000</v>
      </c>
    </row>
    <row r="1201" spans="1:11" hidden="1" outlineLevel="2" x14ac:dyDescent="0.35">
      <c r="A1201" t="s">
        <v>3115</v>
      </c>
      <c r="B1201" s="1">
        <v>45723</v>
      </c>
      <c r="C1201" t="str">
        <f>"1086"</f>
        <v>1086</v>
      </c>
      <c r="D1201" t="s">
        <v>3824</v>
      </c>
      <c r="E1201" t="str">
        <f>"182004"</f>
        <v>182004</v>
      </c>
      <c r="F1201" t="str">
        <f t="shared" si="20"/>
        <v>33200000</v>
      </c>
      <c r="H1201" t="s">
        <v>3825</v>
      </c>
      <c r="K1201" s="4">
        <v>15000</v>
      </c>
    </row>
    <row r="1202" spans="1:11" hidden="1" outlineLevel="2" x14ac:dyDescent="0.35">
      <c r="A1202" t="s">
        <v>3115</v>
      </c>
      <c r="B1202" s="1">
        <v>45723</v>
      </c>
      <c r="C1202" t="str">
        <f>"1088"</f>
        <v>1088</v>
      </c>
      <c r="D1202" t="s">
        <v>3828</v>
      </c>
      <c r="E1202" t="str">
        <f>"182004"</f>
        <v>182004</v>
      </c>
      <c r="F1202" t="str">
        <f t="shared" ref="F1202:F1265" si="21">"33200000"</f>
        <v>33200000</v>
      </c>
      <c r="H1202" t="s">
        <v>3829</v>
      </c>
      <c r="K1202" s="4">
        <v>300</v>
      </c>
    </row>
    <row r="1203" spans="1:11" hidden="1" outlineLevel="2" x14ac:dyDescent="0.35">
      <c r="A1203" t="s">
        <v>3115</v>
      </c>
      <c r="B1203" s="1">
        <v>45723</v>
      </c>
      <c r="C1203" t="str">
        <f>"1090"</f>
        <v>1090</v>
      </c>
      <c r="D1203" t="s">
        <v>3832</v>
      </c>
      <c r="E1203" t="str">
        <f>"182005"</f>
        <v>182005</v>
      </c>
      <c r="F1203" t="str">
        <f t="shared" si="21"/>
        <v>33200000</v>
      </c>
      <c r="H1203" t="s">
        <v>3833</v>
      </c>
      <c r="K1203" s="4">
        <v>45000</v>
      </c>
    </row>
    <row r="1204" spans="1:11" hidden="1" outlineLevel="2" x14ac:dyDescent="0.35">
      <c r="A1204" t="s">
        <v>3115</v>
      </c>
      <c r="B1204" s="1">
        <v>45723</v>
      </c>
      <c r="C1204" t="str">
        <f>"1091"</f>
        <v>1091</v>
      </c>
      <c r="D1204" t="s">
        <v>3834</v>
      </c>
      <c r="E1204" t="str">
        <f>"181188"</f>
        <v>181188</v>
      </c>
      <c r="F1204" t="str">
        <f t="shared" si="21"/>
        <v>33200000</v>
      </c>
      <c r="H1204" t="s">
        <v>3835</v>
      </c>
      <c r="K1204" s="4">
        <v>30000</v>
      </c>
    </row>
    <row r="1205" spans="1:11" hidden="1" outlineLevel="2" x14ac:dyDescent="0.35">
      <c r="A1205" t="s">
        <v>3115</v>
      </c>
      <c r="B1205" s="1">
        <v>45723</v>
      </c>
      <c r="C1205" t="str">
        <f>"1092"</f>
        <v>1092</v>
      </c>
      <c r="D1205" t="s">
        <v>3836</v>
      </c>
      <c r="E1205" t="str">
        <f>"181726"</f>
        <v>181726</v>
      </c>
      <c r="F1205" t="str">
        <f t="shared" si="21"/>
        <v>33200000</v>
      </c>
      <c r="H1205" t="s">
        <v>3837</v>
      </c>
      <c r="K1205" s="4">
        <v>90000</v>
      </c>
    </row>
    <row r="1206" spans="1:11" hidden="1" outlineLevel="2" x14ac:dyDescent="0.35">
      <c r="A1206" t="s">
        <v>3115</v>
      </c>
      <c r="B1206" s="1">
        <v>45723</v>
      </c>
      <c r="C1206" t="str">
        <f>"1093"</f>
        <v>1093</v>
      </c>
      <c r="D1206" t="s">
        <v>3838</v>
      </c>
      <c r="E1206" t="str">
        <f>"182062"</f>
        <v>182062</v>
      </c>
      <c r="F1206" t="str">
        <f t="shared" si="21"/>
        <v>33200000</v>
      </c>
      <c r="H1206" t="s">
        <v>3839</v>
      </c>
      <c r="K1206" s="4">
        <v>6000</v>
      </c>
    </row>
    <row r="1207" spans="1:11" hidden="1" outlineLevel="2" x14ac:dyDescent="0.35">
      <c r="A1207" t="s">
        <v>3115</v>
      </c>
      <c r="B1207" s="1">
        <v>45723</v>
      </c>
      <c r="C1207" t="str">
        <f>"1094"</f>
        <v>1094</v>
      </c>
      <c r="D1207" t="s">
        <v>3840</v>
      </c>
      <c r="E1207" t="str">
        <f>"180757"</f>
        <v>180757</v>
      </c>
      <c r="F1207" t="str">
        <f t="shared" si="21"/>
        <v>33200000</v>
      </c>
      <c r="H1207" t="s">
        <v>3841</v>
      </c>
      <c r="K1207" s="4">
        <v>8000</v>
      </c>
    </row>
    <row r="1208" spans="1:11" hidden="1" outlineLevel="2" x14ac:dyDescent="0.35">
      <c r="A1208" t="s">
        <v>3115</v>
      </c>
      <c r="B1208" s="1">
        <v>45723</v>
      </c>
      <c r="C1208" t="str">
        <f>"1095"</f>
        <v>1095</v>
      </c>
      <c r="D1208" t="s">
        <v>3842</v>
      </c>
      <c r="E1208" t="str">
        <f>"180805"</f>
        <v>180805</v>
      </c>
      <c r="F1208" t="str">
        <f t="shared" si="21"/>
        <v>33200000</v>
      </c>
      <c r="H1208" t="s">
        <v>3843</v>
      </c>
      <c r="K1208" s="4">
        <v>6000</v>
      </c>
    </row>
    <row r="1209" spans="1:11" hidden="1" outlineLevel="2" x14ac:dyDescent="0.35">
      <c r="A1209" t="s">
        <v>3115</v>
      </c>
      <c r="B1209" s="1">
        <v>45723</v>
      </c>
      <c r="C1209" t="str">
        <f>"1096"</f>
        <v>1096</v>
      </c>
      <c r="D1209" t="s">
        <v>3844</v>
      </c>
      <c r="E1209" t="str">
        <f>"179891"</f>
        <v>179891</v>
      </c>
      <c r="F1209" t="str">
        <f t="shared" si="21"/>
        <v>33200000</v>
      </c>
      <c r="H1209" t="s">
        <v>3845</v>
      </c>
      <c r="K1209" s="4">
        <v>6000</v>
      </c>
    </row>
    <row r="1210" spans="1:11" hidden="1" outlineLevel="2" x14ac:dyDescent="0.35">
      <c r="A1210" t="s">
        <v>3115</v>
      </c>
      <c r="B1210" s="1">
        <v>45723</v>
      </c>
      <c r="C1210" t="str">
        <f>"1097"</f>
        <v>1097</v>
      </c>
      <c r="D1210" t="s">
        <v>3846</v>
      </c>
      <c r="E1210" t="str">
        <f>"180948"</f>
        <v>180948</v>
      </c>
      <c r="F1210" t="str">
        <f t="shared" si="21"/>
        <v>33200000</v>
      </c>
      <c r="H1210" t="s">
        <v>3847</v>
      </c>
      <c r="K1210" s="4">
        <v>38000</v>
      </c>
    </row>
    <row r="1211" spans="1:11" hidden="1" outlineLevel="2" x14ac:dyDescent="0.35">
      <c r="A1211" t="s">
        <v>3115</v>
      </c>
      <c r="B1211" s="1">
        <v>45723</v>
      </c>
      <c r="C1211" t="str">
        <f>"1098"</f>
        <v>1098</v>
      </c>
      <c r="D1211" t="s">
        <v>3848</v>
      </c>
      <c r="E1211" t="str">
        <f>"182061"</f>
        <v>182061</v>
      </c>
      <c r="F1211" t="str">
        <f t="shared" si="21"/>
        <v>33200000</v>
      </c>
      <c r="H1211" t="s">
        <v>3849</v>
      </c>
      <c r="K1211" s="4">
        <v>24000</v>
      </c>
    </row>
    <row r="1212" spans="1:11" hidden="1" outlineLevel="2" x14ac:dyDescent="0.35">
      <c r="A1212" t="s">
        <v>3115</v>
      </c>
      <c r="B1212" s="1">
        <v>45723</v>
      </c>
      <c r="C1212" t="str">
        <f>"1099"</f>
        <v>1099</v>
      </c>
      <c r="D1212" t="s">
        <v>3850</v>
      </c>
      <c r="E1212" t="str">
        <f>"181923"</f>
        <v>181923</v>
      </c>
      <c r="F1212" t="str">
        <f t="shared" si="21"/>
        <v>33200000</v>
      </c>
      <c r="H1212" t="s">
        <v>3851</v>
      </c>
      <c r="K1212" s="4">
        <v>26501</v>
      </c>
    </row>
    <row r="1213" spans="1:11" hidden="1" outlineLevel="2" x14ac:dyDescent="0.35">
      <c r="A1213" t="s">
        <v>3115</v>
      </c>
      <c r="B1213" s="1">
        <v>45723</v>
      </c>
      <c r="C1213" t="str">
        <f>"1100"</f>
        <v>1100</v>
      </c>
      <c r="D1213" t="s">
        <v>3852</v>
      </c>
      <c r="E1213" t="str">
        <f>"180763"</f>
        <v>180763</v>
      </c>
      <c r="F1213" t="str">
        <f t="shared" si="21"/>
        <v>33200000</v>
      </c>
      <c r="H1213" t="s">
        <v>3853</v>
      </c>
      <c r="K1213" s="4">
        <v>8000</v>
      </c>
    </row>
    <row r="1214" spans="1:11" hidden="1" outlineLevel="2" x14ac:dyDescent="0.35">
      <c r="A1214" t="s">
        <v>3115</v>
      </c>
      <c r="B1214" s="1">
        <v>45723</v>
      </c>
      <c r="C1214" t="str">
        <f>"1102"</f>
        <v>1102</v>
      </c>
      <c r="D1214" t="s">
        <v>3856</v>
      </c>
      <c r="E1214" t="str">
        <f>"180200"</f>
        <v>180200</v>
      </c>
      <c r="F1214" t="str">
        <f t="shared" si="21"/>
        <v>33200000</v>
      </c>
      <c r="H1214" t="s">
        <v>3857</v>
      </c>
      <c r="K1214" s="4">
        <v>11172</v>
      </c>
    </row>
    <row r="1215" spans="1:11" hidden="1" outlineLevel="2" x14ac:dyDescent="0.35">
      <c r="A1215" t="s">
        <v>3115</v>
      </c>
      <c r="B1215" s="1">
        <v>45724</v>
      </c>
      <c r="C1215" t="str">
        <f>"1111"</f>
        <v>1111</v>
      </c>
      <c r="D1215" t="s">
        <v>3874</v>
      </c>
      <c r="E1215" t="str">
        <f>"147208"</f>
        <v>147208</v>
      </c>
      <c r="F1215" t="str">
        <f t="shared" si="21"/>
        <v>33200000</v>
      </c>
      <c r="H1215" t="s">
        <v>3875</v>
      </c>
      <c r="K1215" s="4">
        <v>722</v>
      </c>
    </row>
    <row r="1216" spans="1:11" hidden="1" outlineLevel="2" x14ac:dyDescent="0.35">
      <c r="A1216" t="s">
        <v>3115</v>
      </c>
      <c r="B1216" s="1">
        <v>45724</v>
      </c>
      <c r="C1216" t="str">
        <f>"1112"</f>
        <v>1112</v>
      </c>
      <c r="D1216" t="s">
        <v>3876</v>
      </c>
      <c r="E1216" t="str">
        <f>"182343"</f>
        <v>182343</v>
      </c>
      <c r="F1216" t="str">
        <f t="shared" si="21"/>
        <v>33200000</v>
      </c>
      <c r="H1216" t="s">
        <v>3877</v>
      </c>
      <c r="K1216" s="4">
        <v>3936</v>
      </c>
    </row>
    <row r="1217" spans="1:11" hidden="1" outlineLevel="2" x14ac:dyDescent="0.35">
      <c r="A1217" t="s">
        <v>3115</v>
      </c>
      <c r="B1217" s="1">
        <v>45724</v>
      </c>
      <c r="C1217" t="str">
        <f>"1113"</f>
        <v>1113</v>
      </c>
      <c r="D1217" t="s">
        <v>3878</v>
      </c>
      <c r="E1217" t="str">
        <f>"182344"</f>
        <v>182344</v>
      </c>
      <c r="F1217" t="str">
        <f t="shared" si="21"/>
        <v>33200000</v>
      </c>
      <c r="H1217" t="s">
        <v>3879</v>
      </c>
      <c r="K1217" s="4">
        <v>2493</v>
      </c>
    </row>
    <row r="1218" spans="1:11" hidden="1" outlineLevel="2" x14ac:dyDescent="0.35">
      <c r="A1218" t="s">
        <v>3115</v>
      </c>
      <c r="B1218" s="1">
        <v>45724</v>
      </c>
      <c r="C1218" t="str">
        <f>"1114"</f>
        <v>1114</v>
      </c>
      <c r="D1218" t="s">
        <v>3880</v>
      </c>
      <c r="E1218" t="str">
        <f>"182345"</f>
        <v>182345</v>
      </c>
      <c r="F1218" t="str">
        <f t="shared" si="21"/>
        <v>33200000</v>
      </c>
      <c r="H1218" t="s">
        <v>3881</v>
      </c>
      <c r="K1218" s="4">
        <v>1968</v>
      </c>
    </row>
    <row r="1219" spans="1:11" hidden="1" outlineLevel="2" x14ac:dyDescent="0.35">
      <c r="A1219" t="s">
        <v>3115</v>
      </c>
      <c r="B1219" s="1">
        <v>45724</v>
      </c>
      <c r="C1219" t="str">
        <f>"1115"</f>
        <v>1115</v>
      </c>
      <c r="D1219" t="s">
        <v>3882</v>
      </c>
      <c r="E1219" t="str">
        <f>"182346"</f>
        <v>182346</v>
      </c>
      <c r="F1219" t="str">
        <f t="shared" si="21"/>
        <v>33200000</v>
      </c>
      <c r="H1219" t="s">
        <v>3883</v>
      </c>
      <c r="K1219" s="4">
        <v>394</v>
      </c>
    </row>
    <row r="1220" spans="1:11" hidden="1" outlineLevel="2" x14ac:dyDescent="0.35">
      <c r="A1220" t="s">
        <v>3115</v>
      </c>
      <c r="B1220" s="1">
        <v>45724</v>
      </c>
      <c r="C1220" t="str">
        <f>"1116"</f>
        <v>1116</v>
      </c>
      <c r="D1220" t="s">
        <v>3884</v>
      </c>
      <c r="E1220" t="str">
        <f>"182339"</f>
        <v>182339</v>
      </c>
      <c r="F1220" t="str">
        <f t="shared" si="21"/>
        <v>33200000</v>
      </c>
      <c r="H1220" t="s">
        <v>3885</v>
      </c>
      <c r="K1220" s="4">
        <v>262</v>
      </c>
    </row>
    <row r="1221" spans="1:11" hidden="1" outlineLevel="2" x14ac:dyDescent="0.35">
      <c r="A1221" t="s">
        <v>3115</v>
      </c>
      <c r="B1221" s="1">
        <v>45724</v>
      </c>
      <c r="C1221" t="str">
        <f>"1117"</f>
        <v>1117</v>
      </c>
      <c r="D1221" t="s">
        <v>3886</v>
      </c>
      <c r="E1221" t="str">
        <f>"182340"</f>
        <v>182340</v>
      </c>
      <c r="F1221" t="str">
        <f t="shared" si="21"/>
        <v>33200000</v>
      </c>
      <c r="H1221" t="s">
        <v>3887</v>
      </c>
      <c r="K1221" s="4">
        <v>3017</v>
      </c>
    </row>
    <row r="1222" spans="1:11" hidden="1" outlineLevel="2" x14ac:dyDescent="0.35">
      <c r="A1222" t="s">
        <v>3115</v>
      </c>
      <c r="B1222" s="1">
        <v>45724</v>
      </c>
      <c r="C1222" t="str">
        <f>"1118"</f>
        <v>1118</v>
      </c>
      <c r="D1222" t="s">
        <v>3888</v>
      </c>
      <c r="E1222" t="str">
        <f>"182341"</f>
        <v>182341</v>
      </c>
      <c r="F1222" t="str">
        <f t="shared" si="21"/>
        <v>33200000</v>
      </c>
      <c r="H1222" t="s">
        <v>3889</v>
      </c>
      <c r="K1222" s="4">
        <v>787</v>
      </c>
    </row>
    <row r="1223" spans="1:11" hidden="1" outlineLevel="2" x14ac:dyDescent="0.35">
      <c r="A1223" t="s">
        <v>3115</v>
      </c>
      <c r="B1223" s="1">
        <v>45724</v>
      </c>
      <c r="C1223" t="str">
        <f>"1119"</f>
        <v>1119</v>
      </c>
      <c r="D1223" t="s">
        <v>3890</v>
      </c>
      <c r="E1223" t="str">
        <f>"182342"</f>
        <v>182342</v>
      </c>
      <c r="F1223" t="str">
        <f t="shared" si="21"/>
        <v>33200000</v>
      </c>
      <c r="H1223" t="s">
        <v>3891</v>
      </c>
      <c r="K1223" s="4">
        <v>3936</v>
      </c>
    </row>
    <row r="1224" spans="1:11" hidden="1" outlineLevel="2" x14ac:dyDescent="0.35">
      <c r="A1224" t="s">
        <v>3115</v>
      </c>
      <c r="B1224" s="1">
        <v>45724</v>
      </c>
      <c r="C1224" t="str">
        <f>"1120"</f>
        <v>1120</v>
      </c>
      <c r="D1224" t="s">
        <v>3892</v>
      </c>
      <c r="E1224" t="str">
        <f>"177531"</f>
        <v>177531</v>
      </c>
      <c r="F1224" t="str">
        <f t="shared" si="21"/>
        <v>33200000</v>
      </c>
      <c r="H1224" t="s">
        <v>3893</v>
      </c>
      <c r="K1224" s="4">
        <v>3149</v>
      </c>
    </row>
    <row r="1225" spans="1:11" hidden="1" outlineLevel="2" x14ac:dyDescent="0.35">
      <c r="A1225" t="s">
        <v>3115</v>
      </c>
      <c r="B1225" s="1">
        <v>45725</v>
      </c>
      <c r="C1225" t="str">
        <f>"1126"</f>
        <v>1126</v>
      </c>
      <c r="D1225" t="s">
        <v>3904</v>
      </c>
      <c r="E1225" t="str">
        <f>"182347"</f>
        <v>182347</v>
      </c>
      <c r="F1225" t="str">
        <f t="shared" si="21"/>
        <v>33200000</v>
      </c>
      <c r="H1225" t="s">
        <v>3905</v>
      </c>
      <c r="K1225" s="4">
        <v>261072</v>
      </c>
    </row>
    <row r="1226" spans="1:11" hidden="1" outlineLevel="2" x14ac:dyDescent="0.35">
      <c r="A1226" t="s">
        <v>3115</v>
      </c>
      <c r="B1226" s="1">
        <v>45725</v>
      </c>
      <c r="C1226" t="str">
        <f>"1127"</f>
        <v>1127</v>
      </c>
      <c r="D1226" t="s">
        <v>3906</v>
      </c>
      <c r="E1226" t="str">
        <f>"182348"</f>
        <v>182348</v>
      </c>
      <c r="F1226" t="str">
        <f t="shared" si="21"/>
        <v>33200000</v>
      </c>
      <c r="H1226" t="s">
        <v>3907</v>
      </c>
      <c r="K1226" s="4">
        <v>984</v>
      </c>
    </row>
    <row r="1227" spans="1:11" hidden="1" outlineLevel="2" x14ac:dyDescent="0.35">
      <c r="A1227" t="s">
        <v>3115</v>
      </c>
      <c r="B1227" s="1">
        <v>45725</v>
      </c>
      <c r="C1227" t="str">
        <f>"1128"</f>
        <v>1128</v>
      </c>
      <c r="D1227" t="s">
        <v>3908</v>
      </c>
      <c r="E1227" t="str">
        <f>"182349"</f>
        <v>182349</v>
      </c>
      <c r="F1227" t="str">
        <f t="shared" si="21"/>
        <v>33200000</v>
      </c>
      <c r="H1227" t="s">
        <v>3909</v>
      </c>
      <c r="K1227" s="4">
        <v>328</v>
      </c>
    </row>
    <row r="1228" spans="1:11" hidden="1" outlineLevel="2" x14ac:dyDescent="0.35">
      <c r="A1228" t="s">
        <v>3115</v>
      </c>
      <c r="B1228" s="1">
        <v>45725</v>
      </c>
      <c r="C1228" t="str">
        <f>"1129"</f>
        <v>1129</v>
      </c>
      <c r="D1228" t="s">
        <v>3910</v>
      </c>
      <c r="E1228" t="str">
        <f>"182350"</f>
        <v>182350</v>
      </c>
      <c r="F1228" t="str">
        <f t="shared" si="21"/>
        <v>33200000</v>
      </c>
      <c r="H1228" t="s">
        <v>3911</v>
      </c>
      <c r="K1228" s="4">
        <v>10757</v>
      </c>
    </row>
    <row r="1229" spans="1:11" hidden="1" outlineLevel="2" x14ac:dyDescent="0.35">
      <c r="A1229" t="s">
        <v>3115</v>
      </c>
      <c r="B1229" s="1">
        <v>45725</v>
      </c>
      <c r="C1229" t="str">
        <f>"1130"</f>
        <v>1130</v>
      </c>
      <c r="D1229" t="s">
        <v>3912</v>
      </c>
      <c r="E1229" t="str">
        <f>"182451"</f>
        <v>182451</v>
      </c>
      <c r="F1229" t="str">
        <f t="shared" si="21"/>
        <v>33200000</v>
      </c>
      <c r="H1229" t="s">
        <v>3913</v>
      </c>
      <c r="K1229" s="4">
        <v>22172</v>
      </c>
    </row>
    <row r="1230" spans="1:11" hidden="1" outlineLevel="2" x14ac:dyDescent="0.35">
      <c r="A1230" t="s">
        <v>3115</v>
      </c>
      <c r="B1230" s="1">
        <v>45725</v>
      </c>
      <c r="C1230" t="str">
        <f>"1131"</f>
        <v>1131</v>
      </c>
      <c r="D1230" t="s">
        <v>3914</v>
      </c>
      <c r="E1230" t="str">
        <f>"180451"</f>
        <v>180451</v>
      </c>
      <c r="F1230" t="str">
        <f t="shared" si="21"/>
        <v>33200000</v>
      </c>
      <c r="H1230" t="s">
        <v>3915</v>
      </c>
      <c r="K1230" s="4">
        <v>499</v>
      </c>
    </row>
    <row r="1231" spans="1:11" hidden="1" outlineLevel="2" x14ac:dyDescent="0.35">
      <c r="A1231" t="s">
        <v>3115</v>
      </c>
      <c r="B1231" s="1">
        <v>45725</v>
      </c>
      <c r="C1231" t="str">
        <f>"1132"</f>
        <v>1132</v>
      </c>
      <c r="D1231" t="s">
        <v>3916</v>
      </c>
      <c r="E1231" t="str">
        <f>"180452"</f>
        <v>180452</v>
      </c>
      <c r="F1231" t="str">
        <f t="shared" si="21"/>
        <v>33200000</v>
      </c>
      <c r="H1231" t="s">
        <v>3917</v>
      </c>
      <c r="K1231" s="4">
        <v>919</v>
      </c>
    </row>
    <row r="1232" spans="1:11" hidden="1" outlineLevel="2" x14ac:dyDescent="0.35">
      <c r="A1232" t="s">
        <v>3115</v>
      </c>
      <c r="B1232" s="1">
        <v>45725</v>
      </c>
      <c r="C1232" t="str">
        <f>"1133"</f>
        <v>1133</v>
      </c>
      <c r="D1232" t="s">
        <v>3918</v>
      </c>
      <c r="E1232" t="str">
        <f>"177534"</f>
        <v>177534</v>
      </c>
      <c r="F1232" t="str">
        <f t="shared" si="21"/>
        <v>33200000</v>
      </c>
      <c r="H1232" t="s">
        <v>3919</v>
      </c>
      <c r="K1232" s="4">
        <v>2500</v>
      </c>
    </row>
    <row r="1233" spans="1:11" hidden="1" outlineLevel="2" x14ac:dyDescent="0.35">
      <c r="A1233" t="s">
        <v>3115</v>
      </c>
      <c r="B1233" s="1">
        <v>45725</v>
      </c>
      <c r="C1233" t="str">
        <f>"1135"</f>
        <v>1135</v>
      </c>
      <c r="D1233" t="s">
        <v>3922</v>
      </c>
      <c r="E1233" t="str">
        <f>"177536"</f>
        <v>177536</v>
      </c>
      <c r="F1233" t="str">
        <f t="shared" si="21"/>
        <v>33200000</v>
      </c>
      <c r="H1233" t="s">
        <v>3923</v>
      </c>
      <c r="K1233" s="4">
        <v>3477</v>
      </c>
    </row>
    <row r="1234" spans="1:11" hidden="1" outlineLevel="2" x14ac:dyDescent="0.35">
      <c r="A1234" t="s">
        <v>3115</v>
      </c>
      <c r="B1234" s="1">
        <v>45725</v>
      </c>
      <c r="C1234" t="str">
        <f>"1136"</f>
        <v>1136</v>
      </c>
      <c r="D1234" t="s">
        <v>3924</v>
      </c>
      <c r="E1234" t="str">
        <f>"177536"</f>
        <v>177536</v>
      </c>
      <c r="F1234" t="str">
        <f t="shared" si="21"/>
        <v>33200000</v>
      </c>
      <c r="H1234" t="s">
        <v>3925</v>
      </c>
      <c r="K1234" s="4">
        <v>499</v>
      </c>
    </row>
    <row r="1235" spans="1:11" hidden="1" outlineLevel="2" x14ac:dyDescent="0.35">
      <c r="A1235" t="s">
        <v>3115</v>
      </c>
      <c r="B1235" s="1">
        <v>45725</v>
      </c>
      <c r="C1235" t="str">
        <f>"1139"</f>
        <v>1139</v>
      </c>
      <c r="D1235" t="s">
        <v>3930</v>
      </c>
      <c r="E1235" t="str">
        <f>"182261"</f>
        <v>182261</v>
      </c>
      <c r="F1235" t="str">
        <f t="shared" si="21"/>
        <v>33200000</v>
      </c>
      <c r="H1235" t="s">
        <v>3931</v>
      </c>
      <c r="K1235" s="4">
        <v>12712</v>
      </c>
    </row>
    <row r="1236" spans="1:11" hidden="1" outlineLevel="2" x14ac:dyDescent="0.35">
      <c r="A1236" t="s">
        <v>3115</v>
      </c>
      <c r="B1236" s="1">
        <v>45725</v>
      </c>
      <c r="C1236" t="str">
        <f>"1140"</f>
        <v>1140</v>
      </c>
      <c r="D1236" t="s">
        <v>3932</v>
      </c>
      <c r="E1236" t="str">
        <f>"182262"</f>
        <v>182262</v>
      </c>
      <c r="F1236" t="str">
        <f t="shared" si="21"/>
        <v>33200000</v>
      </c>
      <c r="H1236" t="s">
        <v>3933</v>
      </c>
      <c r="K1236" s="4">
        <v>2857</v>
      </c>
    </row>
    <row r="1237" spans="1:11" hidden="1" outlineLevel="2" x14ac:dyDescent="0.35">
      <c r="A1237" t="s">
        <v>3115</v>
      </c>
      <c r="B1237" s="1">
        <v>45726</v>
      </c>
      <c r="C1237" t="str">
        <f>"508"</f>
        <v>508</v>
      </c>
      <c r="D1237" t="s">
        <v>3936</v>
      </c>
      <c r="E1237" t="str">
        <f>"147209"</f>
        <v>147209</v>
      </c>
      <c r="F1237" t="str">
        <f t="shared" si="21"/>
        <v>33200000</v>
      </c>
      <c r="H1237" t="s">
        <v>3937</v>
      </c>
      <c r="K1237" s="4">
        <v>328</v>
      </c>
    </row>
    <row r="1238" spans="1:11" hidden="1" outlineLevel="2" x14ac:dyDescent="0.35">
      <c r="A1238" t="s">
        <v>3115</v>
      </c>
      <c r="B1238" s="1">
        <v>45726</v>
      </c>
      <c r="C1238" t="str">
        <f>"509"</f>
        <v>509</v>
      </c>
      <c r="D1238" t="s">
        <v>3938</v>
      </c>
      <c r="E1238" t="str">
        <f>"147211"</f>
        <v>147211</v>
      </c>
      <c r="F1238" t="str">
        <f t="shared" si="21"/>
        <v>33200000</v>
      </c>
      <c r="H1238" t="s">
        <v>3939</v>
      </c>
      <c r="K1238" s="4">
        <v>4723</v>
      </c>
    </row>
    <row r="1239" spans="1:11" hidden="1" outlineLevel="2" x14ac:dyDescent="0.35">
      <c r="A1239" t="s">
        <v>3115</v>
      </c>
      <c r="B1239" s="1">
        <v>45726</v>
      </c>
      <c r="C1239" t="str">
        <f>"510"</f>
        <v>510</v>
      </c>
      <c r="D1239" t="s">
        <v>3940</v>
      </c>
      <c r="E1239" t="str">
        <f>"147210"</f>
        <v>147210</v>
      </c>
      <c r="F1239" t="str">
        <f t="shared" si="21"/>
        <v>33200000</v>
      </c>
      <c r="H1239" t="s">
        <v>3941</v>
      </c>
      <c r="K1239" s="4">
        <v>2492</v>
      </c>
    </row>
    <row r="1240" spans="1:11" hidden="1" outlineLevel="2" x14ac:dyDescent="0.35">
      <c r="A1240" t="s">
        <v>3115</v>
      </c>
      <c r="B1240" s="1">
        <v>45726</v>
      </c>
      <c r="C1240" t="str">
        <f>"511"</f>
        <v>511</v>
      </c>
      <c r="D1240" t="s">
        <v>3942</v>
      </c>
      <c r="E1240" t="str">
        <f>"178434"</f>
        <v>178434</v>
      </c>
      <c r="F1240" t="str">
        <f t="shared" si="21"/>
        <v>33200000</v>
      </c>
      <c r="H1240" t="s">
        <v>3943</v>
      </c>
      <c r="K1240" s="4">
        <v>220000</v>
      </c>
    </row>
    <row r="1241" spans="1:11" hidden="1" outlineLevel="2" x14ac:dyDescent="0.35">
      <c r="A1241" t="s">
        <v>3115</v>
      </c>
      <c r="B1241" s="1">
        <v>45726</v>
      </c>
      <c r="C1241" t="str">
        <f>"513"</f>
        <v>513</v>
      </c>
      <c r="D1241" t="s">
        <v>3946</v>
      </c>
      <c r="E1241" t="str">
        <f>"147212"</f>
        <v>147212</v>
      </c>
      <c r="F1241" t="str">
        <f t="shared" si="21"/>
        <v>33200000</v>
      </c>
      <c r="H1241" t="s">
        <v>3947</v>
      </c>
      <c r="K1241" s="4">
        <v>394</v>
      </c>
    </row>
    <row r="1242" spans="1:11" hidden="1" outlineLevel="2" x14ac:dyDescent="0.35">
      <c r="A1242" t="s">
        <v>3115</v>
      </c>
      <c r="B1242" s="1">
        <v>45726</v>
      </c>
      <c r="C1242" t="str">
        <f>"514"</f>
        <v>514</v>
      </c>
      <c r="D1242" t="s">
        <v>3948</v>
      </c>
      <c r="E1242" t="str">
        <f>"181998"</f>
        <v>181998</v>
      </c>
      <c r="F1242" t="str">
        <f t="shared" si="21"/>
        <v>33200000</v>
      </c>
      <c r="H1242" t="s">
        <v>3949</v>
      </c>
      <c r="K1242" s="4">
        <v>11376</v>
      </c>
    </row>
    <row r="1243" spans="1:11" hidden="1" outlineLevel="2" x14ac:dyDescent="0.35">
      <c r="A1243" t="s">
        <v>3115</v>
      </c>
      <c r="B1243" s="1">
        <v>45726</v>
      </c>
      <c r="C1243" t="str">
        <f>"515"</f>
        <v>515</v>
      </c>
      <c r="D1243" t="s">
        <v>3950</v>
      </c>
      <c r="E1243" t="str">
        <f>"181735"</f>
        <v>181735</v>
      </c>
      <c r="F1243" t="str">
        <f t="shared" si="21"/>
        <v>33200000</v>
      </c>
      <c r="H1243" t="s">
        <v>3951</v>
      </c>
      <c r="K1243" s="4">
        <v>50180</v>
      </c>
    </row>
    <row r="1244" spans="1:11" hidden="1" outlineLevel="2" x14ac:dyDescent="0.35">
      <c r="A1244" t="s">
        <v>3115</v>
      </c>
      <c r="B1244" s="1">
        <v>45726</v>
      </c>
      <c r="C1244" t="str">
        <f>"516"</f>
        <v>516</v>
      </c>
      <c r="D1244" t="s">
        <v>3952</v>
      </c>
      <c r="F1244" t="str">
        <f t="shared" si="21"/>
        <v>33200000</v>
      </c>
      <c r="H1244" t="s">
        <v>3953</v>
      </c>
      <c r="K1244" s="4">
        <v>56700</v>
      </c>
    </row>
    <row r="1245" spans="1:11" hidden="1" outlineLevel="2" x14ac:dyDescent="0.35">
      <c r="A1245" t="s">
        <v>3115</v>
      </c>
      <c r="B1245" s="1">
        <v>45726</v>
      </c>
      <c r="C1245" t="str">
        <f>"517"</f>
        <v>517</v>
      </c>
      <c r="D1245" t="s">
        <v>3954</v>
      </c>
      <c r="E1245" t="str">
        <f>"179288"</f>
        <v>179288</v>
      </c>
      <c r="F1245" t="str">
        <f t="shared" si="21"/>
        <v>33200000</v>
      </c>
      <c r="H1245" t="s">
        <v>3955</v>
      </c>
      <c r="K1245" s="4">
        <v>405999</v>
      </c>
    </row>
    <row r="1246" spans="1:11" hidden="1" outlineLevel="2" x14ac:dyDescent="0.35">
      <c r="A1246" t="s">
        <v>3115</v>
      </c>
      <c r="B1246" s="1">
        <v>45726</v>
      </c>
      <c r="C1246" t="str">
        <f>"518"</f>
        <v>518</v>
      </c>
      <c r="D1246" t="s">
        <v>3956</v>
      </c>
      <c r="E1246" t="str">
        <f>"181728"</f>
        <v>181728</v>
      </c>
      <c r="F1246" t="str">
        <f t="shared" si="21"/>
        <v>33200000</v>
      </c>
      <c r="H1246" t="s">
        <v>3957</v>
      </c>
      <c r="K1246" s="4">
        <v>18900</v>
      </c>
    </row>
    <row r="1247" spans="1:11" hidden="1" outlineLevel="2" x14ac:dyDescent="0.35">
      <c r="A1247" t="s">
        <v>3115</v>
      </c>
      <c r="B1247" s="1">
        <v>45726</v>
      </c>
      <c r="C1247" t="str">
        <f>"519"</f>
        <v>519</v>
      </c>
      <c r="D1247" t="s">
        <v>3958</v>
      </c>
      <c r="E1247" t="str">
        <f>"181240"</f>
        <v>181240</v>
      </c>
      <c r="F1247" t="str">
        <f t="shared" si="21"/>
        <v>33200000</v>
      </c>
      <c r="H1247" t="s">
        <v>3959</v>
      </c>
      <c r="K1247" s="4">
        <v>2361</v>
      </c>
    </row>
    <row r="1248" spans="1:11" hidden="1" outlineLevel="2" x14ac:dyDescent="0.35">
      <c r="A1248" t="s">
        <v>3115</v>
      </c>
      <c r="B1248" s="1">
        <v>45726</v>
      </c>
      <c r="C1248" t="str">
        <f>"520"</f>
        <v>520</v>
      </c>
      <c r="D1248" t="s">
        <v>3960</v>
      </c>
      <c r="E1248" t="str">
        <f>"181240"</f>
        <v>181240</v>
      </c>
      <c r="F1248" t="str">
        <f t="shared" si="21"/>
        <v>33200000</v>
      </c>
      <c r="H1248" t="s">
        <v>3961</v>
      </c>
      <c r="K1248" s="4">
        <v>162</v>
      </c>
    </row>
    <row r="1249" spans="1:11" hidden="1" outlineLevel="2" x14ac:dyDescent="0.35">
      <c r="A1249" t="s">
        <v>3115</v>
      </c>
      <c r="B1249" s="1">
        <v>45726</v>
      </c>
      <c r="C1249" t="str">
        <f>"521"</f>
        <v>521</v>
      </c>
      <c r="D1249" t="s">
        <v>3962</v>
      </c>
      <c r="E1249" t="str">
        <f>"181241"</f>
        <v>181241</v>
      </c>
      <c r="F1249" t="str">
        <f t="shared" si="21"/>
        <v>33200000</v>
      </c>
      <c r="H1249" t="s">
        <v>3963</v>
      </c>
      <c r="K1249" s="4">
        <v>1049</v>
      </c>
    </row>
    <row r="1250" spans="1:11" hidden="1" outlineLevel="2" x14ac:dyDescent="0.35">
      <c r="A1250" t="s">
        <v>3115</v>
      </c>
      <c r="B1250" s="1">
        <v>45726</v>
      </c>
      <c r="C1250" t="str">
        <f>"522"</f>
        <v>522</v>
      </c>
      <c r="D1250" t="s">
        <v>3964</v>
      </c>
      <c r="E1250" t="str">
        <f>"181242"</f>
        <v>181242</v>
      </c>
      <c r="F1250" t="str">
        <f t="shared" si="21"/>
        <v>33200000</v>
      </c>
      <c r="H1250" t="s">
        <v>3965</v>
      </c>
      <c r="K1250" s="4">
        <v>262</v>
      </c>
    </row>
    <row r="1251" spans="1:11" hidden="1" outlineLevel="2" x14ac:dyDescent="0.35">
      <c r="A1251" t="s">
        <v>3115</v>
      </c>
      <c r="B1251" s="1">
        <v>45726</v>
      </c>
      <c r="C1251" t="str">
        <f>"523"</f>
        <v>523</v>
      </c>
      <c r="D1251" t="s">
        <v>3966</v>
      </c>
      <c r="E1251" t="str">
        <f>"181242"</f>
        <v>181242</v>
      </c>
      <c r="F1251" t="str">
        <f t="shared" si="21"/>
        <v>33200000</v>
      </c>
      <c r="H1251" t="s">
        <v>3967</v>
      </c>
      <c r="K1251" s="4">
        <v>2099</v>
      </c>
    </row>
    <row r="1252" spans="1:11" hidden="1" outlineLevel="2" x14ac:dyDescent="0.35">
      <c r="A1252" t="s">
        <v>3115</v>
      </c>
      <c r="B1252" s="1">
        <v>45726</v>
      </c>
      <c r="C1252" t="str">
        <f>"524"</f>
        <v>524</v>
      </c>
      <c r="D1252" t="s">
        <v>3968</v>
      </c>
      <c r="E1252" t="str">
        <f>"180453"</f>
        <v>180453</v>
      </c>
      <c r="F1252" t="str">
        <f t="shared" si="21"/>
        <v>33200000</v>
      </c>
      <c r="H1252" t="s">
        <v>3969</v>
      </c>
      <c r="K1252" s="4">
        <v>8265</v>
      </c>
    </row>
    <row r="1253" spans="1:11" hidden="1" outlineLevel="2" x14ac:dyDescent="0.35">
      <c r="A1253" t="s">
        <v>3115</v>
      </c>
      <c r="B1253" s="1">
        <v>45726</v>
      </c>
      <c r="C1253" t="str">
        <f>"525"</f>
        <v>525</v>
      </c>
      <c r="D1253" t="s">
        <v>3970</v>
      </c>
      <c r="E1253" t="str">
        <f>"177542"</f>
        <v>177542</v>
      </c>
      <c r="F1253" t="str">
        <f t="shared" si="21"/>
        <v>33200000</v>
      </c>
      <c r="H1253" t="s">
        <v>3971</v>
      </c>
      <c r="K1253" s="4">
        <v>3149</v>
      </c>
    </row>
    <row r="1254" spans="1:11" hidden="1" outlineLevel="2" x14ac:dyDescent="0.35">
      <c r="A1254" t="s">
        <v>3115</v>
      </c>
      <c r="B1254" s="1">
        <v>45726</v>
      </c>
      <c r="C1254" t="str">
        <f>"526"</f>
        <v>526</v>
      </c>
      <c r="D1254" t="s">
        <v>3972</v>
      </c>
      <c r="E1254" t="str">
        <f>"177535"</f>
        <v>177535</v>
      </c>
      <c r="F1254" t="str">
        <f t="shared" si="21"/>
        <v>33200000</v>
      </c>
      <c r="H1254" t="s">
        <v>3973</v>
      </c>
      <c r="K1254" s="4">
        <v>122270</v>
      </c>
    </row>
    <row r="1255" spans="1:11" hidden="1" outlineLevel="2" x14ac:dyDescent="0.35">
      <c r="A1255" t="s">
        <v>3115</v>
      </c>
      <c r="B1255" s="1">
        <v>45726</v>
      </c>
      <c r="C1255" t="str">
        <f>"528"</f>
        <v>528</v>
      </c>
      <c r="D1255" t="s">
        <v>3976</v>
      </c>
      <c r="E1255" t="str">
        <f>"180454"</f>
        <v>180454</v>
      </c>
      <c r="F1255" t="str">
        <f t="shared" si="21"/>
        <v>33200000</v>
      </c>
      <c r="H1255" t="s">
        <v>3977</v>
      </c>
      <c r="K1255" s="4">
        <v>262</v>
      </c>
    </row>
    <row r="1256" spans="1:11" hidden="1" outlineLevel="2" x14ac:dyDescent="0.35">
      <c r="A1256" t="s">
        <v>3115</v>
      </c>
      <c r="B1256" s="1">
        <v>45726</v>
      </c>
      <c r="C1256" t="str">
        <f>"529"</f>
        <v>529</v>
      </c>
      <c r="D1256" t="s">
        <v>3978</v>
      </c>
      <c r="E1256" t="str">
        <f>"180455"</f>
        <v>180455</v>
      </c>
      <c r="F1256" t="str">
        <f t="shared" si="21"/>
        <v>33200000</v>
      </c>
      <c r="H1256" t="s">
        <v>3979</v>
      </c>
      <c r="K1256" s="4">
        <v>7544</v>
      </c>
    </row>
    <row r="1257" spans="1:11" hidden="1" outlineLevel="2" x14ac:dyDescent="0.35">
      <c r="A1257" t="s">
        <v>3115</v>
      </c>
      <c r="B1257" s="1">
        <v>45726</v>
      </c>
      <c r="C1257" t="str">
        <f>"530"</f>
        <v>530</v>
      </c>
      <c r="D1257" t="s">
        <v>3980</v>
      </c>
      <c r="E1257" t="str">
        <f>"177537"</f>
        <v>177537</v>
      </c>
      <c r="F1257" t="str">
        <f t="shared" si="21"/>
        <v>33200000</v>
      </c>
      <c r="H1257" t="s">
        <v>3981</v>
      </c>
      <c r="K1257" s="4">
        <v>250000</v>
      </c>
    </row>
    <row r="1258" spans="1:11" hidden="1" outlineLevel="2" x14ac:dyDescent="0.35">
      <c r="A1258" t="s">
        <v>3115</v>
      </c>
      <c r="B1258" s="1">
        <v>45726</v>
      </c>
      <c r="C1258" t="str">
        <f>"531"</f>
        <v>531</v>
      </c>
      <c r="D1258" t="s">
        <v>3982</v>
      </c>
      <c r="E1258" t="str">
        <f>"180456"</f>
        <v>180456</v>
      </c>
      <c r="F1258" t="str">
        <f t="shared" si="21"/>
        <v>33200000</v>
      </c>
      <c r="H1258" t="s">
        <v>3983</v>
      </c>
      <c r="K1258" s="4">
        <v>787</v>
      </c>
    </row>
    <row r="1259" spans="1:11" hidden="1" outlineLevel="2" x14ac:dyDescent="0.35">
      <c r="A1259" t="s">
        <v>3115</v>
      </c>
      <c r="B1259" s="1">
        <v>45726</v>
      </c>
      <c r="C1259" t="str">
        <f>"532"</f>
        <v>532</v>
      </c>
      <c r="D1259" t="s">
        <v>3984</v>
      </c>
      <c r="E1259" t="str">
        <f>"177539"</f>
        <v>177539</v>
      </c>
      <c r="F1259" t="str">
        <f t="shared" si="21"/>
        <v>33200000</v>
      </c>
      <c r="H1259" t="s">
        <v>3985</v>
      </c>
      <c r="K1259" s="4">
        <v>122373</v>
      </c>
    </row>
    <row r="1260" spans="1:11" hidden="1" outlineLevel="2" x14ac:dyDescent="0.35">
      <c r="A1260" t="s">
        <v>3115</v>
      </c>
      <c r="B1260" s="1">
        <v>45726</v>
      </c>
      <c r="C1260" t="str">
        <f>"534"</f>
        <v>534</v>
      </c>
      <c r="D1260" t="s">
        <v>3988</v>
      </c>
      <c r="E1260" t="str">
        <f>"177540"</f>
        <v>177540</v>
      </c>
      <c r="F1260" t="str">
        <f t="shared" si="21"/>
        <v>33200000</v>
      </c>
      <c r="H1260" t="s">
        <v>3989</v>
      </c>
      <c r="K1260" s="4">
        <v>1900</v>
      </c>
    </row>
    <row r="1261" spans="1:11" hidden="1" outlineLevel="2" x14ac:dyDescent="0.35">
      <c r="A1261" t="s">
        <v>3115</v>
      </c>
      <c r="B1261" s="1">
        <v>45726</v>
      </c>
      <c r="C1261" t="str">
        <f>"535"</f>
        <v>535</v>
      </c>
      <c r="D1261" t="s">
        <v>3990</v>
      </c>
      <c r="E1261" t="str">
        <f>"176320"</f>
        <v>176320</v>
      </c>
      <c r="F1261" t="str">
        <f t="shared" si="21"/>
        <v>33200000</v>
      </c>
      <c r="H1261" t="s">
        <v>3991</v>
      </c>
      <c r="K1261" s="4">
        <v>114006</v>
      </c>
    </row>
    <row r="1262" spans="1:11" hidden="1" outlineLevel="2" x14ac:dyDescent="0.35">
      <c r="A1262" t="s">
        <v>3115</v>
      </c>
      <c r="B1262" s="1">
        <v>45726</v>
      </c>
      <c r="C1262" t="str">
        <f>"544"</f>
        <v>544</v>
      </c>
      <c r="D1262" t="s">
        <v>4008</v>
      </c>
      <c r="E1262" t="str">
        <f>"181925"</f>
        <v>181925</v>
      </c>
      <c r="F1262" t="str">
        <f t="shared" si="21"/>
        <v>33200000</v>
      </c>
      <c r="H1262" t="s">
        <v>4009</v>
      </c>
      <c r="K1262" s="4">
        <v>93015</v>
      </c>
    </row>
    <row r="1263" spans="1:11" hidden="1" outlineLevel="2" x14ac:dyDescent="0.35">
      <c r="A1263" t="s">
        <v>3115</v>
      </c>
      <c r="B1263" s="1">
        <v>45726</v>
      </c>
      <c r="C1263" t="str">
        <f>"545"</f>
        <v>545</v>
      </c>
      <c r="D1263" t="s">
        <v>4010</v>
      </c>
      <c r="E1263" t="str">
        <f>"183351"</f>
        <v>183351</v>
      </c>
      <c r="F1263" t="str">
        <f t="shared" si="21"/>
        <v>33200000</v>
      </c>
      <c r="H1263" t="s">
        <v>4011</v>
      </c>
      <c r="K1263" s="4">
        <v>21050</v>
      </c>
    </row>
    <row r="1264" spans="1:11" hidden="1" outlineLevel="2" x14ac:dyDescent="0.35">
      <c r="A1264" t="s">
        <v>3115</v>
      </c>
      <c r="B1264" s="1">
        <v>45726</v>
      </c>
      <c r="C1264" t="str">
        <f>"546"</f>
        <v>546</v>
      </c>
      <c r="D1264" t="s">
        <v>4012</v>
      </c>
      <c r="E1264" t="str">
        <f>"183326"</f>
        <v>183326</v>
      </c>
      <c r="F1264" t="str">
        <f t="shared" si="21"/>
        <v>33200000</v>
      </c>
      <c r="H1264" t="s">
        <v>4013</v>
      </c>
      <c r="K1264" s="4">
        <v>3306</v>
      </c>
    </row>
    <row r="1265" spans="1:11" hidden="1" outlineLevel="2" x14ac:dyDescent="0.35">
      <c r="A1265" t="s">
        <v>3115</v>
      </c>
      <c r="B1265" s="1">
        <v>45726</v>
      </c>
      <c r="C1265" t="str">
        <f>"547"</f>
        <v>547</v>
      </c>
      <c r="D1265" t="s">
        <v>4014</v>
      </c>
      <c r="E1265" t="str">
        <f>"182018"</f>
        <v>182018</v>
      </c>
      <c r="F1265" t="str">
        <f t="shared" si="21"/>
        <v>33200000</v>
      </c>
      <c r="H1265" t="s">
        <v>4015</v>
      </c>
      <c r="K1265" s="4">
        <v>1450</v>
      </c>
    </row>
    <row r="1266" spans="1:11" hidden="1" outlineLevel="2" x14ac:dyDescent="0.35">
      <c r="A1266" t="s">
        <v>3115</v>
      </c>
      <c r="B1266" s="1">
        <v>45726</v>
      </c>
      <c r="C1266" t="str">
        <f>"548"</f>
        <v>548</v>
      </c>
      <c r="D1266" t="s">
        <v>4016</v>
      </c>
      <c r="E1266" t="str">
        <f>"182020"</f>
        <v>182020</v>
      </c>
      <c r="F1266" t="str">
        <f t="shared" ref="F1266:F1329" si="22">"33200000"</f>
        <v>33200000</v>
      </c>
      <c r="H1266" t="s">
        <v>4017</v>
      </c>
      <c r="K1266" s="4">
        <v>4264</v>
      </c>
    </row>
    <row r="1267" spans="1:11" hidden="1" outlineLevel="2" x14ac:dyDescent="0.35">
      <c r="A1267" t="s">
        <v>3115</v>
      </c>
      <c r="B1267" s="1">
        <v>45726</v>
      </c>
      <c r="C1267" t="str">
        <f>"549"</f>
        <v>549</v>
      </c>
      <c r="D1267" t="s">
        <v>4018</v>
      </c>
      <c r="E1267" t="str">
        <f>"182019"</f>
        <v>182019</v>
      </c>
      <c r="F1267" t="str">
        <f t="shared" si="22"/>
        <v>33200000</v>
      </c>
      <c r="H1267" t="s">
        <v>4019</v>
      </c>
      <c r="K1267" s="4">
        <v>20139</v>
      </c>
    </row>
    <row r="1268" spans="1:11" hidden="1" outlineLevel="2" x14ac:dyDescent="0.35">
      <c r="A1268" t="s">
        <v>3115</v>
      </c>
      <c r="B1268" s="1">
        <v>45726</v>
      </c>
      <c r="C1268" t="str">
        <f>"550"</f>
        <v>550</v>
      </c>
      <c r="D1268" t="s">
        <v>4020</v>
      </c>
      <c r="E1268" t="str">
        <f>"182021"</f>
        <v>182021</v>
      </c>
      <c r="F1268" t="str">
        <f t="shared" si="22"/>
        <v>33200000</v>
      </c>
      <c r="H1268" t="s">
        <v>4021</v>
      </c>
      <c r="K1268" s="4">
        <v>3477</v>
      </c>
    </row>
    <row r="1269" spans="1:11" hidden="1" outlineLevel="2" x14ac:dyDescent="0.35">
      <c r="A1269" t="s">
        <v>3115</v>
      </c>
      <c r="B1269" s="1">
        <v>45726</v>
      </c>
      <c r="C1269" t="str">
        <f>"551"</f>
        <v>551</v>
      </c>
      <c r="D1269" t="s">
        <v>4022</v>
      </c>
      <c r="E1269" t="str">
        <f>"181926"</f>
        <v>181926</v>
      </c>
      <c r="F1269" t="str">
        <f t="shared" si="22"/>
        <v>33200000</v>
      </c>
      <c r="H1269" t="s">
        <v>4023</v>
      </c>
      <c r="K1269" s="4">
        <v>6035</v>
      </c>
    </row>
    <row r="1270" spans="1:11" hidden="1" outlineLevel="2" x14ac:dyDescent="0.35">
      <c r="A1270" t="s">
        <v>3115</v>
      </c>
      <c r="B1270" s="1">
        <v>45726</v>
      </c>
      <c r="C1270" t="str">
        <f>"552"</f>
        <v>552</v>
      </c>
      <c r="D1270" t="s">
        <v>4024</v>
      </c>
      <c r="E1270" t="str">
        <f>"183504"</f>
        <v>183504</v>
      </c>
      <c r="F1270" t="str">
        <f t="shared" si="22"/>
        <v>33200000</v>
      </c>
      <c r="H1270" t="s">
        <v>4025</v>
      </c>
      <c r="K1270" s="4">
        <v>93802</v>
      </c>
    </row>
    <row r="1271" spans="1:11" hidden="1" outlineLevel="2" x14ac:dyDescent="0.35">
      <c r="A1271" t="s">
        <v>3115</v>
      </c>
      <c r="B1271" s="1">
        <v>45726</v>
      </c>
      <c r="C1271" t="str">
        <f>"553"</f>
        <v>553</v>
      </c>
      <c r="D1271" t="s">
        <v>4026</v>
      </c>
      <c r="E1271" t="str">
        <f>"182140"</f>
        <v>182140</v>
      </c>
      <c r="F1271" t="str">
        <f t="shared" si="22"/>
        <v>33200000</v>
      </c>
      <c r="H1271" t="s">
        <v>4027</v>
      </c>
      <c r="K1271" s="4">
        <v>1365</v>
      </c>
    </row>
    <row r="1272" spans="1:11" hidden="1" outlineLevel="2" x14ac:dyDescent="0.35">
      <c r="A1272" t="s">
        <v>3115</v>
      </c>
      <c r="B1272" s="1">
        <v>45726</v>
      </c>
      <c r="C1272" t="str">
        <f>"554"</f>
        <v>554</v>
      </c>
      <c r="D1272" t="s">
        <v>4028</v>
      </c>
      <c r="E1272" t="str">
        <f>"183459"</f>
        <v>183459</v>
      </c>
      <c r="F1272" t="str">
        <f t="shared" si="22"/>
        <v>33200000</v>
      </c>
      <c r="H1272" t="s">
        <v>4029</v>
      </c>
      <c r="K1272" s="4">
        <v>773</v>
      </c>
    </row>
    <row r="1273" spans="1:11" hidden="1" outlineLevel="2" x14ac:dyDescent="0.35">
      <c r="A1273" t="s">
        <v>3115</v>
      </c>
      <c r="B1273" s="1">
        <v>45726</v>
      </c>
      <c r="C1273" t="str">
        <f>"556"</f>
        <v>556</v>
      </c>
      <c r="D1273" t="s">
        <v>4032</v>
      </c>
      <c r="E1273" t="str">
        <f>"183292"</f>
        <v>183292</v>
      </c>
      <c r="F1273" t="str">
        <f t="shared" si="22"/>
        <v>33200000</v>
      </c>
      <c r="H1273" t="s">
        <v>4033</v>
      </c>
      <c r="K1273" s="4">
        <v>1312</v>
      </c>
    </row>
    <row r="1274" spans="1:11" hidden="1" outlineLevel="2" x14ac:dyDescent="0.35">
      <c r="A1274" t="s">
        <v>3115</v>
      </c>
      <c r="B1274" s="1">
        <v>45726</v>
      </c>
      <c r="C1274" t="str">
        <f>"557"</f>
        <v>557</v>
      </c>
      <c r="D1274" t="s">
        <v>4034</v>
      </c>
      <c r="E1274" t="str">
        <f>"182017"</f>
        <v>182017</v>
      </c>
      <c r="F1274" t="str">
        <f t="shared" si="22"/>
        <v>33200000</v>
      </c>
      <c r="H1274" t="s">
        <v>4035</v>
      </c>
      <c r="K1274" s="4">
        <v>1574</v>
      </c>
    </row>
    <row r="1275" spans="1:11" hidden="1" outlineLevel="2" x14ac:dyDescent="0.35">
      <c r="A1275" t="s">
        <v>3115</v>
      </c>
      <c r="B1275" s="1">
        <v>45727</v>
      </c>
      <c r="C1275" t="str">
        <f>"560"</f>
        <v>560</v>
      </c>
      <c r="D1275" t="s">
        <v>4040</v>
      </c>
      <c r="E1275" t="str">
        <f>"180842"</f>
        <v>180842</v>
      </c>
      <c r="F1275" t="str">
        <f t="shared" si="22"/>
        <v>33200000</v>
      </c>
      <c r="H1275" t="s">
        <v>4041</v>
      </c>
      <c r="K1275" s="4">
        <v>168000</v>
      </c>
    </row>
    <row r="1276" spans="1:11" hidden="1" outlineLevel="2" x14ac:dyDescent="0.35">
      <c r="A1276" t="s">
        <v>3115</v>
      </c>
      <c r="B1276" s="1">
        <v>45727</v>
      </c>
      <c r="C1276" t="str">
        <f>"561"</f>
        <v>561</v>
      </c>
      <c r="D1276" t="s">
        <v>4042</v>
      </c>
      <c r="E1276" t="str">
        <f>"180841"</f>
        <v>180841</v>
      </c>
      <c r="F1276" t="str">
        <f t="shared" si="22"/>
        <v>33200000</v>
      </c>
      <c r="H1276" t="s">
        <v>4043</v>
      </c>
      <c r="K1276" s="4">
        <v>58800</v>
      </c>
    </row>
    <row r="1277" spans="1:11" hidden="1" outlineLevel="2" x14ac:dyDescent="0.35">
      <c r="A1277" t="s">
        <v>3115</v>
      </c>
      <c r="B1277" s="1">
        <v>45727</v>
      </c>
      <c r="C1277" t="str">
        <f>"562"</f>
        <v>562</v>
      </c>
      <c r="D1277" t="s">
        <v>4044</v>
      </c>
      <c r="E1277" t="str">
        <f>"181195"</f>
        <v>181195</v>
      </c>
      <c r="F1277" t="str">
        <f t="shared" si="22"/>
        <v>33200000</v>
      </c>
      <c r="H1277" t="s">
        <v>4045</v>
      </c>
      <c r="K1277" s="4">
        <v>44498</v>
      </c>
    </row>
    <row r="1278" spans="1:11" hidden="1" outlineLevel="2" x14ac:dyDescent="0.35">
      <c r="A1278" t="s">
        <v>3115</v>
      </c>
      <c r="B1278" s="1">
        <v>45727</v>
      </c>
      <c r="C1278" t="str">
        <f>"563"</f>
        <v>563</v>
      </c>
      <c r="D1278" t="s">
        <v>4046</v>
      </c>
      <c r="E1278" t="str">
        <f>"147213"</f>
        <v>147213</v>
      </c>
      <c r="F1278" t="str">
        <f t="shared" si="22"/>
        <v>33200000</v>
      </c>
      <c r="H1278" t="s">
        <v>4047</v>
      </c>
      <c r="K1278" s="4">
        <v>3870</v>
      </c>
    </row>
    <row r="1279" spans="1:11" hidden="1" outlineLevel="2" x14ac:dyDescent="0.35">
      <c r="A1279" t="s">
        <v>3115</v>
      </c>
      <c r="B1279" s="1">
        <v>45727</v>
      </c>
      <c r="C1279" t="str">
        <f>"565"</f>
        <v>565</v>
      </c>
      <c r="D1279" t="s">
        <v>4050</v>
      </c>
      <c r="E1279" t="str">
        <f>"181243"</f>
        <v>181243</v>
      </c>
      <c r="F1279" t="str">
        <f t="shared" si="22"/>
        <v>33200000</v>
      </c>
      <c r="H1279" t="s">
        <v>4051</v>
      </c>
      <c r="K1279" s="4">
        <v>3017</v>
      </c>
    </row>
    <row r="1280" spans="1:11" hidden="1" outlineLevel="2" x14ac:dyDescent="0.35">
      <c r="A1280" t="s">
        <v>3115</v>
      </c>
      <c r="B1280" s="1">
        <v>45727</v>
      </c>
      <c r="C1280" t="str">
        <f>"568"</f>
        <v>568</v>
      </c>
      <c r="D1280" t="s">
        <v>4056</v>
      </c>
      <c r="E1280" t="str">
        <f>"177543"</f>
        <v>177543</v>
      </c>
      <c r="F1280" t="str">
        <f t="shared" si="22"/>
        <v>33200000</v>
      </c>
      <c r="H1280" t="s">
        <v>4057</v>
      </c>
      <c r="K1280" s="4">
        <v>122270</v>
      </c>
    </row>
    <row r="1281" spans="1:11" hidden="1" outlineLevel="2" x14ac:dyDescent="0.35">
      <c r="A1281" t="s">
        <v>3115</v>
      </c>
      <c r="B1281" s="1">
        <v>45727</v>
      </c>
      <c r="C1281" t="str">
        <f>"570"</f>
        <v>570</v>
      </c>
      <c r="D1281" t="s">
        <v>4060</v>
      </c>
      <c r="E1281" t="str">
        <f>"177544"</f>
        <v>177544</v>
      </c>
      <c r="F1281" t="str">
        <f t="shared" si="22"/>
        <v>33200000</v>
      </c>
      <c r="H1281" t="s">
        <v>4061</v>
      </c>
      <c r="K1281" s="4">
        <v>3083</v>
      </c>
    </row>
    <row r="1282" spans="1:11" hidden="1" outlineLevel="2" x14ac:dyDescent="0.35">
      <c r="A1282" t="s">
        <v>3115</v>
      </c>
      <c r="B1282" s="1">
        <v>45727</v>
      </c>
      <c r="C1282" t="str">
        <f>"571"</f>
        <v>571</v>
      </c>
      <c r="D1282" t="s">
        <v>4062</v>
      </c>
      <c r="E1282" t="str">
        <f>"183297"</f>
        <v>183297</v>
      </c>
      <c r="F1282" t="str">
        <f t="shared" si="22"/>
        <v>33200000</v>
      </c>
      <c r="H1282" t="s">
        <v>4063</v>
      </c>
      <c r="K1282" s="4">
        <v>15547</v>
      </c>
    </row>
    <row r="1283" spans="1:11" hidden="1" outlineLevel="2" x14ac:dyDescent="0.35">
      <c r="A1283" t="s">
        <v>3115</v>
      </c>
      <c r="B1283" s="1">
        <v>45727</v>
      </c>
      <c r="C1283" t="str">
        <f>"572"</f>
        <v>572</v>
      </c>
      <c r="D1283" t="s">
        <v>4064</v>
      </c>
      <c r="E1283" t="str">
        <f>"177545"</f>
        <v>177545</v>
      </c>
      <c r="F1283" t="str">
        <f t="shared" si="22"/>
        <v>33200000</v>
      </c>
      <c r="H1283" t="s">
        <v>4065</v>
      </c>
      <c r="K1283" s="4">
        <v>2500</v>
      </c>
    </row>
    <row r="1284" spans="1:11" hidden="1" outlineLevel="2" x14ac:dyDescent="0.35">
      <c r="A1284" t="s">
        <v>3115</v>
      </c>
      <c r="B1284" s="1">
        <v>45727</v>
      </c>
      <c r="C1284" t="str">
        <f>"573"</f>
        <v>573</v>
      </c>
      <c r="D1284" t="s">
        <v>4066</v>
      </c>
      <c r="E1284" t="str">
        <f>"183465"</f>
        <v>183465</v>
      </c>
      <c r="F1284" t="str">
        <f t="shared" si="22"/>
        <v>33200000</v>
      </c>
      <c r="H1284" t="s">
        <v>4067</v>
      </c>
      <c r="K1284" s="4">
        <v>7861</v>
      </c>
    </row>
    <row r="1285" spans="1:11" hidden="1" outlineLevel="2" x14ac:dyDescent="0.35">
      <c r="A1285" t="s">
        <v>3115</v>
      </c>
      <c r="B1285" s="1">
        <v>45727</v>
      </c>
      <c r="C1285" t="str">
        <f>"575"</f>
        <v>575</v>
      </c>
      <c r="D1285" t="s">
        <v>4070</v>
      </c>
      <c r="E1285" t="str">
        <f>"183298"</f>
        <v>183298</v>
      </c>
      <c r="F1285" t="str">
        <f t="shared" si="22"/>
        <v>33200000</v>
      </c>
      <c r="H1285" t="s">
        <v>4071</v>
      </c>
      <c r="K1285" s="4">
        <v>10675</v>
      </c>
    </row>
    <row r="1286" spans="1:11" hidden="1" outlineLevel="2" x14ac:dyDescent="0.35">
      <c r="A1286" t="s">
        <v>3115</v>
      </c>
      <c r="B1286" s="1">
        <v>45727</v>
      </c>
      <c r="C1286" t="str">
        <f>"576"</f>
        <v>576</v>
      </c>
      <c r="D1286" t="s">
        <v>4072</v>
      </c>
      <c r="E1286" t="str">
        <f>"183298"</f>
        <v>183298</v>
      </c>
      <c r="F1286" t="str">
        <f t="shared" si="22"/>
        <v>33200000</v>
      </c>
      <c r="H1286" t="s">
        <v>4073</v>
      </c>
      <c r="K1286" s="4">
        <v>939</v>
      </c>
    </row>
    <row r="1287" spans="1:11" hidden="1" outlineLevel="2" x14ac:dyDescent="0.35">
      <c r="A1287" t="s">
        <v>3115</v>
      </c>
      <c r="B1287" s="1">
        <v>45727</v>
      </c>
      <c r="C1287" t="str">
        <f>"577"</f>
        <v>577</v>
      </c>
      <c r="D1287" t="s">
        <v>4074</v>
      </c>
      <c r="E1287" t="str">
        <f>"181929"</f>
        <v>181929</v>
      </c>
      <c r="F1287" t="str">
        <f t="shared" si="22"/>
        <v>33200000</v>
      </c>
      <c r="H1287" t="s">
        <v>4075</v>
      </c>
      <c r="K1287" s="4">
        <v>3017</v>
      </c>
    </row>
    <row r="1288" spans="1:11" hidden="1" outlineLevel="2" x14ac:dyDescent="0.35">
      <c r="A1288" t="s">
        <v>3115</v>
      </c>
      <c r="B1288" s="1">
        <v>45727</v>
      </c>
      <c r="C1288" t="str">
        <f>"579"</f>
        <v>579</v>
      </c>
      <c r="D1288" t="s">
        <v>4078</v>
      </c>
      <c r="E1288" t="str">
        <f>"180457"</f>
        <v>180457</v>
      </c>
      <c r="F1288" t="str">
        <f t="shared" si="22"/>
        <v>33200000</v>
      </c>
      <c r="H1288" t="s">
        <v>4079</v>
      </c>
      <c r="K1288" s="4">
        <v>6035</v>
      </c>
    </row>
    <row r="1289" spans="1:11" hidden="1" outlineLevel="2" x14ac:dyDescent="0.35">
      <c r="A1289" t="s">
        <v>3115</v>
      </c>
      <c r="B1289" s="1">
        <v>45727</v>
      </c>
      <c r="C1289" t="str">
        <f>"580"</f>
        <v>580</v>
      </c>
      <c r="D1289" t="s">
        <v>4080</v>
      </c>
      <c r="E1289" t="str">
        <f>"180458"</f>
        <v>180458</v>
      </c>
      <c r="F1289" t="str">
        <f t="shared" si="22"/>
        <v>33200000</v>
      </c>
      <c r="H1289" t="s">
        <v>4081</v>
      </c>
      <c r="K1289" s="4">
        <v>298</v>
      </c>
    </row>
    <row r="1290" spans="1:11" hidden="1" outlineLevel="2" x14ac:dyDescent="0.35">
      <c r="A1290" t="s">
        <v>3115</v>
      </c>
      <c r="B1290" s="1">
        <v>45727</v>
      </c>
      <c r="C1290" t="str">
        <f>"581"</f>
        <v>581</v>
      </c>
      <c r="D1290" t="s">
        <v>4082</v>
      </c>
      <c r="E1290" t="str">
        <f>"180458"</f>
        <v>180458</v>
      </c>
      <c r="F1290" t="str">
        <f t="shared" si="22"/>
        <v>33200000</v>
      </c>
      <c r="H1290" t="s">
        <v>4083</v>
      </c>
      <c r="K1290" s="4">
        <v>804</v>
      </c>
    </row>
    <row r="1291" spans="1:11" hidden="1" outlineLevel="2" x14ac:dyDescent="0.35">
      <c r="A1291" t="s">
        <v>3115</v>
      </c>
      <c r="B1291" s="1">
        <v>45727</v>
      </c>
      <c r="C1291" t="str">
        <f>"583"</f>
        <v>583</v>
      </c>
      <c r="D1291" t="s">
        <v>4086</v>
      </c>
      <c r="E1291" t="str">
        <f>"1183294"</f>
        <v>1183294</v>
      </c>
      <c r="F1291" t="str">
        <f t="shared" si="22"/>
        <v>33200000</v>
      </c>
      <c r="H1291" t="s">
        <v>4087</v>
      </c>
      <c r="K1291" s="4">
        <v>1443</v>
      </c>
    </row>
    <row r="1292" spans="1:11" hidden="1" outlineLevel="2" x14ac:dyDescent="0.35">
      <c r="A1292" t="s">
        <v>3115</v>
      </c>
      <c r="B1292" s="1">
        <v>45727</v>
      </c>
      <c r="C1292" t="str">
        <f>"584"</f>
        <v>584</v>
      </c>
      <c r="D1292" t="s">
        <v>4088</v>
      </c>
      <c r="E1292" t="str">
        <f>"183295"</f>
        <v>183295</v>
      </c>
      <c r="F1292" t="str">
        <f t="shared" si="22"/>
        <v>33200000</v>
      </c>
      <c r="H1292" t="s">
        <v>4089</v>
      </c>
      <c r="K1292" s="4">
        <v>11021</v>
      </c>
    </row>
    <row r="1293" spans="1:11" hidden="1" outlineLevel="2" x14ac:dyDescent="0.35">
      <c r="A1293" t="s">
        <v>3115</v>
      </c>
      <c r="B1293" s="1">
        <v>45727</v>
      </c>
      <c r="C1293" t="str">
        <f>"587"</f>
        <v>587</v>
      </c>
      <c r="D1293" t="s">
        <v>4094</v>
      </c>
      <c r="E1293" t="str">
        <f>"183295"</f>
        <v>183295</v>
      </c>
      <c r="F1293" t="str">
        <f t="shared" si="22"/>
        <v>33200000</v>
      </c>
      <c r="H1293" t="s">
        <v>4095</v>
      </c>
      <c r="K1293" s="4">
        <v>1314</v>
      </c>
    </row>
    <row r="1294" spans="1:11" hidden="1" outlineLevel="2" x14ac:dyDescent="0.35">
      <c r="A1294" t="s">
        <v>3115</v>
      </c>
      <c r="B1294" s="1">
        <v>45727</v>
      </c>
      <c r="C1294" t="str">
        <f>"588"</f>
        <v>588</v>
      </c>
      <c r="D1294" t="s">
        <v>4096</v>
      </c>
      <c r="E1294" t="str">
        <f>"183293"</f>
        <v>183293</v>
      </c>
      <c r="F1294" t="str">
        <f t="shared" si="22"/>
        <v>33200000</v>
      </c>
      <c r="H1294" t="s">
        <v>4097</v>
      </c>
      <c r="K1294" s="4">
        <v>1837</v>
      </c>
    </row>
    <row r="1295" spans="1:11" hidden="1" outlineLevel="2" x14ac:dyDescent="0.35">
      <c r="A1295" t="s">
        <v>3115</v>
      </c>
      <c r="B1295" s="1">
        <v>45727</v>
      </c>
      <c r="C1295" t="str">
        <f>"589"</f>
        <v>589</v>
      </c>
      <c r="D1295" t="s">
        <v>4098</v>
      </c>
      <c r="E1295" t="str">
        <f>"183296"</f>
        <v>183296</v>
      </c>
      <c r="F1295" t="str">
        <f t="shared" si="22"/>
        <v>33200000</v>
      </c>
      <c r="H1295" t="s">
        <v>4099</v>
      </c>
      <c r="K1295" s="4">
        <v>7741</v>
      </c>
    </row>
    <row r="1296" spans="1:11" hidden="1" outlineLevel="2" x14ac:dyDescent="0.35">
      <c r="A1296" t="s">
        <v>3115</v>
      </c>
      <c r="B1296" s="1">
        <v>45727</v>
      </c>
      <c r="C1296" t="str">
        <f>"591"</f>
        <v>591</v>
      </c>
      <c r="D1296" t="s">
        <v>4102</v>
      </c>
      <c r="E1296" t="str">
        <f>"180848"</f>
        <v>180848</v>
      </c>
      <c r="F1296" t="str">
        <f t="shared" si="22"/>
        <v>33200000</v>
      </c>
      <c r="H1296" t="s">
        <v>4103</v>
      </c>
      <c r="K1296" s="4">
        <v>1798</v>
      </c>
    </row>
    <row r="1297" spans="1:11" hidden="1" outlineLevel="2" x14ac:dyDescent="0.35">
      <c r="A1297" t="s">
        <v>3115</v>
      </c>
      <c r="B1297" s="1">
        <v>45727</v>
      </c>
      <c r="C1297" t="str">
        <f>"592"</f>
        <v>592</v>
      </c>
      <c r="D1297" t="s">
        <v>4104</v>
      </c>
      <c r="E1297" t="str">
        <f>"183351"</f>
        <v>183351</v>
      </c>
      <c r="F1297" t="str">
        <f t="shared" si="22"/>
        <v>33200000</v>
      </c>
      <c r="H1297" t="s">
        <v>4105</v>
      </c>
      <c r="K1297" s="4">
        <v>5715</v>
      </c>
    </row>
    <row r="1298" spans="1:11" hidden="1" outlineLevel="2" x14ac:dyDescent="0.35">
      <c r="A1298" t="s">
        <v>3115</v>
      </c>
      <c r="B1298" s="1">
        <v>45727</v>
      </c>
      <c r="C1298" t="str">
        <f>"593"</f>
        <v>593</v>
      </c>
      <c r="D1298" t="s">
        <v>4106</v>
      </c>
      <c r="E1298" t="str">
        <f>"183653"</f>
        <v>183653</v>
      </c>
      <c r="F1298" t="str">
        <f t="shared" si="22"/>
        <v>33200000</v>
      </c>
      <c r="H1298" t="s">
        <v>4107</v>
      </c>
      <c r="K1298" s="4">
        <v>6356</v>
      </c>
    </row>
    <row r="1299" spans="1:11" hidden="1" outlineLevel="2" x14ac:dyDescent="0.35">
      <c r="A1299" t="s">
        <v>3115</v>
      </c>
      <c r="B1299" s="1">
        <v>45727</v>
      </c>
      <c r="C1299" t="str">
        <f>"597"</f>
        <v>597</v>
      </c>
      <c r="D1299" t="s">
        <v>4114</v>
      </c>
      <c r="E1299" t="str">
        <f>"182144"</f>
        <v>182144</v>
      </c>
      <c r="F1299" t="str">
        <f t="shared" si="22"/>
        <v>33200000</v>
      </c>
      <c r="H1299" t="s">
        <v>4115</v>
      </c>
      <c r="K1299" s="4">
        <v>646</v>
      </c>
    </row>
    <row r="1300" spans="1:11" hidden="1" outlineLevel="2" x14ac:dyDescent="0.35">
      <c r="A1300" t="s">
        <v>3115</v>
      </c>
      <c r="B1300" s="1">
        <v>45728</v>
      </c>
      <c r="C1300" t="str">
        <f>"599"</f>
        <v>599</v>
      </c>
      <c r="D1300" t="s">
        <v>4118</v>
      </c>
      <c r="E1300" t="str">
        <f>"170534"</f>
        <v>170534</v>
      </c>
      <c r="F1300" t="str">
        <f t="shared" si="22"/>
        <v>33200000</v>
      </c>
      <c r="H1300" t="s">
        <v>4119</v>
      </c>
      <c r="K1300" s="4">
        <v>1000</v>
      </c>
    </row>
    <row r="1301" spans="1:11" hidden="1" outlineLevel="2" x14ac:dyDescent="0.35">
      <c r="A1301" t="s">
        <v>3115</v>
      </c>
      <c r="B1301" s="1">
        <v>45728</v>
      </c>
      <c r="C1301" t="str">
        <f>"600"</f>
        <v>600</v>
      </c>
      <c r="D1301" t="s">
        <v>4120</v>
      </c>
      <c r="E1301" t="str">
        <f>"170533"</f>
        <v>170533</v>
      </c>
      <c r="F1301" t="str">
        <f t="shared" si="22"/>
        <v>33200000</v>
      </c>
      <c r="H1301" t="s">
        <v>4121</v>
      </c>
      <c r="K1301" s="4">
        <v>9250</v>
      </c>
    </row>
    <row r="1302" spans="1:11" hidden="1" outlineLevel="2" x14ac:dyDescent="0.35">
      <c r="A1302" t="s">
        <v>3115</v>
      </c>
      <c r="B1302" s="1">
        <v>45728</v>
      </c>
      <c r="C1302" t="str">
        <f>"604"</f>
        <v>604</v>
      </c>
      <c r="D1302" t="s">
        <v>4128</v>
      </c>
      <c r="E1302" t="str">
        <f>"181931"</f>
        <v>181931</v>
      </c>
      <c r="F1302" t="str">
        <f t="shared" si="22"/>
        <v>33200000</v>
      </c>
      <c r="H1302" t="s">
        <v>4129</v>
      </c>
      <c r="K1302" s="4">
        <v>2493</v>
      </c>
    </row>
    <row r="1303" spans="1:11" hidden="1" outlineLevel="2" x14ac:dyDescent="0.35">
      <c r="A1303" t="s">
        <v>3115</v>
      </c>
      <c r="B1303" s="1">
        <v>45728</v>
      </c>
      <c r="C1303" t="str">
        <f>"605"</f>
        <v>605</v>
      </c>
      <c r="D1303" t="s">
        <v>4130</v>
      </c>
      <c r="E1303" t="str">
        <f>"181934"</f>
        <v>181934</v>
      </c>
      <c r="F1303" t="str">
        <f t="shared" si="22"/>
        <v>33200000</v>
      </c>
      <c r="H1303" t="s">
        <v>4131</v>
      </c>
      <c r="K1303" s="4">
        <v>1181</v>
      </c>
    </row>
    <row r="1304" spans="1:11" hidden="1" outlineLevel="2" x14ac:dyDescent="0.35">
      <c r="A1304" t="s">
        <v>3115</v>
      </c>
      <c r="B1304" s="1">
        <v>45728</v>
      </c>
      <c r="C1304" t="str">
        <f>"606"</f>
        <v>606</v>
      </c>
      <c r="D1304" t="s">
        <v>4132</v>
      </c>
      <c r="E1304" t="str">
        <f>"181933"</f>
        <v>181933</v>
      </c>
      <c r="F1304" t="str">
        <f t="shared" si="22"/>
        <v>33200000</v>
      </c>
      <c r="H1304" t="s">
        <v>4133</v>
      </c>
      <c r="K1304" s="4">
        <v>525</v>
      </c>
    </row>
    <row r="1305" spans="1:11" hidden="1" outlineLevel="2" x14ac:dyDescent="0.35">
      <c r="A1305" t="s">
        <v>3115</v>
      </c>
      <c r="B1305" s="1">
        <v>45728</v>
      </c>
      <c r="C1305" t="str">
        <f>"608"</f>
        <v>608</v>
      </c>
      <c r="D1305" t="s">
        <v>4136</v>
      </c>
      <c r="E1305" t="str">
        <f>"183353"</f>
        <v>183353</v>
      </c>
      <c r="F1305" t="str">
        <f t="shared" si="22"/>
        <v>33200000</v>
      </c>
      <c r="H1305" t="s">
        <v>4137</v>
      </c>
      <c r="K1305" s="4">
        <v>6500</v>
      </c>
    </row>
    <row r="1306" spans="1:11" hidden="1" outlineLevel="2" x14ac:dyDescent="0.35">
      <c r="A1306" t="s">
        <v>3115</v>
      </c>
      <c r="B1306" s="1">
        <v>45728</v>
      </c>
      <c r="C1306" t="str">
        <f>"609"</f>
        <v>609</v>
      </c>
      <c r="D1306" t="s">
        <v>4138</v>
      </c>
      <c r="E1306" t="str">
        <f>"183299"</f>
        <v>183299</v>
      </c>
      <c r="F1306" t="str">
        <f t="shared" si="22"/>
        <v>33200000</v>
      </c>
      <c r="H1306" t="s">
        <v>4139</v>
      </c>
      <c r="K1306" s="4">
        <v>6166</v>
      </c>
    </row>
    <row r="1307" spans="1:11" hidden="1" outlineLevel="2" x14ac:dyDescent="0.35">
      <c r="A1307" t="s">
        <v>3115</v>
      </c>
      <c r="B1307" s="1">
        <v>45728</v>
      </c>
      <c r="C1307" t="str">
        <f>"613"</f>
        <v>613</v>
      </c>
      <c r="D1307" t="s">
        <v>4146</v>
      </c>
      <c r="E1307" t="str">
        <f>"181932"</f>
        <v>181932</v>
      </c>
      <c r="F1307" t="str">
        <f t="shared" si="22"/>
        <v>33200000</v>
      </c>
      <c r="H1307" t="s">
        <v>4147</v>
      </c>
      <c r="K1307" s="4">
        <v>1640</v>
      </c>
    </row>
    <row r="1308" spans="1:11" hidden="1" outlineLevel="2" x14ac:dyDescent="0.35">
      <c r="A1308" t="s">
        <v>3115</v>
      </c>
      <c r="B1308" s="1">
        <v>45728</v>
      </c>
      <c r="C1308" t="str">
        <f>"614"</f>
        <v>614</v>
      </c>
      <c r="D1308" t="s">
        <v>4148</v>
      </c>
      <c r="E1308" t="str">
        <f>"181932"</f>
        <v>181932</v>
      </c>
      <c r="F1308" t="str">
        <f t="shared" si="22"/>
        <v>33200000</v>
      </c>
      <c r="H1308" t="s">
        <v>4149</v>
      </c>
      <c r="K1308" s="4">
        <v>263</v>
      </c>
    </row>
    <row r="1309" spans="1:11" hidden="1" outlineLevel="2" x14ac:dyDescent="0.35">
      <c r="A1309" t="s">
        <v>3115</v>
      </c>
      <c r="B1309" s="1">
        <v>45728</v>
      </c>
      <c r="C1309" t="str">
        <f>"615"</f>
        <v>615</v>
      </c>
      <c r="D1309" t="s">
        <v>4150</v>
      </c>
      <c r="E1309" t="str">
        <f>"183352"</f>
        <v>183352</v>
      </c>
      <c r="F1309" t="str">
        <f t="shared" si="22"/>
        <v>33200000</v>
      </c>
      <c r="H1309" t="s">
        <v>4151</v>
      </c>
      <c r="K1309" s="4">
        <v>22050</v>
      </c>
    </row>
    <row r="1310" spans="1:11" hidden="1" outlineLevel="2" x14ac:dyDescent="0.35">
      <c r="A1310" t="s">
        <v>3115</v>
      </c>
      <c r="B1310" s="1">
        <v>45728</v>
      </c>
      <c r="C1310" t="str">
        <f>"616"</f>
        <v>616</v>
      </c>
      <c r="D1310" t="s">
        <v>4152</v>
      </c>
      <c r="E1310" t="str">
        <f>"181745"</f>
        <v>181745</v>
      </c>
      <c r="F1310" t="str">
        <f t="shared" si="22"/>
        <v>33200000</v>
      </c>
      <c r="H1310" t="s">
        <v>4153</v>
      </c>
      <c r="K1310" s="4">
        <v>19941</v>
      </c>
    </row>
    <row r="1311" spans="1:11" hidden="1" outlineLevel="2" x14ac:dyDescent="0.35">
      <c r="A1311" t="s">
        <v>3115</v>
      </c>
      <c r="B1311" s="1">
        <v>45728</v>
      </c>
      <c r="C1311" t="str">
        <f>"617"</f>
        <v>617</v>
      </c>
      <c r="D1311" t="s">
        <v>4154</v>
      </c>
      <c r="E1311" t="str">
        <f>"183300"</f>
        <v>183300</v>
      </c>
      <c r="F1311" t="str">
        <f t="shared" si="22"/>
        <v>33200000</v>
      </c>
      <c r="H1311" t="s">
        <v>4155</v>
      </c>
      <c r="K1311" s="4">
        <v>1968</v>
      </c>
    </row>
    <row r="1312" spans="1:11" hidden="1" outlineLevel="2" x14ac:dyDescent="0.35">
      <c r="A1312" t="s">
        <v>3115</v>
      </c>
      <c r="B1312" s="1">
        <v>45728</v>
      </c>
      <c r="C1312" t="str">
        <f>"618"</f>
        <v>618</v>
      </c>
      <c r="D1312" t="s">
        <v>4156</v>
      </c>
      <c r="E1312" t="str">
        <f>"177546"</f>
        <v>177546</v>
      </c>
      <c r="F1312" t="str">
        <f t="shared" si="22"/>
        <v>33200000</v>
      </c>
      <c r="H1312" t="s">
        <v>4157</v>
      </c>
      <c r="K1312" s="4">
        <v>2500</v>
      </c>
    </row>
    <row r="1313" spans="1:11" hidden="1" outlineLevel="2" x14ac:dyDescent="0.35">
      <c r="A1313" t="s">
        <v>3115</v>
      </c>
      <c r="B1313" s="1">
        <v>45728</v>
      </c>
      <c r="C1313" t="str">
        <f>"619"</f>
        <v>619</v>
      </c>
      <c r="D1313" t="s">
        <v>4158</v>
      </c>
      <c r="E1313" t="str">
        <f>"181936"</f>
        <v>181936</v>
      </c>
      <c r="F1313" t="str">
        <f t="shared" si="22"/>
        <v>33200000</v>
      </c>
      <c r="H1313" t="s">
        <v>4159</v>
      </c>
      <c r="K1313" s="4">
        <v>93015</v>
      </c>
    </row>
    <row r="1314" spans="1:11" hidden="1" outlineLevel="2" x14ac:dyDescent="0.35">
      <c r="A1314" t="s">
        <v>3115</v>
      </c>
      <c r="B1314" s="1">
        <v>45728</v>
      </c>
      <c r="C1314" t="str">
        <f>"620"</f>
        <v>620</v>
      </c>
      <c r="D1314" t="s">
        <v>4160</v>
      </c>
      <c r="E1314" t="str">
        <f>"180459"</f>
        <v>180459</v>
      </c>
      <c r="F1314" t="str">
        <f t="shared" si="22"/>
        <v>33200000</v>
      </c>
      <c r="H1314" t="s">
        <v>4161</v>
      </c>
      <c r="K1314" s="4">
        <v>300</v>
      </c>
    </row>
    <row r="1315" spans="1:11" hidden="1" outlineLevel="2" x14ac:dyDescent="0.35">
      <c r="A1315" t="s">
        <v>3115</v>
      </c>
      <c r="B1315" s="1">
        <v>45728</v>
      </c>
      <c r="C1315" t="str">
        <f>"622"</f>
        <v>622</v>
      </c>
      <c r="D1315" t="s">
        <v>4164</v>
      </c>
      <c r="E1315" t="str">
        <f>"180460"</f>
        <v>180460</v>
      </c>
      <c r="F1315" t="str">
        <f t="shared" si="22"/>
        <v>33200000</v>
      </c>
      <c r="H1315" t="s">
        <v>4165</v>
      </c>
      <c r="K1315" s="4">
        <v>328</v>
      </c>
    </row>
    <row r="1316" spans="1:11" hidden="1" outlineLevel="2" x14ac:dyDescent="0.35">
      <c r="A1316" t="s">
        <v>3115</v>
      </c>
      <c r="B1316" s="1">
        <v>45728</v>
      </c>
      <c r="C1316" t="str">
        <f>"627"</f>
        <v>627</v>
      </c>
      <c r="D1316" t="s">
        <v>4174</v>
      </c>
      <c r="E1316" t="str">
        <f>"183505"</f>
        <v>183505</v>
      </c>
      <c r="F1316" t="str">
        <f t="shared" si="22"/>
        <v>33200000</v>
      </c>
      <c r="H1316" t="s">
        <v>4175</v>
      </c>
      <c r="K1316" s="4">
        <v>181701</v>
      </c>
    </row>
    <row r="1317" spans="1:11" hidden="1" outlineLevel="2" x14ac:dyDescent="0.35">
      <c r="A1317" t="s">
        <v>3115</v>
      </c>
      <c r="B1317" s="1">
        <v>45728</v>
      </c>
      <c r="C1317" t="str">
        <f>"629"</f>
        <v>629</v>
      </c>
      <c r="D1317" t="s">
        <v>4178</v>
      </c>
      <c r="E1317" t="str">
        <f>"181937"</f>
        <v>181937</v>
      </c>
      <c r="F1317" t="str">
        <f t="shared" si="22"/>
        <v>33200000</v>
      </c>
      <c r="H1317" t="s">
        <v>4179</v>
      </c>
      <c r="K1317" s="4">
        <v>5117</v>
      </c>
    </row>
    <row r="1318" spans="1:11" hidden="1" outlineLevel="2" x14ac:dyDescent="0.35">
      <c r="A1318" t="s">
        <v>3115</v>
      </c>
      <c r="B1318" s="1">
        <v>45728</v>
      </c>
      <c r="C1318" t="str">
        <f>"633"</f>
        <v>633</v>
      </c>
      <c r="D1318" t="s">
        <v>4186</v>
      </c>
      <c r="E1318" t="str">
        <f>"183660"</f>
        <v>183660</v>
      </c>
      <c r="F1318" t="str">
        <f t="shared" si="22"/>
        <v>33200000</v>
      </c>
      <c r="H1318" t="s">
        <v>4187</v>
      </c>
      <c r="K1318" s="4">
        <v>6356</v>
      </c>
    </row>
    <row r="1319" spans="1:11" hidden="1" outlineLevel="2" x14ac:dyDescent="0.35">
      <c r="A1319" t="s">
        <v>3115</v>
      </c>
      <c r="B1319" s="1">
        <v>45728</v>
      </c>
      <c r="C1319" t="str">
        <f>"636"</f>
        <v>636</v>
      </c>
      <c r="D1319" t="s">
        <v>4192</v>
      </c>
      <c r="E1319" t="str">
        <f>"181938"</f>
        <v>181938</v>
      </c>
      <c r="F1319" t="str">
        <f t="shared" si="22"/>
        <v>33200000</v>
      </c>
      <c r="H1319" t="s">
        <v>4193</v>
      </c>
      <c r="K1319" s="4">
        <v>1050</v>
      </c>
    </row>
    <row r="1320" spans="1:11" hidden="1" outlineLevel="2" x14ac:dyDescent="0.35">
      <c r="A1320" t="s">
        <v>3115</v>
      </c>
      <c r="B1320" s="1">
        <v>45728</v>
      </c>
      <c r="C1320" t="str">
        <f>"637"</f>
        <v>637</v>
      </c>
      <c r="D1320" t="s">
        <v>4194</v>
      </c>
      <c r="E1320" t="str">
        <f>"181939"</f>
        <v>181939</v>
      </c>
      <c r="F1320" t="str">
        <f t="shared" si="22"/>
        <v>33200000</v>
      </c>
      <c r="H1320" t="s">
        <v>4195</v>
      </c>
      <c r="K1320" s="4">
        <v>1050</v>
      </c>
    </row>
    <row r="1321" spans="1:11" hidden="1" outlineLevel="2" x14ac:dyDescent="0.35">
      <c r="A1321" t="s">
        <v>3115</v>
      </c>
      <c r="B1321" s="1">
        <v>45729</v>
      </c>
      <c r="C1321" t="str">
        <f>"638"</f>
        <v>638</v>
      </c>
      <c r="D1321" t="s">
        <v>4196</v>
      </c>
      <c r="E1321" t="str">
        <f>"170630"</f>
        <v>170630</v>
      </c>
      <c r="F1321" t="str">
        <f t="shared" si="22"/>
        <v>33200000</v>
      </c>
      <c r="H1321" t="s">
        <v>4197</v>
      </c>
      <c r="K1321" s="4">
        <v>65137</v>
      </c>
    </row>
    <row r="1322" spans="1:11" hidden="1" outlineLevel="2" x14ac:dyDescent="0.35">
      <c r="A1322" t="s">
        <v>3115</v>
      </c>
      <c r="B1322" s="1">
        <v>45729</v>
      </c>
      <c r="C1322" t="str">
        <f>"639"</f>
        <v>639</v>
      </c>
      <c r="D1322" t="s">
        <v>4198</v>
      </c>
      <c r="E1322" t="str">
        <f>"170628"</f>
        <v>170628</v>
      </c>
      <c r="F1322" t="str">
        <f t="shared" si="22"/>
        <v>33200000</v>
      </c>
      <c r="H1322" t="s">
        <v>4199</v>
      </c>
      <c r="K1322" s="4">
        <v>65137</v>
      </c>
    </row>
    <row r="1323" spans="1:11" hidden="1" outlineLevel="2" x14ac:dyDescent="0.35">
      <c r="A1323" t="s">
        <v>3115</v>
      </c>
      <c r="B1323" s="1">
        <v>45729</v>
      </c>
      <c r="C1323" t="str">
        <f>"640"</f>
        <v>640</v>
      </c>
      <c r="D1323" t="s">
        <v>4200</v>
      </c>
      <c r="E1323" t="str">
        <f>"170621"</f>
        <v>170621</v>
      </c>
      <c r="F1323" t="str">
        <f t="shared" si="22"/>
        <v>33200000</v>
      </c>
      <c r="H1323" t="s">
        <v>4201</v>
      </c>
      <c r="K1323" s="4">
        <v>89604</v>
      </c>
    </row>
    <row r="1324" spans="1:11" hidden="1" outlineLevel="2" x14ac:dyDescent="0.35">
      <c r="A1324" t="s">
        <v>3115</v>
      </c>
      <c r="B1324" s="1">
        <v>45729</v>
      </c>
      <c r="C1324" t="str">
        <f>"642"</f>
        <v>642</v>
      </c>
      <c r="D1324" t="s">
        <v>4204</v>
      </c>
      <c r="E1324" t="str">
        <f>"170626"</f>
        <v>170626</v>
      </c>
      <c r="F1324" t="str">
        <f t="shared" si="22"/>
        <v>33200000</v>
      </c>
      <c r="H1324" t="s">
        <v>4205</v>
      </c>
      <c r="K1324" s="4">
        <v>86390</v>
      </c>
    </row>
    <row r="1325" spans="1:11" hidden="1" outlineLevel="2" x14ac:dyDescent="0.35">
      <c r="A1325" t="s">
        <v>3115</v>
      </c>
      <c r="B1325" s="1">
        <v>45729</v>
      </c>
      <c r="C1325" t="str">
        <f>"643"</f>
        <v>643</v>
      </c>
      <c r="D1325" t="s">
        <v>4206</v>
      </c>
      <c r="E1325" t="str">
        <f>"170646"</f>
        <v>170646</v>
      </c>
      <c r="F1325" t="str">
        <f t="shared" si="22"/>
        <v>33200000</v>
      </c>
      <c r="H1325" t="s">
        <v>4207</v>
      </c>
      <c r="K1325" s="4">
        <v>86390</v>
      </c>
    </row>
    <row r="1326" spans="1:11" hidden="1" outlineLevel="2" x14ac:dyDescent="0.35">
      <c r="A1326" t="s">
        <v>3115</v>
      </c>
      <c r="B1326" s="1">
        <v>45729</v>
      </c>
      <c r="C1326" t="str">
        <f>"644"</f>
        <v>644</v>
      </c>
      <c r="D1326" t="s">
        <v>4208</v>
      </c>
      <c r="E1326" t="str">
        <f>"170649"</f>
        <v>170649</v>
      </c>
      <c r="F1326" t="str">
        <f t="shared" si="22"/>
        <v>33200000</v>
      </c>
      <c r="H1326" t="s">
        <v>4209</v>
      </c>
      <c r="K1326" s="4">
        <v>86390</v>
      </c>
    </row>
    <row r="1327" spans="1:11" hidden="1" outlineLevel="2" x14ac:dyDescent="0.35">
      <c r="A1327" t="s">
        <v>3115</v>
      </c>
      <c r="B1327" s="1">
        <v>45729</v>
      </c>
      <c r="C1327" t="str">
        <f>"645"</f>
        <v>645</v>
      </c>
      <c r="D1327" t="s">
        <v>4210</v>
      </c>
      <c r="E1327" t="str">
        <f>"147252"</f>
        <v>147252</v>
      </c>
      <c r="F1327" t="str">
        <f t="shared" si="22"/>
        <v>33200000</v>
      </c>
      <c r="H1327" t="s">
        <v>4211</v>
      </c>
      <c r="K1327" s="4">
        <v>86390</v>
      </c>
    </row>
    <row r="1328" spans="1:11" hidden="1" outlineLevel="2" x14ac:dyDescent="0.35">
      <c r="A1328" t="s">
        <v>3115</v>
      </c>
      <c r="B1328" s="1">
        <v>45729</v>
      </c>
      <c r="C1328" t="str">
        <f>"646"</f>
        <v>646</v>
      </c>
      <c r="D1328" t="s">
        <v>4212</v>
      </c>
      <c r="E1328" t="str">
        <f>"170535"</f>
        <v>170535</v>
      </c>
      <c r="F1328" t="str">
        <f t="shared" si="22"/>
        <v>33200000</v>
      </c>
      <c r="H1328" t="s">
        <v>4213</v>
      </c>
      <c r="K1328" s="4">
        <v>2793</v>
      </c>
    </row>
    <row r="1329" spans="1:11" hidden="1" outlineLevel="2" x14ac:dyDescent="0.35">
      <c r="A1329" t="s">
        <v>3115</v>
      </c>
      <c r="B1329" s="1">
        <v>45729</v>
      </c>
      <c r="C1329" t="str">
        <f>"648"</f>
        <v>648</v>
      </c>
      <c r="D1329" t="s">
        <v>4216</v>
      </c>
      <c r="E1329" t="str">
        <f>"147266"</f>
        <v>147266</v>
      </c>
      <c r="F1329" t="str">
        <f t="shared" si="22"/>
        <v>33200000</v>
      </c>
      <c r="H1329" t="s">
        <v>4217</v>
      </c>
      <c r="K1329" s="4">
        <v>8987</v>
      </c>
    </row>
    <row r="1330" spans="1:11" hidden="1" outlineLevel="2" x14ac:dyDescent="0.35">
      <c r="A1330" t="s">
        <v>3115</v>
      </c>
      <c r="B1330" s="1">
        <v>45729</v>
      </c>
      <c r="C1330" t="str">
        <f>"649"</f>
        <v>649</v>
      </c>
      <c r="D1330" t="s">
        <v>4218</v>
      </c>
      <c r="E1330" t="str">
        <f>"147205"</f>
        <v>147205</v>
      </c>
      <c r="F1330" t="str">
        <f t="shared" ref="F1330:F1393" si="23">"33200000"</f>
        <v>33200000</v>
      </c>
      <c r="H1330" t="s">
        <v>4219</v>
      </c>
      <c r="K1330" s="4">
        <v>656</v>
      </c>
    </row>
    <row r="1331" spans="1:11" hidden="1" outlineLevel="2" x14ac:dyDescent="0.35">
      <c r="A1331" t="s">
        <v>3115</v>
      </c>
      <c r="B1331" s="1">
        <v>45729</v>
      </c>
      <c r="C1331" t="str">
        <f>"650"</f>
        <v>650</v>
      </c>
      <c r="D1331" t="s">
        <v>4220</v>
      </c>
      <c r="E1331" t="str">
        <f>"156869"</f>
        <v>156869</v>
      </c>
      <c r="F1331" t="str">
        <f t="shared" si="23"/>
        <v>33200000</v>
      </c>
      <c r="H1331" t="s">
        <v>4221</v>
      </c>
      <c r="K1331" s="4">
        <v>29387</v>
      </c>
    </row>
    <row r="1332" spans="1:11" hidden="1" outlineLevel="2" x14ac:dyDescent="0.35">
      <c r="A1332" t="s">
        <v>3115</v>
      </c>
      <c r="B1332" s="1">
        <v>45729</v>
      </c>
      <c r="C1332" t="str">
        <f>"651"</f>
        <v>651</v>
      </c>
      <c r="D1332" t="s">
        <v>4222</v>
      </c>
      <c r="E1332" t="str">
        <f>"156886"</f>
        <v>156886</v>
      </c>
      <c r="F1332" t="str">
        <f t="shared" si="23"/>
        <v>33200000</v>
      </c>
      <c r="H1332" t="s">
        <v>4223</v>
      </c>
      <c r="K1332" s="4">
        <v>29387</v>
      </c>
    </row>
    <row r="1333" spans="1:11" hidden="1" outlineLevel="2" x14ac:dyDescent="0.35">
      <c r="A1333" t="s">
        <v>3115</v>
      </c>
      <c r="B1333" s="1">
        <v>45729</v>
      </c>
      <c r="C1333" t="str">
        <f>"652"</f>
        <v>652</v>
      </c>
      <c r="D1333" t="s">
        <v>4224</v>
      </c>
      <c r="E1333" t="str">
        <f>"156999"</f>
        <v>156999</v>
      </c>
      <c r="F1333" t="str">
        <f t="shared" si="23"/>
        <v>33200000</v>
      </c>
      <c r="H1333" t="s">
        <v>4225</v>
      </c>
      <c r="K1333" s="4">
        <v>29387</v>
      </c>
    </row>
    <row r="1334" spans="1:11" hidden="1" outlineLevel="2" x14ac:dyDescent="0.35">
      <c r="A1334" t="s">
        <v>3115</v>
      </c>
      <c r="B1334" s="1">
        <v>45729</v>
      </c>
      <c r="C1334" t="str">
        <f>"653"</f>
        <v>653</v>
      </c>
      <c r="D1334" t="s">
        <v>4226</v>
      </c>
      <c r="E1334" t="str">
        <f>"170275"</f>
        <v>170275</v>
      </c>
      <c r="F1334" t="str">
        <f t="shared" si="23"/>
        <v>33200000</v>
      </c>
      <c r="H1334" t="s">
        <v>4227</v>
      </c>
      <c r="K1334" s="4">
        <v>29387</v>
      </c>
    </row>
    <row r="1335" spans="1:11" hidden="1" outlineLevel="2" x14ac:dyDescent="0.35">
      <c r="A1335" t="s">
        <v>3115</v>
      </c>
      <c r="B1335" s="1">
        <v>45729</v>
      </c>
      <c r="C1335" t="str">
        <f>"654"</f>
        <v>654</v>
      </c>
      <c r="D1335" t="s">
        <v>4228</v>
      </c>
      <c r="E1335" t="str">
        <f>"170649"</f>
        <v>170649</v>
      </c>
      <c r="F1335" t="str">
        <f t="shared" si="23"/>
        <v>33200000</v>
      </c>
      <c r="H1335" t="s">
        <v>4229</v>
      </c>
      <c r="K1335" s="4">
        <v>13775</v>
      </c>
    </row>
    <row r="1336" spans="1:11" hidden="1" outlineLevel="2" x14ac:dyDescent="0.35">
      <c r="A1336" t="s">
        <v>3115</v>
      </c>
      <c r="B1336" s="1">
        <v>45729</v>
      </c>
      <c r="C1336" t="str">
        <f>"655"</f>
        <v>655</v>
      </c>
      <c r="D1336" t="s">
        <v>4230</v>
      </c>
      <c r="E1336" t="str">
        <f>"170596"</f>
        <v>170596</v>
      </c>
      <c r="F1336" t="str">
        <f t="shared" si="23"/>
        <v>33200000</v>
      </c>
      <c r="H1336" t="s">
        <v>4231</v>
      </c>
      <c r="K1336" s="4">
        <v>337951</v>
      </c>
    </row>
    <row r="1337" spans="1:11" hidden="1" outlineLevel="2" x14ac:dyDescent="0.35">
      <c r="A1337" t="s">
        <v>3115</v>
      </c>
      <c r="B1337" s="1">
        <v>45729</v>
      </c>
      <c r="C1337" t="str">
        <f>"656"</f>
        <v>656</v>
      </c>
      <c r="D1337" t="s">
        <v>4232</v>
      </c>
      <c r="E1337" t="str">
        <f>"170326"</f>
        <v>170326</v>
      </c>
      <c r="F1337" t="str">
        <f t="shared" si="23"/>
        <v>33200000</v>
      </c>
      <c r="H1337" t="s">
        <v>4233</v>
      </c>
      <c r="K1337" s="4">
        <v>85012</v>
      </c>
    </row>
    <row r="1338" spans="1:11" hidden="1" outlineLevel="2" x14ac:dyDescent="0.35">
      <c r="A1338" t="s">
        <v>3115</v>
      </c>
      <c r="B1338" s="1">
        <v>45729</v>
      </c>
      <c r="C1338" t="str">
        <f>"657"</f>
        <v>657</v>
      </c>
      <c r="D1338" t="s">
        <v>4234</v>
      </c>
      <c r="E1338" t="str">
        <f>"170283"</f>
        <v>170283</v>
      </c>
      <c r="F1338" t="str">
        <f t="shared" si="23"/>
        <v>33200000</v>
      </c>
      <c r="H1338" t="s">
        <v>4235</v>
      </c>
      <c r="K1338" s="4">
        <v>85012</v>
      </c>
    </row>
    <row r="1339" spans="1:11" hidden="1" outlineLevel="2" x14ac:dyDescent="0.35">
      <c r="A1339" t="s">
        <v>3115</v>
      </c>
      <c r="B1339" s="1">
        <v>45729</v>
      </c>
      <c r="C1339" t="str">
        <f>"659"</f>
        <v>659</v>
      </c>
      <c r="D1339" t="s">
        <v>4238</v>
      </c>
      <c r="E1339" t="str">
        <f>"183509"</f>
        <v>183509</v>
      </c>
      <c r="F1339" t="str">
        <f t="shared" si="23"/>
        <v>33200000</v>
      </c>
      <c r="H1339" t="s">
        <v>4239</v>
      </c>
      <c r="K1339" s="4">
        <v>93802</v>
      </c>
    </row>
    <row r="1340" spans="1:11" hidden="1" outlineLevel="2" x14ac:dyDescent="0.35">
      <c r="A1340" t="s">
        <v>3115</v>
      </c>
      <c r="B1340" s="1">
        <v>45729</v>
      </c>
      <c r="C1340" t="str">
        <f>"660"</f>
        <v>660</v>
      </c>
      <c r="D1340" t="s">
        <v>4240</v>
      </c>
      <c r="E1340" t="str">
        <f>"181944"</f>
        <v>181944</v>
      </c>
      <c r="F1340" t="str">
        <f t="shared" si="23"/>
        <v>33200000</v>
      </c>
      <c r="H1340" t="s">
        <v>4241</v>
      </c>
      <c r="K1340" s="4">
        <v>8397</v>
      </c>
    </row>
    <row r="1341" spans="1:11" hidden="1" outlineLevel="2" x14ac:dyDescent="0.35">
      <c r="A1341" t="s">
        <v>3115</v>
      </c>
      <c r="B1341" s="1">
        <v>45729</v>
      </c>
      <c r="C1341" t="str">
        <f>"661"</f>
        <v>661</v>
      </c>
      <c r="D1341" t="s">
        <v>4242</v>
      </c>
      <c r="E1341" t="str">
        <f>"181944"</f>
        <v>181944</v>
      </c>
      <c r="F1341" t="str">
        <f t="shared" si="23"/>
        <v>33200000</v>
      </c>
      <c r="H1341" t="s">
        <v>4243</v>
      </c>
      <c r="K1341" s="4">
        <v>1051</v>
      </c>
    </row>
    <row r="1342" spans="1:11" hidden="1" outlineLevel="2" x14ac:dyDescent="0.35">
      <c r="A1342" t="s">
        <v>3115</v>
      </c>
      <c r="B1342" s="1">
        <v>45729</v>
      </c>
      <c r="C1342" t="str">
        <f>"663"</f>
        <v>663</v>
      </c>
      <c r="D1342" t="s">
        <v>4246</v>
      </c>
      <c r="E1342" t="str">
        <f>"183331"</f>
        <v>183331</v>
      </c>
      <c r="F1342" t="str">
        <f t="shared" si="23"/>
        <v>33200000</v>
      </c>
      <c r="H1342" t="s">
        <v>4247</v>
      </c>
      <c r="K1342" s="4">
        <v>9764</v>
      </c>
    </row>
    <row r="1343" spans="1:11" hidden="1" outlineLevel="2" x14ac:dyDescent="0.35">
      <c r="A1343" t="s">
        <v>3115</v>
      </c>
      <c r="B1343" s="1">
        <v>45729</v>
      </c>
      <c r="C1343" t="str">
        <f>"665"</f>
        <v>665</v>
      </c>
      <c r="D1343" t="s">
        <v>4250</v>
      </c>
      <c r="E1343" t="str">
        <f>"1811940"</f>
        <v>1811940</v>
      </c>
      <c r="F1343" t="str">
        <f t="shared" si="23"/>
        <v>33200000</v>
      </c>
      <c r="H1343" t="s">
        <v>4251</v>
      </c>
      <c r="K1343" s="4">
        <v>1050</v>
      </c>
    </row>
    <row r="1344" spans="1:11" hidden="1" outlineLevel="2" x14ac:dyDescent="0.35">
      <c r="A1344" t="s">
        <v>3115</v>
      </c>
      <c r="B1344" s="1">
        <v>45729</v>
      </c>
      <c r="C1344" t="str">
        <f>"666"</f>
        <v>666</v>
      </c>
      <c r="D1344" t="s">
        <v>4252</v>
      </c>
      <c r="E1344" t="str">
        <f>"181942"</f>
        <v>181942</v>
      </c>
      <c r="F1344" t="str">
        <f t="shared" si="23"/>
        <v>33200000</v>
      </c>
      <c r="H1344" t="s">
        <v>4253</v>
      </c>
      <c r="K1344" s="4">
        <v>6691</v>
      </c>
    </row>
    <row r="1345" spans="1:11" hidden="1" outlineLevel="2" x14ac:dyDescent="0.35">
      <c r="A1345" t="s">
        <v>3115</v>
      </c>
      <c r="B1345" s="1">
        <v>45729</v>
      </c>
      <c r="C1345" t="str">
        <f>"668"</f>
        <v>668</v>
      </c>
      <c r="D1345" t="s">
        <v>4256</v>
      </c>
      <c r="E1345" t="str">
        <f>"181941"</f>
        <v>181941</v>
      </c>
      <c r="F1345" t="str">
        <f t="shared" si="23"/>
        <v>33200000</v>
      </c>
      <c r="H1345" t="s">
        <v>4257</v>
      </c>
      <c r="K1345" s="4">
        <v>11021</v>
      </c>
    </row>
    <row r="1346" spans="1:11" hidden="1" outlineLevel="2" x14ac:dyDescent="0.35">
      <c r="A1346" t="s">
        <v>3115</v>
      </c>
      <c r="B1346" s="1">
        <v>45729</v>
      </c>
      <c r="C1346" t="str">
        <f>"669"</f>
        <v>669</v>
      </c>
      <c r="D1346" t="s">
        <v>4258</v>
      </c>
      <c r="E1346" t="str">
        <f>"181941"</f>
        <v>181941</v>
      </c>
      <c r="F1346" t="str">
        <f t="shared" si="23"/>
        <v>33200000</v>
      </c>
      <c r="H1346" t="s">
        <v>4259</v>
      </c>
      <c r="K1346" s="4">
        <v>1314</v>
      </c>
    </row>
    <row r="1347" spans="1:11" hidden="1" outlineLevel="2" x14ac:dyDescent="0.35">
      <c r="A1347" t="s">
        <v>3115</v>
      </c>
      <c r="B1347" s="1">
        <v>45729</v>
      </c>
      <c r="C1347" t="str">
        <f>"670"</f>
        <v>670</v>
      </c>
      <c r="D1347" t="s">
        <v>4260</v>
      </c>
      <c r="E1347" t="str">
        <f>"183507"</f>
        <v>183507</v>
      </c>
      <c r="F1347" t="str">
        <f t="shared" si="23"/>
        <v>33200000</v>
      </c>
      <c r="H1347" t="s">
        <v>4261</v>
      </c>
      <c r="K1347" s="4">
        <v>181701</v>
      </c>
    </row>
    <row r="1348" spans="1:11" hidden="1" outlineLevel="2" x14ac:dyDescent="0.35">
      <c r="A1348" t="s">
        <v>3115</v>
      </c>
      <c r="B1348" s="1">
        <v>45729</v>
      </c>
      <c r="C1348" t="str">
        <f>"673"</f>
        <v>673</v>
      </c>
      <c r="D1348" t="s">
        <v>4266</v>
      </c>
      <c r="E1348" t="str">
        <f>"181943"</f>
        <v>181943</v>
      </c>
      <c r="F1348" t="str">
        <f t="shared" si="23"/>
        <v>33200000</v>
      </c>
      <c r="H1348" t="s">
        <v>4267</v>
      </c>
      <c r="K1348" s="4">
        <v>3739</v>
      </c>
    </row>
    <row r="1349" spans="1:11" hidden="1" outlineLevel="2" x14ac:dyDescent="0.35">
      <c r="A1349" t="s">
        <v>3115</v>
      </c>
      <c r="B1349" s="1">
        <v>45729</v>
      </c>
      <c r="C1349" t="str">
        <f>"674"</f>
        <v>674</v>
      </c>
      <c r="D1349" t="s">
        <v>4268</v>
      </c>
      <c r="E1349" t="str">
        <f>"183506"</f>
        <v>183506</v>
      </c>
      <c r="F1349" t="str">
        <f t="shared" si="23"/>
        <v>33200000</v>
      </c>
      <c r="H1349" t="s">
        <v>4269</v>
      </c>
      <c r="K1349" s="4">
        <v>181701</v>
      </c>
    </row>
    <row r="1350" spans="1:11" hidden="1" outlineLevel="2" x14ac:dyDescent="0.35">
      <c r="A1350" t="s">
        <v>3115</v>
      </c>
      <c r="B1350" s="1">
        <v>45729</v>
      </c>
      <c r="C1350" t="str">
        <f>"675"</f>
        <v>675</v>
      </c>
      <c r="D1350" t="s">
        <v>4270</v>
      </c>
      <c r="E1350" t="str">
        <f>"181843"</f>
        <v>181843</v>
      </c>
      <c r="F1350" t="str">
        <f t="shared" si="23"/>
        <v>33200000</v>
      </c>
      <c r="H1350" t="s">
        <v>4271</v>
      </c>
      <c r="K1350" s="4">
        <v>277996</v>
      </c>
    </row>
    <row r="1351" spans="1:11" hidden="1" outlineLevel="2" x14ac:dyDescent="0.35">
      <c r="A1351" t="s">
        <v>3115</v>
      </c>
      <c r="B1351" s="1">
        <v>45729</v>
      </c>
      <c r="C1351" t="str">
        <f>"676"</f>
        <v>676</v>
      </c>
      <c r="D1351" t="s">
        <v>4272</v>
      </c>
      <c r="E1351" t="str">
        <f>"182085"</f>
        <v>182085</v>
      </c>
      <c r="F1351" t="str">
        <f t="shared" si="23"/>
        <v>33200000</v>
      </c>
      <c r="H1351" t="s">
        <v>4273</v>
      </c>
      <c r="K1351" s="4">
        <v>3477</v>
      </c>
    </row>
    <row r="1352" spans="1:11" hidden="1" outlineLevel="2" x14ac:dyDescent="0.35">
      <c r="A1352" t="s">
        <v>3115</v>
      </c>
      <c r="B1352" s="1">
        <v>45729</v>
      </c>
      <c r="C1352" t="str">
        <f>"677"</f>
        <v>677</v>
      </c>
      <c r="D1352" t="s">
        <v>4274</v>
      </c>
      <c r="E1352" t="str">
        <f>"182201"</f>
        <v>182201</v>
      </c>
      <c r="F1352" t="str">
        <f t="shared" si="23"/>
        <v>33200000</v>
      </c>
      <c r="H1352" t="s">
        <v>4275</v>
      </c>
      <c r="K1352" s="4">
        <v>1360</v>
      </c>
    </row>
    <row r="1353" spans="1:11" hidden="1" outlineLevel="2" x14ac:dyDescent="0.35">
      <c r="A1353" t="s">
        <v>3115</v>
      </c>
      <c r="B1353" s="1">
        <v>45729</v>
      </c>
      <c r="C1353" t="str">
        <f>"678"</f>
        <v>678</v>
      </c>
      <c r="D1353" t="s">
        <v>4276</v>
      </c>
      <c r="E1353" t="str">
        <f>"181245"</f>
        <v>181245</v>
      </c>
      <c r="F1353" t="str">
        <f t="shared" si="23"/>
        <v>33200000</v>
      </c>
      <c r="H1353" t="s">
        <v>4277</v>
      </c>
      <c r="K1353" s="4">
        <v>787</v>
      </c>
    </row>
    <row r="1354" spans="1:11" hidden="1" outlineLevel="2" x14ac:dyDescent="0.35">
      <c r="A1354" t="s">
        <v>3115</v>
      </c>
      <c r="B1354" s="1">
        <v>45729</v>
      </c>
      <c r="C1354" t="str">
        <f>"679"</f>
        <v>679</v>
      </c>
      <c r="D1354" t="s">
        <v>4278</v>
      </c>
      <c r="E1354" t="str">
        <f>"183508"</f>
        <v>183508</v>
      </c>
      <c r="F1354" t="str">
        <f t="shared" si="23"/>
        <v>33200000</v>
      </c>
      <c r="H1354" t="s">
        <v>4279</v>
      </c>
      <c r="K1354" s="4">
        <v>181701</v>
      </c>
    </row>
    <row r="1355" spans="1:11" hidden="1" outlineLevel="2" x14ac:dyDescent="0.35">
      <c r="A1355" t="s">
        <v>3115</v>
      </c>
      <c r="B1355" s="1">
        <v>45729</v>
      </c>
      <c r="C1355" t="str">
        <f>"681"</f>
        <v>681</v>
      </c>
      <c r="D1355" t="s">
        <v>4282</v>
      </c>
      <c r="E1355" t="str">
        <f>"180464"</f>
        <v>180464</v>
      </c>
      <c r="F1355" t="str">
        <f t="shared" si="23"/>
        <v>33200000</v>
      </c>
      <c r="H1355" t="s">
        <v>4283</v>
      </c>
      <c r="K1355" s="4">
        <v>5248</v>
      </c>
    </row>
    <row r="1356" spans="1:11" hidden="1" outlineLevel="2" x14ac:dyDescent="0.35">
      <c r="A1356" t="s">
        <v>3115</v>
      </c>
      <c r="B1356" s="1">
        <v>45729</v>
      </c>
      <c r="C1356" t="str">
        <f>"682"</f>
        <v>682</v>
      </c>
      <c r="D1356" t="s">
        <v>4284</v>
      </c>
      <c r="E1356" t="str">
        <f>"180464"</f>
        <v>180464</v>
      </c>
      <c r="F1356" t="str">
        <f t="shared" si="23"/>
        <v>33200000</v>
      </c>
      <c r="H1356" t="s">
        <v>4285</v>
      </c>
      <c r="K1356" s="4">
        <v>300</v>
      </c>
    </row>
    <row r="1357" spans="1:11" hidden="1" outlineLevel="2" x14ac:dyDescent="0.35">
      <c r="A1357" t="s">
        <v>3115</v>
      </c>
      <c r="B1357" s="1">
        <v>45729</v>
      </c>
      <c r="C1357" t="str">
        <f>"683"</f>
        <v>683</v>
      </c>
      <c r="D1357" t="s">
        <v>4286</v>
      </c>
      <c r="E1357" t="str">
        <f>"180465"</f>
        <v>180465</v>
      </c>
      <c r="F1357" t="str">
        <f t="shared" si="23"/>
        <v>33200000</v>
      </c>
      <c r="H1357" t="s">
        <v>4287</v>
      </c>
      <c r="K1357" s="4">
        <v>656</v>
      </c>
    </row>
    <row r="1358" spans="1:11" hidden="1" outlineLevel="2" x14ac:dyDescent="0.35">
      <c r="A1358" t="s">
        <v>3115</v>
      </c>
      <c r="B1358" s="1">
        <v>45729</v>
      </c>
      <c r="C1358" t="str">
        <f>"686"</f>
        <v>686</v>
      </c>
      <c r="D1358" t="s">
        <v>4292</v>
      </c>
      <c r="E1358" t="str">
        <f>"180463"</f>
        <v>180463</v>
      </c>
      <c r="F1358" t="str">
        <f t="shared" si="23"/>
        <v>33200000</v>
      </c>
      <c r="H1358" t="s">
        <v>4293</v>
      </c>
      <c r="K1358" s="4">
        <v>984</v>
      </c>
    </row>
    <row r="1359" spans="1:11" hidden="1" outlineLevel="2" x14ac:dyDescent="0.35">
      <c r="A1359" t="s">
        <v>3115</v>
      </c>
      <c r="B1359" s="1">
        <v>45729</v>
      </c>
      <c r="C1359" t="str">
        <f>"687"</f>
        <v>687</v>
      </c>
      <c r="D1359" t="s">
        <v>4294</v>
      </c>
      <c r="E1359" t="str">
        <f>"177548"</f>
        <v>177548</v>
      </c>
      <c r="F1359" t="str">
        <f t="shared" si="23"/>
        <v>33200000</v>
      </c>
      <c r="H1359" t="s">
        <v>4295</v>
      </c>
      <c r="K1359" s="4">
        <v>614</v>
      </c>
    </row>
    <row r="1360" spans="1:11" hidden="1" outlineLevel="2" x14ac:dyDescent="0.35">
      <c r="A1360" t="s">
        <v>3115</v>
      </c>
      <c r="B1360" s="1">
        <v>45729</v>
      </c>
      <c r="C1360" t="str">
        <f>"689"</f>
        <v>689</v>
      </c>
      <c r="D1360" t="s">
        <v>4298</v>
      </c>
      <c r="E1360" t="str">
        <f>"177549"</f>
        <v>177549</v>
      </c>
      <c r="F1360" t="str">
        <f t="shared" si="23"/>
        <v>33200000</v>
      </c>
      <c r="H1360" t="s">
        <v>4299</v>
      </c>
      <c r="K1360" s="4">
        <v>2500</v>
      </c>
    </row>
    <row r="1361" spans="1:11" hidden="1" outlineLevel="2" x14ac:dyDescent="0.35">
      <c r="A1361" t="s">
        <v>3115</v>
      </c>
      <c r="B1361" s="1">
        <v>45729</v>
      </c>
      <c r="C1361" t="str">
        <f>"690"</f>
        <v>690</v>
      </c>
      <c r="D1361" t="s">
        <v>4300</v>
      </c>
      <c r="E1361" t="str">
        <f>"177550"</f>
        <v>177550</v>
      </c>
      <c r="F1361" t="str">
        <f t="shared" si="23"/>
        <v>33200000</v>
      </c>
      <c r="H1361" t="s">
        <v>4301</v>
      </c>
      <c r="K1361" s="4">
        <v>1798</v>
      </c>
    </row>
    <row r="1362" spans="1:11" hidden="1" outlineLevel="2" x14ac:dyDescent="0.35">
      <c r="A1362" t="s">
        <v>3115</v>
      </c>
      <c r="B1362" s="1">
        <v>45730</v>
      </c>
      <c r="C1362" t="str">
        <f>"168"</f>
        <v>168</v>
      </c>
      <c r="D1362" t="s">
        <v>4302</v>
      </c>
      <c r="E1362" t="str">
        <f>"176319"</f>
        <v>176319</v>
      </c>
      <c r="F1362" t="str">
        <f t="shared" si="23"/>
        <v>33200000</v>
      </c>
      <c r="H1362" t="s">
        <v>4303</v>
      </c>
      <c r="K1362" s="4">
        <v>49246</v>
      </c>
    </row>
    <row r="1363" spans="1:11" hidden="1" outlineLevel="2" x14ac:dyDescent="0.35">
      <c r="A1363" t="s">
        <v>3115</v>
      </c>
      <c r="B1363" s="1">
        <v>45730</v>
      </c>
      <c r="C1363" t="str">
        <f>"169"</f>
        <v>169</v>
      </c>
      <c r="D1363" t="s">
        <v>4304</v>
      </c>
      <c r="E1363" t="str">
        <f>"183408"</f>
        <v>183408</v>
      </c>
      <c r="F1363" t="str">
        <f t="shared" si="23"/>
        <v>33200000</v>
      </c>
      <c r="H1363" t="s">
        <v>4305</v>
      </c>
      <c r="K1363" s="4">
        <v>40600</v>
      </c>
    </row>
    <row r="1364" spans="1:11" hidden="1" outlineLevel="2" x14ac:dyDescent="0.35">
      <c r="A1364" t="s">
        <v>3115</v>
      </c>
      <c r="B1364" s="1">
        <v>45730</v>
      </c>
      <c r="C1364" t="str">
        <f>"170"</f>
        <v>170</v>
      </c>
      <c r="D1364" t="s">
        <v>4306</v>
      </c>
      <c r="E1364" t="str">
        <f>"181196"</f>
        <v>181196</v>
      </c>
      <c r="F1364" t="str">
        <f t="shared" si="23"/>
        <v>33200000</v>
      </c>
      <c r="H1364" t="s">
        <v>4307</v>
      </c>
      <c r="K1364" s="4">
        <v>30947</v>
      </c>
    </row>
    <row r="1365" spans="1:11" hidden="1" outlineLevel="2" x14ac:dyDescent="0.35">
      <c r="A1365" t="s">
        <v>3115</v>
      </c>
      <c r="B1365" s="1">
        <v>45730</v>
      </c>
      <c r="C1365" t="str">
        <f>"171"</f>
        <v>171</v>
      </c>
      <c r="D1365" t="s">
        <v>4308</v>
      </c>
      <c r="E1365" t="str">
        <f>"179582"</f>
        <v>179582</v>
      </c>
      <c r="F1365" t="str">
        <f t="shared" si="23"/>
        <v>33200000</v>
      </c>
      <c r="H1365" t="s">
        <v>4309</v>
      </c>
      <c r="K1365" s="4">
        <v>85000</v>
      </c>
    </row>
    <row r="1366" spans="1:11" hidden="1" outlineLevel="2" x14ac:dyDescent="0.35">
      <c r="A1366" t="s">
        <v>3115</v>
      </c>
      <c r="B1366" s="1">
        <v>45730</v>
      </c>
      <c r="C1366" t="str">
        <f>"172"</f>
        <v>172</v>
      </c>
      <c r="D1366" t="s">
        <v>4310</v>
      </c>
      <c r="E1366" t="str">
        <f>"179581"</f>
        <v>179581</v>
      </c>
      <c r="F1366" t="str">
        <f t="shared" si="23"/>
        <v>33200000</v>
      </c>
      <c r="H1366" t="s">
        <v>4311</v>
      </c>
      <c r="K1366" s="4">
        <v>85000</v>
      </c>
    </row>
    <row r="1367" spans="1:11" hidden="1" outlineLevel="2" x14ac:dyDescent="0.35">
      <c r="A1367" t="s">
        <v>3115</v>
      </c>
      <c r="B1367" s="1">
        <v>45730</v>
      </c>
      <c r="C1367" t="str">
        <f>"173"</f>
        <v>173</v>
      </c>
      <c r="D1367" t="s">
        <v>4312</v>
      </c>
      <c r="E1367" t="str">
        <f>"180065"</f>
        <v>180065</v>
      </c>
      <c r="F1367" t="str">
        <f t="shared" si="23"/>
        <v>33200000</v>
      </c>
      <c r="H1367" t="s">
        <v>4313</v>
      </c>
      <c r="K1367" s="4">
        <v>456801</v>
      </c>
    </row>
    <row r="1368" spans="1:11" hidden="1" outlineLevel="2" x14ac:dyDescent="0.35">
      <c r="A1368" t="s">
        <v>3115</v>
      </c>
      <c r="B1368" s="1">
        <v>45730</v>
      </c>
      <c r="C1368" t="str">
        <f>"174"</f>
        <v>174</v>
      </c>
      <c r="D1368" t="s">
        <v>4314</v>
      </c>
      <c r="E1368" t="str">
        <f>"183561"</f>
        <v>183561</v>
      </c>
      <c r="F1368" t="str">
        <f t="shared" si="23"/>
        <v>33200000</v>
      </c>
      <c r="H1368" t="s">
        <v>4315</v>
      </c>
      <c r="K1368" s="4">
        <v>1706</v>
      </c>
    </row>
    <row r="1369" spans="1:11" hidden="1" outlineLevel="2" x14ac:dyDescent="0.35">
      <c r="A1369" t="s">
        <v>3115</v>
      </c>
      <c r="B1369" s="1">
        <v>45730</v>
      </c>
      <c r="C1369" t="str">
        <f>"175"</f>
        <v>175</v>
      </c>
      <c r="D1369" t="s">
        <v>4316</v>
      </c>
      <c r="E1369" t="str">
        <f>"181948"</f>
        <v>181948</v>
      </c>
      <c r="F1369" t="str">
        <f t="shared" si="23"/>
        <v>33200000</v>
      </c>
      <c r="H1369" t="s">
        <v>4317</v>
      </c>
      <c r="K1369" s="4">
        <v>6429</v>
      </c>
    </row>
    <row r="1370" spans="1:11" hidden="1" outlineLevel="2" x14ac:dyDescent="0.35">
      <c r="A1370" t="s">
        <v>3115</v>
      </c>
      <c r="B1370" s="1">
        <v>45730</v>
      </c>
      <c r="C1370" t="str">
        <f>"176"</f>
        <v>176</v>
      </c>
      <c r="D1370" t="s">
        <v>4318</v>
      </c>
      <c r="E1370" t="str">
        <f>"183560"</f>
        <v>183560</v>
      </c>
      <c r="F1370" t="str">
        <f t="shared" si="23"/>
        <v>33200000</v>
      </c>
      <c r="H1370" t="s">
        <v>4319</v>
      </c>
      <c r="K1370" s="4">
        <v>1574</v>
      </c>
    </row>
    <row r="1371" spans="1:11" hidden="1" outlineLevel="2" x14ac:dyDescent="0.35">
      <c r="A1371" t="s">
        <v>3115</v>
      </c>
      <c r="B1371" s="1">
        <v>45730</v>
      </c>
      <c r="C1371" t="str">
        <f>"177"</f>
        <v>177</v>
      </c>
      <c r="D1371" t="s">
        <v>4320</v>
      </c>
      <c r="E1371" t="str">
        <f>"183559"</f>
        <v>183559</v>
      </c>
      <c r="F1371" t="str">
        <f t="shared" si="23"/>
        <v>33200000</v>
      </c>
      <c r="H1371" t="s">
        <v>4321</v>
      </c>
      <c r="K1371" s="4">
        <v>2230</v>
      </c>
    </row>
    <row r="1372" spans="1:11" hidden="1" outlineLevel="2" x14ac:dyDescent="0.35">
      <c r="A1372" t="s">
        <v>3115</v>
      </c>
      <c r="B1372" s="1">
        <v>45730</v>
      </c>
      <c r="C1372" t="str">
        <f>"178"</f>
        <v>178</v>
      </c>
      <c r="D1372" t="s">
        <v>4322</v>
      </c>
      <c r="E1372" t="str">
        <f>"182208"</f>
        <v>182208</v>
      </c>
      <c r="F1372" t="str">
        <f t="shared" si="23"/>
        <v>33200000</v>
      </c>
      <c r="H1372" t="s">
        <v>4323</v>
      </c>
      <c r="K1372" s="4">
        <v>125</v>
      </c>
    </row>
    <row r="1373" spans="1:11" hidden="1" outlineLevel="2" x14ac:dyDescent="0.35">
      <c r="A1373" t="s">
        <v>3115</v>
      </c>
      <c r="B1373" s="1">
        <v>45730</v>
      </c>
      <c r="C1373" t="str">
        <f>"179"</f>
        <v>179</v>
      </c>
      <c r="D1373" t="s">
        <v>4324</v>
      </c>
      <c r="E1373" t="str">
        <f>"182209"</f>
        <v>182209</v>
      </c>
      <c r="F1373" t="str">
        <f t="shared" si="23"/>
        <v>33200000</v>
      </c>
      <c r="H1373" t="s">
        <v>4325</v>
      </c>
      <c r="K1373" s="4">
        <v>309</v>
      </c>
    </row>
    <row r="1374" spans="1:11" hidden="1" outlineLevel="2" x14ac:dyDescent="0.35">
      <c r="A1374" t="s">
        <v>3115</v>
      </c>
      <c r="B1374" s="1">
        <v>45730</v>
      </c>
      <c r="C1374" t="str">
        <f>"184"</f>
        <v>184</v>
      </c>
      <c r="D1374" t="s">
        <v>4334</v>
      </c>
      <c r="E1374" t="str">
        <f>"181996"</f>
        <v>181996</v>
      </c>
      <c r="F1374" t="str">
        <f t="shared" si="23"/>
        <v>33200000</v>
      </c>
      <c r="H1374" t="s">
        <v>4335</v>
      </c>
      <c r="K1374" s="4">
        <v>656</v>
      </c>
    </row>
    <row r="1375" spans="1:11" hidden="1" outlineLevel="2" x14ac:dyDescent="0.35">
      <c r="A1375" t="s">
        <v>3115</v>
      </c>
      <c r="B1375" s="1">
        <v>45730</v>
      </c>
      <c r="C1375" t="str">
        <f>"185"</f>
        <v>185</v>
      </c>
      <c r="D1375" t="s">
        <v>4336</v>
      </c>
      <c r="E1375" t="str">
        <f>"181996"</f>
        <v>181996</v>
      </c>
      <c r="F1375" t="str">
        <f t="shared" si="23"/>
        <v>33200000</v>
      </c>
      <c r="H1375" t="s">
        <v>4337</v>
      </c>
      <c r="K1375" s="4">
        <v>230</v>
      </c>
    </row>
    <row r="1376" spans="1:11" hidden="1" outlineLevel="2" x14ac:dyDescent="0.35">
      <c r="A1376" t="s">
        <v>3115</v>
      </c>
      <c r="B1376" s="1">
        <v>45730</v>
      </c>
      <c r="C1376" t="str">
        <f>"188"</f>
        <v>188</v>
      </c>
      <c r="D1376" t="s">
        <v>4342</v>
      </c>
      <c r="E1376" t="str">
        <f>"181945"</f>
        <v>181945</v>
      </c>
      <c r="F1376" t="str">
        <f t="shared" si="23"/>
        <v>33200000</v>
      </c>
      <c r="H1376" t="s">
        <v>4343</v>
      </c>
      <c r="K1376" s="4">
        <v>1181</v>
      </c>
    </row>
    <row r="1377" spans="1:11" hidden="1" outlineLevel="2" x14ac:dyDescent="0.35">
      <c r="A1377" t="s">
        <v>3115</v>
      </c>
      <c r="B1377" s="1">
        <v>45730</v>
      </c>
      <c r="C1377" t="str">
        <f>"191"</f>
        <v>191</v>
      </c>
      <c r="D1377" t="s">
        <v>4348</v>
      </c>
      <c r="E1377" t="str">
        <f>"183557"</f>
        <v>183557</v>
      </c>
      <c r="F1377" t="str">
        <f t="shared" si="23"/>
        <v>33200000</v>
      </c>
      <c r="H1377" t="s">
        <v>4349</v>
      </c>
      <c r="K1377" s="4">
        <v>3017</v>
      </c>
    </row>
    <row r="1378" spans="1:11" hidden="1" outlineLevel="2" x14ac:dyDescent="0.35">
      <c r="A1378" t="s">
        <v>3115</v>
      </c>
      <c r="B1378" s="1">
        <v>45730</v>
      </c>
      <c r="C1378" t="str">
        <f>"192"</f>
        <v>192</v>
      </c>
      <c r="D1378" t="s">
        <v>4350</v>
      </c>
      <c r="E1378" t="str">
        <f>"181946"</f>
        <v>181946</v>
      </c>
      <c r="F1378" t="str">
        <f t="shared" si="23"/>
        <v>33200000</v>
      </c>
      <c r="H1378" t="s">
        <v>4351</v>
      </c>
      <c r="K1378" s="4">
        <v>1181</v>
      </c>
    </row>
    <row r="1379" spans="1:11" hidden="1" outlineLevel="2" x14ac:dyDescent="0.35">
      <c r="A1379" t="s">
        <v>3115</v>
      </c>
      <c r="B1379" s="1">
        <v>45730</v>
      </c>
      <c r="C1379" t="str">
        <f>"194"</f>
        <v>194</v>
      </c>
      <c r="D1379" t="s">
        <v>4354</v>
      </c>
      <c r="E1379" t="str">
        <f>"183355"</f>
        <v>183355</v>
      </c>
      <c r="F1379" t="str">
        <f t="shared" si="23"/>
        <v>33200000</v>
      </c>
      <c r="H1379" t="s">
        <v>4355</v>
      </c>
      <c r="K1379" s="4">
        <v>56860</v>
      </c>
    </row>
    <row r="1380" spans="1:11" hidden="1" outlineLevel="2" x14ac:dyDescent="0.35">
      <c r="A1380" t="s">
        <v>3115</v>
      </c>
      <c r="B1380" s="1">
        <v>45730</v>
      </c>
      <c r="C1380" t="str">
        <f>"195"</f>
        <v>195</v>
      </c>
      <c r="D1380" t="s">
        <v>4356</v>
      </c>
      <c r="E1380" t="str">
        <f>"183354"</f>
        <v>183354</v>
      </c>
      <c r="F1380" t="str">
        <f t="shared" si="23"/>
        <v>33200000</v>
      </c>
      <c r="H1380" t="s">
        <v>4357</v>
      </c>
      <c r="K1380" s="4">
        <v>7600</v>
      </c>
    </row>
    <row r="1381" spans="1:11" hidden="1" outlineLevel="2" x14ac:dyDescent="0.35">
      <c r="A1381" t="s">
        <v>3115</v>
      </c>
      <c r="B1381" s="1">
        <v>45730</v>
      </c>
      <c r="C1381" t="str">
        <f>"196"</f>
        <v>196</v>
      </c>
      <c r="D1381" t="s">
        <v>4358</v>
      </c>
      <c r="E1381" t="str">
        <f>"182087"</f>
        <v>182087</v>
      </c>
      <c r="F1381" t="str">
        <f t="shared" si="23"/>
        <v>33200000</v>
      </c>
      <c r="H1381" t="s">
        <v>4359</v>
      </c>
      <c r="K1381" s="4">
        <v>12464</v>
      </c>
    </row>
    <row r="1382" spans="1:11" hidden="1" outlineLevel="2" x14ac:dyDescent="0.35">
      <c r="A1382" t="s">
        <v>3115</v>
      </c>
      <c r="B1382" s="1">
        <v>45730</v>
      </c>
      <c r="C1382" t="str">
        <f>"197"</f>
        <v>197</v>
      </c>
      <c r="D1382" t="s">
        <v>4360</v>
      </c>
      <c r="E1382" t="str">
        <f>"182203"</f>
        <v>182203</v>
      </c>
      <c r="F1382" t="str">
        <f t="shared" si="23"/>
        <v>33200000</v>
      </c>
      <c r="H1382" t="s">
        <v>4361</v>
      </c>
      <c r="K1382" s="4">
        <v>6297</v>
      </c>
    </row>
    <row r="1383" spans="1:11" hidden="1" outlineLevel="2" x14ac:dyDescent="0.35">
      <c r="A1383" t="s">
        <v>3115</v>
      </c>
      <c r="B1383" s="1">
        <v>45730</v>
      </c>
      <c r="C1383" t="str">
        <f>"198"</f>
        <v>198</v>
      </c>
      <c r="D1383" t="s">
        <v>4362</v>
      </c>
      <c r="E1383" t="str">
        <f>"181246"</f>
        <v>181246</v>
      </c>
      <c r="F1383" t="str">
        <f t="shared" si="23"/>
        <v>33200000</v>
      </c>
      <c r="H1383" t="s">
        <v>4363</v>
      </c>
      <c r="K1383" s="4">
        <v>3178</v>
      </c>
    </row>
    <row r="1384" spans="1:11" hidden="1" outlineLevel="2" x14ac:dyDescent="0.35">
      <c r="A1384" t="s">
        <v>3115</v>
      </c>
      <c r="B1384" s="1">
        <v>45730</v>
      </c>
      <c r="C1384" t="str">
        <f>"202"</f>
        <v>202</v>
      </c>
      <c r="D1384" t="s">
        <v>4370</v>
      </c>
      <c r="E1384" t="str">
        <f>"182204"</f>
        <v>182204</v>
      </c>
      <c r="F1384" t="str">
        <f t="shared" si="23"/>
        <v>33200000</v>
      </c>
      <c r="H1384" t="s">
        <v>4371</v>
      </c>
      <c r="K1384" s="4">
        <v>15021</v>
      </c>
    </row>
    <row r="1385" spans="1:11" hidden="1" outlineLevel="2" x14ac:dyDescent="0.35">
      <c r="A1385" t="s">
        <v>3115</v>
      </c>
      <c r="B1385" s="1">
        <v>45730</v>
      </c>
      <c r="C1385" t="str">
        <f>"203"</f>
        <v>203</v>
      </c>
      <c r="D1385" t="s">
        <v>4372</v>
      </c>
      <c r="E1385" t="str">
        <f>"182205"</f>
        <v>182205</v>
      </c>
      <c r="F1385" t="str">
        <f t="shared" si="23"/>
        <v>33200000</v>
      </c>
      <c r="H1385" t="s">
        <v>4373</v>
      </c>
      <c r="K1385" s="4">
        <v>9971</v>
      </c>
    </row>
    <row r="1386" spans="1:11" hidden="1" outlineLevel="2" x14ac:dyDescent="0.35">
      <c r="A1386" t="s">
        <v>3115</v>
      </c>
      <c r="B1386" s="1">
        <v>45730</v>
      </c>
      <c r="C1386" t="str">
        <f>"1141"</f>
        <v>1141</v>
      </c>
      <c r="D1386" t="s">
        <v>4382</v>
      </c>
      <c r="E1386" t="str">
        <f>"181949"</f>
        <v>181949</v>
      </c>
      <c r="F1386" t="str">
        <f t="shared" si="23"/>
        <v>33200000</v>
      </c>
      <c r="H1386" t="s">
        <v>4383</v>
      </c>
      <c r="K1386" s="4">
        <v>1062</v>
      </c>
    </row>
    <row r="1387" spans="1:11" hidden="1" outlineLevel="2" x14ac:dyDescent="0.35">
      <c r="A1387" t="s">
        <v>3115</v>
      </c>
      <c r="B1387" s="1">
        <v>45730</v>
      </c>
      <c r="C1387" t="str">
        <f>"1142"</f>
        <v>1142</v>
      </c>
      <c r="D1387" t="s">
        <v>4384</v>
      </c>
      <c r="E1387" t="str">
        <f>"162591"</f>
        <v>162591</v>
      </c>
      <c r="F1387" t="str">
        <f t="shared" si="23"/>
        <v>33200000</v>
      </c>
      <c r="H1387" t="s">
        <v>4385</v>
      </c>
      <c r="K1387" s="4">
        <v>34500</v>
      </c>
    </row>
    <row r="1388" spans="1:11" hidden="1" outlineLevel="2" x14ac:dyDescent="0.35">
      <c r="A1388" t="s">
        <v>3115</v>
      </c>
      <c r="B1388" s="1">
        <v>45730</v>
      </c>
      <c r="C1388" t="str">
        <f>"1144"</f>
        <v>1144</v>
      </c>
      <c r="D1388" t="s">
        <v>4388</v>
      </c>
      <c r="E1388" t="str">
        <f>"181949"</f>
        <v>181949</v>
      </c>
      <c r="F1388" t="str">
        <f t="shared" si="23"/>
        <v>33200000</v>
      </c>
      <c r="H1388" t="s">
        <v>4389</v>
      </c>
      <c r="K1388" s="4">
        <v>8967</v>
      </c>
    </row>
    <row r="1389" spans="1:11" hidden="1" outlineLevel="2" x14ac:dyDescent="0.35">
      <c r="A1389" t="s">
        <v>3115</v>
      </c>
      <c r="B1389" s="1">
        <v>45730</v>
      </c>
      <c r="C1389" t="str">
        <f>"1146"</f>
        <v>1146</v>
      </c>
      <c r="D1389" t="s">
        <v>4392</v>
      </c>
      <c r="E1389" t="str">
        <f>"183684"</f>
        <v>183684</v>
      </c>
      <c r="F1389" t="str">
        <f t="shared" si="23"/>
        <v>33200000</v>
      </c>
      <c r="H1389" t="s">
        <v>4393</v>
      </c>
      <c r="K1389" s="4">
        <v>6356</v>
      </c>
    </row>
    <row r="1390" spans="1:11" hidden="1" outlineLevel="2" x14ac:dyDescent="0.35">
      <c r="A1390" t="s">
        <v>3115</v>
      </c>
      <c r="B1390" s="1">
        <v>45730</v>
      </c>
      <c r="C1390" t="str">
        <f>"1149"</f>
        <v>1149</v>
      </c>
      <c r="D1390" t="s">
        <v>4398</v>
      </c>
      <c r="E1390" t="str">
        <f>"181746"</f>
        <v>181746</v>
      </c>
      <c r="F1390" t="str">
        <f t="shared" si="23"/>
        <v>33200000</v>
      </c>
      <c r="H1390" t="s">
        <v>4399</v>
      </c>
      <c r="K1390" s="4">
        <v>39882</v>
      </c>
    </row>
    <row r="1391" spans="1:11" hidden="1" outlineLevel="2" x14ac:dyDescent="0.35">
      <c r="A1391" t="s">
        <v>3115</v>
      </c>
      <c r="B1391" s="1">
        <v>45730</v>
      </c>
      <c r="C1391" t="str">
        <f>"1150"</f>
        <v>1150</v>
      </c>
      <c r="D1391" t="s">
        <v>4400</v>
      </c>
      <c r="E1391" t="str">
        <f>"181947"</f>
        <v>181947</v>
      </c>
      <c r="F1391" t="str">
        <f t="shared" si="23"/>
        <v>33200000</v>
      </c>
      <c r="H1391" t="s">
        <v>4401</v>
      </c>
      <c r="K1391" s="4">
        <v>4198</v>
      </c>
    </row>
    <row r="1392" spans="1:11" hidden="1" outlineLevel="2" x14ac:dyDescent="0.35">
      <c r="A1392" t="s">
        <v>3115</v>
      </c>
      <c r="B1392" s="1">
        <v>45730</v>
      </c>
      <c r="C1392" t="str">
        <f>"1151"</f>
        <v>1151</v>
      </c>
      <c r="D1392" t="s">
        <v>4402</v>
      </c>
      <c r="E1392" t="str">
        <f>"181950"</f>
        <v>181950</v>
      </c>
      <c r="F1392" t="str">
        <f t="shared" si="23"/>
        <v>33200000</v>
      </c>
      <c r="H1392" t="s">
        <v>4403</v>
      </c>
      <c r="K1392" s="4">
        <v>1968</v>
      </c>
    </row>
    <row r="1393" spans="1:11" hidden="1" outlineLevel="2" x14ac:dyDescent="0.35">
      <c r="A1393" t="s">
        <v>3115</v>
      </c>
      <c r="B1393" s="1">
        <v>45730</v>
      </c>
      <c r="C1393" t="str">
        <f>"1152"</f>
        <v>1152</v>
      </c>
      <c r="D1393" t="s">
        <v>4404</v>
      </c>
      <c r="E1393" t="str">
        <f>"147267"</f>
        <v>147267</v>
      </c>
      <c r="F1393" t="str">
        <f t="shared" si="23"/>
        <v>33200000</v>
      </c>
      <c r="H1393" t="s">
        <v>4405</v>
      </c>
      <c r="K1393" s="4">
        <v>195017</v>
      </c>
    </row>
    <row r="1394" spans="1:11" hidden="1" outlineLevel="2" x14ac:dyDescent="0.35">
      <c r="A1394" t="s">
        <v>3115</v>
      </c>
      <c r="B1394" s="1">
        <v>45731</v>
      </c>
      <c r="C1394" t="str">
        <f>"756"</f>
        <v>756</v>
      </c>
      <c r="D1394" t="s">
        <v>4406</v>
      </c>
      <c r="E1394" t="str">
        <f>"180469"</f>
        <v>180469</v>
      </c>
      <c r="F1394" t="str">
        <f t="shared" ref="F1394:F1457" si="24">"33200000"</f>
        <v>33200000</v>
      </c>
      <c r="H1394" t="s">
        <v>4407</v>
      </c>
      <c r="K1394" s="4">
        <v>4067</v>
      </c>
    </row>
    <row r="1395" spans="1:11" hidden="1" outlineLevel="2" x14ac:dyDescent="0.35">
      <c r="A1395" t="s">
        <v>3115</v>
      </c>
      <c r="B1395" s="1">
        <v>45731</v>
      </c>
      <c r="C1395" t="str">
        <f>"757"</f>
        <v>757</v>
      </c>
      <c r="D1395" t="s">
        <v>4408</v>
      </c>
      <c r="E1395" t="str">
        <f>"180470"</f>
        <v>180470</v>
      </c>
      <c r="F1395" t="str">
        <f t="shared" si="24"/>
        <v>33200000</v>
      </c>
      <c r="H1395" t="s">
        <v>4409</v>
      </c>
      <c r="K1395" s="4">
        <v>984</v>
      </c>
    </row>
    <row r="1396" spans="1:11" hidden="1" outlineLevel="2" x14ac:dyDescent="0.35">
      <c r="A1396" t="s">
        <v>3115</v>
      </c>
      <c r="B1396" s="1">
        <v>45731</v>
      </c>
      <c r="C1396" t="str">
        <f>"758"</f>
        <v>758</v>
      </c>
      <c r="D1396" t="s">
        <v>4410</v>
      </c>
      <c r="E1396" t="str">
        <f>"180471"</f>
        <v>180471</v>
      </c>
      <c r="F1396" t="str">
        <f t="shared" si="24"/>
        <v>33200000</v>
      </c>
      <c r="H1396" t="s">
        <v>4411</v>
      </c>
      <c r="K1396" s="4">
        <v>656</v>
      </c>
    </row>
    <row r="1397" spans="1:11" hidden="1" outlineLevel="2" x14ac:dyDescent="0.35">
      <c r="A1397" t="s">
        <v>3115</v>
      </c>
      <c r="B1397" s="1">
        <v>45731</v>
      </c>
      <c r="C1397" t="str">
        <f>"759"</f>
        <v>759</v>
      </c>
      <c r="D1397" t="s">
        <v>4412</v>
      </c>
      <c r="E1397" t="str">
        <f>"180472"</f>
        <v>180472</v>
      </c>
      <c r="F1397" t="str">
        <f t="shared" si="24"/>
        <v>33200000</v>
      </c>
      <c r="H1397" t="s">
        <v>4413</v>
      </c>
      <c r="K1397" s="4">
        <v>22172</v>
      </c>
    </row>
    <row r="1398" spans="1:11" hidden="1" outlineLevel="2" x14ac:dyDescent="0.35">
      <c r="A1398" t="s">
        <v>3115</v>
      </c>
      <c r="B1398" s="1">
        <v>45731</v>
      </c>
      <c r="C1398" t="str">
        <f>"760"</f>
        <v>760</v>
      </c>
      <c r="D1398" t="s">
        <v>4414</v>
      </c>
      <c r="E1398" t="str">
        <f>"180473"</f>
        <v>180473</v>
      </c>
      <c r="F1398" t="str">
        <f t="shared" si="24"/>
        <v>33200000</v>
      </c>
      <c r="H1398" t="s">
        <v>4415</v>
      </c>
      <c r="K1398" s="4">
        <v>656</v>
      </c>
    </row>
    <row r="1399" spans="1:11" hidden="1" outlineLevel="2" x14ac:dyDescent="0.35">
      <c r="A1399" t="s">
        <v>3115</v>
      </c>
      <c r="B1399" s="1">
        <v>45731</v>
      </c>
      <c r="C1399" t="str">
        <f>"761"</f>
        <v>761</v>
      </c>
      <c r="D1399" t="s">
        <v>4416</v>
      </c>
      <c r="E1399" t="str">
        <f>"180474"</f>
        <v>180474</v>
      </c>
      <c r="F1399" t="str">
        <f t="shared" si="24"/>
        <v>33200000</v>
      </c>
      <c r="H1399" t="s">
        <v>4417</v>
      </c>
      <c r="K1399" s="4">
        <v>3017</v>
      </c>
    </row>
    <row r="1400" spans="1:11" hidden="1" outlineLevel="2" x14ac:dyDescent="0.35">
      <c r="A1400" t="s">
        <v>3115</v>
      </c>
      <c r="B1400" s="1">
        <v>45731</v>
      </c>
      <c r="C1400" t="str">
        <f>"762"</f>
        <v>762</v>
      </c>
      <c r="D1400" t="s">
        <v>4418</v>
      </c>
      <c r="E1400" t="str">
        <f>"182211"</f>
        <v>182211</v>
      </c>
      <c r="F1400" t="str">
        <f t="shared" si="24"/>
        <v>33200000</v>
      </c>
      <c r="H1400" t="s">
        <v>4419</v>
      </c>
      <c r="K1400" s="4">
        <v>3149</v>
      </c>
    </row>
    <row r="1401" spans="1:11" hidden="1" outlineLevel="2" x14ac:dyDescent="0.35">
      <c r="A1401" t="s">
        <v>3115</v>
      </c>
      <c r="B1401" s="1">
        <v>45731</v>
      </c>
      <c r="C1401" t="str">
        <f>"764"</f>
        <v>764</v>
      </c>
      <c r="D1401" t="s">
        <v>4422</v>
      </c>
      <c r="E1401" t="str">
        <f>"182212"</f>
        <v>182212</v>
      </c>
      <c r="F1401" t="str">
        <f t="shared" si="24"/>
        <v>33200000</v>
      </c>
      <c r="H1401" t="s">
        <v>4423</v>
      </c>
      <c r="K1401" s="4">
        <v>107</v>
      </c>
    </row>
    <row r="1402" spans="1:11" hidden="1" outlineLevel="2" x14ac:dyDescent="0.35">
      <c r="A1402" t="s">
        <v>3115</v>
      </c>
      <c r="B1402" s="1">
        <v>45731</v>
      </c>
      <c r="C1402" t="str">
        <f>"765"</f>
        <v>765</v>
      </c>
      <c r="D1402" t="s">
        <v>4424</v>
      </c>
      <c r="E1402" t="str">
        <f>"182212"</f>
        <v>182212</v>
      </c>
      <c r="F1402" t="str">
        <f t="shared" si="24"/>
        <v>33200000</v>
      </c>
      <c r="H1402" t="s">
        <v>4425</v>
      </c>
      <c r="K1402" s="4">
        <v>2886</v>
      </c>
    </row>
    <row r="1403" spans="1:11" hidden="1" outlineLevel="2" x14ac:dyDescent="0.35">
      <c r="A1403" t="s">
        <v>3115</v>
      </c>
      <c r="B1403" s="1">
        <v>45732</v>
      </c>
      <c r="C1403" t="str">
        <f>"750"</f>
        <v>750</v>
      </c>
      <c r="D1403" t="s">
        <v>4432</v>
      </c>
      <c r="E1403" t="str">
        <f>"180475"</f>
        <v>180475</v>
      </c>
      <c r="F1403" t="str">
        <f t="shared" si="24"/>
        <v>33200000</v>
      </c>
      <c r="H1403" t="s">
        <v>4433</v>
      </c>
      <c r="K1403" s="4">
        <v>24336</v>
      </c>
    </row>
    <row r="1404" spans="1:11" hidden="1" outlineLevel="2" x14ac:dyDescent="0.35">
      <c r="A1404" t="s">
        <v>3115</v>
      </c>
      <c r="B1404" s="1">
        <v>45732</v>
      </c>
      <c r="C1404" t="str">
        <f>"751"</f>
        <v>751</v>
      </c>
      <c r="D1404" t="s">
        <v>4434</v>
      </c>
      <c r="E1404" t="str">
        <f>"180478"</f>
        <v>180478</v>
      </c>
      <c r="F1404" t="str">
        <f t="shared" si="24"/>
        <v>33200000</v>
      </c>
      <c r="H1404" t="s">
        <v>4435</v>
      </c>
      <c r="K1404" s="4">
        <v>262</v>
      </c>
    </row>
    <row r="1405" spans="1:11" hidden="1" outlineLevel="2" x14ac:dyDescent="0.35">
      <c r="A1405" t="s">
        <v>3115</v>
      </c>
      <c r="B1405" s="1">
        <v>45733</v>
      </c>
      <c r="C1405" t="str">
        <f>"691"</f>
        <v>691</v>
      </c>
      <c r="D1405" t="s">
        <v>4444</v>
      </c>
      <c r="E1405" t="str">
        <f>"183476"</f>
        <v>183476</v>
      </c>
      <c r="F1405" t="str">
        <f t="shared" si="24"/>
        <v>33200000</v>
      </c>
      <c r="H1405" t="s">
        <v>4445</v>
      </c>
      <c r="K1405" s="4">
        <v>95347</v>
      </c>
    </row>
    <row r="1406" spans="1:11" hidden="1" outlineLevel="2" x14ac:dyDescent="0.35">
      <c r="A1406" t="s">
        <v>3115</v>
      </c>
      <c r="B1406" s="1">
        <v>45733</v>
      </c>
      <c r="C1406" t="str">
        <f>"692"</f>
        <v>692</v>
      </c>
      <c r="D1406" t="s">
        <v>4446</v>
      </c>
      <c r="E1406" t="str">
        <f>"183356"</f>
        <v>183356</v>
      </c>
      <c r="F1406" t="str">
        <f t="shared" si="24"/>
        <v>33200000</v>
      </c>
      <c r="H1406" t="s">
        <v>4447</v>
      </c>
      <c r="K1406" s="4">
        <v>30006</v>
      </c>
    </row>
    <row r="1407" spans="1:11" hidden="1" outlineLevel="2" x14ac:dyDescent="0.35">
      <c r="A1407" t="s">
        <v>3115</v>
      </c>
      <c r="B1407" s="1">
        <v>45733</v>
      </c>
      <c r="C1407" t="str">
        <f>"693"</f>
        <v>693</v>
      </c>
      <c r="D1407" t="s">
        <v>4448</v>
      </c>
      <c r="E1407" t="str">
        <f>"182218"</f>
        <v>182218</v>
      </c>
      <c r="F1407" t="str">
        <f t="shared" si="24"/>
        <v>33200000</v>
      </c>
      <c r="H1407" t="s">
        <v>4449</v>
      </c>
      <c r="K1407" s="4">
        <v>2500</v>
      </c>
    </row>
    <row r="1408" spans="1:11" hidden="1" outlineLevel="2" x14ac:dyDescent="0.35">
      <c r="A1408" t="s">
        <v>3115</v>
      </c>
      <c r="B1408" s="1">
        <v>45733</v>
      </c>
      <c r="C1408" t="str">
        <f>"694"</f>
        <v>694</v>
      </c>
      <c r="D1408" t="s">
        <v>4450</v>
      </c>
      <c r="E1408" t="str">
        <f>"182219"</f>
        <v>182219</v>
      </c>
      <c r="F1408" t="str">
        <f t="shared" si="24"/>
        <v>33200000</v>
      </c>
      <c r="H1408" t="s">
        <v>4451</v>
      </c>
      <c r="K1408" s="4">
        <v>4500</v>
      </c>
    </row>
    <row r="1409" spans="1:11" hidden="1" outlineLevel="2" x14ac:dyDescent="0.35">
      <c r="A1409" t="s">
        <v>3115</v>
      </c>
      <c r="B1409" s="1">
        <v>45733</v>
      </c>
      <c r="C1409" t="str">
        <f>"695"</f>
        <v>695</v>
      </c>
      <c r="D1409" t="s">
        <v>4452</v>
      </c>
      <c r="E1409" t="str">
        <f>"181250"</f>
        <v>181250</v>
      </c>
      <c r="F1409" t="str">
        <f t="shared" si="24"/>
        <v>33200000</v>
      </c>
      <c r="H1409" t="s">
        <v>4453</v>
      </c>
      <c r="K1409" s="4">
        <v>1525</v>
      </c>
    </row>
    <row r="1410" spans="1:11" hidden="1" outlineLevel="2" x14ac:dyDescent="0.35">
      <c r="A1410" t="s">
        <v>3115</v>
      </c>
      <c r="B1410" s="1">
        <v>45733</v>
      </c>
      <c r="C1410" t="str">
        <f>"700"</f>
        <v>700</v>
      </c>
      <c r="D1410" t="s">
        <v>4462</v>
      </c>
      <c r="E1410" t="str">
        <f>"180506"</f>
        <v>180506</v>
      </c>
      <c r="F1410" t="str">
        <f t="shared" si="24"/>
        <v>33200000</v>
      </c>
      <c r="H1410" t="s">
        <v>4463</v>
      </c>
      <c r="K1410" s="4">
        <v>279</v>
      </c>
    </row>
    <row r="1411" spans="1:11" hidden="1" outlineLevel="2" x14ac:dyDescent="0.35">
      <c r="A1411" t="s">
        <v>3115</v>
      </c>
      <c r="B1411" s="1">
        <v>45733</v>
      </c>
      <c r="C1411" t="str">
        <f>"701"</f>
        <v>701</v>
      </c>
      <c r="D1411" t="s">
        <v>4464</v>
      </c>
      <c r="E1411" t="str">
        <f>"145672"</f>
        <v>145672</v>
      </c>
      <c r="F1411" t="str">
        <f t="shared" si="24"/>
        <v>33200000</v>
      </c>
      <c r="H1411" t="s">
        <v>4465</v>
      </c>
      <c r="K1411" s="4">
        <v>11500</v>
      </c>
    </row>
    <row r="1412" spans="1:11" hidden="1" outlineLevel="2" x14ac:dyDescent="0.35">
      <c r="A1412" t="s">
        <v>3115</v>
      </c>
      <c r="B1412" s="1">
        <v>45733</v>
      </c>
      <c r="C1412" t="str">
        <f>"706"</f>
        <v>706</v>
      </c>
      <c r="D1412" t="s">
        <v>4474</v>
      </c>
      <c r="E1412" t="str">
        <f>"183686"</f>
        <v>183686</v>
      </c>
      <c r="F1412" t="str">
        <f t="shared" si="24"/>
        <v>33200000</v>
      </c>
      <c r="H1412" t="s">
        <v>4475</v>
      </c>
      <c r="K1412" s="4">
        <v>6356</v>
      </c>
    </row>
    <row r="1413" spans="1:11" hidden="1" outlineLevel="2" x14ac:dyDescent="0.35">
      <c r="A1413" t="s">
        <v>3115</v>
      </c>
      <c r="B1413" s="1">
        <v>45733</v>
      </c>
      <c r="C1413" t="str">
        <f>"707"</f>
        <v>707</v>
      </c>
      <c r="D1413" t="s">
        <v>4476</v>
      </c>
      <c r="E1413" t="str">
        <f>"182216"</f>
        <v>182216</v>
      </c>
      <c r="F1413" t="str">
        <f t="shared" si="24"/>
        <v>33200000</v>
      </c>
      <c r="H1413" t="s">
        <v>4477</v>
      </c>
      <c r="K1413" s="4">
        <v>17000</v>
      </c>
    </row>
    <row r="1414" spans="1:11" hidden="1" outlineLevel="2" x14ac:dyDescent="0.35">
      <c r="A1414" t="s">
        <v>3115</v>
      </c>
      <c r="B1414" s="1">
        <v>45733</v>
      </c>
      <c r="C1414" t="str">
        <f>"709"</f>
        <v>709</v>
      </c>
      <c r="D1414" t="s">
        <v>4480</v>
      </c>
      <c r="E1414" t="str">
        <f>"183336"</f>
        <v>183336</v>
      </c>
      <c r="F1414" t="str">
        <f t="shared" si="24"/>
        <v>33200000</v>
      </c>
      <c r="H1414" t="s">
        <v>4481</v>
      </c>
      <c r="K1414" s="4">
        <v>2793</v>
      </c>
    </row>
    <row r="1415" spans="1:11" hidden="1" outlineLevel="2" x14ac:dyDescent="0.35">
      <c r="A1415" t="s">
        <v>3115</v>
      </c>
      <c r="B1415" s="1">
        <v>45733</v>
      </c>
      <c r="C1415" t="str">
        <f>"718"</f>
        <v>718</v>
      </c>
      <c r="D1415" t="s">
        <v>4498</v>
      </c>
      <c r="E1415" t="str">
        <f>"147268"</f>
        <v>147268</v>
      </c>
      <c r="F1415" t="str">
        <f t="shared" si="24"/>
        <v>33200000</v>
      </c>
      <c r="H1415" t="s">
        <v>4499</v>
      </c>
      <c r="K1415" s="4">
        <v>174616</v>
      </c>
    </row>
    <row r="1416" spans="1:11" hidden="1" outlineLevel="2" x14ac:dyDescent="0.35">
      <c r="A1416" t="s">
        <v>3115</v>
      </c>
      <c r="B1416" s="1">
        <v>45733</v>
      </c>
      <c r="C1416" t="str">
        <f>"719"</f>
        <v>719</v>
      </c>
      <c r="D1416" t="s">
        <v>4500</v>
      </c>
      <c r="E1416" t="str">
        <f>"147270"</f>
        <v>147270</v>
      </c>
      <c r="F1416" t="str">
        <f t="shared" si="24"/>
        <v>33200000</v>
      </c>
      <c r="H1416" t="s">
        <v>4501</v>
      </c>
      <c r="K1416" s="4">
        <v>50640</v>
      </c>
    </row>
    <row r="1417" spans="1:11" hidden="1" outlineLevel="2" x14ac:dyDescent="0.35">
      <c r="A1417" t="s">
        <v>3115</v>
      </c>
      <c r="B1417" s="1">
        <v>45733</v>
      </c>
      <c r="C1417" t="str">
        <f>"720"</f>
        <v>720</v>
      </c>
      <c r="D1417" t="s">
        <v>4502</v>
      </c>
      <c r="E1417" t="str">
        <f>"147272"</f>
        <v>147272</v>
      </c>
      <c r="F1417" t="str">
        <f t="shared" si="24"/>
        <v>33200000</v>
      </c>
      <c r="H1417" t="s">
        <v>4503</v>
      </c>
      <c r="K1417" s="4">
        <v>74976</v>
      </c>
    </row>
    <row r="1418" spans="1:11" hidden="1" outlineLevel="2" x14ac:dyDescent="0.35">
      <c r="A1418" t="s">
        <v>3115</v>
      </c>
      <c r="B1418" s="1">
        <v>45733</v>
      </c>
      <c r="C1418" t="str">
        <f>"721"</f>
        <v>721</v>
      </c>
      <c r="D1418" t="s">
        <v>4504</v>
      </c>
      <c r="E1418" t="str">
        <f>"183510"</f>
        <v>183510</v>
      </c>
      <c r="F1418" t="str">
        <f t="shared" si="24"/>
        <v>33200000</v>
      </c>
      <c r="H1418" t="s">
        <v>4505</v>
      </c>
      <c r="K1418" s="4">
        <v>181701</v>
      </c>
    </row>
    <row r="1419" spans="1:11" hidden="1" outlineLevel="2" x14ac:dyDescent="0.35">
      <c r="A1419" t="s">
        <v>3115</v>
      </c>
      <c r="B1419" s="1">
        <v>45733</v>
      </c>
      <c r="C1419" t="str">
        <f>"724"</f>
        <v>724</v>
      </c>
      <c r="D1419" t="s">
        <v>4510</v>
      </c>
      <c r="E1419" t="str">
        <f>"182023"</f>
        <v>182023</v>
      </c>
      <c r="F1419" t="str">
        <f t="shared" si="24"/>
        <v>33200000</v>
      </c>
      <c r="H1419" t="s">
        <v>4511</v>
      </c>
      <c r="K1419" s="4">
        <v>1968</v>
      </c>
    </row>
    <row r="1420" spans="1:11" hidden="1" outlineLevel="2" x14ac:dyDescent="0.35">
      <c r="A1420" t="s">
        <v>3115</v>
      </c>
      <c r="B1420" s="1">
        <v>45733</v>
      </c>
      <c r="C1420" t="str">
        <f>"725"</f>
        <v>725</v>
      </c>
      <c r="D1420" t="s">
        <v>4512</v>
      </c>
      <c r="E1420" t="str">
        <f>"182024"</f>
        <v>182024</v>
      </c>
      <c r="F1420" t="str">
        <f t="shared" si="24"/>
        <v>33200000</v>
      </c>
      <c r="H1420" t="s">
        <v>4513</v>
      </c>
      <c r="K1420" s="4">
        <v>2361</v>
      </c>
    </row>
    <row r="1421" spans="1:11" hidden="1" outlineLevel="2" x14ac:dyDescent="0.35">
      <c r="A1421" t="s">
        <v>3115</v>
      </c>
      <c r="B1421" s="1">
        <v>45733</v>
      </c>
      <c r="C1421" t="str">
        <f>"726"</f>
        <v>726</v>
      </c>
      <c r="D1421" t="s">
        <v>4514</v>
      </c>
      <c r="E1421" t="str">
        <f>"182026"</f>
        <v>182026</v>
      </c>
      <c r="F1421" t="str">
        <f t="shared" si="24"/>
        <v>33200000</v>
      </c>
      <c r="H1421" t="s">
        <v>4515</v>
      </c>
      <c r="K1421" s="4">
        <v>20139</v>
      </c>
    </row>
    <row r="1422" spans="1:11" hidden="1" outlineLevel="2" x14ac:dyDescent="0.35">
      <c r="A1422" t="s">
        <v>3115</v>
      </c>
      <c r="B1422" s="1">
        <v>45733</v>
      </c>
      <c r="C1422" t="str">
        <f>"727"</f>
        <v>727</v>
      </c>
      <c r="D1422" t="s">
        <v>4516</v>
      </c>
      <c r="E1422" t="str">
        <f>"182025"</f>
        <v>182025</v>
      </c>
      <c r="F1422" t="str">
        <f t="shared" si="24"/>
        <v>33200000</v>
      </c>
      <c r="H1422" t="s">
        <v>4517</v>
      </c>
      <c r="K1422" s="4">
        <v>5969</v>
      </c>
    </row>
    <row r="1423" spans="1:11" hidden="1" outlineLevel="2" x14ac:dyDescent="0.35">
      <c r="A1423" t="s">
        <v>3115</v>
      </c>
      <c r="B1423" s="1">
        <v>45733</v>
      </c>
      <c r="C1423" t="str">
        <f>"728"</f>
        <v>728</v>
      </c>
      <c r="D1423" t="s">
        <v>4518</v>
      </c>
      <c r="E1423" t="str">
        <f>"183420"</f>
        <v>183420</v>
      </c>
      <c r="F1423" t="str">
        <f t="shared" si="24"/>
        <v>33200000</v>
      </c>
      <c r="H1423" t="s">
        <v>4519</v>
      </c>
      <c r="K1423" s="4">
        <v>4067</v>
      </c>
    </row>
    <row r="1424" spans="1:11" hidden="1" outlineLevel="2" x14ac:dyDescent="0.35">
      <c r="A1424" t="s">
        <v>3115</v>
      </c>
      <c r="B1424" s="1">
        <v>45733</v>
      </c>
      <c r="C1424" t="str">
        <f>"729"</f>
        <v>729</v>
      </c>
      <c r="D1424" t="s">
        <v>4520</v>
      </c>
      <c r="E1424" t="str">
        <f>"182070"</f>
        <v>182070</v>
      </c>
      <c r="F1424" t="str">
        <f t="shared" si="24"/>
        <v>33200000</v>
      </c>
      <c r="H1424" t="s">
        <v>4521</v>
      </c>
      <c r="K1424" s="4">
        <v>98875</v>
      </c>
    </row>
    <row r="1425" spans="1:11" hidden="1" outlineLevel="2" x14ac:dyDescent="0.35">
      <c r="A1425" t="s">
        <v>3115</v>
      </c>
      <c r="B1425" s="1">
        <v>45733</v>
      </c>
      <c r="C1425" t="str">
        <f>"730"</f>
        <v>730</v>
      </c>
      <c r="D1425" t="s">
        <v>4522</v>
      </c>
      <c r="E1425" t="str">
        <f>"183421"</f>
        <v>183421</v>
      </c>
      <c r="F1425" t="str">
        <f t="shared" si="24"/>
        <v>33200000</v>
      </c>
      <c r="H1425" t="s">
        <v>4523</v>
      </c>
      <c r="K1425" s="4">
        <v>24928</v>
      </c>
    </row>
    <row r="1426" spans="1:11" hidden="1" outlineLevel="2" x14ac:dyDescent="0.35">
      <c r="A1426" t="s">
        <v>3115</v>
      </c>
      <c r="B1426" s="1">
        <v>45733</v>
      </c>
      <c r="C1426" t="str">
        <f>"731"</f>
        <v>731</v>
      </c>
      <c r="D1426" t="s">
        <v>4524</v>
      </c>
      <c r="E1426" t="str">
        <f>"162593"</f>
        <v>162593</v>
      </c>
      <c r="F1426" t="str">
        <f t="shared" si="24"/>
        <v>33200000</v>
      </c>
      <c r="H1426" t="s">
        <v>4525</v>
      </c>
      <c r="K1426" s="4">
        <v>6954</v>
      </c>
    </row>
    <row r="1427" spans="1:11" hidden="1" outlineLevel="2" x14ac:dyDescent="0.35">
      <c r="A1427" t="s">
        <v>3115</v>
      </c>
      <c r="B1427" s="1">
        <v>45733</v>
      </c>
      <c r="C1427" t="str">
        <f>"732"</f>
        <v>732</v>
      </c>
      <c r="D1427" t="s">
        <v>4526</v>
      </c>
      <c r="E1427" t="str">
        <f>"182022"</f>
        <v>182022</v>
      </c>
      <c r="F1427" t="str">
        <f t="shared" si="24"/>
        <v>33200000</v>
      </c>
      <c r="H1427" t="s">
        <v>4527</v>
      </c>
      <c r="K1427" s="4">
        <v>787</v>
      </c>
    </row>
    <row r="1428" spans="1:11" hidden="1" outlineLevel="2" x14ac:dyDescent="0.35">
      <c r="A1428" t="s">
        <v>3115</v>
      </c>
      <c r="B1428" s="1">
        <v>45733</v>
      </c>
      <c r="C1428" t="str">
        <f>"733"</f>
        <v>733</v>
      </c>
      <c r="D1428" t="s">
        <v>4528</v>
      </c>
      <c r="E1428" t="str">
        <f>"183311"</f>
        <v>183311</v>
      </c>
      <c r="F1428" t="str">
        <f t="shared" si="24"/>
        <v>33200000</v>
      </c>
      <c r="H1428" t="s">
        <v>4529</v>
      </c>
      <c r="K1428" s="4">
        <v>51776</v>
      </c>
    </row>
    <row r="1429" spans="1:11" hidden="1" outlineLevel="2" x14ac:dyDescent="0.35">
      <c r="A1429" t="s">
        <v>3115</v>
      </c>
      <c r="B1429" s="1">
        <v>45733</v>
      </c>
      <c r="C1429" t="str">
        <f>"734"</f>
        <v>734</v>
      </c>
      <c r="D1429" t="s">
        <v>4530</v>
      </c>
      <c r="E1429" t="str">
        <f>"182079"</f>
        <v>182079</v>
      </c>
      <c r="F1429" t="str">
        <f t="shared" si="24"/>
        <v>33200000</v>
      </c>
      <c r="H1429" t="s">
        <v>4531</v>
      </c>
      <c r="K1429" s="4">
        <v>35000</v>
      </c>
    </row>
    <row r="1430" spans="1:11" hidden="1" outlineLevel="2" x14ac:dyDescent="0.35">
      <c r="A1430" t="s">
        <v>3115</v>
      </c>
      <c r="B1430" s="1">
        <v>45733</v>
      </c>
      <c r="C1430" t="str">
        <f>"735"</f>
        <v>735</v>
      </c>
      <c r="D1430" t="s">
        <v>4532</v>
      </c>
      <c r="E1430" t="str">
        <f>"183553"</f>
        <v>183553</v>
      </c>
      <c r="F1430" t="str">
        <f t="shared" si="24"/>
        <v>33200000</v>
      </c>
      <c r="H1430" t="s">
        <v>4533</v>
      </c>
      <c r="K1430" s="4">
        <v>17500</v>
      </c>
    </row>
    <row r="1431" spans="1:11" hidden="1" outlineLevel="2" x14ac:dyDescent="0.35">
      <c r="A1431" t="s">
        <v>3115</v>
      </c>
      <c r="B1431" s="1">
        <v>45733</v>
      </c>
      <c r="C1431" t="str">
        <f>"736"</f>
        <v>736</v>
      </c>
      <c r="D1431" t="s">
        <v>4534</v>
      </c>
      <c r="E1431" t="str">
        <f>"183554"</f>
        <v>183554</v>
      </c>
      <c r="F1431" t="str">
        <f t="shared" si="24"/>
        <v>33200000</v>
      </c>
      <c r="H1431" t="s">
        <v>4535</v>
      </c>
      <c r="K1431" s="4">
        <v>17500</v>
      </c>
    </row>
    <row r="1432" spans="1:11" hidden="1" outlineLevel="2" x14ac:dyDescent="0.35">
      <c r="A1432" t="s">
        <v>3115</v>
      </c>
      <c r="B1432" s="1">
        <v>45733</v>
      </c>
      <c r="C1432" t="str">
        <f>"737"</f>
        <v>737</v>
      </c>
      <c r="D1432" t="s">
        <v>4536</v>
      </c>
      <c r="E1432" t="str">
        <f>"181740"</f>
        <v>181740</v>
      </c>
      <c r="F1432" t="str">
        <f t="shared" si="24"/>
        <v>33200000</v>
      </c>
      <c r="H1432" t="s">
        <v>4537</v>
      </c>
      <c r="K1432" s="4">
        <v>50180</v>
      </c>
    </row>
    <row r="1433" spans="1:11" hidden="1" outlineLevel="2" x14ac:dyDescent="0.35">
      <c r="A1433" t="s">
        <v>3115</v>
      </c>
      <c r="B1433" s="1">
        <v>45733</v>
      </c>
      <c r="C1433" t="str">
        <f>"738"</f>
        <v>738</v>
      </c>
      <c r="D1433" t="s">
        <v>4538</v>
      </c>
      <c r="E1433" t="str">
        <f>"181189"</f>
        <v>181189</v>
      </c>
      <c r="F1433" t="str">
        <f t="shared" si="24"/>
        <v>33200000</v>
      </c>
      <c r="H1433" t="s">
        <v>4539</v>
      </c>
      <c r="K1433" s="4">
        <v>66185</v>
      </c>
    </row>
    <row r="1434" spans="1:11" hidden="1" outlineLevel="2" x14ac:dyDescent="0.35">
      <c r="A1434" t="s">
        <v>3115</v>
      </c>
      <c r="B1434" s="1">
        <v>45733</v>
      </c>
      <c r="C1434" t="str">
        <f>"739"</f>
        <v>739</v>
      </c>
      <c r="D1434" t="s">
        <v>4540</v>
      </c>
      <c r="E1434" t="str">
        <f>"181168"</f>
        <v>181168</v>
      </c>
      <c r="F1434" t="str">
        <f t="shared" si="24"/>
        <v>33200000</v>
      </c>
      <c r="H1434" t="s">
        <v>4541</v>
      </c>
      <c r="K1434" s="4">
        <v>66185</v>
      </c>
    </row>
    <row r="1435" spans="1:11" hidden="1" outlineLevel="2" x14ac:dyDescent="0.35">
      <c r="A1435" t="s">
        <v>3115</v>
      </c>
      <c r="B1435" s="1">
        <v>45733</v>
      </c>
      <c r="C1435" t="str">
        <f>"740"</f>
        <v>740</v>
      </c>
      <c r="D1435" t="s">
        <v>4542</v>
      </c>
      <c r="E1435" t="str">
        <f>"178697"</f>
        <v>178697</v>
      </c>
      <c r="F1435" t="str">
        <f t="shared" si="24"/>
        <v>33200000</v>
      </c>
      <c r="H1435" t="s">
        <v>4543</v>
      </c>
      <c r="K1435" s="4">
        <v>66185</v>
      </c>
    </row>
    <row r="1436" spans="1:11" hidden="1" outlineLevel="2" x14ac:dyDescent="0.35">
      <c r="A1436" t="s">
        <v>3115</v>
      </c>
      <c r="B1436" s="1">
        <v>45733</v>
      </c>
      <c r="C1436" t="str">
        <f>"741"</f>
        <v>741</v>
      </c>
      <c r="D1436" t="s">
        <v>4544</v>
      </c>
      <c r="E1436" t="str">
        <f>"182217"</f>
        <v>182217</v>
      </c>
      <c r="F1436" t="str">
        <f t="shared" si="24"/>
        <v>33200000</v>
      </c>
      <c r="H1436" t="s">
        <v>4545</v>
      </c>
      <c r="K1436" s="4">
        <v>3149</v>
      </c>
    </row>
    <row r="1437" spans="1:11" hidden="1" outlineLevel="2" x14ac:dyDescent="0.35">
      <c r="A1437" t="s">
        <v>3115</v>
      </c>
      <c r="B1437" s="1">
        <v>45733</v>
      </c>
      <c r="C1437" t="str">
        <f>"742"</f>
        <v>742</v>
      </c>
      <c r="D1437" t="s">
        <v>4546</v>
      </c>
      <c r="E1437" t="str">
        <f>"183460"</f>
        <v>183460</v>
      </c>
      <c r="F1437" t="str">
        <f t="shared" si="24"/>
        <v>33200000</v>
      </c>
      <c r="H1437" t="s">
        <v>4547</v>
      </c>
      <c r="K1437" s="4">
        <v>20391</v>
      </c>
    </row>
    <row r="1438" spans="1:11" hidden="1" outlineLevel="2" x14ac:dyDescent="0.35">
      <c r="A1438" t="s">
        <v>3115</v>
      </c>
      <c r="B1438" s="1">
        <v>45733</v>
      </c>
      <c r="C1438" t="str">
        <f>"743"</f>
        <v>743</v>
      </c>
      <c r="D1438" t="s">
        <v>4548</v>
      </c>
      <c r="E1438" t="str">
        <f>"182108"</f>
        <v>182108</v>
      </c>
      <c r="F1438" t="str">
        <f t="shared" si="24"/>
        <v>33200000</v>
      </c>
      <c r="H1438" t="s">
        <v>4549</v>
      </c>
      <c r="K1438" s="4">
        <v>20391</v>
      </c>
    </row>
    <row r="1439" spans="1:11" hidden="1" outlineLevel="2" x14ac:dyDescent="0.35">
      <c r="A1439" t="s">
        <v>3115</v>
      </c>
      <c r="B1439" s="1">
        <v>45733</v>
      </c>
      <c r="C1439" t="str">
        <f>"744"</f>
        <v>744</v>
      </c>
      <c r="D1439" t="s">
        <v>4550</v>
      </c>
      <c r="E1439" t="str">
        <f>"182109"</f>
        <v>182109</v>
      </c>
      <c r="F1439" t="str">
        <f t="shared" si="24"/>
        <v>33200000</v>
      </c>
      <c r="H1439" t="s">
        <v>4551</v>
      </c>
      <c r="K1439" s="4">
        <v>61173</v>
      </c>
    </row>
    <row r="1440" spans="1:11" hidden="1" outlineLevel="2" x14ac:dyDescent="0.35">
      <c r="A1440" t="s">
        <v>3115</v>
      </c>
      <c r="B1440" s="1">
        <v>45733</v>
      </c>
      <c r="C1440" t="str">
        <f>"745"</f>
        <v>745</v>
      </c>
      <c r="D1440" t="s">
        <v>4552</v>
      </c>
      <c r="E1440" t="str">
        <f>"183461"</f>
        <v>183461</v>
      </c>
      <c r="F1440" t="str">
        <f t="shared" si="24"/>
        <v>33200000</v>
      </c>
      <c r="H1440" t="s">
        <v>4553</v>
      </c>
      <c r="K1440" s="4">
        <v>61173</v>
      </c>
    </row>
    <row r="1441" spans="1:11" hidden="1" outlineLevel="2" x14ac:dyDescent="0.35">
      <c r="A1441" t="s">
        <v>3115</v>
      </c>
      <c r="B1441" s="1">
        <v>45733</v>
      </c>
      <c r="C1441" t="str">
        <f>"746"</f>
        <v>746</v>
      </c>
      <c r="D1441" t="s">
        <v>4554</v>
      </c>
      <c r="E1441" t="str">
        <f>"183462"</f>
        <v>183462</v>
      </c>
      <c r="F1441" t="str">
        <f t="shared" si="24"/>
        <v>33200000</v>
      </c>
      <c r="H1441" t="s">
        <v>4555</v>
      </c>
      <c r="K1441" s="4">
        <v>20391</v>
      </c>
    </row>
    <row r="1442" spans="1:11" hidden="1" outlineLevel="2" x14ac:dyDescent="0.35">
      <c r="A1442" t="s">
        <v>3115</v>
      </c>
      <c r="B1442" s="1">
        <v>45733</v>
      </c>
      <c r="C1442" t="str">
        <f>"747"</f>
        <v>747</v>
      </c>
      <c r="D1442" t="s">
        <v>4556</v>
      </c>
      <c r="E1442" t="str">
        <f>"183463"</f>
        <v>183463</v>
      </c>
      <c r="F1442" t="str">
        <f t="shared" si="24"/>
        <v>33200000</v>
      </c>
      <c r="H1442" t="s">
        <v>4557</v>
      </c>
      <c r="K1442" s="4">
        <v>40782</v>
      </c>
    </row>
    <row r="1443" spans="1:11" hidden="1" outlineLevel="2" x14ac:dyDescent="0.35">
      <c r="A1443" t="s">
        <v>3115</v>
      </c>
      <c r="B1443" s="1">
        <v>45733</v>
      </c>
      <c r="C1443" t="str">
        <f>"748"</f>
        <v>748</v>
      </c>
      <c r="D1443" t="s">
        <v>4558</v>
      </c>
      <c r="E1443" t="str">
        <f>"182074"</f>
        <v>182074</v>
      </c>
      <c r="F1443" t="str">
        <f t="shared" si="24"/>
        <v>33200000</v>
      </c>
      <c r="H1443" t="s">
        <v>4559</v>
      </c>
      <c r="K1443" s="4">
        <v>145250</v>
      </c>
    </row>
    <row r="1444" spans="1:11" hidden="1" outlineLevel="2" x14ac:dyDescent="0.35">
      <c r="A1444" t="s">
        <v>3115</v>
      </c>
      <c r="B1444" s="1">
        <v>45733</v>
      </c>
      <c r="C1444" t="str">
        <f>"749"</f>
        <v>749</v>
      </c>
      <c r="D1444" t="s">
        <v>4560</v>
      </c>
      <c r="E1444" t="str">
        <f>"180480"</f>
        <v>180480</v>
      </c>
      <c r="F1444" t="str">
        <f t="shared" si="24"/>
        <v>33200000</v>
      </c>
      <c r="H1444" t="s">
        <v>4561</v>
      </c>
      <c r="K1444" s="4">
        <v>262</v>
      </c>
    </row>
    <row r="1445" spans="1:11" hidden="1" outlineLevel="2" x14ac:dyDescent="0.35">
      <c r="A1445" t="s">
        <v>3115</v>
      </c>
      <c r="B1445" s="1">
        <v>45734</v>
      </c>
      <c r="C1445" t="str">
        <f>"447"</f>
        <v>447</v>
      </c>
      <c r="D1445" t="s">
        <v>4562</v>
      </c>
      <c r="E1445" t="str">
        <f>"147214"</f>
        <v>147214</v>
      </c>
      <c r="F1445" t="str">
        <f t="shared" si="24"/>
        <v>33200000</v>
      </c>
      <c r="H1445" t="s">
        <v>4563</v>
      </c>
      <c r="K1445" s="4">
        <v>525</v>
      </c>
    </row>
    <row r="1446" spans="1:11" hidden="1" outlineLevel="2" x14ac:dyDescent="0.35">
      <c r="A1446" t="s">
        <v>3115</v>
      </c>
      <c r="B1446" s="1">
        <v>45734</v>
      </c>
      <c r="C1446" t="str">
        <f>"448"</f>
        <v>448</v>
      </c>
      <c r="D1446" t="s">
        <v>4564</v>
      </c>
      <c r="E1446" t="str">
        <f>"147215"</f>
        <v>147215</v>
      </c>
      <c r="F1446" t="str">
        <f t="shared" si="24"/>
        <v>33200000</v>
      </c>
      <c r="H1446" t="s">
        <v>4565</v>
      </c>
      <c r="K1446" s="4">
        <v>29977</v>
      </c>
    </row>
    <row r="1447" spans="1:11" hidden="1" outlineLevel="2" x14ac:dyDescent="0.35">
      <c r="A1447" t="s">
        <v>3115</v>
      </c>
      <c r="B1447" s="1">
        <v>45734</v>
      </c>
      <c r="C1447" t="str">
        <f>"449"</f>
        <v>449</v>
      </c>
      <c r="D1447" t="s">
        <v>4566</v>
      </c>
      <c r="E1447" t="str">
        <f>"180194"</f>
        <v>180194</v>
      </c>
      <c r="F1447" t="str">
        <f t="shared" si="24"/>
        <v>33200000</v>
      </c>
      <c r="H1447" t="s">
        <v>4567</v>
      </c>
      <c r="K1447" s="4">
        <v>77082</v>
      </c>
    </row>
    <row r="1448" spans="1:11" hidden="1" outlineLevel="2" x14ac:dyDescent="0.35">
      <c r="A1448" t="s">
        <v>3115</v>
      </c>
      <c r="B1448" s="1">
        <v>45734</v>
      </c>
      <c r="C1448" t="str">
        <f>"450"</f>
        <v>450</v>
      </c>
      <c r="D1448" t="s">
        <v>4568</v>
      </c>
      <c r="E1448" t="str">
        <f>"180193"</f>
        <v>180193</v>
      </c>
      <c r="F1448" t="str">
        <f t="shared" si="24"/>
        <v>33200000</v>
      </c>
      <c r="H1448" t="s">
        <v>4569</v>
      </c>
      <c r="K1448" s="4">
        <v>52730</v>
      </c>
    </row>
    <row r="1449" spans="1:11" hidden="1" outlineLevel="2" x14ac:dyDescent="0.35">
      <c r="A1449" t="s">
        <v>3115</v>
      </c>
      <c r="B1449" s="1">
        <v>45734</v>
      </c>
      <c r="C1449" t="str">
        <f>"451"</f>
        <v>451</v>
      </c>
      <c r="D1449" t="s">
        <v>4570</v>
      </c>
      <c r="E1449" t="str">
        <f>"183340"</f>
        <v>183340</v>
      </c>
      <c r="F1449" t="str">
        <f t="shared" si="24"/>
        <v>33200000</v>
      </c>
      <c r="H1449" t="s">
        <v>4571</v>
      </c>
      <c r="K1449" s="4">
        <v>5012</v>
      </c>
    </row>
    <row r="1450" spans="1:11" hidden="1" outlineLevel="2" x14ac:dyDescent="0.35">
      <c r="A1450" t="s">
        <v>3115</v>
      </c>
      <c r="B1450" s="1">
        <v>45734</v>
      </c>
      <c r="C1450" t="str">
        <f>"452"</f>
        <v>452</v>
      </c>
      <c r="D1450" t="s">
        <v>4572</v>
      </c>
      <c r="E1450" t="str">
        <f>"183513"</f>
        <v>183513</v>
      </c>
      <c r="F1450" t="str">
        <f t="shared" si="24"/>
        <v>33200000</v>
      </c>
      <c r="H1450" t="s">
        <v>4573</v>
      </c>
      <c r="K1450" s="4">
        <v>181701</v>
      </c>
    </row>
    <row r="1451" spans="1:11" hidden="1" outlineLevel="2" x14ac:dyDescent="0.35">
      <c r="A1451" t="s">
        <v>3115</v>
      </c>
      <c r="B1451" s="1">
        <v>45734</v>
      </c>
      <c r="C1451" t="str">
        <f>"454"</f>
        <v>454</v>
      </c>
      <c r="D1451" t="s">
        <v>4576</v>
      </c>
      <c r="E1451" t="str">
        <f>"182088"</f>
        <v>182088</v>
      </c>
      <c r="F1451" t="str">
        <f t="shared" si="24"/>
        <v>33200000</v>
      </c>
      <c r="H1451" t="s">
        <v>4577</v>
      </c>
      <c r="K1451" s="4">
        <v>3477</v>
      </c>
    </row>
    <row r="1452" spans="1:11" hidden="1" outlineLevel="2" x14ac:dyDescent="0.35">
      <c r="A1452" t="s">
        <v>3115</v>
      </c>
      <c r="B1452" s="1">
        <v>45734</v>
      </c>
      <c r="C1452" t="str">
        <f>"456"</f>
        <v>456</v>
      </c>
      <c r="D1452" t="s">
        <v>4580</v>
      </c>
      <c r="E1452" t="str">
        <f>"183565"</f>
        <v>183565</v>
      </c>
      <c r="F1452" t="str">
        <f t="shared" si="24"/>
        <v>33200000</v>
      </c>
      <c r="H1452" t="s">
        <v>4581</v>
      </c>
      <c r="K1452" s="4">
        <v>5117</v>
      </c>
    </row>
    <row r="1453" spans="1:11" hidden="1" outlineLevel="2" x14ac:dyDescent="0.35">
      <c r="A1453" t="s">
        <v>3115</v>
      </c>
      <c r="B1453" s="1">
        <v>45734</v>
      </c>
      <c r="C1453" t="str">
        <f>"457"</f>
        <v>457</v>
      </c>
      <c r="D1453" t="s">
        <v>4582</v>
      </c>
      <c r="E1453" t="str">
        <f>"183563"</f>
        <v>183563</v>
      </c>
      <c r="F1453" t="str">
        <f t="shared" si="24"/>
        <v>33200000</v>
      </c>
      <c r="H1453" t="s">
        <v>4583</v>
      </c>
      <c r="K1453" s="4">
        <v>2165</v>
      </c>
    </row>
    <row r="1454" spans="1:11" hidden="1" outlineLevel="2" x14ac:dyDescent="0.35">
      <c r="A1454" t="s">
        <v>3115</v>
      </c>
      <c r="B1454" s="1">
        <v>45734</v>
      </c>
      <c r="C1454" t="str">
        <f>"459"</f>
        <v>459</v>
      </c>
      <c r="D1454" t="s">
        <v>4586</v>
      </c>
      <c r="E1454" t="str">
        <f>"183337"</f>
        <v>183337</v>
      </c>
      <c r="F1454" t="str">
        <f t="shared" si="24"/>
        <v>33200000</v>
      </c>
      <c r="H1454" t="s">
        <v>4587</v>
      </c>
      <c r="K1454" s="4">
        <v>800</v>
      </c>
    </row>
    <row r="1455" spans="1:11" hidden="1" outlineLevel="2" x14ac:dyDescent="0.35">
      <c r="A1455" t="s">
        <v>3115</v>
      </c>
      <c r="B1455" s="1">
        <v>45734</v>
      </c>
      <c r="C1455" t="str">
        <f>"460"</f>
        <v>460</v>
      </c>
      <c r="D1455" t="s">
        <v>4588</v>
      </c>
      <c r="E1455" t="str">
        <f>"183692"</f>
        <v>183692</v>
      </c>
      <c r="F1455" t="str">
        <f t="shared" si="24"/>
        <v>33200000</v>
      </c>
      <c r="H1455" t="s">
        <v>4589</v>
      </c>
      <c r="K1455" s="4">
        <v>6356</v>
      </c>
    </row>
    <row r="1456" spans="1:11" hidden="1" outlineLevel="2" x14ac:dyDescent="0.35">
      <c r="A1456" t="s">
        <v>3115</v>
      </c>
      <c r="B1456" s="1">
        <v>45734</v>
      </c>
      <c r="C1456" t="str">
        <f>"461"</f>
        <v>461</v>
      </c>
      <c r="D1456" t="s">
        <v>4590</v>
      </c>
      <c r="E1456" t="str">
        <f>"183690"</f>
        <v>183690</v>
      </c>
      <c r="F1456" t="str">
        <f t="shared" si="24"/>
        <v>33200000</v>
      </c>
      <c r="H1456" t="s">
        <v>4591</v>
      </c>
      <c r="K1456" s="4">
        <v>3178</v>
      </c>
    </row>
    <row r="1457" spans="1:11" hidden="1" outlineLevel="2" x14ac:dyDescent="0.35">
      <c r="A1457" t="s">
        <v>3115</v>
      </c>
      <c r="B1457" s="1">
        <v>45734</v>
      </c>
      <c r="C1457" t="str">
        <f>"463"</f>
        <v>463</v>
      </c>
      <c r="D1457" t="s">
        <v>4594</v>
      </c>
      <c r="E1457" t="str">
        <f>"182091"</f>
        <v>182091</v>
      </c>
      <c r="F1457" t="str">
        <f t="shared" si="24"/>
        <v>33200000</v>
      </c>
      <c r="H1457" t="s">
        <v>4595</v>
      </c>
      <c r="K1457" s="4">
        <v>39619</v>
      </c>
    </row>
    <row r="1458" spans="1:11" hidden="1" outlineLevel="2" x14ac:dyDescent="0.35">
      <c r="A1458" t="s">
        <v>3115</v>
      </c>
      <c r="B1458" s="1">
        <v>45734</v>
      </c>
      <c r="C1458" t="str">
        <f>"467"</f>
        <v>467</v>
      </c>
      <c r="D1458" t="s">
        <v>4602</v>
      </c>
      <c r="E1458" t="str">
        <f>"182221"</f>
        <v>182221</v>
      </c>
      <c r="F1458" t="str">
        <f t="shared" ref="F1458:F1521" si="25">"33200000"</f>
        <v>33200000</v>
      </c>
      <c r="H1458" t="s">
        <v>4603</v>
      </c>
      <c r="K1458" s="4">
        <v>3000</v>
      </c>
    </row>
    <row r="1459" spans="1:11" hidden="1" outlineLevel="2" x14ac:dyDescent="0.35">
      <c r="A1459" t="s">
        <v>3115</v>
      </c>
      <c r="B1459" s="1">
        <v>45734</v>
      </c>
      <c r="C1459" t="str">
        <f>"468"</f>
        <v>468</v>
      </c>
      <c r="D1459" t="s">
        <v>4604</v>
      </c>
      <c r="E1459" t="str">
        <f>"182223"</f>
        <v>182223</v>
      </c>
      <c r="F1459" t="str">
        <f t="shared" si="25"/>
        <v>33200000</v>
      </c>
      <c r="H1459" t="s">
        <v>4605</v>
      </c>
      <c r="K1459" s="4">
        <v>122270</v>
      </c>
    </row>
    <row r="1460" spans="1:11" hidden="1" outlineLevel="2" x14ac:dyDescent="0.35">
      <c r="A1460" t="s">
        <v>3115</v>
      </c>
      <c r="B1460" s="1">
        <v>45734</v>
      </c>
      <c r="C1460" t="str">
        <f>"470"</f>
        <v>470</v>
      </c>
      <c r="D1460" t="s">
        <v>4608</v>
      </c>
      <c r="E1460" t="str">
        <f>"182224"</f>
        <v>182224</v>
      </c>
      <c r="F1460" t="str">
        <f t="shared" si="25"/>
        <v>33200000</v>
      </c>
      <c r="H1460" t="s">
        <v>4609</v>
      </c>
      <c r="K1460" s="4">
        <v>1100</v>
      </c>
    </row>
    <row r="1461" spans="1:11" hidden="1" outlineLevel="2" x14ac:dyDescent="0.35">
      <c r="A1461" t="s">
        <v>3115</v>
      </c>
      <c r="B1461" s="1">
        <v>45734</v>
      </c>
      <c r="C1461" t="str">
        <f>"471"</f>
        <v>471</v>
      </c>
      <c r="D1461" t="s">
        <v>4610</v>
      </c>
      <c r="E1461" t="str">
        <f>"182225"</f>
        <v>182225</v>
      </c>
      <c r="F1461" t="str">
        <f t="shared" si="25"/>
        <v>33200000</v>
      </c>
      <c r="H1461" t="s">
        <v>4611</v>
      </c>
      <c r="K1461" s="4">
        <v>7700</v>
      </c>
    </row>
    <row r="1462" spans="1:11" hidden="1" outlineLevel="2" x14ac:dyDescent="0.35">
      <c r="A1462" t="s">
        <v>3115</v>
      </c>
      <c r="B1462" s="1">
        <v>45734</v>
      </c>
      <c r="C1462" t="str">
        <f>"472"</f>
        <v>472</v>
      </c>
      <c r="D1462" t="s">
        <v>4612</v>
      </c>
      <c r="E1462" t="str">
        <f>"182226"</f>
        <v>182226</v>
      </c>
      <c r="F1462" t="str">
        <f t="shared" si="25"/>
        <v>33200000</v>
      </c>
      <c r="H1462" t="s">
        <v>4613</v>
      </c>
      <c r="K1462" s="4">
        <v>360</v>
      </c>
    </row>
    <row r="1463" spans="1:11" hidden="1" outlineLevel="2" x14ac:dyDescent="0.35">
      <c r="A1463" t="s">
        <v>3115</v>
      </c>
      <c r="B1463" s="1">
        <v>45734</v>
      </c>
      <c r="C1463" t="str">
        <f>"473"</f>
        <v>473</v>
      </c>
      <c r="D1463" t="s">
        <v>4614</v>
      </c>
      <c r="E1463" t="str">
        <f>"180483"</f>
        <v>180483</v>
      </c>
      <c r="F1463" t="str">
        <f t="shared" si="25"/>
        <v>33200000</v>
      </c>
      <c r="H1463" t="s">
        <v>4615</v>
      </c>
      <c r="K1463" s="4">
        <v>5117</v>
      </c>
    </row>
    <row r="1464" spans="1:11" hidden="1" outlineLevel="2" x14ac:dyDescent="0.35">
      <c r="A1464" t="s">
        <v>3115</v>
      </c>
      <c r="B1464" s="1">
        <v>45734</v>
      </c>
      <c r="C1464" t="str">
        <f>"474"</f>
        <v>474</v>
      </c>
      <c r="D1464" t="s">
        <v>4616</v>
      </c>
      <c r="E1464" t="str">
        <f>"180484"</f>
        <v>180484</v>
      </c>
      <c r="F1464" t="str">
        <f t="shared" si="25"/>
        <v>33200000</v>
      </c>
      <c r="H1464" t="s">
        <v>4617</v>
      </c>
      <c r="K1464" s="4">
        <v>1181</v>
      </c>
    </row>
    <row r="1465" spans="1:11" hidden="1" outlineLevel="2" x14ac:dyDescent="0.35">
      <c r="A1465" t="s">
        <v>3115</v>
      </c>
      <c r="B1465" s="1">
        <v>45734</v>
      </c>
      <c r="C1465" t="str">
        <f>"475"</f>
        <v>475</v>
      </c>
      <c r="D1465" t="s">
        <v>4618</v>
      </c>
      <c r="E1465" t="str">
        <f>"180485"</f>
        <v>180485</v>
      </c>
      <c r="F1465" t="str">
        <f t="shared" si="25"/>
        <v>33200000</v>
      </c>
      <c r="H1465" t="s">
        <v>4619</v>
      </c>
      <c r="K1465" s="4">
        <v>787</v>
      </c>
    </row>
    <row r="1466" spans="1:11" hidden="1" outlineLevel="2" x14ac:dyDescent="0.35">
      <c r="A1466" t="s">
        <v>3115</v>
      </c>
      <c r="B1466" s="1">
        <v>45734</v>
      </c>
      <c r="C1466" t="str">
        <f>"476"</f>
        <v>476</v>
      </c>
      <c r="D1466" t="s">
        <v>4620</v>
      </c>
      <c r="E1466" t="str">
        <f>"180486"</f>
        <v>180486</v>
      </c>
      <c r="F1466" t="str">
        <f t="shared" si="25"/>
        <v>33200000</v>
      </c>
      <c r="H1466" t="s">
        <v>4621</v>
      </c>
      <c r="K1466" s="4">
        <v>279</v>
      </c>
    </row>
    <row r="1467" spans="1:11" hidden="1" outlineLevel="2" x14ac:dyDescent="0.35">
      <c r="A1467" t="s">
        <v>3115</v>
      </c>
      <c r="B1467" s="1">
        <v>45734</v>
      </c>
      <c r="C1467" t="str">
        <f>"477"</f>
        <v>477</v>
      </c>
      <c r="D1467" t="s">
        <v>4622</v>
      </c>
      <c r="E1467" t="str">
        <f>"183341"</f>
        <v>183341</v>
      </c>
      <c r="F1467" t="str">
        <f t="shared" si="25"/>
        <v>33200000</v>
      </c>
      <c r="H1467" t="s">
        <v>4623</v>
      </c>
      <c r="K1467" s="4">
        <v>546</v>
      </c>
    </row>
    <row r="1468" spans="1:11" hidden="1" outlineLevel="2" x14ac:dyDescent="0.35">
      <c r="A1468" t="s">
        <v>3115</v>
      </c>
      <c r="B1468" s="1">
        <v>45734</v>
      </c>
      <c r="C1468" t="str">
        <f>"478"</f>
        <v>478</v>
      </c>
      <c r="D1468" t="s">
        <v>4624</v>
      </c>
      <c r="E1468" t="str">
        <f>"181750"</f>
        <v>181750</v>
      </c>
      <c r="F1468" t="str">
        <f t="shared" si="25"/>
        <v>33200000</v>
      </c>
      <c r="H1468" t="s">
        <v>4625</v>
      </c>
      <c r="K1468" s="4">
        <v>2493</v>
      </c>
    </row>
    <row r="1469" spans="1:11" hidden="1" outlineLevel="2" x14ac:dyDescent="0.35">
      <c r="A1469" t="s">
        <v>3115</v>
      </c>
      <c r="B1469" s="1">
        <v>45734</v>
      </c>
      <c r="C1469" t="str">
        <f>"482"</f>
        <v>482</v>
      </c>
      <c r="D1469" t="s">
        <v>4632</v>
      </c>
      <c r="E1469" t="str">
        <f>"181749"</f>
        <v>181749</v>
      </c>
      <c r="F1469" t="str">
        <f t="shared" si="25"/>
        <v>33200000</v>
      </c>
      <c r="H1469" t="s">
        <v>4633</v>
      </c>
      <c r="K1469" s="4">
        <v>7609</v>
      </c>
    </row>
    <row r="1470" spans="1:11" hidden="1" outlineLevel="2" x14ac:dyDescent="0.35">
      <c r="A1470" t="s">
        <v>3115</v>
      </c>
      <c r="B1470" s="1">
        <v>45735</v>
      </c>
      <c r="C1470" t="str">
        <f>"338"</f>
        <v>338</v>
      </c>
      <c r="D1470" t="s">
        <v>4638</v>
      </c>
      <c r="E1470" t="str">
        <f>"147216"</f>
        <v>147216</v>
      </c>
      <c r="F1470" t="str">
        <f t="shared" si="25"/>
        <v>33200000</v>
      </c>
      <c r="H1470" t="s">
        <v>4639</v>
      </c>
      <c r="K1470" s="4">
        <v>262</v>
      </c>
    </row>
    <row r="1471" spans="1:11" hidden="1" outlineLevel="2" x14ac:dyDescent="0.35">
      <c r="A1471" t="s">
        <v>3115</v>
      </c>
      <c r="B1471" s="1">
        <v>45735</v>
      </c>
      <c r="C1471" t="str">
        <f>"340"</f>
        <v>340</v>
      </c>
      <c r="D1471" t="s">
        <v>4642</v>
      </c>
      <c r="E1471" t="str">
        <f>"147274"</f>
        <v>147274</v>
      </c>
      <c r="F1471" t="str">
        <f t="shared" si="25"/>
        <v>33200000</v>
      </c>
      <c r="H1471" t="s">
        <v>4643</v>
      </c>
      <c r="K1471" s="4">
        <v>1299982</v>
      </c>
    </row>
    <row r="1472" spans="1:11" hidden="1" outlineLevel="2" x14ac:dyDescent="0.35">
      <c r="A1472" t="s">
        <v>3115</v>
      </c>
      <c r="B1472" s="1">
        <v>45735</v>
      </c>
      <c r="C1472" t="str">
        <f>"341"</f>
        <v>341</v>
      </c>
      <c r="D1472" t="s">
        <v>4644</v>
      </c>
      <c r="E1472" t="str">
        <f>"183568"</f>
        <v>183568</v>
      </c>
      <c r="F1472" t="str">
        <f t="shared" si="25"/>
        <v>33200000</v>
      </c>
      <c r="H1472" t="s">
        <v>4645</v>
      </c>
      <c r="K1472" s="4">
        <v>6297</v>
      </c>
    </row>
    <row r="1473" spans="1:11" hidden="1" outlineLevel="2" x14ac:dyDescent="0.35">
      <c r="A1473" t="s">
        <v>3115</v>
      </c>
      <c r="B1473" s="1">
        <v>45735</v>
      </c>
      <c r="C1473" t="str">
        <f>"343"</f>
        <v>343</v>
      </c>
      <c r="D1473" t="s">
        <v>4648</v>
      </c>
      <c r="E1473" t="str">
        <f>"183571"</f>
        <v>183571</v>
      </c>
      <c r="F1473" t="str">
        <f t="shared" si="25"/>
        <v>33200000</v>
      </c>
      <c r="H1473" t="s">
        <v>4649</v>
      </c>
      <c r="K1473" s="4">
        <v>19941</v>
      </c>
    </row>
    <row r="1474" spans="1:11" hidden="1" outlineLevel="2" x14ac:dyDescent="0.35">
      <c r="A1474" t="s">
        <v>3115</v>
      </c>
      <c r="B1474" s="1">
        <v>45735</v>
      </c>
      <c r="C1474" t="str">
        <f>"344"</f>
        <v>344</v>
      </c>
      <c r="D1474" t="s">
        <v>4650</v>
      </c>
      <c r="E1474" t="str">
        <f>"183569"</f>
        <v>183569</v>
      </c>
      <c r="F1474" t="str">
        <f t="shared" si="25"/>
        <v>33200000</v>
      </c>
      <c r="H1474" t="s">
        <v>4651</v>
      </c>
      <c r="K1474" s="4">
        <v>5838</v>
      </c>
    </row>
    <row r="1475" spans="1:11" hidden="1" outlineLevel="2" x14ac:dyDescent="0.35">
      <c r="A1475" t="s">
        <v>3115</v>
      </c>
      <c r="B1475" s="1">
        <v>45735</v>
      </c>
      <c r="C1475" t="str">
        <f>"346"</f>
        <v>346</v>
      </c>
      <c r="D1475" t="s">
        <v>4654</v>
      </c>
      <c r="E1475" t="str">
        <f>"183357"</f>
        <v>183357</v>
      </c>
      <c r="F1475" t="str">
        <f t="shared" si="25"/>
        <v>33200000</v>
      </c>
      <c r="H1475" t="s">
        <v>4655</v>
      </c>
      <c r="K1475" s="4">
        <v>24500</v>
      </c>
    </row>
    <row r="1476" spans="1:11" hidden="1" outlineLevel="2" x14ac:dyDescent="0.35">
      <c r="A1476" t="s">
        <v>3115</v>
      </c>
      <c r="B1476" s="1">
        <v>45735</v>
      </c>
      <c r="C1476" t="str">
        <f>"347"</f>
        <v>347</v>
      </c>
      <c r="D1476" t="s">
        <v>4656</v>
      </c>
      <c r="E1476" t="str">
        <f>"183342"</f>
        <v>183342</v>
      </c>
      <c r="F1476" t="str">
        <f t="shared" si="25"/>
        <v>33200000</v>
      </c>
      <c r="H1476" t="s">
        <v>4657</v>
      </c>
      <c r="K1476" s="4">
        <v>5552</v>
      </c>
    </row>
    <row r="1477" spans="1:11" hidden="1" outlineLevel="2" x14ac:dyDescent="0.35">
      <c r="A1477" t="s">
        <v>3115</v>
      </c>
      <c r="B1477" s="1">
        <v>45735</v>
      </c>
      <c r="C1477" t="str">
        <f>"348"</f>
        <v>348</v>
      </c>
      <c r="D1477" t="s">
        <v>4658</v>
      </c>
      <c r="E1477" t="str">
        <f>"183343"</f>
        <v>183343</v>
      </c>
      <c r="F1477" t="str">
        <f t="shared" si="25"/>
        <v>33200000</v>
      </c>
      <c r="H1477" t="s">
        <v>4659</v>
      </c>
      <c r="K1477" s="4">
        <v>5552</v>
      </c>
    </row>
    <row r="1478" spans="1:11" hidden="1" outlineLevel="2" x14ac:dyDescent="0.35">
      <c r="A1478" t="s">
        <v>3115</v>
      </c>
      <c r="B1478" s="1">
        <v>45735</v>
      </c>
      <c r="C1478" t="str">
        <f>"349"</f>
        <v>349</v>
      </c>
      <c r="D1478" t="s">
        <v>4660</v>
      </c>
      <c r="E1478" t="str">
        <f>"183344"</f>
        <v>183344</v>
      </c>
      <c r="F1478" t="str">
        <f t="shared" si="25"/>
        <v>33200000</v>
      </c>
      <c r="H1478" t="s">
        <v>4661</v>
      </c>
      <c r="K1478" s="4">
        <v>10564</v>
      </c>
    </row>
    <row r="1479" spans="1:11" hidden="1" outlineLevel="2" x14ac:dyDescent="0.35">
      <c r="A1479" t="s">
        <v>3115</v>
      </c>
      <c r="B1479" s="1">
        <v>45735</v>
      </c>
      <c r="C1479" t="str">
        <f>"352"</f>
        <v>352</v>
      </c>
      <c r="D1479" t="s">
        <v>4666</v>
      </c>
      <c r="E1479" t="str">
        <f>"183346"</f>
        <v>183346</v>
      </c>
      <c r="F1479" t="str">
        <f t="shared" si="25"/>
        <v>33200000</v>
      </c>
      <c r="H1479" t="s">
        <v>4667</v>
      </c>
      <c r="K1479" s="4">
        <v>10564</v>
      </c>
    </row>
    <row r="1480" spans="1:11" hidden="1" outlineLevel="2" x14ac:dyDescent="0.35">
      <c r="A1480" t="s">
        <v>3115</v>
      </c>
      <c r="B1480" s="1">
        <v>45735</v>
      </c>
      <c r="C1480" t="str">
        <f>"353"</f>
        <v>353</v>
      </c>
      <c r="D1480" t="s">
        <v>4668</v>
      </c>
      <c r="E1480" t="str">
        <f>"183429"</f>
        <v>183429</v>
      </c>
      <c r="F1480" t="str">
        <f t="shared" si="25"/>
        <v>33200000</v>
      </c>
      <c r="H1480" t="s">
        <v>4669</v>
      </c>
      <c r="K1480" s="4">
        <v>3936</v>
      </c>
    </row>
    <row r="1481" spans="1:11" hidden="1" outlineLevel="2" x14ac:dyDescent="0.35">
      <c r="A1481" t="s">
        <v>3115</v>
      </c>
      <c r="B1481" s="1">
        <v>45735</v>
      </c>
      <c r="C1481" t="str">
        <f>"354"</f>
        <v>354</v>
      </c>
      <c r="D1481" t="s">
        <v>4670</v>
      </c>
      <c r="E1481" t="str">
        <f>"183430"</f>
        <v>183430</v>
      </c>
      <c r="F1481" t="str">
        <f t="shared" si="25"/>
        <v>33200000</v>
      </c>
      <c r="H1481" t="s">
        <v>4671</v>
      </c>
      <c r="K1481" s="4">
        <v>11348</v>
      </c>
    </row>
    <row r="1482" spans="1:11" hidden="1" outlineLevel="2" x14ac:dyDescent="0.35">
      <c r="A1482" t="s">
        <v>3115</v>
      </c>
      <c r="B1482" s="1">
        <v>45735</v>
      </c>
      <c r="C1482" t="str">
        <f>"355"</f>
        <v>355</v>
      </c>
      <c r="D1482" t="s">
        <v>4672</v>
      </c>
      <c r="E1482" t="str">
        <f>"183430"</f>
        <v>183430</v>
      </c>
      <c r="F1482" t="str">
        <f t="shared" si="25"/>
        <v>33200000</v>
      </c>
      <c r="H1482" t="s">
        <v>4673</v>
      </c>
      <c r="K1482" s="4">
        <v>126</v>
      </c>
    </row>
    <row r="1483" spans="1:11" hidden="1" outlineLevel="2" x14ac:dyDescent="0.35">
      <c r="A1483" t="s">
        <v>3115</v>
      </c>
      <c r="B1483" s="1">
        <v>45735</v>
      </c>
      <c r="C1483" t="str">
        <f>"357"</f>
        <v>357</v>
      </c>
      <c r="D1483" t="s">
        <v>4676</v>
      </c>
      <c r="E1483" t="str">
        <f>"183695"</f>
        <v>183695</v>
      </c>
      <c r="F1483" t="str">
        <f t="shared" si="25"/>
        <v>33200000</v>
      </c>
      <c r="H1483" t="s">
        <v>4677</v>
      </c>
      <c r="K1483" s="4">
        <v>3178</v>
      </c>
    </row>
    <row r="1484" spans="1:11" hidden="1" outlineLevel="2" x14ac:dyDescent="0.35">
      <c r="A1484" t="s">
        <v>3115</v>
      </c>
      <c r="B1484" s="1">
        <v>45735</v>
      </c>
      <c r="C1484" t="str">
        <f>"358"</f>
        <v>358</v>
      </c>
      <c r="D1484" t="s">
        <v>4678</v>
      </c>
      <c r="E1484" t="str">
        <f>"183517"</f>
        <v>183517</v>
      </c>
      <c r="F1484" t="str">
        <f t="shared" si="25"/>
        <v>33200000</v>
      </c>
      <c r="H1484" t="s">
        <v>4679</v>
      </c>
      <c r="K1484" s="4">
        <v>74911</v>
      </c>
    </row>
    <row r="1485" spans="1:11" hidden="1" outlineLevel="2" x14ac:dyDescent="0.35">
      <c r="A1485" t="s">
        <v>3115</v>
      </c>
      <c r="B1485" s="1">
        <v>45735</v>
      </c>
      <c r="C1485" t="str">
        <f>"360"</f>
        <v>360</v>
      </c>
      <c r="D1485" t="s">
        <v>4682</v>
      </c>
      <c r="E1485" t="str">
        <f>"183516"</f>
        <v>183516</v>
      </c>
      <c r="F1485" t="str">
        <f t="shared" si="25"/>
        <v>33200000</v>
      </c>
      <c r="H1485" t="s">
        <v>4683</v>
      </c>
      <c r="K1485" s="4">
        <v>252217</v>
      </c>
    </row>
    <row r="1486" spans="1:11" hidden="1" outlineLevel="2" x14ac:dyDescent="0.35">
      <c r="A1486" t="s">
        <v>3115</v>
      </c>
      <c r="B1486" s="1">
        <v>45735</v>
      </c>
      <c r="C1486" t="str">
        <f>"361"</f>
        <v>361</v>
      </c>
      <c r="D1486" t="s">
        <v>4684</v>
      </c>
      <c r="E1486" t="str">
        <f>"183515"</f>
        <v>183515</v>
      </c>
      <c r="F1486" t="str">
        <f t="shared" si="25"/>
        <v>33200000</v>
      </c>
      <c r="H1486" t="s">
        <v>4685</v>
      </c>
      <c r="K1486" s="4">
        <v>3214</v>
      </c>
    </row>
    <row r="1487" spans="1:11" hidden="1" outlineLevel="2" x14ac:dyDescent="0.35">
      <c r="A1487" t="s">
        <v>3115</v>
      </c>
      <c r="B1487" s="1">
        <v>45735</v>
      </c>
      <c r="C1487" t="str">
        <f>"361"</f>
        <v>361</v>
      </c>
      <c r="D1487" t="s">
        <v>4684</v>
      </c>
      <c r="E1487" t="str">
        <f>"183515"</f>
        <v>183515</v>
      </c>
      <c r="F1487" t="str">
        <f t="shared" si="25"/>
        <v>33200000</v>
      </c>
      <c r="H1487" t="s">
        <v>4685</v>
      </c>
      <c r="K1487" s="4">
        <v>181701</v>
      </c>
    </row>
    <row r="1488" spans="1:11" hidden="1" outlineLevel="2" x14ac:dyDescent="0.35">
      <c r="A1488" t="s">
        <v>3115</v>
      </c>
      <c r="B1488" s="1">
        <v>45735</v>
      </c>
      <c r="C1488" t="str">
        <f>"362"</f>
        <v>362</v>
      </c>
      <c r="D1488" t="s">
        <v>4686</v>
      </c>
      <c r="E1488" t="str">
        <f>"182093"</f>
        <v>182093</v>
      </c>
      <c r="F1488" t="str">
        <f t="shared" si="25"/>
        <v>33200000</v>
      </c>
      <c r="H1488" t="s">
        <v>4687</v>
      </c>
      <c r="K1488" s="4">
        <v>5040</v>
      </c>
    </row>
    <row r="1489" spans="1:11" hidden="1" outlineLevel="2" x14ac:dyDescent="0.35">
      <c r="A1489" t="s">
        <v>3115</v>
      </c>
      <c r="B1489" s="1">
        <v>45735</v>
      </c>
      <c r="C1489" t="str">
        <f>"363"</f>
        <v>363</v>
      </c>
      <c r="D1489" t="s">
        <v>4688</v>
      </c>
      <c r="E1489" t="str">
        <f>"183251"</f>
        <v>183251</v>
      </c>
      <c r="F1489" t="str">
        <f t="shared" si="25"/>
        <v>33200000</v>
      </c>
      <c r="H1489" t="s">
        <v>4689</v>
      </c>
      <c r="K1489" s="4">
        <v>5000</v>
      </c>
    </row>
    <row r="1490" spans="1:11" hidden="1" outlineLevel="2" x14ac:dyDescent="0.35">
      <c r="A1490" t="s">
        <v>3115</v>
      </c>
      <c r="B1490" s="1">
        <v>45735</v>
      </c>
      <c r="C1490" t="str">
        <f>"364"</f>
        <v>364</v>
      </c>
      <c r="D1490" t="s">
        <v>4690</v>
      </c>
      <c r="E1490" t="str">
        <f>"182012"</f>
        <v>182012</v>
      </c>
      <c r="F1490" t="str">
        <f t="shared" si="25"/>
        <v>33200000</v>
      </c>
      <c r="H1490" t="s">
        <v>4691</v>
      </c>
      <c r="K1490" s="4">
        <v>250000</v>
      </c>
    </row>
    <row r="1491" spans="1:11" hidden="1" outlineLevel="2" x14ac:dyDescent="0.35">
      <c r="A1491" t="s">
        <v>3115</v>
      </c>
      <c r="B1491" s="1">
        <v>45735</v>
      </c>
      <c r="C1491" t="str">
        <f>"365"</f>
        <v>365</v>
      </c>
      <c r="D1491" t="s">
        <v>4692</v>
      </c>
      <c r="E1491" t="str">
        <f>"176314"</f>
        <v>176314</v>
      </c>
      <c r="F1491" t="str">
        <f t="shared" si="25"/>
        <v>33200000</v>
      </c>
      <c r="H1491" t="s">
        <v>4693</v>
      </c>
      <c r="K1491" s="4">
        <v>180000</v>
      </c>
    </row>
    <row r="1492" spans="1:11" hidden="1" outlineLevel="2" x14ac:dyDescent="0.35">
      <c r="A1492" t="s">
        <v>3115</v>
      </c>
      <c r="B1492" s="1">
        <v>45735</v>
      </c>
      <c r="C1492" t="str">
        <f>"366"</f>
        <v>366</v>
      </c>
      <c r="D1492" t="s">
        <v>4694</v>
      </c>
      <c r="E1492" t="str">
        <f>"181902"</f>
        <v>181902</v>
      </c>
      <c r="F1492" t="str">
        <f t="shared" si="25"/>
        <v>33200000</v>
      </c>
      <c r="H1492" t="s">
        <v>4695</v>
      </c>
      <c r="K1492" s="4">
        <v>80000</v>
      </c>
    </row>
    <row r="1493" spans="1:11" hidden="1" outlineLevel="2" x14ac:dyDescent="0.35">
      <c r="A1493" t="s">
        <v>3115</v>
      </c>
      <c r="B1493" s="1">
        <v>45735</v>
      </c>
      <c r="C1493" t="str">
        <f>"367"</f>
        <v>367</v>
      </c>
      <c r="D1493" t="s">
        <v>4696</v>
      </c>
      <c r="E1493" t="str">
        <f>"181884"</f>
        <v>181884</v>
      </c>
      <c r="F1493" t="str">
        <f t="shared" si="25"/>
        <v>33200000</v>
      </c>
      <c r="H1493" t="s">
        <v>4697</v>
      </c>
      <c r="K1493" s="4">
        <v>5000</v>
      </c>
    </row>
    <row r="1494" spans="1:11" hidden="1" outlineLevel="2" x14ac:dyDescent="0.35">
      <c r="A1494" t="s">
        <v>3115</v>
      </c>
      <c r="B1494" s="1">
        <v>45735</v>
      </c>
      <c r="C1494" t="str">
        <f>"368"</f>
        <v>368</v>
      </c>
      <c r="D1494" t="s">
        <v>4698</v>
      </c>
      <c r="E1494" t="str">
        <f>"181881"</f>
        <v>181881</v>
      </c>
      <c r="F1494" t="str">
        <f t="shared" si="25"/>
        <v>33200000</v>
      </c>
      <c r="H1494" t="s">
        <v>4699</v>
      </c>
      <c r="K1494" s="4">
        <v>5000</v>
      </c>
    </row>
    <row r="1495" spans="1:11" hidden="1" outlineLevel="2" x14ac:dyDescent="0.35">
      <c r="A1495" t="s">
        <v>3115</v>
      </c>
      <c r="B1495" s="1">
        <v>45735</v>
      </c>
      <c r="C1495" t="str">
        <f>"369"</f>
        <v>369</v>
      </c>
      <c r="D1495" t="s">
        <v>4700</v>
      </c>
      <c r="E1495" t="str">
        <f>"181886"</f>
        <v>181886</v>
      </c>
      <c r="F1495" t="str">
        <f t="shared" si="25"/>
        <v>33200000</v>
      </c>
      <c r="H1495" t="s">
        <v>4701</v>
      </c>
      <c r="K1495" s="4">
        <v>5000</v>
      </c>
    </row>
    <row r="1496" spans="1:11" hidden="1" outlineLevel="2" x14ac:dyDescent="0.35">
      <c r="A1496" t="s">
        <v>3115</v>
      </c>
      <c r="B1496" s="1">
        <v>45735</v>
      </c>
      <c r="C1496" t="str">
        <f>"370"</f>
        <v>370</v>
      </c>
      <c r="D1496" t="s">
        <v>4702</v>
      </c>
      <c r="E1496" t="str">
        <f>"183481"</f>
        <v>183481</v>
      </c>
      <c r="F1496" t="str">
        <f t="shared" si="25"/>
        <v>33200000</v>
      </c>
      <c r="H1496" t="s">
        <v>4703</v>
      </c>
      <c r="K1496" s="4">
        <v>546</v>
      </c>
    </row>
    <row r="1497" spans="1:11" hidden="1" outlineLevel="2" x14ac:dyDescent="0.35">
      <c r="A1497" t="s">
        <v>3115</v>
      </c>
      <c r="B1497" s="1">
        <v>45735</v>
      </c>
      <c r="C1497" t="str">
        <f>"371"</f>
        <v>371</v>
      </c>
      <c r="D1497" t="s">
        <v>4704</v>
      </c>
      <c r="E1497" t="str">
        <f>"181883"</f>
        <v>181883</v>
      </c>
      <c r="F1497" t="str">
        <f t="shared" si="25"/>
        <v>33200000</v>
      </c>
      <c r="H1497" t="s">
        <v>4705</v>
      </c>
      <c r="K1497" s="4">
        <v>5000</v>
      </c>
    </row>
    <row r="1498" spans="1:11" hidden="1" outlineLevel="2" x14ac:dyDescent="0.35">
      <c r="A1498" t="s">
        <v>3115</v>
      </c>
      <c r="B1498" s="1">
        <v>45735</v>
      </c>
      <c r="C1498" t="str">
        <f>"373"</f>
        <v>373</v>
      </c>
      <c r="D1498" t="s">
        <v>4708</v>
      </c>
      <c r="E1498" t="str">
        <f>"183694"</f>
        <v>183694</v>
      </c>
      <c r="F1498" t="str">
        <f t="shared" si="25"/>
        <v>33200000</v>
      </c>
      <c r="H1498" t="s">
        <v>4709</v>
      </c>
      <c r="K1498" s="4">
        <v>6356</v>
      </c>
    </row>
    <row r="1499" spans="1:11" hidden="1" outlineLevel="2" x14ac:dyDescent="0.35">
      <c r="A1499" t="s">
        <v>3115</v>
      </c>
      <c r="B1499" s="1">
        <v>45735</v>
      </c>
      <c r="C1499" t="str">
        <f>"376"</f>
        <v>376</v>
      </c>
      <c r="D1499" t="s">
        <v>4714</v>
      </c>
      <c r="E1499" t="str">
        <f>"181882"</f>
        <v>181882</v>
      </c>
      <c r="F1499" t="str">
        <f t="shared" si="25"/>
        <v>33200000</v>
      </c>
      <c r="H1499" t="s">
        <v>4715</v>
      </c>
      <c r="K1499" s="4">
        <v>5000</v>
      </c>
    </row>
    <row r="1500" spans="1:11" hidden="1" outlineLevel="2" x14ac:dyDescent="0.35">
      <c r="A1500" t="s">
        <v>3115</v>
      </c>
      <c r="B1500" s="1">
        <v>45735</v>
      </c>
      <c r="C1500" t="str">
        <f>"377"</f>
        <v>377</v>
      </c>
      <c r="D1500" t="s">
        <v>4716</v>
      </c>
      <c r="E1500" t="str">
        <f>"181113"</f>
        <v>181113</v>
      </c>
      <c r="F1500" t="str">
        <f t="shared" si="25"/>
        <v>33200000</v>
      </c>
      <c r="H1500" t="s">
        <v>4717</v>
      </c>
      <c r="K1500" s="4">
        <v>70000</v>
      </c>
    </row>
    <row r="1501" spans="1:11" hidden="1" outlineLevel="2" x14ac:dyDescent="0.35">
      <c r="A1501" t="s">
        <v>3115</v>
      </c>
      <c r="B1501" s="1">
        <v>45735</v>
      </c>
      <c r="C1501" t="str">
        <f>"378"</f>
        <v>378</v>
      </c>
      <c r="D1501" t="s">
        <v>4718</v>
      </c>
      <c r="E1501" t="str">
        <f>"181199"</f>
        <v>181199</v>
      </c>
      <c r="F1501" t="str">
        <f t="shared" si="25"/>
        <v>33200000</v>
      </c>
      <c r="H1501" t="s">
        <v>4719</v>
      </c>
      <c r="K1501" s="4">
        <v>18000</v>
      </c>
    </row>
    <row r="1502" spans="1:11" hidden="1" outlineLevel="2" x14ac:dyDescent="0.35">
      <c r="A1502" t="s">
        <v>3115</v>
      </c>
      <c r="B1502" s="1">
        <v>45735</v>
      </c>
      <c r="C1502" t="str">
        <f>"379"</f>
        <v>379</v>
      </c>
      <c r="D1502" t="s">
        <v>4720</v>
      </c>
      <c r="E1502" t="str">
        <f>"182227"</f>
        <v>182227</v>
      </c>
      <c r="F1502" t="str">
        <f t="shared" si="25"/>
        <v>33200000</v>
      </c>
      <c r="H1502" t="s">
        <v>4721</v>
      </c>
      <c r="K1502" s="4">
        <v>18</v>
      </c>
    </row>
    <row r="1503" spans="1:11" hidden="1" outlineLevel="2" x14ac:dyDescent="0.35">
      <c r="A1503" t="s">
        <v>3115</v>
      </c>
      <c r="B1503" s="1">
        <v>45735</v>
      </c>
      <c r="C1503" t="str">
        <f>"380"</f>
        <v>380</v>
      </c>
      <c r="D1503" t="s">
        <v>4722</v>
      </c>
      <c r="E1503" t="str">
        <f>"181137"</f>
        <v>181137</v>
      </c>
      <c r="F1503" t="str">
        <f t="shared" si="25"/>
        <v>33200000</v>
      </c>
      <c r="H1503" t="s">
        <v>4723</v>
      </c>
      <c r="K1503" s="4">
        <v>70000</v>
      </c>
    </row>
    <row r="1504" spans="1:11" hidden="1" outlineLevel="2" x14ac:dyDescent="0.35">
      <c r="A1504" t="s">
        <v>3115</v>
      </c>
      <c r="B1504" s="1">
        <v>45735</v>
      </c>
      <c r="C1504" t="str">
        <f>"381"</f>
        <v>381</v>
      </c>
      <c r="D1504" t="s">
        <v>4724</v>
      </c>
      <c r="E1504" t="str">
        <f>"182228"</f>
        <v>182228</v>
      </c>
      <c r="F1504" t="str">
        <f t="shared" si="25"/>
        <v>33200000</v>
      </c>
      <c r="H1504" t="s">
        <v>4725</v>
      </c>
      <c r="K1504" s="4">
        <v>2500</v>
      </c>
    </row>
    <row r="1505" spans="1:11" hidden="1" outlineLevel="2" x14ac:dyDescent="0.35">
      <c r="A1505" t="s">
        <v>3115</v>
      </c>
      <c r="B1505" s="1">
        <v>45735</v>
      </c>
      <c r="C1505" t="str">
        <f>"382"</f>
        <v>382</v>
      </c>
      <c r="D1505" t="s">
        <v>4726</v>
      </c>
      <c r="E1505" t="str">
        <f>"181921"</f>
        <v>181921</v>
      </c>
      <c r="F1505" t="str">
        <f t="shared" si="25"/>
        <v>33200000</v>
      </c>
      <c r="H1505" t="s">
        <v>4727</v>
      </c>
      <c r="K1505" s="4">
        <v>600</v>
      </c>
    </row>
    <row r="1506" spans="1:11" hidden="1" outlineLevel="2" x14ac:dyDescent="0.35">
      <c r="A1506" t="s">
        <v>3115</v>
      </c>
      <c r="B1506" s="1">
        <v>45735</v>
      </c>
      <c r="C1506" t="str">
        <f>"383"</f>
        <v>383</v>
      </c>
      <c r="D1506" t="s">
        <v>4728</v>
      </c>
      <c r="E1506" t="str">
        <f>"180487"</f>
        <v>180487</v>
      </c>
      <c r="F1506" t="str">
        <f t="shared" si="25"/>
        <v>33200000</v>
      </c>
      <c r="H1506" t="s">
        <v>4729</v>
      </c>
      <c r="K1506" s="4">
        <v>51</v>
      </c>
    </row>
    <row r="1507" spans="1:11" hidden="1" outlineLevel="2" x14ac:dyDescent="0.35">
      <c r="A1507" t="s">
        <v>3115</v>
      </c>
      <c r="B1507" s="1">
        <v>45735</v>
      </c>
      <c r="C1507" t="str">
        <f>"384"</f>
        <v>384</v>
      </c>
      <c r="D1507" t="s">
        <v>4730</v>
      </c>
      <c r="E1507" t="str">
        <f>"182071"</f>
        <v>182071</v>
      </c>
      <c r="F1507" t="str">
        <f t="shared" si="25"/>
        <v>33200000</v>
      </c>
      <c r="H1507" t="s">
        <v>4731</v>
      </c>
      <c r="K1507" s="4">
        <v>65000</v>
      </c>
    </row>
    <row r="1508" spans="1:11" hidden="1" outlineLevel="2" x14ac:dyDescent="0.35">
      <c r="A1508" t="s">
        <v>3115</v>
      </c>
      <c r="B1508" s="1">
        <v>45735</v>
      </c>
      <c r="C1508" t="str">
        <f>"385"</f>
        <v>385</v>
      </c>
      <c r="D1508" t="s">
        <v>4732</v>
      </c>
      <c r="E1508" t="str">
        <f>"183273"</f>
        <v>183273</v>
      </c>
      <c r="F1508" t="str">
        <f t="shared" si="25"/>
        <v>33200000</v>
      </c>
      <c r="H1508" t="s">
        <v>4733</v>
      </c>
      <c r="K1508" s="4">
        <v>30000</v>
      </c>
    </row>
    <row r="1509" spans="1:11" hidden="1" outlineLevel="2" x14ac:dyDescent="0.35">
      <c r="A1509" t="s">
        <v>3115</v>
      </c>
      <c r="B1509" s="1">
        <v>45735</v>
      </c>
      <c r="C1509" t="str">
        <f>"386"</f>
        <v>386</v>
      </c>
      <c r="D1509" t="s">
        <v>4734</v>
      </c>
      <c r="E1509" t="str">
        <f>"183555"</f>
        <v>183555</v>
      </c>
      <c r="F1509" t="str">
        <f t="shared" si="25"/>
        <v>33200000</v>
      </c>
      <c r="H1509" t="s">
        <v>4735</v>
      </c>
      <c r="K1509" s="4">
        <v>65000</v>
      </c>
    </row>
    <row r="1510" spans="1:11" hidden="1" outlineLevel="2" x14ac:dyDescent="0.35">
      <c r="A1510" t="s">
        <v>3115</v>
      </c>
      <c r="B1510" s="1">
        <v>45735</v>
      </c>
      <c r="C1510" t="str">
        <f>"387"</f>
        <v>387</v>
      </c>
      <c r="D1510" t="s">
        <v>4736</v>
      </c>
      <c r="E1510" t="str">
        <f>"181919"</f>
        <v>181919</v>
      </c>
      <c r="F1510" t="str">
        <f t="shared" si="25"/>
        <v>33200000</v>
      </c>
      <c r="H1510" t="s">
        <v>4737</v>
      </c>
      <c r="K1510" s="4">
        <v>600</v>
      </c>
    </row>
    <row r="1511" spans="1:11" hidden="1" outlineLevel="2" x14ac:dyDescent="0.35">
      <c r="A1511" t="s">
        <v>3115</v>
      </c>
      <c r="B1511" s="1">
        <v>45735</v>
      </c>
      <c r="C1511" t="str">
        <f>"389"</f>
        <v>389</v>
      </c>
      <c r="D1511" t="s">
        <v>4740</v>
      </c>
      <c r="E1511" t="str">
        <f>"182011"</f>
        <v>182011</v>
      </c>
      <c r="F1511" t="str">
        <f t="shared" si="25"/>
        <v>33200000</v>
      </c>
      <c r="H1511" t="s">
        <v>4741</v>
      </c>
      <c r="K1511" s="4">
        <v>45000</v>
      </c>
    </row>
    <row r="1512" spans="1:11" hidden="1" outlineLevel="2" x14ac:dyDescent="0.35">
      <c r="A1512" t="s">
        <v>3115</v>
      </c>
      <c r="B1512" s="1">
        <v>45735</v>
      </c>
      <c r="C1512" t="str">
        <f>"392"</f>
        <v>392</v>
      </c>
      <c r="D1512" t="s">
        <v>4746</v>
      </c>
      <c r="E1512" t="str">
        <f>"181915"</f>
        <v>181915</v>
      </c>
      <c r="F1512" t="str">
        <f t="shared" si="25"/>
        <v>33200000</v>
      </c>
      <c r="H1512" t="s">
        <v>4747</v>
      </c>
      <c r="K1512" s="4">
        <v>330000</v>
      </c>
    </row>
    <row r="1513" spans="1:11" hidden="1" outlineLevel="2" x14ac:dyDescent="0.35">
      <c r="A1513" t="s">
        <v>3115</v>
      </c>
      <c r="B1513" s="1">
        <v>45735</v>
      </c>
      <c r="C1513" t="str">
        <f>"394"</f>
        <v>394</v>
      </c>
      <c r="D1513" t="s">
        <v>4750</v>
      </c>
      <c r="E1513" t="str">
        <f>"183556"</f>
        <v>183556</v>
      </c>
      <c r="F1513" t="str">
        <f t="shared" si="25"/>
        <v>33200000</v>
      </c>
      <c r="H1513" t="s">
        <v>4751</v>
      </c>
      <c r="K1513" s="4">
        <v>3500</v>
      </c>
    </row>
    <row r="1514" spans="1:11" hidden="1" outlineLevel="2" x14ac:dyDescent="0.35">
      <c r="A1514" t="s">
        <v>3115</v>
      </c>
      <c r="B1514" s="1">
        <v>45735</v>
      </c>
      <c r="C1514" t="str">
        <f>"396"</f>
        <v>396</v>
      </c>
      <c r="D1514" t="s">
        <v>4754</v>
      </c>
      <c r="E1514" t="str">
        <f>"181975"</f>
        <v>181975</v>
      </c>
      <c r="F1514" t="str">
        <f t="shared" si="25"/>
        <v>33200000</v>
      </c>
      <c r="H1514" t="s">
        <v>4755</v>
      </c>
      <c r="K1514" s="4">
        <v>300000</v>
      </c>
    </row>
    <row r="1515" spans="1:11" hidden="1" outlineLevel="2" x14ac:dyDescent="0.35">
      <c r="A1515" t="s">
        <v>3115</v>
      </c>
      <c r="B1515" s="1">
        <v>45735</v>
      </c>
      <c r="C1515" t="str">
        <f>"397"</f>
        <v>397</v>
      </c>
      <c r="D1515" t="s">
        <v>4756</v>
      </c>
      <c r="E1515" t="str">
        <f>"183278"</f>
        <v>183278</v>
      </c>
      <c r="F1515" t="str">
        <f t="shared" si="25"/>
        <v>33200000</v>
      </c>
      <c r="H1515" t="s">
        <v>4757</v>
      </c>
      <c r="K1515" s="4">
        <v>60000</v>
      </c>
    </row>
    <row r="1516" spans="1:11" hidden="1" outlineLevel="2" x14ac:dyDescent="0.35">
      <c r="A1516" t="s">
        <v>3115</v>
      </c>
      <c r="B1516" s="1">
        <v>45735</v>
      </c>
      <c r="C1516" t="str">
        <f>"398"</f>
        <v>398</v>
      </c>
      <c r="D1516" t="s">
        <v>4758</v>
      </c>
      <c r="E1516" t="str">
        <f>"181738"</f>
        <v>181738</v>
      </c>
      <c r="F1516" t="str">
        <f t="shared" si="25"/>
        <v>33200000</v>
      </c>
      <c r="H1516" t="s">
        <v>4759</v>
      </c>
      <c r="K1516" s="4">
        <v>80000</v>
      </c>
    </row>
    <row r="1517" spans="1:11" hidden="1" outlineLevel="2" x14ac:dyDescent="0.35">
      <c r="A1517" t="s">
        <v>3115</v>
      </c>
      <c r="B1517" s="1">
        <v>45735</v>
      </c>
      <c r="C1517" t="str">
        <f>"399"</f>
        <v>399</v>
      </c>
      <c r="D1517" t="s">
        <v>4760</v>
      </c>
      <c r="E1517" t="str">
        <f>"183515"</f>
        <v>183515</v>
      </c>
      <c r="F1517" t="str">
        <f t="shared" si="25"/>
        <v>33200000</v>
      </c>
      <c r="H1517" t="s">
        <v>4761</v>
      </c>
      <c r="K1517" s="4">
        <v>3214</v>
      </c>
    </row>
    <row r="1518" spans="1:11" hidden="1" outlineLevel="2" x14ac:dyDescent="0.35">
      <c r="A1518" t="s">
        <v>3115</v>
      </c>
      <c r="B1518" s="1">
        <v>45735</v>
      </c>
      <c r="C1518" t="str">
        <f>"399"</f>
        <v>399</v>
      </c>
      <c r="D1518" t="s">
        <v>4760</v>
      </c>
      <c r="E1518" t="str">
        <f>"183515"</f>
        <v>183515</v>
      </c>
      <c r="F1518" t="str">
        <f t="shared" si="25"/>
        <v>33200000</v>
      </c>
      <c r="H1518" t="s">
        <v>4761</v>
      </c>
      <c r="K1518" s="4">
        <v>38439</v>
      </c>
    </row>
    <row r="1519" spans="1:11" hidden="1" outlineLevel="2" x14ac:dyDescent="0.35">
      <c r="A1519" t="s">
        <v>3115</v>
      </c>
      <c r="B1519" s="1">
        <v>45735</v>
      </c>
      <c r="C1519" t="str">
        <f>"400"</f>
        <v>400</v>
      </c>
      <c r="D1519" t="s">
        <v>4762</v>
      </c>
      <c r="E1519" t="str">
        <f>"182073"</f>
        <v>182073</v>
      </c>
      <c r="F1519" t="str">
        <f t="shared" si="25"/>
        <v>33200000</v>
      </c>
      <c r="H1519" t="s">
        <v>4763</v>
      </c>
      <c r="K1519" s="4">
        <v>5000</v>
      </c>
    </row>
    <row r="1520" spans="1:11" hidden="1" outlineLevel="2" x14ac:dyDescent="0.35">
      <c r="A1520" t="s">
        <v>3115</v>
      </c>
      <c r="B1520" s="1">
        <v>45735</v>
      </c>
      <c r="C1520" t="str">
        <f>"402"</f>
        <v>402</v>
      </c>
      <c r="D1520" t="s">
        <v>4766</v>
      </c>
      <c r="E1520" t="str">
        <f>"181737"</f>
        <v>181737</v>
      </c>
      <c r="F1520" t="str">
        <f t="shared" si="25"/>
        <v>33200000</v>
      </c>
      <c r="H1520" t="s">
        <v>4767</v>
      </c>
      <c r="K1520" s="4">
        <v>80000</v>
      </c>
    </row>
    <row r="1521" spans="1:11" hidden="1" outlineLevel="2" x14ac:dyDescent="0.35">
      <c r="A1521" t="s">
        <v>3115</v>
      </c>
      <c r="B1521" s="1">
        <v>45735</v>
      </c>
      <c r="C1521" t="str">
        <f>"403"</f>
        <v>403</v>
      </c>
      <c r="D1521" t="s">
        <v>4768</v>
      </c>
      <c r="E1521" t="str">
        <f>"180769"</f>
        <v>180769</v>
      </c>
      <c r="F1521" t="str">
        <f t="shared" si="25"/>
        <v>33200000</v>
      </c>
      <c r="H1521" t="s">
        <v>4769</v>
      </c>
      <c r="K1521" s="4">
        <v>130000</v>
      </c>
    </row>
    <row r="1522" spans="1:11" hidden="1" outlineLevel="2" x14ac:dyDescent="0.35">
      <c r="A1522" t="s">
        <v>3115</v>
      </c>
      <c r="B1522" s="1">
        <v>45735</v>
      </c>
      <c r="C1522" t="str">
        <f>"404"</f>
        <v>404</v>
      </c>
      <c r="D1522" t="s">
        <v>4770</v>
      </c>
      <c r="E1522" t="str">
        <f>"181116"</f>
        <v>181116</v>
      </c>
      <c r="F1522" t="str">
        <f t="shared" ref="F1522:F1585" si="26">"33200000"</f>
        <v>33200000</v>
      </c>
      <c r="H1522" t="s">
        <v>4771</v>
      </c>
      <c r="K1522" s="4">
        <v>70000</v>
      </c>
    </row>
    <row r="1523" spans="1:11" hidden="1" outlineLevel="2" x14ac:dyDescent="0.35">
      <c r="A1523" t="s">
        <v>3115</v>
      </c>
      <c r="B1523" s="1">
        <v>45735</v>
      </c>
      <c r="C1523" t="str">
        <f>"405"</f>
        <v>405</v>
      </c>
      <c r="D1523" t="s">
        <v>4772</v>
      </c>
      <c r="E1523" t="str">
        <f>"181112"</f>
        <v>181112</v>
      </c>
      <c r="F1523" t="str">
        <f t="shared" si="26"/>
        <v>33200000</v>
      </c>
      <c r="H1523" t="s">
        <v>4773</v>
      </c>
      <c r="K1523" s="4">
        <v>70000</v>
      </c>
    </row>
    <row r="1524" spans="1:11" hidden="1" outlineLevel="2" x14ac:dyDescent="0.35">
      <c r="A1524" t="s">
        <v>3115</v>
      </c>
      <c r="B1524" s="1">
        <v>45735</v>
      </c>
      <c r="C1524" t="str">
        <f>"485"</f>
        <v>485</v>
      </c>
      <c r="D1524" t="s">
        <v>4774</v>
      </c>
      <c r="E1524" t="str">
        <f>"183401"</f>
        <v>183401</v>
      </c>
      <c r="F1524" t="str">
        <f t="shared" si="26"/>
        <v>33200000</v>
      </c>
      <c r="H1524" t="s">
        <v>4775</v>
      </c>
      <c r="K1524" s="4">
        <v>903000</v>
      </c>
    </row>
    <row r="1525" spans="1:11" hidden="1" outlineLevel="2" x14ac:dyDescent="0.35">
      <c r="A1525" t="s">
        <v>3115</v>
      </c>
      <c r="B1525" s="1">
        <v>45735</v>
      </c>
      <c r="C1525" t="str">
        <f>"486"</f>
        <v>486</v>
      </c>
      <c r="D1525" t="s">
        <v>4776</v>
      </c>
      <c r="E1525" t="str">
        <f>"181830"</f>
        <v>181830</v>
      </c>
      <c r="F1525" t="str">
        <f t="shared" si="26"/>
        <v>33200000</v>
      </c>
      <c r="H1525" t="s">
        <v>4777</v>
      </c>
      <c r="K1525" s="4">
        <v>1600000</v>
      </c>
    </row>
    <row r="1526" spans="1:11" hidden="1" outlineLevel="2" x14ac:dyDescent="0.35">
      <c r="A1526" t="s">
        <v>3115</v>
      </c>
      <c r="B1526" s="1">
        <v>45735</v>
      </c>
      <c r="C1526" t="str">
        <f>"487"</f>
        <v>487</v>
      </c>
      <c r="D1526" t="s">
        <v>4778</v>
      </c>
      <c r="E1526" t="str">
        <f>"181733"</f>
        <v>181733</v>
      </c>
      <c r="F1526" t="str">
        <f t="shared" si="26"/>
        <v>33200000</v>
      </c>
      <c r="H1526" t="s">
        <v>4779</v>
      </c>
      <c r="K1526" s="4">
        <v>70000</v>
      </c>
    </row>
    <row r="1527" spans="1:11" hidden="1" outlineLevel="2" x14ac:dyDescent="0.35">
      <c r="A1527" t="s">
        <v>3115</v>
      </c>
      <c r="B1527" s="1">
        <v>45735</v>
      </c>
      <c r="C1527" t="str">
        <f>"488"</f>
        <v>488</v>
      </c>
      <c r="D1527" t="s">
        <v>4780</v>
      </c>
      <c r="E1527" t="str">
        <f>"180840"</f>
        <v>180840</v>
      </c>
      <c r="F1527" t="str">
        <f t="shared" si="26"/>
        <v>33200000</v>
      </c>
      <c r="H1527" t="s">
        <v>4781</v>
      </c>
      <c r="K1527" s="4">
        <v>20000</v>
      </c>
    </row>
    <row r="1528" spans="1:11" hidden="1" outlineLevel="2" x14ac:dyDescent="0.35">
      <c r="A1528" t="s">
        <v>3115</v>
      </c>
      <c r="B1528" s="1">
        <v>45735</v>
      </c>
      <c r="C1528" t="str">
        <f>"489"</f>
        <v>489</v>
      </c>
      <c r="D1528" t="s">
        <v>4782</v>
      </c>
      <c r="E1528" t="str">
        <f>"181828"</f>
        <v>181828</v>
      </c>
      <c r="F1528" t="str">
        <f t="shared" si="26"/>
        <v>33200000</v>
      </c>
      <c r="H1528" t="s">
        <v>4783</v>
      </c>
      <c r="K1528" s="4">
        <v>150000</v>
      </c>
    </row>
    <row r="1529" spans="1:11" hidden="1" outlineLevel="2" x14ac:dyDescent="0.35">
      <c r="A1529" t="s">
        <v>3115</v>
      </c>
      <c r="B1529" s="1">
        <v>45735</v>
      </c>
      <c r="C1529" t="str">
        <f>"490"</f>
        <v>490</v>
      </c>
      <c r="D1529" t="s">
        <v>4784</v>
      </c>
      <c r="E1529" t="str">
        <f>"181829"</f>
        <v>181829</v>
      </c>
      <c r="F1529" t="str">
        <f t="shared" si="26"/>
        <v>33200000</v>
      </c>
      <c r="H1529" t="s">
        <v>4785</v>
      </c>
      <c r="K1529" s="4">
        <v>140000</v>
      </c>
    </row>
    <row r="1530" spans="1:11" hidden="1" outlineLevel="2" x14ac:dyDescent="0.35">
      <c r="A1530" t="s">
        <v>3115</v>
      </c>
      <c r="B1530" s="1">
        <v>45735</v>
      </c>
      <c r="C1530" t="str">
        <f>"491"</f>
        <v>491</v>
      </c>
      <c r="D1530" t="s">
        <v>4786</v>
      </c>
      <c r="E1530" t="str">
        <f>"181831"</f>
        <v>181831</v>
      </c>
      <c r="F1530" t="str">
        <f t="shared" si="26"/>
        <v>33200000</v>
      </c>
      <c r="H1530" t="s">
        <v>4787</v>
      </c>
      <c r="K1530" s="4">
        <v>75000</v>
      </c>
    </row>
    <row r="1531" spans="1:11" hidden="1" outlineLevel="2" x14ac:dyDescent="0.35">
      <c r="A1531" t="s">
        <v>3115</v>
      </c>
      <c r="B1531" s="1">
        <v>45735</v>
      </c>
      <c r="C1531" t="str">
        <f>"492"</f>
        <v>492</v>
      </c>
      <c r="D1531" t="s">
        <v>4788</v>
      </c>
      <c r="E1531" t="str">
        <f>"181736"</f>
        <v>181736</v>
      </c>
      <c r="F1531" t="str">
        <f t="shared" si="26"/>
        <v>33200000</v>
      </c>
      <c r="H1531" t="s">
        <v>4789</v>
      </c>
      <c r="K1531" s="4">
        <v>80000</v>
      </c>
    </row>
    <row r="1532" spans="1:11" hidden="1" outlineLevel="2" x14ac:dyDescent="0.35">
      <c r="A1532" t="s">
        <v>3115</v>
      </c>
      <c r="B1532" s="1">
        <v>45735</v>
      </c>
      <c r="C1532" t="str">
        <f>"493"</f>
        <v>493</v>
      </c>
      <c r="D1532" t="s">
        <v>4790</v>
      </c>
      <c r="E1532" t="str">
        <f>"182069"</f>
        <v>182069</v>
      </c>
      <c r="F1532" t="str">
        <f t="shared" si="26"/>
        <v>33200000</v>
      </c>
      <c r="H1532" t="s">
        <v>4791</v>
      </c>
      <c r="K1532" s="4">
        <v>3500</v>
      </c>
    </row>
    <row r="1533" spans="1:11" hidden="1" outlineLevel="2" x14ac:dyDescent="0.35">
      <c r="A1533" t="s">
        <v>3115</v>
      </c>
      <c r="B1533" s="1">
        <v>45735</v>
      </c>
      <c r="C1533" t="str">
        <f>"494"</f>
        <v>494</v>
      </c>
      <c r="D1533" t="s">
        <v>4792</v>
      </c>
      <c r="E1533" t="str">
        <f>"180068"</f>
        <v>180068</v>
      </c>
      <c r="F1533" t="str">
        <f t="shared" si="26"/>
        <v>33200000</v>
      </c>
      <c r="H1533" t="s">
        <v>4793</v>
      </c>
      <c r="K1533" s="4">
        <v>750000</v>
      </c>
    </row>
    <row r="1534" spans="1:11" hidden="1" outlineLevel="2" x14ac:dyDescent="0.35">
      <c r="A1534" t="s">
        <v>3115</v>
      </c>
      <c r="B1534" s="1">
        <v>45735</v>
      </c>
      <c r="C1534" t="str">
        <f>"495"</f>
        <v>495</v>
      </c>
      <c r="D1534" t="s">
        <v>4794</v>
      </c>
      <c r="E1534" t="str">
        <f>"183301"</f>
        <v>183301</v>
      </c>
      <c r="F1534" t="str">
        <f t="shared" si="26"/>
        <v>33200000</v>
      </c>
      <c r="H1534" t="s">
        <v>4795</v>
      </c>
      <c r="K1534" s="4">
        <v>170000</v>
      </c>
    </row>
    <row r="1535" spans="1:11" hidden="1" outlineLevel="2" x14ac:dyDescent="0.35">
      <c r="A1535" t="s">
        <v>3115</v>
      </c>
      <c r="B1535" s="1">
        <v>45735</v>
      </c>
      <c r="C1535" t="str">
        <f>"496"</f>
        <v>496</v>
      </c>
      <c r="D1535" t="s">
        <v>4796</v>
      </c>
      <c r="E1535" t="str">
        <f>"179892"</f>
        <v>179892</v>
      </c>
      <c r="F1535" t="str">
        <f t="shared" si="26"/>
        <v>33200000</v>
      </c>
      <c r="H1535" t="s">
        <v>4797</v>
      </c>
      <c r="K1535" s="4">
        <v>70000</v>
      </c>
    </row>
    <row r="1536" spans="1:11" hidden="1" outlineLevel="2" x14ac:dyDescent="0.35">
      <c r="A1536" t="s">
        <v>3115</v>
      </c>
      <c r="B1536" s="1">
        <v>45735</v>
      </c>
      <c r="C1536" t="str">
        <f>"497"</f>
        <v>497</v>
      </c>
      <c r="D1536" t="s">
        <v>4798</v>
      </c>
      <c r="E1536" t="str">
        <f>"181836"</f>
        <v>181836</v>
      </c>
      <c r="F1536" t="str">
        <f t="shared" si="26"/>
        <v>33200000</v>
      </c>
      <c r="H1536" t="s">
        <v>4799</v>
      </c>
      <c r="K1536" s="4">
        <v>75000</v>
      </c>
    </row>
    <row r="1537" spans="1:11" hidden="1" outlineLevel="2" x14ac:dyDescent="0.35">
      <c r="A1537" t="s">
        <v>3115</v>
      </c>
      <c r="B1537" s="1">
        <v>45735</v>
      </c>
      <c r="C1537" t="str">
        <f>"498"</f>
        <v>498</v>
      </c>
      <c r="D1537" t="s">
        <v>4800</v>
      </c>
      <c r="E1537" t="str">
        <f>"181897"</f>
        <v>181897</v>
      </c>
      <c r="F1537" t="str">
        <f t="shared" si="26"/>
        <v>33200000</v>
      </c>
      <c r="H1537" t="s">
        <v>4801</v>
      </c>
      <c r="K1537" s="4">
        <v>15000</v>
      </c>
    </row>
    <row r="1538" spans="1:11" hidden="1" outlineLevel="2" x14ac:dyDescent="0.35">
      <c r="A1538" t="s">
        <v>3115</v>
      </c>
      <c r="B1538" s="1">
        <v>45735</v>
      </c>
      <c r="C1538" t="str">
        <f>"499"</f>
        <v>499</v>
      </c>
      <c r="D1538" t="s">
        <v>4802</v>
      </c>
      <c r="E1538" t="str">
        <f>"182092"</f>
        <v>182092</v>
      </c>
      <c r="F1538" t="str">
        <f t="shared" si="26"/>
        <v>33200000</v>
      </c>
      <c r="H1538" t="s">
        <v>4803</v>
      </c>
      <c r="K1538" s="4">
        <v>3673</v>
      </c>
    </row>
    <row r="1539" spans="1:11" hidden="1" outlineLevel="2" x14ac:dyDescent="0.35">
      <c r="A1539" t="s">
        <v>3115</v>
      </c>
      <c r="B1539" s="1">
        <v>45735</v>
      </c>
      <c r="C1539" t="str">
        <f>"500"</f>
        <v>500</v>
      </c>
      <c r="D1539" t="s">
        <v>4804</v>
      </c>
      <c r="E1539" t="str">
        <f>"182227"</f>
        <v>182227</v>
      </c>
      <c r="F1539" t="str">
        <f t="shared" si="26"/>
        <v>33200000</v>
      </c>
      <c r="H1539" t="s">
        <v>4805</v>
      </c>
      <c r="K1539" s="4">
        <v>3149</v>
      </c>
    </row>
    <row r="1540" spans="1:11" hidden="1" outlineLevel="2" x14ac:dyDescent="0.35">
      <c r="A1540" t="s">
        <v>3115</v>
      </c>
      <c r="B1540" s="1">
        <v>45735</v>
      </c>
      <c r="C1540" t="str">
        <f>"501"</f>
        <v>501</v>
      </c>
      <c r="D1540" t="s">
        <v>4806</v>
      </c>
      <c r="E1540" t="str">
        <f>"182228"</f>
        <v>182228</v>
      </c>
      <c r="F1540" t="str">
        <f t="shared" si="26"/>
        <v>33200000</v>
      </c>
      <c r="H1540" t="s">
        <v>4807</v>
      </c>
      <c r="K1540" s="4">
        <v>15941</v>
      </c>
    </row>
    <row r="1541" spans="1:11" hidden="1" outlineLevel="2" x14ac:dyDescent="0.35">
      <c r="A1541" t="s">
        <v>3115</v>
      </c>
      <c r="B1541" s="1">
        <v>45735</v>
      </c>
      <c r="C1541" t="str">
        <f>"502"</f>
        <v>502</v>
      </c>
      <c r="D1541" t="s">
        <v>4808</v>
      </c>
      <c r="E1541" t="str">
        <f>"181734"</f>
        <v>181734</v>
      </c>
      <c r="F1541" t="str">
        <f t="shared" si="26"/>
        <v>33200000</v>
      </c>
      <c r="H1541" t="s">
        <v>4809</v>
      </c>
      <c r="K1541" s="4">
        <v>20000</v>
      </c>
    </row>
    <row r="1542" spans="1:11" hidden="1" outlineLevel="2" x14ac:dyDescent="0.35">
      <c r="A1542" t="s">
        <v>3115</v>
      </c>
      <c r="B1542" s="1">
        <v>45735</v>
      </c>
      <c r="C1542" t="str">
        <f>"503"</f>
        <v>503</v>
      </c>
      <c r="D1542" t="s">
        <v>4810</v>
      </c>
      <c r="E1542" t="str">
        <f>"181837"</f>
        <v>181837</v>
      </c>
      <c r="F1542" t="str">
        <f t="shared" si="26"/>
        <v>33200000</v>
      </c>
      <c r="H1542" t="s">
        <v>4811</v>
      </c>
      <c r="K1542" s="4">
        <v>75000</v>
      </c>
    </row>
    <row r="1543" spans="1:11" hidden="1" outlineLevel="2" x14ac:dyDescent="0.35">
      <c r="A1543" t="s">
        <v>3115</v>
      </c>
      <c r="B1543" s="1">
        <v>45735</v>
      </c>
      <c r="C1543" t="str">
        <f>"504"</f>
        <v>504</v>
      </c>
      <c r="D1543" t="s">
        <v>4812</v>
      </c>
      <c r="E1543" t="str">
        <f>"182128"</f>
        <v>182128</v>
      </c>
      <c r="F1543" t="str">
        <f t="shared" si="26"/>
        <v>33200000</v>
      </c>
      <c r="H1543" t="s">
        <v>4813</v>
      </c>
      <c r="K1543" s="4">
        <v>500000</v>
      </c>
    </row>
    <row r="1544" spans="1:11" hidden="1" outlineLevel="2" x14ac:dyDescent="0.35">
      <c r="A1544" t="s">
        <v>3115</v>
      </c>
      <c r="B1544" s="1">
        <v>45735</v>
      </c>
      <c r="C1544" t="str">
        <f>"505"</f>
        <v>505</v>
      </c>
      <c r="D1544" t="s">
        <v>4814</v>
      </c>
      <c r="E1544" t="str">
        <f>"183272"</f>
        <v>183272</v>
      </c>
      <c r="F1544" t="str">
        <f t="shared" si="26"/>
        <v>33200000</v>
      </c>
      <c r="H1544" t="s">
        <v>4815</v>
      </c>
      <c r="K1544" s="4">
        <v>45000</v>
      </c>
    </row>
    <row r="1545" spans="1:11" hidden="1" outlineLevel="2" x14ac:dyDescent="0.35">
      <c r="A1545" t="s">
        <v>3115</v>
      </c>
      <c r="B1545" s="1">
        <v>45735</v>
      </c>
      <c r="C1545" t="str">
        <f>"506"</f>
        <v>506</v>
      </c>
      <c r="D1545" t="s">
        <v>4816</v>
      </c>
      <c r="E1545" t="str">
        <f>"183265"</f>
        <v>183265</v>
      </c>
      <c r="F1545" t="str">
        <f t="shared" si="26"/>
        <v>33200000</v>
      </c>
      <c r="H1545" t="s">
        <v>4817</v>
      </c>
      <c r="K1545" s="4">
        <v>90000</v>
      </c>
    </row>
    <row r="1546" spans="1:11" hidden="1" outlineLevel="2" x14ac:dyDescent="0.35">
      <c r="A1546" t="s">
        <v>3115</v>
      </c>
      <c r="B1546" s="1">
        <v>45736</v>
      </c>
      <c r="C1546" t="str">
        <f>"306"</f>
        <v>306</v>
      </c>
      <c r="D1546" t="s">
        <v>4818</v>
      </c>
      <c r="E1546" t="str">
        <f>"182229"</f>
        <v>182229</v>
      </c>
      <c r="F1546" t="str">
        <f t="shared" si="26"/>
        <v>33200000</v>
      </c>
      <c r="H1546" t="s">
        <v>4819</v>
      </c>
      <c r="K1546" s="4">
        <v>1100</v>
      </c>
    </row>
    <row r="1547" spans="1:11" hidden="1" outlineLevel="2" x14ac:dyDescent="0.35">
      <c r="A1547" t="s">
        <v>3115</v>
      </c>
      <c r="B1547" s="1">
        <v>45736</v>
      </c>
      <c r="C1547" t="str">
        <f>"308"</f>
        <v>308</v>
      </c>
      <c r="D1547" t="s">
        <v>4822</v>
      </c>
      <c r="E1547" t="str">
        <f>"182232"</f>
        <v>182232</v>
      </c>
      <c r="F1547" t="str">
        <f t="shared" si="26"/>
        <v>33200000</v>
      </c>
      <c r="H1547" t="s">
        <v>4823</v>
      </c>
      <c r="K1547" s="4">
        <v>176</v>
      </c>
    </row>
    <row r="1548" spans="1:11" hidden="1" outlineLevel="2" x14ac:dyDescent="0.35">
      <c r="A1548" t="s">
        <v>3115</v>
      </c>
      <c r="B1548" s="1">
        <v>45736</v>
      </c>
      <c r="C1548" t="str">
        <f>"312"</f>
        <v>312</v>
      </c>
      <c r="D1548" t="s">
        <v>4830</v>
      </c>
      <c r="E1548" t="str">
        <f>"180512"</f>
        <v>180512</v>
      </c>
      <c r="F1548" t="str">
        <f t="shared" si="26"/>
        <v>33200000</v>
      </c>
      <c r="H1548" t="s">
        <v>4831</v>
      </c>
      <c r="K1548" s="4">
        <v>1100</v>
      </c>
    </row>
    <row r="1549" spans="1:11" hidden="1" outlineLevel="2" x14ac:dyDescent="0.35">
      <c r="A1549" t="s">
        <v>3115</v>
      </c>
      <c r="B1549" s="1">
        <v>45736</v>
      </c>
      <c r="C1549" t="str">
        <f>"314"</f>
        <v>314</v>
      </c>
      <c r="D1549" t="s">
        <v>4834</v>
      </c>
      <c r="E1549" t="str">
        <f>"183349"</f>
        <v>183349</v>
      </c>
      <c r="F1549" t="str">
        <f t="shared" si="26"/>
        <v>33200000</v>
      </c>
      <c r="H1549" t="s">
        <v>4835</v>
      </c>
      <c r="K1549" s="4">
        <v>800</v>
      </c>
    </row>
    <row r="1550" spans="1:11" hidden="1" outlineLevel="2" x14ac:dyDescent="0.35">
      <c r="A1550" t="s">
        <v>3115</v>
      </c>
      <c r="B1550" s="1">
        <v>45736</v>
      </c>
      <c r="C1550" t="str">
        <f>"315"</f>
        <v>315</v>
      </c>
      <c r="D1550" t="s">
        <v>4836</v>
      </c>
      <c r="E1550" t="str">
        <f>"184201"</f>
        <v>184201</v>
      </c>
      <c r="F1550" t="str">
        <f t="shared" si="26"/>
        <v>33200000</v>
      </c>
      <c r="H1550" t="s">
        <v>4837</v>
      </c>
      <c r="K1550" s="4">
        <v>15400</v>
      </c>
    </row>
    <row r="1551" spans="1:11" hidden="1" outlineLevel="2" x14ac:dyDescent="0.35">
      <c r="A1551" t="s">
        <v>3115</v>
      </c>
      <c r="B1551" s="1">
        <v>45736</v>
      </c>
      <c r="C1551" t="str">
        <f>"317"</f>
        <v>317</v>
      </c>
      <c r="D1551" t="s">
        <v>4840</v>
      </c>
      <c r="E1551" t="str">
        <f>"183350"</f>
        <v>183350</v>
      </c>
      <c r="F1551" t="str">
        <f t="shared" si="26"/>
        <v>33200000</v>
      </c>
      <c r="H1551" t="s">
        <v>4841</v>
      </c>
      <c r="K1551" s="4">
        <v>10764</v>
      </c>
    </row>
    <row r="1552" spans="1:11" hidden="1" outlineLevel="2" x14ac:dyDescent="0.35">
      <c r="A1552" t="s">
        <v>3115</v>
      </c>
      <c r="B1552" s="1">
        <v>45736</v>
      </c>
      <c r="C1552" t="str">
        <f>"318"</f>
        <v>318</v>
      </c>
      <c r="D1552" t="s">
        <v>4842</v>
      </c>
      <c r="E1552" t="str">
        <f>"184351"</f>
        <v>184351</v>
      </c>
      <c r="F1552" t="str">
        <f t="shared" si="26"/>
        <v>33200000</v>
      </c>
      <c r="H1552" t="s">
        <v>4843</v>
      </c>
      <c r="K1552" s="4">
        <v>10764</v>
      </c>
    </row>
    <row r="1553" spans="1:11" hidden="1" outlineLevel="2" x14ac:dyDescent="0.35">
      <c r="A1553" t="s">
        <v>3115</v>
      </c>
      <c r="B1553" s="1">
        <v>45736</v>
      </c>
      <c r="C1553" t="str">
        <f>"319"</f>
        <v>319</v>
      </c>
      <c r="D1553" t="s">
        <v>4844</v>
      </c>
      <c r="E1553" t="str">
        <f>"184353"</f>
        <v>184353</v>
      </c>
      <c r="F1553" t="str">
        <f t="shared" si="26"/>
        <v>33200000</v>
      </c>
      <c r="H1553" t="s">
        <v>4845</v>
      </c>
      <c r="K1553" s="4">
        <v>8668</v>
      </c>
    </row>
    <row r="1554" spans="1:11" hidden="1" outlineLevel="2" x14ac:dyDescent="0.35">
      <c r="A1554" t="s">
        <v>3115</v>
      </c>
      <c r="B1554" s="1">
        <v>45736</v>
      </c>
      <c r="C1554" t="str">
        <f>"320"</f>
        <v>320</v>
      </c>
      <c r="D1554" t="s">
        <v>4846</v>
      </c>
      <c r="E1554" t="str">
        <f>"182094"</f>
        <v>182094</v>
      </c>
      <c r="F1554" t="str">
        <f t="shared" si="26"/>
        <v>33200000</v>
      </c>
      <c r="H1554" t="s">
        <v>4847</v>
      </c>
      <c r="K1554" s="4">
        <v>27262</v>
      </c>
    </row>
    <row r="1555" spans="1:11" hidden="1" outlineLevel="2" x14ac:dyDescent="0.35">
      <c r="A1555" t="s">
        <v>3115</v>
      </c>
      <c r="B1555" s="1">
        <v>45736</v>
      </c>
      <c r="C1555" t="str">
        <f>"322"</f>
        <v>322</v>
      </c>
      <c r="D1555" t="s">
        <v>4850</v>
      </c>
      <c r="E1555" t="str">
        <f>"183263"</f>
        <v>183263</v>
      </c>
      <c r="F1555" t="str">
        <f t="shared" si="26"/>
        <v>33200000</v>
      </c>
      <c r="H1555" t="s">
        <v>4851</v>
      </c>
      <c r="K1555" s="4">
        <v>600</v>
      </c>
    </row>
    <row r="1556" spans="1:11" hidden="1" outlineLevel="2" x14ac:dyDescent="0.35">
      <c r="A1556" t="s">
        <v>3115</v>
      </c>
      <c r="B1556" s="1">
        <v>45736</v>
      </c>
      <c r="C1556" t="str">
        <f>"323"</f>
        <v>323</v>
      </c>
      <c r="D1556" t="s">
        <v>4852</v>
      </c>
      <c r="E1556" t="str">
        <f>"181874"</f>
        <v>181874</v>
      </c>
      <c r="F1556" t="str">
        <f t="shared" si="26"/>
        <v>33200000</v>
      </c>
      <c r="H1556" t="s">
        <v>4853</v>
      </c>
      <c r="K1556" s="4">
        <v>40000</v>
      </c>
    </row>
    <row r="1557" spans="1:11" hidden="1" outlineLevel="2" x14ac:dyDescent="0.35">
      <c r="A1557" t="s">
        <v>3115</v>
      </c>
      <c r="B1557" s="1">
        <v>45736</v>
      </c>
      <c r="C1557" t="str">
        <f>"324"</f>
        <v>324</v>
      </c>
      <c r="D1557" t="s">
        <v>4854</v>
      </c>
      <c r="E1557" t="str">
        <f>"181876"</f>
        <v>181876</v>
      </c>
      <c r="F1557" t="str">
        <f t="shared" si="26"/>
        <v>33200000</v>
      </c>
      <c r="H1557" t="s">
        <v>4855</v>
      </c>
      <c r="K1557" s="4">
        <v>300</v>
      </c>
    </row>
    <row r="1558" spans="1:11" hidden="1" outlineLevel="2" x14ac:dyDescent="0.35">
      <c r="A1558" t="s">
        <v>3115</v>
      </c>
      <c r="B1558" s="1">
        <v>45736</v>
      </c>
      <c r="C1558" t="str">
        <f>"325"</f>
        <v>325</v>
      </c>
      <c r="D1558" t="s">
        <v>4856</v>
      </c>
      <c r="E1558" t="str">
        <f>"183347"</f>
        <v>183347</v>
      </c>
      <c r="F1558" t="str">
        <f t="shared" si="26"/>
        <v>33200000</v>
      </c>
      <c r="H1558" t="s">
        <v>4857</v>
      </c>
      <c r="K1558" s="4">
        <v>1500</v>
      </c>
    </row>
    <row r="1559" spans="1:11" hidden="1" outlineLevel="2" x14ac:dyDescent="0.35">
      <c r="A1559" t="s">
        <v>3115</v>
      </c>
      <c r="B1559" s="1">
        <v>45736</v>
      </c>
      <c r="C1559" t="str">
        <f>"329"</f>
        <v>329</v>
      </c>
      <c r="D1559" t="s">
        <v>4864</v>
      </c>
      <c r="E1559" t="str">
        <f>"183348"</f>
        <v>183348</v>
      </c>
      <c r="F1559" t="str">
        <f t="shared" si="26"/>
        <v>33200000</v>
      </c>
      <c r="H1559" t="s">
        <v>4865</v>
      </c>
      <c r="K1559" s="4">
        <v>973</v>
      </c>
    </row>
    <row r="1560" spans="1:11" hidden="1" outlineLevel="2" x14ac:dyDescent="0.35">
      <c r="A1560" t="s">
        <v>3115</v>
      </c>
      <c r="B1560" s="1">
        <v>45736</v>
      </c>
      <c r="C1560" t="str">
        <f>"333"</f>
        <v>333</v>
      </c>
      <c r="D1560" t="s">
        <v>4872</v>
      </c>
      <c r="E1560" t="str">
        <f>"183697"</f>
        <v>183697</v>
      </c>
      <c r="F1560" t="str">
        <f t="shared" si="26"/>
        <v>33200000</v>
      </c>
      <c r="H1560" t="s">
        <v>4873</v>
      </c>
      <c r="K1560" s="4">
        <v>5715</v>
      </c>
    </row>
    <row r="1561" spans="1:11" hidden="1" outlineLevel="2" x14ac:dyDescent="0.35">
      <c r="A1561" t="s">
        <v>3115</v>
      </c>
      <c r="B1561" s="1">
        <v>45736</v>
      </c>
      <c r="C1561" t="str">
        <f>"406"</f>
        <v>406</v>
      </c>
      <c r="D1561" t="s">
        <v>4882</v>
      </c>
      <c r="E1561" t="str">
        <f>"156995"</f>
        <v>156995</v>
      </c>
      <c r="F1561" t="str">
        <f t="shared" si="26"/>
        <v>33200000</v>
      </c>
      <c r="H1561" t="s">
        <v>4883</v>
      </c>
      <c r="K1561" s="4">
        <v>80027</v>
      </c>
    </row>
    <row r="1562" spans="1:11" hidden="1" outlineLevel="2" x14ac:dyDescent="0.35">
      <c r="A1562" t="s">
        <v>3115</v>
      </c>
      <c r="B1562" s="1">
        <v>45736</v>
      </c>
      <c r="C1562" t="str">
        <f>"407"</f>
        <v>407</v>
      </c>
      <c r="D1562" t="s">
        <v>4884</v>
      </c>
      <c r="E1562" t="str">
        <f>"183308"</f>
        <v>183308</v>
      </c>
      <c r="F1562" t="str">
        <f t="shared" si="26"/>
        <v>33200000</v>
      </c>
      <c r="H1562" t="s">
        <v>4885</v>
      </c>
      <c r="K1562" s="4">
        <v>140000</v>
      </c>
    </row>
    <row r="1563" spans="1:11" hidden="1" outlineLevel="2" x14ac:dyDescent="0.35">
      <c r="A1563" t="s">
        <v>3115</v>
      </c>
      <c r="B1563" s="1">
        <v>45736</v>
      </c>
      <c r="C1563" t="str">
        <f>"408"</f>
        <v>408</v>
      </c>
      <c r="D1563" t="s">
        <v>4886</v>
      </c>
      <c r="E1563" t="str">
        <f>"183307"</f>
        <v>183307</v>
      </c>
      <c r="F1563" t="str">
        <f t="shared" si="26"/>
        <v>33200000</v>
      </c>
      <c r="H1563" t="s">
        <v>4887</v>
      </c>
      <c r="K1563" s="4">
        <v>260000</v>
      </c>
    </row>
    <row r="1564" spans="1:11" hidden="1" outlineLevel="2" x14ac:dyDescent="0.35">
      <c r="A1564" t="s">
        <v>3115</v>
      </c>
      <c r="B1564" s="1">
        <v>45736</v>
      </c>
      <c r="C1564" t="str">
        <f>"409"</f>
        <v>409</v>
      </c>
      <c r="D1564" t="s">
        <v>4888</v>
      </c>
      <c r="E1564" t="str">
        <f>"183262"</f>
        <v>183262</v>
      </c>
      <c r="F1564" t="str">
        <f t="shared" si="26"/>
        <v>33200000</v>
      </c>
      <c r="H1564" t="s">
        <v>4889</v>
      </c>
      <c r="K1564" s="4">
        <v>30000</v>
      </c>
    </row>
    <row r="1565" spans="1:11" hidden="1" outlineLevel="2" x14ac:dyDescent="0.35">
      <c r="A1565" t="s">
        <v>3115</v>
      </c>
      <c r="B1565" s="1">
        <v>45736</v>
      </c>
      <c r="C1565" t="str">
        <f>"410"</f>
        <v>410</v>
      </c>
      <c r="D1565" t="s">
        <v>4890</v>
      </c>
      <c r="E1565" t="str">
        <f>"179894"</f>
        <v>179894</v>
      </c>
      <c r="F1565" t="str">
        <f t="shared" si="26"/>
        <v>33200000</v>
      </c>
      <c r="H1565" t="s">
        <v>4891</v>
      </c>
      <c r="K1565" s="4">
        <v>2200000</v>
      </c>
    </row>
    <row r="1566" spans="1:11" hidden="1" outlineLevel="2" x14ac:dyDescent="0.35">
      <c r="A1566" t="s">
        <v>3115</v>
      </c>
      <c r="B1566" s="1">
        <v>45736</v>
      </c>
      <c r="C1566" t="str">
        <f>"411"</f>
        <v>411</v>
      </c>
      <c r="D1566" t="s">
        <v>4892</v>
      </c>
      <c r="E1566" t="str">
        <f>"183405"</f>
        <v>183405</v>
      </c>
      <c r="F1566" t="str">
        <f t="shared" si="26"/>
        <v>33200000</v>
      </c>
      <c r="H1566" t="s">
        <v>4893</v>
      </c>
      <c r="K1566" s="4">
        <v>480000</v>
      </c>
    </row>
    <row r="1567" spans="1:11" hidden="1" outlineLevel="2" x14ac:dyDescent="0.35">
      <c r="A1567" t="s">
        <v>3115</v>
      </c>
      <c r="B1567" s="1">
        <v>45736</v>
      </c>
      <c r="C1567" t="str">
        <f>"412"</f>
        <v>412</v>
      </c>
      <c r="D1567" t="s">
        <v>4894</v>
      </c>
      <c r="E1567" t="str">
        <f>"182064"</f>
        <v>182064</v>
      </c>
      <c r="F1567" t="str">
        <f t="shared" si="26"/>
        <v>33200000</v>
      </c>
      <c r="H1567" t="s">
        <v>4895</v>
      </c>
      <c r="K1567" s="4">
        <v>50000</v>
      </c>
    </row>
    <row r="1568" spans="1:11" hidden="1" outlineLevel="2" x14ac:dyDescent="0.35">
      <c r="A1568" t="s">
        <v>3115</v>
      </c>
      <c r="B1568" s="1">
        <v>45736</v>
      </c>
      <c r="C1568" t="str">
        <f>"413"</f>
        <v>413</v>
      </c>
      <c r="D1568" t="s">
        <v>4896</v>
      </c>
      <c r="E1568" t="str">
        <f>"181900"</f>
        <v>181900</v>
      </c>
      <c r="F1568" t="str">
        <f t="shared" si="26"/>
        <v>33200000</v>
      </c>
      <c r="H1568" t="s">
        <v>4897</v>
      </c>
      <c r="K1568" s="4">
        <v>45000</v>
      </c>
    </row>
    <row r="1569" spans="1:11" hidden="1" outlineLevel="2" x14ac:dyDescent="0.35">
      <c r="A1569" t="s">
        <v>3115</v>
      </c>
      <c r="B1569" s="1">
        <v>45736</v>
      </c>
      <c r="C1569" t="str">
        <f>"414"</f>
        <v>414</v>
      </c>
      <c r="D1569" t="s">
        <v>4898</v>
      </c>
      <c r="E1569" t="str">
        <f>"181898"</f>
        <v>181898</v>
      </c>
      <c r="F1569" t="str">
        <f t="shared" si="26"/>
        <v>33200000</v>
      </c>
      <c r="H1569" t="s">
        <v>4899</v>
      </c>
      <c r="K1569" s="4">
        <v>20000</v>
      </c>
    </row>
    <row r="1570" spans="1:11" hidden="1" outlineLevel="2" x14ac:dyDescent="0.35">
      <c r="A1570" t="s">
        <v>3115</v>
      </c>
      <c r="B1570" s="1">
        <v>45736</v>
      </c>
      <c r="C1570" t="str">
        <f>"415"</f>
        <v>415</v>
      </c>
      <c r="D1570" t="s">
        <v>4900</v>
      </c>
      <c r="E1570" t="str">
        <f>"180838"</f>
        <v>180838</v>
      </c>
      <c r="F1570" t="str">
        <f t="shared" si="26"/>
        <v>33200000</v>
      </c>
      <c r="H1570" t="s">
        <v>4901</v>
      </c>
      <c r="K1570" s="4">
        <v>84000</v>
      </c>
    </row>
    <row r="1571" spans="1:11" hidden="1" outlineLevel="2" x14ac:dyDescent="0.35">
      <c r="A1571" t="s">
        <v>3115</v>
      </c>
      <c r="B1571" s="1">
        <v>45736</v>
      </c>
      <c r="C1571" t="str">
        <f>"416"</f>
        <v>416</v>
      </c>
      <c r="D1571" t="s">
        <v>4902</v>
      </c>
      <c r="E1571" t="str">
        <f>"183254"</f>
        <v>183254</v>
      </c>
      <c r="F1571" t="str">
        <f t="shared" si="26"/>
        <v>33200000</v>
      </c>
      <c r="H1571" t="s">
        <v>4903</v>
      </c>
      <c r="K1571" s="4">
        <v>40000</v>
      </c>
    </row>
    <row r="1572" spans="1:11" hidden="1" outlineLevel="2" x14ac:dyDescent="0.35">
      <c r="A1572" t="s">
        <v>3115</v>
      </c>
      <c r="B1572" s="1">
        <v>45736</v>
      </c>
      <c r="C1572" t="str">
        <f>"417"</f>
        <v>417</v>
      </c>
      <c r="D1572" t="s">
        <v>4904</v>
      </c>
      <c r="E1572" t="str">
        <f>"181730"</f>
        <v>181730</v>
      </c>
      <c r="F1572" t="str">
        <f t="shared" si="26"/>
        <v>33200000</v>
      </c>
      <c r="H1572" t="s">
        <v>4905</v>
      </c>
      <c r="K1572" s="4">
        <v>500000</v>
      </c>
    </row>
    <row r="1573" spans="1:11" hidden="1" outlineLevel="2" x14ac:dyDescent="0.35">
      <c r="A1573" t="s">
        <v>3115</v>
      </c>
      <c r="B1573" s="1">
        <v>45736</v>
      </c>
      <c r="C1573" t="str">
        <f>"418"</f>
        <v>418</v>
      </c>
      <c r="D1573" t="s">
        <v>4906</v>
      </c>
      <c r="E1573" t="str">
        <f>"180145"</f>
        <v>180145</v>
      </c>
      <c r="F1573" t="str">
        <f t="shared" si="26"/>
        <v>33200000</v>
      </c>
      <c r="H1573" t="s">
        <v>4907</v>
      </c>
      <c r="K1573" s="4">
        <v>25000</v>
      </c>
    </row>
    <row r="1574" spans="1:11" hidden="1" outlineLevel="2" x14ac:dyDescent="0.35">
      <c r="A1574" t="s">
        <v>3115</v>
      </c>
      <c r="B1574" s="1">
        <v>45736</v>
      </c>
      <c r="C1574" t="str">
        <f>"419"</f>
        <v>419</v>
      </c>
      <c r="D1574" t="s">
        <v>4908</v>
      </c>
      <c r="E1574" t="str">
        <f>"181889"</f>
        <v>181889</v>
      </c>
      <c r="F1574" t="str">
        <f t="shared" si="26"/>
        <v>33200000</v>
      </c>
      <c r="H1574" t="s">
        <v>4909</v>
      </c>
      <c r="K1574" s="4">
        <v>30000</v>
      </c>
    </row>
    <row r="1575" spans="1:11" hidden="1" outlineLevel="2" x14ac:dyDescent="0.35">
      <c r="A1575" t="s">
        <v>3115</v>
      </c>
      <c r="B1575" s="1">
        <v>45736</v>
      </c>
      <c r="C1575" t="str">
        <f>"420"</f>
        <v>420</v>
      </c>
      <c r="D1575" t="s">
        <v>4910</v>
      </c>
      <c r="E1575" t="str">
        <f>"183570"</f>
        <v>183570</v>
      </c>
      <c r="F1575" t="str">
        <f t="shared" si="26"/>
        <v>33200000</v>
      </c>
      <c r="H1575" t="s">
        <v>4911</v>
      </c>
      <c r="K1575" s="4">
        <v>6691</v>
      </c>
    </row>
    <row r="1576" spans="1:11" hidden="1" outlineLevel="2" x14ac:dyDescent="0.35">
      <c r="A1576" t="s">
        <v>3115</v>
      </c>
      <c r="B1576" s="1">
        <v>45736</v>
      </c>
      <c r="C1576" t="str">
        <f>"421"</f>
        <v>421</v>
      </c>
      <c r="D1576" t="s">
        <v>4912</v>
      </c>
      <c r="E1576" t="str">
        <f>"180835"</f>
        <v>180835</v>
      </c>
      <c r="F1576" t="str">
        <f t="shared" si="26"/>
        <v>33200000</v>
      </c>
      <c r="H1576" t="s">
        <v>4913</v>
      </c>
      <c r="K1576" s="4">
        <v>200000</v>
      </c>
    </row>
    <row r="1577" spans="1:11" hidden="1" outlineLevel="2" x14ac:dyDescent="0.35">
      <c r="A1577" t="s">
        <v>3115</v>
      </c>
      <c r="B1577" s="1">
        <v>45736</v>
      </c>
      <c r="C1577" t="str">
        <f>"422"</f>
        <v>422</v>
      </c>
      <c r="D1577" t="s">
        <v>4914</v>
      </c>
      <c r="E1577" t="str">
        <f>"181890"</f>
        <v>181890</v>
      </c>
      <c r="F1577" t="str">
        <f t="shared" si="26"/>
        <v>33200000</v>
      </c>
      <c r="H1577" t="s">
        <v>4915</v>
      </c>
      <c r="K1577" s="4">
        <v>40000</v>
      </c>
    </row>
    <row r="1578" spans="1:11" hidden="1" outlineLevel="2" x14ac:dyDescent="0.35">
      <c r="A1578" t="s">
        <v>3115</v>
      </c>
      <c r="B1578" s="1">
        <v>45736</v>
      </c>
      <c r="C1578" t="str">
        <f>"423"</f>
        <v>423</v>
      </c>
      <c r="D1578" t="s">
        <v>4916</v>
      </c>
      <c r="E1578" t="str">
        <f>"182061"</f>
        <v>182061</v>
      </c>
      <c r="F1578" t="str">
        <f t="shared" si="26"/>
        <v>33200000</v>
      </c>
      <c r="H1578" t="s">
        <v>4917</v>
      </c>
      <c r="K1578" s="4">
        <v>65000</v>
      </c>
    </row>
    <row r="1579" spans="1:11" hidden="1" outlineLevel="2" x14ac:dyDescent="0.35">
      <c r="A1579" t="s">
        <v>3115</v>
      </c>
      <c r="B1579" s="1">
        <v>45736</v>
      </c>
      <c r="C1579" t="str">
        <f>"424"</f>
        <v>424</v>
      </c>
      <c r="D1579" t="s">
        <v>4918</v>
      </c>
      <c r="E1579" t="str">
        <f>"181820"</f>
        <v>181820</v>
      </c>
      <c r="F1579" t="str">
        <f t="shared" si="26"/>
        <v>33200000</v>
      </c>
      <c r="H1579" t="s">
        <v>4919</v>
      </c>
      <c r="K1579" s="4">
        <v>50000</v>
      </c>
    </row>
    <row r="1580" spans="1:11" hidden="1" outlineLevel="2" x14ac:dyDescent="0.35">
      <c r="A1580" t="s">
        <v>3115</v>
      </c>
      <c r="B1580" s="1">
        <v>45736</v>
      </c>
      <c r="C1580" t="str">
        <f>"425"</f>
        <v>425</v>
      </c>
      <c r="D1580" t="s">
        <v>4920</v>
      </c>
      <c r="E1580" t="str">
        <f>"181731"</f>
        <v>181731</v>
      </c>
      <c r="F1580" t="str">
        <f t="shared" si="26"/>
        <v>33200000</v>
      </c>
      <c r="H1580" t="s">
        <v>4921</v>
      </c>
      <c r="K1580" s="4">
        <v>90000</v>
      </c>
    </row>
    <row r="1581" spans="1:11" hidden="1" outlineLevel="2" x14ac:dyDescent="0.35">
      <c r="A1581" t="s">
        <v>3115</v>
      </c>
      <c r="B1581" s="1">
        <v>45736</v>
      </c>
      <c r="C1581" t="str">
        <f>"426"</f>
        <v>426</v>
      </c>
      <c r="D1581" t="s">
        <v>4922</v>
      </c>
      <c r="E1581" t="str">
        <f>"181732"</f>
        <v>181732</v>
      </c>
      <c r="F1581" t="str">
        <f t="shared" si="26"/>
        <v>33200000</v>
      </c>
      <c r="H1581" t="s">
        <v>4923</v>
      </c>
      <c r="K1581" s="4">
        <v>90000</v>
      </c>
    </row>
    <row r="1582" spans="1:11" hidden="1" outlineLevel="2" x14ac:dyDescent="0.35">
      <c r="A1582" t="s">
        <v>3115</v>
      </c>
      <c r="B1582" s="1">
        <v>45736</v>
      </c>
      <c r="C1582" t="str">
        <f>"427"</f>
        <v>427</v>
      </c>
      <c r="D1582" t="s">
        <v>4924</v>
      </c>
      <c r="E1582" t="str">
        <f>"180764"</f>
        <v>180764</v>
      </c>
      <c r="F1582" t="str">
        <f t="shared" si="26"/>
        <v>33200000</v>
      </c>
      <c r="H1582" t="s">
        <v>4925</v>
      </c>
      <c r="K1582" s="4">
        <v>130000</v>
      </c>
    </row>
    <row r="1583" spans="1:11" hidden="1" outlineLevel="2" x14ac:dyDescent="0.35">
      <c r="A1583" t="s">
        <v>3115</v>
      </c>
      <c r="B1583" s="1">
        <v>45736</v>
      </c>
      <c r="C1583" t="str">
        <f>"428"</f>
        <v>428</v>
      </c>
      <c r="D1583" t="s">
        <v>4926</v>
      </c>
      <c r="E1583" t="str">
        <f>"181827"</f>
        <v>181827</v>
      </c>
      <c r="F1583" t="str">
        <f t="shared" si="26"/>
        <v>33200000</v>
      </c>
      <c r="H1583" t="s">
        <v>4927</v>
      </c>
      <c r="K1583" s="4">
        <v>150000</v>
      </c>
    </row>
    <row r="1584" spans="1:11" hidden="1" outlineLevel="2" x14ac:dyDescent="0.35">
      <c r="A1584" t="s">
        <v>3115</v>
      </c>
      <c r="B1584" s="1">
        <v>45736</v>
      </c>
      <c r="C1584" t="str">
        <f>"429"</f>
        <v>429</v>
      </c>
      <c r="D1584" t="s">
        <v>4928</v>
      </c>
      <c r="E1584" t="str">
        <f>"162586"</f>
        <v>162586</v>
      </c>
      <c r="F1584" t="str">
        <f t="shared" si="26"/>
        <v>33200000</v>
      </c>
      <c r="H1584" t="s">
        <v>4929</v>
      </c>
      <c r="K1584" s="4">
        <v>12000</v>
      </c>
    </row>
    <row r="1585" spans="1:11" hidden="1" outlineLevel="2" x14ac:dyDescent="0.35">
      <c r="A1585" t="s">
        <v>3115</v>
      </c>
      <c r="B1585" s="1">
        <v>45736</v>
      </c>
      <c r="C1585" t="str">
        <f>"430"</f>
        <v>430</v>
      </c>
      <c r="D1585" t="s">
        <v>4930</v>
      </c>
      <c r="E1585" t="str">
        <f>"183566"</f>
        <v>183566</v>
      </c>
      <c r="F1585" t="str">
        <f t="shared" si="26"/>
        <v>33200000</v>
      </c>
      <c r="H1585" t="s">
        <v>4931</v>
      </c>
      <c r="K1585" s="4">
        <v>5773</v>
      </c>
    </row>
    <row r="1586" spans="1:11" hidden="1" outlineLevel="2" x14ac:dyDescent="0.35">
      <c r="A1586" t="s">
        <v>3115</v>
      </c>
      <c r="B1586" s="1">
        <v>45736</v>
      </c>
      <c r="C1586" t="str">
        <f>"431"</f>
        <v>431</v>
      </c>
      <c r="D1586" t="s">
        <v>4932</v>
      </c>
      <c r="E1586" t="str">
        <f>"176316"</f>
        <v>176316</v>
      </c>
      <c r="F1586" t="str">
        <f t="shared" ref="F1586:F1649" si="27">"33200000"</f>
        <v>33200000</v>
      </c>
      <c r="H1586" t="s">
        <v>4933</v>
      </c>
      <c r="K1586" s="4">
        <v>30000</v>
      </c>
    </row>
    <row r="1587" spans="1:11" hidden="1" outlineLevel="2" x14ac:dyDescent="0.35">
      <c r="A1587" t="s">
        <v>3115</v>
      </c>
      <c r="B1587" s="1">
        <v>45736</v>
      </c>
      <c r="C1587" t="str">
        <f>"432"</f>
        <v>432</v>
      </c>
      <c r="D1587" t="s">
        <v>4934</v>
      </c>
      <c r="E1587" t="str">
        <f>"180144"</f>
        <v>180144</v>
      </c>
      <c r="F1587" t="str">
        <f t="shared" si="27"/>
        <v>33200000</v>
      </c>
      <c r="H1587" t="s">
        <v>4935</v>
      </c>
      <c r="K1587" s="4">
        <v>500000</v>
      </c>
    </row>
    <row r="1588" spans="1:11" hidden="1" outlineLevel="2" x14ac:dyDescent="0.35">
      <c r="A1588" t="s">
        <v>3115</v>
      </c>
      <c r="B1588" s="1">
        <v>45736</v>
      </c>
      <c r="C1588" t="str">
        <f>"433"</f>
        <v>433</v>
      </c>
      <c r="D1588" t="s">
        <v>4936</v>
      </c>
      <c r="E1588" t="str">
        <f>"179893"</f>
        <v>179893</v>
      </c>
      <c r="F1588" t="str">
        <f t="shared" si="27"/>
        <v>33200000</v>
      </c>
      <c r="H1588" t="s">
        <v>4937</v>
      </c>
      <c r="K1588" s="4">
        <v>58000</v>
      </c>
    </row>
    <row r="1589" spans="1:11" hidden="1" outlineLevel="2" x14ac:dyDescent="0.35">
      <c r="A1589" t="s">
        <v>3115</v>
      </c>
      <c r="B1589" s="1">
        <v>45736</v>
      </c>
      <c r="C1589" t="str">
        <f>"434"</f>
        <v>434</v>
      </c>
      <c r="D1589" t="s">
        <v>4938</v>
      </c>
      <c r="E1589" t="str">
        <f>"182067"</f>
        <v>182067</v>
      </c>
      <c r="F1589" t="str">
        <f t="shared" si="27"/>
        <v>33200000</v>
      </c>
      <c r="H1589" t="s">
        <v>4939</v>
      </c>
      <c r="K1589" s="4">
        <v>12000</v>
      </c>
    </row>
    <row r="1590" spans="1:11" hidden="1" outlineLevel="2" x14ac:dyDescent="0.35">
      <c r="A1590" t="s">
        <v>3115</v>
      </c>
      <c r="B1590" s="1">
        <v>45736</v>
      </c>
      <c r="C1590" t="str">
        <f>"435"</f>
        <v>435</v>
      </c>
      <c r="D1590" t="s">
        <v>4940</v>
      </c>
      <c r="E1590" t="str">
        <f>"181834"</f>
        <v>181834</v>
      </c>
      <c r="F1590" t="str">
        <f t="shared" si="27"/>
        <v>33200000</v>
      </c>
      <c r="H1590" t="s">
        <v>4941</v>
      </c>
      <c r="K1590" s="4">
        <v>32431</v>
      </c>
    </row>
    <row r="1591" spans="1:11" hidden="1" outlineLevel="2" x14ac:dyDescent="0.35">
      <c r="A1591" t="s">
        <v>3115</v>
      </c>
      <c r="B1591" s="1">
        <v>45736</v>
      </c>
      <c r="C1591" t="str">
        <f>"436"</f>
        <v>436</v>
      </c>
      <c r="D1591" t="s">
        <v>4942</v>
      </c>
      <c r="E1591" t="str">
        <f>"182060"</f>
        <v>182060</v>
      </c>
      <c r="F1591" t="str">
        <f t="shared" si="27"/>
        <v>33200000</v>
      </c>
      <c r="H1591" t="s">
        <v>4943</v>
      </c>
      <c r="K1591" s="4">
        <v>12000</v>
      </c>
    </row>
    <row r="1592" spans="1:11" hidden="1" outlineLevel="2" x14ac:dyDescent="0.35">
      <c r="A1592" t="s">
        <v>3115</v>
      </c>
      <c r="B1592" s="1">
        <v>45736</v>
      </c>
      <c r="C1592" t="str">
        <f>"437"</f>
        <v>437</v>
      </c>
      <c r="D1592" t="s">
        <v>4944</v>
      </c>
      <c r="E1592" t="str">
        <f>"182063"</f>
        <v>182063</v>
      </c>
      <c r="F1592" t="str">
        <f t="shared" si="27"/>
        <v>33200000</v>
      </c>
      <c r="H1592" t="s">
        <v>4945</v>
      </c>
      <c r="K1592" s="4">
        <v>13000</v>
      </c>
    </row>
    <row r="1593" spans="1:11" hidden="1" outlineLevel="2" x14ac:dyDescent="0.35">
      <c r="A1593" t="s">
        <v>3115</v>
      </c>
      <c r="B1593" s="1">
        <v>45736</v>
      </c>
      <c r="C1593" t="str">
        <f>"438"</f>
        <v>438</v>
      </c>
      <c r="D1593" t="s">
        <v>4946</v>
      </c>
      <c r="E1593" t="str">
        <f>"179416"</f>
        <v>179416</v>
      </c>
      <c r="F1593" t="str">
        <f t="shared" si="27"/>
        <v>33200000</v>
      </c>
      <c r="H1593" t="s">
        <v>4947</v>
      </c>
      <c r="K1593" s="4">
        <v>24000</v>
      </c>
    </row>
    <row r="1594" spans="1:11" hidden="1" outlineLevel="2" x14ac:dyDescent="0.35">
      <c r="A1594" t="s">
        <v>3115</v>
      </c>
      <c r="B1594" s="1">
        <v>45736</v>
      </c>
      <c r="C1594" t="str">
        <f>"439"</f>
        <v>439</v>
      </c>
      <c r="D1594" t="s">
        <v>4948</v>
      </c>
      <c r="E1594" t="str">
        <f>"183428"</f>
        <v>183428</v>
      </c>
      <c r="F1594" t="str">
        <f t="shared" si="27"/>
        <v>33200000</v>
      </c>
      <c r="H1594" t="s">
        <v>4949</v>
      </c>
      <c r="K1594" s="4">
        <v>3673</v>
      </c>
    </row>
    <row r="1595" spans="1:11" hidden="1" outlineLevel="2" x14ac:dyDescent="0.35">
      <c r="A1595" t="s">
        <v>3115</v>
      </c>
      <c r="B1595" s="1">
        <v>45736</v>
      </c>
      <c r="C1595" t="str">
        <f>"440"</f>
        <v>440</v>
      </c>
      <c r="D1595" t="s">
        <v>4950</v>
      </c>
      <c r="E1595" t="str">
        <f>"180151"</f>
        <v>180151</v>
      </c>
      <c r="F1595" t="str">
        <f t="shared" si="27"/>
        <v>33200000</v>
      </c>
      <c r="H1595" t="s">
        <v>4951</v>
      </c>
      <c r="K1595" s="4">
        <v>360000</v>
      </c>
    </row>
    <row r="1596" spans="1:11" hidden="1" outlineLevel="2" x14ac:dyDescent="0.35">
      <c r="A1596" t="s">
        <v>3115</v>
      </c>
      <c r="B1596" s="1">
        <v>45736</v>
      </c>
      <c r="C1596" t="str">
        <f>"441"</f>
        <v>441</v>
      </c>
      <c r="D1596" t="s">
        <v>4952</v>
      </c>
      <c r="E1596" t="str">
        <f>"183427"</f>
        <v>183427</v>
      </c>
      <c r="F1596" t="str">
        <f t="shared" si="27"/>
        <v>33200000</v>
      </c>
      <c r="H1596" t="s">
        <v>4953</v>
      </c>
      <c r="K1596" s="4">
        <v>14563</v>
      </c>
    </row>
    <row r="1597" spans="1:11" hidden="1" outlineLevel="2" x14ac:dyDescent="0.35">
      <c r="A1597" t="s">
        <v>3115</v>
      </c>
      <c r="B1597" s="1">
        <v>45736</v>
      </c>
      <c r="C1597" t="str">
        <f>"442"</f>
        <v>442</v>
      </c>
      <c r="D1597" t="s">
        <v>4954</v>
      </c>
      <c r="E1597" t="str">
        <f>"182141"</f>
        <v>182141</v>
      </c>
      <c r="F1597" t="str">
        <f t="shared" si="27"/>
        <v>33200000</v>
      </c>
      <c r="H1597" t="s">
        <v>4955</v>
      </c>
      <c r="K1597" s="4">
        <v>195000</v>
      </c>
    </row>
    <row r="1598" spans="1:11" hidden="1" outlineLevel="2" x14ac:dyDescent="0.35">
      <c r="A1598" t="s">
        <v>3115</v>
      </c>
      <c r="B1598" s="1">
        <v>45736</v>
      </c>
      <c r="C1598" t="str">
        <f>"443"</f>
        <v>443</v>
      </c>
      <c r="D1598" t="s">
        <v>4956</v>
      </c>
      <c r="E1598" t="str">
        <f>"183698"</f>
        <v>183698</v>
      </c>
      <c r="F1598" t="str">
        <f t="shared" si="27"/>
        <v>33200000</v>
      </c>
      <c r="H1598" t="s">
        <v>4957</v>
      </c>
      <c r="K1598" s="4">
        <v>6356</v>
      </c>
    </row>
    <row r="1599" spans="1:11" hidden="1" outlineLevel="2" x14ac:dyDescent="0.35">
      <c r="A1599" t="s">
        <v>3115</v>
      </c>
      <c r="B1599" s="1">
        <v>45736</v>
      </c>
      <c r="C1599" t="str">
        <f>"444"</f>
        <v>444</v>
      </c>
      <c r="D1599" t="s">
        <v>4958</v>
      </c>
      <c r="E1599" t="str">
        <f>"183518"</f>
        <v>183518</v>
      </c>
      <c r="F1599" t="str">
        <f t="shared" si="27"/>
        <v>33200000</v>
      </c>
      <c r="H1599" t="s">
        <v>4959</v>
      </c>
      <c r="K1599" s="4">
        <v>74911</v>
      </c>
    </row>
    <row r="1600" spans="1:11" hidden="1" outlineLevel="2" x14ac:dyDescent="0.35">
      <c r="A1600" t="s">
        <v>3115</v>
      </c>
      <c r="B1600" s="1">
        <v>45736</v>
      </c>
      <c r="C1600" t="str">
        <f>"445"</f>
        <v>445</v>
      </c>
      <c r="D1600" t="s">
        <v>4960</v>
      </c>
      <c r="E1600" t="str">
        <f>"184502"</f>
        <v>184502</v>
      </c>
      <c r="F1600" t="str">
        <f t="shared" si="27"/>
        <v>33200000</v>
      </c>
      <c r="H1600" t="s">
        <v>4961</v>
      </c>
      <c r="K1600" s="4">
        <v>4591</v>
      </c>
    </row>
    <row r="1601" spans="1:11" hidden="1" outlineLevel="2" x14ac:dyDescent="0.35">
      <c r="A1601" t="s">
        <v>3115</v>
      </c>
      <c r="B1601" s="1">
        <v>45736</v>
      </c>
      <c r="C1601" t="str">
        <f>"446"</f>
        <v>446</v>
      </c>
      <c r="D1601" t="s">
        <v>4962</v>
      </c>
      <c r="E1601" t="str">
        <f>"179888"</f>
        <v>179888</v>
      </c>
      <c r="F1601" t="str">
        <f t="shared" si="27"/>
        <v>33200000</v>
      </c>
      <c r="H1601" t="s">
        <v>4963</v>
      </c>
      <c r="K1601" s="4">
        <v>121045</v>
      </c>
    </row>
    <row r="1602" spans="1:11" hidden="1" outlineLevel="2" x14ac:dyDescent="0.35">
      <c r="A1602" t="s">
        <v>3115</v>
      </c>
      <c r="B1602" s="1">
        <v>45737</v>
      </c>
      <c r="C1602" t="str">
        <f>"262"</f>
        <v>262</v>
      </c>
      <c r="D1602" t="s">
        <v>4968</v>
      </c>
      <c r="E1602" t="str">
        <f>"182230"</f>
        <v>182230</v>
      </c>
      <c r="F1602" t="str">
        <f t="shared" si="27"/>
        <v>33200000</v>
      </c>
      <c r="H1602" t="s">
        <v>4969</v>
      </c>
      <c r="K1602" s="4">
        <v>2500</v>
      </c>
    </row>
    <row r="1603" spans="1:11" hidden="1" outlineLevel="2" x14ac:dyDescent="0.35">
      <c r="A1603" t="s">
        <v>3115</v>
      </c>
      <c r="B1603" s="1">
        <v>45737</v>
      </c>
      <c r="C1603" t="str">
        <f>"263"</f>
        <v>263</v>
      </c>
      <c r="D1603" t="s">
        <v>4970</v>
      </c>
      <c r="E1603" t="str">
        <f>"182231"</f>
        <v>182231</v>
      </c>
      <c r="F1603" t="str">
        <f t="shared" si="27"/>
        <v>33200000</v>
      </c>
      <c r="H1603" t="s">
        <v>4971</v>
      </c>
      <c r="K1603" s="4">
        <v>1467</v>
      </c>
    </row>
    <row r="1604" spans="1:11" hidden="1" outlineLevel="2" x14ac:dyDescent="0.35">
      <c r="A1604" t="s">
        <v>3115</v>
      </c>
      <c r="B1604" s="1">
        <v>45737</v>
      </c>
      <c r="C1604" t="str">
        <f>"264"</f>
        <v>264</v>
      </c>
      <c r="D1604" t="s">
        <v>4972</v>
      </c>
      <c r="E1604" t="str">
        <f>"180489"</f>
        <v>180489</v>
      </c>
      <c r="F1604" t="str">
        <f t="shared" si="27"/>
        <v>33200000</v>
      </c>
      <c r="H1604" t="s">
        <v>4973</v>
      </c>
      <c r="K1604" s="4">
        <v>300</v>
      </c>
    </row>
    <row r="1605" spans="1:11" hidden="1" outlineLevel="2" x14ac:dyDescent="0.35">
      <c r="A1605" t="s">
        <v>3115</v>
      </c>
      <c r="B1605" s="1">
        <v>45737</v>
      </c>
      <c r="C1605" t="str">
        <f>"265"</f>
        <v>265</v>
      </c>
      <c r="D1605" t="s">
        <v>4974</v>
      </c>
      <c r="E1605" t="str">
        <f>"184352"</f>
        <v>184352</v>
      </c>
      <c r="F1605" t="str">
        <f t="shared" si="27"/>
        <v>33200000</v>
      </c>
      <c r="H1605" t="s">
        <v>4975</v>
      </c>
      <c r="K1605" s="4">
        <v>8563</v>
      </c>
    </row>
    <row r="1606" spans="1:11" hidden="1" outlineLevel="2" x14ac:dyDescent="0.35">
      <c r="A1606" t="s">
        <v>3115</v>
      </c>
      <c r="B1606" s="1">
        <v>45737</v>
      </c>
      <c r="C1606" t="str">
        <f>"267"</f>
        <v>267</v>
      </c>
      <c r="D1606" t="s">
        <v>4978</v>
      </c>
      <c r="E1606" t="str">
        <f>"183489"</f>
        <v>183489</v>
      </c>
      <c r="F1606" t="str">
        <f t="shared" si="27"/>
        <v>33200000</v>
      </c>
      <c r="H1606" t="s">
        <v>4979</v>
      </c>
      <c r="K1606" s="4">
        <v>158112</v>
      </c>
    </row>
    <row r="1607" spans="1:11" hidden="1" outlineLevel="2" x14ac:dyDescent="0.35">
      <c r="A1607" t="s">
        <v>3115</v>
      </c>
      <c r="B1607" s="1">
        <v>45737</v>
      </c>
      <c r="C1607" t="str">
        <f>"268"</f>
        <v>268</v>
      </c>
      <c r="D1607" t="s">
        <v>4980</v>
      </c>
      <c r="E1607" t="str">
        <f>"184355"</f>
        <v>184355</v>
      </c>
      <c r="F1607" t="str">
        <f t="shared" si="27"/>
        <v>33200000</v>
      </c>
      <c r="H1607" t="s">
        <v>4981</v>
      </c>
      <c r="K1607" s="4">
        <v>6362</v>
      </c>
    </row>
    <row r="1608" spans="1:11" hidden="1" outlineLevel="2" x14ac:dyDescent="0.35">
      <c r="A1608" t="s">
        <v>3115</v>
      </c>
      <c r="B1608" s="1">
        <v>45737</v>
      </c>
      <c r="C1608" t="str">
        <f>"272"</f>
        <v>272</v>
      </c>
      <c r="D1608" t="s">
        <v>4988</v>
      </c>
      <c r="E1608" t="str">
        <f>"180490"</f>
        <v>180490</v>
      </c>
      <c r="F1608" t="str">
        <f t="shared" si="27"/>
        <v>33200000</v>
      </c>
      <c r="H1608" t="s">
        <v>4989</v>
      </c>
      <c r="K1608" s="4">
        <v>300</v>
      </c>
    </row>
    <row r="1609" spans="1:11" hidden="1" outlineLevel="2" x14ac:dyDescent="0.35">
      <c r="A1609" t="s">
        <v>3115</v>
      </c>
      <c r="B1609" s="1">
        <v>45737</v>
      </c>
      <c r="C1609" t="str">
        <f>"276"</f>
        <v>276</v>
      </c>
      <c r="D1609" t="s">
        <v>4992</v>
      </c>
      <c r="E1609" t="str">
        <f>"178448"</f>
        <v>178448</v>
      </c>
      <c r="F1609" t="str">
        <f t="shared" si="27"/>
        <v>33200000</v>
      </c>
      <c r="H1609" t="s">
        <v>4993</v>
      </c>
      <c r="K1609" s="4">
        <v>106159</v>
      </c>
    </row>
    <row r="1610" spans="1:11" hidden="1" outlineLevel="2" x14ac:dyDescent="0.35">
      <c r="A1610" t="s">
        <v>3115</v>
      </c>
      <c r="B1610" s="1">
        <v>45737</v>
      </c>
      <c r="C1610" t="str">
        <f>"277"</f>
        <v>277</v>
      </c>
      <c r="D1610" t="s">
        <v>4994</v>
      </c>
      <c r="E1610" t="str">
        <f>"179878"</f>
        <v>179878</v>
      </c>
      <c r="F1610" t="str">
        <f t="shared" si="27"/>
        <v>33200000</v>
      </c>
      <c r="H1610" t="s">
        <v>4995</v>
      </c>
      <c r="K1610" s="4">
        <v>435885</v>
      </c>
    </row>
    <row r="1611" spans="1:11" hidden="1" outlineLevel="2" x14ac:dyDescent="0.35">
      <c r="A1611" t="s">
        <v>3115</v>
      </c>
      <c r="B1611" s="1">
        <v>45737</v>
      </c>
      <c r="C1611" t="str">
        <f>"279"</f>
        <v>279</v>
      </c>
      <c r="D1611" t="s">
        <v>4998</v>
      </c>
      <c r="E1611" t="str">
        <f>"183431"</f>
        <v>183431</v>
      </c>
      <c r="F1611" t="str">
        <f t="shared" si="27"/>
        <v>33200000</v>
      </c>
      <c r="H1611" t="s">
        <v>4999</v>
      </c>
      <c r="K1611" s="4">
        <v>1640</v>
      </c>
    </row>
    <row r="1612" spans="1:11" hidden="1" outlineLevel="2" x14ac:dyDescent="0.35">
      <c r="A1612" t="s">
        <v>3115</v>
      </c>
      <c r="B1612" s="1">
        <v>45737</v>
      </c>
      <c r="C1612" t="str">
        <f>"280"</f>
        <v>280</v>
      </c>
      <c r="D1612" t="s">
        <v>5000</v>
      </c>
      <c r="E1612" t="str">
        <f>"183432"</f>
        <v>183432</v>
      </c>
      <c r="F1612" t="str">
        <f t="shared" si="27"/>
        <v>33200000</v>
      </c>
      <c r="H1612" t="s">
        <v>5001</v>
      </c>
      <c r="K1612" s="4">
        <v>1443</v>
      </c>
    </row>
    <row r="1613" spans="1:11" hidden="1" outlineLevel="2" x14ac:dyDescent="0.35">
      <c r="A1613" t="s">
        <v>3115</v>
      </c>
      <c r="B1613" s="1">
        <v>45737</v>
      </c>
      <c r="C1613" t="str">
        <f>"281"</f>
        <v>281</v>
      </c>
      <c r="D1613" t="s">
        <v>5002</v>
      </c>
      <c r="E1613" t="str">
        <f>"184503"</f>
        <v>184503</v>
      </c>
      <c r="F1613" t="str">
        <f t="shared" si="27"/>
        <v>33200000</v>
      </c>
      <c r="H1613" t="s">
        <v>5003</v>
      </c>
      <c r="K1613" s="4">
        <v>1443</v>
      </c>
    </row>
    <row r="1614" spans="1:11" hidden="1" outlineLevel="2" x14ac:dyDescent="0.35">
      <c r="A1614" t="s">
        <v>3115</v>
      </c>
      <c r="B1614" s="1">
        <v>45737</v>
      </c>
      <c r="C1614" t="str">
        <f>"282"</f>
        <v>282</v>
      </c>
      <c r="D1614" t="s">
        <v>5004</v>
      </c>
      <c r="E1614" t="str">
        <f>"183520"</f>
        <v>183520</v>
      </c>
      <c r="F1614" t="str">
        <f t="shared" si="27"/>
        <v>33200000</v>
      </c>
      <c r="H1614" t="s">
        <v>5005</v>
      </c>
      <c r="K1614" s="4">
        <v>43950</v>
      </c>
    </row>
    <row r="1615" spans="1:11" hidden="1" outlineLevel="2" x14ac:dyDescent="0.35">
      <c r="A1615" t="s">
        <v>3115</v>
      </c>
      <c r="B1615" s="1">
        <v>45737</v>
      </c>
      <c r="C1615" t="str">
        <f>"283"</f>
        <v>283</v>
      </c>
      <c r="D1615" t="s">
        <v>5006</v>
      </c>
      <c r="E1615" t="str">
        <f>"181232"</f>
        <v>181232</v>
      </c>
      <c r="F1615" t="str">
        <f t="shared" si="27"/>
        <v>33200000</v>
      </c>
      <c r="H1615" t="s">
        <v>5007</v>
      </c>
      <c r="K1615" s="4">
        <v>787</v>
      </c>
    </row>
    <row r="1616" spans="1:11" hidden="1" outlineLevel="2" x14ac:dyDescent="0.35">
      <c r="A1616" t="s">
        <v>3115</v>
      </c>
      <c r="B1616" s="1">
        <v>45737</v>
      </c>
      <c r="C1616" t="str">
        <f>"285"</f>
        <v>285</v>
      </c>
      <c r="D1616" t="s">
        <v>5010</v>
      </c>
      <c r="E1616" t="str">
        <f>"181223"</f>
        <v>181223</v>
      </c>
      <c r="F1616" t="str">
        <f t="shared" si="27"/>
        <v>33200000</v>
      </c>
      <c r="H1616" t="s">
        <v>5011</v>
      </c>
      <c r="K1616" s="4">
        <v>38439</v>
      </c>
    </row>
    <row r="1617" spans="1:11" hidden="1" outlineLevel="2" x14ac:dyDescent="0.35">
      <c r="A1617" t="s">
        <v>3115</v>
      </c>
      <c r="B1617" s="1">
        <v>45737</v>
      </c>
      <c r="C1617" t="str">
        <f>"286"</f>
        <v>286</v>
      </c>
      <c r="D1617" t="s">
        <v>5012</v>
      </c>
      <c r="E1617" t="str">
        <f>"181226"</f>
        <v>181226</v>
      </c>
      <c r="F1617" t="str">
        <f t="shared" si="27"/>
        <v>33200000</v>
      </c>
      <c r="H1617" t="s">
        <v>5013</v>
      </c>
      <c r="K1617" s="4">
        <v>65006</v>
      </c>
    </row>
    <row r="1618" spans="1:11" hidden="1" outlineLevel="2" x14ac:dyDescent="0.35">
      <c r="A1618" t="s">
        <v>3115</v>
      </c>
      <c r="B1618" s="1">
        <v>45737</v>
      </c>
      <c r="C1618" t="str">
        <f>"287"</f>
        <v>287</v>
      </c>
      <c r="D1618" t="s">
        <v>5014</v>
      </c>
      <c r="E1618" t="str">
        <f>"180490"</f>
        <v>180490</v>
      </c>
      <c r="F1618" t="str">
        <f t="shared" si="27"/>
        <v>33200000</v>
      </c>
      <c r="H1618" t="s">
        <v>5015</v>
      </c>
      <c r="K1618" s="4">
        <v>46442</v>
      </c>
    </row>
    <row r="1619" spans="1:11" hidden="1" outlineLevel="2" x14ac:dyDescent="0.35">
      <c r="A1619" t="s">
        <v>3115</v>
      </c>
      <c r="B1619" s="1">
        <v>45737</v>
      </c>
      <c r="C1619" t="str">
        <f>"288"</f>
        <v>288</v>
      </c>
      <c r="D1619" t="s">
        <v>5016</v>
      </c>
      <c r="E1619" t="str">
        <f>"162599"</f>
        <v>162599</v>
      </c>
      <c r="F1619" t="str">
        <f t="shared" si="27"/>
        <v>33200000</v>
      </c>
      <c r="H1619" t="s">
        <v>5017</v>
      </c>
      <c r="K1619" s="4">
        <v>3214</v>
      </c>
    </row>
    <row r="1620" spans="1:11" hidden="1" outlineLevel="2" x14ac:dyDescent="0.35">
      <c r="A1620" t="s">
        <v>3115</v>
      </c>
      <c r="B1620" s="1">
        <v>45737</v>
      </c>
      <c r="C1620" t="str">
        <f>"289"</f>
        <v>289</v>
      </c>
      <c r="D1620" t="s">
        <v>5018</v>
      </c>
      <c r="E1620" t="str">
        <f>"182041"</f>
        <v>182041</v>
      </c>
      <c r="F1620" t="str">
        <f t="shared" si="27"/>
        <v>33200000</v>
      </c>
      <c r="H1620" t="s">
        <v>5019</v>
      </c>
      <c r="K1620" s="4">
        <v>2099</v>
      </c>
    </row>
    <row r="1621" spans="1:11" hidden="1" outlineLevel="2" x14ac:dyDescent="0.35">
      <c r="A1621" t="s">
        <v>3115</v>
      </c>
      <c r="B1621" s="1">
        <v>45737</v>
      </c>
      <c r="C1621" t="str">
        <f>"290"</f>
        <v>290</v>
      </c>
      <c r="D1621" t="s">
        <v>5020</v>
      </c>
      <c r="E1621" t="str">
        <f>"184651"</f>
        <v>184651</v>
      </c>
      <c r="F1621" t="str">
        <f t="shared" si="27"/>
        <v>33200000</v>
      </c>
      <c r="H1621" t="s">
        <v>5021</v>
      </c>
      <c r="K1621" s="4">
        <v>3178</v>
      </c>
    </row>
    <row r="1622" spans="1:11" hidden="1" outlineLevel="2" x14ac:dyDescent="0.35">
      <c r="A1622" t="s">
        <v>3115</v>
      </c>
      <c r="B1622" s="1">
        <v>45737</v>
      </c>
      <c r="C1622" t="str">
        <f>"291"</f>
        <v>291</v>
      </c>
      <c r="D1622" t="s">
        <v>5022</v>
      </c>
      <c r="E1622" t="str">
        <f>"14507"</f>
        <v>14507</v>
      </c>
      <c r="F1622" t="str">
        <f t="shared" si="27"/>
        <v>33200000</v>
      </c>
      <c r="H1622" t="s">
        <v>5023</v>
      </c>
      <c r="K1622" s="4">
        <v>21580</v>
      </c>
    </row>
    <row r="1623" spans="1:11" hidden="1" outlineLevel="2" x14ac:dyDescent="0.35">
      <c r="A1623" t="s">
        <v>3115</v>
      </c>
      <c r="B1623" s="1">
        <v>45737</v>
      </c>
      <c r="C1623" t="str">
        <f>"292"</f>
        <v>292</v>
      </c>
      <c r="D1623" t="s">
        <v>5024</v>
      </c>
      <c r="E1623" t="str">
        <f>"181225"</f>
        <v>181225</v>
      </c>
      <c r="F1623" t="str">
        <f t="shared" si="27"/>
        <v>33200000</v>
      </c>
      <c r="H1623" t="s">
        <v>5025</v>
      </c>
      <c r="K1623" s="4">
        <v>262</v>
      </c>
    </row>
    <row r="1624" spans="1:11" hidden="1" outlineLevel="2" x14ac:dyDescent="0.35">
      <c r="A1624" t="s">
        <v>3115</v>
      </c>
      <c r="B1624" s="1">
        <v>45737</v>
      </c>
      <c r="C1624" t="str">
        <f>"293"</f>
        <v>293</v>
      </c>
      <c r="D1624" t="s">
        <v>5026</v>
      </c>
      <c r="E1624" t="str">
        <f>"182000"</f>
        <v>182000</v>
      </c>
      <c r="F1624" t="str">
        <f t="shared" si="27"/>
        <v>33200000</v>
      </c>
      <c r="H1624" t="s">
        <v>5027</v>
      </c>
      <c r="K1624" s="4">
        <v>71500</v>
      </c>
    </row>
    <row r="1625" spans="1:11" hidden="1" outlineLevel="2" x14ac:dyDescent="0.35">
      <c r="A1625" t="s">
        <v>3115</v>
      </c>
      <c r="B1625" s="1">
        <v>45737</v>
      </c>
      <c r="C1625" t="str">
        <f>"294"</f>
        <v>294</v>
      </c>
      <c r="D1625" t="s">
        <v>5028</v>
      </c>
      <c r="E1625" t="str">
        <f>"183502"</f>
        <v>183502</v>
      </c>
      <c r="F1625" t="str">
        <f t="shared" si="27"/>
        <v>33200000</v>
      </c>
      <c r="H1625" t="s">
        <v>5029</v>
      </c>
      <c r="K1625" s="4">
        <v>9677</v>
      </c>
    </row>
    <row r="1626" spans="1:11" hidden="1" outlineLevel="2" x14ac:dyDescent="0.35">
      <c r="A1626" t="s">
        <v>3115</v>
      </c>
      <c r="B1626" s="1">
        <v>45737</v>
      </c>
      <c r="C1626" t="str">
        <f>"295"</f>
        <v>295</v>
      </c>
      <c r="D1626" t="s">
        <v>5030</v>
      </c>
      <c r="E1626" t="str">
        <f>"147276"</f>
        <v>147276</v>
      </c>
      <c r="F1626" t="str">
        <f t="shared" si="27"/>
        <v>33200000</v>
      </c>
      <c r="H1626" t="s">
        <v>5031</v>
      </c>
      <c r="K1626" s="4">
        <v>20859</v>
      </c>
    </row>
    <row r="1627" spans="1:11" hidden="1" outlineLevel="2" x14ac:dyDescent="0.35">
      <c r="A1627" t="s">
        <v>3115</v>
      </c>
      <c r="B1627" s="1">
        <v>45737</v>
      </c>
      <c r="C1627" t="str">
        <f>"296"</f>
        <v>296</v>
      </c>
      <c r="D1627" t="s">
        <v>5032</v>
      </c>
      <c r="E1627" t="str">
        <f>"181188"</f>
        <v>181188</v>
      </c>
      <c r="F1627" t="str">
        <f t="shared" si="27"/>
        <v>33200000</v>
      </c>
      <c r="H1627" t="s">
        <v>5033</v>
      </c>
      <c r="K1627" s="4">
        <v>9677</v>
      </c>
    </row>
    <row r="1628" spans="1:11" hidden="1" outlineLevel="2" x14ac:dyDescent="0.35">
      <c r="A1628" t="s">
        <v>3115</v>
      </c>
      <c r="B1628" s="1">
        <v>45737</v>
      </c>
      <c r="C1628" t="str">
        <f>"297"</f>
        <v>297</v>
      </c>
      <c r="D1628" t="s">
        <v>5034</v>
      </c>
      <c r="E1628" t="str">
        <f>"180489"</f>
        <v>180489</v>
      </c>
      <c r="F1628" t="str">
        <f t="shared" si="27"/>
        <v>33200000</v>
      </c>
      <c r="H1628" t="s">
        <v>5035</v>
      </c>
      <c r="K1628" s="4">
        <v>656</v>
      </c>
    </row>
    <row r="1629" spans="1:11" hidden="1" outlineLevel="2" x14ac:dyDescent="0.35">
      <c r="A1629" t="s">
        <v>3115</v>
      </c>
      <c r="B1629" s="1">
        <v>45737</v>
      </c>
      <c r="C1629" t="str">
        <f>"298"</f>
        <v>298</v>
      </c>
      <c r="D1629" t="s">
        <v>5036</v>
      </c>
      <c r="E1629" t="str">
        <f>"183436"</f>
        <v>183436</v>
      </c>
      <c r="F1629" t="str">
        <f t="shared" si="27"/>
        <v>33200000</v>
      </c>
      <c r="H1629" t="s">
        <v>5037</v>
      </c>
      <c r="K1629" s="4">
        <v>21580</v>
      </c>
    </row>
    <row r="1630" spans="1:11" hidden="1" outlineLevel="2" x14ac:dyDescent="0.35">
      <c r="A1630" t="s">
        <v>3115</v>
      </c>
      <c r="B1630" s="1">
        <v>45737</v>
      </c>
      <c r="C1630" t="str">
        <f>"299"</f>
        <v>299</v>
      </c>
      <c r="D1630" t="s">
        <v>5038</v>
      </c>
      <c r="E1630" t="str">
        <f>"184506"</f>
        <v>184506</v>
      </c>
      <c r="F1630" t="str">
        <f t="shared" si="27"/>
        <v>33200000</v>
      </c>
      <c r="H1630" t="s">
        <v>5039</v>
      </c>
      <c r="K1630" s="4">
        <v>6887</v>
      </c>
    </row>
    <row r="1631" spans="1:11" hidden="1" outlineLevel="2" x14ac:dyDescent="0.35">
      <c r="A1631" t="s">
        <v>3115</v>
      </c>
      <c r="B1631" s="1">
        <v>45737</v>
      </c>
      <c r="C1631" t="str">
        <f>"300"</f>
        <v>300</v>
      </c>
      <c r="D1631" t="s">
        <v>5040</v>
      </c>
      <c r="E1631" t="str">
        <f>"181224"</f>
        <v>181224</v>
      </c>
      <c r="F1631" t="str">
        <f t="shared" si="27"/>
        <v>33200000</v>
      </c>
      <c r="H1631" t="s">
        <v>5041</v>
      </c>
      <c r="K1631" s="4">
        <v>328</v>
      </c>
    </row>
    <row r="1632" spans="1:11" hidden="1" outlineLevel="2" x14ac:dyDescent="0.35">
      <c r="A1632" t="s">
        <v>3115</v>
      </c>
      <c r="B1632" s="1">
        <v>45737</v>
      </c>
      <c r="C1632" t="str">
        <f>"301"</f>
        <v>301</v>
      </c>
      <c r="D1632" t="s">
        <v>5042</v>
      </c>
      <c r="E1632" t="str">
        <f>"184505"</f>
        <v>184505</v>
      </c>
      <c r="F1632" t="str">
        <f t="shared" si="27"/>
        <v>33200000</v>
      </c>
      <c r="H1632" t="s">
        <v>5043</v>
      </c>
      <c r="K1632" s="4">
        <v>2099</v>
      </c>
    </row>
    <row r="1633" spans="1:11" hidden="1" outlineLevel="2" x14ac:dyDescent="0.35">
      <c r="A1633" t="s">
        <v>3115</v>
      </c>
      <c r="B1633" s="1">
        <v>45737</v>
      </c>
      <c r="C1633" t="str">
        <f>"302"</f>
        <v>302</v>
      </c>
      <c r="D1633" t="s">
        <v>5044</v>
      </c>
      <c r="E1633" t="str">
        <f>"183433"</f>
        <v>183433</v>
      </c>
      <c r="F1633" t="str">
        <f t="shared" si="27"/>
        <v>33200000</v>
      </c>
      <c r="H1633" t="s">
        <v>5045</v>
      </c>
      <c r="K1633" s="4">
        <v>1574</v>
      </c>
    </row>
    <row r="1634" spans="1:11" hidden="1" outlineLevel="2" x14ac:dyDescent="0.35">
      <c r="A1634" t="s">
        <v>3115</v>
      </c>
      <c r="B1634" s="1">
        <v>45737</v>
      </c>
      <c r="C1634" t="str">
        <f>"303"</f>
        <v>303</v>
      </c>
      <c r="D1634" t="s">
        <v>5046</v>
      </c>
      <c r="E1634" t="str">
        <f>"183434"</f>
        <v>183434</v>
      </c>
      <c r="F1634" t="str">
        <f t="shared" si="27"/>
        <v>33200000</v>
      </c>
      <c r="H1634" t="s">
        <v>5047</v>
      </c>
      <c r="K1634" s="4">
        <v>8921</v>
      </c>
    </row>
    <row r="1635" spans="1:11" hidden="1" outlineLevel="2" x14ac:dyDescent="0.35">
      <c r="A1635" t="s">
        <v>3115</v>
      </c>
      <c r="B1635" s="1">
        <v>45737</v>
      </c>
      <c r="C1635" t="str">
        <f>"304"</f>
        <v>304</v>
      </c>
      <c r="D1635" t="s">
        <v>5048</v>
      </c>
      <c r="E1635" t="str">
        <f>"184203"</f>
        <v>184203</v>
      </c>
      <c r="F1635" t="str">
        <f t="shared" si="27"/>
        <v>33200000</v>
      </c>
      <c r="H1635" t="s">
        <v>5049</v>
      </c>
      <c r="K1635" s="4">
        <v>24928</v>
      </c>
    </row>
    <row r="1636" spans="1:11" hidden="1" outlineLevel="2" x14ac:dyDescent="0.35">
      <c r="A1636" t="s">
        <v>3115</v>
      </c>
      <c r="B1636" s="1">
        <v>45737</v>
      </c>
      <c r="C1636" t="str">
        <f>"305"</f>
        <v>305</v>
      </c>
      <c r="D1636" t="s">
        <v>5050</v>
      </c>
      <c r="E1636" t="str">
        <f>"184202"</f>
        <v>184202</v>
      </c>
      <c r="F1636" t="str">
        <f t="shared" si="27"/>
        <v>33200000</v>
      </c>
      <c r="H1636" t="s">
        <v>5051</v>
      </c>
      <c r="K1636" s="4">
        <v>24928</v>
      </c>
    </row>
    <row r="1637" spans="1:11" hidden="1" outlineLevel="2" x14ac:dyDescent="0.35">
      <c r="A1637" t="s">
        <v>3115</v>
      </c>
      <c r="B1637" s="1">
        <v>45738</v>
      </c>
      <c r="C1637" t="str">
        <f>"274"</f>
        <v>274</v>
      </c>
      <c r="D1637" t="s">
        <v>5052</v>
      </c>
      <c r="E1637" t="str">
        <f>"181221"</f>
        <v>181221</v>
      </c>
      <c r="F1637" t="str">
        <f t="shared" si="27"/>
        <v>33200000</v>
      </c>
      <c r="H1637" t="s">
        <v>5053</v>
      </c>
      <c r="K1637" s="4">
        <v>656</v>
      </c>
    </row>
    <row r="1638" spans="1:11" hidden="1" outlineLevel="2" x14ac:dyDescent="0.35">
      <c r="A1638" t="s">
        <v>3115</v>
      </c>
      <c r="B1638" s="1">
        <v>45740</v>
      </c>
      <c r="C1638" t="str">
        <f>"17"</f>
        <v>17</v>
      </c>
      <c r="D1638" t="s">
        <v>5056</v>
      </c>
      <c r="E1638" t="str">
        <f>"180492"</f>
        <v>180492</v>
      </c>
      <c r="F1638" t="str">
        <f t="shared" si="27"/>
        <v>33200000</v>
      </c>
      <c r="H1638" t="s">
        <v>5057</v>
      </c>
      <c r="K1638" s="4">
        <v>300</v>
      </c>
    </row>
    <row r="1639" spans="1:11" hidden="1" outlineLevel="2" x14ac:dyDescent="0.35">
      <c r="A1639" t="s">
        <v>3115</v>
      </c>
      <c r="B1639" s="1">
        <v>45740</v>
      </c>
      <c r="C1639" t="str">
        <f>"18"</f>
        <v>18</v>
      </c>
      <c r="D1639" t="s">
        <v>5058</v>
      </c>
      <c r="E1639" t="str">
        <f>"181303"</f>
        <v>181303</v>
      </c>
      <c r="F1639" t="str">
        <f t="shared" si="27"/>
        <v>33200000</v>
      </c>
      <c r="H1639" t="s">
        <v>5059</v>
      </c>
      <c r="K1639" s="4">
        <v>2506</v>
      </c>
    </row>
    <row r="1640" spans="1:11" hidden="1" outlineLevel="2" x14ac:dyDescent="0.35">
      <c r="A1640" t="s">
        <v>3115</v>
      </c>
      <c r="B1640" s="1">
        <v>45740</v>
      </c>
      <c r="C1640" t="str">
        <f>"210"</f>
        <v>210</v>
      </c>
      <c r="D1640" t="s">
        <v>5064</v>
      </c>
      <c r="E1640" t="str">
        <f>"184253"</f>
        <v>184253</v>
      </c>
      <c r="F1640" t="str">
        <f t="shared" si="27"/>
        <v>33200000</v>
      </c>
      <c r="H1640" t="s">
        <v>5065</v>
      </c>
      <c r="K1640" s="4">
        <v>10039</v>
      </c>
    </row>
    <row r="1641" spans="1:11" hidden="1" outlineLevel="2" x14ac:dyDescent="0.35">
      <c r="A1641" t="s">
        <v>3115</v>
      </c>
      <c r="B1641" s="1">
        <v>45740</v>
      </c>
      <c r="C1641" t="str">
        <f>"211"</f>
        <v>211</v>
      </c>
      <c r="D1641" t="s">
        <v>5066</v>
      </c>
      <c r="E1641" t="str">
        <f>"178450"</f>
        <v>178450</v>
      </c>
      <c r="F1641" t="str">
        <f t="shared" si="27"/>
        <v>33200000</v>
      </c>
      <c r="H1641" t="s">
        <v>5067</v>
      </c>
      <c r="K1641" s="4">
        <v>4560</v>
      </c>
    </row>
    <row r="1642" spans="1:11" hidden="1" outlineLevel="2" x14ac:dyDescent="0.35">
      <c r="A1642" t="s">
        <v>3115</v>
      </c>
      <c r="B1642" s="1">
        <v>45740</v>
      </c>
      <c r="C1642" t="str">
        <f>"212"</f>
        <v>212</v>
      </c>
      <c r="D1642" t="s">
        <v>5068</v>
      </c>
      <c r="E1642" t="str">
        <f>"183358"</f>
        <v>183358</v>
      </c>
      <c r="F1642" t="str">
        <f t="shared" si="27"/>
        <v>33200000</v>
      </c>
      <c r="H1642" t="s">
        <v>5069</v>
      </c>
      <c r="K1642" s="4">
        <v>14400</v>
      </c>
    </row>
    <row r="1643" spans="1:11" hidden="1" outlineLevel="2" x14ac:dyDescent="0.35">
      <c r="A1643" t="s">
        <v>3115</v>
      </c>
      <c r="B1643" s="1">
        <v>45740</v>
      </c>
      <c r="C1643" t="str">
        <f>"217"</f>
        <v>217</v>
      </c>
      <c r="D1643" t="s">
        <v>5078</v>
      </c>
      <c r="E1643" t="str">
        <f>"181304"</f>
        <v>181304</v>
      </c>
      <c r="F1643" t="str">
        <f t="shared" si="27"/>
        <v>33200000</v>
      </c>
      <c r="H1643" t="s">
        <v>5079</v>
      </c>
      <c r="K1643" s="4">
        <v>6356</v>
      </c>
    </row>
    <row r="1644" spans="1:11" hidden="1" outlineLevel="2" x14ac:dyDescent="0.35">
      <c r="A1644" t="s">
        <v>3115</v>
      </c>
      <c r="B1644" s="1">
        <v>45740</v>
      </c>
      <c r="C1644" t="str">
        <f>"218"</f>
        <v>218</v>
      </c>
      <c r="D1644" t="s">
        <v>5080</v>
      </c>
      <c r="E1644" t="str">
        <f>"182086"</f>
        <v>182086</v>
      </c>
      <c r="F1644" t="str">
        <f t="shared" si="27"/>
        <v>33200000</v>
      </c>
      <c r="H1644" t="s">
        <v>5081</v>
      </c>
      <c r="K1644" s="4">
        <v>35000</v>
      </c>
    </row>
    <row r="1645" spans="1:11" hidden="1" outlineLevel="2" x14ac:dyDescent="0.35">
      <c r="A1645" t="s">
        <v>3115</v>
      </c>
      <c r="B1645" s="1">
        <v>45740</v>
      </c>
      <c r="C1645" t="str">
        <f>"227"</f>
        <v>227</v>
      </c>
      <c r="D1645" t="s">
        <v>5098</v>
      </c>
      <c r="E1645" t="str">
        <f>"183490"</f>
        <v>183490</v>
      </c>
      <c r="F1645" t="str">
        <f t="shared" si="27"/>
        <v>33200000</v>
      </c>
      <c r="H1645" t="s">
        <v>5099</v>
      </c>
      <c r="K1645" s="4">
        <v>2327</v>
      </c>
    </row>
    <row r="1646" spans="1:11" hidden="1" outlineLevel="2" x14ac:dyDescent="0.35">
      <c r="A1646" t="s">
        <v>3115</v>
      </c>
      <c r="B1646" s="1">
        <v>45740</v>
      </c>
      <c r="C1646" t="str">
        <f>"229"</f>
        <v>229</v>
      </c>
      <c r="D1646" t="s">
        <v>5102</v>
      </c>
      <c r="E1646" t="str">
        <f>"182234"</f>
        <v>182234</v>
      </c>
      <c r="F1646" t="str">
        <f t="shared" si="27"/>
        <v>33200000</v>
      </c>
      <c r="H1646" t="s">
        <v>5103</v>
      </c>
      <c r="K1646" s="4">
        <v>119975</v>
      </c>
    </row>
    <row r="1647" spans="1:11" hidden="1" outlineLevel="2" x14ac:dyDescent="0.35">
      <c r="A1647" t="s">
        <v>3115</v>
      </c>
      <c r="B1647" s="1">
        <v>45740</v>
      </c>
      <c r="C1647" t="str">
        <f>"230"</f>
        <v>230</v>
      </c>
      <c r="D1647" t="s">
        <v>5104</v>
      </c>
      <c r="E1647" t="str">
        <f>"181228"</f>
        <v>181228</v>
      </c>
      <c r="F1647" t="str">
        <f t="shared" si="27"/>
        <v>33200000</v>
      </c>
      <c r="H1647" t="s">
        <v>5105</v>
      </c>
      <c r="K1647" s="4">
        <v>3178</v>
      </c>
    </row>
    <row r="1648" spans="1:11" hidden="1" outlineLevel="2" x14ac:dyDescent="0.35">
      <c r="A1648" t="s">
        <v>3115</v>
      </c>
      <c r="B1648" s="1">
        <v>45740</v>
      </c>
      <c r="C1648" t="str">
        <f>"231"</f>
        <v>231</v>
      </c>
      <c r="D1648" t="s">
        <v>5106</v>
      </c>
      <c r="E1648" t="str">
        <f>"182035"</f>
        <v>182035</v>
      </c>
      <c r="F1648" t="str">
        <f t="shared" si="27"/>
        <v>33200000</v>
      </c>
      <c r="H1648" t="s">
        <v>5107</v>
      </c>
      <c r="K1648" s="4">
        <v>6954</v>
      </c>
    </row>
    <row r="1649" spans="1:11" hidden="1" outlineLevel="2" x14ac:dyDescent="0.35">
      <c r="A1649" t="s">
        <v>3115</v>
      </c>
      <c r="B1649" s="1">
        <v>45740</v>
      </c>
      <c r="C1649" t="str">
        <f>"232"</f>
        <v>232</v>
      </c>
      <c r="D1649" t="s">
        <v>5108</v>
      </c>
      <c r="E1649" t="str">
        <f>"182031"</f>
        <v>182031</v>
      </c>
      <c r="F1649" t="str">
        <f t="shared" si="27"/>
        <v>33200000</v>
      </c>
      <c r="H1649" t="s">
        <v>5109</v>
      </c>
      <c r="K1649" s="4">
        <v>6954</v>
      </c>
    </row>
    <row r="1650" spans="1:11" hidden="1" outlineLevel="2" x14ac:dyDescent="0.35">
      <c r="A1650" t="s">
        <v>3115</v>
      </c>
      <c r="B1650" s="1">
        <v>45740</v>
      </c>
      <c r="C1650" t="str">
        <f>"233"</f>
        <v>233</v>
      </c>
      <c r="D1650" t="s">
        <v>5110</v>
      </c>
      <c r="E1650" t="str">
        <f>"182030"</f>
        <v>182030</v>
      </c>
      <c r="F1650" t="str">
        <f t="shared" ref="F1650:F1713" si="28">"33200000"</f>
        <v>33200000</v>
      </c>
      <c r="H1650" t="s">
        <v>5111</v>
      </c>
      <c r="K1650" s="4">
        <v>2100</v>
      </c>
    </row>
    <row r="1651" spans="1:11" hidden="1" outlineLevel="2" x14ac:dyDescent="0.35">
      <c r="A1651" t="s">
        <v>3115</v>
      </c>
      <c r="B1651" s="1">
        <v>45740</v>
      </c>
      <c r="C1651" t="str">
        <f>"235"</f>
        <v>235</v>
      </c>
      <c r="D1651" t="s">
        <v>5114</v>
      </c>
      <c r="E1651" t="str">
        <f>"181302"</f>
        <v>181302</v>
      </c>
      <c r="F1651" t="str">
        <f t="shared" si="28"/>
        <v>33200000</v>
      </c>
      <c r="H1651" t="s">
        <v>5115</v>
      </c>
      <c r="K1651" s="4">
        <v>3017</v>
      </c>
    </row>
    <row r="1652" spans="1:11" hidden="1" outlineLevel="2" x14ac:dyDescent="0.35">
      <c r="A1652" t="s">
        <v>3115</v>
      </c>
      <c r="B1652" s="1">
        <v>45740</v>
      </c>
      <c r="C1652" t="str">
        <f>"239"</f>
        <v>239</v>
      </c>
      <c r="D1652" t="s">
        <v>5122</v>
      </c>
      <c r="E1652" t="str">
        <f>"184656"</f>
        <v>184656</v>
      </c>
      <c r="F1652" t="str">
        <f t="shared" si="28"/>
        <v>33200000</v>
      </c>
      <c r="H1652" t="s">
        <v>5123</v>
      </c>
      <c r="K1652" s="4">
        <v>6356</v>
      </c>
    </row>
    <row r="1653" spans="1:11" hidden="1" outlineLevel="2" x14ac:dyDescent="0.35">
      <c r="A1653" t="s">
        <v>3115</v>
      </c>
      <c r="B1653" s="1">
        <v>45740</v>
      </c>
      <c r="C1653" t="str">
        <f>"241"</f>
        <v>241</v>
      </c>
      <c r="D1653" t="s">
        <v>5126</v>
      </c>
      <c r="E1653" t="str">
        <f>"184654"</f>
        <v>184654</v>
      </c>
      <c r="F1653" t="str">
        <f t="shared" si="28"/>
        <v>33200000</v>
      </c>
      <c r="H1653" t="s">
        <v>5127</v>
      </c>
      <c r="K1653" s="4">
        <v>5715</v>
      </c>
    </row>
    <row r="1654" spans="1:11" hidden="1" outlineLevel="2" x14ac:dyDescent="0.35">
      <c r="A1654" t="s">
        <v>3115</v>
      </c>
      <c r="B1654" s="1">
        <v>45740</v>
      </c>
      <c r="C1654" t="str">
        <f>"242"</f>
        <v>242</v>
      </c>
      <c r="D1654" t="s">
        <v>5128</v>
      </c>
      <c r="E1654" t="str">
        <f>"184652"</f>
        <v>184652</v>
      </c>
      <c r="F1654" t="str">
        <f t="shared" si="28"/>
        <v>33200000</v>
      </c>
      <c r="H1654" t="s">
        <v>5129</v>
      </c>
      <c r="K1654" s="4">
        <v>6356</v>
      </c>
    </row>
    <row r="1655" spans="1:11" hidden="1" outlineLevel="2" x14ac:dyDescent="0.35">
      <c r="A1655" t="s">
        <v>3115</v>
      </c>
      <c r="B1655" s="1">
        <v>45740</v>
      </c>
      <c r="C1655" t="str">
        <f>"244"</f>
        <v>244</v>
      </c>
      <c r="D1655" t="s">
        <v>5132</v>
      </c>
      <c r="E1655" t="str">
        <f>"147280"</f>
        <v>147280</v>
      </c>
      <c r="F1655" t="str">
        <f t="shared" si="28"/>
        <v>33200000</v>
      </c>
      <c r="H1655" t="s">
        <v>5133</v>
      </c>
      <c r="K1655" s="4">
        <v>2099</v>
      </c>
    </row>
    <row r="1656" spans="1:11" hidden="1" outlineLevel="2" x14ac:dyDescent="0.35">
      <c r="A1656" t="s">
        <v>3115</v>
      </c>
      <c r="B1656" s="1">
        <v>45740</v>
      </c>
      <c r="C1656" t="str">
        <f>"245"</f>
        <v>245</v>
      </c>
      <c r="D1656" t="s">
        <v>5134</v>
      </c>
      <c r="E1656" t="str">
        <f>"147217"</f>
        <v>147217</v>
      </c>
      <c r="F1656" t="str">
        <f t="shared" si="28"/>
        <v>33200000</v>
      </c>
      <c r="H1656" t="s">
        <v>5135</v>
      </c>
      <c r="K1656" s="4">
        <v>656</v>
      </c>
    </row>
    <row r="1657" spans="1:11" hidden="1" outlineLevel="2" x14ac:dyDescent="0.35">
      <c r="A1657" t="s">
        <v>3115</v>
      </c>
      <c r="B1657" s="1">
        <v>45740</v>
      </c>
      <c r="C1657" t="str">
        <f>"246"</f>
        <v>246</v>
      </c>
      <c r="D1657" t="s">
        <v>5136</v>
      </c>
      <c r="E1657" t="str">
        <f>"178445"</f>
        <v>178445</v>
      </c>
      <c r="F1657" t="str">
        <f t="shared" si="28"/>
        <v>33200000</v>
      </c>
      <c r="H1657" t="s">
        <v>5137</v>
      </c>
      <c r="K1657" s="4">
        <v>31304</v>
      </c>
    </row>
    <row r="1658" spans="1:11" hidden="1" outlineLevel="2" x14ac:dyDescent="0.35">
      <c r="A1658" t="s">
        <v>3115</v>
      </c>
      <c r="B1658" s="1">
        <v>45740</v>
      </c>
      <c r="C1658" t="str">
        <f>"247"</f>
        <v>247</v>
      </c>
      <c r="D1658" t="s">
        <v>5138</v>
      </c>
      <c r="E1658" t="str">
        <f>"181227"</f>
        <v>181227</v>
      </c>
      <c r="F1658" t="str">
        <f t="shared" si="28"/>
        <v>33200000</v>
      </c>
      <c r="H1658" t="s">
        <v>5139</v>
      </c>
      <c r="K1658" s="4">
        <v>69138</v>
      </c>
    </row>
    <row r="1659" spans="1:11" hidden="1" outlineLevel="2" x14ac:dyDescent="0.35">
      <c r="A1659" t="s">
        <v>3115</v>
      </c>
      <c r="B1659" s="1">
        <v>45740</v>
      </c>
      <c r="C1659" t="str">
        <f>"248"</f>
        <v>248</v>
      </c>
      <c r="D1659" t="s">
        <v>5140</v>
      </c>
      <c r="E1659" t="str">
        <f>"178447"</f>
        <v>178447</v>
      </c>
      <c r="F1659" t="str">
        <f t="shared" si="28"/>
        <v>33200000</v>
      </c>
      <c r="H1659" t="s">
        <v>5141</v>
      </c>
      <c r="K1659" s="4">
        <v>100162</v>
      </c>
    </row>
    <row r="1660" spans="1:11" hidden="1" outlineLevel="2" x14ac:dyDescent="0.35">
      <c r="A1660" t="s">
        <v>3115</v>
      </c>
      <c r="B1660" s="1">
        <v>45740</v>
      </c>
      <c r="C1660" t="str">
        <f>"249"</f>
        <v>249</v>
      </c>
      <c r="D1660" t="s">
        <v>5142</v>
      </c>
      <c r="E1660" t="str">
        <f>"181229"</f>
        <v>181229</v>
      </c>
      <c r="F1660" t="str">
        <f t="shared" si="28"/>
        <v>33200000</v>
      </c>
      <c r="H1660" t="s">
        <v>5143</v>
      </c>
      <c r="K1660" s="4">
        <v>12464</v>
      </c>
    </row>
    <row r="1661" spans="1:11" hidden="1" outlineLevel="2" x14ac:dyDescent="0.35">
      <c r="A1661" t="s">
        <v>3115</v>
      </c>
      <c r="B1661" s="1">
        <v>45740</v>
      </c>
      <c r="C1661" t="str">
        <f>"250"</f>
        <v>250</v>
      </c>
      <c r="D1661" t="s">
        <v>5144</v>
      </c>
      <c r="E1661" t="str">
        <f>"182032"</f>
        <v>182032</v>
      </c>
      <c r="F1661" t="str">
        <f t="shared" si="28"/>
        <v>33200000</v>
      </c>
      <c r="H1661" t="s">
        <v>5145</v>
      </c>
      <c r="K1661" s="4">
        <v>2099</v>
      </c>
    </row>
    <row r="1662" spans="1:11" hidden="1" outlineLevel="2" x14ac:dyDescent="0.35">
      <c r="A1662" t="s">
        <v>3115</v>
      </c>
      <c r="B1662" s="1">
        <v>45740</v>
      </c>
      <c r="C1662" t="str">
        <f>"251"</f>
        <v>251</v>
      </c>
      <c r="D1662" t="s">
        <v>5146</v>
      </c>
      <c r="E1662" t="str">
        <f>"184509"</f>
        <v>184509</v>
      </c>
      <c r="F1662" t="str">
        <f t="shared" si="28"/>
        <v>33200000</v>
      </c>
      <c r="H1662" t="s">
        <v>5147</v>
      </c>
      <c r="K1662" s="4">
        <v>1443</v>
      </c>
    </row>
    <row r="1663" spans="1:11" hidden="1" outlineLevel="2" x14ac:dyDescent="0.35">
      <c r="A1663" t="s">
        <v>3115</v>
      </c>
      <c r="B1663" s="1">
        <v>45740</v>
      </c>
      <c r="C1663" t="str">
        <f>"253"</f>
        <v>253</v>
      </c>
      <c r="D1663" t="s">
        <v>5150</v>
      </c>
      <c r="E1663" t="str">
        <f>"181927"</f>
        <v>181927</v>
      </c>
      <c r="F1663" t="str">
        <f t="shared" si="28"/>
        <v>33200000</v>
      </c>
      <c r="H1663" t="s">
        <v>5151</v>
      </c>
      <c r="K1663" s="4">
        <v>57237</v>
      </c>
    </row>
    <row r="1664" spans="1:11" hidden="1" outlineLevel="2" x14ac:dyDescent="0.35">
      <c r="A1664" t="s">
        <v>3115</v>
      </c>
      <c r="B1664" s="1">
        <v>45740</v>
      </c>
      <c r="C1664" t="str">
        <f>"254"</f>
        <v>254</v>
      </c>
      <c r="D1664" t="s">
        <v>5152</v>
      </c>
      <c r="E1664" t="str">
        <f>"183438"</f>
        <v>183438</v>
      </c>
      <c r="F1664" t="str">
        <f t="shared" si="28"/>
        <v>33200000</v>
      </c>
      <c r="H1664" t="s">
        <v>5153</v>
      </c>
      <c r="K1664" s="4">
        <v>6756</v>
      </c>
    </row>
    <row r="1665" spans="1:11" hidden="1" outlineLevel="2" x14ac:dyDescent="0.35">
      <c r="A1665" t="s">
        <v>3115</v>
      </c>
      <c r="B1665" s="1">
        <v>45740</v>
      </c>
      <c r="C1665" t="str">
        <f>"255"</f>
        <v>255</v>
      </c>
      <c r="D1665" t="s">
        <v>5154</v>
      </c>
      <c r="E1665" t="str">
        <f>"183562"</f>
        <v>183562</v>
      </c>
      <c r="F1665" t="str">
        <f t="shared" si="28"/>
        <v>33200000</v>
      </c>
      <c r="H1665" t="s">
        <v>5155</v>
      </c>
      <c r="K1665" s="4">
        <v>57237</v>
      </c>
    </row>
    <row r="1666" spans="1:11" hidden="1" outlineLevel="2" x14ac:dyDescent="0.35">
      <c r="A1666" t="s">
        <v>3115</v>
      </c>
      <c r="B1666" s="1">
        <v>45740</v>
      </c>
      <c r="C1666" t="str">
        <f>"256"</f>
        <v>256</v>
      </c>
      <c r="D1666" t="s">
        <v>5156</v>
      </c>
      <c r="E1666" t="str">
        <f>"183415"</f>
        <v>183415</v>
      </c>
      <c r="F1666" t="str">
        <f t="shared" si="28"/>
        <v>33200000</v>
      </c>
      <c r="H1666" t="s">
        <v>5157</v>
      </c>
      <c r="K1666" s="4">
        <v>738302</v>
      </c>
    </row>
    <row r="1667" spans="1:11" hidden="1" outlineLevel="2" x14ac:dyDescent="0.35">
      <c r="A1667" t="s">
        <v>3115</v>
      </c>
      <c r="B1667" s="1">
        <v>45740</v>
      </c>
      <c r="C1667" t="str">
        <f>"257"</f>
        <v>257</v>
      </c>
      <c r="D1667" t="s">
        <v>5158</v>
      </c>
      <c r="E1667" t="str">
        <f>"182028"</f>
        <v>182028</v>
      </c>
      <c r="F1667" t="str">
        <f t="shared" si="28"/>
        <v>33200000</v>
      </c>
      <c r="H1667" t="s">
        <v>5159</v>
      </c>
      <c r="K1667" s="4">
        <v>17973</v>
      </c>
    </row>
    <row r="1668" spans="1:11" hidden="1" outlineLevel="2" x14ac:dyDescent="0.35">
      <c r="A1668" t="s">
        <v>3115</v>
      </c>
      <c r="B1668" s="1">
        <v>45740</v>
      </c>
      <c r="C1668" t="str">
        <f>"258"</f>
        <v>258</v>
      </c>
      <c r="D1668" t="s">
        <v>5160</v>
      </c>
      <c r="E1668" t="str">
        <f>"182036"</f>
        <v>182036</v>
      </c>
      <c r="F1668" t="str">
        <f t="shared" si="28"/>
        <v>33200000</v>
      </c>
      <c r="H1668" t="s">
        <v>5161</v>
      </c>
      <c r="K1668" s="4">
        <v>656</v>
      </c>
    </row>
    <row r="1669" spans="1:11" hidden="1" outlineLevel="2" x14ac:dyDescent="0.35">
      <c r="A1669" t="s">
        <v>3115</v>
      </c>
      <c r="B1669" s="1">
        <v>45740</v>
      </c>
      <c r="C1669" t="str">
        <f>"259"</f>
        <v>259</v>
      </c>
      <c r="D1669" t="s">
        <v>5162</v>
      </c>
      <c r="E1669" t="str">
        <f>"182033"</f>
        <v>182033</v>
      </c>
      <c r="F1669" t="str">
        <f t="shared" si="28"/>
        <v>33200000</v>
      </c>
      <c r="H1669" t="s">
        <v>5163</v>
      </c>
      <c r="K1669" s="4">
        <v>2099</v>
      </c>
    </row>
    <row r="1670" spans="1:11" hidden="1" outlineLevel="2" x14ac:dyDescent="0.35">
      <c r="A1670" t="s">
        <v>3115</v>
      </c>
      <c r="B1670" s="1">
        <v>45741</v>
      </c>
      <c r="C1670" t="str">
        <f>"19"</f>
        <v>19</v>
      </c>
      <c r="D1670" t="s">
        <v>5164</v>
      </c>
      <c r="E1670" t="str">
        <f>"147218"</f>
        <v>147218</v>
      </c>
      <c r="F1670" t="str">
        <f t="shared" si="28"/>
        <v>33200000</v>
      </c>
      <c r="H1670" t="s">
        <v>5165</v>
      </c>
      <c r="K1670" s="4">
        <v>394</v>
      </c>
    </row>
    <row r="1671" spans="1:11" hidden="1" outlineLevel="2" x14ac:dyDescent="0.35">
      <c r="A1671" t="s">
        <v>3115</v>
      </c>
      <c r="B1671" s="1">
        <v>45741</v>
      </c>
      <c r="C1671" t="str">
        <f>"21"</f>
        <v>21</v>
      </c>
      <c r="D1671" t="s">
        <v>5168</v>
      </c>
      <c r="E1671" t="str">
        <f>"180063"</f>
        <v>180063</v>
      </c>
      <c r="F1671" t="str">
        <f t="shared" si="28"/>
        <v>33200000</v>
      </c>
      <c r="H1671" t="s">
        <v>5169</v>
      </c>
      <c r="K1671" s="4">
        <v>575342</v>
      </c>
    </row>
    <row r="1672" spans="1:11" hidden="1" outlineLevel="2" x14ac:dyDescent="0.35">
      <c r="A1672" t="s">
        <v>3115</v>
      </c>
      <c r="B1672" s="1">
        <v>45741</v>
      </c>
      <c r="C1672" t="str">
        <f>"22"</f>
        <v>22</v>
      </c>
      <c r="D1672" t="s">
        <v>5170</v>
      </c>
      <c r="E1672" t="str">
        <f>"180149"</f>
        <v>180149</v>
      </c>
      <c r="F1672" t="str">
        <f t="shared" si="28"/>
        <v>33200000</v>
      </c>
      <c r="H1672" t="s">
        <v>5171</v>
      </c>
      <c r="K1672" s="4">
        <v>200000</v>
      </c>
    </row>
    <row r="1673" spans="1:11" hidden="1" outlineLevel="2" x14ac:dyDescent="0.35">
      <c r="A1673" t="s">
        <v>3115</v>
      </c>
      <c r="B1673" s="1">
        <v>45741</v>
      </c>
      <c r="C1673" t="str">
        <f>"23"</f>
        <v>23</v>
      </c>
      <c r="D1673" t="s">
        <v>5172</v>
      </c>
      <c r="E1673" t="str">
        <f>"180200"</f>
        <v>180200</v>
      </c>
      <c r="F1673" t="str">
        <f t="shared" si="28"/>
        <v>33200000</v>
      </c>
      <c r="H1673" t="s">
        <v>5173</v>
      </c>
      <c r="K1673" s="4">
        <v>80044</v>
      </c>
    </row>
    <row r="1674" spans="1:11" hidden="1" outlineLevel="2" x14ac:dyDescent="0.35">
      <c r="A1674" t="s">
        <v>3115</v>
      </c>
      <c r="B1674" s="1">
        <v>45741</v>
      </c>
      <c r="C1674" t="str">
        <f>"24"</f>
        <v>24</v>
      </c>
      <c r="D1674" t="s">
        <v>5174</v>
      </c>
      <c r="E1674" t="str">
        <f>"181985"</f>
        <v>181985</v>
      </c>
      <c r="F1674" t="str">
        <f t="shared" si="28"/>
        <v>33200000</v>
      </c>
      <c r="H1674" t="s">
        <v>5175</v>
      </c>
      <c r="K1674" s="4">
        <v>450000</v>
      </c>
    </row>
    <row r="1675" spans="1:11" hidden="1" outlineLevel="2" x14ac:dyDescent="0.35">
      <c r="A1675" t="s">
        <v>3115</v>
      </c>
      <c r="B1675" s="1">
        <v>45741</v>
      </c>
      <c r="C1675" t="str">
        <f>"25"</f>
        <v>25</v>
      </c>
      <c r="D1675" t="s">
        <v>5176</v>
      </c>
      <c r="E1675" t="str">
        <f>"181983"</f>
        <v>181983</v>
      </c>
      <c r="F1675" t="str">
        <f t="shared" si="28"/>
        <v>33200000</v>
      </c>
      <c r="H1675" t="s">
        <v>5177</v>
      </c>
      <c r="K1675" s="4">
        <v>450000</v>
      </c>
    </row>
    <row r="1676" spans="1:11" hidden="1" outlineLevel="2" x14ac:dyDescent="0.35">
      <c r="A1676" t="s">
        <v>3115</v>
      </c>
      <c r="B1676" s="1">
        <v>45741</v>
      </c>
      <c r="C1676" t="str">
        <f>"27"</f>
        <v>27</v>
      </c>
      <c r="D1676" t="s">
        <v>5180</v>
      </c>
      <c r="E1676" t="str">
        <f>"183505"</f>
        <v>183505</v>
      </c>
      <c r="F1676" t="str">
        <f t="shared" si="28"/>
        <v>33200000</v>
      </c>
      <c r="H1676" t="s">
        <v>5181</v>
      </c>
      <c r="K1676" s="4">
        <v>65000</v>
      </c>
    </row>
    <row r="1677" spans="1:11" hidden="1" outlineLevel="2" x14ac:dyDescent="0.35">
      <c r="A1677" t="s">
        <v>3115</v>
      </c>
      <c r="B1677" s="1">
        <v>45741</v>
      </c>
      <c r="C1677" t="str">
        <f>"29"</f>
        <v>29</v>
      </c>
      <c r="D1677" t="s">
        <v>5184</v>
      </c>
      <c r="E1677" t="str">
        <f>"183506"</f>
        <v>183506</v>
      </c>
      <c r="F1677" t="str">
        <f t="shared" si="28"/>
        <v>33200000</v>
      </c>
      <c r="H1677" t="s">
        <v>5185</v>
      </c>
      <c r="K1677" s="4">
        <v>65000</v>
      </c>
    </row>
    <row r="1678" spans="1:11" hidden="1" outlineLevel="2" x14ac:dyDescent="0.35">
      <c r="A1678" t="s">
        <v>3115</v>
      </c>
      <c r="B1678" s="1">
        <v>45741</v>
      </c>
      <c r="C1678" t="str">
        <f>"30"</f>
        <v>30</v>
      </c>
      <c r="D1678" t="s">
        <v>5186</v>
      </c>
      <c r="E1678" t="str">
        <f>"181744"</f>
        <v>181744</v>
      </c>
      <c r="F1678" t="str">
        <f t="shared" si="28"/>
        <v>33200000</v>
      </c>
      <c r="H1678" t="s">
        <v>5187</v>
      </c>
      <c r="K1678" s="4">
        <v>90000</v>
      </c>
    </row>
    <row r="1679" spans="1:11" hidden="1" outlineLevel="2" x14ac:dyDescent="0.35">
      <c r="A1679" t="s">
        <v>3115</v>
      </c>
      <c r="B1679" s="1">
        <v>45741</v>
      </c>
      <c r="C1679" t="str">
        <f>"32"</f>
        <v>32</v>
      </c>
      <c r="D1679" t="s">
        <v>5190</v>
      </c>
      <c r="E1679" t="str">
        <f>"181743"</f>
        <v>181743</v>
      </c>
      <c r="F1679" t="str">
        <f t="shared" si="28"/>
        <v>33200000</v>
      </c>
      <c r="H1679" t="s">
        <v>5191</v>
      </c>
      <c r="K1679" s="4">
        <v>200000</v>
      </c>
    </row>
    <row r="1680" spans="1:11" hidden="1" outlineLevel="2" x14ac:dyDescent="0.35">
      <c r="A1680" t="s">
        <v>3115</v>
      </c>
      <c r="B1680" s="1">
        <v>45741</v>
      </c>
      <c r="C1680" t="str">
        <f>"34"</f>
        <v>34</v>
      </c>
      <c r="D1680" t="s">
        <v>5194</v>
      </c>
      <c r="E1680" t="str">
        <f>"182019"</f>
        <v>182019</v>
      </c>
      <c r="F1680" t="str">
        <f t="shared" si="28"/>
        <v>33200000</v>
      </c>
      <c r="H1680" t="s">
        <v>5195</v>
      </c>
      <c r="K1680" s="4">
        <v>80000</v>
      </c>
    </row>
    <row r="1681" spans="1:11" hidden="1" outlineLevel="2" x14ac:dyDescent="0.35">
      <c r="A1681" t="s">
        <v>3115</v>
      </c>
      <c r="B1681" s="1">
        <v>45741</v>
      </c>
      <c r="C1681" t="str">
        <f>"36"</f>
        <v>36</v>
      </c>
      <c r="D1681" t="s">
        <v>5198</v>
      </c>
      <c r="E1681" t="str">
        <f>"181926"</f>
        <v>181926</v>
      </c>
      <c r="F1681" t="str">
        <f t="shared" si="28"/>
        <v>33200000</v>
      </c>
      <c r="H1681" t="s">
        <v>5199</v>
      </c>
      <c r="K1681" s="4">
        <v>20000</v>
      </c>
    </row>
    <row r="1682" spans="1:11" hidden="1" outlineLevel="2" x14ac:dyDescent="0.35">
      <c r="A1682" t="s">
        <v>3115</v>
      </c>
      <c r="B1682" s="1">
        <v>45741</v>
      </c>
      <c r="C1682" t="str">
        <f>"37"</f>
        <v>37</v>
      </c>
      <c r="D1682" t="s">
        <v>5200</v>
      </c>
      <c r="E1682" t="str">
        <f>"182020"</f>
        <v>182020</v>
      </c>
      <c r="F1682" t="str">
        <f t="shared" si="28"/>
        <v>33200000</v>
      </c>
      <c r="H1682" t="s">
        <v>5201</v>
      </c>
      <c r="K1682" s="4">
        <v>45000</v>
      </c>
    </row>
    <row r="1683" spans="1:11" hidden="1" outlineLevel="2" x14ac:dyDescent="0.35">
      <c r="A1683" t="s">
        <v>3115</v>
      </c>
      <c r="B1683" s="1">
        <v>45741</v>
      </c>
      <c r="C1683" t="str">
        <f>"38"</f>
        <v>38</v>
      </c>
      <c r="D1683" t="s">
        <v>5202</v>
      </c>
      <c r="E1683" t="str">
        <f>"182018"</f>
        <v>182018</v>
      </c>
      <c r="F1683" t="str">
        <f t="shared" si="28"/>
        <v>33200000</v>
      </c>
      <c r="H1683" t="s">
        <v>5203</v>
      </c>
      <c r="K1683" s="4">
        <v>15000</v>
      </c>
    </row>
    <row r="1684" spans="1:11" hidden="1" outlineLevel="2" x14ac:dyDescent="0.35">
      <c r="A1684" t="s">
        <v>3115</v>
      </c>
      <c r="B1684" s="1">
        <v>45741</v>
      </c>
      <c r="C1684" t="str">
        <f>"40"</f>
        <v>40</v>
      </c>
      <c r="D1684" t="s">
        <v>5206</v>
      </c>
      <c r="E1684" t="str">
        <f>"183291"</f>
        <v>183291</v>
      </c>
      <c r="F1684" t="str">
        <f t="shared" si="28"/>
        <v>33200000</v>
      </c>
      <c r="H1684" t="s">
        <v>5207</v>
      </c>
      <c r="K1684" s="4">
        <v>15000</v>
      </c>
    </row>
    <row r="1685" spans="1:11" hidden="1" outlineLevel="2" x14ac:dyDescent="0.35">
      <c r="A1685" t="s">
        <v>3115</v>
      </c>
      <c r="B1685" s="1">
        <v>45741</v>
      </c>
      <c r="C1685" t="str">
        <f>"41"</f>
        <v>41</v>
      </c>
      <c r="D1685" t="s">
        <v>5208</v>
      </c>
      <c r="E1685" t="str">
        <f>"183290"</f>
        <v>183290</v>
      </c>
      <c r="F1685" t="str">
        <f t="shared" si="28"/>
        <v>33200000</v>
      </c>
      <c r="H1685" t="s">
        <v>5209</v>
      </c>
      <c r="K1685" s="4">
        <v>80000</v>
      </c>
    </row>
    <row r="1686" spans="1:11" hidden="1" outlineLevel="2" x14ac:dyDescent="0.35">
      <c r="A1686" t="s">
        <v>3115</v>
      </c>
      <c r="B1686" s="1">
        <v>45741</v>
      </c>
      <c r="C1686" t="str">
        <f>"42"</f>
        <v>42</v>
      </c>
      <c r="D1686" t="s">
        <v>5210</v>
      </c>
      <c r="E1686" t="str">
        <f>"183290"</f>
        <v>183290</v>
      </c>
      <c r="F1686" t="str">
        <f t="shared" si="28"/>
        <v>33200000</v>
      </c>
      <c r="H1686" t="s">
        <v>5211</v>
      </c>
      <c r="K1686" s="4">
        <v>300</v>
      </c>
    </row>
    <row r="1687" spans="1:11" hidden="1" outlineLevel="2" x14ac:dyDescent="0.35">
      <c r="A1687" t="s">
        <v>3115</v>
      </c>
      <c r="B1687" s="1">
        <v>45741</v>
      </c>
      <c r="C1687" t="str">
        <f>"43"</f>
        <v>43</v>
      </c>
      <c r="D1687" t="s">
        <v>5212</v>
      </c>
      <c r="E1687" t="str">
        <f>"184705"</f>
        <v>184705</v>
      </c>
      <c r="F1687" t="str">
        <f t="shared" si="28"/>
        <v>33200000</v>
      </c>
      <c r="H1687" t="s">
        <v>5213</v>
      </c>
      <c r="K1687" s="4">
        <v>6166</v>
      </c>
    </row>
    <row r="1688" spans="1:11" hidden="1" outlineLevel="2" x14ac:dyDescent="0.35">
      <c r="A1688" t="s">
        <v>3115</v>
      </c>
      <c r="B1688" s="1">
        <v>45741</v>
      </c>
      <c r="C1688" t="str">
        <f>"44"</f>
        <v>44</v>
      </c>
      <c r="D1688" t="s">
        <v>5214</v>
      </c>
      <c r="E1688" t="str">
        <f>"184360"</f>
        <v>184360</v>
      </c>
      <c r="F1688" t="str">
        <f t="shared" si="28"/>
        <v>33200000</v>
      </c>
      <c r="H1688" t="s">
        <v>5215</v>
      </c>
      <c r="K1688" s="4">
        <v>800</v>
      </c>
    </row>
    <row r="1689" spans="1:11" hidden="1" outlineLevel="2" x14ac:dyDescent="0.35">
      <c r="A1689" t="s">
        <v>3115</v>
      </c>
      <c r="B1689" s="1">
        <v>45741</v>
      </c>
      <c r="C1689" t="str">
        <f>"45"</f>
        <v>45</v>
      </c>
      <c r="D1689" t="s">
        <v>5216</v>
      </c>
      <c r="E1689" t="str">
        <f>"182083"</f>
        <v>182083</v>
      </c>
      <c r="F1689" t="str">
        <f t="shared" si="28"/>
        <v>33200000</v>
      </c>
      <c r="H1689" t="s">
        <v>5217</v>
      </c>
      <c r="K1689" s="4">
        <v>68500</v>
      </c>
    </row>
    <row r="1690" spans="1:11" hidden="1" outlineLevel="2" x14ac:dyDescent="0.35">
      <c r="A1690" t="s">
        <v>3115</v>
      </c>
      <c r="B1690" s="1">
        <v>45741</v>
      </c>
      <c r="C1690" t="str">
        <f>"46"</f>
        <v>46</v>
      </c>
      <c r="D1690" t="s">
        <v>5218</v>
      </c>
      <c r="E1690" t="str">
        <f>"184512"</f>
        <v>184512</v>
      </c>
      <c r="F1690" t="str">
        <f t="shared" si="28"/>
        <v>33200000</v>
      </c>
      <c r="H1690" t="s">
        <v>5219</v>
      </c>
      <c r="K1690" s="4">
        <v>1837</v>
      </c>
    </row>
    <row r="1691" spans="1:11" hidden="1" outlineLevel="2" x14ac:dyDescent="0.35">
      <c r="A1691" t="s">
        <v>3115</v>
      </c>
      <c r="B1691" s="1">
        <v>45741</v>
      </c>
      <c r="C1691" t="str">
        <f>"47"</f>
        <v>47</v>
      </c>
      <c r="D1691" t="s">
        <v>5220</v>
      </c>
      <c r="E1691" t="str">
        <f>"182084"</f>
        <v>182084</v>
      </c>
      <c r="F1691" t="str">
        <f t="shared" si="28"/>
        <v>33200000</v>
      </c>
      <c r="H1691" t="s">
        <v>5221</v>
      </c>
      <c r="K1691" s="4">
        <v>65000</v>
      </c>
    </row>
    <row r="1692" spans="1:11" hidden="1" outlineLevel="2" x14ac:dyDescent="0.35">
      <c r="A1692" t="s">
        <v>3115</v>
      </c>
      <c r="B1692" s="1">
        <v>45741</v>
      </c>
      <c r="C1692" t="str">
        <f>"48"</f>
        <v>48</v>
      </c>
      <c r="D1692" t="s">
        <v>5222</v>
      </c>
      <c r="E1692" t="str">
        <f>"184511"</f>
        <v>184511</v>
      </c>
      <c r="F1692" t="str">
        <f t="shared" si="28"/>
        <v>33200000</v>
      </c>
      <c r="H1692" t="s">
        <v>5223</v>
      </c>
      <c r="K1692" s="4">
        <v>2230</v>
      </c>
    </row>
    <row r="1693" spans="1:11" hidden="1" outlineLevel="2" x14ac:dyDescent="0.35">
      <c r="A1693" t="s">
        <v>3115</v>
      </c>
      <c r="B1693" s="1">
        <v>45741</v>
      </c>
      <c r="C1693" t="str">
        <f>"49"</f>
        <v>49</v>
      </c>
      <c r="D1693" t="s">
        <v>5224</v>
      </c>
      <c r="E1693" t="str">
        <f>"181928"</f>
        <v>181928</v>
      </c>
      <c r="F1693" t="str">
        <f t="shared" si="28"/>
        <v>33200000</v>
      </c>
      <c r="H1693" t="s">
        <v>5225</v>
      </c>
      <c r="K1693" s="4">
        <v>150000</v>
      </c>
    </row>
    <row r="1694" spans="1:11" hidden="1" outlineLevel="2" x14ac:dyDescent="0.35">
      <c r="A1694" t="s">
        <v>3115</v>
      </c>
      <c r="B1694" s="1">
        <v>45741</v>
      </c>
      <c r="C1694" t="str">
        <f>"50"</f>
        <v>50</v>
      </c>
      <c r="D1694" t="s">
        <v>5226</v>
      </c>
      <c r="E1694" t="str">
        <f>"184703"</f>
        <v>184703</v>
      </c>
      <c r="F1694" t="str">
        <f t="shared" si="28"/>
        <v>33200000</v>
      </c>
      <c r="H1694" t="s">
        <v>5227</v>
      </c>
      <c r="K1694" s="4">
        <v>7543</v>
      </c>
    </row>
    <row r="1695" spans="1:11" hidden="1" outlineLevel="2" x14ac:dyDescent="0.35">
      <c r="A1695" t="s">
        <v>3115</v>
      </c>
      <c r="B1695" s="1">
        <v>45741</v>
      </c>
      <c r="C1695" t="str">
        <f>"52"</f>
        <v>52</v>
      </c>
      <c r="D1695" t="s">
        <v>5230</v>
      </c>
      <c r="E1695" t="str">
        <f>"182072"</f>
        <v>182072</v>
      </c>
      <c r="F1695" t="str">
        <f t="shared" si="28"/>
        <v>33200000</v>
      </c>
      <c r="H1695" t="s">
        <v>5231</v>
      </c>
      <c r="K1695" s="4">
        <v>3500</v>
      </c>
    </row>
    <row r="1696" spans="1:11" hidden="1" outlineLevel="2" x14ac:dyDescent="0.35">
      <c r="A1696" t="s">
        <v>3115</v>
      </c>
      <c r="B1696" s="1">
        <v>45741</v>
      </c>
      <c r="C1696" t="str">
        <f>"54"</f>
        <v>54</v>
      </c>
      <c r="D1696" t="s">
        <v>5234</v>
      </c>
      <c r="E1696" t="str">
        <f>"180493"</f>
        <v>180493</v>
      </c>
      <c r="F1696" t="str">
        <f t="shared" si="28"/>
        <v>33200000</v>
      </c>
      <c r="H1696" t="s">
        <v>5235</v>
      </c>
      <c r="K1696" s="4">
        <v>31093</v>
      </c>
    </row>
    <row r="1697" spans="1:11" hidden="1" outlineLevel="2" x14ac:dyDescent="0.35">
      <c r="A1697" t="s">
        <v>3115</v>
      </c>
      <c r="B1697" s="1">
        <v>45741</v>
      </c>
      <c r="C1697" t="str">
        <f>"55"</f>
        <v>55</v>
      </c>
      <c r="D1697" t="s">
        <v>5236</v>
      </c>
      <c r="E1697" t="str">
        <f>"184706"</f>
        <v>184706</v>
      </c>
      <c r="F1697" t="str">
        <f t="shared" si="28"/>
        <v>33200000</v>
      </c>
      <c r="H1697" t="s">
        <v>5237</v>
      </c>
      <c r="K1697" s="4">
        <v>5295</v>
      </c>
    </row>
    <row r="1698" spans="1:11" hidden="1" outlineLevel="2" x14ac:dyDescent="0.35">
      <c r="A1698" t="s">
        <v>3115</v>
      </c>
      <c r="B1698" s="1">
        <v>45741</v>
      </c>
      <c r="C1698" t="str">
        <f>"56"</f>
        <v>56</v>
      </c>
      <c r="D1698" t="s">
        <v>5238</v>
      </c>
      <c r="E1698" t="str">
        <f>"180493"</f>
        <v>180493</v>
      </c>
      <c r="F1698" t="str">
        <f t="shared" si="28"/>
        <v>33200000</v>
      </c>
      <c r="H1698" t="s">
        <v>5239</v>
      </c>
      <c r="K1698" s="4">
        <v>500</v>
      </c>
    </row>
    <row r="1699" spans="1:11" hidden="1" outlineLevel="2" x14ac:dyDescent="0.35">
      <c r="A1699" t="s">
        <v>3115</v>
      </c>
      <c r="B1699" s="1">
        <v>45741</v>
      </c>
      <c r="C1699" t="str">
        <f>"57"</f>
        <v>57</v>
      </c>
      <c r="D1699" t="s">
        <v>5240</v>
      </c>
      <c r="E1699" t="str">
        <f>"183406"</f>
        <v>183406</v>
      </c>
      <c r="F1699" t="str">
        <f t="shared" si="28"/>
        <v>33200000</v>
      </c>
      <c r="H1699" t="s">
        <v>5241</v>
      </c>
      <c r="K1699" s="4">
        <v>18000</v>
      </c>
    </row>
    <row r="1700" spans="1:11" hidden="1" outlineLevel="2" x14ac:dyDescent="0.35">
      <c r="A1700" t="s">
        <v>3115</v>
      </c>
      <c r="B1700" s="1">
        <v>45741</v>
      </c>
      <c r="C1700" t="str">
        <f>"59"</f>
        <v>59</v>
      </c>
      <c r="D1700" t="s">
        <v>5244</v>
      </c>
      <c r="E1700" t="str">
        <f>"184660"</f>
        <v>184660</v>
      </c>
      <c r="F1700" t="str">
        <f t="shared" si="28"/>
        <v>33200000</v>
      </c>
      <c r="H1700" t="s">
        <v>5245</v>
      </c>
      <c r="K1700" s="4">
        <v>6356</v>
      </c>
    </row>
    <row r="1701" spans="1:11" hidden="1" outlineLevel="2" x14ac:dyDescent="0.35">
      <c r="A1701" t="s">
        <v>3115</v>
      </c>
      <c r="B1701" s="1">
        <v>45741</v>
      </c>
      <c r="C1701" t="str">
        <f>"60"</f>
        <v>60</v>
      </c>
      <c r="D1701" t="s">
        <v>5246</v>
      </c>
      <c r="E1701" t="str">
        <f>"181833"</f>
        <v>181833</v>
      </c>
      <c r="F1701" t="str">
        <f t="shared" si="28"/>
        <v>33200000</v>
      </c>
      <c r="H1701" t="s">
        <v>5247</v>
      </c>
      <c r="K1701" s="4">
        <v>30000</v>
      </c>
    </row>
    <row r="1702" spans="1:11" hidden="1" outlineLevel="2" x14ac:dyDescent="0.35">
      <c r="A1702" t="s">
        <v>3115</v>
      </c>
      <c r="B1702" s="1">
        <v>45741</v>
      </c>
      <c r="C1702" t="str">
        <f>"63"</f>
        <v>63</v>
      </c>
      <c r="D1702" t="s">
        <v>5252</v>
      </c>
      <c r="E1702" t="str">
        <f>"183502"</f>
        <v>183502</v>
      </c>
      <c r="F1702" t="str">
        <f t="shared" si="28"/>
        <v>33200000</v>
      </c>
      <c r="H1702" t="s">
        <v>5253</v>
      </c>
      <c r="K1702" s="4">
        <v>95000</v>
      </c>
    </row>
    <row r="1703" spans="1:11" hidden="1" outlineLevel="2" x14ac:dyDescent="0.35">
      <c r="A1703" t="s">
        <v>3115</v>
      </c>
      <c r="B1703" s="1">
        <v>45741</v>
      </c>
      <c r="C1703" t="str">
        <f>"64"</f>
        <v>64</v>
      </c>
      <c r="D1703" t="s">
        <v>5254</v>
      </c>
      <c r="E1703" t="str">
        <f>"184702"</f>
        <v>184702</v>
      </c>
      <c r="F1703" t="str">
        <f t="shared" si="28"/>
        <v>33200000</v>
      </c>
      <c r="H1703" t="s">
        <v>5255</v>
      </c>
      <c r="K1703" s="4">
        <v>1837</v>
      </c>
    </row>
    <row r="1704" spans="1:11" hidden="1" outlineLevel="2" x14ac:dyDescent="0.35">
      <c r="A1704" t="s">
        <v>3115</v>
      </c>
      <c r="B1704" s="1">
        <v>45741</v>
      </c>
      <c r="C1704" t="str">
        <f>"65"</f>
        <v>65</v>
      </c>
      <c r="D1704" t="s">
        <v>5256</v>
      </c>
      <c r="E1704" t="str">
        <f>"181838"</f>
        <v>181838</v>
      </c>
      <c r="F1704" t="str">
        <f t="shared" si="28"/>
        <v>33200000</v>
      </c>
      <c r="H1704" t="s">
        <v>5257</v>
      </c>
      <c r="K1704" s="4">
        <v>50000</v>
      </c>
    </row>
    <row r="1705" spans="1:11" hidden="1" outlineLevel="2" x14ac:dyDescent="0.35">
      <c r="A1705" t="s">
        <v>3115</v>
      </c>
      <c r="B1705" s="1">
        <v>45741</v>
      </c>
      <c r="C1705" t="str">
        <f>"68"</f>
        <v>68</v>
      </c>
      <c r="D1705" t="s">
        <v>5262</v>
      </c>
      <c r="E1705" t="str">
        <f>"183269"</f>
        <v>183269</v>
      </c>
      <c r="F1705" t="str">
        <f t="shared" si="28"/>
        <v>33200000</v>
      </c>
      <c r="H1705" t="s">
        <v>5263</v>
      </c>
      <c r="K1705" s="4">
        <v>300</v>
      </c>
    </row>
    <row r="1706" spans="1:11" hidden="1" outlineLevel="2" x14ac:dyDescent="0.35">
      <c r="A1706" t="s">
        <v>3115</v>
      </c>
      <c r="B1706" s="1">
        <v>45741</v>
      </c>
      <c r="C1706" t="str">
        <f>"69"</f>
        <v>69</v>
      </c>
      <c r="D1706" t="s">
        <v>5264</v>
      </c>
      <c r="E1706" t="str">
        <f>"183269"</f>
        <v>183269</v>
      </c>
      <c r="F1706" t="str">
        <f t="shared" si="28"/>
        <v>33200000</v>
      </c>
      <c r="H1706" t="s">
        <v>5265</v>
      </c>
      <c r="K1706" s="4">
        <v>20000</v>
      </c>
    </row>
    <row r="1707" spans="1:11" hidden="1" outlineLevel="2" x14ac:dyDescent="0.35">
      <c r="A1707" t="s">
        <v>3115</v>
      </c>
      <c r="B1707" s="1">
        <v>45741</v>
      </c>
      <c r="C1707" t="str">
        <f>"70"</f>
        <v>70</v>
      </c>
      <c r="D1707" t="s">
        <v>5266</v>
      </c>
      <c r="E1707" t="str">
        <f>"182034"</f>
        <v>182034</v>
      </c>
      <c r="F1707" t="str">
        <f t="shared" si="28"/>
        <v>33200000</v>
      </c>
      <c r="H1707" t="s">
        <v>5267</v>
      </c>
      <c r="K1707" s="4">
        <v>2100</v>
      </c>
    </row>
    <row r="1708" spans="1:11" hidden="1" outlineLevel="2" x14ac:dyDescent="0.35">
      <c r="A1708" t="s">
        <v>3115</v>
      </c>
      <c r="B1708" s="1">
        <v>45741</v>
      </c>
      <c r="C1708" t="str">
        <f>"71"</f>
        <v>71</v>
      </c>
      <c r="D1708" t="s">
        <v>5268</v>
      </c>
      <c r="E1708" t="str">
        <f>"183259"</f>
        <v>183259</v>
      </c>
      <c r="F1708" t="str">
        <f t="shared" si="28"/>
        <v>33200000</v>
      </c>
      <c r="H1708" t="s">
        <v>5269</v>
      </c>
      <c r="K1708" s="4">
        <v>80000</v>
      </c>
    </row>
    <row r="1709" spans="1:11" hidden="1" outlineLevel="2" x14ac:dyDescent="0.35">
      <c r="A1709" t="s">
        <v>3115</v>
      </c>
      <c r="B1709" s="1">
        <v>45741</v>
      </c>
      <c r="C1709" t="str">
        <f>"73"</f>
        <v>73</v>
      </c>
      <c r="D1709" t="s">
        <v>5272</v>
      </c>
      <c r="E1709" t="str">
        <f>"183283"</f>
        <v>183283</v>
      </c>
      <c r="F1709" t="str">
        <f t="shared" si="28"/>
        <v>33200000</v>
      </c>
      <c r="H1709" t="s">
        <v>5273</v>
      </c>
      <c r="K1709" s="4">
        <v>80000</v>
      </c>
    </row>
    <row r="1710" spans="1:11" hidden="1" outlineLevel="2" x14ac:dyDescent="0.35">
      <c r="A1710" t="s">
        <v>3115</v>
      </c>
      <c r="B1710" s="1">
        <v>45741</v>
      </c>
      <c r="C1710" t="str">
        <f>"74"</f>
        <v>74</v>
      </c>
      <c r="D1710" t="s">
        <v>5274</v>
      </c>
      <c r="E1710" t="str">
        <f>"184701"</f>
        <v>184701</v>
      </c>
      <c r="F1710" t="str">
        <f t="shared" si="28"/>
        <v>33200000</v>
      </c>
      <c r="H1710" t="s">
        <v>5275</v>
      </c>
      <c r="K1710" s="4">
        <v>5510</v>
      </c>
    </row>
    <row r="1711" spans="1:11" hidden="1" outlineLevel="2" x14ac:dyDescent="0.35">
      <c r="A1711" t="s">
        <v>3115</v>
      </c>
      <c r="B1711" s="1">
        <v>45741</v>
      </c>
      <c r="C1711" t="str">
        <f>"75"</f>
        <v>75</v>
      </c>
      <c r="D1711" t="s">
        <v>5276</v>
      </c>
      <c r="E1711" t="str">
        <f>"183264"</f>
        <v>183264</v>
      </c>
      <c r="F1711" t="str">
        <f t="shared" si="28"/>
        <v>33200000</v>
      </c>
      <c r="H1711" t="s">
        <v>5277</v>
      </c>
      <c r="K1711" s="4">
        <v>60000</v>
      </c>
    </row>
    <row r="1712" spans="1:11" hidden="1" outlineLevel="2" x14ac:dyDescent="0.35">
      <c r="A1712" t="s">
        <v>3115</v>
      </c>
      <c r="B1712" s="1">
        <v>45741</v>
      </c>
      <c r="C1712" t="str">
        <f>"78"</f>
        <v>78</v>
      </c>
      <c r="D1712" t="s">
        <v>5282</v>
      </c>
      <c r="E1712" t="str">
        <f>"180829"</f>
        <v>180829</v>
      </c>
      <c r="F1712" t="str">
        <f t="shared" si="28"/>
        <v>33200000</v>
      </c>
      <c r="H1712" t="s">
        <v>5283</v>
      </c>
      <c r="K1712" s="4">
        <v>60000</v>
      </c>
    </row>
    <row r="1713" spans="1:11" hidden="1" outlineLevel="2" x14ac:dyDescent="0.35">
      <c r="A1713" t="s">
        <v>3115</v>
      </c>
      <c r="B1713" s="1">
        <v>45741</v>
      </c>
      <c r="C1713" t="str">
        <f>"79"</f>
        <v>79</v>
      </c>
      <c r="D1713" t="s">
        <v>5284</v>
      </c>
      <c r="E1713" t="str">
        <f>"183521"</f>
        <v>183521</v>
      </c>
      <c r="F1713" t="str">
        <f t="shared" si="28"/>
        <v>33200000</v>
      </c>
      <c r="H1713" t="s">
        <v>5285</v>
      </c>
      <c r="K1713" s="4">
        <v>181701</v>
      </c>
    </row>
    <row r="1714" spans="1:11" hidden="1" outlineLevel="2" x14ac:dyDescent="0.35">
      <c r="A1714" t="s">
        <v>3115</v>
      </c>
      <c r="B1714" s="1">
        <v>45741</v>
      </c>
      <c r="C1714" t="str">
        <f>"82"</f>
        <v>82</v>
      </c>
      <c r="D1714" t="s">
        <v>5290</v>
      </c>
      <c r="E1714" t="str">
        <f>"181739"</f>
        <v>181739</v>
      </c>
      <c r="F1714" t="str">
        <f t="shared" ref="F1714:F1777" si="29">"33200000"</f>
        <v>33200000</v>
      </c>
      <c r="H1714" t="s">
        <v>5291</v>
      </c>
      <c r="K1714" s="4">
        <v>220000</v>
      </c>
    </row>
    <row r="1715" spans="1:11" hidden="1" outlineLevel="2" x14ac:dyDescent="0.35">
      <c r="A1715" t="s">
        <v>3115</v>
      </c>
      <c r="B1715" s="1">
        <v>45741</v>
      </c>
      <c r="C1715" t="str">
        <f>"83"</f>
        <v>83</v>
      </c>
      <c r="D1715" t="s">
        <v>5292</v>
      </c>
      <c r="E1715" t="str">
        <f>"183524"</f>
        <v>183524</v>
      </c>
      <c r="F1715" t="str">
        <f t="shared" si="29"/>
        <v>33200000</v>
      </c>
      <c r="H1715" t="s">
        <v>5293</v>
      </c>
      <c r="K1715" s="4">
        <v>93802</v>
      </c>
    </row>
    <row r="1716" spans="1:11" hidden="1" outlineLevel="2" x14ac:dyDescent="0.35">
      <c r="A1716" t="s">
        <v>3115</v>
      </c>
      <c r="B1716" s="1">
        <v>45741</v>
      </c>
      <c r="C1716" t="str">
        <f>"84"</f>
        <v>84</v>
      </c>
      <c r="D1716" t="s">
        <v>5294</v>
      </c>
      <c r="E1716" t="str">
        <f>"179592"</f>
        <v>179592</v>
      </c>
      <c r="F1716" t="str">
        <f t="shared" si="29"/>
        <v>33200000</v>
      </c>
      <c r="H1716" t="s">
        <v>5295</v>
      </c>
      <c r="K1716" s="4">
        <v>600</v>
      </c>
    </row>
    <row r="1717" spans="1:11" hidden="1" outlineLevel="2" x14ac:dyDescent="0.35">
      <c r="A1717" t="s">
        <v>3115</v>
      </c>
      <c r="B1717" s="1">
        <v>45741</v>
      </c>
      <c r="C1717" t="str">
        <f>"85"</f>
        <v>85</v>
      </c>
      <c r="D1717" t="s">
        <v>5296</v>
      </c>
      <c r="E1717" t="str">
        <f>"183523"</f>
        <v>183523</v>
      </c>
      <c r="F1717" t="str">
        <f t="shared" si="29"/>
        <v>33200000</v>
      </c>
      <c r="H1717" t="s">
        <v>5297</v>
      </c>
      <c r="K1717" s="4">
        <v>181701</v>
      </c>
    </row>
    <row r="1718" spans="1:11" hidden="1" outlineLevel="2" x14ac:dyDescent="0.35">
      <c r="A1718" t="s">
        <v>3115</v>
      </c>
      <c r="B1718" s="1">
        <v>45741</v>
      </c>
      <c r="C1718" t="str">
        <f>"86"</f>
        <v>86</v>
      </c>
      <c r="D1718" t="s">
        <v>5298</v>
      </c>
      <c r="E1718" t="str">
        <f>"182070"</f>
        <v>182070</v>
      </c>
      <c r="F1718" t="str">
        <f t="shared" si="29"/>
        <v>33200000</v>
      </c>
      <c r="H1718" t="s">
        <v>5299</v>
      </c>
      <c r="K1718" s="4">
        <v>20000</v>
      </c>
    </row>
    <row r="1719" spans="1:11" hidden="1" outlineLevel="2" x14ac:dyDescent="0.35">
      <c r="A1719" t="s">
        <v>3115</v>
      </c>
      <c r="B1719" s="1">
        <v>45741</v>
      </c>
      <c r="C1719" t="str">
        <f>"87"</f>
        <v>87</v>
      </c>
      <c r="D1719" t="s">
        <v>5300</v>
      </c>
      <c r="E1719" t="str">
        <f>"182080"</f>
        <v>182080</v>
      </c>
      <c r="F1719" t="str">
        <f t="shared" si="29"/>
        <v>33200000</v>
      </c>
      <c r="H1719" t="s">
        <v>5301</v>
      </c>
      <c r="K1719" s="4">
        <v>70000</v>
      </c>
    </row>
    <row r="1720" spans="1:11" hidden="1" outlineLevel="2" x14ac:dyDescent="0.35">
      <c r="A1720" t="s">
        <v>3115</v>
      </c>
      <c r="B1720" s="1">
        <v>45741</v>
      </c>
      <c r="C1720" t="str">
        <f>"88"</f>
        <v>88</v>
      </c>
      <c r="D1720" t="s">
        <v>5302</v>
      </c>
      <c r="E1720" t="str">
        <f>"182077"</f>
        <v>182077</v>
      </c>
      <c r="F1720" t="str">
        <f t="shared" si="29"/>
        <v>33200000</v>
      </c>
      <c r="H1720" t="s">
        <v>5303</v>
      </c>
      <c r="K1720" s="4">
        <v>20000</v>
      </c>
    </row>
    <row r="1721" spans="1:11" hidden="1" outlineLevel="2" x14ac:dyDescent="0.35">
      <c r="A1721" t="s">
        <v>3115</v>
      </c>
      <c r="B1721" s="1">
        <v>45741</v>
      </c>
      <c r="C1721" t="str">
        <f>"89"</f>
        <v>89</v>
      </c>
      <c r="D1721" t="s">
        <v>5304</v>
      </c>
      <c r="E1721" t="str">
        <f>"181878"</f>
        <v>181878</v>
      </c>
      <c r="F1721" t="str">
        <f t="shared" si="29"/>
        <v>33200000</v>
      </c>
      <c r="H1721" t="s">
        <v>5305</v>
      </c>
      <c r="K1721" s="4">
        <v>45000</v>
      </c>
    </row>
    <row r="1722" spans="1:11" hidden="1" outlineLevel="2" x14ac:dyDescent="0.35">
      <c r="A1722" t="s">
        <v>3115</v>
      </c>
      <c r="B1722" s="1">
        <v>45741</v>
      </c>
      <c r="C1722" t="str">
        <f>"91"</f>
        <v>91</v>
      </c>
      <c r="D1722" t="s">
        <v>5308</v>
      </c>
      <c r="E1722" t="str">
        <f>"182081"</f>
        <v>182081</v>
      </c>
      <c r="F1722" t="str">
        <f t="shared" si="29"/>
        <v>33200000</v>
      </c>
      <c r="H1722" t="s">
        <v>5309</v>
      </c>
      <c r="K1722" s="4">
        <v>3500</v>
      </c>
    </row>
    <row r="1723" spans="1:11" hidden="1" outlineLevel="2" x14ac:dyDescent="0.35">
      <c r="A1723" t="s">
        <v>3115</v>
      </c>
      <c r="B1723" s="1">
        <v>45741</v>
      </c>
      <c r="C1723" t="str">
        <f>"92"</f>
        <v>92</v>
      </c>
      <c r="D1723" t="s">
        <v>5310</v>
      </c>
      <c r="E1723" t="str">
        <f>"183408"</f>
        <v>183408</v>
      </c>
      <c r="F1723" t="str">
        <f t="shared" si="29"/>
        <v>33200000</v>
      </c>
      <c r="H1723" t="s">
        <v>5311</v>
      </c>
      <c r="K1723" s="4">
        <v>250000</v>
      </c>
    </row>
    <row r="1724" spans="1:11" hidden="1" outlineLevel="2" x14ac:dyDescent="0.35">
      <c r="A1724" t="s">
        <v>3115</v>
      </c>
      <c r="B1724" s="1">
        <v>45741</v>
      </c>
      <c r="C1724" t="str">
        <f>"94"</f>
        <v>94</v>
      </c>
      <c r="D1724" t="s">
        <v>5314</v>
      </c>
      <c r="E1724" t="str">
        <f>"181914"</f>
        <v>181914</v>
      </c>
      <c r="F1724" t="str">
        <f t="shared" si="29"/>
        <v>33200000</v>
      </c>
      <c r="H1724" t="s">
        <v>5315</v>
      </c>
      <c r="K1724" s="4">
        <v>180000</v>
      </c>
    </row>
    <row r="1725" spans="1:11" hidden="1" outlineLevel="2" x14ac:dyDescent="0.35">
      <c r="A1725" t="s">
        <v>3115</v>
      </c>
      <c r="B1725" s="1">
        <v>45741</v>
      </c>
      <c r="C1725" t="str">
        <f>"95"</f>
        <v>95</v>
      </c>
      <c r="D1725" t="s">
        <v>5316</v>
      </c>
      <c r="E1725" t="str">
        <f>"183439"</f>
        <v>183439</v>
      </c>
      <c r="F1725" t="str">
        <f t="shared" si="29"/>
        <v>33200000</v>
      </c>
      <c r="H1725" t="s">
        <v>5317</v>
      </c>
      <c r="K1725" s="4">
        <v>2493</v>
      </c>
    </row>
    <row r="1726" spans="1:11" hidden="1" outlineLevel="2" x14ac:dyDescent="0.35">
      <c r="A1726" t="s">
        <v>3115</v>
      </c>
      <c r="B1726" s="1">
        <v>45741</v>
      </c>
      <c r="C1726" t="str">
        <f>"96"</f>
        <v>96</v>
      </c>
      <c r="D1726" t="s">
        <v>5318</v>
      </c>
      <c r="E1726" t="str">
        <f>"171728"</f>
        <v>171728</v>
      </c>
      <c r="F1726" t="str">
        <f t="shared" si="29"/>
        <v>33200000</v>
      </c>
      <c r="H1726" t="s">
        <v>5319</v>
      </c>
      <c r="K1726" s="4">
        <v>180000</v>
      </c>
    </row>
    <row r="1727" spans="1:11" hidden="1" outlineLevel="2" x14ac:dyDescent="0.35">
      <c r="A1727" t="s">
        <v>3115</v>
      </c>
      <c r="B1727" s="1">
        <v>45741</v>
      </c>
      <c r="C1727" t="str">
        <f>"98"</f>
        <v>98</v>
      </c>
      <c r="D1727" t="s">
        <v>5322</v>
      </c>
      <c r="E1727" t="str">
        <f>"183504"</f>
        <v>183504</v>
      </c>
      <c r="F1727" t="str">
        <f t="shared" si="29"/>
        <v>33200000</v>
      </c>
      <c r="H1727" t="s">
        <v>5323</v>
      </c>
      <c r="K1727" s="4">
        <v>95000</v>
      </c>
    </row>
    <row r="1728" spans="1:11" hidden="1" outlineLevel="2" x14ac:dyDescent="0.35">
      <c r="A1728" t="s">
        <v>3115</v>
      </c>
      <c r="B1728" s="1">
        <v>45741</v>
      </c>
      <c r="C1728" t="str">
        <f>"99"</f>
        <v>99</v>
      </c>
      <c r="D1728" t="s">
        <v>5324</v>
      </c>
      <c r="E1728" t="str">
        <f>"184358"</f>
        <v>184358</v>
      </c>
      <c r="F1728" t="str">
        <f t="shared" si="29"/>
        <v>33200000</v>
      </c>
      <c r="H1728" t="s">
        <v>5325</v>
      </c>
      <c r="K1728" s="4">
        <v>6162</v>
      </c>
    </row>
    <row r="1729" spans="1:11" hidden="1" outlineLevel="2" x14ac:dyDescent="0.35">
      <c r="A1729" t="s">
        <v>3115</v>
      </c>
      <c r="B1729" s="1">
        <v>45741</v>
      </c>
      <c r="C1729" t="str">
        <f>"100"</f>
        <v>100</v>
      </c>
      <c r="D1729" t="s">
        <v>5326</v>
      </c>
      <c r="E1729" t="str">
        <f>"183288"</f>
        <v>183288</v>
      </c>
      <c r="F1729" t="str">
        <f t="shared" si="29"/>
        <v>33200000</v>
      </c>
      <c r="H1729" t="s">
        <v>5327</v>
      </c>
      <c r="K1729" s="4">
        <v>80000</v>
      </c>
    </row>
    <row r="1730" spans="1:11" hidden="1" outlineLevel="2" x14ac:dyDescent="0.35">
      <c r="A1730" t="s">
        <v>3115</v>
      </c>
      <c r="B1730" s="1">
        <v>45741</v>
      </c>
      <c r="C1730" t="str">
        <f>"101"</f>
        <v>101</v>
      </c>
      <c r="D1730" t="s">
        <v>5328</v>
      </c>
      <c r="E1730" t="str">
        <f>"184357"</f>
        <v>184357</v>
      </c>
      <c r="F1730" t="str">
        <f t="shared" si="29"/>
        <v>33200000</v>
      </c>
      <c r="H1730" t="s">
        <v>5329</v>
      </c>
      <c r="K1730" s="4">
        <v>350</v>
      </c>
    </row>
    <row r="1731" spans="1:11" hidden="1" outlineLevel="2" x14ac:dyDescent="0.35">
      <c r="A1731" t="s">
        <v>3115</v>
      </c>
      <c r="B1731" s="1">
        <v>45741</v>
      </c>
      <c r="C1731" t="str">
        <f>"102"</f>
        <v>102</v>
      </c>
      <c r="D1731" t="s">
        <v>5330</v>
      </c>
      <c r="E1731" t="str">
        <f>"183289"</f>
        <v>183289</v>
      </c>
      <c r="F1731" t="str">
        <f t="shared" si="29"/>
        <v>33200000</v>
      </c>
      <c r="H1731" t="s">
        <v>5331</v>
      </c>
      <c r="K1731" s="4">
        <v>40000</v>
      </c>
    </row>
    <row r="1732" spans="1:11" hidden="1" outlineLevel="2" x14ac:dyDescent="0.35">
      <c r="A1732" t="s">
        <v>3115</v>
      </c>
      <c r="B1732" s="1">
        <v>45741</v>
      </c>
      <c r="C1732" t="str">
        <f>"103"</f>
        <v>103</v>
      </c>
      <c r="D1732" t="s">
        <v>5332</v>
      </c>
      <c r="E1732" t="str">
        <f>"183289"</f>
        <v>183289</v>
      </c>
      <c r="F1732" t="str">
        <f t="shared" si="29"/>
        <v>33200000</v>
      </c>
      <c r="H1732" t="s">
        <v>5333</v>
      </c>
      <c r="K1732" s="4">
        <v>300</v>
      </c>
    </row>
    <row r="1733" spans="1:11" hidden="1" outlineLevel="2" x14ac:dyDescent="0.35">
      <c r="A1733" t="s">
        <v>3115</v>
      </c>
      <c r="B1733" s="1">
        <v>45741</v>
      </c>
      <c r="C1733" t="str">
        <f>"104"</f>
        <v>104</v>
      </c>
      <c r="D1733" t="s">
        <v>5334</v>
      </c>
      <c r="E1733" t="str">
        <f>"183577"</f>
        <v>183577</v>
      </c>
      <c r="F1733" t="str">
        <f t="shared" si="29"/>
        <v>33200000</v>
      </c>
      <c r="H1733" t="s">
        <v>5335</v>
      </c>
      <c r="K1733" s="4">
        <v>3477</v>
      </c>
    </row>
    <row r="1734" spans="1:11" hidden="1" outlineLevel="2" x14ac:dyDescent="0.35">
      <c r="A1734" t="s">
        <v>3115</v>
      </c>
      <c r="B1734" s="1">
        <v>45741</v>
      </c>
      <c r="C1734" t="str">
        <f>"105"</f>
        <v>105</v>
      </c>
      <c r="D1734" t="s">
        <v>5336</v>
      </c>
      <c r="E1734" t="str">
        <f>"183576"</f>
        <v>183576</v>
      </c>
      <c r="F1734" t="str">
        <f t="shared" si="29"/>
        <v>33200000</v>
      </c>
      <c r="H1734" t="s">
        <v>5337</v>
      </c>
      <c r="K1734" s="4">
        <v>6954</v>
      </c>
    </row>
    <row r="1735" spans="1:11" hidden="1" outlineLevel="2" x14ac:dyDescent="0.35">
      <c r="A1735" t="s">
        <v>3115</v>
      </c>
      <c r="B1735" s="1">
        <v>45741</v>
      </c>
      <c r="C1735" t="str">
        <f>"106"</f>
        <v>106</v>
      </c>
      <c r="D1735" t="s">
        <v>5338</v>
      </c>
      <c r="E1735" t="str">
        <f>"182055"</f>
        <v>182055</v>
      </c>
      <c r="F1735" t="str">
        <f t="shared" si="29"/>
        <v>33200000</v>
      </c>
      <c r="H1735" t="s">
        <v>5339</v>
      </c>
      <c r="K1735" s="4">
        <v>39000</v>
      </c>
    </row>
    <row r="1736" spans="1:11" hidden="1" outlineLevel="2" x14ac:dyDescent="0.35">
      <c r="A1736" t="s">
        <v>3115</v>
      </c>
      <c r="B1736" s="1">
        <v>45741</v>
      </c>
      <c r="C1736" t="str">
        <f>"107"</f>
        <v>107</v>
      </c>
      <c r="D1736" t="s">
        <v>5340</v>
      </c>
      <c r="E1736" t="str">
        <f>"182078"</f>
        <v>182078</v>
      </c>
      <c r="F1736" t="str">
        <f t="shared" si="29"/>
        <v>33200000</v>
      </c>
      <c r="H1736" t="s">
        <v>5341</v>
      </c>
      <c r="K1736" s="4">
        <v>6000</v>
      </c>
    </row>
    <row r="1737" spans="1:11" hidden="1" outlineLevel="2" x14ac:dyDescent="0.35">
      <c r="A1737" t="s">
        <v>3115</v>
      </c>
      <c r="B1737" s="1">
        <v>45741</v>
      </c>
      <c r="C1737" t="str">
        <f>"108"</f>
        <v>108</v>
      </c>
      <c r="D1737" t="s">
        <v>5342</v>
      </c>
      <c r="E1737" t="str">
        <f>"182077"</f>
        <v>182077</v>
      </c>
      <c r="F1737" t="str">
        <f t="shared" si="29"/>
        <v>33200000</v>
      </c>
      <c r="H1737" t="s">
        <v>5343</v>
      </c>
      <c r="K1737" s="4">
        <v>9000</v>
      </c>
    </row>
    <row r="1738" spans="1:11" hidden="1" outlineLevel="2" x14ac:dyDescent="0.35">
      <c r="A1738" t="s">
        <v>3115</v>
      </c>
      <c r="B1738" s="1">
        <v>45741</v>
      </c>
      <c r="C1738" t="str">
        <f>"109"</f>
        <v>109</v>
      </c>
      <c r="D1738" t="s">
        <v>5344</v>
      </c>
      <c r="E1738" t="str">
        <f>"182081"</f>
        <v>182081</v>
      </c>
      <c r="F1738" t="str">
        <f t="shared" si="29"/>
        <v>33200000</v>
      </c>
      <c r="H1738" t="s">
        <v>5345</v>
      </c>
      <c r="K1738" s="4">
        <v>3000</v>
      </c>
    </row>
    <row r="1739" spans="1:11" hidden="1" outlineLevel="2" x14ac:dyDescent="0.35">
      <c r="A1739" t="s">
        <v>3115</v>
      </c>
      <c r="B1739" s="1">
        <v>45742</v>
      </c>
      <c r="C1739" t="str">
        <f>"110"</f>
        <v>110</v>
      </c>
      <c r="D1739" t="s">
        <v>5346</v>
      </c>
      <c r="E1739" t="str">
        <f>"182049"</f>
        <v>182049</v>
      </c>
      <c r="F1739" t="str">
        <f t="shared" si="29"/>
        <v>33200000</v>
      </c>
      <c r="H1739" t="s">
        <v>5347</v>
      </c>
      <c r="K1739" s="4">
        <v>87833</v>
      </c>
    </row>
    <row r="1740" spans="1:11" hidden="1" outlineLevel="2" x14ac:dyDescent="0.35">
      <c r="A1740" t="s">
        <v>3115</v>
      </c>
      <c r="B1740" s="1">
        <v>45742</v>
      </c>
      <c r="C1740" t="str">
        <f>"111"</f>
        <v>111</v>
      </c>
      <c r="D1740" t="s">
        <v>5348</v>
      </c>
      <c r="E1740" t="str">
        <f>"182050"</f>
        <v>182050</v>
      </c>
      <c r="F1740" t="str">
        <f t="shared" si="29"/>
        <v>33200000</v>
      </c>
      <c r="H1740" t="s">
        <v>5349</v>
      </c>
      <c r="K1740" s="4">
        <v>126</v>
      </c>
    </row>
    <row r="1741" spans="1:11" hidden="1" outlineLevel="2" x14ac:dyDescent="0.35">
      <c r="A1741" t="s">
        <v>3115</v>
      </c>
      <c r="B1741" s="1">
        <v>45742</v>
      </c>
      <c r="C1741" t="str">
        <f>"112"</f>
        <v>112</v>
      </c>
      <c r="D1741" t="s">
        <v>5350</v>
      </c>
      <c r="E1741" t="str">
        <f>"182049"</f>
        <v>182049</v>
      </c>
      <c r="F1741" t="str">
        <f t="shared" si="29"/>
        <v>33200000</v>
      </c>
      <c r="H1741" t="s">
        <v>5351</v>
      </c>
      <c r="K1741" s="4">
        <v>126</v>
      </c>
    </row>
    <row r="1742" spans="1:11" hidden="1" outlineLevel="2" x14ac:dyDescent="0.35">
      <c r="A1742" t="s">
        <v>3115</v>
      </c>
      <c r="B1742" s="1">
        <v>45742</v>
      </c>
      <c r="C1742" t="str">
        <f>"113"</f>
        <v>113</v>
      </c>
      <c r="D1742" t="s">
        <v>5352</v>
      </c>
      <c r="E1742" t="str">
        <f>"182047"</f>
        <v>182047</v>
      </c>
      <c r="F1742" t="str">
        <f t="shared" si="29"/>
        <v>33200000</v>
      </c>
      <c r="H1742" t="s">
        <v>5353</v>
      </c>
      <c r="K1742" s="4">
        <v>40604</v>
      </c>
    </row>
    <row r="1743" spans="1:11" hidden="1" outlineLevel="2" x14ac:dyDescent="0.35">
      <c r="A1743" t="s">
        <v>3115</v>
      </c>
      <c r="B1743" s="1">
        <v>45742</v>
      </c>
      <c r="C1743" t="str">
        <f>"114"</f>
        <v>114</v>
      </c>
      <c r="D1743" t="s">
        <v>5354</v>
      </c>
      <c r="E1743" t="str">
        <f>"183423"</f>
        <v>183423</v>
      </c>
      <c r="F1743" t="str">
        <f t="shared" si="29"/>
        <v>33200000</v>
      </c>
      <c r="H1743" t="s">
        <v>5355</v>
      </c>
      <c r="K1743" s="4">
        <v>33600</v>
      </c>
    </row>
    <row r="1744" spans="1:11" hidden="1" outlineLevel="2" x14ac:dyDescent="0.35">
      <c r="A1744" t="s">
        <v>3115</v>
      </c>
      <c r="B1744" s="1">
        <v>45742</v>
      </c>
      <c r="C1744" t="str">
        <f>"115"</f>
        <v>115</v>
      </c>
      <c r="D1744" t="s">
        <v>5356</v>
      </c>
      <c r="E1744" t="str">
        <f>"182046"</f>
        <v>182046</v>
      </c>
      <c r="F1744" t="str">
        <f t="shared" si="29"/>
        <v>33200000</v>
      </c>
      <c r="H1744" t="s">
        <v>5357</v>
      </c>
      <c r="K1744" s="4">
        <v>16202</v>
      </c>
    </row>
    <row r="1745" spans="1:11" hidden="1" outlineLevel="2" x14ac:dyDescent="0.35">
      <c r="A1745" t="s">
        <v>3115</v>
      </c>
      <c r="B1745" s="1">
        <v>45742</v>
      </c>
      <c r="C1745" t="str">
        <f>"116"</f>
        <v>116</v>
      </c>
      <c r="D1745" t="s">
        <v>5358</v>
      </c>
      <c r="E1745" t="str">
        <f>"180848"</f>
        <v>180848</v>
      </c>
      <c r="F1745" t="str">
        <f t="shared" si="29"/>
        <v>33200000</v>
      </c>
      <c r="H1745" t="s">
        <v>5359</v>
      </c>
      <c r="K1745" s="4">
        <v>11060</v>
      </c>
    </row>
    <row r="1746" spans="1:11" hidden="1" outlineLevel="2" x14ac:dyDescent="0.35">
      <c r="A1746" t="s">
        <v>3115</v>
      </c>
      <c r="B1746" s="1">
        <v>45742</v>
      </c>
      <c r="C1746" t="str">
        <f>"117"</f>
        <v>117</v>
      </c>
      <c r="D1746" t="s">
        <v>5360</v>
      </c>
      <c r="E1746" t="str">
        <f>"182047"</f>
        <v>182047</v>
      </c>
      <c r="F1746" t="str">
        <f t="shared" si="29"/>
        <v>33200000</v>
      </c>
      <c r="H1746" t="s">
        <v>5361</v>
      </c>
      <c r="K1746" s="4">
        <v>126</v>
      </c>
    </row>
    <row r="1747" spans="1:11" hidden="1" outlineLevel="2" x14ac:dyDescent="0.35">
      <c r="A1747" t="s">
        <v>3115</v>
      </c>
      <c r="B1747" s="1">
        <v>45742</v>
      </c>
      <c r="C1747" t="str">
        <f>"118"</f>
        <v>118</v>
      </c>
      <c r="D1747" t="s">
        <v>5362</v>
      </c>
      <c r="E1747" t="str">
        <f>"182046"</f>
        <v>182046</v>
      </c>
      <c r="F1747" t="str">
        <f t="shared" si="29"/>
        <v>33200000</v>
      </c>
      <c r="H1747" t="s">
        <v>5363</v>
      </c>
      <c r="K1747" s="4">
        <v>126</v>
      </c>
    </row>
    <row r="1748" spans="1:11" hidden="1" outlineLevel="2" x14ac:dyDescent="0.35">
      <c r="A1748" t="s">
        <v>3115</v>
      </c>
      <c r="B1748" s="1">
        <v>45742</v>
      </c>
      <c r="C1748" t="str">
        <f>"120"</f>
        <v>120</v>
      </c>
      <c r="D1748" t="s">
        <v>5366</v>
      </c>
      <c r="E1748" t="str">
        <f>"182048"</f>
        <v>182048</v>
      </c>
      <c r="F1748" t="str">
        <f t="shared" si="29"/>
        <v>33200000</v>
      </c>
      <c r="H1748" t="s">
        <v>5367</v>
      </c>
      <c r="K1748" s="4">
        <v>23811</v>
      </c>
    </row>
    <row r="1749" spans="1:11" hidden="1" outlineLevel="2" x14ac:dyDescent="0.35">
      <c r="A1749" t="s">
        <v>3115</v>
      </c>
      <c r="B1749" s="1">
        <v>45742</v>
      </c>
      <c r="C1749" t="str">
        <f>"121"</f>
        <v>121</v>
      </c>
      <c r="D1749" t="s">
        <v>5368</v>
      </c>
      <c r="E1749" t="str">
        <f>"182048"</f>
        <v>182048</v>
      </c>
      <c r="F1749" t="str">
        <f t="shared" si="29"/>
        <v>33200000</v>
      </c>
      <c r="H1749" t="s">
        <v>5369</v>
      </c>
      <c r="K1749" s="4">
        <v>126</v>
      </c>
    </row>
    <row r="1750" spans="1:11" hidden="1" outlineLevel="2" x14ac:dyDescent="0.35">
      <c r="A1750" t="s">
        <v>3115</v>
      </c>
      <c r="B1750" s="1">
        <v>45742</v>
      </c>
      <c r="C1750" t="str">
        <f>"122"</f>
        <v>122</v>
      </c>
      <c r="D1750" t="s">
        <v>5370</v>
      </c>
      <c r="E1750" t="str">
        <f>"178441"</f>
        <v>178441</v>
      </c>
      <c r="F1750" t="str">
        <f t="shared" si="29"/>
        <v>33200000</v>
      </c>
      <c r="H1750" t="s">
        <v>5371</v>
      </c>
      <c r="K1750" s="4">
        <v>7718</v>
      </c>
    </row>
    <row r="1751" spans="1:11" hidden="1" outlineLevel="2" x14ac:dyDescent="0.35">
      <c r="A1751" t="s">
        <v>3115</v>
      </c>
      <c r="B1751" s="1">
        <v>45742</v>
      </c>
      <c r="C1751" t="str">
        <f>"123"</f>
        <v>123</v>
      </c>
      <c r="D1751" t="s">
        <v>5372</v>
      </c>
      <c r="E1751" t="str">
        <f>"183328"</f>
        <v>183328</v>
      </c>
      <c r="F1751" t="str">
        <f t="shared" si="29"/>
        <v>33200000</v>
      </c>
      <c r="H1751" t="s">
        <v>5373</v>
      </c>
      <c r="K1751" s="4">
        <v>76400</v>
      </c>
    </row>
    <row r="1752" spans="1:11" hidden="1" outlineLevel="2" x14ac:dyDescent="0.35">
      <c r="A1752" t="s">
        <v>3115</v>
      </c>
      <c r="B1752" s="1">
        <v>45742</v>
      </c>
      <c r="C1752" t="str">
        <f>"124"</f>
        <v>124</v>
      </c>
      <c r="D1752" t="s">
        <v>5374</v>
      </c>
      <c r="E1752" t="str">
        <f>"183508"</f>
        <v>183508</v>
      </c>
      <c r="F1752" t="str">
        <f t="shared" si="29"/>
        <v>33200000</v>
      </c>
      <c r="H1752" t="s">
        <v>5375</v>
      </c>
      <c r="K1752" s="4">
        <v>51804</v>
      </c>
    </row>
    <row r="1753" spans="1:11" hidden="1" outlineLevel="2" x14ac:dyDescent="0.35">
      <c r="A1753" t="s">
        <v>3115</v>
      </c>
      <c r="B1753" s="1">
        <v>45742</v>
      </c>
      <c r="C1753" t="str">
        <f>"125"</f>
        <v>125</v>
      </c>
      <c r="D1753" t="s">
        <v>5376</v>
      </c>
      <c r="E1753" t="str">
        <f>"183507"</f>
        <v>183507</v>
      </c>
      <c r="F1753" t="str">
        <f t="shared" si="29"/>
        <v>33200000</v>
      </c>
      <c r="H1753" t="s">
        <v>5377</v>
      </c>
      <c r="K1753" s="4">
        <v>51804</v>
      </c>
    </row>
    <row r="1754" spans="1:11" hidden="1" outlineLevel="2" x14ac:dyDescent="0.35">
      <c r="A1754" t="s">
        <v>3115</v>
      </c>
      <c r="B1754" s="1">
        <v>45742</v>
      </c>
      <c r="C1754" t="str">
        <f>"126"</f>
        <v>126</v>
      </c>
      <c r="D1754" t="s">
        <v>5378</v>
      </c>
      <c r="E1754" t="str">
        <f>"183505"</f>
        <v>183505</v>
      </c>
      <c r="F1754" t="str">
        <f t="shared" si="29"/>
        <v>33200000</v>
      </c>
      <c r="H1754" t="s">
        <v>5379</v>
      </c>
      <c r="K1754" s="4">
        <v>51804</v>
      </c>
    </row>
    <row r="1755" spans="1:11" hidden="1" outlineLevel="2" x14ac:dyDescent="0.35">
      <c r="A1755" t="s">
        <v>3115</v>
      </c>
      <c r="B1755" s="1">
        <v>45742</v>
      </c>
      <c r="C1755" t="str">
        <f>"127"</f>
        <v>127</v>
      </c>
      <c r="D1755" t="s">
        <v>5380</v>
      </c>
      <c r="E1755" t="str">
        <f>"183506"</f>
        <v>183506</v>
      </c>
      <c r="F1755" t="str">
        <f t="shared" si="29"/>
        <v>33200000</v>
      </c>
      <c r="H1755" t="s">
        <v>5381</v>
      </c>
      <c r="K1755" s="4">
        <v>51804</v>
      </c>
    </row>
    <row r="1756" spans="1:11" hidden="1" outlineLevel="2" x14ac:dyDescent="0.35">
      <c r="A1756" t="s">
        <v>3115</v>
      </c>
      <c r="B1756" s="1">
        <v>45742</v>
      </c>
      <c r="C1756" t="str">
        <f>"128"</f>
        <v>128</v>
      </c>
      <c r="D1756" t="s">
        <v>5382</v>
      </c>
      <c r="E1756" t="str">
        <f>"183567"</f>
        <v>183567</v>
      </c>
      <c r="F1756" t="str">
        <f t="shared" si="29"/>
        <v>33200000</v>
      </c>
      <c r="H1756" t="s">
        <v>5383</v>
      </c>
      <c r="K1756" s="4">
        <v>48067</v>
      </c>
    </row>
    <row r="1757" spans="1:11" hidden="1" outlineLevel="2" x14ac:dyDescent="0.35">
      <c r="A1757" t="s">
        <v>3115</v>
      </c>
      <c r="B1757" s="1">
        <v>45742</v>
      </c>
      <c r="C1757" t="str">
        <f>"129"</f>
        <v>129</v>
      </c>
      <c r="D1757" t="s">
        <v>5384</v>
      </c>
      <c r="E1757" t="str">
        <f>"184708"</f>
        <v>184708</v>
      </c>
      <c r="F1757" t="str">
        <f t="shared" si="29"/>
        <v>33200000</v>
      </c>
      <c r="H1757" t="s">
        <v>5385</v>
      </c>
      <c r="K1757" s="4">
        <v>656</v>
      </c>
    </row>
    <row r="1758" spans="1:11" hidden="1" outlineLevel="2" x14ac:dyDescent="0.35">
      <c r="A1758" t="s">
        <v>3115</v>
      </c>
      <c r="B1758" s="1">
        <v>45742</v>
      </c>
      <c r="C1758" t="str">
        <f>"130"</f>
        <v>130</v>
      </c>
      <c r="D1758" t="s">
        <v>5386</v>
      </c>
      <c r="E1758" t="str">
        <f>"183494"</f>
        <v>183494</v>
      </c>
      <c r="F1758" t="str">
        <f t="shared" si="29"/>
        <v>33200000</v>
      </c>
      <c r="H1758" t="s">
        <v>5387</v>
      </c>
      <c r="K1758" s="4">
        <v>2398</v>
      </c>
    </row>
    <row r="1759" spans="1:11" hidden="1" outlineLevel="2" x14ac:dyDescent="0.35">
      <c r="A1759" t="s">
        <v>3115</v>
      </c>
      <c r="B1759" s="1">
        <v>45742</v>
      </c>
      <c r="C1759" t="str">
        <f>"132"</f>
        <v>132</v>
      </c>
      <c r="D1759" t="s">
        <v>5390</v>
      </c>
      <c r="E1759" t="str">
        <f>"184210"</f>
        <v>184210</v>
      </c>
      <c r="F1759" t="str">
        <f t="shared" si="29"/>
        <v>33200000</v>
      </c>
      <c r="H1759" t="s">
        <v>5391</v>
      </c>
      <c r="K1759" s="4">
        <v>7646</v>
      </c>
    </row>
    <row r="1760" spans="1:11" hidden="1" outlineLevel="2" x14ac:dyDescent="0.35">
      <c r="A1760" t="s">
        <v>3115</v>
      </c>
      <c r="B1760" s="1">
        <v>45742</v>
      </c>
      <c r="C1760" t="str">
        <f>"133"</f>
        <v>133</v>
      </c>
      <c r="D1760" t="s">
        <v>5392</v>
      </c>
      <c r="E1760" t="str">
        <f>"184209"</f>
        <v>184209</v>
      </c>
      <c r="F1760" t="str">
        <f t="shared" si="29"/>
        <v>33200000</v>
      </c>
      <c r="H1760" t="s">
        <v>5393</v>
      </c>
      <c r="K1760" s="4">
        <v>19941</v>
      </c>
    </row>
    <row r="1761" spans="1:11" hidden="1" outlineLevel="2" x14ac:dyDescent="0.35">
      <c r="A1761" t="s">
        <v>3115</v>
      </c>
      <c r="B1761" s="1">
        <v>45742</v>
      </c>
      <c r="C1761" t="str">
        <f>"134"</f>
        <v>134</v>
      </c>
      <c r="D1761" t="s">
        <v>5394</v>
      </c>
      <c r="E1761" t="str">
        <f>"183525"</f>
        <v>183525</v>
      </c>
      <c r="F1761" t="str">
        <f t="shared" si="29"/>
        <v>33200000</v>
      </c>
      <c r="H1761" t="s">
        <v>5395</v>
      </c>
      <c r="K1761" s="4">
        <v>43950</v>
      </c>
    </row>
    <row r="1762" spans="1:11" hidden="1" outlineLevel="2" x14ac:dyDescent="0.35">
      <c r="A1762" t="s">
        <v>3115</v>
      </c>
      <c r="B1762" s="1">
        <v>45742</v>
      </c>
      <c r="C1762" t="str">
        <f>"136"</f>
        <v>136</v>
      </c>
      <c r="D1762" t="s">
        <v>5398</v>
      </c>
      <c r="E1762" t="str">
        <f>"184664"</f>
        <v>184664</v>
      </c>
      <c r="F1762" t="str">
        <f t="shared" si="29"/>
        <v>33200000</v>
      </c>
      <c r="H1762" t="s">
        <v>5399</v>
      </c>
      <c r="K1762" s="4">
        <v>6356</v>
      </c>
    </row>
    <row r="1763" spans="1:11" hidden="1" outlineLevel="2" x14ac:dyDescent="0.35">
      <c r="A1763" t="s">
        <v>3115</v>
      </c>
      <c r="B1763" s="1">
        <v>45742</v>
      </c>
      <c r="C1763" t="str">
        <f>"138"</f>
        <v>138</v>
      </c>
      <c r="D1763" t="s">
        <v>5402</v>
      </c>
      <c r="E1763" t="str">
        <f>"184709"</f>
        <v>184709</v>
      </c>
      <c r="F1763" t="str">
        <f t="shared" si="29"/>
        <v>33200000</v>
      </c>
      <c r="H1763" t="s">
        <v>5403</v>
      </c>
      <c r="K1763" s="4">
        <v>5773</v>
      </c>
    </row>
    <row r="1764" spans="1:11" hidden="1" outlineLevel="2" x14ac:dyDescent="0.35">
      <c r="A1764" t="s">
        <v>3115</v>
      </c>
      <c r="B1764" s="1">
        <v>45742</v>
      </c>
      <c r="C1764" t="str">
        <f>"140"</f>
        <v>140</v>
      </c>
      <c r="D1764" t="s">
        <v>5406</v>
      </c>
      <c r="E1764" t="str">
        <f>"183361"</f>
        <v>183361</v>
      </c>
      <c r="F1764" t="str">
        <f t="shared" si="29"/>
        <v>33200000</v>
      </c>
      <c r="H1764" t="s">
        <v>5407</v>
      </c>
      <c r="K1764" s="4">
        <v>22050</v>
      </c>
    </row>
    <row r="1765" spans="1:11" hidden="1" outlineLevel="2" x14ac:dyDescent="0.35">
      <c r="A1765" t="s">
        <v>3115</v>
      </c>
      <c r="B1765" s="1">
        <v>45742</v>
      </c>
      <c r="C1765" t="str">
        <f>"141"</f>
        <v>141</v>
      </c>
      <c r="D1765" t="s">
        <v>5408</v>
      </c>
      <c r="E1765" t="str">
        <f>"183362"</f>
        <v>183362</v>
      </c>
      <c r="F1765" t="str">
        <f t="shared" si="29"/>
        <v>33200000</v>
      </c>
      <c r="H1765" t="s">
        <v>5409</v>
      </c>
      <c r="K1765" s="4">
        <v>6500</v>
      </c>
    </row>
    <row r="1766" spans="1:11" hidden="1" outlineLevel="2" x14ac:dyDescent="0.35">
      <c r="A1766" t="s">
        <v>3115</v>
      </c>
      <c r="B1766" s="1">
        <v>45742</v>
      </c>
      <c r="C1766" t="str">
        <f>"142"</f>
        <v>142</v>
      </c>
      <c r="D1766" t="s">
        <v>5410</v>
      </c>
      <c r="E1766" t="str">
        <f>"184364"</f>
        <v>184364</v>
      </c>
      <c r="F1766" t="str">
        <f t="shared" si="29"/>
        <v>33200000</v>
      </c>
      <c r="H1766" t="s">
        <v>5411</v>
      </c>
      <c r="K1766" s="4">
        <v>6162</v>
      </c>
    </row>
    <row r="1767" spans="1:11" hidden="1" outlineLevel="2" x14ac:dyDescent="0.35">
      <c r="A1767" t="s">
        <v>3115</v>
      </c>
      <c r="B1767" s="1">
        <v>45742</v>
      </c>
      <c r="C1767" t="str">
        <f>"143"</f>
        <v>143</v>
      </c>
      <c r="D1767" t="s">
        <v>5412</v>
      </c>
      <c r="E1767" t="str">
        <f>"184363"</f>
        <v>184363</v>
      </c>
      <c r="F1767" t="str">
        <f t="shared" si="29"/>
        <v>33200000</v>
      </c>
      <c r="H1767" t="s">
        <v>5413</v>
      </c>
      <c r="K1767" s="4">
        <v>800</v>
      </c>
    </row>
    <row r="1768" spans="1:11" hidden="1" outlineLevel="2" x14ac:dyDescent="0.35">
      <c r="A1768" t="s">
        <v>3115</v>
      </c>
      <c r="B1768" s="1">
        <v>45742</v>
      </c>
      <c r="C1768" t="str">
        <f>"144"</f>
        <v>144</v>
      </c>
      <c r="D1768" t="s">
        <v>5414</v>
      </c>
      <c r="E1768" t="str">
        <f>"184365"</f>
        <v>184365</v>
      </c>
      <c r="F1768" t="str">
        <f t="shared" si="29"/>
        <v>33200000</v>
      </c>
      <c r="H1768" t="s">
        <v>5415</v>
      </c>
      <c r="K1768" s="4">
        <v>1150</v>
      </c>
    </row>
    <row r="1769" spans="1:11" hidden="1" outlineLevel="2" x14ac:dyDescent="0.35">
      <c r="A1769" t="s">
        <v>3115</v>
      </c>
      <c r="B1769" s="1">
        <v>45742</v>
      </c>
      <c r="C1769" t="str">
        <f>"146"</f>
        <v>146</v>
      </c>
      <c r="D1769" t="s">
        <v>5418</v>
      </c>
      <c r="E1769" t="str">
        <f>"183526"</f>
        <v>183526</v>
      </c>
      <c r="F1769" t="str">
        <f t="shared" si="29"/>
        <v>33200000</v>
      </c>
      <c r="H1769" t="s">
        <v>5419</v>
      </c>
      <c r="K1769" s="4">
        <v>43950</v>
      </c>
    </row>
    <row r="1770" spans="1:11" hidden="1" outlineLevel="2" x14ac:dyDescent="0.35">
      <c r="A1770" t="s">
        <v>3115</v>
      </c>
      <c r="B1770" s="1">
        <v>45742</v>
      </c>
      <c r="C1770" t="str">
        <f>"149"</f>
        <v>149</v>
      </c>
      <c r="D1770" t="s">
        <v>5424</v>
      </c>
      <c r="E1770" t="str">
        <f>"184601"</f>
        <v>184601</v>
      </c>
      <c r="F1770" t="str">
        <f t="shared" si="29"/>
        <v>33200000</v>
      </c>
      <c r="H1770" t="s">
        <v>5425</v>
      </c>
      <c r="K1770" s="4">
        <v>8921</v>
      </c>
    </row>
    <row r="1771" spans="1:11" hidden="1" outlineLevel="2" x14ac:dyDescent="0.35">
      <c r="A1771" t="s">
        <v>3115</v>
      </c>
      <c r="B1771" s="1">
        <v>45744</v>
      </c>
      <c r="C1771" t="str">
        <f>"4"</f>
        <v>4</v>
      </c>
      <c r="D1771" t="s">
        <v>5432</v>
      </c>
      <c r="E1771" t="str">
        <f>"184369"</f>
        <v>184369</v>
      </c>
      <c r="F1771" t="str">
        <f t="shared" si="29"/>
        <v>33200000</v>
      </c>
      <c r="H1771" t="s">
        <v>5433</v>
      </c>
      <c r="K1771" s="4">
        <v>800</v>
      </c>
    </row>
    <row r="1772" spans="1:11" hidden="1" outlineLevel="2" x14ac:dyDescent="0.35">
      <c r="A1772" t="s">
        <v>3115</v>
      </c>
      <c r="B1772" s="1">
        <v>45744</v>
      </c>
      <c r="C1772" t="str">
        <f>"5"</f>
        <v>5</v>
      </c>
      <c r="D1772" t="s">
        <v>5434</v>
      </c>
      <c r="E1772" t="str">
        <f>"184367"</f>
        <v>184367</v>
      </c>
      <c r="F1772" t="str">
        <f t="shared" si="29"/>
        <v>33200000</v>
      </c>
      <c r="H1772" t="s">
        <v>5435</v>
      </c>
      <c r="K1772" s="4">
        <v>800</v>
      </c>
    </row>
    <row r="1773" spans="1:11" hidden="1" outlineLevel="2" x14ac:dyDescent="0.35">
      <c r="A1773" t="s">
        <v>3115</v>
      </c>
      <c r="B1773" s="1">
        <v>45744</v>
      </c>
      <c r="C1773" t="str">
        <f>"9"</f>
        <v>9</v>
      </c>
      <c r="D1773" t="s">
        <v>5442</v>
      </c>
      <c r="E1773" t="str">
        <f>"183363"</f>
        <v>183363</v>
      </c>
      <c r="F1773" t="str">
        <f t="shared" si="29"/>
        <v>33200000</v>
      </c>
      <c r="H1773" t="s">
        <v>5443</v>
      </c>
      <c r="K1773" s="4">
        <v>21500</v>
      </c>
    </row>
    <row r="1774" spans="1:11" hidden="1" outlineLevel="2" x14ac:dyDescent="0.35">
      <c r="A1774" t="s">
        <v>3115</v>
      </c>
      <c r="B1774" s="1">
        <v>45744</v>
      </c>
      <c r="C1774" t="str">
        <f>"11"</f>
        <v>11</v>
      </c>
      <c r="D1774" t="s">
        <v>5446</v>
      </c>
      <c r="E1774" t="str">
        <f>"183497"</f>
        <v>183497</v>
      </c>
      <c r="F1774" t="str">
        <f t="shared" si="29"/>
        <v>33200000</v>
      </c>
      <c r="H1774" t="s">
        <v>5447</v>
      </c>
      <c r="K1774" s="4">
        <v>22795</v>
      </c>
    </row>
    <row r="1775" spans="1:11" hidden="1" outlineLevel="2" x14ac:dyDescent="0.35">
      <c r="A1775" t="s">
        <v>3115</v>
      </c>
      <c r="B1775" s="1">
        <v>45744</v>
      </c>
      <c r="C1775" t="str">
        <f>"14"</f>
        <v>14</v>
      </c>
      <c r="D1775" t="s">
        <v>5452</v>
      </c>
      <c r="E1775" t="str">
        <f>"181003"</f>
        <v>181003</v>
      </c>
      <c r="F1775" t="str">
        <f t="shared" si="29"/>
        <v>33200000</v>
      </c>
      <c r="H1775" t="s">
        <v>5453</v>
      </c>
      <c r="K1775" s="4">
        <v>273000</v>
      </c>
    </row>
    <row r="1776" spans="1:11" hidden="1" outlineLevel="2" x14ac:dyDescent="0.35">
      <c r="A1776" t="s">
        <v>3115</v>
      </c>
      <c r="B1776" s="1">
        <v>45744</v>
      </c>
      <c r="C1776" t="str">
        <f>"150"</f>
        <v>150</v>
      </c>
      <c r="D1776" t="s">
        <v>5456</v>
      </c>
      <c r="E1776" t="str">
        <f>"182097"</f>
        <v>182097</v>
      </c>
      <c r="F1776" t="str">
        <f t="shared" si="29"/>
        <v>33200000</v>
      </c>
      <c r="H1776" t="s">
        <v>5457</v>
      </c>
      <c r="K1776" s="4">
        <v>7347</v>
      </c>
    </row>
    <row r="1777" spans="1:11" hidden="1" outlineLevel="2" x14ac:dyDescent="0.35">
      <c r="A1777" t="s">
        <v>3115</v>
      </c>
      <c r="B1777" s="1">
        <v>45744</v>
      </c>
      <c r="C1777" t="str">
        <f>"151"</f>
        <v>151</v>
      </c>
      <c r="D1777" t="s">
        <v>5458</v>
      </c>
      <c r="E1777" t="str">
        <f>"184710"</f>
        <v>184710</v>
      </c>
      <c r="F1777" t="str">
        <f t="shared" si="29"/>
        <v>33200000</v>
      </c>
      <c r="H1777" t="s">
        <v>5459</v>
      </c>
      <c r="K1777" s="4">
        <v>1968</v>
      </c>
    </row>
    <row r="1778" spans="1:11" hidden="1" outlineLevel="2" x14ac:dyDescent="0.35">
      <c r="A1778" t="s">
        <v>3115</v>
      </c>
      <c r="B1778" s="1">
        <v>45744</v>
      </c>
      <c r="C1778" t="str">
        <f>"152"</f>
        <v>152</v>
      </c>
      <c r="D1778" t="s">
        <v>5460</v>
      </c>
      <c r="E1778" t="str">
        <f>"182043"</f>
        <v>182043</v>
      </c>
      <c r="F1778" t="str">
        <f t="shared" ref="F1778:F1792" si="30">"33200000"</f>
        <v>33200000</v>
      </c>
      <c r="H1778" t="s">
        <v>5461</v>
      </c>
      <c r="K1778" s="4">
        <v>2099</v>
      </c>
    </row>
    <row r="1779" spans="1:11" hidden="1" outlineLevel="2" x14ac:dyDescent="0.35">
      <c r="A1779" t="s">
        <v>3115</v>
      </c>
      <c r="B1779" s="1">
        <v>45744</v>
      </c>
      <c r="C1779" t="str">
        <f>"153"</f>
        <v>153</v>
      </c>
      <c r="D1779" t="s">
        <v>5462</v>
      </c>
      <c r="E1779" t="str">
        <f>"182045"</f>
        <v>182045</v>
      </c>
      <c r="F1779" t="str">
        <f t="shared" si="30"/>
        <v>33200000</v>
      </c>
      <c r="H1779" t="s">
        <v>5463</v>
      </c>
      <c r="K1779" s="4">
        <v>656</v>
      </c>
    </row>
    <row r="1780" spans="1:11" hidden="1" outlineLevel="2" x14ac:dyDescent="0.35">
      <c r="A1780" t="s">
        <v>3115</v>
      </c>
      <c r="B1780" s="1">
        <v>45744</v>
      </c>
      <c r="C1780" t="str">
        <f>"154"</f>
        <v>154</v>
      </c>
      <c r="D1780" t="s">
        <v>5464</v>
      </c>
      <c r="E1780" t="str">
        <f>"182040"</f>
        <v>182040</v>
      </c>
      <c r="F1780" t="str">
        <f t="shared" si="30"/>
        <v>33200000</v>
      </c>
      <c r="H1780" t="s">
        <v>5465</v>
      </c>
      <c r="K1780" s="4">
        <v>4789</v>
      </c>
    </row>
    <row r="1781" spans="1:11" hidden="1" outlineLevel="2" x14ac:dyDescent="0.35">
      <c r="A1781" t="s">
        <v>3115</v>
      </c>
      <c r="B1781" s="1">
        <v>45744</v>
      </c>
      <c r="C1781" t="str">
        <f>"155"</f>
        <v>155</v>
      </c>
      <c r="D1781" t="s">
        <v>5466</v>
      </c>
      <c r="E1781" t="str">
        <f>"182039"</f>
        <v>182039</v>
      </c>
      <c r="F1781" t="str">
        <f t="shared" si="30"/>
        <v>33200000</v>
      </c>
      <c r="H1781" t="s">
        <v>5467</v>
      </c>
      <c r="K1781" s="4">
        <v>11743</v>
      </c>
    </row>
    <row r="1782" spans="1:11" hidden="1" outlineLevel="2" x14ac:dyDescent="0.35">
      <c r="A1782" t="s">
        <v>3115</v>
      </c>
      <c r="B1782" s="1">
        <v>45744</v>
      </c>
      <c r="C1782" t="str">
        <f>"156"</f>
        <v>156</v>
      </c>
      <c r="D1782" t="s">
        <v>5468</v>
      </c>
      <c r="E1782" t="str">
        <f>"182042"</f>
        <v>182042</v>
      </c>
      <c r="F1782" t="str">
        <f t="shared" si="30"/>
        <v>33200000</v>
      </c>
      <c r="H1782" t="s">
        <v>5469</v>
      </c>
      <c r="K1782" s="4">
        <v>8068</v>
      </c>
    </row>
    <row r="1783" spans="1:11" hidden="1" outlineLevel="2" x14ac:dyDescent="0.35">
      <c r="A1783" t="s">
        <v>3115</v>
      </c>
      <c r="B1783" s="1">
        <v>45744</v>
      </c>
      <c r="C1783" t="str">
        <f>"158"</f>
        <v>158</v>
      </c>
      <c r="D1783" t="s">
        <v>5472</v>
      </c>
      <c r="E1783" t="str">
        <f>"182096"</f>
        <v>182096</v>
      </c>
      <c r="F1783" t="str">
        <f t="shared" si="30"/>
        <v>33200000</v>
      </c>
      <c r="H1783" t="s">
        <v>5473</v>
      </c>
      <c r="K1783" s="4">
        <v>3477</v>
      </c>
    </row>
    <row r="1784" spans="1:11" hidden="1" outlineLevel="2" x14ac:dyDescent="0.35">
      <c r="A1784" t="s">
        <v>3115</v>
      </c>
      <c r="B1784" s="1">
        <v>45744</v>
      </c>
      <c r="C1784" t="str">
        <f>"159"</f>
        <v>159</v>
      </c>
      <c r="D1784" t="s">
        <v>5474</v>
      </c>
      <c r="E1784" t="str">
        <f>"184519"</f>
        <v>184519</v>
      </c>
      <c r="F1784" t="str">
        <f t="shared" si="30"/>
        <v>33200000</v>
      </c>
      <c r="H1784" t="s">
        <v>5475</v>
      </c>
      <c r="K1784" s="4">
        <v>1050</v>
      </c>
    </row>
    <row r="1785" spans="1:11" hidden="1" outlineLevel="2" x14ac:dyDescent="0.35">
      <c r="A1785" t="s">
        <v>3115</v>
      </c>
      <c r="B1785" s="1">
        <v>45744</v>
      </c>
      <c r="C1785" t="str">
        <f>"160"</f>
        <v>160</v>
      </c>
      <c r="D1785" t="s">
        <v>5476</v>
      </c>
      <c r="E1785" t="str">
        <f>"179570"</f>
        <v>179570</v>
      </c>
      <c r="F1785" t="str">
        <f t="shared" si="30"/>
        <v>33200000</v>
      </c>
      <c r="H1785" t="s">
        <v>5477</v>
      </c>
      <c r="K1785" s="4">
        <v>117263</v>
      </c>
    </row>
    <row r="1786" spans="1:11" hidden="1" outlineLevel="2" x14ac:dyDescent="0.35">
      <c r="A1786" t="s">
        <v>3115</v>
      </c>
      <c r="B1786" s="1">
        <v>45744</v>
      </c>
      <c r="C1786" t="str">
        <f>"161"</f>
        <v>161</v>
      </c>
      <c r="D1786" t="s">
        <v>5478</v>
      </c>
      <c r="E1786" t="str">
        <f>"182082"</f>
        <v>182082</v>
      </c>
      <c r="F1786" t="str">
        <f t="shared" si="30"/>
        <v>33200000</v>
      </c>
      <c r="H1786" t="s">
        <v>5479</v>
      </c>
      <c r="K1786" s="4">
        <v>65000</v>
      </c>
    </row>
    <row r="1787" spans="1:11" hidden="1" outlineLevel="2" x14ac:dyDescent="0.35">
      <c r="A1787" t="s">
        <v>3115</v>
      </c>
      <c r="B1787" s="1">
        <v>45744</v>
      </c>
      <c r="C1787" t="str">
        <f>"162"</f>
        <v>162</v>
      </c>
      <c r="D1787" t="s">
        <v>5480</v>
      </c>
      <c r="E1787" t="str">
        <f>"181841"</f>
        <v>181841</v>
      </c>
      <c r="F1787" t="str">
        <f t="shared" si="30"/>
        <v>33200000</v>
      </c>
      <c r="H1787" t="s">
        <v>5481</v>
      </c>
      <c r="K1787" s="4">
        <v>500000</v>
      </c>
    </row>
    <row r="1788" spans="1:11" hidden="1" outlineLevel="2" x14ac:dyDescent="0.35">
      <c r="A1788" t="s">
        <v>3115</v>
      </c>
      <c r="B1788" s="1">
        <v>45744</v>
      </c>
      <c r="C1788" t="str">
        <f>"163"</f>
        <v>163</v>
      </c>
      <c r="D1788" t="s">
        <v>5482</v>
      </c>
      <c r="E1788" t="str">
        <f>"183578"</f>
        <v>183578</v>
      </c>
      <c r="F1788" t="str">
        <f t="shared" si="30"/>
        <v>33200000</v>
      </c>
      <c r="H1788" t="s">
        <v>5483</v>
      </c>
      <c r="K1788" s="4">
        <v>3477</v>
      </c>
    </row>
    <row r="1789" spans="1:11" hidden="1" outlineLevel="2" x14ac:dyDescent="0.35">
      <c r="A1789" t="s">
        <v>3115</v>
      </c>
      <c r="B1789" s="1">
        <v>45744</v>
      </c>
      <c r="C1789" t="str">
        <f>"164"</f>
        <v>164</v>
      </c>
      <c r="D1789" t="s">
        <v>5484</v>
      </c>
      <c r="E1789" t="str">
        <f>"184712"</f>
        <v>184712</v>
      </c>
      <c r="F1789" t="str">
        <f t="shared" si="30"/>
        <v>33200000</v>
      </c>
      <c r="H1789" t="s">
        <v>5485</v>
      </c>
      <c r="K1789" s="4">
        <v>9053</v>
      </c>
    </row>
    <row r="1790" spans="1:11" hidden="1" outlineLevel="2" x14ac:dyDescent="0.35">
      <c r="A1790" t="s">
        <v>3115</v>
      </c>
      <c r="B1790" s="1">
        <v>45744</v>
      </c>
      <c r="C1790" t="str">
        <f>"166"</f>
        <v>166</v>
      </c>
      <c r="D1790" t="s">
        <v>5488</v>
      </c>
      <c r="E1790" t="str">
        <f>"147220"</f>
        <v>147220</v>
      </c>
      <c r="F1790" t="str">
        <f t="shared" si="30"/>
        <v>33200000</v>
      </c>
      <c r="H1790" t="s">
        <v>5489</v>
      </c>
      <c r="K1790" s="4">
        <v>328</v>
      </c>
    </row>
    <row r="1791" spans="1:11" hidden="1" outlineLevel="2" x14ac:dyDescent="0.35">
      <c r="A1791" t="s">
        <v>3115</v>
      </c>
      <c r="B1791" s="1">
        <v>45744</v>
      </c>
      <c r="C1791" t="str">
        <f>"167"</f>
        <v>167</v>
      </c>
      <c r="D1791" t="s">
        <v>5490</v>
      </c>
      <c r="E1791" t="str">
        <f>"147221"</f>
        <v>147221</v>
      </c>
      <c r="F1791" t="str">
        <f t="shared" si="30"/>
        <v>33200000</v>
      </c>
      <c r="H1791" t="s">
        <v>5491</v>
      </c>
      <c r="K1791" s="4">
        <v>722</v>
      </c>
    </row>
    <row r="1792" spans="1:11" hidden="1" outlineLevel="2" x14ac:dyDescent="0.35">
      <c r="A1792" t="s">
        <v>3115</v>
      </c>
      <c r="B1792" s="1">
        <v>45745</v>
      </c>
      <c r="C1792" t="str">
        <f>"16"</f>
        <v>16</v>
      </c>
      <c r="D1792" t="s">
        <v>5492</v>
      </c>
      <c r="E1792" t="str">
        <f>"184715"</f>
        <v>184715</v>
      </c>
      <c r="F1792" t="str">
        <f t="shared" si="30"/>
        <v>33200000</v>
      </c>
      <c r="H1792" t="s">
        <v>5493</v>
      </c>
      <c r="K1792" s="4">
        <v>34700</v>
      </c>
    </row>
    <row r="1793" spans="1:11" outlineLevel="1" collapsed="1" x14ac:dyDescent="0.35">
      <c r="B1793" s="1"/>
      <c r="F1793" s="3" t="s">
        <v>6528</v>
      </c>
      <c r="J1793" s="4">
        <f>SUBTOTAL(9,J690:J1792)</f>
        <v>51679640</v>
      </c>
      <c r="K1793" s="4">
        <f>SUBTOTAL(9,K690:K1792)</f>
        <v>32933561</v>
      </c>
    </row>
    <row r="1794" spans="1:11" hidden="1" outlineLevel="2" x14ac:dyDescent="0.35">
      <c r="A1794" t="s">
        <v>354</v>
      </c>
      <c r="B1794" s="1">
        <v>45717</v>
      </c>
      <c r="C1794" t="str">
        <f>"553"</f>
        <v>553</v>
      </c>
      <c r="D1794" t="s">
        <v>355</v>
      </c>
      <c r="E1794" t="s">
        <v>356</v>
      </c>
      <c r="F1794" t="str">
        <f t="shared" ref="F1794:F1857" si="31">"40110000"</f>
        <v>40110000</v>
      </c>
      <c r="G1794" t="str">
        <f>"40110049"</f>
        <v>40110049</v>
      </c>
      <c r="H1794" t="s">
        <v>357</v>
      </c>
      <c r="I1794" s="1">
        <v>45777</v>
      </c>
      <c r="K1794" s="4">
        <v>26329</v>
      </c>
    </row>
    <row r="1795" spans="1:11" hidden="1" outlineLevel="2" x14ac:dyDescent="0.35">
      <c r="A1795" t="s">
        <v>354</v>
      </c>
      <c r="B1795" s="1">
        <v>45719</v>
      </c>
      <c r="C1795" t="str">
        <f>"485"</f>
        <v>485</v>
      </c>
      <c r="D1795" t="s">
        <v>358</v>
      </c>
      <c r="E1795" t="s">
        <v>359</v>
      </c>
      <c r="F1795" t="str">
        <f t="shared" si="31"/>
        <v>40110000</v>
      </c>
      <c r="G1795" t="str">
        <f>"40110042"</f>
        <v>40110042</v>
      </c>
      <c r="H1795" t="s">
        <v>360</v>
      </c>
      <c r="I1795" s="1">
        <v>45779</v>
      </c>
      <c r="K1795" s="4">
        <v>118502</v>
      </c>
    </row>
    <row r="1796" spans="1:11" hidden="1" outlineLevel="2" x14ac:dyDescent="0.35">
      <c r="A1796" t="s">
        <v>354</v>
      </c>
      <c r="B1796" s="1">
        <v>45719</v>
      </c>
      <c r="C1796" t="str">
        <f>"486"</f>
        <v>486</v>
      </c>
      <c r="D1796" t="s">
        <v>361</v>
      </c>
      <c r="E1796" t="s">
        <v>362</v>
      </c>
      <c r="F1796" t="str">
        <f t="shared" si="31"/>
        <v>40110000</v>
      </c>
      <c r="G1796" t="str">
        <f>"40110042"</f>
        <v>40110042</v>
      </c>
      <c r="H1796" t="s">
        <v>363</v>
      </c>
      <c r="I1796" s="1">
        <v>45779</v>
      </c>
      <c r="K1796" s="4">
        <v>209461</v>
      </c>
    </row>
    <row r="1797" spans="1:11" hidden="1" outlineLevel="2" x14ac:dyDescent="0.35">
      <c r="A1797" t="s">
        <v>354</v>
      </c>
      <c r="B1797" s="1">
        <v>45719</v>
      </c>
      <c r="C1797" t="str">
        <f>"487"</f>
        <v>487</v>
      </c>
      <c r="D1797" t="s">
        <v>364</v>
      </c>
      <c r="E1797" t="str">
        <f>"0001558"</f>
        <v>0001558</v>
      </c>
      <c r="F1797" t="str">
        <f t="shared" si="31"/>
        <v>40110000</v>
      </c>
      <c r="G1797" t="str">
        <f>"40110721"</f>
        <v>40110721</v>
      </c>
      <c r="H1797" t="s">
        <v>365</v>
      </c>
      <c r="I1797" s="1">
        <v>45809</v>
      </c>
      <c r="K1797" s="4">
        <v>75992</v>
      </c>
    </row>
    <row r="1798" spans="1:11" hidden="1" outlineLevel="2" x14ac:dyDescent="0.35">
      <c r="A1798" t="s">
        <v>354</v>
      </c>
      <c r="B1798" s="1">
        <v>45719</v>
      </c>
      <c r="C1798" t="str">
        <f>"488"</f>
        <v>488</v>
      </c>
      <c r="D1798" t="s">
        <v>366</v>
      </c>
      <c r="E1798" t="str">
        <f>"0001559"</f>
        <v>0001559</v>
      </c>
      <c r="F1798" t="str">
        <f t="shared" si="31"/>
        <v>40110000</v>
      </c>
      <c r="G1798" t="str">
        <f>"40110721"</f>
        <v>40110721</v>
      </c>
      <c r="H1798" t="s">
        <v>367</v>
      </c>
      <c r="I1798" s="1">
        <v>45809</v>
      </c>
      <c r="K1798" s="4">
        <v>61124</v>
      </c>
    </row>
    <row r="1799" spans="1:11" hidden="1" outlineLevel="2" x14ac:dyDescent="0.35">
      <c r="A1799" t="s">
        <v>354</v>
      </c>
      <c r="B1799" s="1">
        <v>45719</v>
      </c>
      <c r="C1799" t="str">
        <f>"489"</f>
        <v>489</v>
      </c>
      <c r="D1799" t="s">
        <v>368</v>
      </c>
      <c r="E1799" t="str">
        <f>"0001560"</f>
        <v>0001560</v>
      </c>
      <c r="F1799" t="str">
        <f t="shared" si="31"/>
        <v>40110000</v>
      </c>
      <c r="G1799" t="str">
        <f>"40110721"</f>
        <v>40110721</v>
      </c>
      <c r="H1799" t="s">
        <v>369</v>
      </c>
      <c r="I1799" s="1">
        <v>45809</v>
      </c>
      <c r="K1799" s="4">
        <v>17842</v>
      </c>
    </row>
    <row r="1800" spans="1:11" hidden="1" outlineLevel="2" x14ac:dyDescent="0.35">
      <c r="A1800" t="s">
        <v>354</v>
      </c>
      <c r="B1800" s="1">
        <v>45719</v>
      </c>
      <c r="C1800" t="str">
        <f>"490"</f>
        <v>490</v>
      </c>
      <c r="D1800" t="s">
        <v>370</v>
      </c>
      <c r="E1800" t="s">
        <v>371</v>
      </c>
      <c r="F1800" t="str">
        <f t="shared" si="31"/>
        <v>40110000</v>
      </c>
      <c r="G1800" t="str">
        <f>"40110038"</f>
        <v>40110038</v>
      </c>
      <c r="H1800" t="s">
        <v>372</v>
      </c>
      <c r="I1800" s="1">
        <v>45808</v>
      </c>
      <c r="K1800" s="4">
        <v>12803</v>
      </c>
    </row>
    <row r="1801" spans="1:11" hidden="1" outlineLevel="2" x14ac:dyDescent="0.35">
      <c r="A1801" t="s">
        <v>354</v>
      </c>
      <c r="B1801" s="1">
        <v>45719</v>
      </c>
      <c r="C1801" t="str">
        <f>"491"</f>
        <v>491</v>
      </c>
      <c r="D1801" t="s">
        <v>373</v>
      </c>
      <c r="E1801" t="s">
        <v>374</v>
      </c>
      <c r="F1801" t="str">
        <f t="shared" si="31"/>
        <v>40110000</v>
      </c>
      <c r="G1801" t="str">
        <f>"40110038"</f>
        <v>40110038</v>
      </c>
      <c r="H1801" t="s">
        <v>375</v>
      </c>
      <c r="I1801" s="1">
        <v>45808</v>
      </c>
      <c r="K1801" s="4">
        <v>231280</v>
      </c>
    </row>
    <row r="1802" spans="1:11" hidden="1" outlineLevel="2" x14ac:dyDescent="0.35">
      <c r="A1802" t="s">
        <v>354</v>
      </c>
      <c r="B1802" s="1">
        <v>45719</v>
      </c>
      <c r="C1802" t="str">
        <f>"492"</f>
        <v>492</v>
      </c>
      <c r="D1802" t="s">
        <v>376</v>
      </c>
      <c r="E1802" t="s">
        <v>377</v>
      </c>
      <c r="F1802" t="str">
        <f t="shared" si="31"/>
        <v>40110000</v>
      </c>
      <c r="G1802" t="str">
        <f>"40110038"</f>
        <v>40110038</v>
      </c>
      <c r="H1802" t="s">
        <v>378</v>
      </c>
      <c r="I1802" s="1">
        <v>45808</v>
      </c>
      <c r="K1802" s="4">
        <v>114460</v>
      </c>
    </row>
    <row r="1803" spans="1:11" hidden="1" outlineLevel="2" x14ac:dyDescent="0.35">
      <c r="A1803" t="s">
        <v>354</v>
      </c>
      <c r="B1803" s="1">
        <v>45719</v>
      </c>
      <c r="C1803" t="str">
        <f>"493"</f>
        <v>493</v>
      </c>
      <c r="D1803" t="s">
        <v>379</v>
      </c>
      <c r="E1803" t="s">
        <v>380</v>
      </c>
      <c r="F1803" t="str">
        <f t="shared" si="31"/>
        <v>40110000</v>
      </c>
      <c r="G1803" t="str">
        <f>"40110081"</f>
        <v>40110081</v>
      </c>
      <c r="H1803" t="s">
        <v>381</v>
      </c>
      <c r="I1803" s="1">
        <v>45808</v>
      </c>
      <c r="K1803" s="4">
        <v>600694</v>
      </c>
    </row>
    <row r="1804" spans="1:11" hidden="1" outlineLevel="2" x14ac:dyDescent="0.35">
      <c r="A1804" t="s">
        <v>354</v>
      </c>
      <c r="B1804" s="1">
        <v>45719</v>
      </c>
      <c r="C1804" t="str">
        <f>"494"</f>
        <v>494</v>
      </c>
      <c r="D1804" t="s">
        <v>382</v>
      </c>
      <c r="E1804" t="s">
        <v>383</v>
      </c>
      <c r="F1804" t="str">
        <f t="shared" si="31"/>
        <v>40110000</v>
      </c>
      <c r="G1804" t="str">
        <f>"40110081"</f>
        <v>40110081</v>
      </c>
      <c r="H1804" t="s">
        <v>384</v>
      </c>
      <c r="I1804" s="1">
        <v>45808</v>
      </c>
      <c r="K1804" s="4">
        <v>24177</v>
      </c>
    </row>
    <row r="1805" spans="1:11" hidden="1" outlineLevel="2" x14ac:dyDescent="0.35">
      <c r="A1805" t="s">
        <v>354</v>
      </c>
      <c r="B1805" s="1">
        <v>45719</v>
      </c>
      <c r="C1805" t="str">
        <f>"495"</f>
        <v>495</v>
      </c>
      <c r="D1805" t="s">
        <v>385</v>
      </c>
      <c r="E1805" t="s">
        <v>386</v>
      </c>
      <c r="F1805" t="str">
        <f t="shared" si="31"/>
        <v>40110000</v>
      </c>
      <c r="G1805" t="str">
        <f>"40110081"</f>
        <v>40110081</v>
      </c>
      <c r="H1805" t="s">
        <v>387</v>
      </c>
      <c r="I1805" s="1">
        <v>45808</v>
      </c>
      <c r="K1805" s="4">
        <v>273227</v>
      </c>
    </row>
    <row r="1806" spans="1:11" hidden="1" outlineLevel="2" x14ac:dyDescent="0.35">
      <c r="A1806" t="s">
        <v>354</v>
      </c>
      <c r="B1806" s="1">
        <v>45719</v>
      </c>
      <c r="C1806" t="str">
        <f>"496"</f>
        <v>496</v>
      </c>
      <c r="D1806" t="s">
        <v>388</v>
      </c>
      <c r="E1806" t="s">
        <v>389</v>
      </c>
      <c r="F1806" t="str">
        <f t="shared" si="31"/>
        <v>40110000</v>
      </c>
      <c r="G1806" t="str">
        <f>"40110081"</f>
        <v>40110081</v>
      </c>
      <c r="H1806" t="s">
        <v>390</v>
      </c>
      <c r="I1806" s="1">
        <v>45808</v>
      </c>
      <c r="K1806" s="4">
        <v>103084</v>
      </c>
    </row>
    <row r="1807" spans="1:11" hidden="1" outlineLevel="2" x14ac:dyDescent="0.35">
      <c r="A1807" t="s">
        <v>354</v>
      </c>
      <c r="B1807" s="1">
        <v>45719</v>
      </c>
      <c r="C1807" t="str">
        <f>"497"</f>
        <v>497</v>
      </c>
      <c r="D1807" t="s">
        <v>391</v>
      </c>
      <c r="E1807" t="s">
        <v>392</v>
      </c>
      <c r="F1807" t="str">
        <f t="shared" si="31"/>
        <v>40110000</v>
      </c>
      <c r="G1807" t="str">
        <f>"40110081"</f>
        <v>40110081</v>
      </c>
      <c r="H1807" t="s">
        <v>393</v>
      </c>
      <c r="I1807" s="1">
        <v>45808</v>
      </c>
      <c r="K1807" s="4">
        <v>26293</v>
      </c>
    </row>
    <row r="1808" spans="1:11" hidden="1" outlineLevel="2" x14ac:dyDescent="0.35">
      <c r="A1808" t="s">
        <v>354</v>
      </c>
      <c r="B1808" s="1">
        <v>45719</v>
      </c>
      <c r="C1808" t="str">
        <f>"498"</f>
        <v>498</v>
      </c>
      <c r="D1808" t="s">
        <v>394</v>
      </c>
      <c r="E1808" t="s">
        <v>395</v>
      </c>
      <c r="F1808" t="str">
        <f t="shared" si="31"/>
        <v>40110000</v>
      </c>
      <c r="G1808" t="str">
        <f t="shared" ref="G1808:G1817" si="32">"40110088"</f>
        <v>40110088</v>
      </c>
      <c r="H1808" t="s">
        <v>396</v>
      </c>
      <c r="I1808" s="1">
        <v>45808</v>
      </c>
      <c r="K1808" s="4">
        <v>63165</v>
      </c>
    </row>
    <row r="1809" spans="1:11" hidden="1" outlineLevel="2" x14ac:dyDescent="0.35">
      <c r="A1809" t="s">
        <v>354</v>
      </c>
      <c r="B1809" s="1">
        <v>45719</v>
      </c>
      <c r="C1809" t="str">
        <f>"499"</f>
        <v>499</v>
      </c>
      <c r="D1809" t="s">
        <v>397</v>
      </c>
      <c r="E1809" t="s">
        <v>398</v>
      </c>
      <c r="F1809" t="str">
        <f t="shared" si="31"/>
        <v>40110000</v>
      </c>
      <c r="G1809" t="str">
        <f t="shared" si="32"/>
        <v>40110088</v>
      </c>
      <c r="H1809" t="s">
        <v>399</v>
      </c>
      <c r="I1809" s="1">
        <v>45808</v>
      </c>
      <c r="K1809" s="4">
        <v>9374</v>
      </c>
    </row>
    <row r="1810" spans="1:11" hidden="1" outlineLevel="2" x14ac:dyDescent="0.35">
      <c r="A1810" t="s">
        <v>354</v>
      </c>
      <c r="B1810" s="1">
        <v>45719</v>
      </c>
      <c r="C1810" t="str">
        <f>"500"</f>
        <v>500</v>
      </c>
      <c r="D1810" t="s">
        <v>400</v>
      </c>
      <c r="E1810" t="s">
        <v>401</v>
      </c>
      <c r="F1810" t="str">
        <f t="shared" si="31"/>
        <v>40110000</v>
      </c>
      <c r="G1810" t="str">
        <f t="shared" si="32"/>
        <v>40110088</v>
      </c>
      <c r="H1810" t="s">
        <v>402</v>
      </c>
      <c r="I1810" s="1">
        <v>45808</v>
      </c>
      <c r="K1810" s="4">
        <v>52463</v>
      </c>
    </row>
    <row r="1811" spans="1:11" hidden="1" outlineLevel="2" x14ac:dyDescent="0.35">
      <c r="A1811" t="s">
        <v>354</v>
      </c>
      <c r="B1811" s="1">
        <v>45719</v>
      </c>
      <c r="C1811" t="str">
        <f>"501"</f>
        <v>501</v>
      </c>
      <c r="D1811" t="s">
        <v>403</v>
      </c>
      <c r="E1811" t="s">
        <v>404</v>
      </c>
      <c r="F1811" t="str">
        <f t="shared" si="31"/>
        <v>40110000</v>
      </c>
      <c r="G1811" t="str">
        <f t="shared" si="32"/>
        <v>40110088</v>
      </c>
      <c r="H1811" t="s">
        <v>405</v>
      </c>
      <c r="I1811" s="1">
        <v>45808</v>
      </c>
      <c r="K1811" s="4">
        <v>68779</v>
      </c>
    </row>
    <row r="1812" spans="1:11" hidden="1" outlineLevel="2" x14ac:dyDescent="0.35">
      <c r="A1812" t="s">
        <v>354</v>
      </c>
      <c r="B1812" s="1">
        <v>45719</v>
      </c>
      <c r="C1812" t="str">
        <f>"502"</f>
        <v>502</v>
      </c>
      <c r="D1812" t="s">
        <v>406</v>
      </c>
      <c r="E1812" t="s">
        <v>407</v>
      </c>
      <c r="F1812" t="str">
        <f t="shared" si="31"/>
        <v>40110000</v>
      </c>
      <c r="G1812" t="str">
        <f t="shared" si="32"/>
        <v>40110088</v>
      </c>
      <c r="H1812" t="s">
        <v>408</v>
      </c>
      <c r="I1812" s="1">
        <v>45808</v>
      </c>
      <c r="K1812" s="4">
        <v>144078</v>
      </c>
    </row>
    <row r="1813" spans="1:11" hidden="1" outlineLevel="2" x14ac:dyDescent="0.35">
      <c r="A1813" t="s">
        <v>354</v>
      </c>
      <c r="B1813" s="1">
        <v>45719</v>
      </c>
      <c r="C1813" t="str">
        <f>"503"</f>
        <v>503</v>
      </c>
      <c r="D1813" t="s">
        <v>409</v>
      </c>
      <c r="E1813" t="s">
        <v>410</v>
      </c>
      <c r="F1813" t="str">
        <f t="shared" si="31"/>
        <v>40110000</v>
      </c>
      <c r="G1813" t="str">
        <f t="shared" si="32"/>
        <v>40110088</v>
      </c>
      <c r="H1813" t="s">
        <v>411</v>
      </c>
      <c r="I1813" s="1">
        <v>45808</v>
      </c>
      <c r="K1813" s="4">
        <v>144078</v>
      </c>
    </row>
    <row r="1814" spans="1:11" hidden="1" outlineLevel="2" x14ac:dyDescent="0.35">
      <c r="A1814" t="s">
        <v>354</v>
      </c>
      <c r="B1814" s="1">
        <v>45719</v>
      </c>
      <c r="C1814" t="str">
        <f>"504"</f>
        <v>504</v>
      </c>
      <c r="D1814" t="s">
        <v>412</v>
      </c>
      <c r="E1814" t="s">
        <v>413</v>
      </c>
      <c r="F1814" t="str">
        <f t="shared" si="31"/>
        <v>40110000</v>
      </c>
      <c r="G1814" t="str">
        <f t="shared" si="32"/>
        <v>40110088</v>
      </c>
      <c r="H1814" t="s">
        <v>414</v>
      </c>
      <c r="I1814" s="1">
        <v>45808</v>
      </c>
      <c r="K1814" s="4">
        <v>4823</v>
      </c>
    </row>
    <row r="1815" spans="1:11" hidden="1" outlineLevel="2" x14ac:dyDescent="0.35">
      <c r="A1815" t="s">
        <v>354</v>
      </c>
      <c r="B1815" s="1">
        <v>45719</v>
      </c>
      <c r="C1815" t="str">
        <f>"505"</f>
        <v>505</v>
      </c>
      <c r="D1815" t="s">
        <v>415</v>
      </c>
      <c r="E1815" t="s">
        <v>416</v>
      </c>
      <c r="F1815" t="str">
        <f t="shared" si="31"/>
        <v>40110000</v>
      </c>
      <c r="G1815" t="str">
        <f t="shared" si="32"/>
        <v>40110088</v>
      </c>
      <c r="H1815" t="s">
        <v>417</v>
      </c>
      <c r="I1815" s="1">
        <v>45808</v>
      </c>
      <c r="K1815" s="4">
        <v>76936</v>
      </c>
    </row>
    <row r="1816" spans="1:11" hidden="1" outlineLevel="2" x14ac:dyDescent="0.35">
      <c r="A1816" t="s">
        <v>354</v>
      </c>
      <c r="B1816" s="1">
        <v>45719</v>
      </c>
      <c r="C1816" t="str">
        <f>"506"</f>
        <v>506</v>
      </c>
      <c r="D1816" t="s">
        <v>418</v>
      </c>
      <c r="E1816" t="s">
        <v>419</v>
      </c>
      <c r="F1816" t="str">
        <f t="shared" si="31"/>
        <v>40110000</v>
      </c>
      <c r="G1816" t="str">
        <f t="shared" si="32"/>
        <v>40110088</v>
      </c>
      <c r="H1816" t="s">
        <v>420</v>
      </c>
      <c r="I1816" s="1">
        <v>45808</v>
      </c>
      <c r="K1816" s="4">
        <v>30649</v>
      </c>
    </row>
    <row r="1817" spans="1:11" hidden="1" outlineLevel="2" x14ac:dyDescent="0.35">
      <c r="A1817" t="s">
        <v>354</v>
      </c>
      <c r="B1817" s="1">
        <v>45719</v>
      </c>
      <c r="C1817" t="str">
        <f>"507"</f>
        <v>507</v>
      </c>
      <c r="D1817" t="s">
        <v>421</v>
      </c>
      <c r="E1817" t="s">
        <v>422</v>
      </c>
      <c r="F1817" t="str">
        <f t="shared" si="31"/>
        <v>40110000</v>
      </c>
      <c r="G1817" t="str">
        <f t="shared" si="32"/>
        <v>40110088</v>
      </c>
      <c r="H1817" t="s">
        <v>423</v>
      </c>
      <c r="I1817" s="1">
        <v>45808</v>
      </c>
      <c r="K1817" s="4">
        <v>99120</v>
      </c>
    </row>
    <row r="1818" spans="1:11" hidden="1" outlineLevel="2" x14ac:dyDescent="0.35">
      <c r="A1818" t="s">
        <v>354</v>
      </c>
      <c r="B1818" s="1">
        <v>45719</v>
      </c>
      <c r="C1818" t="str">
        <f>"508"</f>
        <v>508</v>
      </c>
      <c r="D1818" t="s">
        <v>424</v>
      </c>
      <c r="E1818" t="s">
        <v>425</v>
      </c>
      <c r="F1818" t="str">
        <f t="shared" si="31"/>
        <v>40110000</v>
      </c>
      <c r="G1818" t="str">
        <f t="shared" ref="G1818:G1844" si="33">"40110278"</f>
        <v>40110278</v>
      </c>
      <c r="H1818" t="s">
        <v>426</v>
      </c>
      <c r="I1818" s="1">
        <v>45719</v>
      </c>
      <c r="K1818" s="4">
        <v>1982400</v>
      </c>
    </row>
    <row r="1819" spans="1:11" hidden="1" outlineLevel="2" x14ac:dyDescent="0.35">
      <c r="A1819" t="s">
        <v>354</v>
      </c>
      <c r="B1819" s="1">
        <v>45719</v>
      </c>
      <c r="C1819" t="str">
        <f>"509"</f>
        <v>509</v>
      </c>
      <c r="D1819" t="s">
        <v>427</v>
      </c>
      <c r="E1819" t="s">
        <v>428</v>
      </c>
      <c r="F1819" t="str">
        <f t="shared" si="31"/>
        <v>40110000</v>
      </c>
      <c r="G1819" t="str">
        <f t="shared" si="33"/>
        <v>40110278</v>
      </c>
      <c r="H1819" t="s">
        <v>429</v>
      </c>
      <c r="I1819" s="1">
        <v>45719</v>
      </c>
      <c r="K1819" s="4">
        <v>684400</v>
      </c>
    </row>
    <row r="1820" spans="1:11" hidden="1" outlineLevel="2" x14ac:dyDescent="0.35">
      <c r="A1820" t="s">
        <v>354</v>
      </c>
      <c r="B1820" s="1">
        <v>45719</v>
      </c>
      <c r="C1820" t="str">
        <f>"510"</f>
        <v>510</v>
      </c>
      <c r="D1820" t="s">
        <v>430</v>
      </c>
      <c r="E1820" t="s">
        <v>431</v>
      </c>
      <c r="F1820" t="str">
        <f t="shared" si="31"/>
        <v>40110000</v>
      </c>
      <c r="G1820" t="str">
        <f t="shared" si="33"/>
        <v>40110278</v>
      </c>
      <c r="H1820" t="s">
        <v>432</v>
      </c>
      <c r="I1820" s="1">
        <v>45719</v>
      </c>
      <c r="K1820" s="4">
        <v>2737600</v>
      </c>
    </row>
    <row r="1821" spans="1:11" hidden="1" outlineLevel="2" x14ac:dyDescent="0.35">
      <c r="A1821" t="s">
        <v>354</v>
      </c>
      <c r="B1821" s="1">
        <v>45719</v>
      </c>
      <c r="C1821" t="str">
        <f>"511"</f>
        <v>511</v>
      </c>
      <c r="D1821" t="s">
        <v>433</v>
      </c>
      <c r="E1821" t="s">
        <v>434</v>
      </c>
      <c r="F1821" t="str">
        <f t="shared" si="31"/>
        <v>40110000</v>
      </c>
      <c r="G1821" t="str">
        <f t="shared" si="33"/>
        <v>40110278</v>
      </c>
      <c r="H1821" t="s">
        <v>435</v>
      </c>
      <c r="I1821" s="1">
        <v>45719</v>
      </c>
      <c r="K1821" s="4">
        <v>2053200</v>
      </c>
    </row>
    <row r="1822" spans="1:11" hidden="1" outlineLevel="2" x14ac:dyDescent="0.35">
      <c r="A1822" t="s">
        <v>354</v>
      </c>
      <c r="B1822" s="1">
        <v>45719</v>
      </c>
      <c r="C1822" t="str">
        <f>"512"</f>
        <v>512</v>
      </c>
      <c r="D1822" t="s">
        <v>436</v>
      </c>
      <c r="E1822" t="s">
        <v>437</v>
      </c>
      <c r="F1822" t="str">
        <f t="shared" si="31"/>
        <v>40110000</v>
      </c>
      <c r="G1822" t="str">
        <f t="shared" si="33"/>
        <v>40110278</v>
      </c>
      <c r="H1822" t="s">
        <v>438</v>
      </c>
      <c r="I1822" s="1">
        <v>45719</v>
      </c>
      <c r="K1822" s="4">
        <v>1168200</v>
      </c>
    </row>
    <row r="1823" spans="1:11" hidden="1" outlineLevel="2" x14ac:dyDescent="0.35">
      <c r="A1823" t="s">
        <v>354</v>
      </c>
      <c r="B1823" s="1">
        <v>45719</v>
      </c>
      <c r="C1823" t="str">
        <f>"513"</f>
        <v>513</v>
      </c>
      <c r="D1823" t="s">
        <v>439</v>
      </c>
      <c r="E1823" t="s">
        <v>440</v>
      </c>
      <c r="F1823" t="str">
        <f t="shared" si="31"/>
        <v>40110000</v>
      </c>
      <c r="G1823" t="str">
        <f t="shared" si="33"/>
        <v>40110278</v>
      </c>
      <c r="H1823" t="s">
        <v>441</v>
      </c>
      <c r="I1823" s="1">
        <v>45719</v>
      </c>
      <c r="K1823" s="4">
        <v>1947000</v>
      </c>
    </row>
    <row r="1824" spans="1:11" hidden="1" outlineLevel="2" x14ac:dyDescent="0.35">
      <c r="A1824" t="s">
        <v>354</v>
      </c>
      <c r="B1824" s="1">
        <v>45719</v>
      </c>
      <c r="C1824" t="str">
        <f>"514"</f>
        <v>514</v>
      </c>
      <c r="D1824" t="s">
        <v>442</v>
      </c>
      <c r="E1824" t="s">
        <v>443</v>
      </c>
      <c r="F1824" t="str">
        <f t="shared" si="31"/>
        <v>40110000</v>
      </c>
      <c r="G1824" t="str">
        <f t="shared" si="33"/>
        <v>40110278</v>
      </c>
      <c r="H1824" t="s">
        <v>444</v>
      </c>
      <c r="I1824" s="1">
        <v>45719</v>
      </c>
      <c r="K1824" s="4">
        <v>3386600</v>
      </c>
    </row>
    <row r="1825" spans="1:11" hidden="1" outlineLevel="2" x14ac:dyDescent="0.35">
      <c r="A1825" t="s">
        <v>354</v>
      </c>
      <c r="B1825" s="1">
        <v>45719</v>
      </c>
      <c r="C1825" t="str">
        <f>"515"</f>
        <v>515</v>
      </c>
      <c r="D1825" t="s">
        <v>445</v>
      </c>
      <c r="E1825" t="s">
        <v>446</v>
      </c>
      <c r="F1825" t="str">
        <f t="shared" si="31"/>
        <v>40110000</v>
      </c>
      <c r="G1825" t="str">
        <f t="shared" si="33"/>
        <v>40110278</v>
      </c>
      <c r="H1825" t="s">
        <v>447</v>
      </c>
      <c r="I1825" s="1">
        <v>45719</v>
      </c>
      <c r="K1825" s="4">
        <v>1840800</v>
      </c>
    </row>
    <row r="1826" spans="1:11" hidden="1" outlineLevel="2" x14ac:dyDescent="0.35">
      <c r="A1826" t="s">
        <v>354</v>
      </c>
      <c r="B1826" s="1">
        <v>45719</v>
      </c>
      <c r="C1826" t="str">
        <f>"516"</f>
        <v>516</v>
      </c>
      <c r="D1826" t="s">
        <v>448</v>
      </c>
      <c r="E1826" t="s">
        <v>449</v>
      </c>
      <c r="F1826" t="str">
        <f t="shared" si="31"/>
        <v>40110000</v>
      </c>
      <c r="G1826" t="str">
        <f t="shared" si="33"/>
        <v>40110278</v>
      </c>
      <c r="H1826" t="s">
        <v>450</v>
      </c>
      <c r="I1826" s="1">
        <v>45719</v>
      </c>
      <c r="K1826" s="4">
        <v>206500</v>
      </c>
    </row>
    <row r="1827" spans="1:11" hidden="1" outlineLevel="2" x14ac:dyDescent="0.35">
      <c r="A1827" t="s">
        <v>354</v>
      </c>
      <c r="B1827" s="1">
        <v>45719</v>
      </c>
      <c r="C1827" t="str">
        <f>"517"</f>
        <v>517</v>
      </c>
      <c r="D1827" t="s">
        <v>451</v>
      </c>
      <c r="E1827" t="s">
        <v>452</v>
      </c>
      <c r="F1827" t="str">
        <f t="shared" si="31"/>
        <v>40110000</v>
      </c>
      <c r="G1827" t="str">
        <f t="shared" si="33"/>
        <v>40110278</v>
      </c>
      <c r="H1827" t="s">
        <v>453</v>
      </c>
      <c r="I1827" s="1">
        <v>45719</v>
      </c>
      <c r="K1827" s="4">
        <v>2643200</v>
      </c>
    </row>
    <row r="1828" spans="1:11" hidden="1" outlineLevel="2" x14ac:dyDescent="0.35">
      <c r="A1828" t="s">
        <v>354</v>
      </c>
      <c r="B1828" s="1">
        <v>45719</v>
      </c>
      <c r="C1828" t="str">
        <f>"518"</f>
        <v>518</v>
      </c>
      <c r="D1828" t="s">
        <v>454</v>
      </c>
      <c r="E1828" t="s">
        <v>455</v>
      </c>
      <c r="F1828" t="str">
        <f t="shared" si="31"/>
        <v>40110000</v>
      </c>
      <c r="G1828" t="str">
        <f t="shared" si="33"/>
        <v>40110278</v>
      </c>
      <c r="H1828" t="s">
        <v>456</v>
      </c>
      <c r="I1828" s="1">
        <v>45719</v>
      </c>
      <c r="K1828" s="4">
        <v>3964800</v>
      </c>
    </row>
    <row r="1829" spans="1:11" hidden="1" outlineLevel="2" x14ac:dyDescent="0.35">
      <c r="A1829" t="s">
        <v>354</v>
      </c>
      <c r="B1829" s="1">
        <v>45719</v>
      </c>
      <c r="C1829" t="str">
        <f>"519"</f>
        <v>519</v>
      </c>
      <c r="D1829" t="s">
        <v>457</v>
      </c>
      <c r="E1829" t="s">
        <v>458</v>
      </c>
      <c r="F1829" t="str">
        <f t="shared" si="31"/>
        <v>40110000</v>
      </c>
      <c r="G1829" t="str">
        <f t="shared" si="33"/>
        <v>40110278</v>
      </c>
      <c r="H1829" t="s">
        <v>459</v>
      </c>
      <c r="I1829" s="1">
        <v>45719</v>
      </c>
      <c r="K1829" s="4">
        <v>354000</v>
      </c>
    </row>
    <row r="1830" spans="1:11" hidden="1" outlineLevel="2" x14ac:dyDescent="0.35">
      <c r="A1830" t="s">
        <v>354</v>
      </c>
      <c r="B1830" s="1">
        <v>45719</v>
      </c>
      <c r="C1830" t="str">
        <f>"520"</f>
        <v>520</v>
      </c>
      <c r="D1830" t="s">
        <v>460</v>
      </c>
      <c r="E1830" t="s">
        <v>461</v>
      </c>
      <c r="F1830" t="str">
        <f t="shared" si="31"/>
        <v>40110000</v>
      </c>
      <c r="G1830" t="str">
        <f t="shared" si="33"/>
        <v>40110278</v>
      </c>
      <c r="H1830" t="s">
        <v>462</v>
      </c>
      <c r="I1830" s="1">
        <v>45719</v>
      </c>
      <c r="K1830" s="4">
        <v>920400</v>
      </c>
    </row>
    <row r="1831" spans="1:11" hidden="1" outlineLevel="2" x14ac:dyDescent="0.35">
      <c r="A1831" t="s">
        <v>354</v>
      </c>
      <c r="B1831" s="1">
        <v>45719</v>
      </c>
      <c r="C1831" t="str">
        <f>"521"</f>
        <v>521</v>
      </c>
      <c r="D1831" t="s">
        <v>463</v>
      </c>
      <c r="E1831" t="s">
        <v>464</v>
      </c>
      <c r="F1831" t="str">
        <f t="shared" si="31"/>
        <v>40110000</v>
      </c>
      <c r="G1831" t="str">
        <f t="shared" si="33"/>
        <v>40110278</v>
      </c>
      <c r="H1831" t="s">
        <v>465</v>
      </c>
      <c r="I1831" s="1">
        <v>45719</v>
      </c>
      <c r="K1831" s="4">
        <v>3964800</v>
      </c>
    </row>
    <row r="1832" spans="1:11" hidden="1" outlineLevel="2" x14ac:dyDescent="0.35">
      <c r="A1832" t="s">
        <v>354</v>
      </c>
      <c r="B1832" s="1">
        <v>45719</v>
      </c>
      <c r="C1832" t="str">
        <f>"522"</f>
        <v>522</v>
      </c>
      <c r="D1832" t="s">
        <v>466</v>
      </c>
      <c r="E1832" t="s">
        <v>467</v>
      </c>
      <c r="F1832" t="str">
        <f t="shared" si="31"/>
        <v>40110000</v>
      </c>
      <c r="G1832" t="str">
        <f t="shared" si="33"/>
        <v>40110278</v>
      </c>
      <c r="H1832" t="s">
        <v>468</v>
      </c>
      <c r="I1832" s="1">
        <v>45719</v>
      </c>
      <c r="K1832" s="4">
        <v>1840800</v>
      </c>
    </row>
    <row r="1833" spans="1:11" hidden="1" outlineLevel="2" x14ac:dyDescent="0.35">
      <c r="A1833" t="s">
        <v>354</v>
      </c>
      <c r="B1833" s="1">
        <v>45719</v>
      </c>
      <c r="C1833" t="str">
        <f>"523"</f>
        <v>523</v>
      </c>
      <c r="D1833" t="s">
        <v>469</v>
      </c>
      <c r="E1833" t="s">
        <v>470</v>
      </c>
      <c r="F1833" t="str">
        <f t="shared" si="31"/>
        <v>40110000</v>
      </c>
      <c r="G1833" t="str">
        <f t="shared" si="33"/>
        <v>40110278</v>
      </c>
      <c r="H1833" t="s">
        <v>471</v>
      </c>
      <c r="I1833" s="1">
        <v>45719</v>
      </c>
      <c r="K1833" s="4">
        <v>2761200</v>
      </c>
    </row>
    <row r="1834" spans="1:11" hidden="1" outlineLevel="2" x14ac:dyDescent="0.35">
      <c r="A1834" t="s">
        <v>354</v>
      </c>
      <c r="B1834" s="1">
        <v>45719</v>
      </c>
      <c r="C1834" t="str">
        <f>"524"</f>
        <v>524</v>
      </c>
      <c r="D1834" t="s">
        <v>472</v>
      </c>
      <c r="E1834" t="s">
        <v>473</v>
      </c>
      <c r="F1834" t="str">
        <f t="shared" si="31"/>
        <v>40110000</v>
      </c>
      <c r="G1834" t="str">
        <f t="shared" si="33"/>
        <v>40110278</v>
      </c>
      <c r="H1834" t="s">
        <v>474</v>
      </c>
      <c r="I1834" s="1">
        <v>45719</v>
      </c>
      <c r="K1834" s="4">
        <v>3964800</v>
      </c>
    </row>
    <row r="1835" spans="1:11" hidden="1" outlineLevel="2" x14ac:dyDescent="0.35">
      <c r="A1835" t="s">
        <v>354</v>
      </c>
      <c r="B1835" s="1">
        <v>45719</v>
      </c>
      <c r="C1835" t="str">
        <f>"525"</f>
        <v>525</v>
      </c>
      <c r="D1835" t="s">
        <v>475</v>
      </c>
      <c r="E1835" t="s">
        <v>476</v>
      </c>
      <c r="F1835" t="str">
        <f t="shared" si="31"/>
        <v>40110000</v>
      </c>
      <c r="G1835" t="str">
        <f t="shared" si="33"/>
        <v>40110278</v>
      </c>
      <c r="H1835" t="s">
        <v>477</v>
      </c>
      <c r="I1835" s="1">
        <v>45719</v>
      </c>
      <c r="K1835" s="4">
        <v>354000</v>
      </c>
    </row>
    <row r="1836" spans="1:11" hidden="1" outlineLevel="2" x14ac:dyDescent="0.35">
      <c r="A1836" t="s">
        <v>354</v>
      </c>
      <c r="B1836" s="1">
        <v>45719</v>
      </c>
      <c r="C1836" t="str">
        <f>"526"</f>
        <v>526</v>
      </c>
      <c r="D1836" t="s">
        <v>478</v>
      </c>
      <c r="E1836" t="s">
        <v>479</v>
      </c>
      <c r="F1836" t="str">
        <f t="shared" si="31"/>
        <v>40110000</v>
      </c>
      <c r="G1836" t="str">
        <f t="shared" si="33"/>
        <v>40110278</v>
      </c>
      <c r="H1836" t="s">
        <v>480</v>
      </c>
      <c r="I1836" s="1">
        <v>45719</v>
      </c>
      <c r="K1836" s="4">
        <v>1062000</v>
      </c>
    </row>
    <row r="1837" spans="1:11" hidden="1" outlineLevel="2" x14ac:dyDescent="0.35">
      <c r="A1837" t="s">
        <v>354</v>
      </c>
      <c r="B1837" s="1">
        <v>45719</v>
      </c>
      <c r="C1837" t="str">
        <f>"527"</f>
        <v>527</v>
      </c>
      <c r="D1837" t="s">
        <v>481</v>
      </c>
      <c r="E1837" t="s">
        <v>482</v>
      </c>
      <c r="F1837" t="str">
        <f t="shared" si="31"/>
        <v>40110000</v>
      </c>
      <c r="G1837" t="str">
        <f t="shared" si="33"/>
        <v>40110278</v>
      </c>
      <c r="H1837" t="s">
        <v>483</v>
      </c>
      <c r="I1837" s="1">
        <v>45719</v>
      </c>
      <c r="K1837" s="4">
        <v>2832000</v>
      </c>
    </row>
    <row r="1838" spans="1:11" hidden="1" outlineLevel="2" x14ac:dyDescent="0.35">
      <c r="A1838" t="s">
        <v>354</v>
      </c>
      <c r="B1838" s="1">
        <v>45719</v>
      </c>
      <c r="C1838" t="str">
        <f>"528"</f>
        <v>528</v>
      </c>
      <c r="D1838" t="s">
        <v>484</v>
      </c>
      <c r="E1838" t="s">
        <v>485</v>
      </c>
      <c r="F1838" t="str">
        <f t="shared" si="31"/>
        <v>40110000</v>
      </c>
      <c r="G1838" t="str">
        <f t="shared" si="33"/>
        <v>40110278</v>
      </c>
      <c r="H1838" t="s">
        <v>486</v>
      </c>
      <c r="I1838" s="1">
        <v>45719</v>
      </c>
      <c r="K1838" s="4">
        <v>708000</v>
      </c>
    </row>
    <row r="1839" spans="1:11" hidden="1" outlineLevel="2" x14ac:dyDescent="0.35">
      <c r="A1839" t="s">
        <v>354</v>
      </c>
      <c r="B1839" s="1">
        <v>45719</v>
      </c>
      <c r="C1839" t="str">
        <f>"529"</f>
        <v>529</v>
      </c>
      <c r="D1839" t="s">
        <v>487</v>
      </c>
      <c r="E1839" t="s">
        <v>488</v>
      </c>
      <c r="F1839" t="str">
        <f t="shared" si="31"/>
        <v>40110000</v>
      </c>
      <c r="G1839" t="str">
        <f t="shared" si="33"/>
        <v>40110278</v>
      </c>
      <c r="H1839" t="s">
        <v>489</v>
      </c>
      <c r="I1839" s="1">
        <v>45719</v>
      </c>
      <c r="K1839" s="4">
        <v>1203600</v>
      </c>
    </row>
    <row r="1840" spans="1:11" hidden="1" outlineLevel="2" x14ac:dyDescent="0.35">
      <c r="A1840" t="s">
        <v>354</v>
      </c>
      <c r="B1840" s="1">
        <v>45719</v>
      </c>
      <c r="C1840" t="str">
        <f>"530"</f>
        <v>530</v>
      </c>
      <c r="D1840" t="s">
        <v>490</v>
      </c>
      <c r="E1840" t="s">
        <v>491</v>
      </c>
      <c r="F1840" t="str">
        <f t="shared" si="31"/>
        <v>40110000</v>
      </c>
      <c r="G1840" t="str">
        <f t="shared" si="33"/>
        <v>40110278</v>
      </c>
      <c r="H1840" t="s">
        <v>492</v>
      </c>
      <c r="I1840" s="1">
        <v>45719</v>
      </c>
      <c r="K1840" s="4">
        <v>2761200</v>
      </c>
    </row>
    <row r="1841" spans="1:11" hidden="1" outlineLevel="2" x14ac:dyDescent="0.35">
      <c r="A1841" t="s">
        <v>354</v>
      </c>
      <c r="B1841" s="1">
        <v>45719</v>
      </c>
      <c r="C1841" t="str">
        <f>"531"</f>
        <v>531</v>
      </c>
      <c r="D1841" t="s">
        <v>493</v>
      </c>
      <c r="E1841" t="s">
        <v>494</v>
      </c>
      <c r="F1841" t="str">
        <f t="shared" si="31"/>
        <v>40110000</v>
      </c>
      <c r="G1841" t="str">
        <f t="shared" si="33"/>
        <v>40110278</v>
      </c>
      <c r="H1841" t="s">
        <v>495</v>
      </c>
      <c r="I1841" s="1">
        <v>45719</v>
      </c>
      <c r="K1841" s="4">
        <v>3799600</v>
      </c>
    </row>
    <row r="1842" spans="1:11" hidden="1" outlineLevel="2" x14ac:dyDescent="0.35">
      <c r="A1842" t="s">
        <v>354</v>
      </c>
      <c r="B1842" s="1">
        <v>45719</v>
      </c>
      <c r="C1842" t="str">
        <f>"532"</f>
        <v>532</v>
      </c>
      <c r="D1842" t="s">
        <v>496</v>
      </c>
      <c r="E1842" t="s">
        <v>497</v>
      </c>
      <c r="F1842" t="str">
        <f t="shared" si="31"/>
        <v>40110000</v>
      </c>
      <c r="G1842" t="str">
        <f t="shared" si="33"/>
        <v>40110278</v>
      </c>
      <c r="H1842" t="s">
        <v>498</v>
      </c>
      <c r="I1842" s="1">
        <v>45719</v>
      </c>
      <c r="K1842" s="4">
        <v>3610800</v>
      </c>
    </row>
    <row r="1843" spans="1:11" hidden="1" outlineLevel="2" x14ac:dyDescent="0.35">
      <c r="A1843" t="s">
        <v>354</v>
      </c>
      <c r="B1843" s="1">
        <v>45719</v>
      </c>
      <c r="C1843" t="str">
        <f>"533"</f>
        <v>533</v>
      </c>
      <c r="D1843" t="s">
        <v>499</v>
      </c>
      <c r="E1843" t="s">
        <v>500</v>
      </c>
      <c r="F1843" t="str">
        <f t="shared" si="31"/>
        <v>40110000</v>
      </c>
      <c r="G1843" t="str">
        <f t="shared" si="33"/>
        <v>40110278</v>
      </c>
      <c r="H1843" t="s">
        <v>501</v>
      </c>
      <c r="I1843" s="1">
        <v>45719</v>
      </c>
      <c r="K1843" s="4">
        <v>2053200</v>
      </c>
    </row>
    <row r="1844" spans="1:11" hidden="1" outlineLevel="2" x14ac:dyDescent="0.35">
      <c r="A1844" t="s">
        <v>354</v>
      </c>
      <c r="B1844" s="1">
        <v>45719</v>
      </c>
      <c r="C1844" t="str">
        <f>"534"</f>
        <v>534</v>
      </c>
      <c r="D1844" t="s">
        <v>502</v>
      </c>
      <c r="E1844" t="s">
        <v>503</v>
      </c>
      <c r="F1844" t="str">
        <f t="shared" si="31"/>
        <v>40110000</v>
      </c>
      <c r="G1844" t="str">
        <f t="shared" si="33"/>
        <v>40110278</v>
      </c>
      <c r="H1844" t="s">
        <v>504</v>
      </c>
      <c r="I1844" s="1">
        <v>45719</v>
      </c>
      <c r="K1844" s="4">
        <v>1840800</v>
      </c>
    </row>
    <row r="1845" spans="1:11" hidden="1" outlineLevel="2" x14ac:dyDescent="0.35">
      <c r="A1845" t="s">
        <v>354</v>
      </c>
      <c r="B1845" s="1">
        <v>45719</v>
      </c>
      <c r="C1845" t="str">
        <f>"538"</f>
        <v>538</v>
      </c>
      <c r="D1845" t="s">
        <v>505</v>
      </c>
      <c r="E1845" t="str">
        <f>"0001818"</f>
        <v>0001818</v>
      </c>
      <c r="F1845" t="str">
        <f t="shared" si="31"/>
        <v>40110000</v>
      </c>
      <c r="G1845" t="str">
        <f>"40110721"</f>
        <v>40110721</v>
      </c>
      <c r="H1845" t="s">
        <v>506</v>
      </c>
      <c r="I1845" s="1">
        <v>45809</v>
      </c>
      <c r="K1845" s="4">
        <v>214760</v>
      </c>
    </row>
    <row r="1846" spans="1:11" hidden="1" outlineLevel="2" x14ac:dyDescent="0.35">
      <c r="A1846" t="s">
        <v>354</v>
      </c>
      <c r="B1846" s="1">
        <v>45719</v>
      </c>
      <c r="C1846" t="str">
        <f>"579"</f>
        <v>579</v>
      </c>
      <c r="D1846" t="s">
        <v>507</v>
      </c>
      <c r="E1846" t="str">
        <f>"0089399"</f>
        <v>0089399</v>
      </c>
      <c r="F1846" t="str">
        <f t="shared" si="31"/>
        <v>40110000</v>
      </c>
      <c r="G1846" t="str">
        <f>"40110494"</f>
        <v>40110494</v>
      </c>
      <c r="H1846" t="s">
        <v>508</v>
      </c>
      <c r="I1846" s="1">
        <v>45749</v>
      </c>
      <c r="K1846" s="4">
        <v>1985000</v>
      </c>
    </row>
    <row r="1847" spans="1:11" hidden="1" outlineLevel="2" x14ac:dyDescent="0.35">
      <c r="A1847" t="s">
        <v>354</v>
      </c>
      <c r="B1847" s="1">
        <v>45719</v>
      </c>
      <c r="C1847" t="str">
        <f>"707"</f>
        <v>707</v>
      </c>
      <c r="D1847" t="s">
        <v>509</v>
      </c>
      <c r="E1847" t="s">
        <v>510</v>
      </c>
      <c r="F1847" t="str">
        <f t="shared" si="31"/>
        <v>40110000</v>
      </c>
      <c r="G1847" t="str">
        <f>"40110038"</f>
        <v>40110038</v>
      </c>
      <c r="H1847" t="s">
        <v>511</v>
      </c>
      <c r="I1847" s="1">
        <v>45808</v>
      </c>
      <c r="K1847" s="4">
        <v>322140</v>
      </c>
    </row>
    <row r="1848" spans="1:11" hidden="1" outlineLevel="2" x14ac:dyDescent="0.35">
      <c r="A1848" t="s">
        <v>354</v>
      </c>
      <c r="B1848" s="1">
        <v>45720</v>
      </c>
      <c r="C1848" t="str">
        <f>"484"</f>
        <v>484</v>
      </c>
      <c r="D1848" t="s">
        <v>512</v>
      </c>
      <c r="E1848" s="2">
        <v>46015</v>
      </c>
      <c r="F1848" t="str">
        <f t="shared" si="31"/>
        <v>40110000</v>
      </c>
      <c r="G1848" t="str">
        <f>"40110485"</f>
        <v>40110485</v>
      </c>
      <c r="H1848" t="s">
        <v>513</v>
      </c>
      <c r="I1848" s="1">
        <v>45750</v>
      </c>
      <c r="K1848" s="4">
        <v>96000</v>
      </c>
    </row>
    <row r="1849" spans="1:11" hidden="1" outlineLevel="2" x14ac:dyDescent="0.35">
      <c r="A1849" t="s">
        <v>354</v>
      </c>
      <c r="B1849" s="1">
        <v>45720</v>
      </c>
      <c r="C1849" t="str">
        <f>"578"</f>
        <v>578</v>
      </c>
      <c r="D1849" t="s">
        <v>514</v>
      </c>
      <c r="E1849" t="str">
        <f>"0000258"</f>
        <v>0000258</v>
      </c>
      <c r="F1849" t="str">
        <f t="shared" si="31"/>
        <v>40110000</v>
      </c>
      <c r="G1849" t="str">
        <f>"40120627"</f>
        <v>40120627</v>
      </c>
      <c r="H1849" t="s">
        <v>515</v>
      </c>
      <c r="I1849" s="1">
        <v>45720</v>
      </c>
      <c r="K1849" s="4">
        <v>450000</v>
      </c>
    </row>
    <row r="1850" spans="1:11" hidden="1" outlineLevel="2" x14ac:dyDescent="0.35">
      <c r="A1850" t="s">
        <v>354</v>
      </c>
      <c r="B1850" s="1">
        <v>45721</v>
      </c>
      <c r="C1850" t="str">
        <f>"560"</f>
        <v>560</v>
      </c>
      <c r="D1850" t="s">
        <v>516</v>
      </c>
      <c r="E1850" t="s">
        <v>517</v>
      </c>
      <c r="F1850" t="str">
        <f t="shared" si="31"/>
        <v>40110000</v>
      </c>
      <c r="G1850" t="str">
        <f>"40110049"</f>
        <v>40110049</v>
      </c>
      <c r="H1850" t="s">
        <v>518</v>
      </c>
      <c r="I1850" s="1">
        <v>45781</v>
      </c>
      <c r="K1850" s="4">
        <v>421850</v>
      </c>
    </row>
    <row r="1851" spans="1:11" hidden="1" outlineLevel="2" x14ac:dyDescent="0.35">
      <c r="A1851" t="s">
        <v>354</v>
      </c>
      <c r="B1851" s="1">
        <v>45721</v>
      </c>
      <c r="C1851" t="str">
        <f>"561"</f>
        <v>561</v>
      </c>
      <c r="D1851" t="s">
        <v>519</v>
      </c>
      <c r="E1851" t="s">
        <v>520</v>
      </c>
      <c r="F1851" t="str">
        <f t="shared" si="31"/>
        <v>40110000</v>
      </c>
      <c r="G1851" t="str">
        <f>"40110049"</f>
        <v>40110049</v>
      </c>
      <c r="H1851" t="s">
        <v>521</v>
      </c>
      <c r="I1851" s="1">
        <v>45781</v>
      </c>
      <c r="K1851" s="4">
        <v>18384</v>
      </c>
    </row>
    <row r="1852" spans="1:11" hidden="1" outlineLevel="2" x14ac:dyDescent="0.35">
      <c r="A1852" t="s">
        <v>354</v>
      </c>
      <c r="B1852" s="1">
        <v>45721</v>
      </c>
      <c r="C1852" t="str">
        <f>"581"</f>
        <v>581</v>
      </c>
      <c r="D1852" t="s">
        <v>522</v>
      </c>
      <c r="E1852" t="str">
        <f>"966426"</f>
        <v>966426</v>
      </c>
      <c r="F1852" t="str">
        <f t="shared" si="31"/>
        <v>40110000</v>
      </c>
      <c r="G1852" t="str">
        <f t="shared" ref="G1852:G1859" si="34">"40110493"</f>
        <v>40110493</v>
      </c>
      <c r="H1852" t="s">
        <v>523</v>
      </c>
      <c r="I1852" s="1">
        <v>45721</v>
      </c>
      <c r="K1852" s="4">
        <v>75000</v>
      </c>
    </row>
    <row r="1853" spans="1:11" hidden="1" outlineLevel="2" x14ac:dyDescent="0.35">
      <c r="A1853" t="s">
        <v>354</v>
      </c>
      <c r="B1853" s="1">
        <v>45721</v>
      </c>
      <c r="C1853" t="str">
        <f>"582"</f>
        <v>582</v>
      </c>
      <c r="D1853" t="s">
        <v>524</v>
      </c>
      <c r="E1853" t="str">
        <f>"966427"</f>
        <v>966427</v>
      </c>
      <c r="F1853" t="str">
        <f t="shared" si="31"/>
        <v>40110000</v>
      </c>
      <c r="G1853" t="str">
        <f t="shared" si="34"/>
        <v>40110493</v>
      </c>
      <c r="H1853" t="s">
        <v>525</v>
      </c>
      <c r="I1853" s="1">
        <v>45721</v>
      </c>
      <c r="K1853" s="4">
        <v>125000</v>
      </c>
    </row>
    <row r="1854" spans="1:11" hidden="1" outlineLevel="2" x14ac:dyDescent="0.35">
      <c r="A1854" t="s">
        <v>354</v>
      </c>
      <c r="B1854" s="1">
        <v>45721</v>
      </c>
      <c r="C1854" t="str">
        <f>"583"</f>
        <v>583</v>
      </c>
      <c r="D1854" t="s">
        <v>526</v>
      </c>
      <c r="E1854" t="str">
        <f>"966428"</f>
        <v>966428</v>
      </c>
      <c r="F1854" t="str">
        <f t="shared" si="31"/>
        <v>40110000</v>
      </c>
      <c r="G1854" t="str">
        <f t="shared" si="34"/>
        <v>40110493</v>
      </c>
      <c r="H1854" t="s">
        <v>527</v>
      </c>
      <c r="I1854" s="1">
        <v>45721</v>
      </c>
      <c r="K1854" s="4">
        <v>38000</v>
      </c>
    </row>
    <row r="1855" spans="1:11" hidden="1" outlineLevel="2" x14ac:dyDescent="0.35">
      <c r="A1855" t="s">
        <v>354</v>
      </c>
      <c r="B1855" s="1">
        <v>45721</v>
      </c>
      <c r="C1855" t="str">
        <f>"584"</f>
        <v>584</v>
      </c>
      <c r="D1855" t="s">
        <v>528</v>
      </c>
      <c r="E1855" t="str">
        <f>"966429"</f>
        <v>966429</v>
      </c>
      <c r="F1855" t="str">
        <f t="shared" si="31"/>
        <v>40110000</v>
      </c>
      <c r="G1855" t="str">
        <f t="shared" si="34"/>
        <v>40110493</v>
      </c>
      <c r="H1855" t="s">
        <v>529</v>
      </c>
      <c r="I1855" s="1">
        <v>45721</v>
      </c>
      <c r="K1855" s="4">
        <v>85000</v>
      </c>
    </row>
    <row r="1856" spans="1:11" hidden="1" outlineLevel="2" x14ac:dyDescent="0.35">
      <c r="A1856" t="s">
        <v>354</v>
      </c>
      <c r="B1856" s="1">
        <v>45721</v>
      </c>
      <c r="C1856" t="str">
        <f>"585"</f>
        <v>585</v>
      </c>
      <c r="D1856" t="s">
        <v>530</v>
      </c>
      <c r="E1856" t="str">
        <f>"966430"</f>
        <v>966430</v>
      </c>
      <c r="F1856" t="str">
        <f t="shared" si="31"/>
        <v>40110000</v>
      </c>
      <c r="G1856" t="str">
        <f t="shared" si="34"/>
        <v>40110493</v>
      </c>
      <c r="H1856" t="s">
        <v>531</v>
      </c>
      <c r="I1856" s="1">
        <v>45721</v>
      </c>
      <c r="K1856" s="4">
        <v>95000</v>
      </c>
    </row>
    <row r="1857" spans="1:11" hidden="1" outlineLevel="2" x14ac:dyDescent="0.35">
      <c r="A1857" t="s">
        <v>354</v>
      </c>
      <c r="B1857" s="1">
        <v>45721</v>
      </c>
      <c r="C1857" t="str">
        <f>"587"</f>
        <v>587</v>
      </c>
      <c r="D1857" t="s">
        <v>532</v>
      </c>
      <c r="E1857" t="str">
        <f>"966432"</f>
        <v>966432</v>
      </c>
      <c r="F1857" t="str">
        <f t="shared" si="31"/>
        <v>40110000</v>
      </c>
      <c r="G1857" t="str">
        <f t="shared" si="34"/>
        <v>40110493</v>
      </c>
      <c r="H1857" t="s">
        <v>533</v>
      </c>
      <c r="I1857" s="1">
        <v>45721</v>
      </c>
      <c r="K1857" s="4">
        <v>36000</v>
      </c>
    </row>
    <row r="1858" spans="1:11" hidden="1" outlineLevel="2" x14ac:dyDescent="0.35">
      <c r="A1858" t="s">
        <v>354</v>
      </c>
      <c r="B1858" s="1">
        <v>45721</v>
      </c>
      <c r="C1858" t="str">
        <f>"588"</f>
        <v>588</v>
      </c>
      <c r="D1858" t="s">
        <v>534</v>
      </c>
      <c r="E1858" t="str">
        <f>"966434"</f>
        <v>966434</v>
      </c>
      <c r="F1858" t="str">
        <f t="shared" ref="F1858:F1921" si="35">"40110000"</f>
        <v>40110000</v>
      </c>
      <c r="G1858" t="str">
        <f t="shared" si="34"/>
        <v>40110493</v>
      </c>
      <c r="H1858" t="s">
        <v>535</v>
      </c>
      <c r="I1858" s="1">
        <v>45721</v>
      </c>
      <c r="K1858" s="4">
        <v>51000</v>
      </c>
    </row>
    <row r="1859" spans="1:11" hidden="1" outlineLevel="2" x14ac:dyDescent="0.35">
      <c r="A1859" t="s">
        <v>354</v>
      </c>
      <c r="B1859" s="1">
        <v>45721</v>
      </c>
      <c r="C1859" t="str">
        <f>"628"</f>
        <v>628</v>
      </c>
      <c r="D1859" t="s">
        <v>536</v>
      </c>
      <c r="E1859" t="str">
        <f>"966433"</f>
        <v>966433</v>
      </c>
      <c r="F1859" t="str">
        <f t="shared" si="35"/>
        <v>40110000</v>
      </c>
      <c r="G1859" t="str">
        <f t="shared" si="34"/>
        <v>40110493</v>
      </c>
      <c r="H1859" t="s">
        <v>537</v>
      </c>
      <c r="I1859" s="1">
        <v>45721</v>
      </c>
      <c r="K1859" s="4">
        <v>66000</v>
      </c>
    </row>
    <row r="1860" spans="1:11" hidden="1" outlineLevel="2" x14ac:dyDescent="0.35">
      <c r="A1860" t="s">
        <v>354</v>
      </c>
      <c r="B1860" s="1">
        <v>45722</v>
      </c>
      <c r="C1860" t="str">
        <f>"535"</f>
        <v>535</v>
      </c>
      <c r="D1860" t="s">
        <v>538</v>
      </c>
      <c r="E1860" t="str">
        <f>"00001115"</f>
        <v>00001115</v>
      </c>
      <c r="F1860" t="str">
        <f t="shared" si="35"/>
        <v>40110000</v>
      </c>
      <c r="G1860" t="str">
        <f>"40110268"</f>
        <v>40110268</v>
      </c>
      <c r="H1860" t="s">
        <v>539</v>
      </c>
      <c r="I1860" s="1">
        <v>45752</v>
      </c>
      <c r="K1860" s="4">
        <v>23600</v>
      </c>
    </row>
    <row r="1861" spans="1:11" hidden="1" outlineLevel="2" x14ac:dyDescent="0.35">
      <c r="A1861" t="s">
        <v>354</v>
      </c>
      <c r="B1861" s="1">
        <v>45722</v>
      </c>
      <c r="C1861" t="str">
        <f>"536"</f>
        <v>536</v>
      </c>
      <c r="D1861" t="s">
        <v>540</v>
      </c>
      <c r="E1861" t="s">
        <v>541</v>
      </c>
      <c r="F1861" t="str">
        <f t="shared" si="35"/>
        <v>40110000</v>
      </c>
      <c r="G1861" t="str">
        <f>"40110026"</f>
        <v>40110026</v>
      </c>
      <c r="H1861" t="s">
        <v>542</v>
      </c>
      <c r="I1861" s="1">
        <v>45782</v>
      </c>
      <c r="K1861" s="4">
        <v>8351</v>
      </c>
    </row>
    <row r="1862" spans="1:11" hidden="1" outlineLevel="2" x14ac:dyDescent="0.35">
      <c r="A1862" t="s">
        <v>354</v>
      </c>
      <c r="B1862" s="1">
        <v>45722</v>
      </c>
      <c r="C1862" t="str">
        <f>"544"</f>
        <v>544</v>
      </c>
      <c r="D1862" t="s">
        <v>543</v>
      </c>
      <c r="E1862" t="s">
        <v>544</v>
      </c>
      <c r="F1862" t="str">
        <f t="shared" si="35"/>
        <v>40110000</v>
      </c>
      <c r="G1862" t="str">
        <f t="shared" ref="G1862:G1870" si="36">"40110010"</f>
        <v>40110010</v>
      </c>
      <c r="H1862" t="s">
        <v>545</v>
      </c>
      <c r="I1862" s="1">
        <v>45838</v>
      </c>
      <c r="K1862" s="4">
        <v>206382</v>
      </c>
    </row>
    <row r="1863" spans="1:11" hidden="1" outlineLevel="2" x14ac:dyDescent="0.35">
      <c r="A1863" t="s">
        <v>354</v>
      </c>
      <c r="B1863" s="1">
        <v>45722</v>
      </c>
      <c r="C1863" t="str">
        <f>"545"</f>
        <v>545</v>
      </c>
      <c r="D1863" t="s">
        <v>546</v>
      </c>
      <c r="E1863" t="s">
        <v>547</v>
      </c>
      <c r="F1863" t="str">
        <f t="shared" si="35"/>
        <v>40110000</v>
      </c>
      <c r="G1863" t="str">
        <f t="shared" si="36"/>
        <v>40110010</v>
      </c>
      <c r="H1863" t="s">
        <v>548</v>
      </c>
      <c r="I1863" s="1">
        <v>45838</v>
      </c>
      <c r="K1863" s="4">
        <v>69082</v>
      </c>
    </row>
    <row r="1864" spans="1:11" hidden="1" outlineLevel="2" x14ac:dyDescent="0.35">
      <c r="A1864" t="s">
        <v>354</v>
      </c>
      <c r="B1864" s="1">
        <v>45722</v>
      </c>
      <c r="C1864" t="str">
        <f>"546"</f>
        <v>546</v>
      </c>
      <c r="D1864" t="s">
        <v>549</v>
      </c>
      <c r="E1864" t="s">
        <v>550</v>
      </c>
      <c r="F1864" t="str">
        <f t="shared" si="35"/>
        <v>40110000</v>
      </c>
      <c r="G1864" t="str">
        <f t="shared" si="36"/>
        <v>40110010</v>
      </c>
      <c r="H1864" t="s">
        <v>551</v>
      </c>
      <c r="I1864" s="1">
        <v>45838</v>
      </c>
      <c r="K1864" s="4">
        <v>281162</v>
      </c>
    </row>
    <row r="1865" spans="1:11" hidden="1" outlineLevel="2" x14ac:dyDescent="0.35">
      <c r="A1865" t="s">
        <v>354</v>
      </c>
      <c r="B1865" s="1">
        <v>45722</v>
      </c>
      <c r="C1865" t="str">
        <f>"547"</f>
        <v>547</v>
      </c>
      <c r="D1865" t="s">
        <v>552</v>
      </c>
      <c r="E1865" t="s">
        <v>553</v>
      </c>
      <c r="F1865" t="str">
        <f t="shared" si="35"/>
        <v>40110000</v>
      </c>
      <c r="G1865" t="str">
        <f t="shared" si="36"/>
        <v>40110010</v>
      </c>
      <c r="H1865" t="s">
        <v>554</v>
      </c>
      <c r="I1865" s="1">
        <v>45838</v>
      </c>
      <c r="K1865" s="4">
        <v>69082</v>
      </c>
    </row>
    <row r="1866" spans="1:11" hidden="1" outlineLevel="2" x14ac:dyDescent="0.35">
      <c r="A1866" t="s">
        <v>354</v>
      </c>
      <c r="B1866" s="1">
        <v>45722</v>
      </c>
      <c r="C1866" t="str">
        <f>"548"</f>
        <v>548</v>
      </c>
      <c r="D1866" t="s">
        <v>555</v>
      </c>
      <c r="E1866" t="s">
        <v>556</v>
      </c>
      <c r="F1866" t="str">
        <f t="shared" si="35"/>
        <v>40110000</v>
      </c>
      <c r="G1866" t="str">
        <f t="shared" si="36"/>
        <v>40110010</v>
      </c>
      <c r="H1866" t="s">
        <v>557</v>
      </c>
      <c r="I1866" s="1">
        <v>45838</v>
      </c>
      <c r="K1866" s="4">
        <v>292269</v>
      </c>
    </row>
    <row r="1867" spans="1:11" hidden="1" outlineLevel="2" x14ac:dyDescent="0.35">
      <c r="A1867" t="s">
        <v>354</v>
      </c>
      <c r="B1867" s="1">
        <v>45722</v>
      </c>
      <c r="C1867" t="str">
        <f>"549"</f>
        <v>549</v>
      </c>
      <c r="D1867" t="s">
        <v>558</v>
      </c>
      <c r="E1867" t="s">
        <v>559</v>
      </c>
      <c r="F1867" t="str">
        <f t="shared" si="35"/>
        <v>40110000</v>
      </c>
      <c r="G1867" t="str">
        <f t="shared" si="36"/>
        <v>40110010</v>
      </c>
      <c r="H1867" t="s">
        <v>560</v>
      </c>
      <c r="I1867" s="1">
        <v>45838</v>
      </c>
      <c r="K1867" s="4">
        <v>438404</v>
      </c>
    </row>
    <row r="1868" spans="1:11" hidden="1" outlineLevel="2" x14ac:dyDescent="0.35">
      <c r="A1868" t="s">
        <v>354</v>
      </c>
      <c r="B1868" s="1">
        <v>45722</v>
      </c>
      <c r="C1868" t="str">
        <f>"550"</f>
        <v>550</v>
      </c>
      <c r="D1868" t="s">
        <v>561</v>
      </c>
      <c r="E1868" t="s">
        <v>562</v>
      </c>
      <c r="F1868" t="str">
        <f t="shared" si="35"/>
        <v>40110000</v>
      </c>
      <c r="G1868" t="str">
        <f t="shared" si="36"/>
        <v>40110010</v>
      </c>
      <c r="H1868" t="s">
        <v>563</v>
      </c>
      <c r="I1868" s="1">
        <v>45838</v>
      </c>
      <c r="K1868" s="4">
        <v>438404</v>
      </c>
    </row>
    <row r="1869" spans="1:11" hidden="1" outlineLevel="2" x14ac:dyDescent="0.35">
      <c r="A1869" t="s">
        <v>354</v>
      </c>
      <c r="B1869" s="1">
        <v>45722</v>
      </c>
      <c r="C1869" t="str">
        <f>"551"</f>
        <v>551</v>
      </c>
      <c r="D1869" t="s">
        <v>564</v>
      </c>
      <c r="E1869" t="s">
        <v>565</v>
      </c>
      <c r="F1869" t="str">
        <f t="shared" si="35"/>
        <v>40110000</v>
      </c>
      <c r="G1869" t="str">
        <f t="shared" si="36"/>
        <v>40110010</v>
      </c>
      <c r="H1869" t="s">
        <v>566</v>
      </c>
      <c r="I1869" s="1">
        <v>45838</v>
      </c>
      <c r="K1869" s="4">
        <v>467466</v>
      </c>
    </row>
    <row r="1870" spans="1:11" hidden="1" outlineLevel="2" x14ac:dyDescent="0.35">
      <c r="A1870" t="s">
        <v>354</v>
      </c>
      <c r="B1870" s="1">
        <v>45722</v>
      </c>
      <c r="C1870" t="str">
        <f>"552"</f>
        <v>552</v>
      </c>
      <c r="D1870" t="s">
        <v>567</v>
      </c>
      <c r="E1870" t="s">
        <v>568</v>
      </c>
      <c r="F1870" t="str">
        <f t="shared" si="35"/>
        <v>40110000</v>
      </c>
      <c r="G1870" t="str">
        <f t="shared" si="36"/>
        <v>40110010</v>
      </c>
      <c r="H1870" t="s">
        <v>569</v>
      </c>
      <c r="I1870" s="1">
        <v>45838</v>
      </c>
      <c r="K1870" s="4">
        <v>3340580</v>
      </c>
    </row>
    <row r="1871" spans="1:11" hidden="1" outlineLevel="2" x14ac:dyDescent="0.35">
      <c r="A1871" t="s">
        <v>354</v>
      </c>
      <c r="B1871" s="1">
        <v>45722</v>
      </c>
      <c r="C1871" t="str">
        <f>"562"</f>
        <v>562</v>
      </c>
      <c r="D1871" t="s">
        <v>570</v>
      </c>
      <c r="E1871" t="s">
        <v>571</v>
      </c>
      <c r="F1871" t="str">
        <f t="shared" si="35"/>
        <v>40110000</v>
      </c>
      <c r="G1871" t="str">
        <f>"40110049"</f>
        <v>40110049</v>
      </c>
      <c r="H1871" t="s">
        <v>572</v>
      </c>
      <c r="I1871" s="1">
        <v>45782</v>
      </c>
      <c r="K1871" s="4">
        <v>75639</v>
      </c>
    </row>
    <row r="1872" spans="1:11" hidden="1" outlineLevel="2" x14ac:dyDescent="0.35">
      <c r="A1872" t="s">
        <v>354</v>
      </c>
      <c r="B1872" s="1">
        <v>45722</v>
      </c>
      <c r="C1872" t="str">
        <f>"563"</f>
        <v>563</v>
      </c>
      <c r="D1872" t="s">
        <v>573</v>
      </c>
      <c r="E1872" t="s">
        <v>574</v>
      </c>
      <c r="F1872" t="str">
        <f t="shared" si="35"/>
        <v>40110000</v>
      </c>
      <c r="G1872" t="str">
        <f>"40110049"</f>
        <v>40110049</v>
      </c>
      <c r="H1872" t="s">
        <v>575</v>
      </c>
      <c r="I1872" s="1">
        <v>45782</v>
      </c>
      <c r="K1872" s="4">
        <v>90000</v>
      </c>
    </row>
    <row r="1873" spans="1:11" hidden="1" outlineLevel="2" x14ac:dyDescent="0.35">
      <c r="A1873" t="s">
        <v>354</v>
      </c>
      <c r="B1873" s="1">
        <v>45722</v>
      </c>
      <c r="C1873" t="str">
        <f>"565"</f>
        <v>565</v>
      </c>
      <c r="D1873" t="s">
        <v>576</v>
      </c>
      <c r="E1873" t="s">
        <v>577</v>
      </c>
      <c r="F1873" t="str">
        <f t="shared" si="35"/>
        <v>40110000</v>
      </c>
      <c r="G1873" t="str">
        <f t="shared" ref="G1873:G1885" si="37">"40110124"</f>
        <v>40110124</v>
      </c>
      <c r="H1873" t="s">
        <v>578</v>
      </c>
      <c r="I1873" s="1">
        <v>45808</v>
      </c>
      <c r="K1873" s="4">
        <v>277037</v>
      </c>
    </row>
    <row r="1874" spans="1:11" hidden="1" outlineLevel="2" x14ac:dyDescent="0.35">
      <c r="A1874" t="s">
        <v>354</v>
      </c>
      <c r="B1874" s="1">
        <v>45722</v>
      </c>
      <c r="C1874" t="str">
        <f>"566"</f>
        <v>566</v>
      </c>
      <c r="D1874" t="s">
        <v>579</v>
      </c>
      <c r="E1874" t="s">
        <v>580</v>
      </c>
      <c r="F1874" t="str">
        <f t="shared" si="35"/>
        <v>40110000</v>
      </c>
      <c r="G1874" t="str">
        <f t="shared" si="37"/>
        <v>40110124</v>
      </c>
      <c r="H1874" t="s">
        <v>581</v>
      </c>
      <c r="I1874" s="1">
        <v>45808</v>
      </c>
      <c r="K1874" s="4">
        <v>10818</v>
      </c>
    </row>
    <row r="1875" spans="1:11" hidden="1" outlineLevel="2" x14ac:dyDescent="0.35">
      <c r="A1875" t="s">
        <v>354</v>
      </c>
      <c r="B1875" s="1">
        <v>45722</v>
      </c>
      <c r="C1875" t="str">
        <f>"567"</f>
        <v>567</v>
      </c>
      <c r="D1875" t="s">
        <v>582</v>
      </c>
      <c r="E1875" t="s">
        <v>583</v>
      </c>
      <c r="F1875" t="str">
        <f t="shared" si="35"/>
        <v>40110000</v>
      </c>
      <c r="G1875" t="str">
        <f t="shared" si="37"/>
        <v>40110124</v>
      </c>
      <c r="H1875" t="s">
        <v>584</v>
      </c>
      <c r="I1875" s="1">
        <v>45808</v>
      </c>
      <c r="K1875" s="4">
        <v>656166</v>
      </c>
    </row>
    <row r="1876" spans="1:11" hidden="1" outlineLevel="2" x14ac:dyDescent="0.35">
      <c r="A1876" t="s">
        <v>354</v>
      </c>
      <c r="B1876" s="1">
        <v>45722</v>
      </c>
      <c r="C1876" t="str">
        <f>"568"</f>
        <v>568</v>
      </c>
      <c r="D1876" t="s">
        <v>585</v>
      </c>
      <c r="E1876" t="s">
        <v>586</v>
      </c>
      <c r="F1876" t="str">
        <f t="shared" si="35"/>
        <v>40110000</v>
      </c>
      <c r="G1876" t="str">
        <f t="shared" si="37"/>
        <v>40110124</v>
      </c>
      <c r="H1876" t="s">
        <v>587</v>
      </c>
      <c r="I1876" s="1">
        <v>45808</v>
      </c>
      <c r="K1876" s="4">
        <v>133785</v>
      </c>
    </row>
    <row r="1877" spans="1:11" hidden="1" outlineLevel="2" x14ac:dyDescent="0.35">
      <c r="A1877" t="s">
        <v>354</v>
      </c>
      <c r="B1877" s="1">
        <v>45722</v>
      </c>
      <c r="C1877" t="str">
        <f>"569"</f>
        <v>569</v>
      </c>
      <c r="D1877" t="s">
        <v>588</v>
      </c>
      <c r="E1877" t="s">
        <v>589</v>
      </c>
      <c r="F1877" t="str">
        <f t="shared" si="35"/>
        <v>40110000</v>
      </c>
      <c r="G1877" t="str">
        <f t="shared" si="37"/>
        <v>40110124</v>
      </c>
      <c r="H1877" t="s">
        <v>590</v>
      </c>
      <c r="I1877" s="1">
        <v>45808</v>
      </c>
      <c r="K1877" s="4">
        <v>269774</v>
      </c>
    </row>
    <row r="1878" spans="1:11" hidden="1" outlineLevel="2" x14ac:dyDescent="0.35">
      <c r="A1878" t="s">
        <v>354</v>
      </c>
      <c r="B1878" s="1">
        <v>45722</v>
      </c>
      <c r="C1878" t="str">
        <f>"570"</f>
        <v>570</v>
      </c>
      <c r="D1878" t="s">
        <v>591</v>
      </c>
      <c r="E1878" t="s">
        <v>592</v>
      </c>
      <c r="F1878" t="str">
        <f t="shared" si="35"/>
        <v>40110000</v>
      </c>
      <c r="G1878" t="str">
        <f t="shared" si="37"/>
        <v>40110124</v>
      </c>
      <c r="H1878" t="s">
        <v>593</v>
      </c>
      <c r="I1878" s="1">
        <v>45808</v>
      </c>
      <c r="K1878" s="4">
        <v>44292</v>
      </c>
    </row>
    <row r="1879" spans="1:11" hidden="1" outlineLevel="2" x14ac:dyDescent="0.35">
      <c r="A1879" t="s">
        <v>354</v>
      </c>
      <c r="B1879" s="1">
        <v>45722</v>
      </c>
      <c r="C1879" t="str">
        <f>"571"</f>
        <v>571</v>
      </c>
      <c r="D1879" t="s">
        <v>594</v>
      </c>
      <c r="E1879" t="s">
        <v>595</v>
      </c>
      <c r="F1879" t="str">
        <f t="shared" si="35"/>
        <v>40110000</v>
      </c>
      <c r="G1879" t="str">
        <f t="shared" si="37"/>
        <v>40110124</v>
      </c>
      <c r="H1879" t="s">
        <v>596</v>
      </c>
      <c r="I1879" s="1">
        <v>45808</v>
      </c>
      <c r="K1879" s="4">
        <v>654001</v>
      </c>
    </row>
    <row r="1880" spans="1:11" hidden="1" outlineLevel="2" x14ac:dyDescent="0.35">
      <c r="A1880" t="s">
        <v>354</v>
      </c>
      <c r="B1880" s="1">
        <v>45722</v>
      </c>
      <c r="C1880" t="str">
        <f>"572"</f>
        <v>572</v>
      </c>
      <c r="D1880" t="s">
        <v>597</v>
      </c>
      <c r="E1880" t="s">
        <v>598</v>
      </c>
      <c r="F1880" t="str">
        <f t="shared" si="35"/>
        <v>40110000</v>
      </c>
      <c r="G1880" t="str">
        <f t="shared" si="37"/>
        <v>40110124</v>
      </c>
      <c r="H1880" t="s">
        <v>599</v>
      </c>
      <c r="I1880" s="1">
        <v>45808</v>
      </c>
      <c r="K1880" s="4">
        <v>148504</v>
      </c>
    </row>
    <row r="1881" spans="1:11" hidden="1" outlineLevel="2" x14ac:dyDescent="0.35">
      <c r="A1881" t="s">
        <v>354</v>
      </c>
      <c r="B1881" s="1">
        <v>45722</v>
      </c>
      <c r="C1881" t="str">
        <f>"573"</f>
        <v>573</v>
      </c>
      <c r="D1881" t="s">
        <v>600</v>
      </c>
      <c r="E1881" t="s">
        <v>601</v>
      </c>
      <c r="F1881" t="str">
        <f t="shared" si="35"/>
        <v>40110000</v>
      </c>
      <c r="G1881" t="str">
        <f t="shared" si="37"/>
        <v>40110124</v>
      </c>
      <c r="H1881" t="s">
        <v>602</v>
      </c>
      <c r="I1881" s="1">
        <v>45808</v>
      </c>
      <c r="K1881" s="4">
        <v>627590</v>
      </c>
    </row>
    <row r="1882" spans="1:11" hidden="1" outlineLevel="2" x14ac:dyDescent="0.35">
      <c r="A1882" t="s">
        <v>354</v>
      </c>
      <c r="B1882" s="1">
        <v>45722</v>
      </c>
      <c r="C1882" t="str">
        <f>"574"</f>
        <v>574</v>
      </c>
      <c r="D1882" t="s">
        <v>603</v>
      </c>
      <c r="E1882" t="s">
        <v>604</v>
      </c>
      <c r="F1882" t="str">
        <f t="shared" si="35"/>
        <v>40110000</v>
      </c>
      <c r="G1882" t="str">
        <f t="shared" si="37"/>
        <v>40110124</v>
      </c>
      <c r="H1882" t="s">
        <v>605</v>
      </c>
      <c r="I1882" s="1">
        <v>45808</v>
      </c>
      <c r="K1882" s="4">
        <v>24472</v>
      </c>
    </row>
    <row r="1883" spans="1:11" hidden="1" outlineLevel="2" x14ac:dyDescent="0.35">
      <c r="A1883" t="s">
        <v>354</v>
      </c>
      <c r="B1883" s="1">
        <v>45722</v>
      </c>
      <c r="C1883" t="str">
        <f>"575"</f>
        <v>575</v>
      </c>
      <c r="D1883" t="s">
        <v>606</v>
      </c>
      <c r="E1883" t="s">
        <v>607</v>
      </c>
      <c r="F1883" t="str">
        <f t="shared" si="35"/>
        <v>40110000</v>
      </c>
      <c r="G1883" t="str">
        <f t="shared" si="37"/>
        <v>40110124</v>
      </c>
      <c r="H1883" t="s">
        <v>608</v>
      </c>
      <c r="I1883" s="1">
        <v>45808</v>
      </c>
      <c r="K1883" s="4">
        <v>213533</v>
      </c>
    </row>
    <row r="1884" spans="1:11" hidden="1" outlineLevel="2" x14ac:dyDescent="0.35">
      <c r="A1884" t="s">
        <v>354</v>
      </c>
      <c r="B1884" s="1">
        <v>45722</v>
      </c>
      <c r="C1884" t="str">
        <f>"576"</f>
        <v>576</v>
      </c>
      <c r="D1884" t="s">
        <v>609</v>
      </c>
      <c r="E1884" t="s">
        <v>610</v>
      </c>
      <c r="F1884" t="str">
        <f t="shared" si="35"/>
        <v>40110000</v>
      </c>
      <c r="G1884" t="str">
        <f t="shared" si="37"/>
        <v>40110124</v>
      </c>
      <c r="H1884" t="s">
        <v>611</v>
      </c>
      <c r="I1884" s="1">
        <v>45808</v>
      </c>
      <c r="K1884" s="4">
        <v>17017</v>
      </c>
    </row>
    <row r="1885" spans="1:11" hidden="1" outlineLevel="2" x14ac:dyDescent="0.35">
      <c r="A1885" t="s">
        <v>354</v>
      </c>
      <c r="B1885" s="1">
        <v>45722</v>
      </c>
      <c r="C1885" t="str">
        <f>"577"</f>
        <v>577</v>
      </c>
      <c r="D1885" t="s">
        <v>612</v>
      </c>
      <c r="E1885" t="s">
        <v>613</v>
      </c>
      <c r="F1885" t="str">
        <f t="shared" si="35"/>
        <v>40110000</v>
      </c>
      <c r="G1885" t="str">
        <f t="shared" si="37"/>
        <v>40110124</v>
      </c>
      <c r="H1885" t="s">
        <v>614</v>
      </c>
      <c r="I1885" s="1">
        <v>45808</v>
      </c>
      <c r="K1885" s="4">
        <v>63814</v>
      </c>
    </row>
    <row r="1886" spans="1:11" hidden="1" outlineLevel="2" x14ac:dyDescent="0.35">
      <c r="A1886" t="s">
        <v>354</v>
      </c>
      <c r="B1886" s="1">
        <v>45722</v>
      </c>
      <c r="C1886" t="str">
        <f>"591"</f>
        <v>591</v>
      </c>
      <c r="D1886" t="s">
        <v>615</v>
      </c>
      <c r="E1886" t="str">
        <f>"0023352"</f>
        <v>0023352</v>
      </c>
      <c r="F1886" t="str">
        <f t="shared" si="35"/>
        <v>40110000</v>
      </c>
      <c r="G1886" t="str">
        <f t="shared" ref="G1886:G1908" si="38">"40110397"</f>
        <v>40110397</v>
      </c>
      <c r="H1886" t="s">
        <v>616</v>
      </c>
      <c r="I1886" s="1">
        <v>45782</v>
      </c>
      <c r="K1886" s="4">
        <v>1105000</v>
      </c>
    </row>
    <row r="1887" spans="1:11" hidden="1" outlineLevel="2" x14ac:dyDescent="0.35">
      <c r="A1887" t="s">
        <v>354</v>
      </c>
      <c r="B1887" s="1">
        <v>45722</v>
      </c>
      <c r="C1887" t="str">
        <f>"592"</f>
        <v>592</v>
      </c>
      <c r="D1887" t="s">
        <v>617</v>
      </c>
      <c r="E1887" t="str">
        <f>"00233353"</f>
        <v>00233353</v>
      </c>
      <c r="F1887" t="str">
        <f t="shared" si="35"/>
        <v>40110000</v>
      </c>
      <c r="G1887" t="str">
        <f t="shared" si="38"/>
        <v>40110397</v>
      </c>
      <c r="H1887" t="s">
        <v>618</v>
      </c>
      <c r="I1887" s="1">
        <v>45782</v>
      </c>
      <c r="K1887" s="4">
        <v>495000</v>
      </c>
    </row>
    <row r="1888" spans="1:11" hidden="1" outlineLevel="2" x14ac:dyDescent="0.35">
      <c r="A1888" t="s">
        <v>354</v>
      </c>
      <c r="B1888" s="1">
        <v>45722</v>
      </c>
      <c r="C1888" t="str">
        <f>"593"</f>
        <v>593</v>
      </c>
      <c r="D1888" t="s">
        <v>619</v>
      </c>
      <c r="E1888" t="str">
        <f>"00233354"</f>
        <v>00233354</v>
      </c>
      <c r="F1888" t="str">
        <f t="shared" si="35"/>
        <v>40110000</v>
      </c>
      <c r="G1888" t="str">
        <f t="shared" si="38"/>
        <v>40110397</v>
      </c>
      <c r="H1888" t="s">
        <v>620</v>
      </c>
      <c r="I1888" s="1">
        <v>45782</v>
      </c>
      <c r="K1888" s="4">
        <v>330300</v>
      </c>
    </row>
    <row r="1889" spans="1:11" hidden="1" outlineLevel="2" x14ac:dyDescent="0.35">
      <c r="A1889" t="s">
        <v>354</v>
      </c>
      <c r="B1889" s="1">
        <v>45722</v>
      </c>
      <c r="C1889" t="str">
        <f>"594"</f>
        <v>594</v>
      </c>
      <c r="D1889" t="s">
        <v>621</v>
      </c>
      <c r="E1889" t="str">
        <f>"00233355"</f>
        <v>00233355</v>
      </c>
      <c r="F1889" t="str">
        <f t="shared" si="35"/>
        <v>40110000</v>
      </c>
      <c r="G1889" t="str">
        <f t="shared" si="38"/>
        <v>40110397</v>
      </c>
      <c r="H1889" t="s">
        <v>622</v>
      </c>
      <c r="I1889" s="1">
        <v>45782</v>
      </c>
      <c r="K1889" s="4">
        <v>180000</v>
      </c>
    </row>
    <row r="1890" spans="1:11" hidden="1" outlineLevel="2" x14ac:dyDescent="0.35">
      <c r="A1890" t="s">
        <v>354</v>
      </c>
      <c r="B1890" s="1">
        <v>45722</v>
      </c>
      <c r="C1890" t="str">
        <f>"595"</f>
        <v>595</v>
      </c>
      <c r="D1890" t="s">
        <v>623</v>
      </c>
      <c r="E1890" t="str">
        <f>"00233356"</f>
        <v>00233356</v>
      </c>
      <c r="F1890" t="str">
        <f t="shared" si="35"/>
        <v>40110000</v>
      </c>
      <c r="G1890" t="str">
        <f t="shared" si="38"/>
        <v>40110397</v>
      </c>
      <c r="H1890" t="s">
        <v>624</v>
      </c>
      <c r="I1890" s="1">
        <v>45782</v>
      </c>
      <c r="K1890" s="4">
        <v>330000</v>
      </c>
    </row>
    <row r="1891" spans="1:11" hidden="1" outlineLevel="2" x14ac:dyDescent="0.35">
      <c r="A1891" t="s">
        <v>354</v>
      </c>
      <c r="B1891" s="1">
        <v>45722</v>
      </c>
      <c r="C1891" t="str">
        <f>"596"</f>
        <v>596</v>
      </c>
      <c r="D1891" t="s">
        <v>625</v>
      </c>
      <c r="E1891" t="str">
        <f>"00233357"</f>
        <v>00233357</v>
      </c>
      <c r="F1891" t="str">
        <f t="shared" si="35"/>
        <v>40110000</v>
      </c>
      <c r="G1891" t="str">
        <f t="shared" si="38"/>
        <v>40110397</v>
      </c>
      <c r="H1891" t="s">
        <v>626</v>
      </c>
      <c r="I1891" s="1">
        <v>45782</v>
      </c>
      <c r="K1891" s="4">
        <v>1600000</v>
      </c>
    </row>
    <row r="1892" spans="1:11" hidden="1" outlineLevel="2" x14ac:dyDescent="0.35">
      <c r="A1892" t="s">
        <v>354</v>
      </c>
      <c r="B1892" s="1">
        <v>45722</v>
      </c>
      <c r="C1892" t="str">
        <f>"597"</f>
        <v>597</v>
      </c>
      <c r="D1892" t="s">
        <v>627</v>
      </c>
      <c r="E1892" t="str">
        <f>"00233358"</f>
        <v>00233358</v>
      </c>
      <c r="F1892" t="str">
        <f t="shared" si="35"/>
        <v>40110000</v>
      </c>
      <c r="G1892" t="str">
        <f t="shared" si="38"/>
        <v>40110397</v>
      </c>
      <c r="H1892" t="s">
        <v>628</v>
      </c>
      <c r="I1892" s="1">
        <v>45782</v>
      </c>
      <c r="K1892" s="4">
        <v>160300</v>
      </c>
    </row>
    <row r="1893" spans="1:11" hidden="1" outlineLevel="2" x14ac:dyDescent="0.35">
      <c r="A1893" t="s">
        <v>354</v>
      </c>
      <c r="B1893" s="1">
        <v>45722</v>
      </c>
      <c r="C1893" t="str">
        <f>"598"</f>
        <v>598</v>
      </c>
      <c r="D1893" t="s">
        <v>629</v>
      </c>
      <c r="E1893" t="str">
        <f>"00233359"</f>
        <v>00233359</v>
      </c>
      <c r="F1893" t="str">
        <f t="shared" si="35"/>
        <v>40110000</v>
      </c>
      <c r="G1893" t="str">
        <f t="shared" si="38"/>
        <v>40110397</v>
      </c>
      <c r="H1893" t="s">
        <v>630</v>
      </c>
      <c r="I1893" s="1">
        <v>45782</v>
      </c>
      <c r="K1893" s="4">
        <v>2200000</v>
      </c>
    </row>
    <row r="1894" spans="1:11" hidden="1" outlineLevel="2" x14ac:dyDescent="0.35">
      <c r="A1894" t="s">
        <v>354</v>
      </c>
      <c r="B1894" s="1">
        <v>45722</v>
      </c>
      <c r="C1894" t="str">
        <f>"599"</f>
        <v>599</v>
      </c>
      <c r="D1894" t="s">
        <v>631</v>
      </c>
      <c r="E1894" t="str">
        <f>"00233360"</f>
        <v>00233360</v>
      </c>
      <c r="F1894" t="str">
        <f t="shared" si="35"/>
        <v>40110000</v>
      </c>
      <c r="G1894" t="str">
        <f t="shared" si="38"/>
        <v>40110397</v>
      </c>
      <c r="H1894" t="s">
        <v>632</v>
      </c>
      <c r="I1894" s="1">
        <v>45782</v>
      </c>
      <c r="K1894" s="4">
        <v>435000</v>
      </c>
    </row>
    <row r="1895" spans="1:11" hidden="1" outlineLevel="2" x14ac:dyDescent="0.35">
      <c r="A1895" t="s">
        <v>354</v>
      </c>
      <c r="B1895" s="1">
        <v>45722</v>
      </c>
      <c r="C1895" t="str">
        <f>"600"</f>
        <v>600</v>
      </c>
      <c r="D1895" t="s">
        <v>633</v>
      </c>
      <c r="E1895" t="str">
        <f>"00233361"</f>
        <v>00233361</v>
      </c>
      <c r="F1895" t="str">
        <f t="shared" si="35"/>
        <v>40110000</v>
      </c>
      <c r="G1895" t="str">
        <f t="shared" si="38"/>
        <v>40110397</v>
      </c>
      <c r="H1895" t="s">
        <v>634</v>
      </c>
      <c r="I1895" s="1">
        <v>45782</v>
      </c>
      <c r="K1895" s="4">
        <v>195300</v>
      </c>
    </row>
    <row r="1896" spans="1:11" hidden="1" outlineLevel="2" x14ac:dyDescent="0.35">
      <c r="A1896" t="s">
        <v>354</v>
      </c>
      <c r="B1896" s="1">
        <v>45722</v>
      </c>
      <c r="C1896" t="str">
        <f>"601"</f>
        <v>601</v>
      </c>
      <c r="D1896" t="s">
        <v>635</v>
      </c>
      <c r="E1896" t="str">
        <f>"00233363"</f>
        <v>00233363</v>
      </c>
      <c r="F1896" t="str">
        <f t="shared" si="35"/>
        <v>40110000</v>
      </c>
      <c r="G1896" t="str">
        <f t="shared" si="38"/>
        <v>40110397</v>
      </c>
      <c r="H1896" t="s">
        <v>636</v>
      </c>
      <c r="I1896" s="1">
        <v>45782</v>
      </c>
      <c r="K1896" s="4">
        <v>300300</v>
      </c>
    </row>
    <row r="1897" spans="1:11" hidden="1" outlineLevel="2" x14ac:dyDescent="0.35">
      <c r="A1897" t="s">
        <v>354</v>
      </c>
      <c r="B1897" s="1">
        <v>45722</v>
      </c>
      <c r="C1897" t="str">
        <f>"602"</f>
        <v>602</v>
      </c>
      <c r="D1897" t="s">
        <v>637</v>
      </c>
      <c r="E1897" t="str">
        <f>"00233364"</f>
        <v>00233364</v>
      </c>
      <c r="F1897" t="str">
        <f t="shared" si="35"/>
        <v>40110000</v>
      </c>
      <c r="G1897" t="str">
        <f t="shared" si="38"/>
        <v>40110397</v>
      </c>
      <c r="H1897" t="s">
        <v>638</v>
      </c>
      <c r="I1897" s="1">
        <v>45782</v>
      </c>
      <c r="K1897" s="4">
        <v>240300</v>
      </c>
    </row>
    <row r="1898" spans="1:11" hidden="1" outlineLevel="2" x14ac:dyDescent="0.35">
      <c r="A1898" t="s">
        <v>354</v>
      </c>
      <c r="B1898" s="1">
        <v>45722</v>
      </c>
      <c r="C1898" t="str">
        <f>"603"</f>
        <v>603</v>
      </c>
      <c r="D1898" t="s">
        <v>639</v>
      </c>
      <c r="E1898" t="str">
        <f>"00233365"</f>
        <v>00233365</v>
      </c>
      <c r="F1898" t="str">
        <f t="shared" si="35"/>
        <v>40110000</v>
      </c>
      <c r="G1898" t="str">
        <f t="shared" si="38"/>
        <v>40110397</v>
      </c>
      <c r="H1898" t="s">
        <v>640</v>
      </c>
      <c r="I1898" s="1">
        <v>45782</v>
      </c>
      <c r="K1898" s="4">
        <v>380000</v>
      </c>
    </row>
    <row r="1899" spans="1:11" hidden="1" outlineLevel="2" x14ac:dyDescent="0.35">
      <c r="A1899" t="s">
        <v>354</v>
      </c>
      <c r="B1899" s="1">
        <v>45722</v>
      </c>
      <c r="C1899" t="str">
        <f>"604"</f>
        <v>604</v>
      </c>
      <c r="D1899" t="s">
        <v>641</v>
      </c>
      <c r="E1899" t="str">
        <f>"00233366"</f>
        <v>00233366</v>
      </c>
      <c r="F1899" t="str">
        <f t="shared" si="35"/>
        <v>40110000</v>
      </c>
      <c r="G1899" t="str">
        <f t="shared" si="38"/>
        <v>40110397</v>
      </c>
      <c r="H1899" t="s">
        <v>642</v>
      </c>
      <c r="I1899" s="1">
        <v>45782</v>
      </c>
      <c r="K1899" s="4">
        <v>2200000</v>
      </c>
    </row>
    <row r="1900" spans="1:11" hidden="1" outlineLevel="2" x14ac:dyDescent="0.35">
      <c r="A1900" t="s">
        <v>354</v>
      </c>
      <c r="B1900" s="1">
        <v>45722</v>
      </c>
      <c r="C1900" t="str">
        <f>"605"</f>
        <v>605</v>
      </c>
      <c r="D1900" t="s">
        <v>643</v>
      </c>
      <c r="E1900" t="str">
        <f>"00233367"</f>
        <v>00233367</v>
      </c>
      <c r="F1900" t="str">
        <f t="shared" si="35"/>
        <v>40110000</v>
      </c>
      <c r="G1900" t="str">
        <f t="shared" si="38"/>
        <v>40110397</v>
      </c>
      <c r="H1900" t="s">
        <v>644</v>
      </c>
      <c r="I1900" s="1">
        <v>45782</v>
      </c>
      <c r="K1900" s="4">
        <v>380300</v>
      </c>
    </row>
    <row r="1901" spans="1:11" hidden="1" outlineLevel="2" x14ac:dyDescent="0.35">
      <c r="A1901" t="s">
        <v>354</v>
      </c>
      <c r="B1901" s="1">
        <v>45722</v>
      </c>
      <c r="C1901" t="str">
        <f>"606"</f>
        <v>606</v>
      </c>
      <c r="D1901" t="s">
        <v>645</v>
      </c>
      <c r="E1901" t="str">
        <f>"00233368"</f>
        <v>00233368</v>
      </c>
      <c r="F1901" t="str">
        <f t="shared" si="35"/>
        <v>40110000</v>
      </c>
      <c r="G1901" t="str">
        <f t="shared" si="38"/>
        <v>40110397</v>
      </c>
      <c r="H1901" t="s">
        <v>646</v>
      </c>
      <c r="I1901" s="1">
        <v>45782</v>
      </c>
      <c r="K1901" s="4">
        <v>106600</v>
      </c>
    </row>
    <row r="1902" spans="1:11" hidden="1" outlineLevel="2" x14ac:dyDescent="0.35">
      <c r="A1902" t="s">
        <v>354</v>
      </c>
      <c r="B1902" s="1">
        <v>45722</v>
      </c>
      <c r="C1902" t="str">
        <f>"607"</f>
        <v>607</v>
      </c>
      <c r="D1902" t="s">
        <v>647</v>
      </c>
      <c r="E1902" t="str">
        <f>"00233369"</f>
        <v>00233369</v>
      </c>
      <c r="F1902" t="str">
        <f t="shared" si="35"/>
        <v>40110000</v>
      </c>
      <c r="G1902" t="str">
        <f t="shared" si="38"/>
        <v>40110397</v>
      </c>
      <c r="H1902" t="s">
        <v>648</v>
      </c>
      <c r="I1902" s="1">
        <v>45782</v>
      </c>
      <c r="K1902" s="4">
        <v>190000</v>
      </c>
    </row>
    <row r="1903" spans="1:11" hidden="1" outlineLevel="2" x14ac:dyDescent="0.35">
      <c r="A1903" t="s">
        <v>354</v>
      </c>
      <c r="B1903" s="1">
        <v>45722</v>
      </c>
      <c r="C1903" t="str">
        <f>"608"</f>
        <v>608</v>
      </c>
      <c r="D1903" t="s">
        <v>649</v>
      </c>
      <c r="E1903" t="str">
        <f>"00233370"</f>
        <v>00233370</v>
      </c>
      <c r="F1903" t="str">
        <f t="shared" si="35"/>
        <v>40110000</v>
      </c>
      <c r="G1903" t="str">
        <f t="shared" si="38"/>
        <v>40110397</v>
      </c>
      <c r="H1903" t="s">
        <v>650</v>
      </c>
      <c r="I1903" s="1">
        <v>45782</v>
      </c>
      <c r="K1903" s="4">
        <v>113000</v>
      </c>
    </row>
    <row r="1904" spans="1:11" hidden="1" outlineLevel="2" x14ac:dyDescent="0.35">
      <c r="A1904" t="s">
        <v>354</v>
      </c>
      <c r="B1904" s="1">
        <v>45722</v>
      </c>
      <c r="C1904" t="str">
        <f>"609"</f>
        <v>609</v>
      </c>
      <c r="D1904" t="s">
        <v>651</v>
      </c>
      <c r="E1904" t="str">
        <f>"00233371"</f>
        <v>00233371</v>
      </c>
      <c r="F1904" t="str">
        <f t="shared" si="35"/>
        <v>40110000</v>
      </c>
      <c r="G1904" t="str">
        <f t="shared" si="38"/>
        <v>40110397</v>
      </c>
      <c r="H1904" t="s">
        <v>652</v>
      </c>
      <c r="I1904" s="1">
        <v>45782</v>
      </c>
      <c r="K1904" s="4">
        <v>340300</v>
      </c>
    </row>
    <row r="1905" spans="1:11" hidden="1" outlineLevel="2" x14ac:dyDescent="0.35">
      <c r="A1905" t="s">
        <v>354</v>
      </c>
      <c r="B1905" s="1">
        <v>45722</v>
      </c>
      <c r="C1905" t="str">
        <f>"610"</f>
        <v>610</v>
      </c>
      <c r="D1905" t="s">
        <v>653</v>
      </c>
      <c r="E1905" t="str">
        <f>"00233372"</f>
        <v>00233372</v>
      </c>
      <c r="F1905" t="str">
        <f t="shared" si="35"/>
        <v>40110000</v>
      </c>
      <c r="G1905" t="str">
        <f t="shared" si="38"/>
        <v>40110397</v>
      </c>
      <c r="H1905" t="s">
        <v>654</v>
      </c>
      <c r="I1905" s="1">
        <v>45782</v>
      </c>
      <c r="K1905" s="4">
        <v>155000</v>
      </c>
    </row>
    <row r="1906" spans="1:11" hidden="1" outlineLevel="2" x14ac:dyDescent="0.35">
      <c r="A1906" t="s">
        <v>354</v>
      </c>
      <c r="B1906" s="1">
        <v>45722</v>
      </c>
      <c r="C1906" t="str">
        <f>"611"</f>
        <v>611</v>
      </c>
      <c r="D1906" t="s">
        <v>655</v>
      </c>
      <c r="E1906" t="str">
        <f>"00233373"</f>
        <v>00233373</v>
      </c>
      <c r="F1906" t="str">
        <f t="shared" si="35"/>
        <v>40110000</v>
      </c>
      <c r="G1906" t="str">
        <f t="shared" si="38"/>
        <v>40110397</v>
      </c>
      <c r="H1906" t="s">
        <v>656</v>
      </c>
      <c r="I1906" s="1">
        <v>45782</v>
      </c>
      <c r="K1906" s="4">
        <v>600000</v>
      </c>
    </row>
    <row r="1907" spans="1:11" hidden="1" outlineLevel="2" x14ac:dyDescent="0.35">
      <c r="A1907" t="s">
        <v>354</v>
      </c>
      <c r="B1907" s="1">
        <v>45722</v>
      </c>
      <c r="C1907" t="str">
        <f>"612"</f>
        <v>612</v>
      </c>
      <c r="D1907" t="s">
        <v>657</v>
      </c>
      <c r="E1907" t="str">
        <f>"00233374"</f>
        <v>00233374</v>
      </c>
      <c r="F1907" t="str">
        <f t="shared" si="35"/>
        <v>40110000</v>
      </c>
      <c r="G1907" t="str">
        <f t="shared" si="38"/>
        <v>40110397</v>
      </c>
      <c r="H1907" t="s">
        <v>658</v>
      </c>
      <c r="I1907" s="1">
        <v>45782</v>
      </c>
      <c r="K1907" s="4">
        <v>700000</v>
      </c>
    </row>
    <row r="1908" spans="1:11" hidden="1" outlineLevel="2" x14ac:dyDescent="0.35">
      <c r="A1908" t="s">
        <v>354</v>
      </c>
      <c r="B1908" s="1">
        <v>45722</v>
      </c>
      <c r="C1908" t="str">
        <f>"613"</f>
        <v>613</v>
      </c>
      <c r="D1908" t="s">
        <v>659</v>
      </c>
      <c r="E1908" t="str">
        <f>"00233375"</f>
        <v>00233375</v>
      </c>
      <c r="F1908" t="str">
        <f t="shared" si="35"/>
        <v>40110000</v>
      </c>
      <c r="G1908" t="str">
        <f t="shared" si="38"/>
        <v>40110397</v>
      </c>
      <c r="H1908" t="s">
        <v>660</v>
      </c>
      <c r="I1908" s="1">
        <v>45782</v>
      </c>
      <c r="K1908" s="4">
        <v>400000</v>
      </c>
    </row>
    <row r="1909" spans="1:11" hidden="1" outlineLevel="2" x14ac:dyDescent="0.35">
      <c r="A1909" t="s">
        <v>354</v>
      </c>
      <c r="B1909" s="1">
        <v>45722</v>
      </c>
      <c r="C1909" t="str">
        <f>"650"</f>
        <v>650</v>
      </c>
      <c r="D1909" t="s">
        <v>661</v>
      </c>
      <c r="E1909" t="str">
        <f>"00880977"</f>
        <v>00880977</v>
      </c>
      <c r="F1909" t="str">
        <f t="shared" si="35"/>
        <v>40110000</v>
      </c>
      <c r="G1909" t="str">
        <f>"40110496"</f>
        <v>40110496</v>
      </c>
      <c r="H1909" t="s">
        <v>662</v>
      </c>
      <c r="I1909" s="1">
        <v>45722</v>
      </c>
      <c r="K1909" s="4">
        <v>34000</v>
      </c>
    </row>
    <row r="1910" spans="1:11" hidden="1" outlineLevel="2" x14ac:dyDescent="0.35">
      <c r="A1910" t="s">
        <v>354</v>
      </c>
      <c r="B1910" s="1">
        <v>45722</v>
      </c>
      <c r="C1910" t="str">
        <f>"654"</f>
        <v>654</v>
      </c>
      <c r="D1910" t="s">
        <v>663</v>
      </c>
      <c r="E1910" t="s">
        <v>664</v>
      </c>
      <c r="F1910" t="str">
        <f t="shared" si="35"/>
        <v>40110000</v>
      </c>
      <c r="G1910" t="str">
        <f>"40110603"</f>
        <v>40110603</v>
      </c>
      <c r="H1910" t="s">
        <v>665</v>
      </c>
      <c r="I1910" s="1">
        <v>45722</v>
      </c>
      <c r="K1910" s="4">
        <v>13716</v>
      </c>
    </row>
    <row r="1911" spans="1:11" hidden="1" outlineLevel="2" x14ac:dyDescent="0.35">
      <c r="A1911" t="s">
        <v>354</v>
      </c>
      <c r="B1911" s="1">
        <v>45722</v>
      </c>
      <c r="C1911" t="str">
        <f>"655"</f>
        <v>655</v>
      </c>
      <c r="D1911" t="s">
        <v>666</v>
      </c>
      <c r="E1911" t="s">
        <v>667</v>
      </c>
      <c r="F1911" t="str">
        <f t="shared" si="35"/>
        <v>40110000</v>
      </c>
      <c r="G1911" t="str">
        <f>"40110124"</f>
        <v>40110124</v>
      </c>
      <c r="H1911" t="s">
        <v>668</v>
      </c>
      <c r="I1911" s="1">
        <v>45808</v>
      </c>
      <c r="K1911" s="4">
        <v>269774</v>
      </c>
    </row>
    <row r="1912" spans="1:11" hidden="1" outlineLevel="2" x14ac:dyDescent="0.35">
      <c r="A1912" t="s">
        <v>354</v>
      </c>
      <c r="B1912" s="1">
        <v>45722</v>
      </c>
      <c r="C1912" t="str">
        <f>"657"</f>
        <v>657</v>
      </c>
      <c r="D1912" t="s">
        <v>669</v>
      </c>
      <c r="E1912" t="s">
        <v>670</v>
      </c>
      <c r="F1912" t="str">
        <f t="shared" si="35"/>
        <v>40110000</v>
      </c>
      <c r="G1912" t="str">
        <f>"40110010"</f>
        <v>40110010</v>
      </c>
      <c r="H1912" t="s">
        <v>671</v>
      </c>
      <c r="I1912" s="1">
        <v>45838</v>
      </c>
      <c r="K1912" s="4">
        <v>220655</v>
      </c>
    </row>
    <row r="1913" spans="1:11" hidden="1" outlineLevel="2" x14ac:dyDescent="0.35">
      <c r="A1913" t="s">
        <v>354</v>
      </c>
      <c r="B1913" s="1">
        <v>45726</v>
      </c>
      <c r="C1913" t="str">
        <f>"537"</f>
        <v>537</v>
      </c>
      <c r="D1913" t="s">
        <v>672</v>
      </c>
      <c r="E1913" t="s">
        <v>673</v>
      </c>
      <c r="F1913" t="str">
        <f t="shared" si="35"/>
        <v>40110000</v>
      </c>
      <c r="G1913" t="str">
        <f>"40111012"</f>
        <v>40111012</v>
      </c>
      <c r="H1913" t="s">
        <v>674</v>
      </c>
      <c r="I1913" s="1">
        <v>45786</v>
      </c>
      <c r="K1913" s="4">
        <v>67115</v>
      </c>
    </row>
    <row r="1914" spans="1:11" hidden="1" outlineLevel="2" x14ac:dyDescent="0.35">
      <c r="A1914" t="s">
        <v>354</v>
      </c>
      <c r="B1914" s="1">
        <v>45726</v>
      </c>
      <c r="C1914" t="str">
        <f>"539"</f>
        <v>539</v>
      </c>
      <c r="D1914" t="s">
        <v>675</v>
      </c>
      <c r="E1914" t="s">
        <v>676</v>
      </c>
      <c r="F1914" t="str">
        <f t="shared" si="35"/>
        <v>40110000</v>
      </c>
      <c r="G1914" t="str">
        <f>"40111060"</f>
        <v>40111060</v>
      </c>
      <c r="H1914" t="s">
        <v>677</v>
      </c>
      <c r="I1914" s="1">
        <v>45726</v>
      </c>
      <c r="K1914" s="4">
        <v>267746</v>
      </c>
    </row>
    <row r="1915" spans="1:11" hidden="1" outlineLevel="2" x14ac:dyDescent="0.35">
      <c r="A1915" t="s">
        <v>354</v>
      </c>
      <c r="B1915" s="1">
        <v>45726</v>
      </c>
      <c r="C1915" t="str">
        <f>"540"</f>
        <v>540</v>
      </c>
      <c r="D1915" t="s">
        <v>678</v>
      </c>
      <c r="E1915" t="str">
        <f>"0000256"</f>
        <v>0000256</v>
      </c>
      <c r="F1915" t="str">
        <f t="shared" si="35"/>
        <v>40110000</v>
      </c>
      <c r="G1915" t="str">
        <f>"40110625"</f>
        <v>40110625</v>
      </c>
      <c r="H1915" t="s">
        <v>679</v>
      </c>
      <c r="I1915" s="1">
        <v>45756</v>
      </c>
      <c r="K1915" s="4">
        <v>122386</v>
      </c>
    </row>
    <row r="1916" spans="1:11" hidden="1" outlineLevel="2" x14ac:dyDescent="0.35">
      <c r="A1916" t="s">
        <v>354</v>
      </c>
      <c r="B1916" s="1">
        <v>45726</v>
      </c>
      <c r="C1916" t="str">
        <f>"541"</f>
        <v>541</v>
      </c>
      <c r="D1916" t="s">
        <v>680</v>
      </c>
      <c r="E1916" t="str">
        <f>"0000267"</f>
        <v>0000267</v>
      </c>
      <c r="F1916" t="str">
        <f t="shared" si="35"/>
        <v>40110000</v>
      </c>
      <c r="G1916" t="str">
        <f>"40110625"</f>
        <v>40110625</v>
      </c>
      <c r="H1916" t="s">
        <v>681</v>
      </c>
      <c r="I1916" s="1">
        <v>45756</v>
      </c>
      <c r="K1916" s="4">
        <v>150000</v>
      </c>
    </row>
    <row r="1917" spans="1:11" hidden="1" outlineLevel="2" x14ac:dyDescent="0.35">
      <c r="A1917" t="s">
        <v>354</v>
      </c>
      <c r="B1917" s="1">
        <v>45726</v>
      </c>
      <c r="C1917" t="str">
        <f>"542"</f>
        <v>542</v>
      </c>
      <c r="D1917" t="s">
        <v>682</v>
      </c>
      <c r="E1917" t="str">
        <f>"0000304"</f>
        <v>0000304</v>
      </c>
      <c r="F1917" t="str">
        <f t="shared" si="35"/>
        <v>40110000</v>
      </c>
      <c r="G1917" t="str">
        <f>"40110625"</f>
        <v>40110625</v>
      </c>
      <c r="H1917" t="s">
        <v>683</v>
      </c>
      <c r="I1917" s="1">
        <v>45756</v>
      </c>
      <c r="K1917" s="4">
        <v>774589</v>
      </c>
    </row>
    <row r="1918" spans="1:11" hidden="1" outlineLevel="2" x14ac:dyDescent="0.35">
      <c r="A1918" t="s">
        <v>354</v>
      </c>
      <c r="B1918" s="1">
        <v>45726</v>
      </c>
      <c r="C1918" t="str">
        <f>"543"</f>
        <v>543</v>
      </c>
      <c r="D1918" t="s">
        <v>684</v>
      </c>
      <c r="E1918" t="str">
        <f>"0000305"</f>
        <v>0000305</v>
      </c>
      <c r="F1918" t="str">
        <f t="shared" si="35"/>
        <v>40110000</v>
      </c>
      <c r="G1918" t="str">
        <f>"40110625"</f>
        <v>40110625</v>
      </c>
      <c r="H1918" t="s">
        <v>685</v>
      </c>
      <c r="I1918" s="1">
        <v>45756</v>
      </c>
      <c r="K1918" s="4">
        <v>177458</v>
      </c>
    </row>
    <row r="1919" spans="1:11" hidden="1" outlineLevel="2" x14ac:dyDescent="0.35">
      <c r="A1919" t="s">
        <v>354</v>
      </c>
      <c r="B1919" s="1">
        <v>45726</v>
      </c>
      <c r="C1919" t="str">
        <f>"554"</f>
        <v>554</v>
      </c>
      <c r="D1919" t="s">
        <v>686</v>
      </c>
      <c r="E1919" t="s">
        <v>687</v>
      </c>
      <c r="F1919" t="str">
        <f t="shared" si="35"/>
        <v>40110000</v>
      </c>
      <c r="G1919" t="str">
        <f t="shared" ref="G1919:G1925" si="39">"40110049"</f>
        <v>40110049</v>
      </c>
      <c r="H1919" t="s">
        <v>688</v>
      </c>
      <c r="I1919" s="1">
        <v>45786</v>
      </c>
      <c r="K1919" s="4">
        <v>88205</v>
      </c>
    </row>
    <row r="1920" spans="1:11" hidden="1" outlineLevel="2" x14ac:dyDescent="0.35">
      <c r="A1920" t="s">
        <v>354</v>
      </c>
      <c r="B1920" s="1">
        <v>45726</v>
      </c>
      <c r="C1920" t="str">
        <f>"555"</f>
        <v>555</v>
      </c>
      <c r="D1920" t="s">
        <v>689</v>
      </c>
      <c r="E1920" t="s">
        <v>690</v>
      </c>
      <c r="F1920" t="str">
        <f t="shared" si="35"/>
        <v>40110000</v>
      </c>
      <c r="G1920" t="str">
        <f t="shared" si="39"/>
        <v>40110049</v>
      </c>
      <c r="H1920" t="s">
        <v>691</v>
      </c>
      <c r="I1920" s="1">
        <v>45786</v>
      </c>
      <c r="K1920" s="4">
        <v>582997</v>
      </c>
    </row>
    <row r="1921" spans="1:11" hidden="1" outlineLevel="2" x14ac:dyDescent="0.35">
      <c r="A1921" t="s">
        <v>354</v>
      </c>
      <c r="B1921" s="1">
        <v>45726</v>
      </c>
      <c r="C1921" t="str">
        <f>"556"</f>
        <v>556</v>
      </c>
      <c r="D1921" t="s">
        <v>692</v>
      </c>
      <c r="E1921" t="s">
        <v>693</v>
      </c>
      <c r="F1921" t="str">
        <f t="shared" si="35"/>
        <v>40110000</v>
      </c>
      <c r="G1921" t="str">
        <f t="shared" si="39"/>
        <v>40110049</v>
      </c>
      <c r="H1921" t="s">
        <v>694</v>
      </c>
      <c r="I1921" s="1">
        <v>45786</v>
      </c>
      <c r="K1921" s="4">
        <v>421850</v>
      </c>
    </row>
    <row r="1922" spans="1:11" hidden="1" outlineLevel="2" x14ac:dyDescent="0.35">
      <c r="A1922" t="s">
        <v>354</v>
      </c>
      <c r="B1922" s="1">
        <v>45726</v>
      </c>
      <c r="C1922" t="str">
        <f>"557"</f>
        <v>557</v>
      </c>
      <c r="D1922" t="s">
        <v>695</v>
      </c>
      <c r="E1922" t="s">
        <v>696</v>
      </c>
      <c r="F1922" t="str">
        <f t="shared" ref="F1922:F1985" si="40">"40110000"</f>
        <v>40110000</v>
      </c>
      <c r="G1922" t="str">
        <f t="shared" si="39"/>
        <v>40110049</v>
      </c>
      <c r="H1922" t="s">
        <v>697</v>
      </c>
      <c r="I1922" s="1">
        <v>45786</v>
      </c>
      <c r="K1922" s="4">
        <v>43324</v>
      </c>
    </row>
    <row r="1923" spans="1:11" hidden="1" outlineLevel="2" x14ac:dyDescent="0.35">
      <c r="A1923" t="s">
        <v>354</v>
      </c>
      <c r="B1923" s="1">
        <v>45726</v>
      </c>
      <c r="C1923" t="str">
        <f>"558"</f>
        <v>558</v>
      </c>
      <c r="D1923" t="s">
        <v>698</v>
      </c>
      <c r="E1923" t="s">
        <v>699</v>
      </c>
      <c r="F1923" t="str">
        <f t="shared" si="40"/>
        <v>40110000</v>
      </c>
      <c r="G1923" t="str">
        <f t="shared" si="39"/>
        <v>40110049</v>
      </c>
      <c r="H1923" t="s">
        <v>700</v>
      </c>
      <c r="I1923" s="1">
        <v>45786</v>
      </c>
      <c r="K1923" s="4">
        <v>67540</v>
      </c>
    </row>
    <row r="1924" spans="1:11" hidden="1" outlineLevel="2" x14ac:dyDescent="0.35">
      <c r="A1924" t="s">
        <v>354</v>
      </c>
      <c r="B1924" s="1">
        <v>45726</v>
      </c>
      <c r="C1924" t="str">
        <f>"559"</f>
        <v>559</v>
      </c>
      <c r="D1924" t="s">
        <v>701</v>
      </c>
      <c r="E1924" t="s">
        <v>702</v>
      </c>
      <c r="F1924" t="str">
        <f t="shared" si="40"/>
        <v>40110000</v>
      </c>
      <c r="G1924" t="str">
        <f t="shared" si="39"/>
        <v>40110049</v>
      </c>
      <c r="H1924" t="s">
        <v>703</v>
      </c>
      <c r="I1924" s="1">
        <v>45786</v>
      </c>
      <c r="K1924" s="4">
        <v>35070</v>
      </c>
    </row>
    <row r="1925" spans="1:11" hidden="1" outlineLevel="2" x14ac:dyDescent="0.35">
      <c r="A1925" t="s">
        <v>354</v>
      </c>
      <c r="B1925" s="1">
        <v>45726</v>
      </c>
      <c r="C1925" t="str">
        <f>"564"</f>
        <v>564</v>
      </c>
      <c r="D1925" t="s">
        <v>704</v>
      </c>
      <c r="E1925" t="s">
        <v>705</v>
      </c>
      <c r="F1925" t="str">
        <f t="shared" si="40"/>
        <v>40110000</v>
      </c>
      <c r="G1925" t="str">
        <f t="shared" si="39"/>
        <v>40110049</v>
      </c>
      <c r="H1925" t="s">
        <v>706</v>
      </c>
      <c r="I1925" s="1">
        <v>45786</v>
      </c>
      <c r="K1925" s="4">
        <v>598260</v>
      </c>
    </row>
    <row r="1926" spans="1:11" hidden="1" outlineLevel="2" x14ac:dyDescent="0.35">
      <c r="A1926" t="s">
        <v>354</v>
      </c>
      <c r="B1926" s="1">
        <v>45726</v>
      </c>
      <c r="C1926" t="str">
        <f>"580"</f>
        <v>580</v>
      </c>
      <c r="D1926" t="s">
        <v>707</v>
      </c>
      <c r="E1926" t="str">
        <f>"9666425"</f>
        <v>9666425</v>
      </c>
      <c r="F1926" t="str">
        <f t="shared" si="40"/>
        <v>40110000</v>
      </c>
      <c r="G1926" t="str">
        <f>"40110493"</f>
        <v>40110493</v>
      </c>
      <c r="H1926" t="s">
        <v>708</v>
      </c>
      <c r="I1926" s="1">
        <v>45726</v>
      </c>
      <c r="K1926" s="4">
        <v>44000</v>
      </c>
    </row>
    <row r="1927" spans="1:11" hidden="1" outlineLevel="2" x14ac:dyDescent="0.35">
      <c r="A1927" t="s">
        <v>354</v>
      </c>
      <c r="B1927" s="1">
        <v>45726</v>
      </c>
      <c r="C1927" t="str">
        <f>"586"</f>
        <v>586</v>
      </c>
      <c r="D1927" t="s">
        <v>709</v>
      </c>
      <c r="E1927" t="str">
        <f>"966431"</f>
        <v>966431</v>
      </c>
      <c r="F1927" t="str">
        <f t="shared" si="40"/>
        <v>40110000</v>
      </c>
      <c r="G1927" t="str">
        <f>"40110493"</f>
        <v>40110493</v>
      </c>
      <c r="H1927" t="s">
        <v>710</v>
      </c>
      <c r="I1927" s="1">
        <v>45726</v>
      </c>
      <c r="K1927" s="4">
        <v>53000</v>
      </c>
    </row>
    <row r="1928" spans="1:11" hidden="1" outlineLevel="2" x14ac:dyDescent="0.35">
      <c r="A1928" t="s">
        <v>354</v>
      </c>
      <c r="B1928" s="1">
        <v>45726</v>
      </c>
      <c r="C1928" t="str">
        <f>"589"</f>
        <v>589</v>
      </c>
      <c r="D1928" t="s">
        <v>711</v>
      </c>
      <c r="E1928" t="str">
        <f>"966444"</f>
        <v>966444</v>
      </c>
      <c r="F1928" t="str">
        <f t="shared" si="40"/>
        <v>40110000</v>
      </c>
      <c r="G1928" t="str">
        <f>"40110493"</f>
        <v>40110493</v>
      </c>
      <c r="H1928" t="s">
        <v>712</v>
      </c>
      <c r="I1928" s="1">
        <v>45726</v>
      </c>
      <c r="K1928" s="4">
        <v>20000</v>
      </c>
    </row>
    <row r="1929" spans="1:11" hidden="1" outlineLevel="2" x14ac:dyDescent="0.35">
      <c r="A1929" t="s">
        <v>354</v>
      </c>
      <c r="B1929" s="1">
        <v>45726</v>
      </c>
      <c r="C1929" t="str">
        <f>"590"</f>
        <v>590</v>
      </c>
      <c r="D1929" t="s">
        <v>713</v>
      </c>
      <c r="E1929" t="str">
        <f>"966446"</f>
        <v>966446</v>
      </c>
      <c r="F1929" t="str">
        <f t="shared" si="40"/>
        <v>40110000</v>
      </c>
      <c r="G1929" t="str">
        <f>"40110493"</f>
        <v>40110493</v>
      </c>
      <c r="H1929" t="s">
        <v>714</v>
      </c>
      <c r="I1929" s="1">
        <v>45726</v>
      </c>
      <c r="K1929" s="4">
        <v>32000</v>
      </c>
    </row>
    <row r="1930" spans="1:11" hidden="1" outlineLevel="2" x14ac:dyDescent="0.35">
      <c r="A1930" t="s">
        <v>354</v>
      </c>
      <c r="B1930" s="1">
        <v>45726</v>
      </c>
      <c r="C1930" t="str">
        <f>"614"</f>
        <v>614</v>
      </c>
      <c r="D1930" t="s">
        <v>715</v>
      </c>
      <c r="E1930" t="str">
        <f>"00233376"</f>
        <v>00233376</v>
      </c>
      <c r="F1930" t="str">
        <f t="shared" si="40"/>
        <v>40110000</v>
      </c>
      <c r="G1930" t="str">
        <f t="shared" ref="G1930:G1943" si="41">"40110397"</f>
        <v>40110397</v>
      </c>
      <c r="H1930" t="s">
        <v>716</v>
      </c>
      <c r="I1930" s="1">
        <v>45786</v>
      </c>
      <c r="K1930" s="4">
        <v>750000</v>
      </c>
    </row>
    <row r="1931" spans="1:11" hidden="1" outlineLevel="2" x14ac:dyDescent="0.35">
      <c r="A1931" t="s">
        <v>354</v>
      </c>
      <c r="B1931" s="1">
        <v>45726</v>
      </c>
      <c r="C1931" t="str">
        <f>"615"</f>
        <v>615</v>
      </c>
      <c r="D1931" t="s">
        <v>717</v>
      </c>
      <c r="E1931" t="str">
        <f>"00233377"</f>
        <v>00233377</v>
      </c>
      <c r="F1931" t="str">
        <f t="shared" si="40"/>
        <v>40110000</v>
      </c>
      <c r="G1931" t="str">
        <f t="shared" si="41"/>
        <v>40110397</v>
      </c>
      <c r="H1931" t="s">
        <v>718</v>
      </c>
      <c r="I1931" s="1">
        <v>45786</v>
      </c>
      <c r="K1931" s="4">
        <v>510000</v>
      </c>
    </row>
    <row r="1932" spans="1:11" hidden="1" outlineLevel="2" x14ac:dyDescent="0.35">
      <c r="A1932" t="s">
        <v>354</v>
      </c>
      <c r="B1932" s="1">
        <v>45726</v>
      </c>
      <c r="C1932" t="str">
        <f>"616"</f>
        <v>616</v>
      </c>
      <c r="D1932" t="s">
        <v>719</v>
      </c>
      <c r="E1932" t="str">
        <f>"00233378"</f>
        <v>00233378</v>
      </c>
      <c r="F1932" t="str">
        <f t="shared" si="40"/>
        <v>40110000</v>
      </c>
      <c r="G1932" t="str">
        <f t="shared" si="41"/>
        <v>40110397</v>
      </c>
      <c r="H1932" t="s">
        <v>720</v>
      </c>
      <c r="I1932" s="1">
        <v>45786</v>
      </c>
      <c r="K1932" s="4">
        <v>2100000</v>
      </c>
    </row>
    <row r="1933" spans="1:11" hidden="1" outlineLevel="2" x14ac:dyDescent="0.35">
      <c r="A1933" t="s">
        <v>354</v>
      </c>
      <c r="B1933" s="1">
        <v>45726</v>
      </c>
      <c r="C1933" t="str">
        <f>"617"</f>
        <v>617</v>
      </c>
      <c r="D1933" t="s">
        <v>721</v>
      </c>
      <c r="E1933" t="str">
        <f>"00233379"</f>
        <v>00233379</v>
      </c>
      <c r="F1933" t="str">
        <f t="shared" si="40"/>
        <v>40110000</v>
      </c>
      <c r="G1933" t="str">
        <f t="shared" si="41"/>
        <v>40110397</v>
      </c>
      <c r="H1933" t="s">
        <v>722</v>
      </c>
      <c r="I1933" s="1">
        <v>45786</v>
      </c>
      <c r="K1933" s="4">
        <v>90000</v>
      </c>
    </row>
    <row r="1934" spans="1:11" hidden="1" outlineLevel="2" x14ac:dyDescent="0.35">
      <c r="A1934" t="s">
        <v>354</v>
      </c>
      <c r="B1934" s="1">
        <v>45726</v>
      </c>
      <c r="C1934" t="str">
        <f>"618"</f>
        <v>618</v>
      </c>
      <c r="D1934" t="s">
        <v>723</v>
      </c>
      <c r="E1934" t="str">
        <f>"00233380"</f>
        <v>00233380</v>
      </c>
      <c r="F1934" t="str">
        <f t="shared" si="40"/>
        <v>40110000</v>
      </c>
      <c r="G1934" t="str">
        <f t="shared" si="41"/>
        <v>40110397</v>
      </c>
      <c r="H1934" t="s">
        <v>724</v>
      </c>
      <c r="I1934" s="1">
        <v>45786</v>
      </c>
      <c r="K1934" s="4">
        <v>2200000</v>
      </c>
    </row>
    <row r="1935" spans="1:11" hidden="1" outlineLevel="2" x14ac:dyDescent="0.35">
      <c r="A1935" t="s">
        <v>354</v>
      </c>
      <c r="B1935" s="1">
        <v>45726</v>
      </c>
      <c r="C1935" t="str">
        <f>"619"</f>
        <v>619</v>
      </c>
      <c r="D1935" t="s">
        <v>725</v>
      </c>
      <c r="E1935" t="str">
        <f>"00233381"</f>
        <v>00233381</v>
      </c>
      <c r="F1935" t="str">
        <f t="shared" si="40"/>
        <v>40110000</v>
      </c>
      <c r="G1935" t="str">
        <f t="shared" si="41"/>
        <v>40110397</v>
      </c>
      <c r="H1935" t="s">
        <v>726</v>
      </c>
      <c r="I1935" s="1">
        <v>45786</v>
      </c>
      <c r="K1935" s="4">
        <v>430000</v>
      </c>
    </row>
    <row r="1936" spans="1:11" hidden="1" outlineLevel="2" x14ac:dyDescent="0.35">
      <c r="A1936" t="s">
        <v>354</v>
      </c>
      <c r="B1936" s="1">
        <v>45726</v>
      </c>
      <c r="C1936" t="str">
        <f>"620"</f>
        <v>620</v>
      </c>
      <c r="D1936" t="s">
        <v>727</v>
      </c>
      <c r="E1936" t="str">
        <f>"00233382"</f>
        <v>00233382</v>
      </c>
      <c r="F1936" t="str">
        <f t="shared" si="40"/>
        <v>40110000</v>
      </c>
      <c r="G1936" t="str">
        <f t="shared" si="41"/>
        <v>40110397</v>
      </c>
      <c r="H1936" t="s">
        <v>728</v>
      </c>
      <c r="I1936" s="1">
        <v>45786</v>
      </c>
      <c r="K1936" s="4">
        <v>555000</v>
      </c>
    </row>
    <row r="1937" spans="1:11" hidden="1" outlineLevel="2" x14ac:dyDescent="0.35">
      <c r="A1937" t="s">
        <v>354</v>
      </c>
      <c r="B1937" s="1">
        <v>45726</v>
      </c>
      <c r="C1937" t="str">
        <f>"621"</f>
        <v>621</v>
      </c>
      <c r="D1937" t="s">
        <v>729</v>
      </c>
      <c r="E1937" t="str">
        <f>"00233383"</f>
        <v>00233383</v>
      </c>
      <c r="F1937" t="str">
        <f t="shared" si="40"/>
        <v>40110000</v>
      </c>
      <c r="G1937" t="str">
        <f t="shared" si="41"/>
        <v>40110397</v>
      </c>
      <c r="H1937" t="s">
        <v>730</v>
      </c>
      <c r="I1937" s="1">
        <v>45786</v>
      </c>
      <c r="K1937" s="4">
        <v>1845000</v>
      </c>
    </row>
    <row r="1938" spans="1:11" hidden="1" outlineLevel="2" x14ac:dyDescent="0.35">
      <c r="A1938" t="s">
        <v>354</v>
      </c>
      <c r="B1938" s="1">
        <v>45726</v>
      </c>
      <c r="C1938" t="str">
        <f>"622"</f>
        <v>622</v>
      </c>
      <c r="D1938" t="s">
        <v>731</v>
      </c>
      <c r="E1938" t="str">
        <f>"00233384"</f>
        <v>00233384</v>
      </c>
      <c r="F1938" t="str">
        <f t="shared" si="40"/>
        <v>40110000</v>
      </c>
      <c r="G1938" t="str">
        <f t="shared" si="41"/>
        <v>40110397</v>
      </c>
      <c r="H1938" t="s">
        <v>732</v>
      </c>
      <c r="I1938" s="1">
        <v>45786</v>
      </c>
      <c r="K1938" s="4">
        <v>240000</v>
      </c>
    </row>
    <row r="1939" spans="1:11" hidden="1" outlineLevel="2" x14ac:dyDescent="0.35">
      <c r="A1939" t="s">
        <v>354</v>
      </c>
      <c r="B1939" s="1">
        <v>45726</v>
      </c>
      <c r="C1939" t="str">
        <f>"623"</f>
        <v>623</v>
      </c>
      <c r="D1939" t="s">
        <v>733</v>
      </c>
      <c r="E1939" t="str">
        <f>"00233385"</f>
        <v>00233385</v>
      </c>
      <c r="F1939" t="str">
        <f t="shared" si="40"/>
        <v>40110000</v>
      </c>
      <c r="G1939" t="str">
        <f t="shared" si="41"/>
        <v>40110397</v>
      </c>
      <c r="H1939" t="s">
        <v>734</v>
      </c>
      <c r="I1939" s="1">
        <v>45786</v>
      </c>
      <c r="K1939" s="4">
        <v>1005000</v>
      </c>
    </row>
    <row r="1940" spans="1:11" hidden="1" outlineLevel="2" x14ac:dyDescent="0.35">
      <c r="A1940" t="s">
        <v>354</v>
      </c>
      <c r="B1940" s="1">
        <v>45726</v>
      </c>
      <c r="C1940" t="str">
        <f>"624"</f>
        <v>624</v>
      </c>
      <c r="D1940" t="s">
        <v>735</v>
      </c>
      <c r="E1940" t="str">
        <f>"00233386"</f>
        <v>00233386</v>
      </c>
      <c r="F1940" t="str">
        <f t="shared" si="40"/>
        <v>40110000</v>
      </c>
      <c r="G1940" t="str">
        <f t="shared" si="41"/>
        <v>40110397</v>
      </c>
      <c r="H1940" t="s">
        <v>736</v>
      </c>
      <c r="I1940" s="1">
        <v>45786</v>
      </c>
      <c r="K1940" s="4">
        <v>113000</v>
      </c>
    </row>
    <row r="1941" spans="1:11" hidden="1" outlineLevel="2" x14ac:dyDescent="0.35">
      <c r="A1941" t="s">
        <v>354</v>
      </c>
      <c r="B1941" s="1">
        <v>45726</v>
      </c>
      <c r="C1941" t="str">
        <f>"625"</f>
        <v>625</v>
      </c>
      <c r="D1941" t="s">
        <v>737</v>
      </c>
      <c r="E1941" t="str">
        <f>"00233387"</f>
        <v>00233387</v>
      </c>
      <c r="F1941" t="str">
        <f t="shared" si="40"/>
        <v>40110000</v>
      </c>
      <c r="G1941" t="str">
        <f t="shared" si="41"/>
        <v>40110397</v>
      </c>
      <c r="H1941" t="s">
        <v>738</v>
      </c>
      <c r="I1941" s="1">
        <v>45786</v>
      </c>
      <c r="K1941" s="4">
        <v>125300</v>
      </c>
    </row>
    <row r="1942" spans="1:11" hidden="1" outlineLevel="2" x14ac:dyDescent="0.35">
      <c r="A1942" t="s">
        <v>354</v>
      </c>
      <c r="B1942" s="1">
        <v>45726</v>
      </c>
      <c r="C1942" t="str">
        <f>"626"</f>
        <v>626</v>
      </c>
      <c r="D1942" t="s">
        <v>739</v>
      </c>
      <c r="E1942" t="str">
        <f>"00233388"</f>
        <v>00233388</v>
      </c>
      <c r="F1942" t="str">
        <f t="shared" si="40"/>
        <v>40110000</v>
      </c>
      <c r="G1942" t="str">
        <f t="shared" si="41"/>
        <v>40110397</v>
      </c>
      <c r="H1942" t="s">
        <v>740</v>
      </c>
      <c r="I1942" s="1">
        <v>45786</v>
      </c>
      <c r="K1942" s="4">
        <v>73000</v>
      </c>
    </row>
    <row r="1943" spans="1:11" hidden="1" outlineLevel="2" x14ac:dyDescent="0.35">
      <c r="A1943" t="s">
        <v>354</v>
      </c>
      <c r="B1943" s="1">
        <v>45726</v>
      </c>
      <c r="C1943" t="str">
        <f>"627"</f>
        <v>627</v>
      </c>
      <c r="D1943" t="s">
        <v>741</v>
      </c>
      <c r="E1943" t="str">
        <f>"00233390"</f>
        <v>00233390</v>
      </c>
      <c r="F1943" t="str">
        <f t="shared" si="40"/>
        <v>40110000</v>
      </c>
      <c r="G1943" t="str">
        <f t="shared" si="41"/>
        <v>40110397</v>
      </c>
      <c r="H1943" t="s">
        <v>742</v>
      </c>
      <c r="I1943" s="1">
        <v>45786</v>
      </c>
      <c r="K1943" s="4">
        <v>1435000</v>
      </c>
    </row>
    <row r="1944" spans="1:11" hidden="1" outlineLevel="2" x14ac:dyDescent="0.35">
      <c r="A1944" t="s">
        <v>354</v>
      </c>
      <c r="B1944" s="1">
        <v>45726</v>
      </c>
      <c r="C1944" t="str">
        <f>"676"</f>
        <v>676</v>
      </c>
      <c r="D1944" t="s">
        <v>743</v>
      </c>
      <c r="E1944" t="s">
        <v>744</v>
      </c>
      <c r="F1944" t="str">
        <f t="shared" si="40"/>
        <v>40110000</v>
      </c>
      <c r="G1944" t="str">
        <f>"40111060"</f>
        <v>40111060</v>
      </c>
      <c r="H1944" t="s">
        <v>745</v>
      </c>
      <c r="I1944" s="1">
        <v>45726</v>
      </c>
      <c r="K1944" s="4">
        <v>244857</v>
      </c>
    </row>
    <row r="1945" spans="1:11" hidden="1" outlineLevel="2" x14ac:dyDescent="0.35">
      <c r="A1945" t="s">
        <v>354</v>
      </c>
      <c r="B1945" s="1">
        <v>45726</v>
      </c>
      <c r="C1945" t="str">
        <f>"751"</f>
        <v>751</v>
      </c>
      <c r="D1945" t="s">
        <v>746</v>
      </c>
      <c r="E1945" t="str">
        <f>"000405"</f>
        <v>000405</v>
      </c>
      <c r="F1945" t="str">
        <f t="shared" si="40"/>
        <v>40110000</v>
      </c>
      <c r="G1945" t="str">
        <f>"40110572"</f>
        <v>40110572</v>
      </c>
      <c r="H1945" t="s">
        <v>747</v>
      </c>
      <c r="I1945" s="1">
        <v>45808</v>
      </c>
      <c r="K1945" s="4">
        <v>220000</v>
      </c>
    </row>
    <row r="1946" spans="1:11" hidden="1" outlineLevel="2" x14ac:dyDescent="0.35">
      <c r="A1946" t="s">
        <v>354</v>
      </c>
      <c r="B1946" s="1">
        <v>45728</v>
      </c>
      <c r="C1946" t="str">
        <f>"658"</f>
        <v>658</v>
      </c>
      <c r="D1946" t="s">
        <v>748</v>
      </c>
      <c r="E1946" t="s">
        <v>749</v>
      </c>
      <c r="F1946" t="str">
        <f t="shared" si="40"/>
        <v>40110000</v>
      </c>
      <c r="G1946" t="str">
        <f>"40110038"</f>
        <v>40110038</v>
      </c>
      <c r="H1946" t="s">
        <v>750</v>
      </c>
      <c r="I1946" s="1">
        <v>45728</v>
      </c>
      <c r="K1946" s="4">
        <v>17110</v>
      </c>
    </row>
    <row r="1947" spans="1:11" hidden="1" outlineLevel="2" x14ac:dyDescent="0.35">
      <c r="A1947" t="s">
        <v>354</v>
      </c>
      <c r="B1947" s="1">
        <v>45728</v>
      </c>
      <c r="C1947" t="str">
        <f>"659"</f>
        <v>659</v>
      </c>
      <c r="D1947" t="s">
        <v>751</v>
      </c>
      <c r="E1947" t="s">
        <v>752</v>
      </c>
      <c r="F1947" t="str">
        <f t="shared" si="40"/>
        <v>40110000</v>
      </c>
      <c r="G1947" t="str">
        <f>"40110038"</f>
        <v>40110038</v>
      </c>
      <c r="H1947" t="s">
        <v>753</v>
      </c>
      <c r="I1947" s="1">
        <v>45728</v>
      </c>
      <c r="K1947" s="4">
        <v>147500</v>
      </c>
    </row>
    <row r="1948" spans="1:11" hidden="1" outlineLevel="2" x14ac:dyDescent="0.35">
      <c r="A1948" t="s">
        <v>354</v>
      </c>
      <c r="B1948" s="1">
        <v>45728</v>
      </c>
      <c r="C1948" t="str">
        <f>"660"</f>
        <v>660</v>
      </c>
      <c r="D1948" t="s">
        <v>754</v>
      </c>
      <c r="E1948" t="s">
        <v>755</v>
      </c>
      <c r="F1948" t="str">
        <f t="shared" si="40"/>
        <v>40110000</v>
      </c>
      <c r="G1948" t="str">
        <f>"40112098"</f>
        <v>40112098</v>
      </c>
      <c r="H1948" t="s">
        <v>756</v>
      </c>
      <c r="I1948" s="1">
        <v>45758</v>
      </c>
      <c r="K1948" s="4">
        <v>8496</v>
      </c>
    </row>
    <row r="1949" spans="1:11" hidden="1" outlineLevel="2" x14ac:dyDescent="0.35">
      <c r="A1949" t="s">
        <v>354</v>
      </c>
      <c r="B1949" s="1">
        <v>45728</v>
      </c>
      <c r="C1949" t="str">
        <f>"661"</f>
        <v>661</v>
      </c>
      <c r="D1949" t="s">
        <v>757</v>
      </c>
      <c r="E1949" t="s">
        <v>758</v>
      </c>
      <c r="F1949" t="str">
        <f t="shared" si="40"/>
        <v>40110000</v>
      </c>
      <c r="G1949" t="str">
        <f>"40112098"</f>
        <v>40112098</v>
      </c>
      <c r="H1949" t="s">
        <v>759</v>
      </c>
      <c r="I1949" s="1">
        <v>45758</v>
      </c>
      <c r="K1949" s="4">
        <v>176292</v>
      </c>
    </row>
    <row r="1950" spans="1:11" hidden="1" outlineLevel="2" x14ac:dyDescent="0.35">
      <c r="A1950" t="s">
        <v>354</v>
      </c>
      <c r="B1950" s="1">
        <v>45728</v>
      </c>
      <c r="C1950" t="str">
        <f>"662"</f>
        <v>662</v>
      </c>
      <c r="D1950" t="s">
        <v>760</v>
      </c>
      <c r="E1950" t="s">
        <v>761</v>
      </c>
      <c r="F1950" t="str">
        <f t="shared" si="40"/>
        <v>40110000</v>
      </c>
      <c r="G1950" t="str">
        <f>"40112098"</f>
        <v>40112098</v>
      </c>
      <c r="H1950" t="s">
        <v>762</v>
      </c>
      <c r="I1950" s="1">
        <v>45758</v>
      </c>
      <c r="K1950" s="4">
        <v>215302</v>
      </c>
    </row>
    <row r="1951" spans="1:11" hidden="1" outlineLevel="2" x14ac:dyDescent="0.35">
      <c r="A1951" t="s">
        <v>354</v>
      </c>
      <c r="B1951" s="1">
        <v>45728</v>
      </c>
      <c r="C1951" t="str">
        <f>"807"</f>
        <v>807</v>
      </c>
      <c r="D1951" t="s">
        <v>763</v>
      </c>
      <c r="E1951" t="s">
        <v>764</v>
      </c>
      <c r="F1951" t="str">
        <f t="shared" si="40"/>
        <v>40110000</v>
      </c>
      <c r="G1951" t="str">
        <f>"40110038"</f>
        <v>40110038</v>
      </c>
      <c r="H1951" t="s">
        <v>765</v>
      </c>
      <c r="I1951" s="1">
        <v>45808</v>
      </c>
      <c r="K1951" s="4">
        <v>106200</v>
      </c>
    </row>
    <row r="1952" spans="1:11" hidden="1" outlineLevel="2" x14ac:dyDescent="0.35">
      <c r="A1952" t="s">
        <v>354</v>
      </c>
      <c r="B1952" s="1">
        <v>45729</v>
      </c>
      <c r="C1952" t="str">
        <f>"629"</f>
        <v>629</v>
      </c>
      <c r="D1952" t="s">
        <v>766</v>
      </c>
      <c r="E1952" t="str">
        <f>"00233362"</f>
        <v>00233362</v>
      </c>
      <c r="F1952" t="str">
        <f t="shared" si="40"/>
        <v>40110000</v>
      </c>
      <c r="G1952" t="str">
        <f t="shared" ref="G1952:G1972" si="42">"40110397"</f>
        <v>40110397</v>
      </c>
      <c r="H1952" t="s">
        <v>767</v>
      </c>
      <c r="I1952" s="1">
        <v>45789</v>
      </c>
      <c r="K1952" s="4">
        <v>111000</v>
      </c>
    </row>
    <row r="1953" spans="1:11" hidden="1" outlineLevel="2" x14ac:dyDescent="0.35">
      <c r="A1953" t="s">
        <v>354</v>
      </c>
      <c r="B1953" s="1">
        <v>45729</v>
      </c>
      <c r="C1953" t="str">
        <f>"630"</f>
        <v>630</v>
      </c>
      <c r="D1953" t="s">
        <v>768</v>
      </c>
      <c r="E1953" t="str">
        <f>"00233391"</f>
        <v>00233391</v>
      </c>
      <c r="F1953" t="str">
        <f t="shared" si="40"/>
        <v>40110000</v>
      </c>
      <c r="G1953" t="str">
        <f t="shared" si="42"/>
        <v>40110397</v>
      </c>
      <c r="H1953" t="s">
        <v>769</v>
      </c>
      <c r="I1953" s="1">
        <v>45789</v>
      </c>
      <c r="K1953" s="4">
        <v>335000</v>
      </c>
    </row>
    <row r="1954" spans="1:11" hidden="1" outlineLevel="2" x14ac:dyDescent="0.35">
      <c r="A1954" t="s">
        <v>354</v>
      </c>
      <c r="B1954" s="1">
        <v>45729</v>
      </c>
      <c r="C1954" t="str">
        <f>"631"</f>
        <v>631</v>
      </c>
      <c r="D1954" t="s">
        <v>770</v>
      </c>
      <c r="E1954" t="str">
        <f>"00233392"</f>
        <v>00233392</v>
      </c>
      <c r="F1954" t="str">
        <f t="shared" si="40"/>
        <v>40110000</v>
      </c>
      <c r="G1954" t="str">
        <f t="shared" si="42"/>
        <v>40110397</v>
      </c>
      <c r="H1954" t="s">
        <v>771</v>
      </c>
      <c r="I1954" s="1">
        <v>45789</v>
      </c>
      <c r="K1954" s="4">
        <v>850000</v>
      </c>
    </row>
    <row r="1955" spans="1:11" hidden="1" outlineLevel="2" x14ac:dyDescent="0.35">
      <c r="A1955" t="s">
        <v>354</v>
      </c>
      <c r="B1955" s="1">
        <v>45729</v>
      </c>
      <c r="C1955" t="str">
        <f>"632"</f>
        <v>632</v>
      </c>
      <c r="D1955" t="s">
        <v>772</v>
      </c>
      <c r="E1955" t="str">
        <f>"00233394"</f>
        <v>00233394</v>
      </c>
      <c r="F1955" t="str">
        <f t="shared" si="40"/>
        <v>40110000</v>
      </c>
      <c r="G1955" t="str">
        <f t="shared" si="42"/>
        <v>40110397</v>
      </c>
      <c r="H1955" t="s">
        <v>773</v>
      </c>
      <c r="I1955" s="1">
        <v>45789</v>
      </c>
      <c r="K1955" s="4">
        <v>1235000</v>
      </c>
    </row>
    <row r="1956" spans="1:11" hidden="1" outlineLevel="2" x14ac:dyDescent="0.35">
      <c r="A1956" t="s">
        <v>354</v>
      </c>
      <c r="B1956" s="1">
        <v>45729</v>
      </c>
      <c r="C1956" t="str">
        <f>"633"</f>
        <v>633</v>
      </c>
      <c r="D1956" t="s">
        <v>774</v>
      </c>
      <c r="E1956" t="str">
        <f>"00233395"</f>
        <v>00233395</v>
      </c>
      <c r="F1956" t="str">
        <f t="shared" si="40"/>
        <v>40110000</v>
      </c>
      <c r="G1956" t="str">
        <f t="shared" si="42"/>
        <v>40110397</v>
      </c>
      <c r="H1956" t="s">
        <v>775</v>
      </c>
      <c r="I1956" s="1">
        <v>45789</v>
      </c>
      <c r="K1956" s="4">
        <v>351500</v>
      </c>
    </row>
    <row r="1957" spans="1:11" hidden="1" outlineLevel="2" x14ac:dyDescent="0.35">
      <c r="A1957" t="s">
        <v>354</v>
      </c>
      <c r="B1957" s="1">
        <v>45729</v>
      </c>
      <c r="C1957" t="str">
        <f>"634"</f>
        <v>634</v>
      </c>
      <c r="D1957" t="s">
        <v>776</v>
      </c>
      <c r="E1957" t="str">
        <f>"00233397"</f>
        <v>00233397</v>
      </c>
      <c r="F1957" t="str">
        <f t="shared" si="40"/>
        <v>40110000</v>
      </c>
      <c r="G1957" t="str">
        <f t="shared" si="42"/>
        <v>40110397</v>
      </c>
      <c r="H1957" t="s">
        <v>777</v>
      </c>
      <c r="I1957" s="1">
        <v>45789</v>
      </c>
      <c r="K1957" s="4">
        <v>385000</v>
      </c>
    </row>
    <row r="1958" spans="1:11" hidden="1" outlineLevel="2" x14ac:dyDescent="0.35">
      <c r="A1958" t="s">
        <v>354</v>
      </c>
      <c r="B1958" s="1">
        <v>45729</v>
      </c>
      <c r="C1958" t="str">
        <f>"635"</f>
        <v>635</v>
      </c>
      <c r="D1958" t="s">
        <v>778</v>
      </c>
      <c r="E1958" t="str">
        <f>"00233398"</f>
        <v>00233398</v>
      </c>
      <c r="F1958" t="str">
        <f t="shared" si="40"/>
        <v>40110000</v>
      </c>
      <c r="G1958" t="str">
        <f t="shared" si="42"/>
        <v>40110397</v>
      </c>
      <c r="H1958" t="s">
        <v>779</v>
      </c>
      <c r="I1958" s="1">
        <v>45789</v>
      </c>
      <c r="K1958" s="4">
        <v>340000</v>
      </c>
    </row>
    <row r="1959" spans="1:11" hidden="1" outlineLevel="2" x14ac:dyDescent="0.35">
      <c r="A1959" t="s">
        <v>354</v>
      </c>
      <c r="B1959" s="1">
        <v>45729</v>
      </c>
      <c r="C1959" t="str">
        <f>"636"</f>
        <v>636</v>
      </c>
      <c r="D1959" t="s">
        <v>780</v>
      </c>
      <c r="E1959" t="str">
        <f>"00233399"</f>
        <v>00233399</v>
      </c>
      <c r="F1959" t="str">
        <f t="shared" si="40"/>
        <v>40110000</v>
      </c>
      <c r="G1959" t="str">
        <f t="shared" si="42"/>
        <v>40110397</v>
      </c>
      <c r="H1959" t="s">
        <v>781</v>
      </c>
      <c r="I1959" s="1">
        <v>45789</v>
      </c>
      <c r="K1959" s="4">
        <v>265000</v>
      </c>
    </row>
    <row r="1960" spans="1:11" hidden="1" outlineLevel="2" x14ac:dyDescent="0.35">
      <c r="A1960" t="s">
        <v>354</v>
      </c>
      <c r="B1960" s="1">
        <v>45729</v>
      </c>
      <c r="C1960" t="str">
        <f>"637"</f>
        <v>637</v>
      </c>
      <c r="D1960" t="s">
        <v>782</v>
      </c>
      <c r="E1960" t="str">
        <f>"00233400"</f>
        <v>00233400</v>
      </c>
      <c r="F1960" t="str">
        <f t="shared" si="40"/>
        <v>40110000</v>
      </c>
      <c r="G1960" t="str">
        <f t="shared" si="42"/>
        <v>40110397</v>
      </c>
      <c r="H1960" t="s">
        <v>783</v>
      </c>
      <c r="I1960" s="1">
        <v>45789</v>
      </c>
      <c r="K1960" s="4">
        <v>185000</v>
      </c>
    </row>
    <row r="1961" spans="1:11" hidden="1" outlineLevel="2" x14ac:dyDescent="0.35">
      <c r="A1961" t="s">
        <v>354</v>
      </c>
      <c r="B1961" s="1">
        <v>45729</v>
      </c>
      <c r="C1961" t="str">
        <f>"638"</f>
        <v>638</v>
      </c>
      <c r="D1961" t="s">
        <v>784</v>
      </c>
      <c r="E1961" t="str">
        <f>"00290672"</f>
        <v>00290672</v>
      </c>
      <c r="F1961" t="str">
        <f t="shared" si="40"/>
        <v>40110000</v>
      </c>
      <c r="G1961" t="str">
        <f t="shared" si="42"/>
        <v>40110397</v>
      </c>
      <c r="H1961" t="s">
        <v>785</v>
      </c>
      <c r="I1961" s="1">
        <v>45789</v>
      </c>
      <c r="K1961" s="4">
        <v>330000</v>
      </c>
    </row>
    <row r="1962" spans="1:11" hidden="1" outlineLevel="2" x14ac:dyDescent="0.35">
      <c r="A1962" t="s">
        <v>354</v>
      </c>
      <c r="B1962" s="1">
        <v>45729</v>
      </c>
      <c r="C1962" t="str">
        <f>"639"</f>
        <v>639</v>
      </c>
      <c r="D1962" t="s">
        <v>786</v>
      </c>
      <c r="E1962" t="str">
        <f>"00290673"</f>
        <v>00290673</v>
      </c>
      <c r="F1962" t="str">
        <f t="shared" si="40"/>
        <v>40110000</v>
      </c>
      <c r="G1962" t="str">
        <f t="shared" si="42"/>
        <v>40110397</v>
      </c>
      <c r="H1962" t="s">
        <v>787</v>
      </c>
      <c r="I1962" s="1">
        <v>45789</v>
      </c>
      <c r="K1962" s="4">
        <v>305000</v>
      </c>
    </row>
    <row r="1963" spans="1:11" hidden="1" outlineLevel="2" x14ac:dyDescent="0.35">
      <c r="A1963" t="s">
        <v>354</v>
      </c>
      <c r="B1963" s="1">
        <v>45729</v>
      </c>
      <c r="C1963" t="str">
        <f>"640"</f>
        <v>640</v>
      </c>
      <c r="D1963" t="s">
        <v>788</v>
      </c>
      <c r="E1963" t="str">
        <f>"00290674"</f>
        <v>00290674</v>
      </c>
      <c r="F1963" t="str">
        <f t="shared" si="40"/>
        <v>40110000</v>
      </c>
      <c r="G1963" t="str">
        <f t="shared" si="42"/>
        <v>40110397</v>
      </c>
      <c r="H1963" t="s">
        <v>789</v>
      </c>
      <c r="I1963" s="1">
        <v>45789</v>
      </c>
      <c r="K1963" s="4">
        <v>214000</v>
      </c>
    </row>
    <row r="1964" spans="1:11" hidden="1" outlineLevel="2" x14ac:dyDescent="0.35">
      <c r="A1964" t="s">
        <v>354</v>
      </c>
      <c r="B1964" s="1">
        <v>45729</v>
      </c>
      <c r="C1964" t="str">
        <f>"641"</f>
        <v>641</v>
      </c>
      <c r="D1964" t="s">
        <v>790</v>
      </c>
      <c r="E1964" t="str">
        <f>"00290677"</f>
        <v>00290677</v>
      </c>
      <c r="F1964" t="str">
        <f t="shared" si="40"/>
        <v>40110000</v>
      </c>
      <c r="G1964" t="str">
        <f t="shared" si="42"/>
        <v>40110397</v>
      </c>
      <c r="H1964" t="s">
        <v>791</v>
      </c>
      <c r="I1964" s="1">
        <v>45789</v>
      </c>
      <c r="K1964" s="4">
        <v>150000</v>
      </c>
    </row>
    <row r="1965" spans="1:11" hidden="1" outlineLevel="2" x14ac:dyDescent="0.35">
      <c r="A1965" t="s">
        <v>354</v>
      </c>
      <c r="B1965" s="1">
        <v>45729</v>
      </c>
      <c r="C1965" t="str">
        <f>"642"</f>
        <v>642</v>
      </c>
      <c r="D1965" t="s">
        <v>792</v>
      </c>
      <c r="E1965" t="str">
        <f>"0290678"</f>
        <v>0290678</v>
      </c>
      <c r="F1965" t="str">
        <f t="shared" si="40"/>
        <v>40110000</v>
      </c>
      <c r="G1965" t="str">
        <f t="shared" si="42"/>
        <v>40110397</v>
      </c>
      <c r="H1965" t="s">
        <v>793</v>
      </c>
      <c r="I1965" s="1">
        <v>45789</v>
      </c>
      <c r="K1965" s="4">
        <v>255000</v>
      </c>
    </row>
    <row r="1966" spans="1:11" hidden="1" outlineLevel="2" x14ac:dyDescent="0.35">
      <c r="A1966" t="s">
        <v>354</v>
      </c>
      <c r="B1966" s="1">
        <v>45729</v>
      </c>
      <c r="C1966" t="str">
        <f>"643"</f>
        <v>643</v>
      </c>
      <c r="D1966" t="s">
        <v>794</v>
      </c>
      <c r="E1966" t="str">
        <f>"00290679"</f>
        <v>00290679</v>
      </c>
      <c r="F1966" t="str">
        <f t="shared" si="40"/>
        <v>40110000</v>
      </c>
      <c r="G1966" t="str">
        <f t="shared" si="42"/>
        <v>40110397</v>
      </c>
      <c r="H1966" t="s">
        <v>795</v>
      </c>
      <c r="I1966" s="1">
        <v>45789</v>
      </c>
      <c r="K1966" s="4">
        <v>255300</v>
      </c>
    </row>
    <row r="1967" spans="1:11" hidden="1" outlineLevel="2" x14ac:dyDescent="0.35">
      <c r="A1967" t="s">
        <v>354</v>
      </c>
      <c r="B1967" s="1">
        <v>45729</v>
      </c>
      <c r="C1967" t="str">
        <f>"644"</f>
        <v>644</v>
      </c>
      <c r="D1967" t="s">
        <v>796</v>
      </c>
      <c r="E1967" t="str">
        <f>"00290680"</f>
        <v>00290680</v>
      </c>
      <c r="F1967" t="str">
        <f t="shared" si="40"/>
        <v>40110000</v>
      </c>
      <c r="G1967" t="str">
        <f t="shared" si="42"/>
        <v>40110397</v>
      </c>
      <c r="H1967" t="s">
        <v>797</v>
      </c>
      <c r="I1967" s="1">
        <v>45789</v>
      </c>
      <c r="K1967" s="4">
        <v>285000</v>
      </c>
    </row>
    <row r="1968" spans="1:11" hidden="1" outlineLevel="2" x14ac:dyDescent="0.35">
      <c r="A1968" t="s">
        <v>354</v>
      </c>
      <c r="B1968" s="1">
        <v>45729</v>
      </c>
      <c r="C1968" t="str">
        <f>"645"</f>
        <v>645</v>
      </c>
      <c r="D1968" t="s">
        <v>798</v>
      </c>
      <c r="E1968" t="str">
        <f>"00290681"</f>
        <v>00290681</v>
      </c>
      <c r="F1968" t="str">
        <f t="shared" si="40"/>
        <v>40110000</v>
      </c>
      <c r="G1968" t="str">
        <f t="shared" si="42"/>
        <v>40110397</v>
      </c>
      <c r="H1968" t="s">
        <v>799</v>
      </c>
      <c r="I1968" s="1">
        <v>45789</v>
      </c>
      <c r="K1968" s="4">
        <v>550000</v>
      </c>
    </row>
    <row r="1969" spans="1:11" hidden="1" outlineLevel="2" x14ac:dyDescent="0.35">
      <c r="A1969" t="s">
        <v>354</v>
      </c>
      <c r="B1969" s="1">
        <v>45729</v>
      </c>
      <c r="C1969" t="str">
        <f>"646"</f>
        <v>646</v>
      </c>
      <c r="D1969" t="s">
        <v>800</v>
      </c>
      <c r="E1969" t="str">
        <f>"00290682"</f>
        <v>00290682</v>
      </c>
      <c r="F1969" t="str">
        <f t="shared" si="40"/>
        <v>40110000</v>
      </c>
      <c r="G1969" t="str">
        <f t="shared" si="42"/>
        <v>40110397</v>
      </c>
      <c r="H1969" t="s">
        <v>801</v>
      </c>
      <c r="I1969" s="1">
        <v>45789</v>
      </c>
      <c r="K1969" s="4">
        <v>325300</v>
      </c>
    </row>
    <row r="1970" spans="1:11" hidden="1" outlineLevel="2" x14ac:dyDescent="0.35">
      <c r="A1970" t="s">
        <v>354</v>
      </c>
      <c r="B1970" s="1">
        <v>45729</v>
      </c>
      <c r="C1970" t="str">
        <f>"647"</f>
        <v>647</v>
      </c>
      <c r="D1970" t="s">
        <v>802</v>
      </c>
      <c r="E1970" t="str">
        <f>"00290683"</f>
        <v>00290683</v>
      </c>
      <c r="F1970" t="str">
        <f t="shared" si="40"/>
        <v>40110000</v>
      </c>
      <c r="G1970" t="str">
        <f t="shared" si="42"/>
        <v>40110397</v>
      </c>
      <c r="H1970" t="s">
        <v>803</v>
      </c>
      <c r="I1970" s="1">
        <v>45789</v>
      </c>
      <c r="K1970" s="4">
        <v>180300</v>
      </c>
    </row>
    <row r="1971" spans="1:11" hidden="1" outlineLevel="2" x14ac:dyDescent="0.35">
      <c r="A1971" t="s">
        <v>354</v>
      </c>
      <c r="B1971" s="1">
        <v>45729</v>
      </c>
      <c r="C1971" t="str">
        <f>"648"</f>
        <v>648</v>
      </c>
      <c r="D1971" t="s">
        <v>804</v>
      </c>
      <c r="E1971" t="str">
        <f>"00290684"</f>
        <v>00290684</v>
      </c>
      <c r="F1971" t="str">
        <f t="shared" si="40"/>
        <v>40110000</v>
      </c>
      <c r="G1971" t="str">
        <f t="shared" si="42"/>
        <v>40110397</v>
      </c>
      <c r="H1971" t="s">
        <v>805</v>
      </c>
      <c r="I1971" s="1">
        <v>45789</v>
      </c>
      <c r="K1971" s="4">
        <v>1600000</v>
      </c>
    </row>
    <row r="1972" spans="1:11" hidden="1" outlineLevel="2" x14ac:dyDescent="0.35">
      <c r="A1972" t="s">
        <v>354</v>
      </c>
      <c r="B1972" s="1">
        <v>45729</v>
      </c>
      <c r="C1972" t="str">
        <f>"649"</f>
        <v>649</v>
      </c>
      <c r="D1972" t="s">
        <v>806</v>
      </c>
      <c r="E1972" t="str">
        <f>"00290685"</f>
        <v>00290685</v>
      </c>
      <c r="F1972" t="str">
        <f t="shared" si="40"/>
        <v>40110000</v>
      </c>
      <c r="G1972" t="str">
        <f t="shared" si="42"/>
        <v>40110397</v>
      </c>
      <c r="H1972" t="s">
        <v>807</v>
      </c>
      <c r="I1972" s="1">
        <v>45789</v>
      </c>
      <c r="K1972" s="4">
        <v>773500</v>
      </c>
    </row>
    <row r="1973" spans="1:11" hidden="1" outlineLevel="2" x14ac:dyDescent="0.35">
      <c r="A1973" t="s">
        <v>354</v>
      </c>
      <c r="B1973" s="1">
        <v>45729</v>
      </c>
      <c r="C1973" t="str">
        <f>"653"</f>
        <v>653</v>
      </c>
      <c r="D1973" t="s">
        <v>808</v>
      </c>
      <c r="E1973" t="str">
        <f>"0286528"</f>
        <v>0286528</v>
      </c>
      <c r="F1973" t="str">
        <f t="shared" si="40"/>
        <v>40110000</v>
      </c>
      <c r="G1973" t="str">
        <f>"40110001"</f>
        <v>40110001</v>
      </c>
      <c r="H1973" t="s">
        <v>809</v>
      </c>
      <c r="I1973" s="1">
        <v>45729</v>
      </c>
      <c r="K1973" s="4">
        <v>170000</v>
      </c>
    </row>
    <row r="1974" spans="1:11" hidden="1" outlineLevel="2" x14ac:dyDescent="0.35">
      <c r="A1974" t="s">
        <v>354</v>
      </c>
      <c r="B1974" s="1">
        <v>45729</v>
      </c>
      <c r="C1974" t="str">
        <f>"796"</f>
        <v>796</v>
      </c>
      <c r="D1974" t="s">
        <v>810</v>
      </c>
      <c r="E1974" t="str">
        <f>"00290675"</f>
        <v>00290675</v>
      </c>
      <c r="F1974" t="str">
        <f t="shared" si="40"/>
        <v>40110000</v>
      </c>
      <c r="G1974" t="str">
        <f>"40110397"</f>
        <v>40110397</v>
      </c>
      <c r="H1974" t="s">
        <v>811</v>
      </c>
      <c r="I1974" s="1">
        <v>45789</v>
      </c>
      <c r="K1974" s="4">
        <v>530000</v>
      </c>
    </row>
    <row r="1975" spans="1:11" hidden="1" outlineLevel="2" x14ac:dyDescent="0.35">
      <c r="A1975" t="s">
        <v>354</v>
      </c>
      <c r="B1975" s="1">
        <v>45730</v>
      </c>
      <c r="C1975" t="str">
        <f>"651"</f>
        <v>651</v>
      </c>
      <c r="D1975" t="s">
        <v>812</v>
      </c>
      <c r="E1975" t="str">
        <f>"00880978"</f>
        <v>00880978</v>
      </c>
      <c r="F1975" t="str">
        <f t="shared" si="40"/>
        <v>40110000</v>
      </c>
      <c r="G1975" t="str">
        <f>"40110496"</f>
        <v>40110496</v>
      </c>
      <c r="H1975" t="s">
        <v>813</v>
      </c>
      <c r="I1975" s="1">
        <v>45730</v>
      </c>
      <c r="K1975" s="4">
        <v>17000</v>
      </c>
    </row>
    <row r="1976" spans="1:11" hidden="1" outlineLevel="2" x14ac:dyDescent="0.35">
      <c r="A1976" t="s">
        <v>354</v>
      </c>
      <c r="B1976" s="1">
        <v>45730</v>
      </c>
      <c r="C1976" t="str">
        <f>"652"</f>
        <v>652</v>
      </c>
      <c r="D1976" t="s">
        <v>814</v>
      </c>
      <c r="E1976" t="s">
        <v>815</v>
      </c>
      <c r="F1976" t="str">
        <f t="shared" si="40"/>
        <v>40110000</v>
      </c>
      <c r="G1976" t="str">
        <f>"40112043"</f>
        <v>40112043</v>
      </c>
      <c r="H1976" t="s">
        <v>816</v>
      </c>
      <c r="I1976" s="1">
        <v>45790</v>
      </c>
      <c r="K1976" s="4">
        <v>87518</v>
      </c>
    </row>
    <row r="1977" spans="1:11" hidden="1" outlineLevel="2" x14ac:dyDescent="0.35">
      <c r="A1977" t="s">
        <v>354</v>
      </c>
      <c r="B1977" s="1">
        <v>45730</v>
      </c>
      <c r="C1977" t="str">
        <f>"663"</f>
        <v>663</v>
      </c>
      <c r="D1977" t="s">
        <v>817</v>
      </c>
      <c r="E1977" t="s">
        <v>818</v>
      </c>
      <c r="F1977" t="str">
        <f t="shared" si="40"/>
        <v>40110000</v>
      </c>
      <c r="G1977" t="str">
        <f>"40110081"</f>
        <v>40110081</v>
      </c>
      <c r="H1977" t="s">
        <v>819</v>
      </c>
      <c r="I1977" s="1">
        <v>45808</v>
      </c>
      <c r="K1977" s="4">
        <v>479079</v>
      </c>
    </row>
    <row r="1978" spans="1:11" hidden="1" outlineLevel="2" x14ac:dyDescent="0.35">
      <c r="A1978" t="s">
        <v>354</v>
      </c>
      <c r="B1978" s="1">
        <v>45730</v>
      </c>
      <c r="C1978" t="str">
        <f>"664"</f>
        <v>664</v>
      </c>
      <c r="D1978" t="s">
        <v>820</v>
      </c>
      <c r="E1978" t="s">
        <v>821</v>
      </c>
      <c r="F1978" t="str">
        <f t="shared" si="40"/>
        <v>40110000</v>
      </c>
      <c r="G1978" t="str">
        <f>"40110081"</f>
        <v>40110081</v>
      </c>
      <c r="H1978" t="s">
        <v>822</v>
      </c>
      <c r="I1978" s="1">
        <v>45808</v>
      </c>
      <c r="K1978" s="4">
        <v>-186290</v>
      </c>
    </row>
    <row r="1979" spans="1:11" hidden="1" outlineLevel="2" x14ac:dyDescent="0.35">
      <c r="A1979" t="s">
        <v>354</v>
      </c>
      <c r="B1979" s="1">
        <v>45730</v>
      </c>
      <c r="C1979" t="str">
        <f>"665"</f>
        <v>665</v>
      </c>
      <c r="D1979" t="s">
        <v>823</v>
      </c>
      <c r="E1979" t="s">
        <v>824</v>
      </c>
      <c r="F1979" t="str">
        <f t="shared" si="40"/>
        <v>40110000</v>
      </c>
      <c r="G1979" t="str">
        <f>"40110081"</f>
        <v>40110081</v>
      </c>
      <c r="H1979" t="s">
        <v>825</v>
      </c>
      <c r="I1979" s="1">
        <v>45808</v>
      </c>
      <c r="K1979" s="4">
        <v>13424</v>
      </c>
    </row>
    <row r="1980" spans="1:11" hidden="1" outlineLevel="2" x14ac:dyDescent="0.35">
      <c r="A1980" t="s">
        <v>354</v>
      </c>
      <c r="B1980" s="1">
        <v>45733</v>
      </c>
      <c r="C1980" t="str">
        <f>"656"</f>
        <v>656</v>
      </c>
      <c r="D1980" t="s">
        <v>826</v>
      </c>
      <c r="E1980" t="s">
        <v>827</v>
      </c>
      <c r="F1980" t="str">
        <f t="shared" si="40"/>
        <v>40110000</v>
      </c>
      <c r="G1980" t="str">
        <f t="shared" ref="G1980:G1986" si="43">"40110088"</f>
        <v>40110088</v>
      </c>
      <c r="H1980" t="s">
        <v>828</v>
      </c>
      <c r="I1980" s="1">
        <v>45808</v>
      </c>
      <c r="K1980" s="4">
        <v>125369</v>
      </c>
    </row>
    <row r="1981" spans="1:11" hidden="1" outlineLevel="2" x14ac:dyDescent="0.35">
      <c r="A1981" t="s">
        <v>354</v>
      </c>
      <c r="B1981" s="1">
        <v>45734</v>
      </c>
      <c r="C1981" t="str">
        <f>"691"</f>
        <v>691</v>
      </c>
      <c r="D1981" t="s">
        <v>829</v>
      </c>
      <c r="E1981" t="s">
        <v>830</v>
      </c>
      <c r="F1981" t="str">
        <f t="shared" si="40"/>
        <v>40110000</v>
      </c>
      <c r="G1981" t="str">
        <f t="shared" si="43"/>
        <v>40110088</v>
      </c>
      <c r="H1981" t="s">
        <v>831</v>
      </c>
      <c r="I1981" s="1">
        <v>45808</v>
      </c>
      <c r="K1981" s="4">
        <v>7694</v>
      </c>
    </row>
    <row r="1982" spans="1:11" hidden="1" outlineLevel="2" x14ac:dyDescent="0.35">
      <c r="A1982" t="s">
        <v>354</v>
      </c>
      <c r="B1982" s="1">
        <v>45734</v>
      </c>
      <c r="C1982" t="str">
        <f>"692"</f>
        <v>692</v>
      </c>
      <c r="D1982" t="s">
        <v>832</v>
      </c>
      <c r="E1982" t="s">
        <v>833</v>
      </c>
      <c r="F1982" t="str">
        <f t="shared" si="40"/>
        <v>40110000</v>
      </c>
      <c r="G1982" t="str">
        <f t="shared" si="43"/>
        <v>40110088</v>
      </c>
      <c r="H1982" t="s">
        <v>834</v>
      </c>
      <c r="I1982" s="1">
        <v>45808</v>
      </c>
      <c r="K1982" s="4">
        <v>38468</v>
      </c>
    </row>
    <row r="1983" spans="1:11" hidden="1" outlineLevel="2" x14ac:dyDescent="0.35">
      <c r="A1983" t="s">
        <v>354</v>
      </c>
      <c r="B1983" s="1">
        <v>45734</v>
      </c>
      <c r="C1983" t="str">
        <f>"693"</f>
        <v>693</v>
      </c>
      <c r="D1983" t="s">
        <v>835</v>
      </c>
      <c r="E1983" t="s">
        <v>836</v>
      </c>
      <c r="F1983" t="str">
        <f t="shared" si="40"/>
        <v>40110000</v>
      </c>
      <c r="G1983" t="str">
        <f t="shared" si="43"/>
        <v>40110088</v>
      </c>
      <c r="H1983" t="s">
        <v>837</v>
      </c>
      <c r="I1983" s="1">
        <v>45808</v>
      </c>
      <c r="K1983" s="4">
        <v>596301</v>
      </c>
    </row>
    <row r="1984" spans="1:11" hidden="1" outlineLevel="2" x14ac:dyDescent="0.35">
      <c r="A1984" t="s">
        <v>354</v>
      </c>
      <c r="B1984" s="1">
        <v>45734</v>
      </c>
      <c r="C1984" t="str">
        <f>"694"</f>
        <v>694</v>
      </c>
      <c r="D1984" t="s">
        <v>838</v>
      </c>
      <c r="E1984" t="s">
        <v>839</v>
      </c>
      <c r="F1984" t="str">
        <f t="shared" si="40"/>
        <v>40110000</v>
      </c>
      <c r="G1984" t="str">
        <f t="shared" si="43"/>
        <v>40110088</v>
      </c>
      <c r="H1984" t="s">
        <v>840</v>
      </c>
      <c r="I1984" s="1">
        <v>45808</v>
      </c>
      <c r="K1984" s="4">
        <v>125085</v>
      </c>
    </row>
    <row r="1985" spans="1:11" hidden="1" outlineLevel="2" x14ac:dyDescent="0.35">
      <c r="A1985" t="s">
        <v>354</v>
      </c>
      <c r="B1985" s="1">
        <v>45734</v>
      </c>
      <c r="C1985" t="str">
        <f>"695"</f>
        <v>695</v>
      </c>
      <c r="D1985" t="s">
        <v>841</v>
      </c>
      <c r="E1985" t="s">
        <v>842</v>
      </c>
      <c r="F1985" t="str">
        <f t="shared" si="40"/>
        <v>40110000</v>
      </c>
      <c r="G1985" t="str">
        <f t="shared" si="43"/>
        <v>40110088</v>
      </c>
      <c r="H1985" t="s">
        <v>843</v>
      </c>
      <c r="I1985" s="1">
        <v>45808</v>
      </c>
      <c r="K1985" s="4">
        <v>283790</v>
      </c>
    </row>
    <row r="1986" spans="1:11" hidden="1" outlineLevel="2" x14ac:dyDescent="0.35">
      <c r="A1986" t="s">
        <v>354</v>
      </c>
      <c r="B1986" s="1">
        <v>45734</v>
      </c>
      <c r="C1986" t="str">
        <f>"696"</f>
        <v>696</v>
      </c>
      <c r="D1986" t="s">
        <v>844</v>
      </c>
      <c r="E1986" t="s">
        <v>845</v>
      </c>
      <c r="F1986" t="str">
        <f t="shared" ref="F1986:F2049" si="44">"40110000"</f>
        <v>40110000</v>
      </c>
      <c r="G1986" t="str">
        <f t="shared" si="43"/>
        <v>40110088</v>
      </c>
      <c r="H1986" t="s">
        <v>846</v>
      </c>
      <c r="I1986" s="1">
        <v>45808</v>
      </c>
      <c r="K1986" s="4">
        <v>168740</v>
      </c>
    </row>
    <row r="1987" spans="1:11" hidden="1" outlineLevel="2" x14ac:dyDescent="0.35">
      <c r="A1987" t="s">
        <v>354</v>
      </c>
      <c r="B1987" s="1">
        <v>45734</v>
      </c>
      <c r="C1987" t="str">
        <f>"699"</f>
        <v>699</v>
      </c>
      <c r="D1987" t="s">
        <v>847</v>
      </c>
      <c r="E1987" t="s">
        <v>848</v>
      </c>
      <c r="F1987" t="str">
        <f t="shared" si="44"/>
        <v>40110000</v>
      </c>
      <c r="G1987" t="str">
        <f>"40110042"</f>
        <v>40110042</v>
      </c>
      <c r="H1987" t="s">
        <v>849</v>
      </c>
      <c r="I1987" s="1">
        <v>45794</v>
      </c>
      <c r="K1987" s="4">
        <v>500084</v>
      </c>
    </row>
    <row r="1988" spans="1:11" hidden="1" outlineLevel="2" x14ac:dyDescent="0.35">
      <c r="A1988" t="s">
        <v>354</v>
      </c>
      <c r="B1988" s="1">
        <v>45734</v>
      </c>
      <c r="C1988" t="str">
        <f>"700"</f>
        <v>700</v>
      </c>
      <c r="D1988" t="s">
        <v>850</v>
      </c>
      <c r="E1988" t="s">
        <v>851</v>
      </c>
      <c r="F1988" t="str">
        <f t="shared" si="44"/>
        <v>40110000</v>
      </c>
      <c r="G1988" t="str">
        <f>"40110042"</f>
        <v>40110042</v>
      </c>
      <c r="H1988" t="s">
        <v>852</v>
      </c>
      <c r="I1988" s="1">
        <v>45794</v>
      </c>
      <c r="K1988" s="4">
        <v>25004</v>
      </c>
    </row>
    <row r="1989" spans="1:11" hidden="1" outlineLevel="2" x14ac:dyDescent="0.35">
      <c r="A1989" t="s">
        <v>354</v>
      </c>
      <c r="B1989" s="1">
        <v>45734</v>
      </c>
      <c r="C1989" t="str">
        <f>"701"</f>
        <v>701</v>
      </c>
      <c r="D1989" t="s">
        <v>853</v>
      </c>
      <c r="E1989" t="s">
        <v>854</v>
      </c>
      <c r="F1989" t="str">
        <f t="shared" si="44"/>
        <v>40110000</v>
      </c>
      <c r="G1989" t="str">
        <f>"40110042"</f>
        <v>40110042</v>
      </c>
      <c r="H1989" t="s">
        <v>855</v>
      </c>
      <c r="I1989" s="1">
        <v>45794</v>
      </c>
      <c r="K1989" s="4">
        <v>141600</v>
      </c>
    </row>
    <row r="1990" spans="1:11" hidden="1" outlineLevel="2" x14ac:dyDescent="0.35">
      <c r="A1990" t="s">
        <v>354</v>
      </c>
      <c r="B1990" s="1">
        <v>45734</v>
      </c>
      <c r="C1990" t="str">
        <f>"702"</f>
        <v>702</v>
      </c>
      <c r="D1990" t="s">
        <v>856</v>
      </c>
      <c r="E1990" t="s">
        <v>857</v>
      </c>
      <c r="F1990" t="str">
        <f t="shared" si="44"/>
        <v>40110000</v>
      </c>
      <c r="G1990" t="str">
        <f>"40110042"</f>
        <v>40110042</v>
      </c>
      <c r="H1990" t="s">
        <v>858</v>
      </c>
      <c r="I1990" s="1">
        <v>45794</v>
      </c>
      <c r="K1990" s="4">
        <v>35400</v>
      </c>
    </row>
    <row r="1991" spans="1:11" hidden="1" outlineLevel="2" x14ac:dyDescent="0.35">
      <c r="A1991" t="s">
        <v>354</v>
      </c>
      <c r="B1991" s="1">
        <v>45734</v>
      </c>
      <c r="C1991" t="str">
        <f>"725"</f>
        <v>725</v>
      </c>
      <c r="D1991" t="s">
        <v>859</v>
      </c>
      <c r="E1991" t="s">
        <v>860</v>
      </c>
      <c r="F1991" t="str">
        <f t="shared" si="44"/>
        <v>40110000</v>
      </c>
      <c r="G1991" t="str">
        <f t="shared" ref="G1991:G2006" si="45">"40110342"</f>
        <v>40110342</v>
      </c>
      <c r="H1991" t="s">
        <v>861</v>
      </c>
      <c r="I1991" s="1">
        <v>45794</v>
      </c>
      <c r="K1991" s="4">
        <v>82600</v>
      </c>
    </row>
    <row r="1992" spans="1:11" hidden="1" outlineLevel="2" x14ac:dyDescent="0.35">
      <c r="A1992" t="s">
        <v>354</v>
      </c>
      <c r="B1992" s="1">
        <v>45734</v>
      </c>
      <c r="C1992" t="str">
        <f>"726"</f>
        <v>726</v>
      </c>
      <c r="D1992" t="s">
        <v>862</v>
      </c>
      <c r="E1992" t="s">
        <v>863</v>
      </c>
      <c r="F1992" t="str">
        <f t="shared" si="44"/>
        <v>40110000</v>
      </c>
      <c r="G1992" t="str">
        <f t="shared" si="45"/>
        <v>40110342</v>
      </c>
      <c r="H1992" t="s">
        <v>864</v>
      </c>
      <c r="I1992" s="1">
        <v>45794</v>
      </c>
      <c r="K1992" s="4">
        <v>52864</v>
      </c>
    </row>
    <row r="1993" spans="1:11" hidden="1" outlineLevel="2" x14ac:dyDescent="0.35">
      <c r="A1993" t="s">
        <v>354</v>
      </c>
      <c r="B1993" s="1">
        <v>45734</v>
      </c>
      <c r="C1993" t="str">
        <f>"727"</f>
        <v>727</v>
      </c>
      <c r="D1993" t="s">
        <v>865</v>
      </c>
      <c r="E1993" t="s">
        <v>866</v>
      </c>
      <c r="F1993" t="str">
        <f t="shared" si="44"/>
        <v>40110000</v>
      </c>
      <c r="G1993" t="str">
        <f t="shared" si="45"/>
        <v>40110342</v>
      </c>
      <c r="H1993" t="s">
        <v>867</v>
      </c>
      <c r="I1993" s="1">
        <v>45794</v>
      </c>
      <c r="K1993" s="4">
        <v>127369</v>
      </c>
    </row>
    <row r="1994" spans="1:11" hidden="1" outlineLevel="2" x14ac:dyDescent="0.35">
      <c r="A1994" t="s">
        <v>354</v>
      </c>
      <c r="B1994" s="1">
        <v>45734</v>
      </c>
      <c r="C1994" t="str">
        <f>"728"</f>
        <v>728</v>
      </c>
      <c r="D1994" t="s">
        <v>868</v>
      </c>
      <c r="E1994" t="s">
        <v>869</v>
      </c>
      <c r="F1994" t="str">
        <f t="shared" si="44"/>
        <v>40110000</v>
      </c>
      <c r="G1994" t="str">
        <f t="shared" si="45"/>
        <v>40110342</v>
      </c>
      <c r="H1994" t="s">
        <v>870</v>
      </c>
      <c r="I1994" s="1">
        <v>45794</v>
      </c>
      <c r="K1994" s="4">
        <v>44604</v>
      </c>
    </row>
    <row r="1995" spans="1:11" hidden="1" outlineLevel="2" x14ac:dyDescent="0.35">
      <c r="A1995" t="s">
        <v>354</v>
      </c>
      <c r="B1995" s="1">
        <v>45734</v>
      </c>
      <c r="C1995" t="str">
        <f>"729"</f>
        <v>729</v>
      </c>
      <c r="D1995" t="s">
        <v>871</v>
      </c>
      <c r="E1995" t="s">
        <v>872</v>
      </c>
      <c r="F1995" t="str">
        <f t="shared" si="44"/>
        <v>40110000</v>
      </c>
      <c r="G1995" t="str">
        <f t="shared" si="45"/>
        <v>40110342</v>
      </c>
      <c r="H1995" t="s">
        <v>873</v>
      </c>
      <c r="I1995" s="1">
        <v>45794</v>
      </c>
      <c r="K1995" s="4">
        <v>125625</v>
      </c>
    </row>
    <row r="1996" spans="1:11" hidden="1" outlineLevel="2" x14ac:dyDescent="0.35">
      <c r="A1996" t="s">
        <v>354</v>
      </c>
      <c r="B1996" s="1">
        <v>45734</v>
      </c>
      <c r="C1996" t="str">
        <f>"730"</f>
        <v>730</v>
      </c>
      <c r="D1996" t="s">
        <v>874</v>
      </c>
      <c r="E1996" t="s">
        <v>875</v>
      </c>
      <c r="F1996" t="str">
        <f t="shared" si="44"/>
        <v>40110000</v>
      </c>
      <c r="G1996" t="str">
        <f t="shared" si="45"/>
        <v>40110342</v>
      </c>
      <c r="H1996" t="s">
        <v>876</v>
      </c>
      <c r="I1996" s="1">
        <v>45794</v>
      </c>
      <c r="K1996" s="4">
        <v>192491</v>
      </c>
    </row>
    <row r="1997" spans="1:11" hidden="1" outlineLevel="2" x14ac:dyDescent="0.35">
      <c r="A1997" t="s">
        <v>354</v>
      </c>
      <c r="B1997" s="1">
        <v>45734</v>
      </c>
      <c r="C1997" t="str">
        <f>"731"</f>
        <v>731</v>
      </c>
      <c r="D1997" t="s">
        <v>877</v>
      </c>
      <c r="E1997" t="s">
        <v>878</v>
      </c>
      <c r="F1997" t="str">
        <f t="shared" si="44"/>
        <v>40110000</v>
      </c>
      <c r="G1997" t="str">
        <f t="shared" si="45"/>
        <v>40110342</v>
      </c>
      <c r="H1997" t="s">
        <v>879</v>
      </c>
      <c r="I1997" s="1">
        <v>45794</v>
      </c>
      <c r="K1997" s="4">
        <v>101697</v>
      </c>
    </row>
    <row r="1998" spans="1:11" hidden="1" outlineLevel="2" x14ac:dyDescent="0.35">
      <c r="A1998" t="s">
        <v>354</v>
      </c>
      <c r="B1998" s="1">
        <v>45734</v>
      </c>
      <c r="C1998" t="str">
        <f>"732"</f>
        <v>732</v>
      </c>
      <c r="D1998" t="s">
        <v>880</v>
      </c>
      <c r="E1998" t="s">
        <v>881</v>
      </c>
      <c r="F1998" t="str">
        <f t="shared" si="44"/>
        <v>40110000</v>
      </c>
      <c r="G1998" t="str">
        <f t="shared" si="45"/>
        <v>40110342</v>
      </c>
      <c r="H1998" t="s">
        <v>882</v>
      </c>
      <c r="I1998" s="1">
        <v>45794</v>
      </c>
      <c r="K1998" s="4">
        <v>131027</v>
      </c>
    </row>
    <row r="1999" spans="1:11" hidden="1" outlineLevel="2" x14ac:dyDescent="0.35">
      <c r="A1999" t="s">
        <v>354</v>
      </c>
      <c r="B1999" s="1">
        <v>45734</v>
      </c>
      <c r="C1999" t="str">
        <f>"733"</f>
        <v>733</v>
      </c>
      <c r="D1999" t="s">
        <v>883</v>
      </c>
      <c r="E1999" t="s">
        <v>884</v>
      </c>
      <c r="F1999" t="str">
        <f t="shared" si="44"/>
        <v>40110000</v>
      </c>
      <c r="G1999" t="str">
        <f t="shared" si="45"/>
        <v>40110342</v>
      </c>
      <c r="H1999" t="s">
        <v>885</v>
      </c>
      <c r="I1999" s="1">
        <v>45794</v>
      </c>
      <c r="K1999" s="4">
        <v>48734</v>
      </c>
    </row>
    <row r="2000" spans="1:11" hidden="1" outlineLevel="2" x14ac:dyDescent="0.35">
      <c r="A2000" t="s">
        <v>354</v>
      </c>
      <c r="B2000" s="1">
        <v>45734</v>
      </c>
      <c r="C2000" t="str">
        <f>"734"</f>
        <v>734</v>
      </c>
      <c r="D2000" t="s">
        <v>886</v>
      </c>
      <c r="E2000" t="s">
        <v>887</v>
      </c>
      <c r="F2000" t="str">
        <f t="shared" si="44"/>
        <v>40110000</v>
      </c>
      <c r="G2000" t="str">
        <f t="shared" si="45"/>
        <v>40110342</v>
      </c>
      <c r="H2000" t="s">
        <v>888</v>
      </c>
      <c r="I2000" s="1">
        <v>45794</v>
      </c>
      <c r="K2000" s="4">
        <v>82600</v>
      </c>
    </row>
    <row r="2001" spans="1:11" hidden="1" outlineLevel="2" x14ac:dyDescent="0.35">
      <c r="A2001" t="s">
        <v>354</v>
      </c>
      <c r="B2001" s="1">
        <v>45734</v>
      </c>
      <c r="C2001" t="str">
        <f>"735"</f>
        <v>735</v>
      </c>
      <c r="D2001" t="s">
        <v>889</v>
      </c>
      <c r="E2001" t="s">
        <v>890</v>
      </c>
      <c r="F2001" t="str">
        <f t="shared" si="44"/>
        <v>40110000</v>
      </c>
      <c r="G2001" t="str">
        <f t="shared" si="45"/>
        <v>40110342</v>
      </c>
      <c r="H2001" t="s">
        <v>891</v>
      </c>
      <c r="I2001" s="1">
        <v>45794</v>
      </c>
      <c r="K2001" s="4">
        <v>42721</v>
      </c>
    </row>
    <row r="2002" spans="1:11" hidden="1" outlineLevel="2" x14ac:dyDescent="0.35">
      <c r="A2002" t="s">
        <v>354</v>
      </c>
      <c r="B2002" s="1">
        <v>45734</v>
      </c>
      <c r="C2002" t="str">
        <f>"736"</f>
        <v>736</v>
      </c>
      <c r="D2002" t="s">
        <v>892</v>
      </c>
      <c r="E2002" t="s">
        <v>893</v>
      </c>
      <c r="F2002" t="str">
        <f t="shared" si="44"/>
        <v>40110000</v>
      </c>
      <c r="G2002" t="str">
        <f t="shared" si="45"/>
        <v>40110342</v>
      </c>
      <c r="H2002" t="s">
        <v>894</v>
      </c>
      <c r="I2002" s="1">
        <v>45794</v>
      </c>
      <c r="K2002" s="4">
        <v>125625</v>
      </c>
    </row>
    <row r="2003" spans="1:11" hidden="1" outlineLevel="2" x14ac:dyDescent="0.35">
      <c r="A2003" t="s">
        <v>354</v>
      </c>
      <c r="B2003" s="1">
        <v>45734</v>
      </c>
      <c r="C2003" t="str">
        <f>"737"</f>
        <v>737</v>
      </c>
      <c r="D2003" t="s">
        <v>895</v>
      </c>
      <c r="E2003" t="s">
        <v>896</v>
      </c>
      <c r="F2003" t="str">
        <f t="shared" si="44"/>
        <v>40110000</v>
      </c>
      <c r="G2003" t="str">
        <f t="shared" si="45"/>
        <v>40110342</v>
      </c>
      <c r="H2003" t="s">
        <v>897</v>
      </c>
      <c r="I2003" s="1">
        <v>45794</v>
      </c>
      <c r="K2003" s="4">
        <v>80122</v>
      </c>
    </row>
    <row r="2004" spans="1:11" hidden="1" outlineLevel="2" x14ac:dyDescent="0.35">
      <c r="A2004" t="s">
        <v>354</v>
      </c>
      <c r="B2004" s="1">
        <v>45734</v>
      </c>
      <c r="C2004" t="str">
        <f>"738"</f>
        <v>738</v>
      </c>
      <c r="D2004" t="s">
        <v>898</v>
      </c>
      <c r="E2004" t="s">
        <v>899</v>
      </c>
      <c r="F2004" t="str">
        <f t="shared" si="44"/>
        <v>40110000</v>
      </c>
      <c r="G2004" t="str">
        <f t="shared" si="45"/>
        <v>40110342</v>
      </c>
      <c r="H2004" t="s">
        <v>900</v>
      </c>
      <c r="I2004" s="1">
        <v>45794</v>
      </c>
      <c r="K2004" s="4">
        <v>89208</v>
      </c>
    </row>
    <row r="2005" spans="1:11" hidden="1" outlineLevel="2" x14ac:dyDescent="0.35">
      <c r="A2005" t="s">
        <v>354</v>
      </c>
      <c r="B2005" s="1">
        <v>45734</v>
      </c>
      <c r="C2005" t="str">
        <f>"740"</f>
        <v>740</v>
      </c>
      <c r="D2005" t="s">
        <v>901</v>
      </c>
      <c r="E2005" t="s">
        <v>902</v>
      </c>
      <c r="F2005" t="str">
        <f t="shared" si="44"/>
        <v>40110000</v>
      </c>
      <c r="G2005" t="str">
        <f t="shared" si="45"/>
        <v>40110342</v>
      </c>
      <c r="H2005" t="s">
        <v>903</v>
      </c>
      <c r="I2005" s="1">
        <v>45794</v>
      </c>
      <c r="K2005" s="4">
        <v>89208</v>
      </c>
    </row>
    <row r="2006" spans="1:11" hidden="1" outlineLevel="2" x14ac:dyDescent="0.35">
      <c r="A2006" t="s">
        <v>354</v>
      </c>
      <c r="B2006" s="1">
        <v>45734</v>
      </c>
      <c r="C2006" t="str">
        <f>"741"</f>
        <v>741</v>
      </c>
      <c r="D2006" t="s">
        <v>904</v>
      </c>
      <c r="E2006" t="s">
        <v>905</v>
      </c>
      <c r="F2006" t="str">
        <f t="shared" si="44"/>
        <v>40110000</v>
      </c>
      <c r="G2006" t="str">
        <f t="shared" si="45"/>
        <v>40110342</v>
      </c>
      <c r="H2006" t="s">
        <v>906</v>
      </c>
      <c r="I2006" s="1">
        <v>45794</v>
      </c>
      <c r="K2006" s="4">
        <v>59212</v>
      </c>
    </row>
    <row r="2007" spans="1:11" hidden="1" outlineLevel="2" x14ac:dyDescent="0.35">
      <c r="A2007" t="s">
        <v>354</v>
      </c>
      <c r="B2007" s="1">
        <v>45735</v>
      </c>
      <c r="C2007" t="str">
        <f>"671"</f>
        <v>671</v>
      </c>
      <c r="D2007" t="s">
        <v>907</v>
      </c>
      <c r="E2007" t="str">
        <f>"0005575"</f>
        <v>0005575</v>
      </c>
      <c r="F2007" t="str">
        <f t="shared" si="44"/>
        <v>40110000</v>
      </c>
      <c r="G2007" t="str">
        <f>"40111047"</f>
        <v>40111047</v>
      </c>
      <c r="H2007" t="s">
        <v>908</v>
      </c>
      <c r="I2007" s="1">
        <v>45735</v>
      </c>
      <c r="K2007" s="4">
        <v>424800</v>
      </c>
    </row>
    <row r="2008" spans="1:11" hidden="1" outlineLevel="2" x14ac:dyDescent="0.35">
      <c r="A2008" t="s">
        <v>354</v>
      </c>
      <c r="B2008" s="1">
        <v>45735</v>
      </c>
      <c r="C2008" t="str">
        <f>"754"</f>
        <v>754</v>
      </c>
      <c r="D2008" t="s">
        <v>909</v>
      </c>
      <c r="E2008" t="s">
        <v>910</v>
      </c>
      <c r="F2008" t="str">
        <f t="shared" si="44"/>
        <v>40110000</v>
      </c>
      <c r="G2008" t="str">
        <f>"40110485"</f>
        <v>40110485</v>
      </c>
      <c r="H2008" t="s">
        <v>911</v>
      </c>
      <c r="I2008" s="1">
        <v>45765</v>
      </c>
      <c r="K2008" s="4">
        <v>48000</v>
      </c>
    </row>
    <row r="2009" spans="1:11" hidden="1" outlineLevel="2" x14ac:dyDescent="0.35">
      <c r="A2009" t="s">
        <v>354</v>
      </c>
      <c r="B2009" s="1">
        <v>45735</v>
      </c>
      <c r="C2009" t="str">
        <f>"755"</f>
        <v>755</v>
      </c>
      <c r="D2009" t="s">
        <v>912</v>
      </c>
      <c r="E2009" t="s">
        <v>913</v>
      </c>
      <c r="F2009" t="str">
        <f t="shared" si="44"/>
        <v>40110000</v>
      </c>
      <c r="G2009" t="str">
        <f>"40110485"</f>
        <v>40110485</v>
      </c>
      <c r="H2009" t="s">
        <v>914</v>
      </c>
      <c r="I2009" s="1">
        <v>45765</v>
      </c>
      <c r="K2009" s="4">
        <v>96000</v>
      </c>
    </row>
    <row r="2010" spans="1:11" hidden="1" outlineLevel="2" x14ac:dyDescent="0.35">
      <c r="A2010" t="s">
        <v>354</v>
      </c>
      <c r="B2010" s="1">
        <v>45735</v>
      </c>
      <c r="C2010" t="str">
        <f>"757"</f>
        <v>757</v>
      </c>
      <c r="D2010" t="s">
        <v>915</v>
      </c>
      <c r="E2010" t="str">
        <f>"779405"</f>
        <v>779405</v>
      </c>
      <c r="F2010" t="str">
        <f t="shared" si="44"/>
        <v>40110000</v>
      </c>
      <c r="G2010" t="str">
        <f>"40110494"</f>
        <v>40110494</v>
      </c>
      <c r="H2010" t="s">
        <v>916</v>
      </c>
      <c r="I2010" s="1">
        <v>45765</v>
      </c>
      <c r="K2010" s="4">
        <v>195000</v>
      </c>
    </row>
    <row r="2011" spans="1:11" hidden="1" outlineLevel="2" x14ac:dyDescent="0.35">
      <c r="A2011" t="s">
        <v>354</v>
      </c>
      <c r="B2011" s="1">
        <v>45736</v>
      </c>
      <c r="C2011" t="str">
        <f>"667"</f>
        <v>667</v>
      </c>
      <c r="D2011" t="s">
        <v>917</v>
      </c>
      <c r="E2011" t="s">
        <v>918</v>
      </c>
      <c r="F2011" t="str">
        <f t="shared" si="44"/>
        <v>40110000</v>
      </c>
      <c r="G2011" t="str">
        <f>"40110049"</f>
        <v>40110049</v>
      </c>
      <c r="H2011" t="s">
        <v>919</v>
      </c>
      <c r="I2011" s="1">
        <v>45796</v>
      </c>
      <c r="K2011" s="4">
        <v>52507</v>
      </c>
    </row>
    <row r="2012" spans="1:11" hidden="1" outlineLevel="2" x14ac:dyDescent="0.35">
      <c r="A2012" t="s">
        <v>354</v>
      </c>
      <c r="B2012" s="1">
        <v>45736</v>
      </c>
      <c r="C2012" t="str">
        <f>"674"</f>
        <v>674</v>
      </c>
      <c r="D2012" t="s">
        <v>920</v>
      </c>
      <c r="E2012" t="str">
        <f>"0000318"</f>
        <v>0000318</v>
      </c>
      <c r="F2012" t="str">
        <f t="shared" si="44"/>
        <v>40110000</v>
      </c>
      <c r="G2012" t="str">
        <f>"40110625"</f>
        <v>40110625</v>
      </c>
      <c r="H2012" t="s">
        <v>921</v>
      </c>
      <c r="I2012" s="1">
        <v>45766</v>
      </c>
      <c r="K2012" s="4">
        <v>246071</v>
      </c>
    </row>
    <row r="2013" spans="1:11" hidden="1" outlineLevel="2" x14ac:dyDescent="0.35">
      <c r="A2013" t="s">
        <v>354</v>
      </c>
      <c r="B2013" s="1">
        <v>45736</v>
      </c>
      <c r="C2013" t="str">
        <f>"675"</f>
        <v>675</v>
      </c>
      <c r="D2013" t="s">
        <v>922</v>
      </c>
      <c r="E2013" t="str">
        <f>"0000319"</f>
        <v>0000319</v>
      </c>
      <c r="F2013" t="str">
        <f t="shared" si="44"/>
        <v>40110000</v>
      </c>
      <c r="G2013" t="str">
        <f>"40110625"</f>
        <v>40110625</v>
      </c>
      <c r="H2013" t="s">
        <v>923</v>
      </c>
      <c r="I2013" s="1">
        <v>45766</v>
      </c>
      <c r="K2013" s="4">
        <v>874149</v>
      </c>
    </row>
    <row r="2014" spans="1:11" hidden="1" outlineLevel="2" x14ac:dyDescent="0.35">
      <c r="A2014" t="s">
        <v>354</v>
      </c>
      <c r="B2014" s="1">
        <v>45736</v>
      </c>
      <c r="C2014" t="str">
        <f>"678"</f>
        <v>678</v>
      </c>
      <c r="D2014" t="s">
        <v>924</v>
      </c>
      <c r="E2014" t="s">
        <v>925</v>
      </c>
      <c r="F2014" t="str">
        <f t="shared" si="44"/>
        <v>40110000</v>
      </c>
      <c r="G2014" t="str">
        <f>"40110124"</f>
        <v>40110124</v>
      </c>
      <c r="H2014" t="s">
        <v>926</v>
      </c>
      <c r="I2014" s="1">
        <v>45808</v>
      </c>
      <c r="K2014" s="4">
        <v>62221</v>
      </c>
    </row>
    <row r="2015" spans="1:11" hidden="1" outlineLevel="2" x14ac:dyDescent="0.35">
      <c r="A2015" t="s">
        <v>354</v>
      </c>
      <c r="B2015" s="1">
        <v>45736</v>
      </c>
      <c r="C2015" t="str">
        <f>"679"</f>
        <v>679</v>
      </c>
      <c r="D2015" t="s">
        <v>927</v>
      </c>
      <c r="E2015" t="s">
        <v>928</v>
      </c>
      <c r="F2015" t="str">
        <f t="shared" si="44"/>
        <v>40110000</v>
      </c>
      <c r="G2015" t="str">
        <f>"40110124"</f>
        <v>40110124</v>
      </c>
      <c r="H2015" t="s">
        <v>929</v>
      </c>
      <c r="I2015" s="1">
        <v>45808</v>
      </c>
      <c r="K2015" s="4">
        <v>90958</v>
      </c>
    </row>
    <row r="2016" spans="1:11" hidden="1" outlineLevel="2" x14ac:dyDescent="0.35">
      <c r="A2016" t="s">
        <v>354</v>
      </c>
      <c r="B2016" s="1">
        <v>45736</v>
      </c>
      <c r="C2016" t="str">
        <f>"680"</f>
        <v>680</v>
      </c>
      <c r="D2016" t="s">
        <v>930</v>
      </c>
      <c r="E2016" t="s">
        <v>931</v>
      </c>
      <c r="F2016" t="str">
        <f t="shared" si="44"/>
        <v>40110000</v>
      </c>
      <c r="G2016" t="str">
        <f>"40110124"</f>
        <v>40110124</v>
      </c>
      <c r="H2016" t="s">
        <v>932</v>
      </c>
      <c r="I2016" s="1">
        <v>45808</v>
      </c>
      <c r="K2016" s="4">
        <v>37701</v>
      </c>
    </row>
    <row r="2017" spans="1:11" hidden="1" outlineLevel="2" x14ac:dyDescent="0.35">
      <c r="A2017" t="s">
        <v>354</v>
      </c>
      <c r="B2017" s="1">
        <v>45736</v>
      </c>
      <c r="C2017" t="str">
        <f>"681"</f>
        <v>681</v>
      </c>
      <c r="D2017" t="s">
        <v>933</v>
      </c>
      <c r="E2017" t="str">
        <f>"0001888"</f>
        <v>0001888</v>
      </c>
      <c r="F2017" t="str">
        <f t="shared" si="44"/>
        <v>40110000</v>
      </c>
      <c r="G2017" t="str">
        <f>"40110721"</f>
        <v>40110721</v>
      </c>
      <c r="H2017" t="s">
        <v>934</v>
      </c>
      <c r="I2017" s="1">
        <v>45826</v>
      </c>
      <c r="K2017" s="4">
        <v>47908</v>
      </c>
    </row>
    <row r="2018" spans="1:11" hidden="1" outlineLevel="2" x14ac:dyDescent="0.35">
      <c r="A2018" t="s">
        <v>354</v>
      </c>
      <c r="B2018" s="1">
        <v>45736</v>
      </c>
      <c r="C2018" t="str">
        <f>"758"</f>
        <v>758</v>
      </c>
      <c r="D2018" t="s">
        <v>935</v>
      </c>
      <c r="E2018" t="str">
        <f>"0000362"</f>
        <v>0000362</v>
      </c>
      <c r="F2018" t="str">
        <f t="shared" si="44"/>
        <v>40110000</v>
      </c>
      <c r="G2018" t="str">
        <f>"40110205"</f>
        <v>40110205</v>
      </c>
      <c r="H2018" t="s">
        <v>936</v>
      </c>
      <c r="I2018" s="1">
        <v>45796</v>
      </c>
      <c r="K2018" s="4">
        <v>121745</v>
      </c>
    </row>
    <row r="2019" spans="1:11" hidden="1" outlineLevel="2" x14ac:dyDescent="0.35">
      <c r="A2019" t="s">
        <v>354</v>
      </c>
      <c r="B2019" s="1">
        <v>45736</v>
      </c>
      <c r="C2019" t="str">
        <f>"759"</f>
        <v>759</v>
      </c>
      <c r="D2019" t="s">
        <v>937</v>
      </c>
      <c r="E2019" t="str">
        <f>"0000367"</f>
        <v>0000367</v>
      </c>
      <c r="F2019" t="str">
        <f t="shared" si="44"/>
        <v>40110000</v>
      </c>
      <c r="G2019" t="str">
        <f>"40110205"</f>
        <v>40110205</v>
      </c>
      <c r="H2019" t="s">
        <v>938</v>
      </c>
      <c r="I2019" s="1">
        <v>45796</v>
      </c>
      <c r="K2019" s="4">
        <v>121045</v>
      </c>
    </row>
    <row r="2020" spans="1:11" hidden="1" outlineLevel="2" x14ac:dyDescent="0.35">
      <c r="A2020" t="s">
        <v>354</v>
      </c>
      <c r="B2020" s="1">
        <v>45737</v>
      </c>
      <c r="C2020" t="str">
        <f>"739"</f>
        <v>739</v>
      </c>
      <c r="D2020" t="s">
        <v>939</v>
      </c>
      <c r="E2020" t="s">
        <v>940</v>
      </c>
      <c r="F2020" t="str">
        <f t="shared" si="44"/>
        <v>40110000</v>
      </c>
      <c r="G2020" t="str">
        <f t="shared" ref="G2020:G2029" si="46">"40110342"</f>
        <v>40110342</v>
      </c>
      <c r="H2020" t="s">
        <v>941</v>
      </c>
      <c r="I2020" s="1">
        <v>45797</v>
      </c>
      <c r="K2020" s="4">
        <v>377600</v>
      </c>
    </row>
    <row r="2021" spans="1:11" hidden="1" outlineLevel="2" x14ac:dyDescent="0.35">
      <c r="A2021" t="s">
        <v>354</v>
      </c>
      <c r="B2021" s="1">
        <v>45737</v>
      </c>
      <c r="C2021" t="str">
        <f>"742"</f>
        <v>742</v>
      </c>
      <c r="D2021" t="s">
        <v>942</v>
      </c>
      <c r="E2021" t="s">
        <v>943</v>
      </c>
      <c r="F2021" t="str">
        <f t="shared" si="44"/>
        <v>40110000</v>
      </c>
      <c r="G2021" t="str">
        <f t="shared" si="46"/>
        <v>40110342</v>
      </c>
      <c r="H2021" t="s">
        <v>944</v>
      </c>
      <c r="I2021" s="1">
        <v>45797</v>
      </c>
      <c r="K2021" s="4">
        <v>41300</v>
      </c>
    </row>
    <row r="2022" spans="1:11" hidden="1" outlineLevel="2" x14ac:dyDescent="0.35">
      <c r="A2022" t="s">
        <v>354</v>
      </c>
      <c r="B2022" s="1">
        <v>45737</v>
      </c>
      <c r="C2022" t="str">
        <f>"743"</f>
        <v>743</v>
      </c>
      <c r="D2022" t="s">
        <v>945</v>
      </c>
      <c r="E2022" t="s">
        <v>946</v>
      </c>
      <c r="F2022" t="str">
        <f t="shared" si="44"/>
        <v>40110000</v>
      </c>
      <c r="G2022" t="str">
        <f t="shared" si="46"/>
        <v>40110342</v>
      </c>
      <c r="H2022" t="s">
        <v>947</v>
      </c>
      <c r="I2022" s="1">
        <v>45797</v>
      </c>
      <c r="K2022" s="4">
        <v>59212</v>
      </c>
    </row>
    <row r="2023" spans="1:11" hidden="1" outlineLevel="2" x14ac:dyDescent="0.35">
      <c r="A2023" t="s">
        <v>354</v>
      </c>
      <c r="B2023" s="1">
        <v>45737</v>
      </c>
      <c r="C2023" t="str">
        <f>"744"</f>
        <v>744</v>
      </c>
      <c r="D2023" t="s">
        <v>948</v>
      </c>
      <c r="E2023" t="s">
        <v>949</v>
      </c>
      <c r="F2023" t="str">
        <f t="shared" si="44"/>
        <v>40110000</v>
      </c>
      <c r="G2023" t="str">
        <f t="shared" si="46"/>
        <v>40110342</v>
      </c>
      <c r="H2023" t="s">
        <v>950</v>
      </c>
      <c r="I2023" s="1">
        <v>45797</v>
      </c>
      <c r="K2023" s="4">
        <v>24061</v>
      </c>
    </row>
    <row r="2024" spans="1:11" hidden="1" outlineLevel="2" x14ac:dyDescent="0.35">
      <c r="A2024" t="s">
        <v>354</v>
      </c>
      <c r="B2024" s="1">
        <v>45737</v>
      </c>
      <c r="C2024" t="str">
        <f>"745"</f>
        <v>745</v>
      </c>
      <c r="D2024" t="s">
        <v>951</v>
      </c>
      <c r="E2024" t="s">
        <v>952</v>
      </c>
      <c r="F2024" t="str">
        <f t="shared" si="44"/>
        <v>40110000</v>
      </c>
      <c r="G2024" t="str">
        <f t="shared" si="46"/>
        <v>40110342</v>
      </c>
      <c r="H2024" t="s">
        <v>953</v>
      </c>
      <c r="I2024" s="1">
        <v>45797</v>
      </c>
      <c r="K2024" s="4">
        <v>144368</v>
      </c>
    </row>
    <row r="2025" spans="1:11" hidden="1" outlineLevel="2" x14ac:dyDescent="0.35">
      <c r="A2025" t="s">
        <v>354</v>
      </c>
      <c r="B2025" s="1">
        <v>45737</v>
      </c>
      <c r="C2025" t="str">
        <f>"746"</f>
        <v>746</v>
      </c>
      <c r="D2025" t="s">
        <v>954</v>
      </c>
      <c r="E2025" t="s">
        <v>955</v>
      </c>
      <c r="F2025" t="str">
        <f t="shared" si="44"/>
        <v>40110000</v>
      </c>
      <c r="G2025" t="str">
        <f t="shared" si="46"/>
        <v>40110342</v>
      </c>
      <c r="H2025" t="s">
        <v>956</v>
      </c>
      <c r="I2025" s="1">
        <v>45797</v>
      </c>
      <c r="K2025" s="4">
        <v>116673</v>
      </c>
    </row>
    <row r="2026" spans="1:11" hidden="1" outlineLevel="2" x14ac:dyDescent="0.35">
      <c r="A2026" t="s">
        <v>354</v>
      </c>
      <c r="B2026" s="1">
        <v>45737</v>
      </c>
      <c r="C2026" t="str">
        <f>"747"</f>
        <v>747</v>
      </c>
      <c r="D2026" t="s">
        <v>957</v>
      </c>
      <c r="E2026" t="s">
        <v>958</v>
      </c>
      <c r="F2026" t="str">
        <f t="shared" si="44"/>
        <v>40110000</v>
      </c>
      <c r="G2026" t="str">
        <f t="shared" si="46"/>
        <v>40110342</v>
      </c>
      <c r="H2026" t="s">
        <v>959</v>
      </c>
      <c r="I2026" s="1">
        <v>45797</v>
      </c>
      <c r="K2026" s="4">
        <v>171395</v>
      </c>
    </row>
    <row r="2027" spans="1:11" hidden="1" outlineLevel="2" x14ac:dyDescent="0.35">
      <c r="A2027" t="s">
        <v>354</v>
      </c>
      <c r="B2027" s="1">
        <v>45737</v>
      </c>
      <c r="C2027" t="str">
        <f>"748"</f>
        <v>748</v>
      </c>
      <c r="D2027" t="s">
        <v>960</v>
      </c>
      <c r="E2027" t="s">
        <v>961</v>
      </c>
      <c r="F2027" t="str">
        <f t="shared" si="44"/>
        <v>40110000</v>
      </c>
      <c r="G2027" t="str">
        <f t="shared" si="46"/>
        <v>40110342</v>
      </c>
      <c r="H2027" t="s">
        <v>962</v>
      </c>
      <c r="I2027" s="1">
        <v>45797</v>
      </c>
      <c r="K2027" s="4">
        <v>96246</v>
      </c>
    </row>
    <row r="2028" spans="1:11" hidden="1" outlineLevel="2" x14ac:dyDescent="0.35">
      <c r="A2028" t="s">
        <v>354</v>
      </c>
      <c r="B2028" s="1">
        <v>45737</v>
      </c>
      <c r="C2028" t="str">
        <f>"749"</f>
        <v>749</v>
      </c>
      <c r="D2028" t="s">
        <v>963</v>
      </c>
      <c r="E2028" t="s">
        <v>964</v>
      </c>
      <c r="F2028" t="str">
        <f t="shared" si="44"/>
        <v>40110000</v>
      </c>
      <c r="G2028" t="str">
        <f t="shared" si="46"/>
        <v>40110342</v>
      </c>
      <c r="H2028" t="s">
        <v>965</v>
      </c>
      <c r="I2028" s="1">
        <v>45797</v>
      </c>
      <c r="K2028" s="4">
        <v>41300</v>
      </c>
    </row>
    <row r="2029" spans="1:11" hidden="1" outlineLevel="2" x14ac:dyDescent="0.35">
      <c r="A2029" t="s">
        <v>354</v>
      </c>
      <c r="B2029" s="1">
        <v>45737</v>
      </c>
      <c r="C2029" t="str">
        <f>"750"</f>
        <v>750</v>
      </c>
      <c r="D2029" t="s">
        <v>966</v>
      </c>
      <c r="E2029" t="s">
        <v>967</v>
      </c>
      <c r="F2029" t="str">
        <f t="shared" si="44"/>
        <v>40110000</v>
      </c>
      <c r="G2029" t="str">
        <f t="shared" si="46"/>
        <v>40110342</v>
      </c>
      <c r="H2029" t="s">
        <v>968</v>
      </c>
      <c r="I2029" s="1">
        <v>45797</v>
      </c>
      <c r="K2029" s="4">
        <v>106200</v>
      </c>
    </row>
    <row r="2030" spans="1:11" hidden="1" outlineLevel="2" x14ac:dyDescent="0.35">
      <c r="A2030" t="s">
        <v>354</v>
      </c>
      <c r="B2030" s="1">
        <v>45737</v>
      </c>
      <c r="C2030" t="str">
        <f>"752"</f>
        <v>752</v>
      </c>
      <c r="D2030" t="s">
        <v>969</v>
      </c>
      <c r="E2030" t="str">
        <f>"0416687"</f>
        <v>0416687</v>
      </c>
      <c r="F2030" t="str">
        <f t="shared" si="44"/>
        <v>40110000</v>
      </c>
      <c r="G2030" t="str">
        <f>"40110579"</f>
        <v>40110579</v>
      </c>
      <c r="H2030" t="s">
        <v>970</v>
      </c>
      <c r="I2030" s="1">
        <v>45737</v>
      </c>
      <c r="K2030" s="4">
        <v>150000</v>
      </c>
    </row>
    <row r="2031" spans="1:11" hidden="1" outlineLevel="2" x14ac:dyDescent="0.35">
      <c r="A2031" t="s">
        <v>354</v>
      </c>
      <c r="B2031" s="1">
        <v>45737</v>
      </c>
      <c r="C2031" t="str">
        <f>"756"</f>
        <v>756</v>
      </c>
      <c r="D2031" t="s">
        <v>971</v>
      </c>
      <c r="E2031" t="str">
        <f>"779401"</f>
        <v>779401</v>
      </c>
      <c r="F2031" t="str">
        <f t="shared" si="44"/>
        <v>40110000</v>
      </c>
      <c r="G2031" t="str">
        <f>"40110494"</f>
        <v>40110494</v>
      </c>
      <c r="H2031" t="s">
        <v>972</v>
      </c>
      <c r="I2031" s="1">
        <v>45767</v>
      </c>
      <c r="K2031" s="4">
        <v>65000</v>
      </c>
    </row>
    <row r="2032" spans="1:11" hidden="1" outlineLevel="2" x14ac:dyDescent="0.35">
      <c r="A2032" t="s">
        <v>354</v>
      </c>
      <c r="B2032" s="1">
        <v>45740</v>
      </c>
      <c r="C2032" t="str">
        <f>"669"</f>
        <v>669</v>
      </c>
      <c r="D2032" t="s">
        <v>973</v>
      </c>
      <c r="E2032" t="str">
        <f>"27"</f>
        <v>27</v>
      </c>
      <c r="F2032" t="str">
        <f t="shared" si="44"/>
        <v>40110000</v>
      </c>
      <c r="G2032" t="str">
        <f>"40120644"</f>
        <v>40120644</v>
      </c>
      <c r="H2032" t="s">
        <v>974</v>
      </c>
      <c r="I2032" s="1">
        <v>45770</v>
      </c>
      <c r="K2032" s="4">
        <v>1065540</v>
      </c>
    </row>
    <row r="2033" spans="1:11" hidden="1" outlineLevel="2" x14ac:dyDescent="0.35">
      <c r="A2033" t="s">
        <v>354</v>
      </c>
      <c r="B2033" s="1">
        <v>45740</v>
      </c>
      <c r="C2033" t="str">
        <f>"672"</f>
        <v>672</v>
      </c>
      <c r="D2033" t="s">
        <v>975</v>
      </c>
      <c r="E2033" t="str">
        <f>"0000338"</f>
        <v>0000338</v>
      </c>
      <c r="F2033" t="str">
        <f t="shared" si="44"/>
        <v>40110000</v>
      </c>
      <c r="G2033" t="str">
        <f>"40112100"</f>
        <v>40112100</v>
      </c>
      <c r="H2033" t="s">
        <v>976</v>
      </c>
      <c r="I2033" s="1">
        <v>45740</v>
      </c>
      <c r="K2033" s="4">
        <v>796500</v>
      </c>
    </row>
    <row r="2034" spans="1:11" hidden="1" outlineLevel="2" x14ac:dyDescent="0.35">
      <c r="A2034" t="s">
        <v>354</v>
      </c>
      <c r="B2034" s="1">
        <v>45740</v>
      </c>
      <c r="C2034" t="str">
        <f>"673"</f>
        <v>673</v>
      </c>
      <c r="D2034" t="s">
        <v>977</v>
      </c>
      <c r="E2034" t="str">
        <f>"0000339"</f>
        <v>0000339</v>
      </c>
      <c r="F2034" t="str">
        <f t="shared" si="44"/>
        <v>40110000</v>
      </c>
      <c r="G2034" t="str">
        <f>"40112100"</f>
        <v>40112100</v>
      </c>
      <c r="H2034" t="s">
        <v>978</v>
      </c>
      <c r="I2034" s="1">
        <v>45740</v>
      </c>
      <c r="K2034" s="4">
        <v>751660</v>
      </c>
    </row>
    <row r="2035" spans="1:11" hidden="1" outlineLevel="2" x14ac:dyDescent="0.35">
      <c r="A2035" t="s">
        <v>354</v>
      </c>
      <c r="B2035" s="1">
        <v>45740</v>
      </c>
      <c r="C2035" t="str">
        <f>"682"</f>
        <v>682</v>
      </c>
      <c r="D2035" t="s">
        <v>979</v>
      </c>
      <c r="E2035" t="str">
        <f>"0001909"</f>
        <v>0001909</v>
      </c>
      <c r="F2035" t="str">
        <f t="shared" si="44"/>
        <v>40110000</v>
      </c>
      <c r="G2035" t="str">
        <f>"40110721"</f>
        <v>40110721</v>
      </c>
      <c r="H2035" t="s">
        <v>980</v>
      </c>
      <c r="I2035" s="1">
        <v>45830</v>
      </c>
      <c r="K2035" s="4">
        <v>69384</v>
      </c>
    </row>
    <row r="2036" spans="1:11" hidden="1" outlineLevel="2" x14ac:dyDescent="0.35">
      <c r="A2036" t="s">
        <v>354</v>
      </c>
      <c r="B2036" s="1">
        <v>45740</v>
      </c>
      <c r="C2036" t="str">
        <f>"683"</f>
        <v>683</v>
      </c>
      <c r="D2036" t="s">
        <v>981</v>
      </c>
      <c r="E2036" t="str">
        <f>"0001910"</f>
        <v>0001910</v>
      </c>
      <c r="F2036" t="str">
        <f t="shared" si="44"/>
        <v>40110000</v>
      </c>
      <c r="G2036" t="str">
        <f>"40110721"</f>
        <v>40110721</v>
      </c>
      <c r="H2036" t="s">
        <v>982</v>
      </c>
      <c r="I2036" s="1">
        <v>45830</v>
      </c>
      <c r="K2036" s="4">
        <v>99120</v>
      </c>
    </row>
    <row r="2037" spans="1:11" hidden="1" outlineLevel="2" x14ac:dyDescent="0.35">
      <c r="A2037" t="s">
        <v>354</v>
      </c>
      <c r="B2037" s="1">
        <v>45740</v>
      </c>
      <c r="C2037" t="str">
        <f>"685"</f>
        <v>685</v>
      </c>
      <c r="D2037" t="s">
        <v>983</v>
      </c>
      <c r="E2037" t="s">
        <v>984</v>
      </c>
      <c r="F2037" t="str">
        <f t="shared" si="44"/>
        <v>40110000</v>
      </c>
      <c r="G2037" t="str">
        <f t="shared" ref="G2037:G2042" si="47">"40110010"</f>
        <v>40110010</v>
      </c>
      <c r="H2037" t="s">
        <v>985</v>
      </c>
      <c r="I2037" s="1">
        <v>45838</v>
      </c>
      <c r="K2037" s="4">
        <v>131093</v>
      </c>
    </row>
    <row r="2038" spans="1:11" hidden="1" outlineLevel="2" x14ac:dyDescent="0.35">
      <c r="A2038" t="s">
        <v>354</v>
      </c>
      <c r="B2038" s="1">
        <v>45740</v>
      </c>
      <c r="C2038" t="str">
        <f>"686"</f>
        <v>686</v>
      </c>
      <c r="D2038" t="s">
        <v>986</v>
      </c>
      <c r="E2038" t="s">
        <v>987</v>
      </c>
      <c r="F2038" t="str">
        <f t="shared" si="44"/>
        <v>40110000</v>
      </c>
      <c r="G2038" t="str">
        <f t="shared" si="47"/>
        <v>40110010</v>
      </c>
      <c r="H2038" t="s">
        <v>988</v>
      </c>
      <c r="I2038" s="1">
        <v>45838</v>
      </c>
      <c r="K2038" s="4">
        <v>359205</v>
      </c>
    </row>
    <row r="2039" spans="1:11" hidden="1" outlineLevel="2" x14ac:dyDescent="0.35">
      <c r="A2039" t="s">
        <v>354</v>
      </c>
      <c r="B2039" s="1">
        <v>45740</v>
      </c>
      <c r="C2039" t="str">
        <f>"687"</f>
        <v>687</v>
      </c>
      <c r="D2039" t="s">
        <v>989</v>
      </c>
      <c r="E2039" t="s">
        <v>990</v>
      </c>
      <c r="F2039" t="str">
        <f t="shared" si="44"/>
        <v>40110000</v>
      </c>
      <c r="G2039" t="str">
        <f t="shared" si="47"/>
        <v>40110010</v>
      </c>
      <c r="H2039" t="s">
        <v>991</v>
      </c>
      <c r="I2039" s="1">
        <v>45838</v>
      </c>
      <c r="K2039" s="4">
        <v>61096</v>
      </c>
    </row>
    <row r="2040" spans="1:11" hidden="1" outlineLevel="2" x14ac:dyDescent="0.35">
      <c r="A2040" t="s">
        <v>354</v>
      </c>
      <c r="B2040" s="1">
        <v>45740</v>
      </c>
      <c r="C2040" t="str">
        <f>"688"</f>
        <v>688</v>
      </c>
      <c r="D2040" t="s">
        <v>992</v>
      </c>
      <c r="E2040" t="s">
        <v>993</v>
      </c>
      <c r="F2040" t="str">
        <f t="shared" si="44"/>
        <v>40110000</v>
      </c>
      <c r="G2040" t="str">
        <f t="shared" si="47"/>
        <v>40110010</v>
      </c>
      <c r="H2040" t="s">
        <v>994</v>
      </c>
      <c r="I2040" s="1">
        <v>45838</v>
      </c>
      <c r="K2040" s="4">
        <v>767000</v>
      </c>
    </row>
    <row r="2041" spans="1:11" hidden="1" outlineLevel="2" x14ac:dyDescent="0.35">
      <c r="A2041" t="s">
        <v>354</v>
      </c>
      <c r="B2041" s="1">
        <v>45740</v>
      </c>
      <c r="C2041" t="str">
        <f>"689"</f>
        <v>689</v>
      </c>
      <c r="D2041" t="s">
        <v>995</v>
      </c>
      <c r="E2041" t="s">
        <v>996</v>
      </c>
      <c r="F2041" t="str">
        <f t="shared" si="44"/>
        <v>40110000</v>
      </c>
      <c r="G2041" t="str">
        <f t="shared" si="47"/>
        <v>40110010</v>
      </c>
      <c r="H2041" t="s">
        <v>997</v>
      </c>
      <c r="I2041" s="1">
        <v>45838</v>
      </c>
      <c r="K2041" s="4">
        <v>234295</v>
      </c>
    </row>
    <row r="2042" spans="1:11" hidden="1" outlineLevel="2" x14ac:dyDescent="0.35">
      <c r="A2042" t="s">
        <v>354</v>
      </c>
      <c r="B2042" s="1">
        <v>45740</v>
      </c>
      <c r="C2042" t="str">
        <f>"690"</f>
        <v>690</v>
      </c>
      <c r="D2042" t="s">
        <v>998</v>
      </c>
      <c r="E2042" t="s">
        <v>999</v>
      </c>
      <c r="F2042" t="str">
        <f t="shared" si="44"/>
        <v>40110000</v>
      </c>
      <c r="G2042" t="str">
        <f t="shared" si="47"/>
        <v>40110010</v>
      </c>
      <c r="H2042" t="s">
        <v>1000</v>
      </c>
      <c r="I2042" s="1">
        <v>45838</v>
      </c>
      <c r="K2042" s="4">
        <v>710360</v>
      </c>
    </row>
    <row r="2043" spans="1:11" hidden="1" outlineLevel="2" x14ac:dyDescent="0.35">
      <c r="A2043" t="s">
        <v>354</v>
      </c>
      <c r="B2043" s="1">
        <v>45740</v>
      </c>
      <c r="C2043" t="str">
        <f>"760"</f>
        <v>760</v>
      </c>
      <c r="D2043" t="s">
        <v>1001</v>
      </c>
      <c r="E2043" t="str">
        <f>"0000381"</f>
        <v>0000381</v>
      </c>
      <c r="F2043" t="str">
        <f t="shared" si="44"/>
        <v>40110000</v>
      </c>
      <c r="G2043" t="str">
        <f>"40110205"</f>
        <v>40110205</v>
      </c>
      <c r="H2043" t="s">
        <v>1002</v>
      </c>
      <c r="I2043" s="1">
        <v>45800</v>
      </c>
      <c r="K2043" s="4">
        <v>1183955</v>
      </c>
    </row>
    <row r="2044" spans="1:11" hidden="1" outlineLevel="2" x14ac:dyDescent="0.35">
      <c r="A2044" t="s">
        <v>354</v>
      </c>
      <c r="B2044" s="1">
        <v>45740</v>
      </c>
      <c r="C2044" t="str">
        <f>"797"</f>
        <v>797</v>
      </c>
      <c r="D2044" t="s">
        <v>1003</v>
      </c>
      <c r="E2044" t="str">
        <f>"00290689"</f>
        <v>00290689</v>
      </c>
      <c r="F2044" t="str">
        <f t="shared" si="44"/>
        <v>40110000</v>
      </c>
      <c r="G2044" t="str">
        <f>"40110397"</f>
        <v>40110397</v>
      </c>
      <c r="H2044" t="s">
        <v>1004</v>
      </c>
      <c r="I2044" s="1">
        <v>45800</v>
      </c>
      <c r="K2044" s="4">
        <v>469000</v>
      </c>
    </row>
    <row r="2045" spans="1:11" hidden="1" outlineLevel="2" x14ac:dyDescent="0.35">
      <c r="A2045" t="s">
        <v>354</v>
      </c>
      <c r="B2045" s="1">
        <v>45740</v>
      </c>
      <c r="C2045" t="str">
        <f>"798"</f>
        <v>798</v>
      </c>
      <c r="D2045" t="s">
        <v>1005</v>
      </c>
      <c r="E2045" t="str">
        <f>"00290690"</f>
        <v>00290690</v>
      </c>
      <c r="F2045" t="str">
        <f t="shared" si="44"/>
        <v>40110000</v>
      </c>
      <c r="G2045" t="str">
        <f>"40110397"</f>
        <v>40110397</v>
      </c>
      <c r="H2045" t="s">
        <v>1006</v>
      </c>
      <c r="I2045" s="1">
        <v>45800</v>
      </c>
      <c r="K2045" s="4">
        <v>1045300</v>
      </c>
    </row>
    <row r="2046" spans="1:11" hidden="1" outlineLevel="2" x14ac:dyDescent="0.35">
      <c r="A2046" t="s">
        <v>354</v>
      </c>
      <c r="B2046" s="1">
        <v>45741</v>
      </c>
      <c r="C2046" t="str">
        <f>"684"</f>
        <v>684</v>
      </c>
      <c r="D2046" t="s">
        <v>1007</v>
      </c>
      <c r="E2046" t="str">
        <f>"0001922"</f>
        <v>0001922</v>
      </c>
      <c r="F2046" t="str">
        <f t="shared" si="44"/>
        <v>40110000</v>
      </c>
      <c r="G2046" t="str">
        <f>"40110721"</f>
        <v>40110721</v>
      </c>
      <c r="H2046" t="s">
        <v>1008</v>
      </c>
      <c r="I2046" s="1">
        <v>45831</v>
      </c>
      <c r="K2046" s="4">
        <v>39648</v>
      </c>
    </row>
    <row r="2047" spans="1:11" hidden="1" outlineLevel="2" x14ac:dyDescent="0.35">
      <c r="A2047" t="s">
        <v>354</v>
      </c>
      <c r="B2047" s="1">
        <v>45741</v>
      </c>
      <c r="C2047" t="str">
        <f>"708"</f>
        <v>708</v>
      </c>
      <c r="D2047" t="s">
        <v>1009</v>
      </c>
      <c r="E2047" t="s">
        <v>1010</v>
      </c>
      <c r="F2047" t="str">
        <f t="shared" si="44"/>
        <v>40110000</v>
      </c>
      <c r="G2047" t="str">
        <f t="shared" ref="G2047:G2052" si="48">"40110038"</f>
        <v>40110038</v>
      </c>
      <c r="H2047" t="s">
        <v>1011</v>
      </c>
      <c r="I2047" s="1">
        <v>45808</v>
      </c>
      <c r="K2047" s="4">
        <v>2950</v>
      </c>
    </row>
    <row r="2048" spans="1:11" hidden="1" outlineLevel="2" x14ac:dyDescent="0.35">
      <c r="A2048" t="s">
        <v>354</v>
      </c>
      <c r="B2048" s="1">
        <v>45741</v>
      </c>
      <c r="C2048" t="str">
        <f>"709"</f>
        <v>709</v>
      </c>
      <c r="D2048" t="s">
        <v>1012</v>
      </c>
      <c r="E2048" t="s">
        <v>1013</v>
      </c>
      <c r="F2048" t="str">
        <f t="shared" si="44"/>
        <v>40110000</v>
      </c>
      <c r="G2048" t="str">
        <f t="shared" si="48"/>
        <v>40110038</v>
      </c>
      <c r="H2048" t="s">
        <v>1014</v>
      </c>
      <c r="I2048" s="1">
        <v>45808</v>
      </c>
      <c r="K2048" s="4">
        <v>39530</v>
      </c>
    </row>
    <row r="2049" spans="1:11" hidden="1" outlineLevel="2" x14ac:dyDescent="0.35">
      <c r="A2049" t="s">
        <v>354</v>
      </c>
      <c r="B2049" s="1">
        <v>45741</v>
      </c>
      <c r="C2049" t="str">
        <f>"710"</f>
        <v>710</v>
      </c>
      <c r="D2049" t="s">
        <v>1015</v>
      </c>
      <c r="E2049" t="s">
        <v>1016</v>
      </c>
      <c r="F2049" t="str">
        <f t="shared" si="44"/>
        <v>40110000</v>
      </c>
      <c r="G2049" t="str">
        <f t="shared" si="48"/>
        <v>40110038</v>
      </c>
      <c r="H2049" t="s">
        <v>1017</v>
      </c>
      <c r="I2049" s="1">
        <v>45808</v>
      </c>
      <c r="K2049" s="4">
        <v>77526</v>
      </c>
    </row>
    <row r="2050" spans="1:11" hidden="1" outlineLevel="2" x14ac:dyDescent="0.35">
      <c r="A2050" t="s">
        <v>354</v>
      </c>
      <c r="B2050" s="1">
        <v>45741</v>
      </c>
      <c r="C2050" t="str">
        <f>"711"</f>
        <v>711</v>
      </c>
      <c r="D2050" t="s">
        <v>1018</v>
      </c>
      <c r="E2050" t="s">
        <v>1019</v>
      </c>
      <c r="F2050" t="str">
        <f t="shared" ref="F2050:F2113" si="49">"40110000"</f>
        <v>40110000</v>
      </c>
      <c r="G2050" t="str">
        <f t="shared" si="48"/>
        <v>40110038</v>
      </c>
      <c r="H2050" t="s">
        <v>1020</v>
      </c>
      <c r="I2050" s="1">
        <v>45808</v>
      </c>
      <c r="K2050" s="4">
        <v>48852</v>
      </c>
    </row>
    <row r="2051" spans="1:11" hidden="1" outlineLevel="2" x14ac:dyDescent="0.35">
      <c r="A2051" t="s">
        <v>354</v>
      </c>
      <c r="B2051" s="1">
        <v>45741</v>
      </c>
      <c r="C2051" t="str">
        <f>"712"</f>
        <v>712</v>
      </c>
      <c r="D2051" t="s">
        <v>1021</v>
      </c>
      <c r="E2051" t="s">
        <v>1022</v>
      </c>
      <c r="F2051" t="str">
        <f t="shared" si="49"/>
        <v>40110000</v>
      </c>
      <c r="G2051" t="str">
        <f t="shared" si="48"/>
        <v>40110038</v>
      </c>
      <c r="H2051" t="s">
        <v>1023</v>
      </c>
      <c r="I2051" s="1">
        <v>45808</v>
      </c>
      <c r="K2051" s="4">
        <v>114460</v>
      </c>
    </row>
    <row r="2052" spans="1:11" hidden="1" outlineLevel="2" x14ac:dyDescent="0.35">
      <c r="A2052" t="s">
        <v>354</v>
      </c>
      <c r="B2052" s="1">
        <v>45741</v>
      </c>
      <c r="C2052" t="str">
        <f>"713"</f>
        <v>713</v>
      </c>
      <c r="D2052" t="s">
        <v>1024</v>
      </c>
      <c r="E2052" t="s">
        <v>1025</v>
      </c>
      <c r="F2052" t="str">
        <f t="shared" si="49"/>
        <v>40110000</v>
      </c>
      <c r="G2052" t="str">
        <f t="shared" si="48"/>
        <v>40110038</v>
      </c>
      <c r="H2052" t="s">
        <v>1026</v>
      </c>
      <c r="I2052" s="1">
        <v>45808</v>
      </c>
      <c r="K2052" s="4">
        <v>103840</v>
      </c>
    </row>
    <row r="2053" spans="1:11" hidden="1" outlineLevel="2" x14ac:dyDescent="0.35">
      <c r="A2053" t="s">
        <v>354</v>
      </c>
      <c r="B2053" s="1">
        <v>45741</v>
      </c>
      <c r="C2053" t="str">
        <f>"714"</f>
        <v>714</v>
      </c>
      <c r="D2053" t="s">
        <v>1027</v>
      </c>
      <c r="E2053" t="s">
        <v>1028</v>
      </c>
      <c r="F2053" t="str">
        <f t="shared" si="49"/>
        <v>40110000</v>
      </c>
      <c r="G2053" t="str">
        <f t="shared" ref="G2053:G2058" si="50">"40110081"</f>
        <v>40110081</v>
      </c>
      <c r="H2053" t="s">
        <v>1029</v>
      </c>
      <c r="I2053" s="1">
        <v>45808</v>
      </c>
      <c r="K2053" s="4">
        <v>539025</v>
      </c>
    </row>
    <row r="2054" spans="1:11" hidden="1" outlineLevel="2" x14ac:dyDescent="0.35">
      <c r="A2054" t="s">
        <v>354</v>
      </c>
      <c r="B2054" s="1">
        <v>45741</v>
      </c>
      <c r="C2054" t="str">
        <f>"715"</f>
        <v>715</v>
      </c>
      <c r="D2054" t="s">
        <v>1030</v>
      </c>
      <c r="E2054" t="s">
        <v>1031</v>
      </c>
      <c r="F2054" t="str">
        <f t="shared" si="49"/>
        <v>40110000</v>
      </c>
      <c r="G2054" t="str">
        <f t="shared" si="50"/>
        <v>40110081</v>
      </c>
      <c r="H2054" t="s">
        <v>1032</v>
      </c>
      <c r="I2054" s="1">
        <v>45808</v>
      </c>
      <c r="K2054" s="4">
        <v>402264</v>
      </c>
    </row>
    <row r="2055" spans="1:11" hidden="1" outlineLevel="2" x14ac:dyDescent="0.35">
      <c r="A2055" t="s">
        <v>354</v>
      </c>
      <c r="B2055" s="1">
        <v>45741</v>
      </c>
      <c r="C2055" t="str">
        <f>"721"</f>
        <v>721</v>
      </c>
      <c r="D2055" t="s">
        <v>1033</v>
      </c>
      <c r="E2055" t="s">
        <v>1034</v>
      </c>
      <c r="F2055" t="str">
        <f t="shared" si="49"/>
        <v>40110000</v>
      </c>
      <c r="G2055" t="str">
        <f t="shared" si="50"/>
        <v>40110081</v>
      </c>
      <c r="H2055" t="s">
        <v>1035</v>
      </c>
      <c r="I2055" s="1">
        <v>45808</v>
      </c>
      <c r="K2055" s="4">
        <v>236000</v>
      </c>
    </row>
    <row r="2056" spans="1:11" hidden="1" outlineLevel="2" x14ac:dyDescent="0.35">
      <c r="A2056" t="s">
        <v>354</v>
      </c>
      <c r="B2056" s="1">
        <v>45741</v>
      </c>
      <c r="C2056" t="str">
        <f>"722"</f>
        <v>722</v>
      </c>
      <c r="D2056" t="s">
        <v>1036</v>
      </c>
      <c r="E2056" t="s">
        <v>1037</v>
      </c>
      <c r="F2056" t="str">
        <f t="shared" si="49"/>
        <v>40110000</v>
      </c>
      <c r="G2056" t="str">
        <f t="shared" si="50"/>
        <v>40110081</v>
      </c>
      <c r="H2056" t="s">
        <v>1038</v>
      </c>
      <c r="I2056" s="1">
        <v>45808</v>
      </c>
      <c r="K2056" s="4">
        <v>803379</v>
      </c>
    </row>
    <row r="2057" spans="1:11" hidden="1" outlineLevel="2" x14ac:dyDescent="0.35">
      <c r="A2057" t="s">
        <v>354</v>
      </c>
      <c r="B2057" s="1">
        <v>45741</v>
      </c>
      <c r="C2057" t="str">
        <f>"723"</f>
        <v>723</v>
      </c>
      <c r="D2057" t="s">
        <v>1039</v>
      </c>
      <c r="E2057" t="s">
        <v>1040</v>
      </c>
      <c r="F2057" t="str">
        <f t="shared" si="49"/>
        <v>40110000</v>
      </c>
      <c r="G2057" t="str">
        <f t="shared" si="50"/>
        <v>40110081</v>
      </c>
      <c r="H2057" t="s">
        <v>1041</v>
      </c>
      <c r="I2057" s="1">
        <v>45808</v>
      </c>
      <c r="K2057" s="4">
        <v>236000</v>
      </c>
    </row>
    <row r="2058" spans="1:11" hidden="1" outlineLevel="2" x14ac:dyDescent="0.35">
      <c r="A2058" t="s">
        <v>354</v>
      </c>
      <c r="B2058" s="1">
        <v>45741</v>
      </c>
      <c r="C2058" t="str">
        <f>"724"</f>
        <v>724</v>
      </c>
      <c r="D2058" t="s">
        <v>1042</v>
      </c>
      <c r="E2058" t="s">
        <v>1043</v>
      </c>
      <c r="F2058" t="str">
        <f t="shared" si="49"/>
        <v>40110000</v>
      </c>
      <c r="G2058" t="str">
        <f t="shared" si="50"/>
        <v>40110081</v>
      </c>
      <c r="H2058" t="s">
        <v>1044</v>
      </c>
      <c r="I2058" s="1">
        <v>45808</v>
      </c>
      <c r="K2058" s="4">
        <v>803379</v>
      </c>
    </row>
    <row r="2059" spans="1:11" hidden="1" outlineLevel="2" x14ac:dyDescent="0.35">
      <c r="A2059" t="s">
        <v>354</v>
      </c>
      <c r="B2059" s="1">
        <v>45741</v>
      </c>
      <c r="C2059" t="str">
        <f>"763"</f>
        <v>763</v>
      </c>
      <c r="D2059" t="s">
        <v>1045</v>
      </c>
      <c r="E2059" t="str">
        <f>"00190415"</f>
        <v>00190415</v>
      </c>
      <c r="F2059" t="str">
        <f t="shared" si="49"/>
        <v>40110000</v>
      </c>
      <c r="G2059" t="str">
        <f t="shared" ref="G2059:G2083" si="51">"40110397"</f>
        <v>40110397</v>
      </c>
      <c r="H2059" t="s">
        <v>1046</v>
      </c>
      <c r="I2059" s="1">
        <v>45801</v>
      </c>
      <c r="K2059" s="4">
        <v>540000</v>
      </c>
    </row>
    <row r="2060" spans="1:11" hidden="1" outlineLevel="2" x14ac:dyDescent="0.35">
      <c r="A2060" t="s">
        <v>354</v>
      </c>
      <c r="B2060" s="1">
        <v>45741</v>
      </c>
      <c r="C2060" t="str">
        <f>"764"</f>
        <v>764</v>
      </c>
      <c r="D2060" t="s">
        <v>1047</v>
      </c>
      <c r="E2060" t="str">
        <f>"00190416"</f>
        <v>00190416</v>
      </c>
      <c r="F2060" t="str">
        <f t="shared" si="49"/>
        <v>40110000</v>
      </c>
      <c r="G2060" t="str">
        <f t="shared" si="51"/>
        <v>40110397</v>
      </c>
      <c r="H2060" t="s">
        <v>1048</v>
      </c>
      <c r="I2060" s="1">
        <v>45801</v>
      </c>
      <c r="K2060" s="4">
        <v>545000</v>
      </c>
    </row>
    <row r="2061" spans="1:11" hidden="1" outlineLevel="2" x14ac:dyDescent="0.35">
      <c r="A2061" t="s">
        <v>354</v>
      </c>
      <c r="B2061" s="1">
        <v>45741</v>
      </c>
      <c r="C2061" t="str">
        <f>"765"</f>
        <v>765</v>
      </c>
      <c r="D2061" t="s">
        <v>1049</v>
      </c>
      <c r="E2061" t="str">
        <f>"00190418"</f>
        <v>00190418</v>
      </c>
      <c r="F2061" t="str">
        <f t="shared" si="49"/>
        <v>40110000</v>
      </c>
      <c r="G2061" t="str">
        <f t="shared" si="51"/>
        <v>40110397</v>
      </c>
      <c r="H2061" t="s">
        <v>1050</v>
      </c>
      <c r="I2061" s="1">
        <v>45801</v>
      </c>
      <c r="K2061" s="4">
        <v>1020000</v>
      </c>
    </row>
    <row r="2062" spans="1:11" hidden="1" outlineLevel="2" x14ac:dyDescent="0.35">
      <c r="A2062" t="s">
        <v>354</v>
      </c>
      <c r="B2062" s="1">
        <v>45741</v>
      </c>
      <c r="C2062" t="str">
        <f>"766"</f>
        <v>766</v>
      </c>
      <c r="D2062" t="s">
        <v>1051</v>
      </c>
      <c r="E2062" t="str">
        <f>"00190419"</f>
        <v>00190419</v>
      </c>
      <c r="F2062" t="str">
        <f t="shared" si="49"/>
        <v>40110000</v>
      </c>
      <c r="G2062" t="str">
        <f t="shared" si="51"/>
        <v>40110397</v>
      </c>
      <c r="H2062" t="s">
        <v>1052</v>
      </c>
      <c r="I2062" s="1">
        <v>45801</v>
      </c>
      <c r="K2062" s="4">
        <v>199000</v>
      </c>
    </row>
    <row r="2063" spans="1:11" hidden="1" outlineLevel="2" x14ac:dyDescent="0.35">
      <c r="A2063" t="s">
        <v>354</v>
      </c>
      <c r="B2063" s="1">
        <v>45741</v>
      </c>
      <c r="C2063" t="str">
        <f>"767"</f>
        <v>767</v>
      </c>
      <c r="D2063" t="s">
        <v>1053</v>
      </c>
      <c r="E2063" t="str">
        <f>"00190420"</f>
        <v>00190420</v>
      </c>
      <c r="F2063" t="str">
        <f t="shared" si="49"/>
        <v>40110000</v>
      </c>
      <c r="G2063" t="str">
        <f t="shared" si="51"/>
        <v>40110397</v>
      </c>
      <c r="H2063" t="s">
        <v>1054</v>
      </c>
      <c r="I2063" s="1">
        <v>45801</v>
      </c>
      <c r="K2063" s="4">
        <v>912000</v>
      </c>
    </row>
    <row r="2064" spans="1:11" hidden="1" outlineLevel="2" x14ac:dyDescent="0.35">
      <c r="A2064" t="s">
        <v>354</v>
      </c>
      <c r="B2064" s="1">
        <v>45741</v>
      </c>
      <c r="C2064" t="str">
        <f>"768"</f>
        <v>768</v>
      </c>
      <c r="D2064" t="s">
        <v>1055</v>
      </c>
      <c r="E2064" t="str">
        <f>"00190421"</f>
        <v>00190421</v>
      </c>
      <c r="F2064" t="str">
        <f t="shared" si="49"/>
        <v>40110000</v>
      </c>
      <c r="G2064" t="str">
        <f t="shared" si="51"/>
        <v>40110397</v>
      </c>
      <c r="H2064" t="s">
        <v>1056</v>
      </c>
      <c r="I2064" s="1">
        <v>45801</v>
      </c>
      <c r="K2064" s="4">
        <v>480000</v>
      </c>
    </row>
    <row r="2065" spans="1:11" hidden="1" outlineLevel="2" x14ac:dyDescent="0.35">
      <c r="A2065" t="s">
        <v>354</v>
      </c>
      <c r="B2065" s="1">
        <v>45741</v>
      </c>
      <c r="C2065" t="str">
        <f>"769"</f>
        <v>769</v>
      </c>
      <c r="D2065" t="s">
        <v>1057</v>
      </c>
      <c r="E2065" t="str">
        <f>"00190423"</f>
        <v>00190423</v>
      </c>
      <c r="F2065" t="str">
        <f t="shared" si="49"/>
        <v>40110000</v>
      </c>
      <c r="G2065" t="str">
        <f t="shared" si="51"/>
        <v>40110397</v>
      </c>
      <c r="H2065" t="s">
        <v>1058</v>
      </c>
      <c r="I2065" s="1">
        <v>45801</v>
      </c>
      <c r="K2065" s="4">
        <v>100000</v>
      </c>
    </row>
    <row r="2066" spans="1:11" hidden="1" outlineLevel="2" x14ac:dyDescent="0.35">
      <c r="A2066" t="s">
        <v>354</v>
      </c>
      <c r="B2066" s="1">
        <v>45741</v>
      </c>
      <c r="C2066" t="str">
        <f>"770"</f>
        <v>770</v>
      </c>
      <c r="D2066" t="s">
        <v>1059</v>
      </c>
      <c r="E2066" t="str">
        <f>"00190424"</f>
        <v>00190424</v>
      </c>
      <c r="F2066" t="str">
        <f t="shared" si="49"/>
        <v>40110000</v>
      </c>
      <c r="G2066" t="str">
        <f t="shared" si="51"/>
        <v>40110397</v>
      </c>
      <c r="H2066" t="s">
        <v>1060</v>
      </c>
      <c r="I2066" s="1">
        <v>45801</v>
      </c>
      <c r="K2066" s="4">
        <v>2200000</v>
      </c>
    </row>
    <row r="2067" spans="1:11" hidden="1" outlineLevel="2" x14ac:dyDescent="0.35">
      <c r="A2067" t="s">
        <v>354</v>
      </c>
      <c r="B2067" s="1">
        <v>45741</v>
      </c>
      <c r="C2067" t="str">
        <f>"771"</f>
        <v>771</v>
      </c>
      <c r="D2067" t="s">
        <v>1061</v>
      </c>
      <c r="E2067" t="str">
        <f>"00190427"</f>
        <v>00190427</v>
      </c>
      <c r="F2067" t="str">
        <f t="shared" si="49"/>
        <v>40110000</v>
      </c>
      <c r="G2067" t="str">
        <f t="shared" si="51"/>
        <v>40110397</v>
      </c>
      <c r="H2067" t="s">
        <v>1062</v>
      </c>
      <c r="I2067" s="1">
        <v>45801</v>
      </c>
      <c r="K2067" s="4">
        <v>430600</v>
      </c>
    </row>
    <row r="2068" spans="1:11" hidden="1" outlineLevel="2" x14ac:dyDescent="0.35">
      <c r="A2068" t="s">
        <v>354</v>
      </c>
      <c r="B2068" s="1">
        <v>45741</v>
      </c>
      <c r="C2068" t="str">
        <f>"772"</f>
        <v>772</v>
      </c>
      <c r="D2068" t="s">
        <v>1063</v>
      </c>
      <c r="E2068" t="str">
        <f>"00190428"</f>
        <v>00190428</v>
      </c>
      <c r="F2068" t="str">
        <f t="shared" si="49"/>
        <v>40110000</v>
      </c>
      <c r="G2068" t="str">
        <f t="shared" si="51"/>
        <v>40110397</v>
      </c>
      <c r="H2068" t="s">
        <v>1064</v>
      </c>
      <c r="I2068" s="1">
        <v>45801</v>
      </c>
      <c r="K2068" s="4">
        <v>350000</v>
      </c>
    </row>
    <row r="2069" spans="1:11" hidden="1" outlineLevel="2" x14ac:dyDescent="0.35">
      <c r="A2069" t="s">
        <v>354</v>
      </c>
      <c r="B2069" s="1">
        <v>45741</v>
      </c>
      <c r="C2069" t="str">
        <f>"773"</f>
        <v>773</v>
      </c>
      <c r="D2069" t="s">
        <v>1065</v>
      </c>
      <c r="E2069" t="str">
        <f>"00190429"</f>
        <v>00190429</v>
      </c>
      <c r="F2069" t="str">
        <f t="shared" si="49"/>
        <v>40110000</v>
      </c>
      <c r="G2069" t="str">
        <f t="shared" si="51"/>
        <v>40110397</v>
      </c>
      <c r="H2069" t="s">
        <v>1066</v>
      </c>
      <c r="I2069" s="1">
        <v>45801</v>
      </c>
      <c r="K2069" s="4">
        <v>445000</v>
      </c>
    </row>
    <row r="2070" spans="1:11" hidden="1" outlineLevel="2" x14ac:dyDescent="0.35">
      <c r="A2070" t="s">
        <v>354</v>
      </c>
      <c r="B2070" s="1">
        <v>45741</v>
      </c>
      <c r="C2070" t="str">
        <f>"774"</f>
        <v>774</v>
      </c>
      <c r="D2070" t="s">
        <v>1067</v>
      </c>
      <c r="E2070" t="str">
        <f>"00190431"</f>
        <v>00190431</v>
      </c>
      <c r="F2070" t="str">
        <f t="shared" si="49"/>
        <v>40110000</v>
      </c>
      <c r="G2070" t="str">
        <f t="shared" si="51"/>
        <v>40110397</v>
      </c>
      <c r="H2070" t="s">
        <v>1068</v>
      </c>
      <c r="I2070" s="1">
        <v>45801</v>
      </c>
      <c r="K2070" s="4">
        <v>295600</v>
      </c>
    </row>
    <row r="2071" spans="1:11" hidden="1" outlineLevel="2" x14ac:dyDescent="0.35">
      <c r="A2071" t="s">
        <v>354</v>
      </c>
      <c r="B2071" s="1">
        <v>45741</v>
      </c>
      <c r="C2071" t="str">
        <f>"775"</f>
        <v>775</v>
      </c>
      <c r="D2071" t="s">
        <v>1069</v>
      </c>
      <c r="E2071" t="str">
        <f>"00190432"</f>
        <v>00190432</v>
      </c>
      <c r="F2071" t="str">
        <f t="shared" si="49"/>
        <v>40110000</v>
      </c>
      <c r="G2071" t="str">
        <f t="shared" si="51"/>
        <v>40110397</v>
      </c>
      <c r="H2071" t="s">
        <v>1070</v>
      </c>
      <c r="I2071" s="1">
        <v>45801</v>
      </c>
      <c r="K2071" s="4">
        <v>620600</v>
      </c>
    </row>
    <row r="2072" spans="1:11" hidden="1" outlineLevel="2" x14ac:dyDescent="0.35">
      <c r="A2072" t="s">
        <v>354</v>
      </c>
      <c r="B2072" s="1">
        <v>45741</v>
      </c>
      <c r="C2072" t="str">
        <f>"776"</f>
        <v>776</v>
      </c>
      <c r="D2072" t="s">
        <v>1071</v>
      </c>
      <c r="E2072" t="str">
        <f>"00190433"</f>
        <v>00190433</v>
      </c>
      <c r="F2072" t="str">
        <f t="shared" si="49"/>
        <v>40110000</v>
      </c>
      <c r="G2072" t="str">
        <f t="shared" si="51"/>
        <v>40110397</v>
      </c>
      <c r="H2072" t="s">
        <v>1072</v>
      </c>
      <c r="I2072" s="1">
        <v>45801</v>
      </c>
      <c r="K2072" s="4">
        <v>178000</v>
      </c>
    </row>
    <row r="2073" spans="1:11" hidden="1" outlineLevel="2" x14ac:dyDescent="0.35">
      <c r="A2073" t="s">
        <v>354</v>
      </c>
      <c r="B2073" s="1">
        <v>45741</v>
      </c>
      <c r="C2073" t="str">
        <f>"777"</f>
        <v>777</v>
      </c>
      <c r="D2073" t="s">
        <v>1073</v>
      </c>
      <c r="E2073" t="str">
        <f>"00190434"</f>
        <v>00190434</v>
      </c>
      <c r="F2073" t="str">
        <f t="shared" si="49"/>
        <v>40110000</v>
      </c>
      <c r="G2073" t="str">
        <f t="shared" si="51"/>
        <v>40110397</v>
      </c>
      <c r="H2073" t="s">
        <v>1074</v>
      </c>
      <c r="I2073" s="1">
        <v>45801</v>
      </c>
      <c r="K2073" s="4">
        <v>750000</v>
      </c>
    </row>
    <row r="2074" spans="1:11" hidden="1" outlineLevel="2" x14ac:dyDescent="0.35">
      <c r="A2074" t="s">
        <v>354</v>
      </c>
      <c r="B2074" s="1">
        <v>45741</v>
      </c>
      <c r="C2074" t="str">
        <f>"778"</f>
        <v>778</v>
      </c>
      <c r="D2074" t="s">
        <v>1075</v>
      </c>
      <c r="E2074" t="str">
        <f>"00190435"</f>
        <v>00190435</v>
      </c>
      <c r="F2074" t="str">
        <f t="shared" si="49"/>
        <v>40110000</v>
      </c>
      <c r="G2074" t="str">
        <f t="shared" si="51"/>
        <v>40110397</v>
      </c>
      <c r="H2074" t="s">
        <v>1076</v>
      </c>
      <c r="I2074" s="1">
        <v>45801</v>
      </c>
      <c r="K2074" s="4">
        <v>505000</v>
      </c>
    </row>
    <row r="2075" spans="1:11" hidden="1" outlineLevel="2" x14ac:dyDescent="0.35">
      <c r="A2075" t="s">
        <v>354</v>
      </c>
      <c r="B2075" s="1">
        <v>45741</v>
      </c>
      <c r="C2075" t="str">
        <f>"779"</f>
        <v>779</v>
      </c>
      <c r="D2075" t="s">
        <v>1077</v>
      </c>
      <c r="E2075" t="str">
        <f>"00190436"</f>
        <v>00190436</v>
      </c>
      <c r="F2075" t="str">
        <f t="shared" si="49"/>
        <v>40110000</v>
      </c>
      <c r="G2075" t="str">
        <f t="shared" si="51"/>
        <v>40110397</v>
      </c>
      <c r="H2075" t="s">
        <v>1078</v>
      </c>
      <c r="I2075" s="1">
        <v>45801</v>
      </c>
      <c r="K2075" s="4">
        <v>120000</v>
      </c>
    </row>
    <row r="2076" spans="1:11" hidden="1" outlineLevel="2" x14ac:dyDescent="0.35">
      <c r="A2076" t="s">
        <v>354</v>
      </c>
      <c r="B2076" s="1">
        <v>45741</v>
      </c>
      <c r="C2076" t="str">
        <f>"780"</f>
        <v>780</v>
      </c>
      <c r="D2076" t="s">
        <v>1079</v>
      </c>
      <c r="E2076" t="str">
        <f>"00190437"</f>
        <v>00190437</v>
      </c>
      <c r="F2076" t="str">
        <f t="shared" si="49"/>
        <v>40110000</v>
      </c>
      <c r="G2076" t="str">
        <f t="shared" si="51"/>
        <v>40110397</v>
      </c>
      <c r="H2076" t="s">
        <v>1080</v>
      </c>
      <c r="I2076" s="1">
        <v>45801</v>
      </c>
      <c r="K2076" s="4">
        <v>163500</v>
      </c>
    </row>
    <row r="2077" spans="1:11" hidden="1" outlineLevel="2" x14ac:dyDescent="0.35">
      <c r="A2077" t="s">
        <v>354</v>
      </c>
      <c r="B2077" s="1">
        <v>45741</v>
      </c>
      <c r="C2077" t="str">
        <f>"781"</f>
        <v>781</v>
      </c>
      <c r="D2077" t="s">
        <v>1081</v>
      </c>
      <c r="E2077" t="str">
        <f>"00190438"</f>
        <v>00190438</v>
      </c>
      <c r="F2077" t="str">
        <f t="shared" si="49"/>
        <v>40110000</v>
      </c>
      <c r="G2077" t="str">
        <f t="shared" si="51"/>
        <v>40110397</v>
      </c>
      <c r="H2077" t="s">
        <v>1082</v>
      </c>
      <c r="I2077" s="1">
        <v>45801</v>
      </c>
      <c r="K2077" s="4">
        <v>240000</v>
      </c>
    </row>
    <row r="2078" spans="1:11" hidden="1" outlineLevel="2" x14ac:dyDescent="0.35">
      <c r="A2078" t="s">
        <v>354</v>
      </c>
      <c r="B2078" s="1">
        <v>45741</v>
      </c>
      <c r="C2078" t="str">
        <f>"782"</f>
        <v>782</v>
      </c>
      <c r="D2078" t="s">
        <v>1083</v>
      </c>
      <c r="E2078" t="str">
        <f>"00190439"</f>
        <v>00190439</v>
      </c>
      <c r="F2078" t="str">
        <f t="shared" si="49"/>
        <v>40110000</v>
      </c>
      <c r="G2078" t="str">
        <f t="shared" si="51"/>
        <v>40110397</v>
      </c>
      <c r="H2078" t="s">
        <v>1084</v>
      </c>
      <c r="I2078" s="1">
        <v>45801</v>
      </c>
      <c r="K2078" s="4">
        <v>490000</v>
      </c>
    </row>
    <row r="2079" spans="1:11" hidden="1" outlineLevel="2" x14ac:dyDescent="0.35">
      <c r="A2079" t="s">
        <v>354</v>
      </c>
      <c r="B2079" s="1">
        <v>45741</v>
      </c>
      <c r="C2079" t="str">
        <f>"783"</f>
        <v>783</v>
      </c>
      <c r="D2079" t="s">
        <v>1085</v>
      </c>
      <c r="E2079" t="str">
        <f>"00190440"</f>
        <v>00190440</v>
      </c>
      <c r="F2079" t="str">
        <f t="shared" si="49"/>
        <v>40110000</v>
      </c>
      <c r="G2079" t="str">
        <f t="shared" si="51"/>
        <v>40110397</v>
      </c>
      <c r="H2079" t="s">
        <v>1086</v>
      </c>
      <c r="I2079" s="1">
        <v>45801</v>
      </c>
      <c r="K2079" s="4">
        <v>2200000</v>
      </c>
    </row>
    <row r="2080" spans="1:11" hidden="1" outlineLevel="2" x14ac:dyDescent="0.35">
      <c r="A2080" t="s">
        <v>354</v>
      </c>
      <c r="B2080" s="1">
        <v>45741</v>
      </c>
      <c r="C2080" t="str">
        <f>"784"</f>
        <v>784</v>
      </c>
      <c r="D2080" t="s">
        <v>1087</v>
      </c>
      <c r="E2080" t="str">
        <f>"00190441"</f>
        <v>00190441</v>
      </c>
      <c r="F2080" t="str">
        <f t="shared" si="49"/>
        <v>40110000</v>
      </c>
      <c r="G2080" t="str">
        <f t="shared" si="51"/>
        <v>40110397</v>
      </c>
      <c r="H2080" t="s">
        <v>1088</v>
      </c>
      <c r="I2080" s="1">
        <v>45801</v>
      </c>
      <c r="K2080" s="4">
        <v>90000</v>
      </c>
    </row>
    <row r="2081" spans="1:11" hidden="1" outlineLevel="2" x14ac:dyDescent="0.35">
      <c r="A2081" t="s">
        <v>354</v>
      </c>
      <c r="B2081" s="1">
        <v>45741</v>
      </c>
      <c r="C2081" t="str">
        <f>"785"</f>
        <v>785</v>
      </c>
      <c r="D2081" t="s">
        <v>1089</v>
      </c>
      <c r="E2081" t="str">
        <f>"00190442"</f>
        <v>00190442</v>
      </c>
      <c r="F2081" t="str">
        <f t="shared" si="49"/>
        <v>40110000</v>
      </c>
      <c r="G2081" t="str">
        <f t="shared" si="51"/>
        <v>40110397</v>
      </c>
      <c r="H2081" t="s">
        <v>1090</v>
      </c>
      <c r="I2081" s="1">
        <v>45801</v>
      </c>
      <c r="K2081" s="4">
        <v>1600000</v>
      </c>
    </row>
    <row r="2082" spans="1:11" hidden="1" outlineLevel="2" x14ac:dyDescent="0.35">
      <c r="A2082" t="s">
        <v>354</v>
      </c>
      <c r="B2082" s="1">
        <v>45741</v>
      </c>
      <c r="C2082" t="str">
        <f>"786"</f>
        <v>786</v>
      </c>
      <c r="D2082" t="s">
        <v>1091</v>
      </c>
      <c r="E2082" t="str">
        <f>"00190443"</f>
        <v>00190443</v>
      </c>
      <c r="F2082" t="str">
        <f t="shared" si="49"/>
        <v>40110000</v>
      </c>
      <c r="G2082" t="str">
        <f t="shared" si="51"/>
        <v>40110397</v>
      </c>
      <c r="H2082" t="s">
        <v>1092</v>
      </c>
      <c r="I2082" s="1">
        <v>45801</v>
      </c>
      <c r="K2082" s="4">
        <v>90000</v>
      </c>
    </row>
    <row r="2083" spans="1:11" hidden="1" outlineLevel="2" x14ac:dyDescent="0.35">
      <c r="A2083" t="s">
        <v>354</v>
      </c>
      <c r="B2083" s="1">
        <v>45741</v>
      </c>
      <c r="C2083" t="str">
        <f>"787"</f>
        <v>787</v>
      </c>
      <c r="D2083" t="s">
        <v>1093</v>
      </c>
      <c r="E2083" t="str">
        <f>"00190444"</f>
        <v>00190444</v>
      </c>
      <c r="F2083" t="str">
        <f t="shared" si="49"/>
        <v>40110000</v>
      </c>
      <c r="G2083" t="str">
        <f t="shared" si="51"/>
        <v>40110397</v>
      </c>
      <c r="H2083" t="s">
        <v>1094</v>
      </c>
      <c r="I2083" s="1">
        <v>45801</v>
      </c>
      <c r="K2083" s="4">
        <v>285000</v>
      </c>
    </row>
    <row r="2084" spans="1:11" hidden="1" outlineLevel="2" x14ac:dyDescent="0.35">
      <c r="A2084" t="s">
        <v>354</v>
      </c>
      <c r="B2084" s="1">
        <v>45742</v>
      </c>
      <c r="C2084" t="str">
        <f>"677"</f>
        <v>677</v>
      </c>
      <c r="D2084" t="s">
        <v>1095</v>
      </c>
      <c r="E2084" t="s">
        <v>1096</v>
      </c>
      <c r="F2084" t="str">
        <f t="shared" si="49"/>
        <v>40110000</v>
      </c>
      <c r="G2084" t="str">
        <f>"40111060"</f>
        <v>40111060</v>
      </c>
      <c r="H2084" t="s">
        <v>1097</v>
      </c>
      <c r="I2084" s="1">
        <v>45742</v>
      </c>
      <c r="K2084" s="4">
        <v>185056</v>
      </c>
    </row>
    <row r="2085" spans="1:11" hidden="1" outlineLevel="2" x14ac:dyDescent="0.35">
      <c r="A2085" t="s">
        <v>354</v>
      </c>
      <c r="B2085" s="1">
        <v>45742</v>
      </c>
      <c r="C2085" t="str">
        <f>"697"</f>
        <v>697</v>
      </c>
      <c r="D2085" t="s">
        <v>1098</v>
      </c>
      <c r="E2085" t="s">
        <v>1099</v>
      </c>
      <c r="F2085" t="str">
        <f t="shared" si="49"/>
        <v>40110000</v>
      </c>
      <c r="G2085" t="str">
        <f>"40110088"</f>
        <v>40110088</v>
      </c>
      <c r="H2085" t="s">
        <v>1100</v>
      </c>
      <c r="I2085" s="1">
        <v>45808</v>
      </c>
      <c r="K2085" s="4">
        <v>36517</v>
      </c>
    </row>
    <row r="2086" spans="1:11" hidden="1" outlineLevel="2" x14ac:dyDescent="0.35">
      <c r="A2086" t="s">
        <v>354</v>
      </c>
      <c r="B2086" s="1">
        <v>45742</v>
      </c>
      <c r="C2086" t="str">
        <f>"698"</f>
        <v>698</v>
      </c>
      <c r="D2086" t="s">
        <v>1101</v>
      </c>
      <c r="E2086" t="s">
        <v>1102</v>
      </c>
      <c r="F2086" t="str">
        <f t="shared" si="49"/>
        <v>40110000</v>
      </c>
      <c r="G2086" t="str">
        <f>"40110088"</f>
        <v>40110088</v>
      </c>
      <c r="H2086" t="s">
        <v>1103</v>
      </c>
      <c r="I2086" s="1">
        <v>45808</v>
      </c>
      <c r="K2086" s="4">
        <v>58110</v>
      </c>
    </row>
    <row r="2087" spans="1:11" hidden="1" outlineLevel="2" x14ac:dyDescent="0.35">
      <c r="A2087" t="s">
        <v>354</v>
      </c>
      <c r="B2087" s="1">
        <v>45742</v>
      </c>
      <c r="C2087" t="str">
        <f>"703"</f>
        <v>703</v>
      </c>
      <c r="D2087" t="s">
        <v>1104</v>
      </c>
      <c r="E2087" t="s">
        <v>1105</v>
      </c>
      <c r="F2087" t="str">
        <f t="shared" si="49"/>
        <v>40110000</v>
      </c>
      <c r="G2087" t="str">
        <f>"40110042"</f>
        <v>40110042</v>
      </c>
      <c r="H2087" t="s">
        <v>1106</v>
      </c>
      <c r="I2087" s="1">
        <v>45802</v>
      </c>
      <c r="K2087" s="4">
        <v>69030</v>
      </c>
    </row>
    <row r="2088" spans="1:11" hidden="1" outlineLevel="2" x14ac:dyDescent="0.35">
      <c r="A2088" t="s">
        <v>354</v>
      </c>
      <c r="B2088" s="1">
        <v>45742</v>
      </c>
      <c r="C2088" t="str">
        <f>"704"</f>
        <v>704</v>
      </c>
      <c r="D2088" t="s">
        <v>1107</v>
      </c>
      <c r="E2088" t="s">
        <v>1108</v>
      </c>
      <c r="F2088" t="str">
        <f t="shared" si="49"/>
        <v>40110000</v>
      </c>
      <c r="G2088" t="str">
        <f>"40110042"</f>
        <v>40110042</v>
      </c>
      <c r="H2088" t="s">
        <v>1109</v>
      </c>
      <c r="I2088" s="1">
        <v>45802</v>
      </c>
      <c r="K2088" s="4">
        <v>17700</v>
      </c>
    </row>
    <row r="2089" spans="1:11" hidden="1" outlineLevel="2" x14ac:dyDescent="0.35">
      <c r="A2089" t="s">
        <v>354</v>
      </c>
      <c r="B2089" s="1">
        <v>45742</v>
      </c>
      <c r="C2089" t="str">
        <f>"705"</f>
        <v>705</v>
      </c>
      <c r="D2089" t="s">
        <v>1110</v>
      </c>
      <c r="E2089" t="s">
        <v>1111</v>
      </c>
      <c r="F2089" t="str">
        <f t="shared" si="49"/>
        <v>40110000</v>
      </c>
      <c r="G2089" t="str">
        <f>"40110042"</f>
        <v>40110042</v>
      </c>
      <c r="H2089" t="s">
        <v>1112</v>
      </c>
      <c r="I2089" s="1">
        <v>45802</v>
      </c>
      <c r="K2089" s="4">
        <v>53100</v>
      </c>
    </row>
    <row r="2090" spans="1:11" hidden="1" outlineLevel="2" x14ac:dyDescent="0.35">
      <c r="A2090" t="s">
        <v>354</v>
      </c>
      <c r="B2090" s="1">
        <v>45742</v>
      </c>
      <c r="C2090" t="str">
        <f>"706"</f>
        <v>706</v>
      </c>
      <c r="D2090" t="s">
        <v>1113</v>
      </c>
      <c r="E2090" t="s">
        <v>1114</v>
      </c>
      <c r="F2090" t="str">
        <f t="shared" si="49"/>
        <v>40110000</v>
      </c>
      <c r="G2090" t="str">
        <f>"40110042"</f>
        <v>40110042</v>
      </c>
      <c r="H2090" t="s">
        <v>1115</v>
      </c>
      <c r="I2090" s="1">
        <v>45802</v>
      </c>
      <c r="K2090" s="4">
        <v>744610</v>
      </c>
    </row>
    <row r="2091" spans="1:11" hidden="1" outlineLevel="2" x14ac:dyDescent="0.35">
      <c r="A2091" t="s">
        <v>354</v>
      </c>
      <c r="B2091" s="1">
        <v>45744</v>
      </c>
      <c r="C2091" t="str">
        <f>"666"</f>
        <v>666</v>
      </c>
      <c r="D2091" t="s">
        <v>1116</v>
      </c>
      <c r="E2091" t="s">
        <v>1117</v>
      </c>
      <c r="F2091" t="str">
        <f t="shared" si="49"/>
        <v>40110000</v>
      </c>
      <c r="G2091" t="str">
        <f>"40110603"</f>
        <v>40110603</v>
      </c>
      <c r="H2091" t="s">
        <v>1118</v>
      </c>
      <c r="I2091" s="1">
        <v>45744</v>
      </c>
      <c r="K2091" s="4">
        <v>138370</v>
      </c>
    </row>
    <row r="2092" spans="1:11" hidden="1" outlineLevel="2" x14ac:dyDescent="0.35">
      <c r="A2092" t="s">
        <v>354</v>
      </c>
      <c r="B2092" s="1">
        <v>45744</v>
      </c>
      <c r="C2092" t="str">
        <f>"668"</f>
        <v>668</v>
      </c>
      <c r="D2092" t="s">
        <v>1119</v>
      </c>
      <c r="E2092" t="s">
        <v>1120</v>
      </c>
      <c r="F2092" t="str">
        <f t="shared" si="49"/>
        <v>40110000</v>
      </c>
      <c r="G2092" t="str">
        <f>"40110115"</f>
        <v>40110115</v>
      </c>
      <c r="H2092" t="s">
        <v>1121</v>
      </c>
      <c r="I2092" s="1">
        <v>45804</v>
      </c>
      <c r="K2092" s="4">
        <v>40710</v>
      </c>
    </row>
    <row r="2093" spans="1:11" hidden="1" outlineLevel="2" x14ac:dyDescent="0.35">
      <c r="A2093" t="s">
        <v>354</v>
      </c>
      <c r="B2093" s="1">
        <v>45744</v>
      </c>
      <c r="C2093" t="str">
        <f>"670"</f>
        <v>670</v>
      </c>
      <c r="D2093" t="s">
        <v>1122</v>
      </c>
      <c r="E2093" t="s">
        <v>1123</v>
      </c>
      <c r="F2093" t="str">
        <f t="shared" si="49"/>
        <v>40110000</v>
      </c>
      <c r="G2093" t="str">
        <f>"40111083"</f>
        <v>40111083</v>
      </c>
      <c r="H2093" t="s">
        <v>1124</v>
      </c>
      <c r="I2093" s="1">
        <v>45744</v>
      </c>
      <c r="K2093" s="4">
        <v>91431</v>
      </c>
    </row>
    <row r="2094" spans="1:11" hidden="1" outlineLevel="2" x14ac:dyDescent="0.35">
      <c r="A2094" t="s">
        <v>354</v>
      </c>
      <c r="B2094" s="1">
        <v>45744</v>
      </c>
      <c r="C2094" t="str">
        <f>"716"</f>
        <v>716</v>
      </c>
      <c r="D2094" t="s">
        <v>1125</v>
      </c>
      <c r="E2094" t="s">
        <v>1126</v>
      </c>
      <c r="F2094" t="str">
        <f t="shared" si="49"/>
        <v>40110000</v>
      </c>
      <c r="G2094" t="str">
        <f>"40110081"</f>
        <v>40110081</v>
      </c>
      <c r="H2094" t="s">
        <v>1127</v>
      </c>
      <c r="I2094" s="1">
        <v>45808</v>
      </c>
      <c r="K2094" s="4">
        <v>678904</v>
      </c>
    </row>
    <row r="2095" spans="1:11" hidden="1" outlineLevel="2" x14ac:dyDescent="0.35">
      <c r="A2095" t="s">
        <v>354</v>
      </c>
      <c r="B2095" s="1">
        <v>45744</v>
      </c>
      <c r="C2095" t="str">
        <f>"717"</f>
        <v>717</v>
      </c>
      <c r="D2095" t="s">
        <v>1128</v>
      </c>
      <c r="E2095" t="s">
        <v>1129</v>
      </c>
      <c r="F2095" t="str">
        <f t="shared" si="49"/>
        <v>40110000</v>
      </c>
      <c r="G2095" t="str">
        <f>"40110081"</f>
        <v>40110081</v>
      </c>
      <c r="H2095" t="s">
        <v>1130</v>
      </c>
      <c r="I2095" s="1">
        <v>45808</v>
      </c>
      <c r="K2095" s="4">
        <v>179638</v>
      </c>
    </row>
    <row r="2096" spans="1:11" hidden="1" outlineLevel="2" x14ac:dyDescent="0.35">
      <c r="A2096" t="s">
        <v>354</v>
      </c>
      <c r="B2096" s="1">
        <v>45744</v>
      </c>
      <c r="C2096" t="str">
        <f>"718"</f>
        <v>718</v>
      </c>
      <c r="D2096" t="s">
        <v>1131</v>
      </c>
      <c r="E2096" t="s">
        <v>1132</v>
      </c>
      <c r="F2096" t="str">
        <f t="shared" si="49"/>
        <v>40110000</v>
      </c>
      <c r="G2096" t="str">
        <f>"40110081"</f>
        <v>40110081</v>
      </c>
      <c r="H2096" t="s">
        <v>1133</v>
      </c>
      <c r="I2096" s="1">
        <v>45808</v>
      </c>
      <c r="K2096" s="4">
        <v>28320</v>
      </c>
    </row>
    <row r="2097" spans="1:11" hidden="1" outlineLevel="2" x14ac:dyDescent="0.35">
      <c r="A2097" t="s">
        <v>354</v>
      </c>
      <c r="B2097" s="1">
        <v>45744</v>
      </c>
      <c r="C2097" t="str">
        <f>"719"</f>
        <v>719</v>
      </c>
      <c r="D2097" t="s">
        <v>1134</v>
      </c>
      <c r="E2097" t="s">
        <v>1135</v>
      </c>
      <c r="F2097" t="str">
        <f t="shared" si="49"/>
        <v>40110000</v>
      </c>
      <c r="G2097" t="str">
        <f>"40110081"</f>
        <v>40110081</v>
      </c>
      <c r="H2097" t="s">
        <v>1136</v>
      </c>
      <c r="I2097" s="1">
        <v>45808</v>
      </c>
      <c r="K2097" s="4">
        <v>1076496</v>
      </c>
    </row>
    <row r="2098" spans="1:11" hidden="1" outlineLevel="2" x14ac:dyDescent="0.35">
      <c r="A2098" t="s">
        <v>354</v>
      </c>
      <c r="B2098" s="1">
        <v>45744</v>
      </c>
      <c r="C2098" t="str">
        <f>"720"</f>
        <v>720</v>
      </c>
      <c r="D2098" t="s">
        <v>1137</v>
      </c>
      <c r="E2098" t="s">
        <v>1138</v>
      </c>
      <c r="F2098" t="str">
        <f t="shared" si="49"/>
        <v>40110000</v>
      </c>
      <c r="G2098" t="str">
        <f>"40110081"</f>
        <v>40110081</v>
      </c>
      <c r="H2098" t="s">
        <v>1139</v>
      </c>
      <c r="I2098" s="1">
        <v>45808</v>
      </c>
      <c r="K2098" s="4">
        <v>514344</v>
      </c>
    </row>
    <row r="2099" spans="1:11" hidden="1" outlineLevel="2" x14ac:dyDescent="0.35">
      <c r="A2099" t="s">
        <v>354</v>
      </c>
      <c r="B2099" s="1">
        <v>45744</v>
      </c>
      <c r="C2099" t="str">
        <f>"753"</f>
        <v>753</v>
      </c>
      <c r="D2099" t="s">
        <v>1140</v>
      </c>
      <c r="E2099" t="str">
        <f>"0416689"</f>
        <v>0416689</v>
      </c>
      <c r="F2099" t="str">
        <f t="shared" si="49"/>
        <v>40110000</v>
      </c>
      <c r="G2099" t="str">
        <f>"40110579"</f>
        <v>40110579</v>
      </c>
      <c r="H2099" t="s">
        <v>1141</v>
      </c>
      <c r="I2099" s="1">
        <v>45744</v>
      </c>
      <c r="K2099" s="4">
        <v>150000</v>
      </c>
    </row>
    <row r="2100" spans="1:11" hidden="1" outlineLevel="2" x14ac:dyDescent="0.35">
      <c r="A2100" t="s">
        <v>354</v>
      </c>
      <c r="B2100" s="1">
        <v>45744</v>
      </c>
      <c r="C2100" t="str">
        <f>"761"</f>
        <v>761</v>
      </c>
      <c r="D2100" t="s">
        <v>1142</v>
      </c>
      <c r="E2100" t="str">
        <f>"00190412"</f>
        <v>00190412</v>
      </c>
      <c r="F2100" t="str">
        <f t="shared" si="49"/>
        <v>40110000</v>
      </c>
      <c r="G2100" t="str">
        <f t="shared" ref="G2100:G2118" si="52">"40110397"</f>
        <v>40110397</v>
      </c>
      <c r="H2100" t="s">
        <v>1143</v>
      </c>
      <c r="I2100" s="1">
        <v>45804</v>
      </c>
      <c r="K2100" s="4">
        <v>472000</v>
      </c>
    </row>
    <row r="2101" spans="1:11" hidden="1" outlineLevel="2" x14ac:dyDescent="0.35">
      <c r="A2101" t="s">
        <v>354</v>
      </c>
      <c r="B2101" s="1">
        <v>45744</v>
      </c>
      <c r="C2101" t="str">
        <f>"762"</f>
        <v>762</v>
      </c>
      <c r="D2101" t="s">
        <v>1144</v>
      </c>
      <c r="E2101" t="str">
        <f>"00190413"</f>
        <v>00190413</v>
      </c>
      <c r="F2101" t="str">
        <f t="shared" si="49"/>
        <v>40110000</v>
      </c>
      <c r="G2101" t="str">
        <f t="shared" si="52"/>
        <v>40110397</v>
      </c>
      <c r="H2101" t="s">
        <v>1145</v>
      </c>
      <c r="I2101" s="1">
        <v>45804</v>
      </c>
      <c r="K2101" s="4">
        <v>385000</v>
      </c>
    </row>
    <row r="2102" spans="1:11" hidden="1" outlineLevel="2" x14ac:dyDescent="0.35">
      <c r="A2102" t="s">
        <v>354</v>
      </c>
      <c r="B2102" s="1">
        <v>45744</v>
      </c>
      <c r="C2102" t="str">
        <f>"788"</f>
        <v>788</v>
      </c>
      <c r="D2102" t="s">
        <v>1146</v>
      </c>
      <c r="E2102" t="str">
        <f>"00190445"</f>
        <v>00190445</v>
      </c>
      <c r="F2102" t="str">
        <f t="shared" si="49"/>
        <v>40110000</v>
      </c>
      <c r="G2102" t="str">
        <f t="shared" si="52"/>
        <v>40110397</v>
      </c>
      <c r="H2102" t="s">
        <v>1147</v>
      </c>
      <c r="I2102" s="1">
        <v>45804</v>
      </c>
      <c r="K2102" s="4">
        <v>450000</v>
      </c>
    </row>
    <row r="2103" spans="1:11" hidden="1" outlineLevel="2" x14ac:dyDescent="0.35">
      <c r="A2103" t="s">
        <v>354</v>
      </c>
      <c r="B2103" s="1">
        <v>45744</v>
      </c>
      <c r="C2103" t="str">
        <f>"789"</f>
        <v>789</v>
      </c>
      <c r="D2103" t="s">
        <v>1148</v>
      </c>
      <c r="E2103" t="str">
        <f>"00190446"</f>
        <v>00190446</v>
      </c>
      <c r="F2103" t="str">
        <f t="shared" si="49"/>
        <v>40110000</v>
      </c>
      <c r="G2103" t="str">
        <f t="shared" si="52"/>
        <v>40110397</v>
      </c>
      <c r="H2103" t="s">
        <v>1149</v>
      </c>
      <c r="I2103" s="1">
        <v>45804</v>
      </c>
      <c r="K2103" s="4">
        <v>450000</v>
      </c>
    </row>
    <row r="2104" spans="1:11" hidden="1" outlineLevel="2" x14ac:dyDescent="0.35">
      <c r="A2104" t="s">
        <v>354</v>
      </c>
      <c r="B2104" s="1">
        <v>45744</v>
      </c>
      <c r="C2104" t="str">
        <f>"790"</f>
        <v>790</v>
      </c>
      <c r="D2104" t="s">
        <v>1150</v>
      </c>
      <c r="E2104" t="str">
        <f>"00190448"</f>
        <v>00190448</v>
      </c>
      <c r="F2104" t="str">
        <f t="shared" si="49"/>
        <v>40110000</v>
      </c>
      <c r="G2104" t="str">
        <f t="shared" si="52"/>
        <v>40110397</v>
      </c>
      <c r="H2104" t="s">
        <v>1151</v>
      </c>
      <c r="I2104" s="1">
        <v>45804</v>
      </c>
      <c r="K2104" s="4">
        <v>130900</v>
      </c>
    </row>
    <row r="2105" spans="1:11" hidden="1" outlineLevel="2" x14ac:dyDescent="0.35">
      <c r="A2105" t="s">
        <v>354</v>
      </c>
      <c r="B2105" s="1">
        <v>45744</v>
      </c>
      <c r="C2105" t="str">
        <f>"791"</f>
        <v>791</v>
      </c>
      <c r="D2105" t="s">
        <v>1152</v>
      </c>
      <c r="E2105" t="str">
        <f>"00190449"</f>
        <v>00190449</v>
      </c>
      <c r="F2105" t="str">
        <f t="shared" si="49"/>
        <v>40110000</v>
      </c>
      <c r="G2105" t="str">
        <f t="shared" si="52"/>
        <v>40110397</v>
      </c>
      <c r="H2105" t="s">
        <v>1153</v>
      </c>
      <c r="I2105" s="1">
        <v>45804</v>
      </c>
      <c r="K2105" s="4">
        <v>290300</v>
      </c>
    </row>
    <row r="2106" spans="1:11" hidden="1" outlineLevel="2" x14ac:dyDescent="0.35">
      <c r="A2106" t="s">
        <v>354</v>
      </c>
      <c r="B2106" s="1">
        <v>45744</v>
      </c>
      <c r="C2106" t="str">
        <f>"792"</f>
        <v>792</v>
      </c>
      <c r="D2106" t="s">
        <v>1154</v>
      </c>
      <c r="E2106" t="str">
        <f>"00233951"</f>
        <v>00233951</v>
      </c>
      <c r="F2106" t="str">
        <f t="shared" si="49"/>
        <v>40110000</v>
      </c>
      <c r="G2106" t="str">
        <f t="shared" si="52"/>
        <v>40110397</v>
      </c>
      <c r="H2106" t="s">
        <v>1155</v>
      </c>
      <c r="I2106" s="1">
        <v>45804</v>
      </c>
      <c r="K2106" s="4">
        <v>850000</v>
      </c>
    </row>
    <row r="2107" spans="1:11" hidden="1" outlineLevel="2" x14ac:dyDescent="0.35">
      <c r="A2107" t="s">
        <v>354</v>
      </c>
      <c r="B2107" s="1">
        <v>45744</v>
      </c>
      <c r="C2107" t="str">
        <f>"793"</f>
        <v>793</v>
      </c>
      <c r="D2107" t="s">
        <v>1156</v>
      </c>
      <c r="E2107" t="str">
        <f>"00233952"</f>
        <v>00233952</v>
      </c>
      <c r="F2107" t="str">
        <f t="shared" si="49"/>
        <v>40110000</v>
      </c>
      <c r="G2107" t="str">
        <f t="shared" si="52"/>
        <v>40110397</v>
      </c>
      <c r="H2107" t="s">
        <v>1157</v>
      </c>
      <c r="I2107" s="1">
        <v>45804</v>
      </c>
      <c r="K2107" s="4">
        <v>174000</v>
      </c>
    </row>
    <row r="2108" spans="1:11" hidden="1" outlineLevel="2" x14ac:dyDescent="0.35">
      <c r="A2108" t="s">
        <v>354</v>
      </c>
      <c r="B2108" s="1">
        <v>45744</v>
      </c>
      <c r="C2108" t="str">
        <f>"794"</f>
        <v>794</v>
      </c>
      <c r="D2108" t="s">
        <v>1158</v>
      </c>
      <c r="E2108" t="str">
        <f>"00233954"</f>
        <v>00233954</v>
      </c>
      <c r="F2108" t="str">
        <f t="shared" si="49"/>
        <v>40110000</v>
      </c>
      <c r="G2108" t="str">
        <f t="shared" si="52"/>
        <v>40110397</v>
      </c>
      <c r="H2108" t="s">
        <v>1159</v>
      </c>
      <c r="I2108" s="1">
        <v>45804</v>
      </c>
      <c r="K2108" s="4">
        <v>430000</v>
      </c>
    </row>
    <row r="2109" spans="1:11" hidden="1" outlineLevel="2" x14ac:dyDescent="0.35">
      <c r="A2109" t="s">
        <v>354</v>
      </c>
      <c r="B2109" s="1">
        <v>45744</v>
      </c>
      <c r="C2109" t="str">
        <f>"795"</f>
        <v>795</v>
      </c>
      <c r="D2109" t="s">
        <v>1160</v>
      </c>
      <c r="E2109" t="str">
        <f>"00233955"</f>
        <v>00233955</v>
      </c>
      <c r="F2109" t="str">
        <f t="shared" si="49"/>
        <v>40110000</v>
      </c>
      <c r="G2109" t="str">
        <f t="shared" si="52"/>
        <v>40110397</v>
      </c>
      <c r="H2109" t="s">
        <v>1161</v>
      </c>
      <c r="I2109" s="1">
        <v>45804</v>
      </c>
      <c r="K2109" s="4">
        <v>395300</v>
      </c>
    </row>
    <row r="2110" spans="1:11" hidden="1" outlineLevel="2" x14ac:dyDescent="0.35">
      <c r="A2110" t="s">
        <v>354</v>
      </c>
      <c r="B2110" s="1">
        <v>45744</v>
      </c>
      <c r="C2110" t="str">
        <f>"799"</f>
        <v>799</v>
      </c>
      <c r="D2110" t="s">
        <v>1162</v>
      </c>
      <c r="E2110" t="str">
        <f>"00290962"</f>
        <v>00290962</v>
      </c>
      <c r="F2110" t="str">
        <f t="shared" si="49"/>
        <v>40110000</v>
      </c>
      <c r="G2110" t="str">
        <f t="shared" si="52"/>
        <v>40110397</v>
      </c>
      <c r="H2110" t="s">
        <v>1163</v>
      </c>
      <c r="I2110" s="1">
        <v>45804</v>
      </c>
      <c r="K2110" s="4">
        <v>65300</v>
      </c>
    </row>
    <row r="2111" spans="1:11" hidden="1" outlineLevel="2" x14ac:dyDescent="0.35">
      <c r="A2111" t="s">
        <v>354</v>
      </c>
      <c r="B2111" s="1">
        <v>45744</v>
      </c>
      <c r="C2111" t="str">
        <f>"800"</f>
        <v>800</v>
      </c>
      <c r="D2111" t="s">
        <v>1164</v>
      </c>
      <c r="E2111" t="str">
        <f>"00290693"</f>
        <v>00290693</v>
      </c>
      <c r="F2111" t="str">
        <f t="shared" si="49"/>
        <v>40110000</v>
      </c>
      <c r="G2111" t="str">
        <f t="shared" si="52"/>
        <v>40110397</v>
      </c>
      <c r="H2111" t="s">
        <v>1165</v>
      </c>
      <c r="I2111" s="1">
        <v>45804</v>
      </c>
      <c r="K2111" s="4">
        <v>200000</v>
      </c>
    </row>
    <row r="2112" spans="1:11" hidden="1" outlineLevel="2" x14ac:dyDescent="0.35">
      <c r="A2112" t="s">
        <v>354</v>
      </c>
      <c r="B2112" s="1">
        <v>45744</v>
      </c>
      <c r="C2112" t="str">
        <f>"801"</f>
        <v>801</v>
      </c>
      <c r="D2112" t="s">
        <v>1166</v>
      </c>
      <c r="E2112" t="str">
        <f>"00290694"</f>
        <v>00290694</v>
      </c>
      <c r="F2112" t="str">
        <f t="shared" si="49"/>
        <v>40110000</v>
      </c>
      <c r="G2112" t="str">
        <f t="shared" si="52"/>
        <v>40110397</v>
      </c>
      <c r="H2112" t="s">
        <v>1167</v>
      </c>
      <c r="I2112" s="1">
        <v>45804</v>
      </c>
      <c r="K2112" s="4">
        <v>565000</v>
      </c>
    </row>
    <row r="2113" spans="1:11" hidden="1" outlineLevel="2" x14ac:dyDescent="0.35">
      <c r="A2113" t="s">
        <v>354</v>
      </c>
      <c r="B2113" s="1">
        <v>45744</v>
      </c>
      <c r="C2113" t="str">
        <f>"802"</f>
        <v>802</v>
      </c>
      <c r="D2113" t="s">
        <v>1168</v>
      </c>
      <c r="E2113" t="str">
        <f>"00290695"</f>
        <v>00290695</v>
      </c>
      <c r="F2113" t="str">
        <f t="shared" si="49"/>
        <v>40110000</v>
      </c>
      <c r="G2113" t="str">
        <f t="shared" si="52"/>
        <v>40110397</v>
      </c>
      <c r="H2113" t="s">
        <v>1169</v>
      </c>
      <c r="I2113" s="1">
        <v>45804</v>
      </c>
      <c r="K2113" s="4">
        <v>1600000</v>
      </c>
    </row>
    <row r="2114" spans="1:11" hidden="1" outlineLevel="2" x14ac:dyDescent="0.35">
      <c r="A2114" t="s">
        <v>354</v>
      </c>
      <c r="B2114" s="1">
        <v>45744</v>
      </c>
      <c r="C2114" t="str">
        <f>"803"</f>
        <v>803</v>
      </c>
      <c r="D2114" t="s">
        <v>1170</v>
      </c>
      <c r="E2114" t="str">
        <f>"00290696"</f>
        <v>00290696</v>
      </c>
      <c r="F2114" t="str">
        <f t="shared" ref="F2114:F2177" si="53">"40110000"</f>
        <v>40110000</v>
      </c>
      <c r="G2114" t="str">
        <f t="shared" si="52"/>
        <v>40110397</v>
      </c>
      <c r="H2114" t="s">
        <v>1171</v>
      </c>
      <c r="I2114" s="1">
        <v>45804</v>
      </c>
      <c r="K2114" s="4">
        <v>255300</v>
      </c>
    </row>
    <row r="2115" spans="1:11" hidden="1" outlineLevel="2" x14ac:dyDescent="0.35">
      <c r="A2115" t="s">
        <v>354</v>
      </c>
      <c r="B2115" s="1">
        <v>45744</v>
      </c>
      <c r="C2115" t="str">
        <f>"804"</f>
        <v>804</v>
      </c>
      <c r="D2115" t="s">
        <v>1172</v>
      </c>
      <c r="E2115" t="str">
        <f>"00290697"</f>
        <v>00290697</v>
      </c>
      <c r="F2115" t="str">
        <f t="shared" si="53"/>
        <v>40110000</v>
      </c>
      <c r="G2115" t="str">
        <f t="shared" si="52"/>
        <v>40110397</v>
      </c>
      <c r="H2115" t="s">
        <v>1173</v>
      </c>
      <c r="I2115" s="1">
        <v>45804</v>
      </c>
      <c r="K2115" s="4">
        <v>283500</v>
      </c>
    </row>
    <row r="2116" spans="1:11" hidden="1" outlineLevel="2" x14ac:dyDescent="0.35">
      <c r="A2116" t="s">
        <v>354</v>
      </c>
      <c r="B2116" s="1">
        <v>45744</v>
      </c>
      <c r="C2116" t="str">
        <f>"805"</f>
        <v>805</v>
      </c>
      <c r="D2116" t="s">
        <v>1174</v>
      </c>
      <c r="E2116" t="str">
        <f>"00290698"</f>
        <v>00290698</v>
      </c>
      <c r="F2116" t="str">
        <f t="shared" si="53"/>
        <v>40110000</v>
      </c>
      <c r="G2116" t="str">
        <f t="shared" si="52"/>
        <v>40110397</v>
      </c>
      <c r="H2116" t="s">
        <v>1175</v>
      </c>
      <c r="I2116" s="1">
        <v>45804</v>
      </c>
      <c r="K2116" s="4">
        <v>146500</v>
      </c>
    </row>
    <row r="2117" spans="1:11" hidden="1" outlineLevel="2" x14ac:dyDescent="0.35">
      <c r="A2117" t="s">
        <v>354</v>
      </c>
      <c r="B2117" s="1">
        <v>45744</v>
      </c>
      <c r="C2117" t="str">
        <f>"806"</f>
        <v>806</v>
      </c>
      <c r="D2117" t="s">
        <v>1176</v>
      </c>
      <c r="E2117" t="str">
        <f>"00290699"</f>
        <v>00290699</v>
      </c>
      <c r="F2117" t="str">
        <f t="shared" si="53"/>
        <v>40110000</v>
      </c>
      <c r="G2117" t="str">
        <f t="shared" si="52"/>
        <v>40110397</v>
      </c>
      <c r="H2117" t="s">
        <v>1177</v>
      </c>
      <c r="I2117" s="1">
        <v>45804</v>
      </c>
      <c r="K2117" s="4">
        <v>350000</v>
      </c>
    </row>
    <row r="2118" spans="1:11" hidden="1" outlineLevel="2" x14ac:dyDescent="0.35">
      <c r="A2118" t="s">
        <v>354</v>
      </c>
      <c r="B2118" s="1">
        <v>45744</v>
      </c>
      <c r="C2118" t="str">
        <f>"808"</f>
        <v>808</v>
      </c>
      <c r="D2118" t="s">
        <v>1178</v>
      </c>
      <c r="E2118" t="str">
        <f>"00290700"</f>
        <v>00290700</v>
      </c>
      <c r="F2118" t="str">
        <f t="shared" si="53"/>
        <v>40110000</v>
      </c>
      <c r="G2118" t="str">
        <f t="shared" si="52"/>
        <v>40110397</v>
      </c>
      <c r="H2118" t="s">
        <v>1179</v>
      </c>
      <c r="I2118" s="1">
        <v>45804</v>
      </c>
      <c r="K2118" s="4">
        <v>240600</v>
      </c>
    </row>
    <row r="2119" spans="1:11" hidden="1" outlineLevel="2" x14ac:dyDescent="0.35">
      <c r="A2119" t="s">
        <v>26</v>
      </c>
      <c r="B2119" s="1">
        <v>45717</v>
      </c>
      <c r="C2119" t="str">
        <f>"1"</f>
        <v>1</v>
      </c>
      <c r="D2119" t="s">
        <v>1358</v>
      </c>
      <c r="E2119" t="s">
        <v>1359</v>
      </c>
      <c r="F2119" t="str">
        <f t="shared" si="53"/>
        <v>40110000</v>
      </c>
      <c r="G2119" t="str">
        <f>"40110054"</f>
        <v>40110054</v>
      </c>
      <c r="H2119" t="s">
        <v>1360</v>
      </c>
      <c r="I2119" s="1">
        <v>45717</v>
      </c>
      <c r="K2119" s="4">
        <v>-19925</v>
      </c>
    </row>
    <row r="2120" spans="1:11" hidden="1" outlineLevel="2" x14ac:dyDescent="0.35">
      <c r="A2120" t="s">
        <v>26</v>
      </c>
      <c r="B2120" s="1">
        <v>45717</v>
      </c>
      <c r="C2120" t="str">
        <f>"2"</f>
        <v>2</v>
      </c>
      <c r="D2120" t="s">
        <v>1361</v>
      </c>
      <c r="E2120" t="s">
        <v>1362</v>
      </c>
      <c r="F2120" t="str">
        <f t="shared" si="53"/>
        <v>40110000</v>
      </c>
      <c r="G2120" t="str">
        <f>"40110054"</f>
        <v>40110054</v>
      </c>
      <c r="H2120" t="s">
        <v>1363</v>
      </c>
      <c r="I2120" s="1">
        <v>45717</v>
      </c>
      <c r="K2120" s="4">
        <v>2000</v>
      </c>
    </row>
    <row r="2121" spans="1:11" hidden="1" outlineLevel="2" x14ac:dyDescent="0.35">
      <c r="A2121" t="s">
        <v>26</v>
      </c>
      <c r="B2121" s="1">
        <v>45717</v>
      </c>
      <c r="C2121" t="str">
        <f>"11"</f>
        <v>11</v>
      </c>
      <c r="D2121" t="s">
        <v>1364</v>
      </c>
      <c r="E2121" t="str">
        <f>"0000419"</f>
        <v>0000419</v>
      </c>
      <c r="F2121" t="str">
        <f t="shared" si="53"/>
        <v>40110000</v>
      </c>
      <c r="G2121" t="s">
        <v>1365</v>
      </c>
      <c r="H2121" t="s">
        <v>1366</v>
      </c>
      <c r="I2121" s="1">
        <v>45719</v>
      </c>
      <c r="K2121" s="4">
        <v>1092500</v>
      </c>
    </row>
    <row r="2122" spans="1:11" hidden="1" outlineLevel="2" x14ac:dyDescent="0.35">
      <c r="A2122" t="s">
        <v>26</v>
      </c>
      <c r="B2122" s="1">
        <v>45717</v>
      </c>
      <c r="C2122" t="str">
        <f>"12"</f>
        <v>12</v>
      </c>
      <c r="D2122" t="s">
        <v>1367</v>
      </c>
      <c r="E2122" t="str">
        <f>"0000120"</f>
        <v>0000120</v>
      </c>
      <c r="F2122" t="str">
        <f t="shared" si="53"/>
        <v>40110000</v>
      </c>
      <c r="G2122" t="s">
        <v>1368</v>
      </c>
      <c r="H2122" t="s">
        <v>1369</v>
      </c>
      <c r="I2122" s="1">
        <v>45717</v>
      </c>
      <c r="K2122" s="4">
        <v>1045000</v>
      </c>
    </row>
    <row r="2123" spans="1:11" hidden="1" outlineLevel="2" x14ac:dyDescent="0.35">
      <c r="A2123" t="s">
        <v>26</v>
      </c>
      <c r="B2123" s="1">
        <v>45717</v>
      </c>
      <c r="C2123" t="str">
        <f>"13"</f>
        <v>13</v>
      </c>
      <c r="D2123" t="s">
        <v>1370</v>
      </c>
      <c r="E2123" t="str">
        <f>"0000121"</f>
        <v>0000121</v>
      </c>
      <c r="F2123" t="str">
        <f t="shared" si="53"/>
        <v>40110000</v>
      </c>
      <c r="G2123" t="s">
        <v>1368</v>
      </c>
      <c r="H2123" t="s">
        <v>1369</v>
      </c>
      <c r="I2123" s="1">
        <v>45717</v>
      </c>
      <c r="K2123" s="4">
        <v>1045000</v>
      </c>
    </row>
    <row r="2124" spans="1:11" hidden="1" outlineLevel="2" x14ac:dyDescent="0.35">
      <c r="A2124" t="s">
        <v>26</v>
      </c>
      <c r="B2124" s="1">
        <v>45717</v>
      </c>
      <c r="C2124" t="str">
        <f>"14"</f>
        <v>14</v>
      </c>
      <c r="D2124" t="s">
        <v>1371</v>
      </c>
      <c r="E2124" t="str">
        <f>"0000122"</f>
        <v>0000122</v>
      </c>
      <c r="F2124" t="str">
        <f t="shared" si="53"/>
        <v>40110000</v>
      </c>
      <c r="G2124" t="s">
        <v>1368</v>
      </c>
      <c r="H2124" t="s">
        <v>1369</v>
      </c>
      <c r="I2124" s="1">
        <v>45717</v>
      </c>
      <c r="K2124" s="4">
        <v>1045000</v>
      </c>
    </row>
    <row r="2125" spans="1:11" hidden="1" outlineLevel="2" x14ac:dyDescent="0.35">
      <c r="A2125" t="s">
        <v>26</v>
      </c>
      <c r="B2125" s="1">
        <v>45717</v>
      </c>
      <c r="C2125" t="str">
        <f>"47"</f>
        <v>47</v>
      </c>
      <c r="D2125" t="s">
        <v>1372</v>
      </c>
      <c r="E2125" t="s">
        <v>1373</v>
      </c>
      <c r="F2125" t="str">
        <f t="shared" si="53"/>
        <v>40110000</v>
      </c>
      <c r="G2125" t="str">
        <f>"40110054"</f>
        <v>40110054</v>
      </c>
      <c r="H2125" t="s">
        <v>1374</v>
      </c>
      <c r="I2125" s="1">
        <v>45717</v>
      </c>
      <c r="K2125" s="4">
        <v>94071</v>
      </c>
    </row>
    <row r="2126" spans="1:11" hidden="1" outlineLevel="2" x14ac:dyDescent="0.35">
      <c r="A2126" t="s">
        <v>26</v>
      </c>
      <c r="B2126" s="1">
        <v>45717</v>
      </c>
      <c r="C2126" t="str">
        <f>"48"</f>
        <v>48</v>
      </c>
      <c r="D2126" t="s">
        <v>1375</v>
      </c>
      <c r="E2126" t="s">
        <v>1376</v>
      </c>
      <c r="F2126" t="str">
        <f t="shared" si="53"/>
        <v>40110000</v>
      </c>
      <c r="G2126" t="str">
        <f>"40110054"</f>
        <v>40110054</v>
      </c>
      <c r="H2126" t="s">
        <v>1377</v>
      </c>
      <c r="I2126" s="1">
        <v>45717</v>
      </c>
      <c r="K2126" s="4">
        <v>60727</v>
      </c>
    </row>
    <row r="2127" spans="1:11" hidden="1" outlineLevel="2" x14ac:dyDescent="0.35">
      <c r="A2127" t="s">
        <v>26</v>
      </c>
      <c r="B2127" s="1">
        <v>45717</v>
      </c>
      <c r="C2127" t="str">
        <f>"49"</f>
        <v>49</v>
      </c>
      <c r="D2127" t="s">
        <v>1378</v>
      </c>
      <c r="E2127" t="s">
        <v>1379</v>
      </c>
      <c r="F2127" t="str">
        <f t="shared" si="53"/>
        <v>40110000</v>
      </c>
      <c r="G2127" t="str">
        <f>"40110054"</f>
        <v>40110054</v>
      </c>
      <c r="H2127" t="s">
        <v>1380</v>
      </c>
      <c r="I2127" s="1">
        <v>45717</v>
      </c>
      <c r="K2127" s="4">
        <v>68966</v>
      </c>
    </row>
    <row r="2128" spans="1:11" hidden="1" outlineLevel="2" x14ac:dyDescent="0.35">
      <c r="A2128" t="s">
        <v>26</v>
      </c>
      <c r="B2128" s="1">
        <v>45717</v>
      </c>
      <c r="C2128" t="str">
        <f>"50"</f>
        <v>50</v>
      </c>
      <c r="D2128" t="s">
        <v>1381</v>
      </c>
      <c r="E2128" t="s">
        <v>1382</v>
      </c>
      <c r="F2128" t="str">
        <f t="shared" si="53"/>
        <v>40110000</v>
      </c>
      <c r="G2128" t="str">
        <f>"40110054"</f>
        <v>40110054</v>
      </c>
      <c r="H2128" t="s">
        <v>1383</v>
      </c>
      <c r="I2128" s="1">
        <v>45717</v>
      </c>
      <c r="K2128" s="4">
        <v>1000</v>
      </c>
    </row>
    <row r="2129" spans="1:11" hidden="1" outlineLevel="2" x14ac:dyDescent="0.35">
      <c r="A2129" t="s">
        <v>26</v>
      </c>
      <c r="B2129" s="1">
        <v>45717</v>
      </c>
      <c r="C2129" t="str">
        <f>"51"</f>
        <v>51</v>
      </c>
      <c r="D2129" t="s">
        <v>1384</v>
      </c>
      <c r="E2129" t="s">
        <v>1385</v>
      </c>
      <c r="F2129" t="str">
        <f t="shared" si="53"/>
        <v>40110000</v>
      </c>
      <c r="G2129" t="str">
        <f>"40110054"</f>
        <v>40110054</v>
      </c>
      <c r="H2129" t="s">
        <v>1383</v>
      </c>
      <c r="I2129" s="1">
        <v>45717</v>
      </c>
      <c r="K2129" s="4">
        <v>1000</v>
      </c>
    </row>
    <row r="2130" spans="1:11" hidden="1" outlineLevel="2" x14ac:dyDescent="0.35">
      <c r="A2130" t="s">
        <v>26</v>
      </c>
      <c r="B2130" s="1">
        <v>45717</v>
      </c>
      <c r="C2130" t="str">
        <f>"58"</f>
        <v>58</v>
      </c>
      <c r="D2130" t="s">
        <v>1386</v>
      </c>
      <c r="E2130" t="str">
        <f>"00138"</f>
        <v>00138</v>
      </c>
      <c r="F2130" t="str">
        <f t="shared" si="53"/>
        <v>40110000</v>
      </c>
      <c r="G2130" t="s">
        <v>1387</v>
      </c>
      <c r="H2130" t="s">
        <v>1388</v>
      </c>
      <c r="I2130" s="1">
        <v>45717</v>
      </c>
      <c r="K2130" s="4">
        <v>700000</v>
      </c>
    </row>
    <row r="2131" spans="1:11" hidden="1" outlineLevel="2" x14ac:dyDescent="0.35">
      <c r="A2131" t="s">
        <v>26</v>
      </c>
      <c r="B2131" s="1">
        <v>45717</v>
      </c>
      <c r="C2131" t="str">
        <f>"59"</f>
        <v>59</v>
      </c>
      <c r="D2131" t="s">
        <v>1389</v>
      </c>
      <c r="E2131" t="str">
        <f>"00139"</f>
        <v>00139</v>
      </c>
      <c r="F2131" t="str">
        <f t="shared" si="53"/>
        <v>40110000</v>
      </c>
      <c r="G2131" t="s">
        <v>1387</v>
      </c>
      <c r="H2131" t="s">
        <v>1388</v>
      </c>
      <c r="I2131" s="1">
        <v>45717</v>
      </c>
      <c r="K2131" s="4">
        <v>700000</v>
      </c>
    </row>
    <row r="2132" spans="1:11" hidden="1" outlineLevel="2" x14ac:dyDescent="0.35">
      <c r="A2132" t="s">
        <v>26</v>
      </c>
      <c r="B2132" s="1">
        <v>45717</v>
      </c>
      <c r="C2132" t="str">
        <f>"60"</f>
        <v>60</v>
      </c>
      <c r="D2132" t="s">
        <v>1390</v>
      </c>
      <c r="E2132" t="str">
        <f>"00140"</f>
        <v>00140</v>
      </c>
      <c r="F2132" t="str">
        <f t="shared" si="53"/>
        <v>40110000</v>
      </c>
      <c r="G2132" t="s">
        <v>1387</v>
      </c>
      <c r="H2132" t="s">
        <v>1388</v>
      </c>
      <c r="I2132" s="1">
        <v>45717</v>
      </c>
      <c r="K2132" s="4">
        <v>700000</v>
      </c>
    </row>
    <row r="2133" spans="1:11" hidden="1" outlineLevel="2" x14ac:dyDescent="0.35">
      <c r="A2133" t="s">
        <v>26</v>
      </c>
      <c r="B2133" s="1">
        <v>45717</v>
      </c>
      <c r="C2133" t="str">
        <f>"61"</f>
        <v>61</v>
      </c>
      <c r="D2133" t="s">
        <v>1391</v>
      </c>
      <c r="E2133" t="str">
        <f>"00141"</f>
        <v>00141</v>
      </c>
      <c r="F2133" t="str">
        <f t="shared" si="53"/>
        <v>40110000</v>
      </c>
      <c r="G2133" t="s">
        <v>1387</v>
      </c>
      <c r="H2133" t="s">
        <v>1388</v>
      </c>
      <c r="I2133" s="1">
        <v>45717</v>
      </c>
      <c r="K2133" s="4">
        <v>700000</v>
      </c>
    </row>
    <row r="2134" spans="1:11" hidden="1" outlineLevel="2" x14ac:dyDescent="0.35">
      <c r="A2134" t="s">
        <v>26</v>
      </c>
      <c r="B2134" s="1">
        <v>45717</v>
      </c>
      <c r="C2134" t="str">
        <f>"95"</f>
        <v>95</v>
      </c>
      <c r="D2134" t="s">
        <v>1392</v>
      </c>
      <c r="E2134" t="str">
        <f>"0000795"</f>
        <v>0000795</v>
      </c>
      <c r="F2134" t="str">
        <f t="shared" si="53"/>
        <v>40110000</v>
      </c>
      <c r="G2134" t="str">
        <f>"40110228"</f>
        <v>40110228</v>
      </c>
      <c r="H2134" t="s">
        <v>1393</v>
      </c>
      <c r="I2134" s="1">
        <v>45717</v>
      </c>
      <c r="K2134" s="4">
        <v>2617830</v>
      </c>
    </row>
    <row r="2135" spans="1:11" hidden="1" outlineLevel="2" x14ac:dyDescent="0.35">
      <c r="A2135" t="s">
        <v>26</v>
      </c>
      <c r="B2135" s="1">
        <v>45717</v>
      </c>
      <c r="C2135" t="str">
        <f>"149"</f>
        <v>149</v>
      </c>
      <c r="D2135" t="s">
        <v>1406</v>
      </c>
      <c r="E2135" t="s">
        <v>1407</v>
      </c>
      <c r="F2135" t="str">
        <f t="shared" si="53"/>
        <v>40110000</v>
      </c>
      <c r="G2135" t="str">
        <f>"40110010"</f>
        <v>40110010</v>
      </c>
      <c r="H2135" t="s">
        <v>1409</v>
      </c>
      <c r="I2135" s="1">
        <v>45808</v>
      </c>
      <c r="K2135" s="4">
        <v>601800</v>
      </c>
    </row>
    <row r="2136" spans="1:11" hidden="1" outlineLevel="2" x14ac:dyDescent="0.35">
      <c r="A2136" t="s">
        <v>26</v>
      </c>
      <c r="B2136" s="1">
        <v>45717</v>
      </c>
      <c r="C2136" t="str">
        <f>"150"</f>
        <v>150</v>
      </c>
      <c r="D2136" t="s">
        <v>1410</v>
      </c>
      <c r="E2136" t="s">
        <v>1411</v>
      </c>
      <c r="F2136" t="str">
        <f t="shared" si="53"/>
        <v>40110000</v>
      </c>
      <c r="G2136" t="str">
        <f t="shared" ref="G2136:G2142" si="54">"40110143"</f>
        <v>40110143</v>
      </c>
      <c r="H2136" t="s">
        <v>1412</v>
      </c>
      <c r="I2136" s="1">
        <v>45777</v>
      </c>
      <c r="K2136" s="4">
        <v>654507</v>
      </c>
    </row>
    <row r="2137" spans="1:11" hidden="1" outlineLevel="2" x14ac:dyDescent="0.35">
      <c r="A2137" t="s">
        <v>26</v>
      </c>
      <c r="B2137" s="1">
        <v>45717</v>
      </c>
      <c r="C2137" t="str">
        <f>"151"</f>
        <v>151</v>
      </c>
      <c r="D2137" t="s">
        <v>1413</v>
      </c>
      <c r="E2137" t="s">
        <v>1414</v>
      </c>
      <c r="F2137" t="str">
        <f t="shared" si="53"/>
        <v>40110000</v>
      </c>
      <c r="G2137" t="str">
        <f t="shared" si="54"/>
        <v>40110143</v>
      </c>
      <c r="H2137" t="s">
        <v>1415</v>
      </c>
      <c r="I2137" s="1">
        <v>45777</v>
      </c>
      <c r="K2137" s="4">
        <v>306800</v>
      </c>
    </row>
    <row r="2138" spans="1:11" hidden="1" outlineLevel="2" x14ac:dyDescent="0.35">
      <c r="A2138" t="s">
        <v>26</v>
      </c>
      <c r="B2138" s="1">
        <v>45717</v>
      </c>
      <c r="C2138" t="str">
        <f>"152"</f>
        <v>152</v>
      </c>
      <c r="D2138" t="s">
        <v>1416</v>
      </c>
      <c r="E2138" t="s">
        <v>1417</v>
      </c>
      <c r="F2138" t="str">
        <f t="shared" si="53"/>
        <v>40110000</v>
      </c>
      <c r="G2138" t="str">
        <f t="shared" si="54"/>
        <v>40110143</v>
      </c>
      <c r="H2138" t="s">
        <v>1418</v>
      </c>
      <c r="I2138" s="1">
        <v>45777</v>
      </c>
      <c r="K2138" s="4">
        <v>354000</v>
      </c>
    </row>
    <row r="2139" spans="1:11" hidden="1" outlineLevel="2" x14ac:dyDescent="0.35">
      <c r="A2139" t="s">
        <v>26</v>
      </c>
      <c r="B2139" s="1">
        <v>45717</v>
      </c>
      <c r="C2139" t="str">
        <f>"153"</f>
        <v>153</v>
      </c>
      <c r="D2139" t="s">
        <v>1419</v>
      </c>
      <c r="E2139" t="s">
        <v>1420</v>
      </c>
      <c r="F2139" t="str">
        <f t="shared" si="53"/>
        <v>40110000</v>
      </c>
      <c r="G2139" t="str">
        <f t="shared" si="54"/>
        <v>40110143</v>
      </c>
      <c r="H2139" t="s">
        <v>1421</v>
      </c>
      <c r="I2139" s="1">
        <v>45777</v>
      </c>
      <c r="K2139" s="4">
        <v>684400</v>
      </c>
    </row>
    <row r="2140" spans="1:11" hidden="1" outlineLevel="2" x14ac:dyDescent="0.35">
      <c r="A2140" t="s">
        <v>26</v>
      </c>
      <c r="B2140" s="1">
        <v>45717</v>
      </c>
      <c r="C2140" t="str">
        <f>"154"</f>
        <v>154</v>
      </c>
      <c r="D2140" t="s">
        <v>1422</v>
      </c>
      <c r="E2140" t="s">
        <v>1423</v>
      </c>
      <c r="F2140" t="str">
        <f t="shared" si="53"/>
        <v>40110000</v>
      </c>
      <c r="G2140" t="str">
        <f t="shared" si="54"/>
        <v>40110143</v>
      </c>
      <c r="H2140" t="s">
        <v>1424</v>
      </c>
      <c r="I2140" s="1">
        <v>45777</v>
      </c>
      <c r="K2140" s="4">
        <v>419017</v>
      </c>
    </row>
    <row r="2141" spans="1:11" hidden="1" outlineLevel="2" x14ac:dyDescent="0.35">
      <c r="A2141" t="s">
        <v>26</v>
      </c>
      <c r="B2141" s="1">
        <v>45717</v>
      </c>
      <c r="C2141" t="str">
        <f>"155"</f>
        <v>155</v>
      </c>
      <c r="D2141" t="s">
        <v>1425</v>
      </c>
      <c r="E2141" t="s">
        <v>1426</v>
      </c>
      <c r="F2141" t="str">
        <f t="shared" si="53"/>
        <v>40110000</v>
      </c>
      <c r="G2141" t="str">
        <f t="shared" si="54"/>
        <v>40110143</v>
      </c>
      <c r="H2141" t="s">
        <v>1427</v>
      </c>
      <c r="I2141" s="1">
        <v>45777</v>
      </c>
      <c r="K2141" s="4">
        <v>199419</v>
      </c>
    </row>
    <row r="2142" spans="1:11" hidden="1" outlineLevel="2" x14ac:dyDescent="0.35">
      <c r="A2142" t="s">
        <v>26</v>
      </c>
      <c r="B2142" s="1">
        <v>45717</v>
      </c>
      <c r="C2142" t="str">
        <f>"156"</f>
        <v>156</v>
      </c>
      <c r="D2142" t="s">
        <v>1428</v>
      </c>
      <c r="E2142" t="s">
        <v>1429</v>
      </c>
      <c r="F2142" t="str">
        <f t="shared" si="53"/>
        <v>40110000</v>
      </c>
      <c r="G2142" t="str">
        <f t="shared" si="54"/>
        <v>40110143</v>
      </c>
      <c r="H2142" t="s">
        <v>1430</v>
      </c>
      <c r="I2142" s="1">
        <v>45777</v>
      </c>
      <c r="K2142" s="4">
        <v>-73206</v>
      </c>
    </row>
    <row r="2143" spans="1:11" hidden="1" outlineLevel="2" x14ac:dyDescent="0.35">
      <c r="A2143" t="s">
        <v>26</v>
      </c>
      <c r="B2143" s="1">
        <v>45717</v>
      </c>
      <c r="C2143" t="str">
        <f>"181"</f>
        <v>181</v>
      </c>
      <c r="D2143" t="s">
        <v>1435</v>
      </c>
      <c r="E2143" t="str">
        <f>"241095251"</f>
        <v>241095251</v>
      </c>
      <c r="F2143" t="str">
        <f t="shared" si="53"/>
        <v>40110000</v>
      </c>
      <c r="G2143" t="str">
        <f t="shared" ref="G2143:G2149" si="55">"40110409"</f>
        <v>40110409</v>
      </c>
      <c r="H2143" t="s">
        <v>1436</v>
      </c>
      <c r="I2143" s="1">
        <v>45717</v>
      </c>
      <c r="K2143" s="4">
        <v>115092</v>
      </c>
    </row>
    <row r="2144" spans="1:11" hidden="1" outlineLevel="2" x14ac:dyDescent="0.35">
      <c r="A2144" t="s">
        <v>26</v>
      </c>
      <c r="B2144" s="1">
        <v>45717</v>
      </c>
      <c r="C2144" t="str">
        <f>"182"</f>
        <v>182</v>
      </c>
      <c r="D2144" t="s">
        <v>1437</v>
      </c>
      <c r="E2144" t="str">
        <f>"251010286"</f>
        <v>251010286</v>
      </c>
      <c r="F2144" t="str">
        <f t="shared" si="53"/>
        <v>40110000</v>
      </c>
      <c r="G2144" t="str">
        <f t="shared" si="55"/>
        <v>40110409</v>
      </c>
      <c r="H2144" t="s">
        <v>1436</v>
      </c>
      <c r="I2144" s="1">
        <v>45717</v>
      </c>
      <c r="K2144" s="4">
        <v>27612</v>
      </c>
    </row>
    <row r="2145" spans="1:11" hidden="1" outlineLevel="2" x14ac:dyDescent="0.35">
      <c r="A2145" t="s">
        <v>26</v>
      </c>
      <c r="B2145" s="1">
        <v>45717</v>
      </c>
      <c r="C2145" t="str">
        <f>"183"</f>
        <v>183</v>
      </c>
      <c r="D2145" t="s">
        <v>1438</v>
      </c>
      <c r="E2145" t="str">
        <f>"251010377"</f>
        <v>251010377</v>
      </c>
      <c r="F2145" t="str">
        <f t="shared" si="53"/>
        <v>40110000</v>
      </c>
      <c r="G2145" t="str">
        <f t="shared" si="55"/>
        <v>40110409</v>
      </c>
      <c r="H2145" t="s">
        <v>1436</v>
      </c>
      <c r="I2145" s="1">
        <v>45717</v>
      </c>
      <c r="K2145" s="4">
        <v>55960</v>
      </c>
    </row>
    <row r="2146" spans="1:11" hidden="1" outlineLevel="2" x14ac:dyDescent="0.35">
      <c r="A2146" t="s">
        <v>26</v>
      </c>
      <c r="B2146" s="1">
        <v>45717</v>
      </c>
      <c r="C2146" t="str">
        <f>"184"</f>
        <v>184</v>
      </c>
      <c r="D2146" t="s">
        <v>1439</v>
      </c>
      <c r="E2146" t="str">
        <f>"251014164"</f>
        <v>251014164</v>
      </c>
      <c r="F2146" t="str">
        <f t="shared" si="53"/>
        <v>40110000</v>
      </c>
      <c r="G2146" t="str">
        <f t="shared" si="55"/>
        <v>40110409</v>
      </c>
      <c r="H2146" t="s">
        <v>1436</v>
      </c>
      <c r="I2146" s="1">
        <v>45717</v>
      </c>
      <c r="K2146" s="4">
        <v>21580</v>
      </c>
    </row>
    <row r="2147" spans="1:11" hidden="1" outlineLevel="2" x14ac:dyDescent="0.35">
      <c r="A2147" t="s">
        <v>26</v>
      </c>
      <c r="B2147" s="1">
        <v>45717</v>
      </c>
      <c r="C2147" t="str">
        <f>"185"</f>
        <v>185</v>
      </c>
      <c r="D2147" t="s">
        <v>1440</v>
      </c>
      <c r="E2147" t="str">
        <f>"251014551"</f>
        <v>251014551</v>
      </c>
      <c r="F2147" t="str">
        <f t="shared" si="53"/>
        <v>40110000</v>
      </c>
      <c r="G2147" t="str">
        <f t="shared" si="55"/>
        <v>40110409</v>
      </c>
      <c r="H2147" t="s">
        <v>1436</v>
      </c>
      <c r="I2147" s="1">
        <v>45717</v>
      </c>
      <c r="K2147" s="4">
        <v>4425</v>
      </c>
    </row>
    <row r="2148" spans="1:11" hidden="1" outlineLevel="2" x14ac:dyDescent="0.35">
      <c r="A2148" t="s">
        <v>26</v>
      </c>
      <c r="B2148" s="1">
        <v>45717</v>
      </c>
      <c r="C2148" t="str">
        <f>"186"</f>
        <v>186</v>
      </c>
      <c r="D2148" t="s">
        <v>1441</v>
      </c>
      <c r="E2148" t="str">
        <f>"251016856"</f>
        <v>251016856</v>
      </c>
      <c r="F2148" t="str">
        <f t="shared" si="53"/>
        <v>40110000</v>
      </c>
      <c r="G2148" t="str">
        <f t="shared" si="55"/>
        <v>40110409</v>
      </c>
      <c r="H2148" t="s">
        <v>1436</v>
      </c>
      <c r="I2148" s="1">
        <v>45717</v>
      </c>
      <c r="K2148" s="4">
        <v>185723</v>
      </c>
    </row>
    <row r="2149" spans="1:11" hidden="1" outlineLevel="2" x14ac:dyDescent="0.35">
      <c r="A2149" t="s">
        <v>26</v>
      </c>
      <c r="B2149" s="1">
        <v>45717</v>
      </c>
      <c r="C2149" t="str">
        <f>"187"</f>
        <v>187</v>
      </c>
      <c r="D2149" t="s">
        <v>1442</v>
      </c>
      <c r="E2149" t="str">
        <f>"251018605"</f>
        <v>251018605</v>
      </c>
      <c r="F2149" t="str">
        <f t="shared" si="53"/>
        <v>40110000</v>
      </c>
      <c r="G2149" t="str">
        <f t="shared" si="55"/>
        <v>40110409</v>
      </c>
      <c r="H2149" t="s">
        <v>1436</v>
      </c>
      <c r="I2149" s="1">
        <v>45717</v>
      </c>
      <c r="K2149" s="4">
        <v>156298</v>
      </c>
    </row>
    <row r="2150" spans="1:11" hidden="1" outlineLevel="2" x14ac:dyDescent="0.35">
      <c r="A2150" t="s">
        <v>26</v>
      </c>
      <c r="B2150" s="1">
        <v>45719</v>
      </c>
      <c r="C2150" t="str">
        <f>"10"</f>
        <v>10</v>
      </c>
      <c r="D2150" t="s">
        <v>1443</v>
      </c>
      <c r="E2150" t="s">
        <v>1444</v>
      </c>
      <c r="F2150" t="str">
        <f t="shared" si="53"/>
        <v>40110000</v>
      </c>
      <c r="G2150" t="str">
        <f>"40110143"</f>
        <v>40110143</v>
      </c>
      <c r="H2150" t="s">
        <v>1445</v>
      </c>
      <c r="I2150" s="1">
        <v>45779</v>
      </c>
      <c r="K2150" s="4">
        <v>31468346</v>
      </c>
    </row>
    <row r="2151" spans="1:11" hidden="1" outlineLevel="2" x14ac:dyDescent="0.35">
      <c r="A2151" t="s">
        <v>26</v>
      </c>
      <c r="B2151" s="1">
        <v>45719</v>
      </c>
      <c r="C2151" t="str">
        <f>"15"</f>
        <v>15</v>
      </c>
      <c r="D2151" t="s">
        <v>1446</v>
      </c>
      <c r="E2151" t="str">
        <f>"1469"</f>
        <v>1469</v>
      </c>
      <c r="F2151" t="str">
        <f t="shared" si="53"/>
        <v>40110000</v>
      </c>
      <c r="G2151" t="s">
        <v>1447</v>
      </c>
      <c r="H2151" t="s">
        <v>1448</v>
      </c>
      <c r="I2151" s="1">
        <v>45719</v>
      </c>
      <c r="K2151" s="4">
        <v>6722318</v>
      </c>
    </row>
    <row r="2152" spans="1:11" hidden="1" outlineLevel="2" x14ac:dyDescent="0.35">
      <c r="A2152" t="s">
        <v>26</v>
      </c>
      <c r="B2152" s="1">
        <v>45719</v>
      </c>
      <c r="C2152" t="str">
        <f>"34"</f>
        <v>34</v>
      </c>
      <c r="D2152" t="s">
        <v>1449</v>
      </c>
      <c r="E2152" t="s">
        <v>1450</v>
      </c>
      <c r="F2152" t="str">
        <f t="shared" si="53"/>
        <v>40110000</v>
      </c>
      <c r="G2152" t="str">
        <f>"40110278"</f>
        <v>40110278</v>
      </c>
      <c r="H2152" t="s">
        <v>1451</v>
      </c>
      <c r="I2152" s="1">
        <v>45719</v>
      </c>
      <c r="K2152" s="4">
        <v>1470138</v>
      </c>
    </row>
    <row r="2153" spans="1:11" hidden="1" outlineLevel="2" x14ac:dyDescent="0.35">
      <c r="A2153" t="s">
        <v>26</v>
      </c>
      <c r="B2153" s="1">
        <v>45719</v>
      </c>
      <c r="C2153" t="str">
        <f>"69"</f>
        <v>69</v>
      </c>
      <c r="D2153" t="s">
        <v>1452</v>
      </c>
      <c r="E2153" t="str">
        <f>"000102"</f>
        <v>000102</v>
      </c>
      <c r="F2153" t="str">
        <f t="shared" si="53"/>
        <v>40110000</v>
      </c>
      <c r="G2153" t="str">
        <f>"40110001"</f>
        <v>40110001</v>
      </c>
      <c r="H2153" t="s">
        <v>1453</v>
      </c>
      <c r="I2153" s="1">
        <v>45719</v>
      </c>
      <c r="K2153" s="4">
        <v>2076800</v>
      </c>
    </row>
    <row r="2154" spans="1:11" hidden="1" outlineLevel="2" x14ac:dyDescent="0.35">
      <c r="A2154" t="s">
        <v>26</v>
      </c>
      <c r="B2154" s="1">
        <v>45720</v>
      </c>
      <c r="C2154" t="str">
        <f>"16"</f>
        <v>16</v>
      </c>
      <c r="D2154" t="s">
        <v>1454</v>
      </c>
      <c r="E2154" t="s">
        <v>1455</v>
      </c>
      <c r="F2154" t="str">
        <f t="shared" si="53"/>
        <v>40110000</v>
      </c>
      <c r="G2154" t="s">
        <v>1216</v>
      </c>
      <c r="H2154" t="s">
        <v>1456</v>
      </c>
      <c r="I2154" s="1">
        <v>45720</v>
      </c>
      <c r="K2154" s="4">
        <v>211200</v>
      </c>
    </row>
    <row r="2155" spans="1:11" hidden="1" outlineLevel="2" x14ac:dyDescent="0.35">
      <c r="A2155" t="s">
        <v>26</v>
      </c>
      <c r="B2155" s="1">
        <v>45720</v>
      </c>
      <c r="C2155" t="str">
        <f>"17"</f>
        <v>17</v>
      </c>
      <c r="D2155" t="s">
        <v>1457</v>
      </c>
      <c r="E2155" t="str">
        <f>"0311858"</f>
        <v>0311858</v>
      </c>
      <c r="F2155" t="str">
        <f t="shared" si="53"/>
        <v>40110000</v>
      </c>
      <c r="G2155" t="s">
        <v>1458</v>
      </c>
      <c r="H2155" t="s">
        <v>1459</v>
      </c>
      <c r="I2155" s="1">
        <v>45720</v>
      </c>
      <c r="K2155" s="4">
        <v>100000</v>
      </c>
    </row>
    <row r="2156" spans="1:11" hidden="1" outlineLevel="2" x14ac:dyDescent="0.35">
      <c r="A2156" t="s">
        <v>26</v>
      </c>
      <c r="B2156" s="1">
        <v>45720</v>
      </c>
      <c r="C2156" t="str">
        <f>"18"</f>
        <v>18</v>
      </c>
      <c r="D2156" t="s">
        <v>1460</v>
      </c>
      <c r="E2156" t="str">
        <f>"0000168"</f>
        <v>0000168</v>
      </c>
      <c r="F2156" t="str">
        <f t="shared" si="53"/>
        <v>40110000</v>
      </c>
      <c r="G2156" t="str">
        <f>"40110001"</f>
        <v>40110001</v>
      </c>
      <c r="H2156" t="s">
        <v>1461</v>
      </c>
      <c r="I2156" s="1">
        <v>45720</v>
      </c>
      <c r="K2156" s="4">
        <v>5200000</v>
      </c>
    </row>
    <row r="2157" spans="1:11" hidden="1" outlineLevel="2" x14ac:dyDescent="0.35">
      <c r="A2157" t="s">
        <v>26</v>
      </c>
      <c r="B2157" s="1">
        <v>45720</v>
      </c>
      <c r="C2157" t="str">
        <f>"19"</f>
        <v>19</v>
      </c>
      <c r="D2157" t="s">
        <v>1462</v>
      </c>
      <c r="E2157" t="str">
        <f>"313"</f>
        <v>313</v>
      </c>
      <c r="F2157" t="str">
        <f t="shared" si="53"/>
        <v>40110000</v>
      </c>
      <c r="G2157" t="str">
        <f>"40110665"</f>
        <v>40110665</v>
      </c>
      <c r="H2157" t="s">
        <v>1463</v>
      </c>
      <c r="I2157" s="1">
        <v>45808</v>
      </c>
      <c r="K2157" s="4">
        <v>296000</v>
      </c>
    </row>
    <row r="2158" spans="1:11" hidden="1" outlineLevel="2" x14ac:dyDescent="0.35">
      <c r="A2158" t="s">
        <v>26</v>
      </c>
      <c r="B2158" s="1">
        <v>45720</v>
      </c>
      <c r="C2158" t="str">
        <f>"20"</f>
        <v>20</v>
      </c>
      <c r="D2158" t="s">
        <v>1464</v>
      </c>
      <c r="E2158" t="s">
        <v>1465</v>
      </c>
      <c r="F2158" t="str">
        <f t="shared" si="53"/>
        <v>40110000</v>
      </c>
      <c r="G2158" t="str">
        <f t="shared" ref="G2158:G2163" si="56">"40110123"</f>
        <v>40110123</v>
      </c>
      <c r="H2158" t="s">
        <v>1466</v>
      </c>
      <c r="I2158" s="1">
        <v>45750</v>
      </c>
      <c r="K2158" s="4">
        <v>106554</v>
      </c>
    </row>
    <row r="2159" spans="1:11" hidden="1" outlineLevel="2" x14ac:dyDescent="0.35">
      <c r="A2159" t="s">
        <v>26</v>
      </c>
      <c r="B2159" s="1">
        <v>45720</v>
      </c>
      <c r="C2159" t="str">
        <f>"21"</f>
        <v>21</v>
      </c>
      <c r="D2159" t="s">
        <v>1467</v>
      </c>
      <c r="E2159" t="str">
        <f>"2503012"</f>
        <v>2503012</v>
      </c>
      <c r="F2159" t="str">
        <f t="shared" si="53"/>
        <v>40110000</v>
      </c>
      <c r="G2159" t="str">
        <f t="shared" si="56"/>
        <v>40110123</v>
      </c>
      <c r="H2159" t="s">
        <v>1468</v>
      </c>
      <c r="I2159" s="1">
        <v>45750</v>
      </c>
      <c r="K2159" s="4">
        <v>97940</v>
      </c>
    </row>
    <row r="2160" spans="1:11" hidden="1" outlineLevel="2" x14ac:dyDescent="0.35">
      <c r="A2160" t="s">
        <v>26</v>
      </c>
      <c r="B2160" s="1">
        <v>45720</v>
      </c>
      <c r="C2160" t="str">
        <f>"22"</f>
        <v>22</v>
      </c>
      <c r="D2160" t="s">
        <v>1470</v>
      </c>
      <c r="E2160" t="str">
        <f>"2503013"</f>
        <v>2503013</v>
      </c>
      <c r="F2160" t="str">
        <f t="shared" si="53"/>
        <v>40110000</v>
      </c>
      <c r="G2160" t="str">
        <f t="shared" si="56"/>
        <v>40110123</v>
      </c>
      <c r="H2160" t="s">
        <v>1471</v>
      </c>
      <c r="I2160" s="1">
        <v>45750</v>
      </c>
      <c r="K2160" s="4">
        <v>264084</v>
      </c>
    </row>
    <row r="2161" spans="1:11" hidden="1" outlineLevel="2" x14ac:dyDescent="0.35">
      <c r="A2161" t="s">
        <v>26</v>
      </c>
      <c r="B2161" s="1">
        <v>45720</v>
      </c>
      <c r="C2161" t="str">
        <f>"23"</f>
        <v>23</v>
      </c>
      <c r="D2161" t="s">
        <v>1472</v>
      </c>
      <c r="E2161" t="s">
        <v>1473</v>
      </c>
      <c r="F2161" t="str">
        <f t="shared" si="53"/>
        <v>40110000</v>
      </c>
      <c r="G2161" t="str">
        <f t="shared" si="56"/>
        <v>40110123</v>
      </c>
      <c r="H2161" t="s">
        <v>1474</v>
      </c>
      <c r="I2161" s="1">
        <v>45750</v>
      </c>
      <c r="K2161" s="4">
        <v>460200</v>
      </c>
    </row>
    <row r="2162" spans="1:11" hidden="1" outlineLevel="2" x14ac:dyDescent="0.35">
      <c r="A2162" t="s">
        <v>26</v>
      </c>
      <c r="B2162" s="1">
        <v>45720</v>
      </c>
      <c r="C2162" t="str">
        <f>"24"</f>
        <v>24</v>
      </c>
      <c r="D2162" t="s">
        <v>1475</v>
      </c>
      <c r="E2162" t="s">
        <v>1476</v>
      </c>
      <c r="F2162" t="str">
        <f t="shared" si="53"/>
        <v>40110000</v>
      </c>
      <c r="G2162" t="str">
        <f t="shared" si="56"/>
        <v>40110123</v>
      </c>
      <c r="H2162" t="s">
        <v>1477</v>
      </c>
      <c r="I2162" s="1">
        <v>45750</v>
      </c>
      <c r="K2162" s="4">
        <v>708000</v>
      </c>
    </row>
    <row r="2163" spans="1:11" hidden="1" outlineLevel="2" x14ac:dyDescent="0.35">
      <c r="A2163" t="s">
        <v>26</v>
      </c>
      <c r="B2163" s="1">
        <v>45720</v>
      </c>
      <c r="C2163" t="str">
        <f>"25"</f>
        <v>25</v>
      </c>
      <c r="D2163" t="s">
        <v>1478</v>
      </c>
      <c r="E2163" t="s">
        <v>1479</v>
      </c>
      <c r="F2163" t="str">
        <f t="shared" si="53"/>
        <v>40110000</v>
      </c>
      <c r="G2163" t="str">
        <f t="shared" si="56"/>
        <v>40110123</v>
      </c>
      <c r="H2163" t="s">
        <v>1480</v>
      </c>
      <c r="I2163" s="1">
        <v>45750</v>
      </c>
      <c r="K2163" s="4">
        <v>708000</v>
      </c>
    </row>
    <row r="2164" spans="1:11" hidden="1" outlineLevel="2" x14ac:dyDescent="0.35">
      <c r="A2164" t="s">
        <v>26</v>
      </c>
      <c r="B2164" s="1">
        <v>45720</v>
      </c>
      <c r="C2164" t="str">
        <f>"68"</f>
        <v>68</v>
      </c>
      <c r="D2164" t="s">
        <v>1481</v>
      </c>
      <c r="E2164" t="str">
        <f>"0001677"</f>
        <v>0001677</v>
      </c>
      <c r="F2164" t="str">
        <f t="shared" si="53"/>
        <v>40110000</v>
      </c>
      <c r="G2164" t="str">
        <f>"40110340"</f>
        <v>40110340</v>
      </c>
      <c r="H2164" t="s">
        <v>1482</v>
      </c>
      <c r="I2164" s="1">
        <v>45780</v>
      </c>
      <c r="K2164" s="4">
        <v>1000000</v>
      </c>
    </row>
    <row r="2165" spans="1:11" hidden="1" outlineLevel="2" x14ac:dyDescent="0.35">
      <c r="A2165" t="s">
        <v>26</v>
      </c>
      <c r="B2165" s="1">
        <v>45720</v>
      </c>
      <c r="C2165" t="str">
        <f>"96"</f>
        <v>96</v>
      </c>
      <c r="D2165" t="s">
        <v>1483</v>
      </c>
      <c r="E2165" t="s">
        <v>1484</v>
      </c>
      <c r="F2165" t="str">
        <f t="shared" si="53"/>
        <v>40110000</v>
      </c>
      <c r="G2165" t="str">
        <f>"40110261"</f>
        <v>40110261</v>
      </c>
      <c r="H2165" t="s">
        <v>1485</v>
      </c>
      <c r="I2165" s="1">
        <v>45720</v>
      </c>
      <c r="K2165" s="4">
        <v>12449000</v>
      </c>
    </row>
    <row r="2166" spans="1:11" hidden="1" outlineLevel="2" x14ac:dyDescent="0.35">
      <c r="A2166" t="s">
        <v>26</v>
      </c>
      <c r="B2166" s="1">
        <v>45722</v>
      </c>
      <c r="C2166" t="str">
        <f>"3"</f>
        <v>3</v>
      </c>
      <c r="D2166" t="s">
        <v>1495</v>
      </c>
      <c r="E2166" t="str">
        <f>"229"</f>
        <v>229</v>
      </c>
      <c r="F2166" t="str">
        <f t="shared" si="53"/>
        <v>40110000</v>
      </c>
      <c r="G2166" t="str">
        <f t="shared" ref="G2166:G2171" si="57">"40110027"</f>
        <v>40110027</v>
      </c>
      <c r="H2166" t="s">
        <v>1496</v>
      </c>
      <c r="I2166" s="1">
        <v>45722</v>
      </c>
      <c r="K2166" s="4">
        <v>114120</v>
      </c>
    </row>
    <row r="2167" spans="1:11" hidden="1" outlineLevel="2" x14ac:dyDescent="0.35">
      <c r="A2167" t="s">
        <v>26</v>
      </c>
      <c r="B2167" s="1">
        <v>45722</v>
      </c>
      <c r="C2167" t="str">
        <f>"4"</f>
        <v>4</v>
      </c>
      <c r="D2167" t="s">
        <v>1497</v>
      </c>
      <c r="E2167" t="str">
        <f>"258"</f>
        <v>258</v>
      </c>
      <c r="F2167" t="str">
        <f t="shared" si="53"/>
        <v>40110000</v>
      </c>
      <c r="G2167" t="str">
        <f t="shared" si="57"/>
        <v>40110027</v>
      </c>
      <c r="H2167" t="s">
        <v>1498</v>
      </c>
      <c r="I2167" s="1">
        <v>45722</v>
      </c>
      <c r="K2167" s="4">
        <v>146635</v>
      </c>
    </row>
    <row r="2168" spans="1:11" hidden="1" outlineLevel="2" x14ac:dyDescent="0.35">
      <c r="A2168" t="s">
        <v>26</v>
      </c>
      <c r="B2168" s="1">
        <v>45722</v>
      </c>
      <c r="C2168" t="str">
        <f>"5"</f>
        <v>5</v>
      </c>
      <c r="D2168" t="s">
        <v>1499</v>
      </c>
      <c r="E2168" t="str">
        <f>"266"</f>
        <v>266</v>
      </c>
      <c r="F2168" t="str">
        <f t="shared" si="53"/>
        <v>40110000</v>
      </c>
      <c r="G2168" t="str">
        <f t="shared" si="57"/>
        <v>40110027</v>
      </c>
      <c r="H2168" t="s">
        <v>1500</v>
      </c>
      <c r="I2168" s="1">
        <v>45722</v>
      </c>
      <c r="K2168" s="4">
        <v>848585</v>
      </c>
    </row>
    <row r="2169" spans="1:11" hidden="1" outlineLevel="2" x14ac:dyDescent="0.35">
      <c r="A2169" t="s">
        <v>26</v>
      </c>
      <c r="B2169" s="1">
        <v>45722</v>
      </c>
      <c r="C2169" t="str">
        <f>"6"</f>
        <v>6</v>
      </c>
      <c r="D2169" t="s">
        <v>1501</v>
      </c>
      <c r="E2169" t="str">
        <f>"246"</f>
        <v>246</v>
      </c>
      <c r="F2169" t="str">
        <f t="shared" si="53"/>
        <v>40110000</v>
      </c>
      <c r="G2169" t="str">
        <f t="shared" si="57"/>
        <v>40110027</v>
      </c>
      <c r="H2169" t="s">
        <v>1502</v>
      </c>
      <c r="I2169" s="1">
        <v>45722</v>
      </c>
      <c r="K2169" s="4">
        <v>817475</v>
      </c>
    </row>
    <row r="2170" spans="1:11" hidden="1" outlineLevel="2" x14ac:dyDescent="0.35">
      <c r="A2170" t="s">
        <v>26</v>
      </c>
      <c r="B2170" s="1">
        <v>45722</v>
      </c>
      <c r="C2170" t="str">
        <f>"7"</f>
        <v>7</v>
      </c>
      <c r="D2170" t="s">
        <v>1503</v>
      </c>
      <c r="E2170" t="str">
        <f>"313"</f>
        <v>313</v>
      </c>
      <c r="F2170" t="str">
        <f t="shared" si="53"/>
        <v>40110000</v>
      </c>
      <c r="G2170" t="str">
        <f t="shared" si="57"/>
        <v>40110027</v>
      </c>
      <c r="H2170" t="s">
        <v>1504</v>
      </c>
      <c r="I2170" s="1">
        <v>45722</v>
      </c>
      <c r="K2170" s="4">
        <v>875620</v>
      </c>
    </row>
    <row r="2171" spans="1:11" hidden="1" outlineLevel="2" x14ac:dyDescent="0.35">
      <c r="A2171" t="s">
        <v>26</v>
      </c>
      <c r="B2171" s="1">
        <v>45722</v>
      </c>
      <c r="C2171" t="str">
        <f>"8"</f>
        <v>8</v>
      </c>
      <c r="D2171" t="s">
        <v>1505</v>
      </c>
      <c r="E2171" t="str">
        <f>"317"</f>
        <v>317</v>
      </c>
      <c r="F2171" t="str">
        <f t="shared" si="53"/>
        <v>40110000</v>
      </c>
      <c r="G2171" t="str">
        <f t="shared" si="57"/>
        <v>40110027</v>
      </c>
      <c r="H2171" t="s">
        <v>1506</v>
      </c>
      <c r="I2171" s="1">
        <v>45722</v>
      </c>
      <c r="K2171" s="4">
        <v>786360</v>
      </c>
    </row>
    <row r="2172" spans="1:11" hidden="1" outlineLevel="2" x14ac:dyDescent="0.35">
      <c r="A2172" t="s">
        <v>26</v>
      </c>
      <c r="B2172" s="1">
        <v>45722</v>
      </c>
      <c r="C2172" t="str">
        <f>"9"</f>
        <v>9</v>
      </c>
      <c r="D2172" t="s">
        <v>1507</v>
      </c>
      <c r="E2172" t="str">
        <f>"9741110212202401"</f>
        <v>9741110212202401</v>
      </c>
      <c r="F2172" t="str">
        <f t="shared" si="53"/>
        <v>40110000</v>
      </c>
      <c r="G2172" t="str">
        <f>"40110072"</f>
        <v>40110072</v>
      </c>
      <c r="H2172" t="s">
        <v>1508</v>
      </c>
      <c r="I2172" s="1">
        <v>45722</v>
      </c>
      <c r="K2172" s="4">
        <v>471467</v>
      </c>
    </row>
    <row r="2173" spans="1:11" hidden="1" outlineLevel="2" x14ac:dyDescent="0.35">
      <c r="A2173" t="s">
        <v>26</v>
      </c>
      <c r="B2173" s="1">
        <v>45722</v>
      </c>
      <c r="C2173" t="str">
        <f>"26"</f>
        <v>26</v>
      </c>
      <c r="D2173" t="s">
        <v>1509</v>
      </c>
      <c r="E2173" t="str">
        <f>"0188941"</f>
        <v>0188941</v>
      </c>
      <c r="F2173" t="str">
        <f t="shared" si="53"/>
        <v>40110000</v>
      </c>
      <c r="G2173" t="str">
        <f>"40120686"</f>
        <v>40120686</v>
      </c>
      <c r="H2173" t="s">
        <v>1510</v>
      </c>
      <c r="I2173" s="1">
        <v>45722</v>
      </c>
      <c r="K2173" s="4">
        <v>4950000</v>
      </c>
    </row>
    <row r="2174" spans="1:11" hidden="1" outlineLevel="2" x14ac:dyDescent="0.35">
      <c r="A2174" t="s">
        <v>26</v>
      </c>
      <c r="B2174" s="1">
        <v>45722</v>
      </c>
      <c r="C2174" t="str">
        <f>"27"</f>
        <v>27</v>
      </c>
      <c r="D2174" t="s">
        <v>1511</v>
      </c>
      <c r="E2174" t="s">
        <v>1512</v>
      </c>
      <c r="F2174" t="str">
        <f t="shared" si="53"/>
        <v>40110000</v>
      </c>
      <c r="G2174" t="str">
        <f>"40110133"</f>
        <v>40110133</v>
      </c>
      <c r="H2174" t="s">
        <v>1513</v>
      </c>
      <c r="I2174" s="1">
        <v>45722</v>
      </c>
      <c r="K2174" s="4">
        <v>324615</v>
      </c>
    </row>
    <row r="2175" spans="1:11" hidden="1" outlineLevel="2" x14ac:dyDescent="0.35">
      <c r="A2175" t="s">
        <v>26</v>
      </c>
      <c r="B2175" s="1">
        <v>45723</v>
      </c>
      <c r="C2175" t="str">
        <f>"28"</f>
        <v>28</v>
      </c>
      <c r="D2175" t="s">
        <v>1516</v>
      </c>
      <c r="E2175" t="s">
        <v>1517</v>
      </c>
      <c r="F2175" t="str">
        <f t="shared" si="53"/>
        <v>40110000</v>
      </c>
      <c r="G2175" t="str">
        <f>"40110962"</f>
        <v>40110962</v>
      </c>
      <c r="H2175" t="s">
        <v>1518</v>
      </c>
      <c r="I2175" s="1">
        <v>45723</v>
      </c>
      <c r="K2175" s="4">
        <v>1654012</v>
      </c>
    </row>
    <row r="2176" spans="1:11" hidden="1" outlineLevel="2" x14ac:dyDescent="0.35">
      <c r="A2176" t="s">
        <v>26</v>
      </c>
      <c r="B2176" s="1">
        <v>45723</v>
      </c>
      <c r="C2176" t="str">
        <f>"29"</f>
        <v>29</v>
      </c>
      <c r="D2176" t="s">
        <v>1519</v>
      </c>
      <c r="E2176" t="str">
        <f>"257"</f>
        <v>257</v>
      </c>
      <c r="F2176" t="str">
        <f t="shared" si="53"/>
        <v>40110000</v>
      </c>
      <c r="G2176" t="str">
        <f>"40120665"</f>
        <v>40120665</v>
      </c>
      <c r="H2176" t="s">
        <v>1520</v>
      </c>
      <c r="I2176" s="1">
        <v>45723</v>
      </c>
      <c r="K2176" s="4">
        <v>6131571</v>
      </c>
    </row>
    <row r="2177" spans="1:11" hidden="1" outlineLevel="2" x14ac:dyDescent="0.35">
      <c r="A2177" t="s">
        <v>26</v>
      </c>
      <c r="B2177" s="1">
        <v>45723</v>
      </c>
      <c r="C2177" t="str">
        <f>"30"</f>
        <v>30</v>
      </c>
      <c r="D2177" t="s">
        <v>1521</v>
      </c>
      <c r="E2177" t="s">
        <v>1522</v>
      </c>
      <c r="F2177" t="str">
        <f t="shared" si="53"/>
        <v>40110000</v>
      </c>
      <c r="G2177" t="str">
        <f>"40110341"</f>
        <v>40110341</v>
      </c>
      <c r="H2177" t="s">
        <v>1523</v>
      </c>
      <c r="I2177" s="1">
        <v>45753</v>
      </c>
      <c r="K2177" s="4">
        <v>653307</v>
      </c>
    </row>
    <row r="2178" spans="1:11" hidden="1" outlineLevel="2" x14ac:dyDescent="0.35">
      <c r="A2178" t="s">
        <v>26</v>
      </c>
      <c r="B2178" s="1">
        <v>45723</v>
      </c>
      <c r="C2178" t="str">
        <f>"31"</f>
        <v>31</v>
      </c>
      <c r="D2178" t="s">
        <v>1524</v>
      </c>
      <c r="E2178" t="s">
        <v>1525</v>
      </c>
      <c r="F2178" t="str">
        <f t="shared" ref="F2178:F2241" si="58">"40110000"</f>
        <v>40110000</v>
      </c>
      <c r="G2178" t="str">
        <f>"40110341"</f>
        <v>40110341</v>
      </c>
      <c r="H2178" t="s">
        <v>1526</v>
      </c>
      <c r="I2178" s="1">
        <v>45753</v>
      </c>
      <c r="K2178" s="4">
        <v>82600</v>
      </c>
    </row>
    <row r="2179" spans="1:11" hidden="1" outlineLevel="2" x14ac:dyDescent="0.35">
      <c r="A2179" t="s">
        <v>26</v>
      </c>
      <c r="B2179" s="1">
        <v>45723</v>
      </c>
      <c r="C2179" t="str">
        <f>"32"</f>
        <v>32</v>
      </c>
      <c r="D2179" t="s">
        <v>1527</v>
      </c>
      <c r="E2179" t="str">
        <f>"0235662"</f>
        <v>0235662</v>
      </c>
      <c r="F2179" t="str">
        <f t="shared" si="58"/>
        <v>40110000</v>
      </c>
      <c r="G2179" t="str">
        <f>"40111022"</f>
        <v>40111022</v>
      </c>
      <c r="H2179" t="s">
        <v>1528</v>
      </c>
      <c r="I2179" s="1">
        <v>45723</v>
      </c>
      <c r="K2179" s="4">
        <v>390000</v>
      </c>
    </row>
    <row r="2180" spans="1:11" hidden="1" outlineLevel="2" x14ac:dyDescent="0.35">
      <c r="A2180" t="s">
        <v>26</v>
      </c>
      <c r="B2180" s="1">
        <v>45723</v>
      </c>
      <c r="C2180" t="str">
        <f>"33"</f>
        <v>33</v>
      </c>
      <c r="D2180" t="s">
        <v>1529</v>
      </c>
      <c r="E2180" t="str">
        <f>"0235668"</f>
        <v>0235668</v>
      </c>
      <c r="F2180" t="str">
        <f t="shared" si="58"/>
        <v>40110000</v>
      </c>
      <c r="G2180" t="str">
        <f>"40111022"</f>
        <v>40111022</v>
      </c>
      <c r="H2180" t="s">
        <v>1528</v>
      </c>
      <c r="I2180" s="1">
        <v>45723</v>
      </c>
      <c r="K2180" s="4">
        <v>390000</v>
      </c>
    </row>
    <row r="2181" spans="1:11" hidden="1" outlineLevel="2" x14ac:dyDescent="0.35">
      <c r="A2181" t="s">
        <v>26</v>
      </c>
      <c r="B2181" s="1">
        <v>45726</v>
      </c>
      <c r="C2181" t="str">
        <f>"35"</f>
        <v>35</v>
      </c>
      <c r="D2181" t="s">
        <v>1530</v>
      </c>
      <c r="E2181" t="str">
        <f>"5100970101202501"</f>
        <v>5100970101202501</v>
      </c>
      <c r="F2181" t="str">
        <f t="shared" si="58"/>
        <v>40110000</v>
      </c>
      <c r="G2181" t="str">
        <f>"40110072"</f>
        <v>40110072</v>
      </c>
      <c r="H2181" t="s">
        <v>1531</v>
      </c>
      <c r="I2181" s="1">
        <v>45726</v>
      </c>
      <c r="K2181" s="4">
        <v>4784</v>
      </c>
    </row>
    <row r="2182" spans="1:11" hidden="1" outlineLevel="2" x14ac:dyDescent="0.35">
      <c r="A2182" t="s">
        <v>26</v>
      </c>
      <c r="B2182" s="1">
        <v>45726</v>
      </c>
      <c r="C2182" t="str">
        <f>"36"</f>
        <v>36</v>
      </c>
      <c r="D2182" t="s">
        <v>1532</v>
      </c>
      <c r="E2182" t="str">
        <f>"5292900111202401"</f>
        <v>5292900111202401</v>
      </c>
      <c r="F2182" t="str">
        <f t="shared" si="58"/>
        <v>40110000</v>
      </c>
      <c r="G2182" t="str">
        <f>"40110072"</f>
        <v>40110072</v>
      </c>
      <c r="H2182" t="s">
        <v>1533</v>
      </c>
      <c r="I2182" s="1">
        <v>45726</v>
      </c>
      <c r="K2182" s="4">
        <v>3866</v>
      </c>
    </row>
    <row r="2183" spans="1:11" hidden="1" outlineLevel="2" x14ac:dyDescent="0.35">
      <c r="A2183" t="s">
        <v>26</v>
      </c>
      <c r="B2183" s="1">
        <v>45726</v>
      </c>
      <c r="C2183" t="str">
        <f>"37"</f>
        <v>37</v>
      </c>
      <c r="D2183" t="s">
        <v>1534</v>
      </c>
      <c r="E2183" t="str">
        <f>"5127760111202401"</f>
        <v>5127760111202401</v>
      </c>
      <c r="F2183" t="str">
        <f t="shared" si="58"/>
        <v>40110000</v>
      </c>
      <c r="G2183" t="str">
        <f>"40110072"</f>
        <v>40110072</v>
      </c>
      <c r="H2183" t="s">
        <v>1535</v>
      </c>
      <c r="I2183" s="1">
        <v>45726</v>
      </c>
      <c r="K2183" s="4">
        <v>72055</v>
      </c>
    </row>
    <row r="2184" spans="1:11" hidden="1" outlineLevel="2" x14ac:dyDescent="0.35">
      <c r="A2184" t="s">
        <v>26</v>
      </c>
      <c r="B2184" s="1">
        <v>45726</v>
      </c>
      <c r="C2184" t="str">
        <f>"38"</f>
        <v>38</v>
      </c>
      <c r="D2184" t="s">
        <v>1536</v>
      </c>
      <c r="E2184" t="str">
        <f>"2090010111202401"</f>
        <v>2090010111202401</v>
      </c>
      <c r="F2184" t="str">
        <f t="shared" si="58"/>
        <v>40110000</v>
      </c>
      <c r="G2184" t="str">
        <f>"40110072"</f>
        <v>40110072</v>
      </c>
      <c r="H2184" t="s">
        <v>1537</v>
      </c>
      <c r="I2184" s="1">
        <v>45726</v>
      </c>
      <c r="K2184" s="4">
        <v>56073</v>
      </c>
    </row>
    <row r="2185" spans="1:11" hidden="1" outlineLevel="2" x14ac:dyDescent="0.35">
      <c r="A2185" t="s">
        <v>26</v>
      </c>
      <c r="B2185" s="1">
        <v>45726</v>
      </c>
      <c r="C2185" t="str">
        <f>"39"</f>
        <v>39</v>
      </c>
      <c r="D2185" t="s">
        <v>1538</v>
      </c>
      <c r="E2185" t="s">
        <v>1539</v>
      </c>
      <c r="F2185" t="str">
        <f t="shared" si="58"/>
        <v>40110000</v>
      </c>
      <c r="G2185" t="str">
        <f>"40110102"</f>
        <v>40110102</v>
      </c>
      <c r="H2185" t="s">
        <v>1540</v>
      </c>
      <c r="I2185" s="1">
        <v>45726</v>
      </c>
      <c r="K2185" s="4">
        <v>44995</v>
      </c>
    </row>
    <row r="2186" spans="1:11" hidden="1" outlineLevel="2" x14ac:dyDescent="0.35">
      <c r="A2186" t="s">
        <v>26</v>
      </c>
      <c r="B2186" s="1">
        <v>45726</v>
      </c>
      <c r="C2186" t="str">
        <f>"40"</f>
        <v>40</v>
      </c>
      <c r="D2186" t="s">
        <v>1541</v>
      </c>
      <c r="E2186" t="s">
        <v>1542</v>
      </c>
      <c r="F2186" t="str">
        <f t="shared" si="58"/>
        <v>40110000</v>
      </c>
      <c r="G2186" t="str">
        <f>"40110102"</f>
        <v>40110102</v>
      </c>
      <c r="H2186" t="s">
        <v>1540</v>
      </c>
      <c r="I2186" s="1">
        <v>45726</v>
      </c>
      <c r="K2186" s="4">
        <v>18999</v>
      </c>
    </row>
    <row r="2187" spans="1:11" hidden="1" outlineLevel="2" x14ac:dyDescent="0.35">
      <c r="A2187" t="s">
        <v>26</v>
      </c>
      <c r="B2187" s="1">
        <v>45726</v>
      </c>
      <c r="C2187" t="str">
        <f>"41"</f>
        <v>41</v>
      </c>
      <c r="D2187" t="s">
        <v>1543</v>
      </c>
      <c r="E2187" t="s">
        <v>1544</v>
      </c>
      <c r="F2187" t="str">
        <f t="shared" si="58"/>
        <v>40110000</v>
      </c>
      <c r="G2187" t="str">
        <f t="shared" ref="G2187:G2192" si="59">"40110056"</f>
        <v>40110056</v>
      </c>
      <c r="H2187" t="s">
        <v>1545</v>
      </c>
      <c r="I2187" s="1">
        <v>45747</v>
      </c>
      <c r="K2187" s="4">
        <v>2175767</v>
      </c>
    </row>
    <row r="2188" spans="1:11" hidden="1" outlineLevel="2" x14ac:dyDescent="0.35">
      <c r="A2188" t="s">
        <v>26</v>
      </c>
      <c r="B2188" s="1">
        <v>45726</v>
      </c>
      <c r="C2188" t="str">
        <f>"42"</f>
        <v>42</v>
      </c>
      <c r="D2188" t="s">
        <v>1546</v>
      </c>
      <c r="E2188" t="str">
        <f>"8890732032025"</f>
        <v>8890732032025</v>
      </c>
      <c r="F2188" t="str">
        <f t="shared" si="58"/>
        <v>40110000</v>
      </c>
      <c r="G2188" t="str">
        <f t="shared" si="59"/>
        <v>40110056</v>
      </c>
      <c r="H2188" t="s">
        <v>1547</v>
      </c>
      <c r="I2188" s="1">
        <v>45747</v>
      </c>
      <c r="K2188" s="4">
        <v>376207</v>
      </c>
    </row>
    <row r="2189" spans="1:11" hidden="1" outlineLevel="2" x14ac:dyDescent="0.35">
      <c r="A2189" t="s">
        <v>26</v>
      </c>
      <c r="B2189" s="1">
        <v>45726</v>
      </c>
      <c r="C2189" t="str">
        <f>"43"</f>
        <v>43</v>
      </c>
      <c r="D2189" t="s">
        <v>1548</v>
      </c>
      <c r="E2189" t="str">
        <f>"8892042032025"</f>
        <v>8892042032025</v>
      </c>
      <c r="F2189" t="str">
        <f t="shared" si="58"/>
        <v>40110000</v>
      </c>
      <c r="G2189" t="str">
        <f t="shared" si="59"/>
        <v>40110056</v>
      </c>
      <c r="H2189" t="s">
        <v>1549</v>
      </c>
      <c r="I2189" s="1">
        <v>45747</v>
      </c>
      <c r="K2189" s="4">
        <v>4961195</v>
      </c>
    </row>
    <row r="2190" spans="1:11" hidden="1" outlineLevel="2" x14ac:dyDescent="0.35">
      <c r="A2190" t="s">
        <v>26</v>
      </c>
      <c r="B2190" s="1">
        <v>45726</v>
      </c>
      <c r="C2190" t="str">
        <f>"44"</f>
        <v>44</v>
      </c>
      <c r="D2190" t="s">
        <v>1550</v>
      </c>
      <c r="E2190" t="str">
        <f>"8991929032025"</f>
        <v>8991929032025</v>
      </c>
      <c r="F2190" t="str">
        <f t="shared" si="58"/>
        <v>40110000</v>
      </c>
      <c r="G2190" t="str">
        <f t="shared" si="59"/>
        <v>40110056</v>
      </c>
      <c r="H2190" t="s">
        <v>1551</v>
      </c>
      <c r="I2190" s="1">
        <v>45747</v>
      </c>
      <c r="K2190" s="4">
        <v>497317</v>
      </c>
    </row>
    <row r="2191" spans="1:11" hidden="1" outlineLevel="2" x14ac:dyDescent="0.35">
      <c r="A2191" t="s">
        <v>26</v>
      </c>
      <c r="B2191" s="1">
        <v>45726</v>
      </c>
      <c r="C2191" t="str">
        <f>"45"</f>
        <v>45</v>
      </c>
      <c r="D2191" t="s">
        <v>1552</v>
      </c>
      <c r="E2191" t="str">
        <f>"8991930032025"</f>
        <v>8991930032025</v>
      </c>
      <c r="F2191" t="str">
        <f t="shared" si="58"/>
        <v>40110000</v>
      </c>
      <c r="G2191" t="str">
        <f t="shared" si="59"/>
        <v>40110056</v>
      </c>
      <c r="H2191" t="s">
        <v>1553</v>
      </c>
      <c r="I2191" s="1">
        <v>45747</v>
      </c>
      <c r="K2191" s="4">
        <v>76604</v>
      </c>
    </row>
    <row r="2192" spans="1:11" hidden="1" outlineLevel="2" x14ac:dyDescent="0.35">
      <c r="A2192" t="s">
        <v>26</v>
      </c>
      <c r="B2192" s="1">
        <v>45726</v>
      </c>
      <c r="C2192" t="str">
        <f>"46"</f>
        <v>46</v>
      </c>
      <c r="D2192" t="s">
        <v>1554</v>
      </c>
      <c r="E2192" t="str">
        <f>"8998068032025"</f>
        <v>8998068032025</v>
      </c>
      <c r="F2192" t="str">
        <f t="shared" si="58"/>
        <v>40110000</v>
      </c>
      <c r="G2192" t="str">
        <f t="shared" si="59"/>
        <v>40110056</v>
      </c>
      <c r="H2192" t="s">
        <v>1555</v>
      </c>
      <c r="I2192" s="1">
        <v>45747</v>
      </c>
      <c r="K2192" s="4">
        <v>4139761</v>
      </c>
    </row>
    <row r="2193" spans="1:11" hidden="1" outlineLevel="2" x14ac:dyDescent="0.35">
      <c r="A2193" t="s">
        <v>26</v>
      </c>
      <c r="B2193" s="1">
        <v>45726</v>
      </c>
      <c r="C2193" t="str">
        <f>"52"</f>
        <v>52</v>
      </c>
      <c r="D2193" t="s">
        <v>1556</v>
      </c>
      <c r="E2193" t="str">
        <f>"0001919"</f>
        <v>0001919</v>
      </c>
      <c r="F2193" t="str">
        <f t="shared" si="58"/>
        <v>40110000</v>
      </c>
      <c r="G2193" t="str">
        <f t="shared" ref="G2193:G2198" si="60">"40110536"</f>
        <v>40110536</v>
      </c>
      <c r="H2193" t="s">
        <v>1557</v>
      </c>
      <c r="I2193" s="1">
        <v>45726</v>
      </c>
      <c r="K2193" s="4">
        <v>2177100</v>
      </c>
    </row>
    <row r="2194" spans="1:11" hidden="1" outlineLevel="2" x14ac:dyDescent="0.35">
      <c r="A2194" t="s">
        <v>26</v>
      </c>
      <c r="B2194" s="1">
        <v>45726</v>
      </c>
      <c r="C2194" t="str">
        <f>"53"</f>
        <v>53</v>
      </c>
      <c r="D2194" t="s">
        <v>1558</v>
      </c>
      <c r="E2194" t="str">
        <f>"0001920"</f>
        <v>0001920</v>
      </c>
      <c r="F2194" t="str">
        <f t="shared" si="58"/>
        <v>40110000</v>
      </c>
      <c r="G2194" t="str">
        <f t="shared" si="60"/>
        <v>40110536</v>
      </c>
      <c r="H2194" t="s">
        <v>1559</v>
      </c>
      <c r="I2194" s="1">
        <v>45726</v>
      </c>
      <c r="K2194" s="4">
        <v>325680</v>
      </c>
    </row>
    <row r="2195" spans="1:11" hidden="1" outlineLevel="2" x14ac:dyDescent="0.35">
      <c r="A2195" t="s">
        <v>26</v>
      </c>
      <c r="B2195" s="1">
        <v>45726</v>
      </c>
      <c r="C2195" t="str">
        <f>"54"</f>
        <v>54</v>
      </c>
      <c r="D2195" t="s">
        <v>1560</v>
      </c>
      <c r="E2195" t="str">
        <f>"0001921"</f>
        <v>0001921</v>
      </c>
      <c r="F2195" t="str">
        <f t="shared" si="58"/>
        <v>40110000</v>
      </c>
      <c r="G2195" t="str">
        <f t="shared" si="60"/>
        <v>40110536</v>
      </c>
      <c r="H2195" t="s">
        <v>1561</v>
      </c>
      <c r="I2195" s="1">
        <v>45726</v>
      </c>
      <c r="K2195" s="4">
        <v>594720</v>
      </c>
    </row>
    <row r="2196" spans="1:11" hidden="1" outlineLevel="2" x14ac:dyDescent="0.35">
      <c r="A2196" t="s">
        <v>26</v>
      </c>
      <c r="B2196" s="1">
        <v>45726</v>
      </c>
      <c r="C2196" t="str">
        <f>"55"</f>
        <v>55</v>
      </c>
      <c r="D2196" t="s">
        <v>1562</v>
      </c>
      <c r="E2196" t="str">
        <f>"001922"</f>
        <v>001922</v>
      </c>
      <c r="F2196" t="str">
        <f t="shared" si="58"/>
        <v>40110000</v>
      </c>
      <c r="G2196" t="str">
        <f t="shared" si="60"/>
        <v>40110536</v>
      </c>
      <c r="H2196" t="s">
        <v>1563</v>
      </c>
      <c r="I2196" s="1">
        <v>45726</v>
      </c>
      <c r="K2196" s="4">
        <v>401200</v>
      </c>
    </row>
    <row r="2197" spans="1:11" hidden="1" outlineLevel="2" x14ac:dyDescent="0.35">
      <c r="A2197" t="s">
        <v>26</v>
      </c>
      <c r="B2197" s="1">
        <v>45726</v>
      </c>
      <c r="C2197" t="str">
        <f>"56"</f>
        <v>56</v>
      </c>
      <c r="D2197" t="s">
        <v>1564</v>
      </c>
      <c r="E2197" t="str">
        <f>"0001923"</f>
        <v>0001923</v>
      </c>
      <c r="F2197" t="str">
        <f t="shared" si="58"/>
        <v>40110000</v>
      </c>
      <c r="G2197" t="str">
        <f t="shared" si="60"/>
        <v>40110536</v>
      </c>
      <c r="H2197" t="s">
        <v>1565</v>
      </c>
      <c r="I2197" s="1">
        <v>45726</v>
      </c>
      <c r="K2197" s="4">
        <v>1685040</v>
      </c>
    </row>
    <row r="2198" spans="1:11" hidden="1" outlineLevel="2" x14ac:dyDescent="0.35">
      <c r="A2198" t="s">
        <v>26</v>
      </c>
      <c r="B2198" s="1">
        <v>45726</v>
      </c>
      <c r="C2198" t="str">
        <f>"57"</f>
        <v>57</v>
      </c>
      <c r="D2198" t="s">
        <v>1566</v>
      </c>
      <c r="E2198" t="str">
        <f>"0001962"</f>
        <v>0001962</v>
      </c>
      <c r="F2198" t="str">
        <f t="shared" si="58"/>
        <v>40110000</v>
      </c>
      <c r="G2198" t="str">
        <f t="shared" si="60"/>
        <v>40110536</v>
      </c>
      <c r="H2198" t="s">
        <v>1567</v>
      </c>
      <c r="I2198" s="1">
        <v>45726</v>
      </c>
      <c r="K2198" s="4">
        <v>11800</v>
      </c>
    </row>
    <row r="2199" spans="1:11" hidden="1" outlineLevel="2" x14ac:dyDescent="0.35">
      <c r="A2199" t="s">
        <v>26</v>
      </c>
      <c r="B2199" s="1">
        <v>45726</v>
      </c>
      <c r="C2199" t="str">
        <f>"62"</f>
        <v>62</v>
      </c>
      <c r="D2199" t="s">
        <v>1568</v>
      </c>
      <c r="E2199" t="str">
        <f>"0000064"</f>
        <v>0000064</v>
      </c>
      <c r="F2199" t="str">
        <f t="shared" si="58"/>
        <v>40110000</v>
      </c>
      <c r="G2199" t="str">
        <f>"40110179"</f>
        <v>40110179</v>
      </c>
      <c r="H2199" t="s">
        <v>1569</v>
      </c>
      <c r="I2199" s="1">
        <v>45726</v>
      </c>
      <c r="K2199" s="4">
        <v>163400</v>
      </c>
    </row>
    <row r="2200" spans="1:11" hidden="1" outlineLevel="2" x14ac:dyDescent="0.35">
      <c r="A2200" t="s">
        <v>26</v>
      </c>
      <c r="B2200" s="1">
        <v>45726</v>
      </c>
      <c r="C2200" t="str">
        <f>"63"</f>
        <v>63</v>
      </c>
      <c r="D2200" t="s">
        <v>1570</v>
      </c>
      <c r="E2200" t="str">
        <f>"0001867"</f>
        <v>0001867</v>
      </c>
      <c r="F2200" t="str">
        <f t="shared" si="58"/>
        <v>40110000</v>
      </c>
      <c r="G2200" t="str">
        <f>"40110179"</f>
        <v>40110179</v>
      </c>
      <c r="H2200" t="s">
        <v>1571</v>
      </c>
      <c r="I2200" s="1">
        <v>45726</v>
      </c>
      <c r="K2200" s="4">
        <v>198840</v>
      </c>
    </row>
    <row r="2201" spans="1:11" hidden="1" outlineLevel="2" x14ac:dyDescent="0.35">
      <c r="A2201" t="s">
        <v>26</v>
      </c>
      <c r="B2201" s="1">
        <v>45726</v>
      </c>
      <c r="C2201" t="str">
        <f>"125"</f>
        <v>125</v>
      </c>
      <c r="D2201" t="s">
        <v>1580</v>
      </c>
      <c r="E2201" t="str">
        <f>"0000048"</f>
        <v>0000048</v>
      </c>
      <c r="F2201" t="str">
        <f t="shared" si="58"/>
        <v>40110000</v>
      </c>
      <c r="G2201" t="str">
        <f>"40110179"</f>
        <v>40110179</v>
      </c>
      <c r="H2201" t="s">
        <v>1581</v>
      </c>
      <c r="I2201" s="1">
        <v>45726</v>
      </c>
      <c r="K2201" s="4">
        <v>797720</v>
      </c>
    </row>
    <row r="2202" spans="1:11" hidden="1" outlineLevel="2" x14ac:dyDescent="0.35">
      <c r="A2202" t="s">
        <v>26</v>
      </c>
      <c r="B2202" s="1">
        <v>45726</v>
      </c>
      <c r="C2202" t="str">
        <f>"157"</f>
        <v>157</v>
      </c>
      <c r="D2202" t="s">
        <v>1568</v>
      </c>
      <c r="E2202" t="str">
        <f>"0000064"</f>
        <v>0000064</v>
      </c>
      <c r="F2202" t="str">
        <f t="shared" si="58"/>
        <v>40110000</v>
      </c>
      <c r="G2202" t="str">
        <f>"40110179"</f>
        <v>40110179</v>
      </c>
      <c r="H2202" t="s">
        <v>1582</v>
      </c>
      <c r="I2202" s="1">
        <v>45726</v>
      </c>
      <c r="K2202" s="4">
        <v>163400</v>
      </c>
    </row>
    <row r="2203" spans="1:11" hidden="1" outlineLevel="2" x14ac:dyDescent="0.35">
      <c r="A2203" t="s">
        <v>26</v>
      </c>
      <c r="B2203" s="1">
        <v>45726</v>
      </c>
      <c r="C2203" t="str">
        <f>"188"</f>
        <v>188</v>
      </c>
      <c r="D2203" t="s">
        <v>1583</v>
      </c>
      <c r="E2203" t="str">
        <f>"0006456"</f>
        <v>0006456</v>
      </c>
      <c r="F2203" t="str">
        <f t="shared" si="58"/>
        <v>40110000</v>
      </c>
      <c r="G2203" t="s">
        <v>1584</v>
      </c>
      <c r="H2203" t="s">
        <v>1585</v>
      </c>
      <c r="I2203" s="1">
        <v>45726</v>
      </c>
      <c r="K2203" s="4">
        <v>2000000</v>
      </c>
    </row>
    <row r="2204" spans="1:11" hidden="1" outlineLevel="2" x14ac:dyDescent="0.35">
      <c r="A2204" t="s">
        <v>26</v>
      </c>
      <c r="B2204" s="1">
        <v>45727</v>
      </c>
      <c r="C2204" t="str">
        <f>"64"</f>
        <v>64</v>
      </c>
      <c r="D2204" t="s">
        <v>1586</v>
      </c>
      <c r="E2204" t="s">
        <v>1587</v>
      </c>
      <c r="F2204" t="str">
        <f t="shared" si="58"/>
        <v>40110000</v>
      </c>
      <c r="G2204" t="s">
        <v>1588</v>
      </c>
      <c r="H2204" t="s">
        <v>1589</v>
      </c>
      <c r="I2204" s="1">
        <v>45727</v>
      </c>
      <c r="K2204" s="4">
        <v>918700</v>
      </c>
    </row>
    <row r="2205" spans="1:11" hidden="1" outlineLevel="2" x14ac:dyDescent="0.35">
      <c r="A2205" t="s">
        <v>26</v>
      </c>
      <c r="B2205" s="1">
        <v>45727</v>
      </c>
      <c r="C2205" t="str">
        <f>"65"</f>
        <v>65</v>
      </c>
      <c r="D2205" t="s">
        <v>1590</v>
      </c>
      <c r="E2205" t="s">
        <v>1591</v>
      </c>
      <c r="F2205" t="str">
        <f t="shared" si="58"/>
        <v>40110000</v>
      </c>
      <c r="G2205" t="str">
        <f>"40110014"</f>
        <v>40110014</v>
      </c>
      <c r="H2205" t="s">
        <v>1592</v>
      </c>
      <c r="I2205" s="1">
        <v>45808</v>
      </c>
      <c r="K2205" s="4">
        <v>110400</v>
      </c>
    </row>
    <row r="2206" spans="1:11" hidden="1" outlineLevel="2" x14ac:dyDescent="0.35">
      <c r="A2206" t="s">
        <v>26</v>
      </c>
      <c r="B2206" s="1">
        <v>45727</v>
      </c>
      <c r="C2206" t="str">
        <f>"66"</f>
        <v>66</v>
      </c>
      <c r="D2206" t="s">
        <v>1593</v>
      </c>
      <c r="E2206" t="str">
        <f>"4031752646"</f>
        <v>4031752646</v>
      </c>
      <c r="F2206" t="str">
        <f t="shared" si="58"/>
        <v>40110000</v>
      </c>
      <c r="G2206" t="str">
        <f>"40110143"</f>
        <v>40110143</v>
      </c>
      <c r="H2206" t="s">
        <v>1594</v>
      </c>
      <c r="I2206" s="1">
        <v>45787</v>
      </c>
      <c r="K2206" s="4">
        <v>518636</v>
      </c>
    </row>
    <row r="2207" spans="1:11" hidden="1" outlineLevel="2" x14ac:dyDescent="0.35">
      <c r="A2207" t="s">
        <v>26</v>
      </c>
      <c r="B2207" s="1">
        <v>45727</v>
      </c>
      <c r="C2207" t="str">
        <f>"67"</f>
        <v>67</v>
      </c>
      <c r="D2207" t="s">
        <v>1595</v>
      </c>
      <c r="E2207" t="s">
        <v>1596</v>
      </c>
      <c r="F2207" t="str">
        <f t="shared" si="58"/>
        <v>40110000</v>
      </c>
      <c r="G2207" t="str">
        <f>"40110143"</f>
        <v>40110143</v>
      </c>
      <c r="H2207" t="s">
        <v>1597</v>
      </c>
      <c r="I2207" s="1">
        <v>45787</v>
      </c>
      <c r="K2207" s="4">
        <v>88818206</v>
      </c>
    </row>
    <row r="2208" spans="1:11" hidden="1" outlineLevel="2" x14ac:dyDescent="0.35">
      <c r="A2208" t="s">
        <v>26</v>
      </c>
      <c r="B2208" s="1">
        <v>45727</v>
      </c>
      <c r="C2208" t="str">
        <f>"70"</f>
        <v>70</v>
      </c>
      <c r="D2208" t="s">
        <v>1598</v>
      </c>
      <c r="E2208" t="s">
        <v>1599</v>
      </c>
      <c r="F2208" t="str">
        <f t="shared" si="58"/>
        <v>40110000</v>
      </c>
      <c r="G2208" t="str">
        <f>"40110143"</f>
        <v>40110143</v>
      </c>
      <c r="H2208" t="s">
        <v>1600</v>
      </c>
      <c r="I2208" s="1">
        <v>45787</v>
      </c>
      <c r="K2208" s="4">
        <v>31468346</v>
      </c>
    </row>
    <row r="2209" spans="1:11" hidden="1" outlineLevel="2" x14ac:dyDescent="0.35">
      <c r="A2209" t="s">
        <v>26</v>
      </c>
      <c r="B2209" s="1">
        <v>45727</v>
      </c>
      <c r="C2209" t="str">
        <f>"136"</f>
        <v>136</v>
      </c>
      <c r="D2209" t="s">
        <v>1603</v>
      </c>
      <c r="E2209" t="str">
        <f>"4166711"</f>
        <v>4166711</v>
      </c>
      <c r="F2209" t="str">
        <f t="shared" si="58"/>
        <v>40110000</v>
      </c>
      <c r="G2209" t="str">
        <f>"40110081"</f>
        <v>40110081</v>
      </c>
      <c r="H2209" t="s">
        <v>1604</v>
      </c>
      <c r="I2209" s="1">
        <v>45808</v>
      </c>
      <c r="K2209" s="4">
        <v>2978497</v>
      </c>
    </row>
    <row r="2210" spans="1:11" hidden="1" outlineLevel="2" x14ac:dyDescent="0.35">
      <c r="A2210" t="s">
        <v>26</v>
      </c>
      <c r="B2210" s="1">
        <v>45727</v>
      </c>
      <c r="C2210" t="str">
        <f>"169"</f>
        <v>169</v>
      </c>
      <c r="D2210" t="s">
        <v>1605</v>
      </c>
      <c r="E2210" t="s">
        <v>1606</v>
      </c>
      <c r="F2210" t="str">
        <f t="shared" si="58"/>
        <v>40110000</v>
      </c>
      <c r="G2210" t="str">
        <f>"40110026"</f>
        <v>40110026</v>
      </c>
      <c r="H2210" t="s">
        <v>1607</v>
      </c>
      <c r="I2210" s="1">
        <v>45787</v>
      </c>
      <c r="K2210" s="4">
        <v>1524230</v>
      </c>
    </row>
    <row r="2211" spans="1:11" hidden="1" outlineLevel="2" x14ac:dyDescent="0.35">
      <c r="A2211" t="s">
        <v>26</v>
      </c>
      <c r="B2211" s="1">
        <v>45728</v>
      </c>
      <c r="C2211" t="str">
        <f>"74"</f>
        <v>74</v>
      </c>
      <c r="D2211" t="s">
        <v>1613</v>
      </c>
      <c r="E2211" t="s">
        <v>1614</v>
      </c>
      <c r="F2211" t="str">
        <f t="shared" si="58"/>
        <v>40110000</v>
      </c>
      <c r="G2211" t="str">
        <f>"40110576"</f>
        <v>40110576</v>
      </c>
      <c r="H2211" t="s">
        <v>1615</v>
      </c>
      <c r="I2211" s="1">
        <v>45758</v>
      </c>
      <c r="K2211" s="4">
        <v>832444</v>
      </c>
    </row>
    <row r="2212" spans="1:11" hidden="1" outlineLevel="2" x14ac:dyDescent="0.35">
      <c r="A2212" t="s">
        <v>26</v>
      </c>
      <c r="B2212" s="1">
        <v>45728</v>
      </c>
      <c r="C2212" t="str">
        <f>"135"</f>
        <v>135</v>
      </c>
      <c r="D2212" t="s">
        <v>1616</v>
      </c>
      <c r="E2212" t="s">
        <v>1617</v>
      </c>
      <c r="F2212" t="str">
        <f t="shared" si="58"/>
        <v>40110000</v>
      </c>
      <c r="G2212" t="str">
        <f>"40112098"</f>
        <v>40112098</v>
      </c>
      <c r="H2212" t="s">
        <v>1618</v>
      </c>
      <c r="I2212" s="1">
        <v>45758</v>
      </c>
      <c r="K2212" s="4">
        <v>8673</v>
      </c>
    </row>
    <row r="2213" spans="1:11" hidden="1" outlineLevel="2" x14ac:dyDescent="0.35">
      <c r="A2213" t="s">
        <v>26</v>
      </c>
      <c r="B2213" s="1">
        <v>45729</v>
      </c>
      <c r="C2213" t="str">
        <f>"97"</f>
        <v>97</v>
      </c>
      <c r="D2213" t="s">
        <v>1622</v>
      </c>
      <c r="E2213" t="str">
        <f>"0010"</f>
        <v>0010</v>
      </c>
      <c r="F2213" t="str">
        <f t="shared" si="58"/>
        <v>40110000</v>
      </c>
      <c r="G2213" t="str">
        <f>"40110001"</f>
        <v>40110001</v>
      </c>
      <c r="H2213" t="s">
        <v>1623</v>
      </c>
      <c r="I2213" s="1">
        <v>45729</v>
      </c>
      <c r="K2213" s="4">
        <v>14451800</v>
      </c>
    </row>
    <row r="2214" spans="1:11" hidden="1" outlineLevel="2" x14ac:dyDescent="0.35">
      <c r="A2214" t="s">
        <v>26</v>
      </c>
      <c r="B2214" s="1">
        <v>45729</v>
      </c>
      <c r="C2214" t="str">
        <f>"112"</f>
        <v>112</v>
      </c>
      <c r="D2214" t="s">
        <v>1624</v>
      </c>
      <c r="E2214" t="str">
        <f>"25100615"</f>
        <v>25100615</v>
      </c>
      <c r="F2214" t="str">
        <f t="shared" si="58"/>
        <v>40110000</v>
      </c>
      <c r="G2214" t="str">
        <f>"40110941"</f>
        <v>40110941</v>
      </c>
      <c r="H2214" t="s">
        <v>1625</v>
      </c>
      <c r="I2214" s="1">
        <v>45729</v>
      </c>
      <c r="K2214" s="4">
        <v>2153500</v>
      </c>
    </row>
    <row r="2215" spans="1:11" hidden="1" outlineLevel="2" x14ac:dyDescent="0.35">
      <c r="A2215" t="s">
        <v>26</v>
      </c>
      <c r="B2215" s="1">
        <v>45729</v>
      </c>
      <c r="C2215" t="str">
        <f>"113"</f>
        <v>113</v>
      </c>
      <c r="D2215" t="s">
        <v>1626</v>
      </c>
      <c r="E2215" t="str">
        <f>"25100620"</f>
        <v>25100620</v>
      </c>
      <c r="F2215" t="str">
        <f t="shared" si="58"/>
        <v>40110000</v>
      </c>
      <c r="G2215" t="str">
        <f>"40110941"</f>
        <v>40110941</v>
      </c>
      <c r="H2215" t="s">
        <v>1625</v>
      </c>
      <c r="I2215" s="1">
        <v>45729</v>
      </c>
      <c r="K2215" s="4">
        <v>708000</v>
      </c>
    </row>
    <row r="2216" spans="1:11" hidden="1" outlineLevel="2" x14ac:dyDescent="0.35">
      <c r="A2216" t="s">
        <v>26</v>
      </c>
      <c r="B2216" s="1">
        <v>45729</v>
      </c>
      <c r="C2216" t="str">
        <f>"114"</f>
        <v>114</v>
      </c>
      <c r="D2216" t="s">
        <v>1627</v>
      </c>
      <c r="E2216" t="str">
        <f>"25100628"</f>
        <v>25100628</v>
      </c>
      <c r="F2216" t="str">
        <f t="shared" si="58"/>
        <v>40110000</v>
      </c>
      <c r="G2216" t="str">
        <f>"40110941"</f>
        <v>40110941</v>
      </c>
      <c r="H2216" t="s">
        <v>1625</v>
      </c>
      <c r="I2216" s="1">
        <v>45729</v>
      </c>
      <c r="K2216" s="4">
        <v>3717000</v>
      </c>
    </row>
    <row r="2217" spans="1:11" hidden="1" outlineLevel="2" x14ac:dyDescent="0.35">
      <c r="A2217" t="s">
        <v>26</v>
      </c>
      <c r="B2217" s="1">
        <v>45729</v>
      </c>
      <c r="C2217" t="str">
        <f>"170"</f>
        <v>170</v>
      </c>
      <c r="D2217" t="s">
        <v>1628</v>
      </c>
      <c r="E2217" t="s">
        <v>1629</v>
      </c>
      <c r="F2217" t="str">
        <f t="shared" si="58"/>
        <v>40110000</v>
      </c>
      <c r="G2217" t="str">
        <f t="shared" ref="G2217:G2224" si="61">"40110054"</f>
        <v>40110054</v>
      </c>
      <c r="H2217" t="s">
        <v>1630</v>
      </c>
      <c r="I2217" s="1">
        <v>45729</v>
      </c>
      <c r="K2217" s="4">
        <v>3047199</v>
      </c>
    </row>
    <row r="2218" spans="1:11" hidden="1" outlineLevel="2" x14ac:dyDescent="0.35">
      <c r="A2218" t="s">
        <v>26</v>
      </c>
      <c r="B2218" s="1">
        <v>45729</v>
      </c>
      <c r="C2218" t="str">
        <f>"171"</f>
        <v>171</v>
      </c>
      <c r="D2218" t="s">
        <v>1631</v>
      </c>
      <c r="E2218" t="s">
        <v>1632</v>
      </c>
      <c r="F2218" t="str">
        <f t="shared" si="58"/>
        <v>40110000</v>
      </c>
      <c r="G2218" t="str">
        <f t="shared" si="61"/>
        <v>40110054</v>
      </c>
      <c r="H2218" t="s">
        <v>1633</v>
      </c>
      <c r="I2218" s="1">
        <v>45744</v>
      </c>
      <c r="K2218" s="4">
        <v>19244</v>
      </c>
    </row>
    <row r="2219" spans="1:11" hidden="1" outlineLevel="2" x14ac:dyDescent="0.35">
      <c r="A2219" t="s">
        <v>26</v>
      </c>
      <c r="B2219" s="1">
        <v>45729</v>
      </c>
      <c r="C2219" t="str">
        <f>"172"</f>
        <v>172</v>
      </c>
      <c r="D2219" t="s">
        <v>1634</v>
      </c>
      <c r="E2219" t="s">
        <v>1635</v>
      </c>
      <c r="F2219" t="str">
        <f t="shared" si="58"/>
        <v>40110000</v>
      </c>
      <c r="G2219" t="str">
        <f t="shared" si="61"/>
        <v>40110054</v>
      </c>
      <c r="H2219" t="s">
        <v>1636</v>
      </c>
      <c r="I2219" s="1">
        <v>45729</v>
      </c>
      <c r="K2219" s="4">
        <v>5240666</v>
      </c>
    </row>
    <row r="2220" spans="1:11" hidden="1" outlineLevel="2" x14ac:dyDescent="0.35">
      <c r="A2220" t="s">
        <v>26</v>
      </c>
      <c r="B2220" s="1">
        <v>45729</v>
      </c>
      <c r="C2220" t="str">
        <f>"173"</f>
        <v>173</v>
      </c>
      <c r="D2220" t="s">
        <v>1637</v>
      </c>
      <c r="E2220" t="s">
        <v>1638</v>
      </c>
      <c r="F2220" t="str">
        <f t="shared" si="58"/>
        <v>40110000</v>
      </c>
      <c r="G2220" t="str">
        <f t="shared" si="61"/>
        <v>40110054</v>
      </c>
      <c r="H2220" t="s">
        <v>1639</v>
      </c>
      <c r="I2220" s="1">
        <v>45729</v>
      </c>
      <c r="K2220" s="4">
        <v>467200</v>
      </c>
    </row>
    <row r="2221" spans="1:11" hidden="1" outlineLevel="2" x14ac:dyDescent="0.35">
      <c r="A2221" t="s">
        <v>26</v>
      </c>
      <c r="B2221" s="1">
        <v>45729</v>
      </c>
      <c r="C2221" t="str">
        <f>"174"</f>
        <v>174</v>
      </c>
      <c r="D2221" t="s">
        <v>1640</v>
      </c>
      <c r="E2221" t="s">
        <v>1641</v>
      </c>
      <c r="F2221" t="str">
        <f t="shared" si="58"/>
        <v>40110000</v>
      </c>
      <c r="G2221" t="str">
        <f t="shared" si="61"/>
        <v>40110054</v>
      </c>
      <c r="H2221" t="s">
        <v>1642</v>
      </c>
      <c r="I2221" s="1">
        <v>45729</v>
      </c>
      <c r="K2221" s="4">
        <v>54148</v>
      </c>
    </row>
    <row r="2222" spans="1:11" hidden="1" outlineLevel="2" x14ac:dyDescent="0.35">
      <c r="A2222" t="s">
        <v>26</v>
      </c>
      <c r="B2222" s="1">
        <v>45729</v>
      </c>
      <c r="C2222" t="str">
        <f>"175"</f>
        <v>175</v>
      </c>
      <c r="D2222" t="s">
        <v>1643</v>
      </c>
      <c r="E2222" t="s">
        <v>1644</v>
      </c>
      <c r="F2222" t="str">
        <f t="shared" si="58"/>
        <v>40110000</v>
      </c>
      <c r="G2222" t="str">
        <f t="shared" si="61"/>
        <v>40110054</v>
      </c>
      <c r="H2222" t="s">
        <v>1645</v>
      </c>
      <c r="I2222" s="1">
        <v>45729</v>
      </c>
      <c r="K2222" s="4">
        <v>2711478</v>
      </c>
    </row>
    <row r="2223" spans="1:11" hidden="1" outlineLevel="2" x14ac:dyDescent="0.35">
      <c r="A2223" t="s">
        <v>26</v>
      </c>
      <c r="B2223" s="1">
        <v>45729</v>
      </c>
      <c r="C2223" t="str">
        <f>"176"</f>
        <v>176</v>
      </c>
      <c r="D2223" t="s">
        <v>1646</v>
      </c>
      <c r="E2223" t="s">
        <v>1647</v>
      </c>
      <c r="F2223" t="str">
        <f t="shared" si="58"/>
        <v>40110000</v>
      </c>
      <c r="G2223" t="str">
        <f t="shared" si="61"/>
        <v>40110054</v>
      </c>
      <c r="H2223" t="s">
        <v>1648</v>
      </c>
      <c r="I2223" s="1">
        <v>45729</v>
      </c>
      <c r="K2223" s="4">
        <v>2000</v>
      </c>
    </row>
    <row r="2224" spans="1:11" hidden="1" outlineLevel="2" x14ac:dyDescent="0.35">
      <c r="A2224" t="s">
        <v>26</v>
      </c>
      <c r="B2224" s="1">
        <v>45729</v>
      </c>
      <c r="C2224" t="str">
        <f>"177"</f>
        <v>177</v>
      </c>
      <c r="D2224" t="s">
        <v>1649</v>
      </c>
      <c r="E2224" t="s">
        <v>1650</v>
      </c>
      <c r="F2224" t="str">
        <f t="shared" si="58"/>
        <v>40110000</v>
      </c>
      <c r="G2224" t="str">
        <f t="shared" si="61"/>
        <v>40110054</v>
      </c>
      <c r="H2224" t="s">
        <v>1651</v>
      </c>
      <c r="I2224" s="1">
        <v>45729</v>
      </c>
      <c r="K2224" s="4">
        <v>5000</v>
      </c>
    </row>
    <row r="2225" spans="1:11" hidden="1" outlineLevel="2" x14ac:dyDescent="0.35">
      <c r="A2225" t="s">
        <v>26</v>
      </c>
      <c r="B2225" s="1">
        <v>45730</v>
      </c>
      <c r="C2225" t="str">
        <f>"75"</f>
        <v>75</v>
      </c>
      <c r="D2225" t="s">
        <v>1652</v>
      </c>
      <c r="E2225" t="str">
        <f>"00176"</f>
        <v>00176</v>
      </c>
      <c r="F2225" t="str">
        <f t="shared" si="58"/>
        <v>40110000</v>
      </c>
      <c r="G2225" t="s">
        <v>1653</v>
      </c>
      <c r="H2225" t="s">
        <v>1654</v>
      </c>
      <c r="I2225" s="1">
        <v>45730</v>
      </c>
      <c r="K2225" s="4">
        <v>30000</v>
      </c>
    </row>
    <row r="2226" spans="1:11" hidden="1" outlineLevel="2" x14ac:dyDescent="0.35">
      <c r="A2226" t="s">
        <v>26</v>
      </c>
      <c r="B2226" s="1">
        <v>45730</v>
      </c>
      <c r="C2226" t="str">
        <f>"76"</f>
        <v>76</v>
      </c>
      <c r="D2226" t="s">
        <v>1655</v>
      </c>
      <c r="E2226" t="str">
        <f>"00177"</f>
        <v>00177</v>
      </c>
      <c r="F2226" t="str">
        <f t="shared" si="58"/>
        <v>40110000</v>
      </c>
      <c r="G2226" t="s">
        <v>1653</v>
      </c>
      <c r="H2226" t="s">
        <v>1654</v>
      </c>
      <c r="I2226" s="1">
        <v>45730</v>
      </c>
      <c r="K2226" s="4">
        <v>90000</v>
      </c>
    </row>
    <row r="2227" spans="1:11" hidden="1" outlineLevel="2" x14ac:dyDescent="0.35">
      <c r="A2227" t="s">
        <v>26</v>
      </c>
      <c r="B2227" s="1">
        <v>45730</v>
      </c>
      <c r="C2227" t="str">
        <f>"77"</f>
        <v>77</v>
      </c>
      <c r="D2227" t="s">
        <v>1656</v>
      </c>
      <c r="E2227" t="str">
        <f>"00178"</f>
        <v>00178</v>
      </c>
      <c r="F2227" t="str">
        <f t="shared" si="58"/>
        <v>40110000</v>
      </c>
      <c r="G2227" t="s">
        <v>1653</v>
      </c>
      <c r="H2227" t="s">
        <v>1654</v>
      </c>
      <c r="I2227" s="1">
        <v>45730</v>
      </c>
      <c r="K2227" s="4">
        <v>120000</v>
      </c>
    </row>
    <row r="2228" spans="1:11" hidden="1" outlineLevel="2" x14ac:dyDescent="0.35">
      <c r="A2228" t="s">
        <v>26</v>
      </c>
      <c r="B2228" s="1">
        <v>45730</v>
      </c>
      <c r="C2228" t="str">
        <f>"78"</f>
        <v>78</v>
      </c>
      <c r="D2228" t="s">
        <v>1657</v>
      </c>
      <c r="E2228" t="str">
        <f>"00179"</f>
        <v>00179</v>
      </c>
      <c r="F2228" t="str">
        <f t="shared" si="58"/>
        <v>40110000</v>
      </c>
      <c r="G2228" t="s">
        <v>1653</v>
      </c>
      <c r="H2228" t="s">
        <v>1654</v>
      </c>
      <c r="I2228" s="1">
        <v>45730</v>
      </c>
      <c r="K2228" s="4">
        <v>4120000</v>
      </c>
    </row>
    <row r="2229" spans="1:11" hidden="1" outlineLevel="2" x14ac:dyDescent="0.35">
      <c r="A2229" t="s">
        <v>26</v>
      </c>
      <c r="B2229" s="1">
        <v>45730</v>
      </c>
      <c r="C2229" t="str">
        <f>"79"</f>
        <v>79</v>
      </c>
      <c r="D2229" t="s">
        <v>1658</v>
      </c>
      <c r="E2229" t="str">
        <f>"21"</f>
        <v>21</v>
      </c>
      <c r="F2229" t="str">
        <f t="shared" si="58"/>
        <v>40110000</v>
      </c>
      <c r="G2229" t="str">
        <f>"40112087"</f>
        <v>40112087</v>
      </c>
      <c r="H2229" t="s">
        <v>1659</v>
      </c>
      <c r="I2229" s="1">
        <v>45730</v>
      </c>
      <c r="K2229" s="4">
        <v>4752000</v>
      </c>
    </row>
    <row r="2230" spans="1:11" hidden="1" outlineLevel="2" x14ac:dyDescent="0.35">
      <c r="A2230" t="s">
        <v>26</v>
      </c>
      <c r="B2230" s="1">
        <v>45730</v>
      </c>
      <c r="C2230" t="str">
        <f>"80"</f>
        <v>80</v>
      </c>
      <c r="D2230" t="s">
        <v>1660</v>
      </c>
      <c r="E2230" t="str">
        <f>"00011"</f>
        <v>00011</v>
      </c>
      <c r="F2230" t="str">
        <f t="shared" si="58"/>
        <v>40110000</v>
      </c>
      <c r="G2230" t="str">
        <f>"40110001"</f>
        <v>40110001</v>
      </c>
      <c r="H2230" t="s">
        <v>1661</v>
      </c>
      <c r="I2230" s="1">
        <v>45730</v>
      </c>
      <c r="K2230" s="4">
        <v>3600000</v>
      </c>
    </row>
    <row r="2231" spans="1:11" hidden="1" outlineLevel="2" x14ac:dyDescent="0.35">
      <c r="A2231" t="s">
        <v>26</v>
      </c>
      <c r="B2231" s="1">
        <v>45730</v>
      </c>
      <c r="C2231" t="str">
        <f>"178"</f>
        <v>178</v>
      </c>
      <c r="D2231" t="s">
        <v>1662</v>
      </c>
      <c r="E2231" t="s">
        <v>1663</v>
      </c>
      <c r="F2231" t="str">
        <f t="shared" si="58"/>
        <v>40110000</v>
      </c>
      <c r="G2231" t="str">
        <f>"40110054"</f>
        <v>40110054</v>
      </c>
      <c r="H2231" t="s">
        <v>1664</v>
      </c>
      <c r="I2231" s="1">
        <v>45730</v>
      </c>
      <c r="K2231" s="4">
        <v>2593301</v>
      </c>
    </row>
    <row r="2232" spans="1:11" hidden="1" outlineLevel="2" x14ac:dyDescent="0.35">
      <c r="A2232" t="s">
        <v>26</v>
      </c>
      <c r="B2232" s="1">
        <v>45733</v>
      </c>
      <c r="C2232" t="str">
        <f>"86"</f>
        <v>86</v>
      </c>
      <c r="D2232" t="s">
        <v>1665</v>
      </c>
      <c r="E2232" t="str">
        <f>"0000123"</f>
        <v>0000123</v>
      </c>
      <c r="F2232" t="str">
        <f t="shared" si="58"/>
        <v>40110000</v>
      </c>
      <c r="G2232" t="s">
        <v>1368</v>
      </c>
      <c r="H2232" t="s">
        <v>1369</v>
      </c>
      <c r="I2232" s="1">
        <v>45735</v>
      </c>
      <c r="K2232" s="4">
        <v>5225000</v>
      </c>
    </row>
    <row r="2233" spans="1:11" hidden="1" outlineLevel="2" x14ac:dyDescent="0.35">
      <c r="A2233" t="s">
        <v>26</v>
      </c>
      <c r="B2233" s="1">
        <v>45733</v>
      </c>
      <c r="C2233" t="str">
        <f>"87"</f>
        <v>87</v>
      </c>
      <c r="D2233" t="s">
        <v>1666</v>
      </c>
      <c r="E2233" t="str">
        <f>"0000124"</f>
        <v>0000124</v>
      </c>
      <c r="F2233" t="str">
        <f t="shared" si="58"/>
        <v>40110000</v>
      </c>
      <c r="G2233" t="s">
        <v>1368</v>
      </c>
      <c r="H2233" t="s">
        <v>1369</v>
      </c>
      <c r="I2233" s="1">
        <v>45735</v>
      </c>
      <c r="K2233" s="4">
        <v>1045000</v>
      </c>
    </row>
    <row r="2234" spans="1:11" hidden="1" outlineLevel="2" x14ac:dyDescent="0.35">
      <c r="A2234" t="s">
        <v>26</v>
      </c>
      <c r="B2234" s="1">
        <v>45733</v>
      </c>
      <c r="C2234" t="str">
        <f>"122"</f>
        <v>122</v>
      </c>
      <c r="D2234" t="s">
        <v>1667</v>
      </c>
      <c r="E2234" t="s">
        <v>1668</v>
      </c>
      <c r="F2234" t="str">
        <f t="shared" si="58"/>
        <v>40110000</v>
      </c>
      <c r="G2234" t="str">
        <f>"40110849"</f>
        <v>40110849</v>
      </c>
      <c r="H2234" t="s">
        <v>1669</v>
      </c>
      <c r="I2234" s="1">
        <v>45733</v>
      </c>
      <c r="K2234" s="4">
        <v>29500</v>
      </c>
    </row>
    <row r="2235" spans="1:11" hidden="1" outlineLevel="2" x14ac:dyDescent="0.35">
      <c r="A2235" t="s">
        <v>26</v>
      </c>
      <c r="B2235" s="1">
        <v>45734</v>
      </c>
      <c r="C2235" t="str">
        <f>"81"</f>
        <v>81</v>
      </c>
      <c r="D2235" t="s">
        <v>1676</v>
      </c>
      <c r="E2235" t="str">
        <f>"000548"</f>
        <v>000548</v>
      </c>
      <c r="F2235" t="str">
        <f t="shared" si="58"/>
        <v>40110000</v>
      </c>
      <c r="G2235" t="str">
        <f>"40120686"</f>
        <v>40120686</v>
      </c>
      <c r="H2235" t="s">
        <v>1677</v>
      </c>
      <c r="I2235" s="1">
        <v>45734</v>
      </c>
      <c r="K2235" s="4">
        <v>4950000</v>
      </c>
    </row>
    <row r="2236" spans="1:11" hidden="1" outlineLevel="2" x14ac:dyDescent="0.35">
      <c r="A2236" t="s">
        <v>26</v>
      </c>
      <c r="B2236" s="1">
        <v>45734</v>
      </c>
      <c r="C2236" t="str">
        <f>"83"</f>
        <v>83</v>
      </c>
      <c r="D2236" t="s">
        <v>1678</v>
      </c>
      <c r="E2236" t="str">
        <f>"001385"</f>
        <v>001385</v>
      </c>
      <c r="F2236" t="str">
        <f t="shared" si="58"/>
        <v>40110000</v>
      </c>
      <c r="G2236" t="str">
        <f>"40112103"</f>
        <v>40112103</v>
      </c>
      <c r="H2236" t="s">
        <v>1679</v>
      </c>
      <c r="I2236" s="1">
        <v>45764</v>
      </c>
      <c r="K2236" s="4">
        <v>1089000</v>
      </c>
    </row>
    <row r="2237" spans="1:11" hidden="1" outlineLevel="2" x14ac:dyDescent="0.35">
      <c r="A2237" t="s">
        <v>26</v>
      </c>
      <c r="B2237" s="1">
        <v>45734</v>
      </c>
      <c r="C2237" t="str">
        <f>"123"</f>
        <v>123</v>
      </c>
      <c r="D2237" t="s">
        <v>1680</v>
      </c>
      <c r="E2237" t="str">
        <f>"0953"</f>
        <v>0953</v>
      </c>
      <c r="F2237" t="str">
        <f t="shared" si="58"/>
        <v>40110000</v>
      </c>
      <c r="G2237" t="str">
        <f>"40112059"</f>
        <v>40112059</v>
      </c>
      <c r="H2237" t="s">
        <v>1681</v>
      </c>
      <c r="I2237" s="1">
        <v>45734</v>
      </c>
      <c r="K2237" s="4">
        <v>345150</v>
      </c>
    </row>
    <row r="2238" spans="1:11" hidden="1" outlineLevel="2" x14ac:dyDescent="0.35">
      <c r="A2238" t="s">
        <v>26</v>
      </c>
      <c r="B2238" s="1">
        <v>45735</v>
      </c>
      <c r="C2238" t="str">
        <f>"82"</f>
        <v>82</v>
      </c>
      <c r="D2238" t="s">
        <v>1682</v>
      </c>
      <c r="E2238" t="s">
        <v>1683</v>
      </c>
      <c r="F2238" t="str">
        <f t="shared" si="58"/>
        <v>40110000</v>
      </c>
      <c r="G2238" t="str">
        <f>"40110812"</f>
        <v>40110812</v>
      </c>
      <c r="H2238" t="s">
        <v>1684</v>
      </c>
      <c r="I2238" s="1">
        <v>45735</v>
      </c>
      <c r="K2238" s="4">
        <v>84960</v>
      </c>
    </row>
    <row r="2239" spans="1:11" hidden="1" outlineLevel="2" x14ac:dyDescent="0.35">
      <c r="A2239" t="s">
        <v>26</v>
      </c>
      <c r="B2239" s="1">
        <v>45735</v>
      </c>
      <c r="C2239" t="str">
        <f>"84"</f>
        <v>84</v>
      </c>
      <c r="D2239" t="s">
        <v>1685</v>
      </c>
      <c r="E2239" t="s">
        <v>1686</v>
      </c>
      <c r="F2239" t="str">
        <f t="shared" si="58"/>
        <v>40110000</v>
      </c>
      <c r="G2239" t="str">
        <f>"40110290"</f>
        <v>40110290</v>
      </c>
      <c r="H2239" t="s">
        <v>1687</v>
      </c>
      <c r="I2239" s="1">
        <v>45735</v>
      </c>
      <c r="K2239" s="4">
        <v>1073800</v>
      </c>
    </row>
    <row r="2240" spans="1:11" hidden="1" outlineLevel="2" x14ac:dyDescent="0.35">
      <c r="A2240" t="s">
        <v>26</v>
      </c>
      <c r="B2240" s="1">
        <v>45735</v>
      </c>
      <c r="C2240" t="str">
        <f>"88"</f>
        <v>88</v>
      </c>
      <c r="D2240" t="s">
        <v>1690</v>
      </c>
      <c r="E2240" t="str">
        <f>"0000469"</f>
        <v>0000469</v>
      </c>
      <c r="F2240" t="str">
        <f t="shared" si="58"/>
        <v>40110000</v>
      </c>
      <c r="G2240" t="s">
        <v>1365</v>
      </c>
      <c r="H2240" t="s">
        <v>1366</v>
      </c>
      <c r="I2240" s="1">
        <v>45735</v>
      </c>
      <c r="K2240" s="4">
        <v>5462500</v>
      </c>
    </row>
    <row r="2241" spans="1:11" hidden="1" outlineLevel="2" x14ac:dyDescent="0.35">
      <c r="A2241" t="s">
        <v>26</v>
      </c>
      <c r="B2241" s="1">
        <v>45735</v>
      </c>
      <c r="C2241" t="str">
        <f>"89"</f>
        <v>89</v>
      </c>
      <c r="D2241" t="s">
        <v>1691</v>
      </c>
      <c r="E2241" t="str">
        <f>"0000470"</f>
        <v>0000470</v>
      </c>
      <c r="F2241" t="str">
        <f t="shared" si="58"/>
        <v>40110000</v>
      </c>
      <c r="G2241" t="s">
        <v>1365</v>
      </c>
      <c r="H2241" t="s">
        <v>1366</v>
      </c>
      <c r="I2241" s="1">
        <v>45735</v>
      </c>
      <c r="K2241" s="4">
        <v>2185000</v>
      </c>
    </row>
    <row r="2242" spans="1:11" hidden="1" outlineLevel="2" x14ac:dyDescent="0.35">
      <c r="A2242" t="s">
        <v>26</v>
      </c>
      <c r="B2242" s="1">
        <v>45735</v>
      </c>
      <c r="C2242" t="str">
        <f>"124"</f>
        <v>124</v>
      </c>
      <c r="D2242" t="s">
        <v>1692</v>
      </c>
      <c r="E2242" t="str">
        <f>"00146"</f>
        <v>00146</v>
      </c>
      <c r="F2242" t="str">
        <f t="shared" ref="F2242:F2305" si="62">"40110000"</f>
        <v>40110000</v>
      </c>
      <c r="G2242" t="s">
        <v>1387</v>
      </c>
      <c r="H2242" t="s">
        <v>1693</v>
      </c>
      <c r="I2242" s="1">
        <v>45735</v>
      </c>
      <c r="K2242" s="4">
        <v>1400000</v>
      </c>
    </row>
    <row r="2243" spans="1:11" hidden="1" outlineLevel="2" x14ac:dyDescent="0.35">
      <c r="A2243" t="s">
        <v>26</v>
      </c>
      <c r="B2243" s="1">
        <v>45736</v>
      </c>
      <c r="C2243" t="str">
        <f>"90"</f>
        <v>90</v>
      </c>
      <c r="D2243" t="s">
        <v>1694</v>
      </c>
      <c r="E2243" t="s">
        <v>1695</v>
      </c>
      <c r="F2243" t="str">
        <f t="shared" si="62"/>
        <v>40110000</v>
      </c>
      <c r="G2243" t="str">
        <f>"40110031"</f>
        <v>40110031</v>
      </c>
      <c r="H2243" t="s">
        <v>1696</v>
      </c>
      <c r="I2243" s="1">
        <v>45736</v>
      </c>
      <c r="K2243" s="4">
        <v>42828</v>
      </c>
    </row>
    <row r="2244" spans="1:11" hidden="1" outlineLevel="2" x14ac:dyDescent="0.35">
      <c r="A2244" t="s">
        <v>26</v>
      </c>
      <c r="B2244" s="1">
        <v>45736</v>
      </c>
      <c r="C2244" t="str">
        <f>"91"</f>
        <v>91</v>
      </c>
      <c r="D2244" t="s">
        <v>1697</v>
      </c>
      <c r="E2244" t="s">
        <v>1698</v>
      </c>
      <c r="F2244" t="str">
        <f t="shared" si="62"/>
        <v>40110000</v>
      </c>
      <c r="G2244" t="str">
        <f>"40110031"</f>
        <v>40110031</v>
      </c>
      <c r="H2244" t="s">
        <v>1696</v>
      </c>
      <c r="I2244" s="1">
        <v>45736</v>
      </c>
      <c r="K2244" s="4">
        <v>42088</v>
      </c>
    </row>
    <row r="2245" spans="1:11" hidden="1" outlineLevel="2" x14ac:dyDescent="0.35">
      <c r="A2245" t="s">
        <v>26</v>
      </c>
      <c r="B2245" s="1">
        <v>45736</v>
      </c>
      <c r="C2245" t="str">
        <f>"92"</f>
        <v>92</v>
      </c>
      <c r="D2245" t="s">
        <v>1699</v>
      </c>
      <c r="E2245" t="str">
        <f>"0000103"</f>
        <v>0000103</v>
      </c>
      <c r="F2245" t="str">
        <f t="shared" si="62"/>
        <v>40110000</v>
      </c>
      <c r="G2245" t="str">
        <f>"40110179"</f>
        <v>40110179</v>
      </c>
      <c r="H2245" t="s">
        <v>1700</v>
      </c>
      <c r="I2245" s="1">
        <v>45736</v>
      </c>
      <c r="K2245" s="4">
        <v>198840</v>
      </c>
    </row>
    <row r="2246" spans="1:11" hidden="1" outlineLevel="2" x14ac:dyDescent="0.35">
      <c r="A2246" t="s">
        <v>26</v>
      </c>
      <c r="B2246" s="1">
        <v>45736</v>
      </c>
      <c r="C2246" t="str">
        <f>"98"</f>
        <v>98</v>
      </c>
      <c r="D2246" t="s">
        <v>1701</v>
      </c>
      <c r="E2246" t="s">
        <v>1702</v>
      </c>
      <c r="F2246" t="str">
        <f t="shared" si="62"/>
        <v>40110000</v>
      </c>
      <c r="G2246" t="str">
        <f>"40110143"</f>
        <v>40110143</v>
      </c>
      <c r="H2246" t="s">
        <v>1703</v>
      </c>
      <c r="I2246" s="1">
        <v>45796</v>
      </c>
      <c r="K2246" s="4">
        <v>31468346</v>
      </c>
    </row>
    <row r="2247" spans="1:11" hidden="1" outlineLevel="2" x14ac:dyDescent="0.35">
      <c r="A2247" t="s">
        <v>26</v>
      </c>
      <c r="B2247" s="1">
        <v>45737</v>
      </c>
      <c r="C2247" t="str">
        <f>"93"</f>
        <v>93</v>
      </c>
      <c r="D2247" t="s">
        <v>1704</v>
      </c>
      <c r="E2247" t="str">
        <f>"0235671"</f>
        <v>0235671</v>
      </c>
      <c r="F2247" t="str">
        <f t="shared" si="62"/>
        <v>40110000</v>
      </c>
      <c r="G2247" t="str">
        <f>"40111022"</f>
        <v>40111022</v>
      </c>
      <c r="H2247" t="s">
        <v>1705</v>
      </c>
      <c r="I2247" s="1">
        <v>45737</v>
      </c>
      <c r="K2247" s="4">
        <v>185000</v>
      </c>
    </row>
    <row r="2248" spans="1:11" hidden="1" outlineLevel="2" x14ac:dyDescent="0.35">
      <c r="A2248" t="s">
        <v>26</v>
      </c>
      <c r="B2248" s="1">
        <v>45737</v>
      </c>
      <c r="C2248" t="str">
        <f>"94"</f>
        <v>94</v>
      </c>
      <c r="D2248" t="s">
        <v>1706</v>
      </c>
      <c r="E2248" t="str">
        <f>"0235673"</f>
        <v>0235673</v>
      </c>
      <c r="F2248" t="str">
        <f t="shared" si="62"/>
        <v>40110000</v>
      </c>
      <c r="G2248" t="str">
        <f>"40111022"</f>
        <v>40111022</v>
      </c>
      <c r="H2248" t="s">
        <v>1705</v>
      </c>
      <c r="I2248" s="1">
        <v>45737</v>
      </c>
      <c r="K2248" s="4">
        <v>390000</v>
      </c>
    </row>
    <row r="2249" spans="1:11" hidden="1" outlineLevel="2" x14ac:dyDescent="0.35">
      <c r="A2249" t="s">
        <v>26</v>
      </c>
      <c r="B2249" s="1">
        <v>45737</v>
      </c>
      <c r="C2249" t="str">
        <f>"126"</f>
        <v>126</v>
      </c>
      <c r="D2249" t="s">
        <v>1707</v>
      </c>
      <c r="E2249" t="str">
        <f>"0235680"</f>
        <v>0235680</v>
      </c>
      <c r="F2249" t="str">
        <f t="shared" si="62"/>
        <v>40110000</v>
      </c>
      <c r="G2249" t="str">
        <f>"40111022"</f>
        <v>40111022</v>
      </c>
      <c r="H2249" t="s">
        <v>1708</v>
      </c>
      <c r="I2249" s="1">
        <v>45737</v>
      </c>
      <c r="K2249" s="4">
        <v>390000</v>
      </c>
    </row>
    <row r="2250" spans="1:11" hidden="1" outlineLevel="2" x14ac:dyDescent="0.35">
      <c r="A2250" t="s">
        <v>26</v>
      </c>
      <c r="B2250" s="1">
        <v>45737</v>
      </c>
      <c r="C2250" t="str">
        <f>"127"</f>
        <v>127</v>
      </c>
      <c r="D2250" t="s">
        <v>1709</v>
      </c>
      <c r="E2250" t="str">
        <f>"0235687"</f>
        <v>0235687</v>
      </c>
      <c r="F2250" t="str">
        <f t="shared" si="62"/>
        <v>40110000</v>
      </c>
      <c r="G2250" t="str">
        <f>"40111022"</f>
        <v>40111022</v>
      </c>
      <c r="H2250" t="s">
        <v>1710</v>
      </c>
      <c r="I2250" s="1">
        <v>45737</v>
      </c>
      <c r="K2250" s="4">
        <v>390000</v>
      </c>
    </row>
    <row r="2251" spans="1:11" hidden="1" outlineLevel="2" x14ac:dyDescent="0.35">
      <c r="A2251" t="s">
        <v>26</v>
      </c>
      <c r="B2251" s="1">
        <v>45737</v>
      </c>
      <c r="C2251" t="str">
        <f>"128"</f>
        <v>128</v>
      </c>
      <c r="D2251" t="s">
        <v>1711</v>
      </c>
      <c r="E2251" t="str">
        <f>"0235688"</f>
        <v>0235688</v>
      </c>
      <c r="F2251" t="str">
        <f t="shared" si="62"/>
        <v>40110000</v>
      </c>
      <c r="G2251" t="str">
        <f>"40111022"</f>
        <v>40111022</v>
      </c>
      <c r="H2251" t="s">
        <v>1712</v>
      </c>
      <c r="I2251" s="1">
        <v>45737</v>
      </c>
      <c r="K2251" s="4">
        <v>65000</v>
      </c>
    </row>
    <row r="2252" spans="1:11" hidden="1" outlineLevel="2" x14ac:dyDescent="0.35">
      <c r="A2252" t="s">
        <v>26</v>
      </c>
      <c r="B2252" s="1">
        <v>45737</v>
      </c>
      <c r="C2252" t="str">
        <f>"158"</f>
        <v>158</v>
      </c>
      <c r="D2252" t="s">
        <v>1713</v>
      </c>
      <c r="E2252" t="s">
        <v>1714</v>
      </c>
      <c r="F2252" t="str">
        <f t="shared" si="62"/>
        <v>40110000</v>
      </c>
      <c r="G2252" t="str">
        <f>"40110026"</f>
        <v>40110026</v>
      </c>
      <c r="H2252" t="s">
        <v>1715</v>
      </c>
      <c r="I2252" s="1">
        <v>45797</v>
      </c>
      <c r="K2252" s="4">
        <v>89680</v>
      </c>
    </row>
    <row r="2253" spans="1:11" hidden="1" outlineLevel="2" x14ac:dyDescent="0.35">
      <c r="A2253" t="s">
        <v>26</v>
      </c>
      <c r="B2253" s="1">
        <v>45737</v>
      </c>
      <c r="C2253" t="str">
        <f>"168"</f>
        <v>168</v>
      </c>
      <c r="D2253" t="s">
        <v>1716</v>
      </c>
      <c r="E2253" t="s">
        <v>1717</v>
      </c>
      <c r="F2253" t="str">
        <f t="shared" si="62"/>
        <v>40110000</v>
      </c>
      <c r="G2253" t="str">
        <f>"40110026"</f>
        <v>40110026</v>
      </c>
      <c r="H2253" t="s">
        <v>1718</v>
      </c>
      <c r="I2253" s="1">
        <v>45797</v>
      </c>
      <c r="K2253" s="4">
        <v>2220524</v>
      </c>
    </row>
    <row r="2254" spans="1:11" hidden="1" outlineLevel="2" x14ac:dyDescent="0.35">
      <c r="A2254" t="s">
        <v>26</v>
      </c>
      <c r="B2254" s="1">
        <v>45740</v>
      </c>
      <c r="C2254" t="str">
        <f>"129"</f>
        <v>129</v>
      </c>
      <c r="D2254" t="s">
        <v>1721</v>
      </c>
      <c r="E2254" t="str">
        <f>"0235690"</f>
        <v>0235690</v>
      </c>
      <c r="F2254" t="str">
        <f t="shared" si="62"/>
        <v>40110000</v>
      </c>
      <c r="G2254" t="str">
        <f>"40111022"</f>
        <v>40111022</v>
      </c>
      <c r="H2254" t="s">
        <v>1722</v>
      </c>
      <c r="I2254" s="1">
        <v>45740</v>
      </c>
      <c r="K2254" s="4">
        <v>50000</v>
      </c>
    </row>
    <row r="2255" spans="1:11" hidden="1" outlineLevel="2" x14ac:dyDescent="0.35">
      <c r="A2255" t="s">
        <v>26</v>
      </c>
      <c r="B2255" s="1">
        <v>45740</v>
      </c>
      <c r="C2255" t="str">
        <f>"130"</f>
        <v>130</v>
      </c>
      <c r="D2255" t="s">
        <v>1723</v>
      </c>
      <c r="E2255" t="str">
        <f>"001181"</f>
        <v>001181</v>
      </c>
      <c r="F2255" t="str">
        <f t="shared" si="62"/>
        <v>40110000</v>
      </c>
      <c r="G2255" t="str">
        <f>"40120662"</f>
        <v>40120662</v>
      </c>
      <c r="H2255" t="s">
        <v>1724</v>
      </c>
      <c r="I2255" s="1">
        <v>45740</v>
      </c>
      <c r="K2255" s="4">
        <v>407100</v>
      </c>
    </row>
    <row r="2256" spans="1:11" hidden="1" outlineLevel="2" x14ac:dyDescent="0.35">
      <c r="A2256" t="s">
        <v>26</v>
      </c>
      <c r="B2256" s="1">
        <v>45740</v>
      </c>
      <c r="C2256" t="str">
        <f>"131"</f>
        <v>131</v>
      </c>
      <c r="D2256" t="s">
        <v>1725</v>
      </c>
      <c r="E2256" t="str">
        <f>"0000322"</f>
        <v>0000322</v>
      </c>
      <c r="F2256" t="str">
        <f t="shared" si="62"/>
        <v>40110000</v>
      </c>
      <c r="G2256" t="str">
        <f>"40110860"</f>
        <v>40110860</v>
      </c>
      <c r="H2256" t="s">
        <v>1726</v>
      </c>
      <c r="I2256" s="1">
        <v>45770</v>
      </c>
      <c r="K2256" s="4">
        <v>660001</v>
      </c>
    </row>
    <row r="2257" spans="1:11" hidden="1" outlineLevel="2" x14ac:dyDescent="0.35">
      <c r="A2257" t="s">
        <v>26</v>
      </c>
      <c r="B2257" s="1">
        <v>45740</v>
      </c>
      <c r="C2257" t="str">
        <f>"132"</f>
        <v>132</v>
      </c>
      <c r="D2257" t="s">
        <v>1727</v>
      </c>
      <c r="E2257" t="s">
        <v>1728</v>
      </c>
      <c r="F2257" t="str">
        <f t="shared" si="62"/>
        <v>40110000</v>
      </c>
      <c r="G2257" t="str">
        <f>"40112075"</f>
        <v>40112075</v>
      </c>
      <c r="H2257" t="s">
        <v>1729</v>
      </c>
      <c r="I2257" s="1">
        <v>45740</v>
      </c>
      <c r="K2257" s="4">
        <v>6000000</v>
      </c>
    </row>
    <row r="2258" spans="1:11" hidden="1" outlineLevel="2" x14ac:dyDescent="0.35">
      <c r="A2258" t="s">
        <v>26</v>
      </c>
      <c r="B2258" s="1">
        <v>45740</v>
      </c>
      <c r="C2258" t="str">
        <f>"133"</f>
        <v>133</v>
      </c>
      <c r="D2258" t="s">
        <v>1730</v>
      </c>
      <c r="E2258" t="str">
        <f>"0000450"</f>
        <v>0000450</v>
      </c>
      <c r="F2258" t="str">
        <f t="shared" si="62"/>
        <v>40110000</v>
      </c>
      <c r="G2258" t="s">
        <v>1731</v>
      </c>
      <c r="H2258" t="s">
        <v>1732</v>
      </c>
      <c r="I2258" s="1">
        <v>45740</v>
      </c>
      <c r="K2258" s="4">
        <v>1250800</v>
      </c>
    </row>
    <row r="2259" spans="1:11" hidden="1" outlineLevel="2" x14ac:dyDescent="0.35">
      <c r="A2259" t="s">
        <v>26</v>
      </c>
      <c r="B2259" s="1">
        <v>45740</v>
      </c>
      <c r="C2259" t="str">
        <f>"134"</f>
        <v>134</v>
      </c>
      <c r="D2259" t="s">
        <v>1733</v>
      </c>
      <c r="E2259" t="str">
        <f>"0000502"</f>
        <v>0000502</v>
      </c>
      <c r="F2259" t="str">
        <f t="shared" si="62"/>
        <v>40110000</v>
      </c>
      <c r="G2259" t="s">
        <v>1731</v>
      </c>
      <c r="H2259" t="s">
        <v>1734</v>
      </c>
      <c r="I2259" s="1">
        <v>45740</v>
      </c>
      <c r="K2259" s="4">
        <v>1250800</v>
      </c>
    </row>
    <row r="2260" spans="1:11" hidden="1" outlineLevel="2" x14ac:dyDescent="0.35">
      <c r="A2260" t="s">
        <v>26</v>
      </c>
      <c r="B2260" s="1">
        <v>45741</v>
      </c>
      <c r="C2260" t="str">
        <f>"179"</f>
        <v>179</v>
      </c>
      <c r="D2260" t="s">
        <v>1735</v>
      </c>
      <c r="E2260" t="s">
        <v>1736</v>
      </c>
      <c r="F2260" t="str">
        <f t="shared" si="62"/>
        <v>40110000</v>
      </c>
      <c r="G2260" t="str">
        <f>"40110054"</f>
        <v>40110054</v>
      </c>
      <c r="H2260" t="s">
        <v>1737</v>
      </c>
      <c r="I2260" s="1">
        <v>45741</v>
      </c>
      <c r="K2260" s="4">
        <v>1327642</v>
      </c>
    </row>
    <row r="2261" spans="1:11" hidden="1" outlineLevel="2" x14ac:dyDescent="0.35">
      <c r="A2261" t="s">
        <v>26</v>
      </c>
      <c r="B2261" s="1">
        <v>45741</v>
      </c>
      <c r="C2261" t="str">
        <f>"189"</f>
        <v>189</v>
      </c>
      <c r="D2261" t="s">
        <v>1738</v>
      </c>
      <c r="E2261" t="s">
        <v>1739</v>
      </c>
      <c r="F2261" t="str">
        <f t="shared" si="62"/>
        <v>40110000</v>
      </c>
      <c r="G2261" t="s">
        <v>1584</v>
      </c>
      <c r="H2261" t="s">
        <v>1585</v>
      </c>
      <c r="I2261" s="1">
        <v>45741</v>
      </c>
      <c r="K2261" s="4">
        <v>2000000</v>
      </c>
    </row>
    <row r="2262" spans="1:11" hidden="1" outlineLevel="2" x14ac:dyDescent="0.35">
      <c r="A2262" t="s">
        <v>26</v>
      </c>
      <c r="B2262" s="1">
        <v>45742</v>
      </c>
      <c r="C2262" t="str">
        <f>"137"</f>
        <v>137</v>
      </c>
      <c r="D2262" t="s">
        <v>1742</v>
      </c>
      <c r="E2262" t="str">
        <f>"0748127"</f>
        <v>0748127</v>
      </c>
      <c r="F2262" t="str">
        <f t="shared" si="62"/>
        <v>40110000</v>
      </c>
      <c r="G2262" t="str">
        <f>"40120684"</f>
        <v>40120684</v>
      </c>
      <c r="H2262" t="s">
        <v>1743</v>
      </c>
      <c r="I2262" s="1">
        <v>45742</v>
      </c>
      <c r="K2262" s="4">
        <v>180000</v>
      </c>
    </row>
    <row r="2263" spans="1:11" hidden="1" outlineLevel="2" x14ac:dyDescent="0.35">
      <c r="A2263" t="s">
        <v>26</v>
      </c>
      <c r="B2263" s="1">
        <v>45742</v>
      </c>
      <c r="C2263" t="str">
        <f>"138"</f>
        <v>138</v>
      </c>
      <c r="D2263" t="s">
        <v>1744</v>
      </c>
      <c r="E2263" t="str">
        <f>"0748141"</f>
        <v>0748141</v>
      </c>
      <c r="F2263" t="str">
        <f t="shared" si="62"/>
        <v>40110000</v>
      </c>
      <c r="G2263" t="str">
        <f>"40120684"</f>
        <v>40120684</v>
      </c>
      <c r="H2263" t="s">
        <v>1745</v>
      </c>
      <c r="I2263" s="1">
        <v>45742</v>
      </c>
      <c r="K2263" s="4">
        <v>108000</v>
      </c>
    </row>
    <row r="2264" spans="1:11" hidden="1" outlineLevel="2" x14ac:dyDescent="0.35">
      <c r="A2264" t="s">
        <v>26</v>
      </c>
      <c r="B2264" s="1">
        <v>45742</v>
      </c>
      <c r="C2264" t="str">
        <f>"139"</f>
        <v>139</v>
      </c>
      <c r="D2264" t="s">
        <v>1746</v>
      </c>
      <c r="E2264" t="s">
        <v>1747</v>
      </c>
      <c r="F2264" t="str">
        <f t="shared" si="62"/>
        <v>40110000</v>
      </c>
      <c r="G2264" t="str">
        <f>"40120684"</f>
        <v>40120684</v>
      </c>
      <c r="H2264" t="s">
        <v>1748</v>
      </c>
      <c r="I2264" s="1">
        <v>45742</v>
      </c>
      <c r="K2264" s="4">
        <v>708000</v>
      </c>
    </row>
    <row r="2265" spans="1:11" hidden="1" outlineLevel="2" x14ac:dyDescent="0.35">
      <c r="A2265" t="s">
        <v>26</v>
      </c>
      <c r="B2265" s="1">
        <v>45742</v>
      </c>
      <c r="C2265" t="str">
        <f>"140"</f>
        <v>140</v>
      </c>
      <c r="D2265" t="s">
        <v>1749</v>
      </c>
      <c r="E2265" t="str">
        <f>"0748146"</f>
        <v>0748146</v>
      </c>
      <c r="F2265" t="str">
        <f t="shared" si="62"/>
        <v>40110000</v>
      </c>
      <c r="G2265" t="str">
        <f>"40120684"</f>
        <v>40120684</v>
      </c>
      <c r="H2265" t="s">
        <v>1750</v>
      </c>
      <c r="I2265" s="1">
        <v>45742</v>
      </c>
      <c r="K2265" s="4">
        <v>45000</v>
      </c>
    </row>
    <row r="2266" spans="1:11" hidden="1" outlineLevel="2" x14ac:dyDescent="0.35">
      <c r="A2266" t="s">
        <v>26</v>
      </c>
      <c r="B2266" s="1">
        <v>45742</v>
      </c>
      <c r="C2266" t="str">
        <f>"141"</f>
        <v>141</v>
      </c>
      <c r="D2266" t="s">
        <v>1751</v>
      </c>
      <c r="E2266" t="str">
        <f>"0748147"</f>
        <v>0748147</v>
      </c>
      <c r="F2266" t="str">
        <f t="shared" si="62"/>
        <v>40110000</v>
      </c>
      <c r="G2266" t="str">
        <f>"40120684"</f>
        <v>40120684</v>
      </c>
      <c r="H2266" t="s">
        <v>1752</v>
      </c>
      <c r="I2266" s="1">
        <v>45742</v>
      </c>
      <c r="K2266" s="4">
        <v>93000</v>
      </c>
    </row>
    <row r="2267" spans="1:11" hidden="1" outlineLevel="2" x14ac:dyDescent="0.35">
      <c r="A2267" t="s">
        <v>26</v>
      </c>
      <c r="B2267" s="1">
        <v>45744</v>
      </c>
      <c r="C2267" t="str">
        <f>"159"</f>
        <v>159</v>
      </c>
      <c r="D2267" t="s">
        <v>1761</v>
      </c>
      <c r="E2267" t="str">
        <f>"0000125"</f>
        <v>0000125</v>
      </c>
      <c r="F2267" t="str">
        <f t="shared" si="62"/>
        <v>40110000</v>
      </c>
      <c r="G2267" t="s">
        <v>1368</v>
      </c>
      <c r="H2267" t="s">
        <v>1762</v>
      </c>
      <c r="I2267" s="1">
        <v>45744</v>
      </c>
      <c r="K2267" s="4">
        <v>1800000</v>
      </c>
    </row>
    <row r="2268" spans="1:11" hidden="1" outlineLevel="2" x14ac:dyDescent="0.35">
      <c r="A2268" t="s">
        <v>26</v>
      </c>
      <c r="B2268" s="1">
        <v>45744</v>
      </c>
      <c r="C2268" t="str">
        <f>"160"</f>
        <v>160</v>
      </c>
      <c r="D2268" t="s">
        <v>1763</v>
      </c>
      <c r="E2268" t="str">
        <f>"0000126"</f>
        <v>0000126</v>
      </c>
      <c r="F2268" t="str">
        <f t="shared" si="62"/>
        <v>40110000</v>
      </c>
      <c r="G2268" t="s">
        <v>1368</v>
      </c>
      <c r="H2268" t="s">
        <v>1764</v>
      </c>
      <c r="I2268" s="1">
        <v>45744</v>
      </c>
      <c r="K2268" s="4">
        <v>1695000</v>
      </c>
    </row>
    <row r="2269" spans="1:11" hidden="1" outlineLevel="2" x14ac:dyDescent="0.35">
      <c r="A2269" t="s">
        <v>26</v>
      </c>
      <c r="B2269" s="1">
        <v>45744</v>
      </c>
      <c r="C2269" t="str">
        <f>"161"</f>
        <v>161</v>
      </c>
      <c r="D2269" t="s">
        <v>1765</v>
      </c>
      <c r="E2269" t="str">
        <f>"0000128"</f>
        <v>0000128</v>
      </c>
      <c r="F2269" t="str">
        <f t="shared" si="62"/>
        <v>40110000</v>
      </c>
      <c r="G2269" t="s">
        <v>1368</v>
      </c>
      <c r="H2269" t="s">
        <v>1766</v>
      </c>
      <c r="I2269" s="1">
        <v>45744</v>
      </c>
      <c r="K2269" s="4">
        <v>2325000</v>
      </c>
    </row>
    <row r="2270" spans="1:11" hidden="1" outlineLevel="2" x14ac:dyDescent="0.35">
      <c r="A2270" t="s">
        <v>26</v>
      </c>
      <c r="B2270" s="1">
        <v>45744</v>
      </c>
      <c r="C2270" t="str">
        <f>"162"</f>
        <v>162</v>
      </c>
      <c r="D2270" t="s">
        <v>1767</v>
      </c>
      <c r="E2270" t="str">
        <f>"0000442"</f>
        <v>0000442</v>
      </c>
      <c r="F2270" t="str">
        <f t="shared" si="62"/>
        <v>40110000</v>
      </c>
      <c r="G2270" t="s">
        <v>1365</v>
      </c>
      <c r="H2270" t="s">
        <v>1366</v>
      </c>
      <c r="I2270" s="1">
        <v>45744</v>
      </c>
      <c r="K2270" s="4">
        <v>5462500</v>
      </c>
    </row>
    <row r="2271" spans="1:11" hidden="1" outlineLevel="2" x14ac:dyDescent="0.35">
      <c r="A2271" t="s">
        <v>26</v>
      </c>
      <c r="B2271" s="1">
        <v>45744</v>
      </c>
      <c r="C2271" t="str">
        <f>"163"</f>
        <v>163</v>
      </c>
      <c r="D2271" t="s">
        <v>1768</v>
      </c>
      <c r="E2271" t="str">
        <f>"0000450"</f>
        <v>0000450</v>
      </c>
      <c r="F2271" t="str">
        <f t="shared" si="62"/>
        <v>40110000</v>
      </c>
      <c r="G2271" t="s">
        <v>1365</v>
      </c>
      <c r="H2271" t="s">
        <v>1366</v>
      </c>
      <c r="I2271" s="1">
        <v>45744</v>
      </c>
      <c r="K2271" s="4">
        <v>5462500</v>
      </c>
    </row>
    <row r="2272" spans="1:11" hidden="1" outlineLevel="2" x14ac:dyDescent="0.35">
      <c r="A2272" t="s">
        <v>26</v>
      </c>
      <c r="B2272" s="1">
        <v>45744</v>
      </c>
      <c r="C2272" t="str">
        <f>"164"</f>
        <v>164</v>
      </c>
      <c r="D2272" t="s">
        <v>1769</v>
      </c>
      <c r="E2272" t="str">
        <f>"0000453"</f>
        <v>0000453</v>
      </c>
      <c r="F2272" t="str">
        <f t="shared" si="62"/>
        <v>40110000</v>
      </c>
      <c r="G2272" t="s">
        <v>1365</v>
      </c>
      <c r="H2272" t="s">
        <v>1366</v>
      </c>
      <c r="I2272" s="1">
        <v>45744</v>
      </c>
      <c r="K2272" s="4">
        <v>5462500</v>
      </c>
    </row>
    <row r="2273" spans="1:11" hidden="1" outlineLevel="2" x14ac:dyDescent="0.35">
      <c r="A2273" t="s">
        <v>26</v>
      </c>
      <c r="B2273" s="1">
        <v>45744</v>
      </c>
      <c r="C2273" t="str">
        <f>"167"</f>
        <v>167</v>
      </c>
      <c r="D2273" t="s">
        <v>1770</v>
      </c>
      <c r="E2273" t="str">
        <f>"00180"</f>
        <v>00180</v>
      </c>
      <c r="F2273" t="str">
        <f t="shared" si="62"/>
        <v>40110000</v>
      </c>
      <c r="G2273" t="s">
        <v>1653</v>
      </c>
      <c r="H2273" t="s">
        <v>1771</v>
      </c>
      <c r="I2273" s="1">
        <v>45744</v>
      </c>
      <c r="K2273" s="4">
        <v>6800000</v>
      </c>
    </row>
    <row r="2274" spans="1:11" hidden="1" outlineLevel="2" x14ac:dyDescent="0.35">
      <c r="A2274" t="s">
        <v>26</v>
      </c>
      <c r="B2274" s="1">
        <v>45744</v>
      </c>
      <c r="C2274" t="str">
        <f>"180"</f>
        <v>180</v>
      </c>
      <c r="D2274" t="s">
        <v>1772</v>
      </c>
      <c r="E2274" t="s">
        <v>1773</v>
      </c>
      <c r="F2274" t="str">
        <f t="shared" si="62"/>
        <v>40110000</v>
      </c>
      <c r="G2274" t="str">
        <f>"40112067"</f>
        <v>40112067</v>
      </c>
      <c r="H2274" t="s">
        <v>1774</v>
      </c>
      <c r="I2274" s="1">
        <v>45744</v>
      </c>
      <c r="K2274" s="4">
        <v>52500000</v>
      </c>
    </row>
    <row r="2275" spans="1:11" hidden="1" outlineLevel="2" x14ac:dyDescent="0.35">
      <c r="A2275" t="s">
        <v>1790</v>
      </c>
      <c r="B2275" s="1">
        <v>45720</v>
      </c>
      <c r="C2275" t="str">
        <f>"146"</f>
        <v>146</v>
      </c>
      <c r="F2275" t="str">
        <f t="shared" si="62"/>
        <v>40110000</v>
      </c>
      <c r="G2275" t="str">
        <f>"40110941"</f>
        <v>40110941</v>
      </c>
      <c r="H2275" t="s">
        <v>1792</v>
      </c>
      <c r="J2275" s="4">
        <v>10620000</v>
      </c>
    </row>
    <row r="2276" spans="1:11" hidden="1" outlineLevel="2" x14ac:dyDescent="0.35">
      <c r="A2276" t="s">
        <v>1790</v>
      </c>
      <c r="B2276" s="1">
        <v>45720</v>
      </c>
      <c r="C2276" t="str">
        <f>"148"</f>
        <v>148</v>
      </c>
      <c r="F2276" t="str">
        <f t="shared" si="62"/>
        <v>40110000</v>
      </c>
      <c r="G2276" t="s">
        <v>1365</v>
      </c>
      <c r="H2276" t="s">
        <v>1794</v>
      </c>
      <c r="J2276" s="4">
        <v>20101000</v>
      </c>
    </row>
    <row r="2277" spans="1:11" hidden="1" outlineLevel="2" x14ac:dyDescent="0.35">
      <c r="A2277" t="s">
        <v>1790</v>
      </c>
      <c r="B2277" s="1">
        <v>45720</v>
      </c>
      <c r="C2277" t="str">
        <f>"149"</f>
        <v>149</v>
      </c>
      <c r="F2277" t="str">
        <f t="shared" si="62"/>
        <v>40110000</v>
      </c>
      <c r="G2277" t="s">
        <v>1795</v>
      </c>
      <c r="H2277" t="s">
        <v>1796</v>
      </c>
      <c r="J2277" s="4">
        <v>2700000</v>
      </c>
    </row>
    <row r="2278" spans="1:11" hidden="1" outlineLevel="2" x14ac:dyDescent="0.35">
      <c r="A2278" t="s">
        <v>1790</v>
      </c>
      <c r="B2278" s="1">
        <v>45727</v>
      </c>
      <c r="C2278" t="str">
        <f>"152"</f>
        <v>152</v>
      </c>
      <c r="F2278" t="str">
        <f t="shared" si="62"/>
        <v>40110000</v>
      </c>
      <c r="G2278" t="str">
        <f>"40111070"</f>
        <v>40111070</v>
      </c>
      <c r="H2278" t="s">
        <v>1806</v>
      </c>
      <c r="J2278" s="4">
        <v>14809140</v>
      </c>
    </row>
    <row r="2279" spans="1:11" hidden="1" outlineLevel="2" x14ac:dyDescent="0.35">
      <c r="A2279" t="s">
        <v>1790</v>
      </c>
      <c r="B2279" s="1">
        <v>45731</v>
      </c>
      <c r="C2279" t="str">
        <f t="shared" ref="C2279:C2294" si="63">"203"</f>
        <v>203</v>
      </c>
      <c r="F2279" t="str">
        <f t="shared" si="62"/>
        <v>40110000</v>
      </c>
      <c r="G2279" t="str">
        <f t="shared" ref="G2279:G2294" si="64">"40110220"</f>
        <v>40110220</v>
      </c>
      <c r="H2279" t="s">
        <v>1810</v>
      </c>
      <c r="J2279" s="4">
        <v>378736</v>
      </c>
    </row>
    <row r="2280" spans="1:11" hidden="1" outlineLevel="2" x14ac:dyDescent="0.35">
      <c r="A2280" t="s">
        <v>1790</v>
      </c>
      <c r="B2280" s="1">
        <v>45731</v>
      </c>
      <c r="C2280" t="str">
        <f t="shared" si="63"/>
        <v>203</v>
      </c>
      <c r="F2280" t="str">
        <f t="shared" si="62"/>
        <v>40110000</v>
      </c>
      <c r="G2280" t="str">
        <f t="shared" si="64"/>
        <v>40110220</v>
      </c>
      <c r="H2280" t="s">
        <v>1810</v>
      </c>
      <c r="J2280" s="4">
        <v>378736</v>
      </c>
    </row>
    <row r="2281" spans="1:11" hidden="1" outlineLevel="2" x14ac:dyDescent="0.35">
      <c r="A2281" t="s">
        <v>1790</v>
      </c>
      <c r="B2281" s="1">
        <v>45731</v>
      </c>
      <c r="C2281" t="str">
        <f t="shared" si="63"/>
        <v>203</v>
      </c>
      <c r="F2281" t="str">
        <f t="shared" si="62"/>
        <v>40110000</v>
      </c>
      <c r="G2281" t="str">
        <f t="shared" si="64"/>
        <v>40110220</v>
      </c>
      <c r="H2281" t="s">
        <v>1810</v>
      </c>
      <c r="J2281" s="4">
        <v>378736</v>
      </c>
    </row>
    <row r="2282" spans="1:11" hidden="1" outlineLevel="2" x14ac:dyDescent="0.35">
      <c r="A2282" t="s">
        <v>1790</v>
      </c>
      <c r="B2282" s="1">
        <v>45731</v>
      </c>
      <c r="C2282" t="str">
        <f t="shared" si="63"/>
        <v>203</v>
      </c>
      <c r="F2282" t="str">
        <f t="shared" si="62"/>
        <v>40110000</v>
      </c>
      <c r="G2282" t="str">
        <f t="shared" si="64"/>
        <v>40110220</v>
      </c>
      <c r="H2282" t="s">
        <v>1810</v>
      </c>
      <c r="J2282" s="4">
        <v>378736</v>
      </c>
    </row>
    <row r="2283" spans="1:11" hidden="1" outlineLevel="2" x14ac:dyDescent="0.35">
      <c r="A2283" t="s">
        <v>1790</v>
      </c>
      <c r="B2283" s="1">
        <v>45731</v>
      </c>
      <c r="C2283" t="str">
        <f t="shared" si="63"/>
        <v>203</v>
      </c>
      <c r="F2283" t="str">
        <f t="shared" si="62"/>
        <v>40110000</v>
      </c>
      <c r="G2283" t="str">
        <f t="shared" si="64"/>
        <v>40110220</v>
      </c>
      <c r="H2283" t="s">
        <v>1810</v>
      </c>
      <c r="J2283" s="4">
        <v>378736</v>
      </c>
    </row>
    <row r="2284" spans="1:11" hidden="1" outlineLevel="2" x14ac:dyDescent="0.35">
      <c r="A2284" t="s">
        <v>1790</v>
      </c>
      <c r="B2284" s="1">
        <v>45731</v>
      </c>
      <c r="C2284" t="str">
        <f t="shared" si="63"/>
        <v>203</v>
      </c>
      <c r="F2284" t="str">
        <f t="shared" si="62"/>
        <v>40110000</v>
      </c>
      <c r="G2284" t="str">
        <f t="shared" si="64"/>
        <v>40110220</v>
      </c>
      <c r="H2284" t="s">
        <v>1811</v>
      </c>
      <c r="J2284" s="4">
        <v>340535</v>
      </c>
    </row>
    <row r="2285" spans="1:11" hidden="1" outlineLevel="2" x14ac:dyDescent="0.35">
      <c r="A2285" t="s">
        <v>1790</v>
      </c>
      <c r="B2285" s="1">
        <v>45731</v>
      </c>
      <c r="C2285" t="str">
        <f t="shared" si="63"/>
        <v>203</v>
      </c>
      <c r="F2285" t="str">
        <f t="shared" si="62"/>
        <v>40110000</v>
      </c>
      <c r="G2285" t="str">
        <f t="shared" si="64"/>
        <v>40110220</v>
      </c>
      <c r="H2285" t="s">
        <v>1811</v>
      </c>
      <c r="J2285" s="4">
        <v>340535</v>
      </c>
    </row>
    <row r="2286" spans="1:11" hidden="1" outlineLevel="2" x14ac:dyDescent="0.35">
      <c r="A2286" t="s">
        <v>1790</v>
      </c>
      <c r="B2286" s="1">
        <v>45731</v>
      </c>
      <c r="C2286" t="str">
        <f t="shared" si="63"/>
        <v>203</v>
      </c>
      <c r="F2286" t="str">
        <f t="shared" si="62"/>
        <v>40110000</v>
      </c>
      <c r="G2286" t="str">
        <f t="shared" si="64"/>
        <v>40110220</v>
      </c>
      <c r="H2286" t="s">
        <v>1811</v>
      </c>
      <c r="J2286" s="4">
        <v>340535</v>
      </c>
    </row>
    <row r="2287" spans="1:11" hidden="1" outlineLevel="2" x14ac:dyDescent="0.35">
      <c r="A2287" t="s">
        <v>1790</v>
      </c>
      <c r="B2287" s="1">
        <v>45731</v>
      </c>
      <c r="C2287" t="str">
        <f t="shared" si="63"/>
        <v>203</v>
      </c>
      <c r="F2287" t="str">
        <f t="shared" si="62"/>
        <v>40110000</v>
      </c>
      <c r="G2287" t="str">
        <f t="shared" si="64"/>
        <v>40110220</v>
      </c>
      <c r="H2287" t="s">
        <v>1812</v>
      </c>
      <c r="J2287" s="4">
        <v>419681</v>
      </c>
    </row>
    <row r="2288" spans="1:11" hidden="1" outlineLevel="2" x14ac:dyDescent="0.35">
      <c r="A2288" t="s">
        <v>1790</v>
      </c>
      <c r="B2288" s="1">
        <v>45731</v>
      </c>
      <c r="C2288" t="str">
        <f t="shared" si="63"/>
        <v>203</v>
      </c>
      <c r="F2288" t="str">
        <f t="shared" si="62"/>
        <v>40110000</v>
      </c>
      <c r="G2288" t="str">
        <f t="shared" si="64"/>
        <v>40110220</v>
      </c>
      <c r="H2288" t="s">
        <v>1812</v>
      </c>
      <c r="J2288" s="4">
        <v>419681</v>
      </c>
    </row>
    <row r="2289" spans="1:10" hidden="1" outlineLevel="2" x14ac:dyDescent="0.35">
      <c r="A2289" t="s">
        <v>1790</v>
      </c>
      <c r="B2289" s="1">
        <v>45731</v>
      </c>
      <c r="C2289" t="str">
        <f t="shared" si="63"/>
        <v>203</v>
      </c>
      <c r="F2289" t="str">
        <f t="shared" si="62"/>
        <v>40110000</v>
      </c>
      <c r="G2289" t="str">
        <f t="shared" si="64"/>
        <v>40110220</v>
      </c>
      <c r="H2289" t="s">
        <v>1812</v>
      </c>
      <c r="J2289" s="4">
        <v>419681</v>
      </c>
    </row>
    <row r="2290" spans="1:10" hidden="1" outlineLevel="2" x14ac:dyDescent="0.35">
      <c r="A2290" t="s">
        <v>1790</v>
      </c>
      <c r="B2290" s="1">
        <v>45731</v>
      </c>
      <c r="C2290" t="str">
        <f t="shared" si="63"/>
        <v>203</v>
      </c>
      <c r="F2290" t="str">
        <f t="shared" si="62"/>
        <v>40110000</v>
      </c>
      <c r="G2290" t="str">
        <f t="shared" si="64"/>
        <v>40110220</v>
      </c>
      <c r="H2290" t="s">
        <v>1813</v>
      </c>
      <c r="J2290" s="4">
        <v>182203</v>
      </c>
    </row>
    <row r="2291" spans="1:10" hidden="1" outlineLevel="2" x14ac:dyDescent="0.35">
      <c r="A2291" t="s">
        <v>1790</v>
      </c>
      <c r="B2291" s="1">
        <v>45731</v>
      </c>
      <c r="C2291" t="str">
        <f t="shared" si="63"/>
        <v>203</v>
      </c>
      <c r="F2291" t="str">
        <f t="shared" si="62"/>
        <v>40110000</v>
      </c>
      <c r="G2291" t="str">
        <f t="shared" si="64"/>
        <v>40110220</v>
      </c>
      <c r="H2291" t="s">
        <v>1813</v>
      </c>
      <c r="J2291" s="4">
        <v>182203</v>
      </c>
    </row>
    <row r="2292" spans="1:10" hidden="1" outlineLevel="2" x14ac:dyDescent="0.35">
      <c r="A2292" t="s">
        <v>1790</v>
      </c>
      <c r="B2292" s="1">
        <v>45731</v>
      </c>
      <c r="C2292" t="str">
        <f t="shared" si="63"/>
        <v>203</v>
      </c>
      <c r="F2292" t="str">
        <f t="shared" si="62"/>
        <v>40110000</v>
      </c>
      <c r="G2292" t="str">
        <f t="shared" si="64"/>
        <v>40110220</v>
      </c>
      <c r="H2292" t="s">
        <v>1813</v>
      </c>
      <c r="J2292" s="4">
        <v>182203</v>
      </c>
    </row>
    <row r="2293" spans="1:10" hidden="1" outlineLevel="2" x14ac:dyDescent="0.35">
      <c r="A2293" t="s">
        <v>1790</v>
      </c>
      <c r="B2293" s="1">
        <v>45731</v>
      </c>
      <c r="C2293" t="str">
        <f t="shared" si="63"/>
        <v>203</v>
      </c>
      <c r="F2293" t="str">
        <f t="shared" si="62"/>
        <v>40110000</v>
      </c>
      <c r="G2293" t="str">
        <f t="shared" si="64"/>
        <v>40110220</v>
      </c>
      <c r="H2293" t="s">
        <v>1814</v>
      </c>
      <c r="J2293" s="4">
        <v>427869</v>
      </c>
    </row>
    <row r="2294" spans="1:10" hidden="1" outlineLevel="2" x14ac:dyDescent="0.35">
      <c r="A2294" t="s">
        <v>1790</v>
      </c>
      <c r="B2294" s="1">
        <v>45731</v>
      </c>
      <c r="C2294" t="str">
        <f t="shared" si="63"/>
        <v>203</v>
      </c>
      <c r="F2294" t="str">
        <f t="shared" si="62"/>
        <v>40110000</v>
      </c>
      <c r="G2294" t="str">
        <f t="shared" si="64"/>
        <v>40110220</v>
      </c>
      <c r="H2294" t="s">
        <v>1815</v>
      </c>
      <c r="J2294" s="4">
        <v>428893</v>
      </c>
    </row>
    <row r="2295" spans="1:10" hidden="1" outlineLevel="2" x14ac:dyDescent="0.35">
      <c r="A2295" t="s">
        <v>1790</v>
      </c>
      <c r="B2295" s="1">
        <v>45733</v>
      </c>
      <c r="C2295" t="str">
        <f>"158"</f>
        <v>158</v>
      </c>
      <c r="F2295" t="str">
        <f t="shared" si="62"/>
        <v>40110000</v>
      </c>
      <c r="G2295" t="str">
        <f>"40110143"</f>
        <v>40110143</v>
      </c>
      <c r="H2295" t="s">
        <v>1816</v>
      </c>
      <c r="J2295" s="4">
        <v>147673846</v>
      </c>
    </row>
    <row r="2296" spans="1:10" hidden="1" outlineLevel="2" x14ac:dyDescent="0.35">
      <c r="A2296" t="s">
        <v>1790</v>
      </c>
      <c r="B2296" s="1">
        <v>45734</v>
      </c>
      <c r="C2296" t="str">
        <f>"171"</f>
        <v>171</v>
      </c>
      <c r="F2296" t="str">
        <f t="shared" si="62"/>
        <v>40110000</v>
      </c>
      <c r="G2296" t="str">
        <f>"40110831"</f>
        <v>40110831</v>
      </c>
      <c r="H2296" t="s">
        <v>1819</v>
      </c>
      <c r="J2296" s="4">
        <v>50000000</v>
      </c>
    </row>
    <row r="2297" spans="1:10" hidden="1" outlineLevel="2" x14ac:dyDescent="0.35">
      <c r="A2297" t="s">
        <v>1790</v>
      </c>
      <c r="B2297" s="1">
        <v>45735</v>
      </c>
      <c r="C2297" t="str">
        <f>"175"</f>
        <v>175</v>
      </c>
      <c r="F2297" t="str">
        <f t="shared" si="62"/>
        <v>40110000</v>
      </c>
      <c r="G2297" t="str">
        <f>"40120681"</f>
        <v>40120681</v>
      </c>
      <c r="H2297" t="s">
        <v>1822</v>
      </c>
      <c r="J2297" s="4">
        <v>42834000</v>
      </c>
    </row>
    <row r="2298" spans="1:10" hidden="1" outlineLevel="2" x14ac:dyDescent="0.35">
      <c r="A2298" t="s">
        <v>1790</v>
      </c>
      <c r="B2298" s="1">
        <v>45740</v>
      </c>
      <c r="C2298" t="str">
        <f>"182"</f>
        <v>182</v>
      </c>
      <c r="F2298" t="str">
        <f t="shared" si="62"/>
        <v>40110000</v>
      </c>
      <c r="G2298" t="str">
        <f>"40110665"</f>
        <v>40110665</v>
      </c>
      <c r="H2298" t="s">
        <v>1826</v>
      </c>
      <c r="J2298" s="4">
        <v>4937000</v>
      </c>
    </row>
    <row r="2299" spans="1:10" hidden="1" outlineLevel="2" x14ac:dyDescent="0.35">
      <c r="A2299" t="s">
        <v>1790</v>
      </c>
      <c r="B2299" s="1">
        <v>45740</v>
      </c>
      <c r="C2299" t="str">
        <f>"183"</f>
        <v>183</v>
      </c>
      <c r="F2299" t="str">
        <f t="shared" si="62"/>
        <v>40110000</v>
      </c>
      <c r="G2299" t="s">
        <v>1584</v>
      </c>
      <c r="H2299" t="s">
        <v>1827</v>
      </c>
      <c r="J2299" s="4">
        <v>2000000</v>
      </c>
    </row>
    <row r="2300" spans="1:10" hidden="1" outlineLevel="2" x14ac:dyDescent="0.35">
      <c r="A2300" t="s">
        <v>1790</v>
      </c>
      <c r="B2300" s="1">
        <v>45740</v>
      </c>
      <c r="C2300" t="str">
        <f>"184"</f>
        <v>184</v>
      </c>
      <c r="F2300" t="str">
        <f t="shared" si="62"/>
        <v>40110000</v>
      </c>
      <c r="G2300" t="s">
        <v>1584</v>
      </c>
      <c r="H2300" t="s">
        <v>1828</v>
      </c>
      <c r="J2300" s="4">
        <v>500000</v>
      </c>
    </row>
    <row r="2301" spans="1:10" hidden="1" outlineLevel="2" x14ac:dyDescent="0.35">
      <c r="A2301" t="s">
        <v>1831</v>
      </c>
      <c r="B2301" s="1">
        <v>45720</v>
      </c>
      <c r="C2301" t="str">
        <f>"76"</f>
        <v>76</v>
      </c>
      <c r="F2301" t="str">
        <f t="shared" si="62"/>
        <v>40110000</v>
      </c>
      <c r="G2301" t="s">
        <v>1387</v>
      </c>
      <c r="H2301" t="s">
        <v>1833</v>
      </c>
      <c r="J2301" s="4">
        <v>3350000</v>
      </c>
    </row>
    <row r="2302" spans="1:10" hidden="1" outlineLevel="2" x14ac:dyDescent="0.35">
      <c r="A2302" t="s">
        <v>1831</v>
      </c>
      <c r="B2302" s="1">
        <v>45720</v>
      </c>
      <c r="C2302" t="str">
        <f>"77"</f>
        <v>77</v>
      </c>
      <c r="F2302" t="str">
        <f t="shared" si="62"/>
        <v>40110000</v>
      </c>
      <c r="G2302" t="s">
        <v>1834</v>
      </c>
      <c r="H2302" t="s">
        <v>1835</v>
      </c>
      <c r="J2302" s="4">
        <v>1951639</v>
      </c>
    </row>
    <row r="2303" spans="1:10" hidden="1" outlineLevel="2" x14ac:dyDescent="0.35">
      <c r="A2303" t="s">
        <v>1831</v>
      </c>
      <c r="B2303" s="1">
        <v>45720</v>
      </c>
      <c r="C2303" t="str">
        <f>"78"</f>
        <v>78</v>
      </c>
      <c r="F2303" t="str">
        <f t="shared" si="62"/>
        <v>40110000</v>
      </c>
      <c r="G2303" t="str">
        <f>"40111060"</f>
        <v>40111060</v>
      </c>
      <c r="H2303" t="s">
        <v>1836</v>
      </c>
      <c r="J2303" s="4">
        <v>853858</v>
      </c>
    </row>
    <row r="2304" spans="1:10" hidden="1" outlineLevel="2" x14ac:dyDescent="0.35">
      <c r="A2304" t="s">
        <v>1831</v>
      </c>
      <c r="B2304" s="1">
        <v>45720</v>
      </c>
      <c r="C2304" t="str">
        <f>"79"</f>
        <v>79</v>
      </c>
      <c r="F2304" t="str">
        <f t="shared" si="62"/>
        <v>40110000</v>
      </c>
      <c r="G2304" t="str">
        <f>"40120604"</f>
        <v>40120604</v>
      </c>
      <c r="H2304" t="s">
        <v>1837</v>
      </c>
      <c r="J2304" s="4">
        <v>182900</v>
      </c>
    </row>
    <row r="2305" spans="1:10" hidden="1" outlineLevel="2" x14ac:dyDescent="0.35">
      <c r="A2305" t="s">
        <v>1831</v>
      </c>
      <c r="B2305" s="1">
        <v>45720</v>
      </c>
      <c r="C2305" t="str">
        <f>"80"</f>
        <v>80</v>
      </c>
      <c r="F2305" t="str">
        <f t="shared" si="62"/>
        <v>40110000</v>
      </c>
      <c r="G2305" t="str">
        <f>"40110205"</f>
        <v>40110205</v>
      </c>
      <c r="H2305" t="s">
        <v>1838</v>
      </c>
      <c r="J2305" s="4">
        <v>771145</v>
      </c>
    </row>
    <row r="2306" spans="1:10" hidden="1" outlineLevel="2" x14ac:dyDescent="0.35">
      <c r="A2306" t="s">
        <v>1831</v>
      </c>
      <c r="B2306" s="1">
        <v>45720</v>
      </c>
      <c r="C2306" t="str">
        <f>"81"</f>
        <v>81</v>
      </c>
      <c r="F2306" t="str">
        <f t="shared" ref="F2306:F2369" si="65">"40110000"</f>
        <v>40110000</v>
      </c>
      <c r="G2306" t="str">
        <f>"40110849"</f>
        <v>40110849</v>
      </c>
      <c r="H2306" t="s">
        <v>1839</v>
      </c>
      <c r="J2306" s="4">
        <v>708000</v>
      </c>
    </row>
    <row r="2307" spans="1:10" hidden="1" outlineLevel="2" x14ac:dyDescent="0.35">
      <c r="A2307" t="s">
        <v>1831</v>
      </c>
      <c r="B2307" s="1">
        <v>45720</v>
      </c>
      <c r="C2307" t="str">
        <f>"82"</f>
        <v>82</v>
      </c>
      <c r="F2307" t="str">
        <f t="shared" si="65"/>
        <v>40110000</v>
      </c>
      <c r="G2307" t="str">
        <f>"40110121"</f>
        <v>40110121</v>
      </c>
      <c r="H2307" t="s">
        <v>1840</v>
      </c>
      <c r="J2307" s="4">
        <v>1073210</v>
      </c>
    </row>
    <row r="2308" spans="1:10" hidden="1" outlineLevel="2" x14ac:dyDescent="0.35">
      <c r="A2308" t="s">
        <v>1831</v>
      </c>
      <c r="B2308" s="1">
        <v>45720</v>
      </c>
      <c r="C2308" t="str">
        <f>"83"</f>
        <v>83</v>
      </c>
      <c r="F2308" t="str">
        <f t="shared" si="65"/>
        <v>40110000</v>
      </c>
      <c r="G2308" t="str">
        <f>"40110031"</f>
        <v>40110031</v>
      </c>
      <c r="H2308" t="s">
        <v>1841</v>
      </c>
      <c r="J2308" s="4">
        <v>70176</v>
      </c>
    </row>
    <row r="2309" spans="1:10" hidden="1" outlineLevel="2" x14ac:dyDescent="0.35">
      <c r="A2309" t="s">
        <v>1831</v>
      </c>
      <c r="B2309" s="1">
        <v>45728</v>
      </c>
      <c r="C2309" t="str">
        <f>"85"</f>
        <v>85</v>
      </c>
      <c r="F2309" t="str">
        <f t="shared" si="65"/>
        <v>40110000</v>
      </c>
      <c r="G2309" t="str">
        <f>"40112066"</f>
        <v>40112066</v>
      </c>
      <c r="H2309" t="s">
        <v>1846</v>
      </c>
      <c r="J2309" s="4">
        <v>2082421</v>
      </c>
    </row>
    <row r="2310" spans="1:10" hidden="1" outlineLevel="2" x14ac:dyDescent="0.35">
      <c r="A2310" t="s">
        <v>1831</v>
      </c>
      <c r="B2310" s="1">
        <v>45728</v>
      </c>
      <c r="C2310" t="str">
        <f>"86"</f>
        <v>86</v>
      </c>
      <c r="F2310" t="str">
        <f t="shared" si="65"/>
        <v>40110000</v>
      </c>
      <c r="G2310" t="str">
        <f>"40112066"</f>
        <v>40112066</v>
      </c>
      <c r="H2310" t="s">
        <v>1847</v>
      </c>
      <c r="J2310" s="4">
        <v>3618259</v>
      </c>
    </row>
    <row r="2311" spans="1:10" hidden="1" outlineLevel="2" x14ac:dyDescent="0.35">
      <c r="A2311" t="s">
        <v>1831</v>
      </c>
      <c r="B2311" s="1">
        <v>45729</v>
      </c>
      <c r="C2311" t="str">
        <f>"84"</f>
        <v>84</v>
      </c>
      <c r="F2311" t="str">
        <f t="shared" si="65"/>
        <v>40110000</v>
      </c>
      <c r="G2311" t="str">
        <f>"40110290"</f>
        <v>40110290</v>
      </c>
      <c r="H2311" t="s">
        <v>1849</v>
      </c>
      <c r="J2311" s="4">
        <v>1171150</v>
      </c>
    </row>
    <row r="2312" spans="1:10" hidden="1" outlineLevel="2" x14ac:dyDescent="0.35">
      <c r="A2312" t="s">
        <v>1831</v>
      </c>
      <c r="B2312" s="1">
        <v>45731</v>
      </c>
      <c r="C2312" t="str">
        <f>"97"</f>
        <v>97</v>
      </c>
      <c r="F2312" t="str">
        <f t="shared" si="65"/>
        <v>40110000</v>
      </c>
      <c r="G2312" t="str">
        <f t="shared" ref="G2312:G2326" si="66">"40110220"</f>
        <v>40110220</v>
      </c>
      <c r="H2312" t="s">
        <v>1852</v>
      </c>
      <c r="J2312" s="4">
        <v>2071867</v>
      </c>
    </row>
    <row r="2313" spans="1:10" hidden="1" outlineLevel="2" x14ac:dyDescent="0.35">
      <c r="A2313" t="s">
        <v>1831</v>
      </c>
      <c r="B2313" s="1">
        <v>45731</v>
      </c>
      <c r="C2313" t="str">
        <f>"97"</f>
        <v>97</v>
      </c>
      <c r="F2313" t="str">
        <f t="shared" si="65"/>
        <v>40110000</v>
      </c>
      <c r="G2313" t="str">
        <f t="shared" si="66"/>
        <v>40110220</v>
      </c>
      <c r="H2313" t="s">
        <v>1853</v>
      </c>
      <c r="J2313" s="4">
        <v>2071867</v>
      </c>
    </row>
    <row r="2314" spans="1:10" hidden="1" outlineLevel="2" x14ac:dyDescent="0.35">
      <c r="A2314" t="s">
        <v>1831</v>
      </c>
      <c r="B2314" s="1">
        <v>45731</v>
      </c>
      <c r="C2314" t="str">
        <f>"98"</f>
        <v>98</v>
      </c>
      <c r="F2314" t="str">
        <f t="shared" si="65"/>
        <v>40110000</v>
      </c>
      <c r="G2314" t="str">
        <f t="shared" si="66"/>
        <v>40110220</v>
      </c>
      <c r="H2314" t="s">
        <v>1854</v>
      </c>
      <c r="J2314" s="4">
        <v>4143734</v>
      </c>
    </row>
    <row r="2315" spans="1:10" hidden="1" outlineLevel="2" x14ac:dyDescent="0.35">
      <c r="A2315" t="s">
        <v>1831</v>
      </c>
      <c r="B2315" s="1">
        <v>45731</v>
      </c>
      <c r="C2315" t="str">
        <f>"99"</f>
        <v>99</v>
      </c>
      <c r="F2315" t="str">
        <f t="shared" si="65"/>
        <v>40110000</v>
      </c>
      <c r="G2315" t="str">
        <f t="shared" si="66"/>
        <v>40110220</v>
      </c>
      <c r="H2315" t="s">
        <v>1855</v>
      </c>
      <c r="J2315" s="4">
        <v>747450</v>
      </c>
    </row>
    <row r="2316" spans="1:10" hidden="1" outlineLevel="2" x14ac:dyDescent="0.35">
      <c r="A2316" t="s">
        <v>1831</v>
      </c>
      <c r="B2316" s="1">
        <v>45731</v>
      </c>
      <c r="C2316" t="str">
        <f>"99"</f>
        <v>99</v>
      </c>
      <c r="F2316" t="str">
        <f t="shared" si="65"/>
        <v>40110000</v>
      </c>
      <c r="G2316" t="str">
        <f t="shared" si="66"/>
        <v>40110220</v>
      </c>
      <c r="H2316" t="s">
        <v>1856</v>
      </c>
      <c r="J2316" s="4">
        <v>1501261</v>
      </c>
    </row>
    <row r="2317" spans="1:10" hidden="1" outlineLevel="2" x14ac:dyDescent="0.35">
      <c r="A2317" t="s">
        <v>1831</v>
      </c>
      <c r="B2317" s="1">
        <v>45731</v>
      </c>
      <c r="C2317" t="str">
        <f>"100"</f>
        <v>100</v>
      </c>
      <c r="F2317" t="str">
        <f t="shared" si="65"/>
        <v>40110000</v>
      </c>
      <c r="G2317" t="str">
        <f t="shared" si="66"/>
        <v>40110220</v>
      </c>
      <c r="H2317" t="s">
        <v>1857</v>
      </c>
      <c r="J2317" s="4">
        <v>715643</v>
      </c>
    </row>
    <row r="2318" spans="1:10" hidden="1" outlineLevel="2" x14ac:dyDescent="0.35">
      <c r="A2318" t="s">
        <v>1831</v>
      </c>
      <c r="B2318" s="1">
        <v>45731</v>
      </c>
      <c r="C2318" t="str">
        <f>"100"</f>
        <v>100</v>
      </c>
      <c r="F2318" t="str">
        <f t="shared" si="65"/>
        <v>40110000</v>
      </c>
      <c r="G2318" t="str">
        <f t="shared" si="66"/>
        <v>40110220</v>
      </c>
      <c r="H2318" t="s">
        <v>1858</v>
      </c>
      <c r="J2318" s="4">
        <v>874675</v>
      </c>
    </row>
    <row r="2319" spans="1:10" hidden="1" outlineLevel="2" x14ac:dyDescent="0.35">
      <c r="A2319" t="s">
        <v>1831</v>
      </c>
      <c r="B2319" s="1">
        <v>45731</v>
      </c>
      <c r="C2319" t="str">
        <f>"101"</f>
        <v>101</v>
      </c>
      <c r="F2319" t="str">
        <f t="shared" si="65"/>
        <v>40110000</v>
      </c>
      <c r="G2319" t="str">
        <f t="shared" si="66"/>
        <v>40110220</v>
      </c>
      <c r="H2319" t="s">
        <v>1859</v>
      </c>
      <c r="J2319" s="4">
        <v>1145030</v>
      </c>
    </row>
    <row r="2320" spans="1:10" hidden="1" outlineLevel="2" x14ac:dyDescent="0.35">
      <c r="A2320" t="s">
        <v>1831</v>
      </c>
      <c r="B2320" s="1">
        <v>45731</v>
      </c>
      <c r="C2320" t="str">
        <f>"101"</f>
        <v>101</v>
      </c>
      <c r="F2320" t="str">
        <f t="shared" si="65"/>
        <v>40110000</v>
      </c>
      <c r="G2320" t="str">
        <f t="shared" si="66"/>
        <v>40110220</v>
      </c>
      <c r="H2320" t="s">
        <v>1860</v>
      </c>
      <c r="J2320" s="4">
        <v>3113844</v>
      </c>
    </row>
    <row r="2321" spans="1:10" hidden="1" outlineLevel="2" x14ac:dyDescent="0.35">
      <c r="A2321" t="s">
        <v>1831</v>
      </c>
      <c r="B2321" s="1">
        <v>45731</v>
      </c>
      <c r="C2321" t="str">
        <f>"101"</f>
        <v>101</v>
      </c>
      <c r="F2321" t="str">
        <f t="shared" si="65"/>
        <v>40110000</v>
      </c>
      <c r="G2321" t="str">
        <f t="shared" si="66"/>
        <v>40110220</v>
      </c>
      <c r="H2321" t="s">
        <v>1861</v>
      </c>
      <c r="J2321" s="4">
        <v>2946650</v>
      </c>
    </row>
    <row r="2322" spans="1:10" hidden="1" outlineLevel="2" x14ac:dyDescent="0.35">
      <c r="A2322" t="s">
        <v>1831</v>
      </c>
      <c r="B2322" s="1">
        <v>45731</v>
      </c>
      <c r="C2322" t="str">
        <f>"102"</f>
        <v>102</v>
      </c>
      <c r="F2322" t="str">
        <f t="shared" si="65"/>
        <v>40110000</v>
      </c>
      <c r="G2322" t="str">
        <f t="shared" si="66"/>
        <v>40110220</v>
      </c>
      <c r="H2322" t="s">
        <v>1854</v>
      </c>
      <c r="J2322" s="4">
        <v>4143734</v>
      </c>
    </row>
    <row r="2323" spans="1:10" hidden="1" outlineLevel="2" x14ac:dyDescent="0.35">
      <c r="A2323" t="s">
        <v>1831</v>
      </c>
      <c r="B2323" s="1">
        <v>45731</v>
      </c>
      <c r="C2323" t="str">
        <f>"104"</f>
        <v>104</v>
      </c>
      <c r="F2323" t="str">
        <f t="shared" si="65"/>
        <v>40110000</v>
      </c>
      <c r="G2323" t="str">
        <f t="shared" si="66"/>
        <v>40110220</v>
      </c>
      <c r="H2323" t="s">
        <v>1862</v>
      </c>
      <c r="J2323" s="4">
        <v>1081417</v>
      </c>
    </row>
    <row r="2324" spans="1:10" hidden="1" outlineLevel="2" x14ac:dyDescent="0.35">
      <c r="A2324" t="s">
        <v>1831</v>
      </c>
      <c r="B2324" s="1">
        <v>45731</v>
      </c>
      <c r="C2324" t="str">
        <f>"104"</f>
        <v>104</v>
      </c>
      <c r="F2324" t="str">
        <f t="shared" si="65"/>
        <v>40110000</v>
      </c>
      <c r="G2324" t="str">
        <f t="shared" si="66"/>
        <v>40110220</v>
      </c>
      <c r="H2324" t="s">
        <v>1863</v>
      </c>
      <c r="J2324" s="4">
        <v>1335867</v>
      </c>
    </row>
    <row r="2325" spans="1:10" hidden="1" outlineLevel="2" x14ac:dyDescent="0.35">
      <c r="A2325" t="s">
        <v>1831</v>
      </c>
      <c r="B2325" s="1">
        <v>45731</v>
      </c>
      <c r="C2325" t="str">
        <f>"104"</f>
        <v>104</v>
      </c>
      <c r="F2325" t="str">
        <f t="shared" si="65"/>
        <v>40110000</v>
      </c>
      <c r="G2325" t="str">
        <f t="shared" si="66"/>
        <v>40110220</v>
      </c>
      <c r="H2325" t="s">
        <v>1864</v>
      </c>
      <c r="J2325" s="4">
        <v>1463093</v>
      </c>
    </row>
    <row r="2326" spans="1:10" hidden="1" outlineLevel="2" x14ac:dyDescent="0.35">
      <c r="A2326" t="s">
        <v>1831</v>
      </c>
      <c r="B2326" s="1">
        <v>45731</v>
      </c>
      <c r="C2326" t="str">
        <f>"108"</f>
        <v>108</v>
      </c>
      <c r="F2326" t="str">
        <f t="shared" si="65"/>
        <v>40110000</v>
      </c>
      <c r="G2326" t="str">
        <f t="shared" si="66"/>
        <v>40110220</v>
      </c>
      <c r="H2326" t="s">
        <v>1865</v>
      </c>
      <c r="J2326" s="4">
        <v>3928866</v>
      </c>
    </row>
    <row r="2327" spans="1:10" hidden="1" outlineLevel="2" x14ac:dyDescent="0.35">
      <c r="A2327" t="s">
        <v>1831</v>
      </c>
      <c r="B2327" s="1">
        <v>45733</v>
      </c>
      <c r="C2327" t="str">
        <f>"92"</f>
        <v>92</v>
      </c>
      <c r="F2327" t="str">
        <f t="shared" si="65"/>
        <v>40110000</v>
      </c>
      <c r="G2327" t="str">
        <f>"40110072"</f>
        <v>40110072</v>
      </c>
      <c r="H2327" t="s">
        <v>1866</v>
      </c>
      <c r="J2327" s="4">
        <v>471467</v>
      </c>
    </row>
    <row r="2328" spans="1:10" hidden="1" outlineLevel="2" x14ac:dyDescent="0.35">
      <c r="A2328" t="s">
        <v>1831</v>
      </c>
      <c r="B2328" s="1">
        <v>45733</v>
      </c>
      <c r="C2328" t="str">
        <f>"93"</f>
        <v>93</v>
      </c>
      <c r="F2328" t="str">
        <f t="shared" si="65"/>
        <v>40110000</v>
      </c>
      <c r="G2328" t="str">
        <f>"40110072"</f>
        <v>40110072</v>
      </c>
      <c r="H2328" t="s">
        <v>1867</v>
      </c>
      <c r="J2328" s="4">
        <v>131994</v>
      </c>
    </row>
    <row r="2329" spans="1:10" hidden="1" outlineLevel="2" x14ac:dyDescent="0.35">
      <c r="A2329" t="s">
        <v>1831</v>
      </c>
      <c r="B2329" s="1">
        <v>45733</v>
      </c>
      <c r="C2329" t="str">
        <f>"94"</f>
        <v>94</v>
      </c>
      <c r="F2329" t="str">
        <f t="shared" si="65"/>
        <v>40110000</v>
      </c>
      <c r="G2329" t="str">
        <f>"40110072"</f>
        <v>40110072</v>
      </c>
      <c r="H2329" t="s">
        <v>1868</v>
      </c>
      <c r="J2329" s="4">
        <v>4784</v>
      </c>
    </row>
    <row r="2330" spans="1:10" hidden="1" outlineLevel="2" x14ac:dyDescent="0.35">
      <c r="A2330" t="s">
        <v>1873</v>
      </c>
      <c r="B2330" s="1">
        <v>45720</v>
      </c>
      <c r="C2330" t="str">
        <f>"46"</f>
        <v>46</v>
      </c>
      <c r="F2330" t="str">
        <f t="shared" si="65"/>
        <v>40110000</v>
      </c>
      <c r="G2330" t="str">
        <f>"40110341"</f>
        <v>40110341</v>
      </c>
      <c r="H2330" t="s">
        <v>1877</v>
      </c>
      <c r="J2330" s="4">
        <v>1492995</v>
      </c>
    </row>
    <row r="2331" spans="1:10" hidden="1" outlineLevel="2" x14ac:dyDescent="0.35">
      <c r="A2331" t="s">
        <v>1873</v>
      </c>
      <c r="B2331" s="1">
        <v>45720</v>
      </c>
      <c r="C2331" t="str">
        <f>"47"</f>
        <v>47</v>
      </c>
      <c r="F2331" t="str">
        <f t="shared" si="65"/>
        <v>40110000</v>
      </c>
      <c r="G2331" t="str">
        <f>"40110330"</f>
        <v>40110330</v>
      </c>
      <c r="H2331" t="s">
        <v>1878</v>
      </c>
      <c r="J2331" s="4">
        <v>2224189</v>
      </c>
    </row>
    <row r="2332" spans="1:10" hidden="1" outlineLevel="2" x14ac:dyDescent="0.35">
      <c r="A2332" t="s">
        <v>1873</v>
      </c>
      <c r="B2332" s="1">
        <v>45720</v>
      </c>
      <c r="C2332" t="str">
        <f>"48"</f>
        <v>48</v>
      </c>
      <c r="F2332" t="str">
        <f t="shared" si="65"/>
        <v>40110000</v>
      </c>
      <c r="G2332" t="str">
        <f>"40120684"</f>
        <v>40120684</v>
      </c>
      <c r="H2332" t="s">
        <v>1879</v>
      </c>
      <c r="J2332" s="4">
        <v>2359000</v>
      </c>
    </row>
    <row r="2333" spans="1:10" hidden="1" outlineLevel="2" x14ac:dyDescent="0.35">
      <c r="A2333" t="s">
        <v>1873</v>
      </c>
      <c r="B2333" s="1">
        <v>45720</v>
      </c>
      <c r="C2333" t="str">
        <f>"49"</f>
        <v>49</v>
      </c>
      <c r="F2333" t="str">
        <f t="shared" si="65"/>
        <v>40110000</v>
      </c>
      <c r="G2333" t="str">
        <f>"40120662"</f>
        <v>40120662</v>
      </c>
      <c r="H2333" t="s">
        <v>1880</v>
      </c>
      <c r="J2333" s="4">
        <v>814200</v>
      </c>
    </row>
    <row r="2334" spans="1:10" hidden="1" outlineLevel="2" x14ac:dyDescent="0.35">
      <c r="A2334" t="s">
        <v>1873</v>
      </c>
      <c r="B2334" s="1">
        <v>45720</v>
      </c>
      <c r="C2334" t="str">
        <f>"50"</f>
        <v>50</v>
      </c>
      <c r="F2334" t="str">
        <f t="shared" si="65"/>
        <v>40110000</v>
      </c>
      <c r="G2334" t="str">
        <f>"40112043"</f>
        <v>40112043</v>
      </c>
      <c r="H2334" t="s">
        <v>1881</v>
      </c>
      <c r="J2334" s="4">
        <v>880125</v>
      </c>
    </row>
    <row r="2335" spans="1:10" hidden="1" outlineLevel="2" x14ac:dyDescent="0.35">
      <c r="A2335" t="s">
        <v>1873</v>
      </c>
      <c r="B2335" s="1">
        <v>45720</v>
      </c>
      <c r="C2335" t="str">
        <f>"52"</f>
        <v>52</v>
      </c>
      <c r="F2335" t="str">
        <f t="shared" si="65"/>
        <v>40110000</v>
      </c>
      <c r="G2335" t="str">
        <f>"40110341"</f>
        <v>40110341</v>
      </c>
      <c r="H2335" t="s">
        <v>1882</v>
      </c>
      <c r="J2335" s="4">
        <v>-1492995</v>
      </c>
    </row>
    <row r="2336" spans="1:10" hidden="1" outlineLevel="2" x14ac:dyDescent="0.35">
      <c r="A2336" t="s">
        <v>1873</v>
      </c>
      <c r="B2336" s="1">
        <v>45722</v>
      </c>
      <c r="C2336" t="str">
        <f>"53"</f>
        <v>53</v>
      </c>
      <c r="F2336" t="str">
        <f t="shared" si="65"/>
        <v>40110000</v>
      </c>
      <c r="G2336" t="str">
        <f>"40110341"</f>
        <v>40110341</v>
      </c>
      <c r="H2336" t="s">
        <v>1884</v>
      </c>
      <c r="J2336" s="4">
        <v>1492995</v>
      </c>
    </row>
    <row r="2337" spans="1:10" hidden="1" outlineLevel="2" x14ac:dyDescent="0.35">
      <c r="A2337" t="s">
        <v>1873</v>
      </c>
      <c r="B2337" s="1">
        <v>45730</v>
      </c>
      <c r="C2337" t="str">
        <f>"54"</f>
        <v>54</v>
      </c>
      <c r="F2337" t="str">
        <f t="shared" si="65"/>
        <v>40110000</v>
      </c>
      <c r="G2337" t="s">
        <v>1887</v>
      </c>
      <c r="H2337" t="s">
        <v>1888</v>
      </c>
      <c r="J2337" s="4">
        <v>4321180</v>
      </c>
    </row>
    <row r="2338" spans="1:10" hidden="1" outlineLevel="2" x14ac:dyDescent="0.35">
      <c r="A2338" t="s">
        <v>1873</v>
      </c>
      <c r="B2338" s="1">
        <v>45736</v>
      </c>
      <c r="C2338" t="str">
        <f>"64"</f>
        <v>64</v>
      </c>
      <c r="F2338" t="str">
        <f t="shared" si="65"/>
        <v>40110000</v>
      </c>
      <c r="G2338" t="str">
        <f>"40110133"</f>
        <v>40110133</v>
      </c>
      <c r="H2338" t="s">
        <v>1891</v>
      </c>
      <c r="J2338" s="4">
        <v>324615</v>
      </c>
    </row>
    <row r="2339" spans="1:10" hidden="1" outlineLevel="2" x14ac:dyDescent="0.35">
      <c r="A2339" t="s">
        <v>1873</v>
      </c>
      <c r="B2339" s="1">
        <v>45737</v>
      </c>
      <c r="C2339" t="str">
        <f>"65"</f>
        <v>65</v>
      </c>
      <c r="F2339" t="str">
        <f t="shared" si="65"/>
        <v>40110000</v>
      </c>
      <c r="G2339" t="s">
        <v>1887</v>
      </c>
      <c r="H2339" t="s">
        <v>1888</v>
      </c>
      <c r="J2339" s="4">
        <v>2073175</v>
      </c>
    </row>
    <row r="2340" spans="1:10" hidden="1" outlineLevel="2" x14ac:dyDescent="0.35">
      <c r="A2340" t="s">
        <v>1892</v>
      </c>
      <c r="B2340" s="1">
        <v>45717</v>
      </c>
      <c r="C2340" t="str">
        <f>"47"</f>
        <v>47</v>
      </c>
      <c r="F2340" t="str">
        <f t="shared" si="65"/>
        <v>40110000</v>
      </c>
      <c r="G2340" t="str">
        <f>"40110340"</f>
        <v>40110340</v>
      </c>
      <c r="H2340" t="s">
        <v>1893</v>
      </c>
      <c r="J2340" s="4">
        <v>4115885</v>
      </c>
    </row>
    <row r="2341" spans="1:10" hidden="1" outlineLevel="2" x14ac:dyDescent="0.35">
      <c r="A2341" t="s">
        <v>1892</v>
      </c>
      <c r="B2341" s="1">
        <v>45736</v>
      </c>
      <c r="C2341" t="str">
        <f>"50"</f>
        <v>50</v>
      </c>
      <c r="F2341" t="str">
        <f t="shared" si="65"/>
        <v>40110000</v>
      </c>
      <c r="G2341" t="str">
        <f>"40110001"</f>
        <v>40110001</v>
      </c>
      <c r="H2341" t="s">
        <v>1906</v>
      </c>
      <c r="J2341" s="4">
        <v>1000000</v>
      </c>
    </row>
    <row r="2342" spans="1:10" hidden="1" outlineLevel="2" x14ac:dyDescent="0.35">
      <c r="A2342" t="s">
        <v>1892</v>
      </c>
      <c r="B2342" s="1">
        <v>45736</v>
      </c>
      <c r="C2342" t="str">
        <f>"51"</f>
        <v>51</v>
      </c>
      <c r="F2342" t="str">
        <f t="shared" si="65"/>
        <v>40110000</v>
      </c>
      <c r="G2342" t="str">
        <f>"40111083"</f>
        <v>40111083</v>
      </c>
      <c r="H2342" t="s">
        <v>1907</v>
      </c>
      <c r="J2342" s="4">
        <v>136880</v>
      </c>
    </row>
    <row r="2343" spans="1:10" hidden="1" outlineLevel="2" x14ac:dyDescent="0.35">
      <c r="A2343" t="s">
        <v>1892</v>
      </c>
      <c r="B2343" s="1">
        <v>45741</v>
      </c>
      <c r="C2343" t="str">
        <f>"54"</f>
        <v>54</v>
      </c>
      <c r="F2343" t="str">
        <f t="shared" si="65"/>
        <v>40110000</v>
      </c>
      <c r="G2343" t="str">
        <f>"40111083"</f>
        <v>40111083</v>
      </c>
      <c r="H2343" t="s">
        <v>1910</v>
      </c>
      <c r="J2343" s="4">
        <v>91431</v>
      </c>
    </row>
    <row r="2344" spans="1:10" hidden="1" outlineLevel="2" x14ac:dyDescent="0.35">
      <c r="A2344" t="s">
        <v>1911</v>
      </c>
      <c r="B2344" s="1">
        <v>45719</v>
      </c>
      <c r="C2344" t="str">
        <f>"164"</f>
        <v>164</v>
      </c>
      <c r="F2344" t="str">
        <f t="shared" si="65"/>
        <v>40110000</v>
      </c>
      <c r="G2344" t="str">
        <f>"40110576"</f>
        <v>40110576</v>
      </c>
      <c r="H2344" t="s">
        <v>1912</v>
      </c>
      <c r="J2344" s="4">
        <v>794966</v>
      </c>
    </row>
    <row r="2345" spans="1:10" hidden="1" outlineLevel="2" x14ac:dyDescent="0.35">
      <c r="A2345" t="s">
        <v>1911</v>
      </c>
      <c r="B2345" s="1">
        <v>45720</v>
      </c>
      <c r="C2345" t="str">
        <f>"155"</f>
        <v>155</v>
      </c>
      <c r="F2345" t="str">
        <f t="shared" si="65"/>
        <v>40110000</v>
      </c>
      <c r="G2345" t="s">
        <v>1368</v>
      </c>
      <c r="H2345" t="s">
        <v>1915</v>
      </c>
      <c r="J2345" s="4">
        <v>14685000</v>
      </c>
    </row>
    <row r="2346" spans="1:10" hidden="1" outlineLevel="2" x14ac:dyDescent="0.35">
      <c r="A2346" t="s">
        <v>1911</v>
      </c>
      <c r="B2346" s="1">
        <v>45720</v>
      </c>
      <c r="C2346" t="str">
        <f>"156"</f>
        <v>156</v>
      </c>
      <c r="F2346" t="str">
        <f t="shared" si="65"/>
        <v>40110000</v>
      </c>
      <c r="G2346" t="str">
        <f>"40110038"</f>
        <v>40110038</v>
      </c>
      <c r="H2346" t="s">
        <v>1916</v>
      </c>
      <c r="J2346" s="4">
        <v>5269019</v>
      </c>
    </row>
    <row r="2347" spans="1:10" hidden="1" outlineLevel="2" x14ac:dyDescent="0.35">
      <c r="A2347" t="s">
        <v>1911</v>
      </c>
      <c r="B2347" s="1">
        <v>45720</v>
      </c>
      <c r="C2347" t="str">
        <f>"157"</f>
        <v>157</v>
      </c>
      <c r="F2347" t="str">
        <f t="shared" si="65"/>
        <v>40110000</v>
      </c>
      <c r="G2347" t="str">
        <f>"40112098"</f>
        <v>40112098</v>
      </c>
      <c r="H2347" t="s">
        <v>1917</v>
      </c>
      <c r="J2347" s="4">
        <v>2732875</v>
      </c>
    </row>
    <row r="2348" spans="1:10" hidden="1" outlineLevel="2" x14ac:dyDescent="0.35">
      <c r="A2348" t="s">
        <v>1911</v>
      </c>
      <c r="B2348" s="1">
        <v>45720</v>
      </c>
      <c r="C2348" t="str">
        <f>"158"</f>
        <v>158</v>
      </c>
      <c r="F2348" t="str">
        <f t="shared" si="65"/>
        <v>40110000</v>
      </c>
      <c r="G2348" t="str">
        <f>"40111022"</f>
        <v>40111022</v>
      </c>
      <c r="H2348" t="s">
        <v>1918</v>
      </c>
      <c r="J2348" s="4">
        <v>780000</v>
      </c>
    </row>
    <row r="2349" spans="1:10" hidden="1" outlineLevel="2" x14ac:dyDescent="0.35">
      <c r="A2349" t="s">
        <v>1911</v>
      </c>
      <c r="B2349" s="1">
        <v>45722</v>
      </c>
      <c r="C2349" t="str">
        <f>"167"</f>
        <v>167</v>
      </c>
      <c r="F2349" t="str">
        <f t="shared" si="65"/>
        <v>40110000</v>
      </c>
      <c r="G2349" t="str">
        <f>"40120686"</f>
        <v>40120686</v>
      </c>
      <c r="H2349" t="s">
        <v>1923</v>
      </c>
      <c r="J2349" s="4">
        <v>4950000</v>
      </c>
    </row>
    <row r="2350" spans="1:10" hidden="1" outlineLevel="2" x14ac:dyDescent="0.35">
      <c r="A2350" t="s">
        <v>1911</v>
      </c>
      <c r="B2350" s="1">
        <v>45723</v>
      </c>
      <c r="C2350" t="str">
        <f>"187"</f>
        <v>187</v>
      </c>
      <c r="F2350" t="str">
        <f t="shared" si="65"/>
        <v>40110000</v>
      </c>
      <c r="G2350" t="s">
        <v>1584</v>
      </c>
      <c r="H2350" t="s">
        <v>1925</v>
      </c>
      <c r="J2350" s="4">
        <v>2000000</v>
      </c>
    </row>
    <row r="2351" spans="1:10" hidden="1" outlineLevel="2" x14ac:dyDescent="0.35">
      <c r="A2351" t="s">
        <v>1911</v>
      </c>
      <c r="B2351" s="1">
        <v>45727</v>
      </c>
      <c r="C2351" t="str">
        <f>"170"</f>
        <v>170</v>
      </c>
      <c r="F2351" t="str">
        <f t="shared" si="65"/>
        <v>40110000</v>
      </c>
      <c r="G2351" t="str">
        <f>"40111022"</f>
        <v>40111022</v>
      </c>
      <c r="H2351" t="s">
        <v>1926</v>
      </c>
      <c r="J2351" s="4">
        <v>575000</v>
      </c>
    </row>
    <row r="2352" spans="1:10" hidden="1" outlineLevel="2" x14ac:dyDescent="0.35">
      <c r="A2352" t="s">
        <v>1911</v>
      </c>
      <c r="B2352" s="1">
        <v>45734</v>
      </c>
      <c r="C2352" t="str">
        <f>"182"</f>
        <v>182</v>
      </c>
      <c r="F2352" t="str">
        <f t="shared" si="65"/>
        <v>40110000</v>
      </c>
      <c r="G2352" t="str">
        <f>"40110941"</f>
        <v>40110941</v>
      </c>
      <c r="H2352" t="s">
        <v>1936</v>
      </c>
      <c r="J2352" s="4">
        <v>5709500</v>
      </c>
    </row>
    <row r="2353" spans="1:10" hidden="1" outlineLevel="2" x14ac:dyDescent="0.35">
      <c r="A2353" t="s">
        <v>1911</v>
      </c>
      <c r="B2353" s="1">
        <v>45737</v>
      </c>
      <c r="C2353" t="str">
        <f>"190"</f>
        <v>190</v>
      </c>
      <c r="F2353" t="str">
        <f t="shared" si="65"/>
        <v>40110000</v>
      </c>
      <c r="G2353" t="str">
        <f>"40111075"</f>
        <v>40111075</v>
      </c>
      <c r="H2353" t="s">
        <v>1938</v>
      </c>
      <c r="J2353" s="4">
        <v>512769</v>
      </c>
    </row>
    <row r="2354" spans="1:10" hidden="1" outlineLevel="2" x14ac:dyDescent="0.35">
      <c r="A2354" t="s">
        <v>1911</v>
      </c>
      <c r="B2354" s="1">
        <v>45737</v>
      </c>
      <c r="C2354" t="str">
        <f>"191"</f>
        <v>191</v>
      </c>
      <c r="F2354" t="str">
        <f t="shared" si="65"/>
        <v>40110000</v>
      </c>
      <c r="G2354" t="s">
        <v>1653</v>
      </c>
      <c r="H2354" t="s">
        <v>1939</v>
      </c>
      <c r="J2354" s="4">
        <v>4000000</v>
      </c>
    </row>
    <row r="2355" spans="1:10" hidden="1" outlineLevel="2" x14ac:dyDescent="0.35">
      <c r="A2355" t="s">
        <v>1911</v>
      </c>
      <c r="B2355" s="1">
        <v>45737</v>
      </c>
      <c r="C2355" t="str">
        <f>"192"</f>
        <v>192</v>
      </c>
      <c r="F2355" t="str">
        <f t="shared" si="65"/>
        <v>40110000</v>
      </c>
      <c r="G2355" t="s">
        <v>1834</v>
      </c>
      <c r="H2355" t="s">
        <v>1940</v>
      </c>
      <c r="J2355" s="4">
        <v>3000000</v>
      </c>
    </row>
    <row r="2356" spans="1:10" hidden="1" outlineLevel="2" x14ac:dyDescent="0.35">
      <c r="A2356" t="s">
        <v>1911</v>
      </c>
      <c r="B2356" s="1">
        <v>45737</v>
      </c>
      <c r="C2356" t="str">
        <f>"193"</f>
        <v>193</v>
      </c>
      <c r="F2356" t="str">
        <f t="shared" si="65"/>
        <v>40110000</v>
      </c>
      <c r="G2356" t="str">
        <f>"40110572"</f>
        <v>40110572</v>
      </c>
      <c r="H2356" t="s">
        <v>1941</v>
      </c>
      <c r="J2356" s="4">
        <v>565000</v>
      </c>
    </row>
    <row r="2357" spans="1:10" hidden="1" outlineLevel="2" x14ac:dyDescent="0.35">
      <c r="A2357" t="s">
        <v>1911</v>
      </c>
      <c r="B2357" s="1">
        <v>45741</v>
      </c>
      <c r="C2357" t="str">
        <f>"183"</f>
        <v>183</v>
      </c>
      <c r="F2357" t="str">
        <f t="shared" si="65"/>
        <v>40110000</v>
      </c>
      <c r="G2357" t="str">
        <f>"40110941"</f>
        <v>40110941</v>
      </c>
      <c r="H2357" t="s">
        <v>1943</v>
      </c>
      <c r="J2357" s="4">
        <v>5709500</v>
      </c>
    </row>
    <row r="2358" spans="1:10" hidden="1" outlineLevel="2" x14ac:dyDescent="0.35">
      <c r="A2358" t="s">
        <v>1911</v>
      </c>
      <c r="B2358" s="1">
        <v>45742</v>
      </c>
      <c r="C2358" t="str">
        <f>"204"</f>
        <v>204</v>
      </c>
      <c r="F2358" t="str">
        <f t="shared" si="65"/>
        <v>40110000</v>
      </c>
      <c r="G2358" t="s">
        <v>1368</v>
      </c>
      <c r="H2358" t="s">
        <v>1945</v>
      </c>
      <c r="J2358" s="4">
        <v>8240000</v>
      </c>
    </row>
    <row r="2359" spans="1:10" hidden="1" outlineLevel="2" x14ac:dyDescent="0.35">
      <c r="A2359" t="s">
        <v>1911</v>
      </c>
      <c r="B2359" s="1">
        <v>45742</v>
      </c>
      <c r="C2359" t="str">
        <f>"244"</f>
        <v>244</v>
      </c>
      <c r="F2359" t="str">
        <f t="shared" si="65"/>
        <v>40110000</v>
      </c>
      <c r="G2359" t="s">
        <v>1365</v>
      </c>
      <c r="H2359" t="s">
        <v>1794</v>
      </c>
      <c r="J2359" s="4">
        <v>13120000</v>
      </c>
    </row>
    <row r="2360" spans="1:10" hidden="1" outlineLevel="2" x14ac:dyDescent="0.35">
      <c r="A2360" t="s">
        <v>1911</v>
      </c>
      <c r="B2360" s="1">
        <v>45744</v>
      </c>
      <c r="C2360" t="str">
        <f>"199"</f>
        <v>199</v>
      </c>
      <c r="F2360" t="str">
        <f t="shared" si="65"/>
        <v>40110000</v>
      </c>
      <c r="G2360" t="str">
        <f>"40110499"</f>
        <v>40110499</v>
      </c>
      <c r="H2360" t="s">
        <v>1977</v>
      </c>
      <c r="J2360" s="4">
        <v>8017200</v>
      </c>
    </row>
    <row r="2361" spans="1:10" hidden="1" outlineLevel="2" x14ac:dyDescent="0.35">
      <c r="A2361" t="s">
        <v>1911</v>
      </c>
      <c r="B2361" s="1">
        <v>45744</v>
      </c>
      <c r="C2361" t="str">
        <f>"200"</f>
        <v>200</v>
      </c>
      <c r="F2361" t="str">
        <f t="shared" si="65"/>
        <v>40110000</v>
      </c>
      <c r="G2361" t="str">
        <f>"40110579"</f>
        <v>40110579</v>
      </c>
      <c r="H2361" t="s">
        <v>1978</v>
      </c>
      <c r="J2361" s="4">
        <v>150000</v>
      </c>
    </row>
    <row r="2362" spans="1:10" hidden="1" outlineLevel="2" x14ac:dyDescent="0.35">
      <c r="A2362" t="s">
        <v>1911</v>
      </c>
      <c r="B2362" s="1">
        <v>45744</v>
      </c>
      <c r="C2362" t="str">
        <f>"201"</f>
        <v>201</v>
      </c>
      <c r="F2362" t="str">
        <f t="shared" si="65"/>
        <v>40110000</v>
      </c>
      <c r="G2362" t="str">
        <f>"40110486"</f>
        <v>40110486</v>
      </c>
      <c r="H2362" t="s">
        <v>1979</v>
      </c>
      <c r="J2362" s="4">
        <v>345000</v>
      </c>
    </row>
    <row r="2363" spans="1:10" hidden="1" outlineLevel="2" x14ac:dyDescent="0.35">
      <c r="A2363" t="s">
        <v>1911</v>
      </c>
      <c r="B2363" s="1">
        <v>45744</v>
      </c>
      <c r="C2363" t="str">
        <f>"203"</f>
        <v>203</v>
      </c>
      <c r="F2363" t="str">
        <f t="shared" si="65"/>
        <v>40110000</v>
      </c>
      <c r="G2363" t="s">
        <v>1387</v>
      </c>
      <c r="H2363" t="s">
        <v>1980</v>
      </c>
      <c r="J2363" s="4">
        <v>4200000</v>
      </c>
    </row>
    <row r="2364" spans="1:10" hidden="1" outlineLevel="2" x14ac:dyDescent="0.35">
      <c r="A2364" t="s">
        <v>1911</v>
      </c>
      <c r="B2364" s="1">
        <v>45744</v>
      </c>
      <c r="C2364" t="str">
        <f>"235"</f>
        <v>235</v>
      </c>
      <c r="F2364" t="str">
        <f t="shared" si="65"/>
        <v>40110000</v>
      </c>
      <c r="G2364" t="s">
        <v>1584</v>
      </c>
      <c r="H2364" t="s">
        <v>1982</v>
      </c>
      <c r="J2364" s="4">
        <v>2000000</v>
      </c>
    </row>
    <row r="2365" spans="1:10" hidden="1" outlineLevel="2" x14ac:dyDescent="0.35">
      <c r="A2365" t="s">
        <v>1986</v>
      </c>
      <c r="B2365" s="1">
        <v>45717</v>
      </c>
      <c r="C2365" t="str">
        <f>"52"</f>
        <v>52</v>
      </c>
      <c r="F2365" t="str">
        <f t="shared" si="65"/>
        <v>40110000</v>
      </c>
      <c r="G2365" t="str">
        <f>"40110261"</f>
        <v>40110261</v>
      </c>
      <c r="H2365" t="s">
        <v>1988</v>
      </c>
      <c r="J2365" s="4">
        <v>12449000</v>
      </c>
    </row>
    <row r="2366" spans="1:10" hidden="1" outlineLevel="2" x14ac:dyDescent="0.35">
      <c r="A2366" t="s">
        <v>1986</v>
      </c>
      <c r="B2366" s="1">
        <v>45728</v>
      </c>
      <c r="C2366" t="str">
        <f>"42"</f>
        <v>42</v>
      </c>
      <c r="F2366" t="str">
        <f t="shared" si="65"/>
        <v>40110000</v>
      </c>
      <c r="G2366" t="str">
        <f>"40110941"</f>
        <v>40110941</v>
      </c>
      <c r="H2366" t="s">
        <v>1991</v>
      </c>
      <c r="J2366" s="4">
        <v>12036000</v>
      </c>
    </row>
    <row r="2367" spans="1:10" hidden="1" outlineLevel="2" x14ac:dyDescent="0.35">
      <c r="A2367" t="s">
        <v>1986</v>
      </c>
      <c r="B2367" s="1">
        <v>45728</v>
      </c>
      <c r="C2367" t="str">
        <f>"53"</f>
        <v>53</v>
      </c>
      <c r="F2367" t="str">
        <f t="shared" si="65"/>
        <v>40110000</v>
      </c>
      <c r="G2367" t="s">
        <v>1588</v>
      </c>
      <c r="H2367" t="s">
        <v>1992</v>
      </c>
      <c r="J2367" s="4">
        <v>6018100</v>
      </c>
    </row>
    <row r="2368" spans="1:10" hidden="1" outlineLevel="2" x14ac:dyDescent="0.35">
      <c r="A2368" t="s">
        <v>1986</v>
      </c>
      <c r="B2368" s="1">
        <v>45728</v>
      </c>
      <c r="C2368" t="str">
        <f>"54"</f>
        <v>54</v>
      </c>
      <c r="F2368" t="str">
        <f t="shared" si="65"/>
        <v>40110000</v>
      </c>
      <c r="G2368" t="str">
        <f>"40110081"</f>
        <v>40110081</v>
      </c>
      <c r="H2368" t="s">
        <v>1993</v>
      </c>
      <c r="J2368" s="4">
        <v>4015063</v>
      </c>
    </row>
    <row r="2369" spans="1:11" hidden="1" outlineLevel="2" x14ac:dyDescent="0.35">
      <c r="A2369" t="s">
        <v>1986</v>
      </c>
      <c r="B2369" s="1">
        <v>45728</v>
      </c>
      <c r="C2369" t="str">
        <f>"56"</f>
        <v>56</v>
      </c>
      <c r="F2369" t="str">
        <f t="shared" si="65"/>
        <v>40110000</v>
      </c>
      <c r="G2369" t="str">
        <f>"40110812"</f>
        <v>40110812</v>
      </c>
      <c r="H2369" t="s">
        <v>1995</v>
      </c>
      <c r="J2369" s="4">
        <v>84960</v>
      </c>
    </row>
    <row r="2370" spans="1:11" hidden="1" outlineLevel="2" x14ac:dyDescent="0.35">
      <c r="A2370" t="s">
        <v>1986</v>
      </c>
      <c r="B2370" s="1">
        <v>45728</v>
      </c>
      <c r="C2370" t="str">
        <f>"60"</f>
        <v>60</v>
      </c>
      <c r="F2370" t="str">
        <f t="shared" ref="F2370:F2421" si="67">"40110000"</f>
        <v>40110000</v>
      </c>
      <c r="G2370" t="str">
        <f>"40110397"</f>
        <v>40110397</v>
      </c>
      <c r="H2370" t="s">
        <v>1996</v>
      </c>
      <c r="J2370" s="4">
        <v>15260600</v>
      </c>
    </row>
    <row r="2371" spans="1:11" hidden="1" outlineLevel="2" x14ac:dyDescent="0.35">
      <c r="A2371" t="s">
        <v>1986</v>
      </c>
      <c r="B2371" s="1">
        <v>45729</v>
      </c>
      <c r="C2371" t="str">
        <f>"59"</f>
        <v>59</v>
      </c>
      <c r="F2371" t="str">
        <f t="shared" si="67"/>
        <v>40110000</v>
      </c>
      <c r="G2371" t="str">
        <f>"40111047"</f>
        <v>40111047</v>
      </c>
      <c r="H2371" t="s">
        <v>2001</v>
      </c>
      <c r="J2371" s="4">
        <v>424800</v>
      </c>
    </row>
    <row r="2372" spans="1:11" hidden="1" outlineLevel="2" x14ac:dyDescent="0.35">
      <c r="A2372" t="s">
        <v>1986</v>
      </c>
      <c r="B2372" s="1">
        <v>45730</v>
      </c>
      <c r="C2372" t="str">
        <f>"63"</f>
        <v>63</v>
      </c>
      <c r="F2372" t="str">
        <f t="shared" si="67"/>
        <v>40110000</v>
      </c>
      <c r="G2372" t="s">
        <v>1584</v>
      </c>
      <c r="H2372" t="s">
        <v>2003</v>
      </c>
      <c r="J2372" s="4">
        <v>2000000</v>
      </c>
    </row>
    <row r="2373" spans="1:11" hidden="1" outlineLevel="2" x14ac:dyDescent="0.35">
      <c r="A2373" t="s">
        <v>1986</v>
      </c>
      <c r="B2373" s="1">
        <v>45736</v>
      </c>
      <c r="C2373" t="str">
        <f>"75"</f>
        <v>75</v>
      </c>
      <c r="F2373" t="str">
        <f t="shared" si="67"/>
        <v>40110000</v>
      </c>
      <c r="G2373" t="str">
        <f>"40119054"</f>
        <v>40119054</v>
      </c>
      <c r="H2373" t="s">
        <v>2007</v>
      </c>
      <c r="J2373" s="4">
        <v>172800</v>
      </c>
    </row>
    <row r="2374" spans="1:11" hidden="1" outlineLevel="2" x14ac:dyDescent="0.35">
      <c r="A2374" t="s">
        <v>1986</v>
      </c>
      <c r="B2374" s="1">
        <v>45736</v>
      </c>
      <c r="C2374" t="str">
        <f>"76"</f>
        <v>76</v>
      </c>
      <c r="F2374" t="str">
        <f t="shared" si="67"/>
        <v>40110000</v>
      </c>
      <c r="G2374" t="str">
        <f>"40110015"</f>
        <v>40110015</v>
      </c>
      <c r="H2374" t="s">
        <v>2008</v>
      </c>
      <c r="J2374" s="4">
        <v>519200</v>
      </c>
    </row>
    <row r="2375" spans="1:11" hidden="1" outlineLevel="2" x14ac:dyDescent="0.35">
      <c r="A2375" t="s">
        <v>1986</v>
      </c>
      <c r="B2375" s="1">
        <v>45736</v>
      </c>
      <c r="C2375" t="str">
        <f>"77"</f>
        <v>77</v>
      </c>
      <c r="F2375" t="str">
        <f t="shared" si="67"/>
        <v>40110000</v>
      </c>
      <c r="G2375" t="str">
        <f>"40110860"</f>
        <v>40110860</v>
      </c>
      <c r="H2375" t="s">
        <v>2009</v>
      </c>
      <c r="J2375" s="4">
        <v>660001</v>
      </c>
    </row>
    <row r="2376" spans="1:11" hidden="1" outlineLevel="2" x14ac:dyDescent="0.35">
      <c r="A2376" t="s">
        <v>2337</v>
      </c>
      <c r="B2376" s="1">
        <v>45720</v>
      </c>
      <c r="C2376" t="str">
        <f>"656"</f>
        <v>656</v>
      </c>
      <c r="E2376" t="str">
        <f>"17275"</f>
        <v>17275</v>
      </c>
      <c r="F2376" t="str">
        <f t="shared" si="67"/>
        <v>40110000</v>
      </c>
      <c r="G2376" t="str">
        <f>"40110485"</f>
        <v>40110485</v>
      </c>
      <c r="H2376" t="s">
        <v>2352</v>
      </c>
      <c r="J2376" s="4">
        <v>96000</v>
      </c>
    </row>
    <row r="2377" spans="1:11" hidden="1" outlineLevel="2" x14ac:dyDescent="0.35">
      <c r="A2377" t="s">
        <v>2337</v>
      </c>
      <c r="B2377" s="1">
        <v>45721</v>
      </c>
      <c r="C2377" t="str">
        <f>"667"</f>
        <v>667</v>
      </c>
      <c r="E2377" t="str">
        <f>"17287"</f>
        <v>17287</v>
      </c>
      <c r="F2377" t="str">
        <f t="shared" si="67"/>
        <v>40110000</v>
      </c>
      <c r="G2377" t="str">
        <f>"40120670"</f>
        <v>40120670</v>
      </c>
      <c r="H2377" t="s">
        <v>2371</v>
      </c>
      <c r="J2377" s="4">
        <v>25204</v>
      </c>
    </row>
    <row r="2378" spans="1:11" hidden="1" outlineLevel="2" x14ac:dyDescent="0.35">
      <c r="A2378" t="s">
        <v>2337</v>
      </c>
      <c r="B2378" s="1">
        <v>45721</v>
      </c>
      <c r="C2378" t="str">
        <f>"668"</f>
        <v>668</v>
      </c>
      <c r="E2378" t="str">
        <f>"17288"</f>
        <v>17288</v>
      </c>
      <c r="F2378" t="str">
        <f t="shared" si="67"/>
        <v>40110000</v>
      </c>
      <c r="G2378" t="str">
        <f>"40110268"</f>
        <v>40110268</v>
      </c>
      <c r="H2378" t="s">
        <v>2372</v>
      </c>
      <c r="J2378" s="4">
        <v>23600</v>
      </c>
    </row>
    <row r="2379" spans="1:11" hidden="1" outlineLevel="2" x14ac:dyDescent="0.35">
      <c r="A2379" t="s">
        <v>2337</v>
      </c>
      <c r="B2379" s="1">
        <v>45723</v>
      </c>
      <c r="C2379" t="str">
        <f>"694"</f>
        <v>694</v>
      </c>
      <c r="E2379" t="str">
        <f>"17313"</f>
        <v>17313</v>
      </c>
      <c r="F2379" t="str">
        <f t="shared" si="67"/>
        <v>40110000</v>
      </c>
      <c r="G2379" t="s">
        <v>1584</v>
      </c>
      <c r="H2379" t="s">
        <v>2411</v>
      </c>
      <c r="J2379" s="4">
        <v>1000000</v>
      </c>
    </row>
    <row r="2380" spans="1:11" hidden="1" outlineLevel="2" x14ac:dyDescent="0.35">
      <c r="A2380" t="s">
        <v>2337</v>
      </c>
      <c r="B2380" s="1">
        <v>45726</v>
      </c>
      <c r="C2380" t="str">
        <f>"697"</f>
        <v>697</v>
      </c>
      <c r="E2380" t="str">
        <f>"17316"</f>
        <v>17316</v>
      </c>
      <c r="F2380" t="str">
        <f t="shared" si="67"/>
        <v>40110000</v>
      </c>
      <c r="G2380" t="str">
        <f>"40111985"</f>
        <v>40111985</v>
      </c>
      <c r="H2380" t="s">
        <v>2414</v>
      </c>
      <c r="J2380" s="4">
        <v>74104</v>
      </c>
    </row>
    <row r="2381" spans="1:11" hidden="1" outlineLevel="2" x14ac:dyDescent="0.35">
      <c r="A2381" t="s">
        <v>2337</v>
      </c>
      <c r="B2381" s="1">
        <v>45726</v>
      </c>
      <c r="C2381" t="str">
        <f>"699"</f>
        <v>699</v>
      </c>
      <c r="E2381" t="str">
        <f>"17318"</f>
        <v>17318</v>
      </c>
      <c r="F2381" t="str">
        <f t="shared" si="67"/>
        <v>40110000</v>
      </c>
      <c r="G2381" t="str">
        <f>"40110572"</f>
        <v>40110572</v>
      </c>
      <c r="H2381" t="s">
        <v>2416</v>
      </c>
      <c r="J2381" s="4">
        <v>220000</v>
      </c>
    </row>
    <row r="2382" spans="1:11" hidden="1" outlineLevel="2" x14ac:dyDescent="0.35">
      <c r="A2382" t="s">
        <v>2337</v>
      </c>
      <c r="B2382" s="1">
        <v>45727</v>
      </c>
      <c r="C2382" t="str">
        <f>"727"</f>
        <v>727</v>
      </c>
      <c r="E2382" t="str">
        <f>"17346"</f>
        <v>17346</v>
      </c>
      <c r="F2382" t="str">
        <f t="shared" si="67"/>
        <v>40110000</v>
      </c>
      <c r="G2382" t="str">
        <f>"40110014"</f>
        <v>40110014</v>
      </c>
      <c r="H2382" t="s">
        <v>2453</v>
      </c>
      <c r="J2382" s="4">
        <v>34000</v>
      </c>
    </row>
    <row r="2383" spans="1:11" hidden="1" outlineLevel="2" x14ac:dyDescent="0.35">
      <c r="A2383" t="s">
        <v>2337</v>
      </c>
      <c r="B2383" s="1">
        <v>45728</v>
      </c>
      <c r="C2383" t="str">
        <f>"734"</f>
        <v>734</v>
      </c>
      <c r="E2383" t="str">
        <f>"17353"</f>
        <v>17353</v>
      </c>
      <c r="F2383" t="str">
        <f t="shared" si="67"/>
        <v>40110000</v>
      </c>
      <c r="G2383" t="str">
        <f>"40110603"</f>
        <v>40110603</v>
      </c>
      <c r="H2383" t="s">
        <v>2464</v>
      </c>
      <c r="K2383" s="4">
        <v>1660</v>
      </c>
    </row>
    <row r="2384" spans="1:11" hidden="1" outlineLevel="2" x14ac:dyDescent="0.35">
      <c r="A2384" t="s">
        <v>2337</v>
      </c>
      <c r="B2384" s="1">
        <v>45729</v>
      </c>
      <c r="C2384" t="str">
        <f>"748"</f>
        <v>748</v>
      </c>
      <c r="E2384" t="str">
        <f>"17367"</f>
        <v>17367</v>
      </c>
      <c r="F2384" t="str">
        <f t="shared" si="67"/>
        <v>40110000</v>
      </c>
      <c r="G2384" t="str">
        <f>"40110001"</f>
        <v>40110001</v>
      </c>
      <c r="H2384" t="s">
        <v>2487</v>
      </c>
      <c r="J2384" s="4">
        <v>170000</v>
      </c>
    </row>
    <row r="2385" spans="1:10" hidden="1" outlineLevel="2" x14ac:dyDescent="0.35">
      <c r="A2385" t="s">
        <v>2337</v>
      </c>
      <c r="B2385" s="1">
        <v>45730</v>
      </c>
      <c r="C2385" t="str">
        <f>"764"</f>
        <v>764</v>
      </c>
      <c r="E2385" t="str">
        <f>"17383"</f>
        <v>17383</v>
      </c>
      <c r="F2385" t="str">
        <f t="shared" si="67"/>
        <v>40110000</v>
      </c>
      <c r="G2385" t="str">
        <f>"40110014"</f>
        <v>40110014</v>
      </c>
      <c r="H2385" t="s">
        <v>2508</v>
      </c>
      <c r="J2385" s="4">
        <v>-34000</v>
      </c>
    </row>
    <row r="2386" spans="1:10" hidden="1" outlineLevel="2" x14ac:dyDescent="0.35">
      <c r="A2386" t="s">
        <v>2337</v>
      </c>
      <c r="B2386" s="1">
        <v>45730</v>
      </c>
      <c r="C2386" t="str">
        <f>"765"</f>
        <v>765</v>
      </c>
      <c r="E2386" t="str">
        <f>"17384"</f>
        <v>17384</v>
      </c>
      <c r="F2386" t="str">
        <f t="shared" si="67"/>
        <v>40110000</v>
      </c>
      <c r="G2386" t="str">
        <f>"40110496"</f>
        <v>40110496</v>
      </c>
      <c r="H2386" t="s">
        <v>2509</v>
      </c>
      <c r="J2386" s="4">
        <v>17000</v>
      </c>
    </row>
    <row r="2387" spans="1:10" hidden="1" outlineLevel="2" x14ac:dyDescent="0.35">
      <c r="A2387" t="s">
        <v>2337</v>
      </c>
      <c r="B2387" s="1">
        <v>45735</v>
      </c>
      <c r="C2387" t="str">
        <f>"804"</f>
        <v>804</v>
      </c>
      <c r="E2387" t="str">
        <f>"17460"</f>
        <v>17460</v>
      </c>
      <c r="F2387" t="str">
        <f t="shared" si="67"/>
        <v>40110000</v>
      </c>
      <c r="G2387" t="str">
        <f>"40110485"</f>
        <v>40110485</v>
      </c>
      <c r="H2387" t="s">
        <v>2546</v>
      </c>
      <c r="J2387" s="4">
        <v>96000</v>
      </c>
    </row>
    <row r="2388" spans="1:10" hidden="1" outlineLevel="2" x14ac:dyDescent="0.35">
      <c r="A2388" t="s">
        <v>2337</v>
      </c>
      <c r="B2388" s="1">
        <v>45735</v>
      </c>
      <c r="C2388" t="str">
        <f>"805"</f>
        <v>805</v>
      </c>
      <c r="E2388" t="str">
        <f>"17461"</f>
        <v>17461</v>
      </c>
      <c r="F2388" t="str">
        <f t="shared" si="67"/>
        <v>40110000</v>
      </c>
      <c r="G2388" t="str">
        <f>"40110485"</f>
        <v>40110485</v>
      </c>
      <c r="H2388" t="s">
        <v>2547</v>
      </c>
      <c r="J2388" s="4">
        <v>48000</v>
      </c>
    </row>
    <row r="2389" spans="1:10" hidden="1" outlineLevel="2" x14ac:dyDescent="0.35">
      <c r="A2389" t="s">
        <v>2337</v>
      </c>
      <c r="B2389" s="1">
        <v>45736</v>
      </c>
      <c r="C2389" t="str">
        <f>"814"</f>
        <v>814</v>
      </c>
      <c r="E2389" t="str">
        <f>"17470"</f>
        <v>17470</v>
      </c>
      <c r="F2389" t="str">
        <f t="shared" si="67"/>
        <v>40110000</v>
      </c>
      <c r="G2389" t="str">
        <f>"40110579"</f>
        <v>40110579</v>
      </c>
      <c r="H2389" t="s">
        <v>2557</v>
      </c>
      <c r="J2389" s="4">
        <v>150000</v>
      </c>
    </row>
    <row r="2390" spans="1:10" hidden="1" outlineLevel="2" x14ac:dyDescent="0.35">
      <c r="A2390" t="s">
        <v>2337</v>
      </c>
      <c r="B2390" s="1">
        <v>45737</v>
      </c>
      <c r="C2390" t="str">
        <f>"819"</f>
        <v>819</v>
      </c>
      <c r="E2390" t="str">
        <f>"17475"</f>
        <v>17475</v>
      </c>
      <c r="F2390" t="str">
        <f t="shared" si="67"/>
        <v>40110000</v>
      </c>
      <c r="G2390" t="s">
        <v>1584</v>
      </c>
      <c r="H2390" t="s">
        <v>2567</v>
      </c>
      <c r="J2390" s="4">
        <v>100000</v>
      </c>
    </row>
    <row r="2391" spans="1:10" hidden="1" outlineLevel="2" x14ac:dyDescent="0.35">
      <c r="A2391" t="s">
        <v>2337</v>
      </c>
      <c r="B2391" s="1">
        <v>45744</v>
      </c>
      <c r="C2391" t="str">
        <f>"869"</f>
        <v>869</v>
      </c>
      <c r="E2391" t="str">
        <f>"15875"</f>
        <v>15875</v>
      </c>
      <c r="F2391" t="str">
        <f t="shared" si="67"/>
        <v>40110000</v>
      </c>
      <c r="G2391" t="str">
        <f>"40120670"</f>
        <v>40120670</v>
      </c>
      <c r="H2391" t="s">
        <v>2627</v>
      </c>
      <c r="J2391" s="4">
        <v>-25200</v>
      </c>
    </row>
    <row r="2392" spans="1:10" hidden="1" outlineLevel="2" x14ac:dyDescent="0.35">
      <c r="A2392" t="s">
        <v>2337</v>
      </c>
      <c r="B2392" s="1">
        <v>45744</v>
      </c>
      <c r="C2392" t="str">
        <f>"870"</f>
        <v>870</v>
      </c>
      <c r="E2392" t="str">
        <f>"15876"</f>
        <v>15876</v>
      </c>
      <c r="F2392" t="str">
        <f t="shared" si="67"/>
        <v>40110000</v>
      </c>
      <c r="G2392" t="str">
        <f>"40110613"</f>
        <v>40110613</v>
      </c>
      <c r="H2392" t="s">
        <v>2628</v>
      </c>
      <c r="J2392" s="4">
        <v>15366</v>
      </c>
    </row>
    <row r="2393" spans="1:10" hidden="1" outlineLevel="2" x14ac:dyDescent="0.35">
      <c r="A2393" t="s">
        <v>75</v>
      </c>
      <c r="B2393" s="1">
        <v>45721</v>
      </c>
      <c r="C2393" t="str">
        <f>"1"</f>
        <v>1</v>
      </c>
      <c r="D2393" t="s">
        <v>2697</v>
      </c>
      <c r="E2393" t="s">
        <v>2698</v>
      </c>
      <c r="F2393" t="str">
        <f t="shared" si="67"/>
        <v>40110000</v>
      </c>
      <c r="G2393" t="str">
        <f>"40112047"</f>
        <v>40112047</v>
      </c>
      <c r="H2393" t="s">
        <v>2699</v>
      </c>
      <c r="I2393" s="1">
        <v>45721</v>
      </c>
      <c r="J2393" s="4">
        <v>9001813</v>
      </c>
    </row>
    <row r="2394" spans="1:10" hidden="1" outlineLevel="2" x14ac:dyDescent="0.35">
      <c r="A2394" t="s">
        <v>75</v>
      </c>
      <c r="B2394" s="1">
        <v>45736</v>
      </c>
      <c r="C2394" t="str">
        <f>"3"</f>
        <v>3</v>
      </c>
      <c r="D2394" t="s">
        <v>2700</v>
      </c>
      <c r="E2394" t="s">
        <v>2701</v>
      </c>
      <c r="F2394" t="str">
        <f t="shared" si="67"/>
        <v>40110000</v>
      </c>
      <c r="G2394" t="str">
        <f>"40112103"</f>
        <v>40112103</v>
      </c>
      <c r="H2394" t="s">
        <v>2704</v>
      </c>
      <c r="I2394" s="1">
        <v>45736</v>
      </c>
      <c r="J2394" s="4">
        <v>1089000</v>
      </c>
    </row>
    <row r="2395" spans="1:10" hidden="1" outlineLevel="2" x14ac:dyDescent="0.35">
      <c r="A2395" t="s">
        <v>75</v>
      </c>
      <c r="B2395" s="1">
        <v>45736</v>
      </c>
      <c r="C2395" t="str">
        <f>"4"</f>
        <v>4</v>
      </c>
      <c r="D2395" t="s">
        <v>2700</v>
      </c>
      <c r="E2395" t="s">
        <v>2701</v>
      </c>
      <c r="F2395" t="str">
        <f t="shared" si="67"/>
        <v>40110000</v>
      </c>
      <c r="G2395" t="str">
        <f>"40110001"</f>
        <v>40110001</v>
      </c>
      <c r="H2395" t="s">
        <v>2705</v>
      </c>
      <c r="I2395" s="1">
        <v>45736</v>
      </c>
      <c r="J2395" s="4">
        <v>5200000</v>
      </c>
    </row>
    <row r="2396" spans="1:10" hidden="1" outlineLevel="2" x14ac:dyDescent="0.35">
      <c r="A2396" t="s">
        <v>75</v>
      </c>
      <c r="B2396" s="1">
        <v>45736</v>
      </c>
      <c r="C2396" t="str">
        <f>"5"</f>
        <v>5</v>
      </c>
      <c r="D2396" t="s">
        <v>2700</v>
      </c>
      <c r="E2396" t="s">
        <v>2701</v>
      </c>
      <c r="F2396" t="str">
        <f t="shared" si="67"/>
        <v>40110000</v>
      </c>
      <c r="G2396" t="str">
        <f>"40110001"</f>
        <v>40110001</v>
      </c>
      <c r="H2396" t="s">
        <v>2706</v>
      </c>
      <c r="I2396" s="1">
        <v>45736</v>
      </c>
      <c r="J2396" s="4">
        <v>700000</v>
      </c>
    </row>
    <row r="2397" spans="1:10" hidden="1" outlineLevel="2" x14ac:dyDescent="0.35">
      <c r="A2397" t="s">
        <v>75</v>
      </c>
      <c r="B2397" s="1">
        <v>45736</v>
      </c>
      <c r="C2397" t="str">
        <f>"6"</f>
        <v>6</v>
      </c>
      <c r="D2397" t="s">
        <v>2700</v>
      </c>
      <c r="E2397" t="s">
        <v>2701</v>
      </c>
      <c r="F2397" t="str">
        <f t="shared" si="67"/>
        <v>40110000</v>
      </c>
      <c r="G2397" t="str">
        <f>"40110027"</f>
        <v>40110027</v>
      </c>
      <c r="H2397" t="s">
        <v>2707</v>
      </c>
      <c r="I2397" s="1">
        <v>45736</v>
      </c>
      <c r="J2397" s="4">
        <v>1661980</v>
      </c>
    </row>
    <row r="2398" spans="1:10" hidden="1" outlineLevel="2" x14ac:dyDescent="0.35">
      <c r="A2398" t="s">
        <v>75</v>
      </c>
      <c r="B2398" s="1">
        <v>45736</v>
      </c>
      <c r="C2398" t="str">
        <f>"7"</f>
        <v>7</v>
      </c>
      <c r="D2398" t="s">
        <v>2700</v>
      </c>
      <c r="E2398" t="s">
        <v>2701</v>
      </c>
      <c r="F2398" t="str">
        <f t="shared" si="67"/>
        <v>40110000</v>
      </c>
      <c r="G2398" t="str">
        <f>"40110027"</f>
        <v>40110027</v>
      </c>
      <c r="H2398" t="s">
        <v>2708</v>
      </c>
      <c r="I2398" s="1">
        <v>45736</v>
      </c>
      <c r="J2398" s="4">
        <v>1926815</v>
      </c>
    </row>
    <row r="2399" spans="1:10" hidden="1" outlineLevel="2" x14ac:dyDescent="0.35">
      <c r="A2399" t="s">
        <v>75</v>
      </c>
      <c r="B2399" s="1">
        <v>45736</v>
      </c>
      <c r="C2399" t="str">
        <f>"8"</f>
        <v>8</v>
      </c>
      <c r="D2399" t="s">
        <v>2700</v>
      </c>
      <c r="E2399" t="s">
        <v>2701</v>
      </c>
      <c r="F2399" t="str">
        <f t="shared" si="67"/>
        <v>40110000</v>
      </c>
      <c r="G2399" t="str">
        <f>"40110056"</f>
        <v>40110056</v>
      </c>
      <c r="H2399" t="s">
        <v>2709</v>
      </c>
      <c r="I2399" s="1">
        <v>45736</v>
      </c>
      <c r="J2399" s="4">
        <v>12226851</v>
      </c>
    </row>
    <row r="2400" spans="1:10" hidden="1" outlineLevel="2" x14ac:dyDescent="0.35">
      <c r="A2400" t="s">
        <v>75</v>
      </c>
      <c r="B2400" s="1">
        <v>45736</v>
      </c>
      <c r="C2400" t="str">
        <f>"9"</f>
        <v>9</v>
      </c>
      <c r="D2400" t="s">
        <v>2700</v>
      </c>
      <c r="E2400" t="s">
        <v>2701</v>
      </c>
      <c r="F2400" t="str">
        <f t="shared" si="67"/>
        <v>40110000</v>
      </c>
      <c r="G2400" t="str">
        <f>"40110102"</f>
        <v>40110102</v>
      </c>
      <c r="H2400" t="s">
        <v>2710</v>
      </c>
      <c r="I2400" s="1">
        <v>45736</v>
      </c>
      <c r="J2400" s="4">
        <v>63994</v>
      </c>
    </row>
    <row r="2401" spans="1:11" hidden="1" outlineLevel="2" x14ac:dyDescent="0.35">
      <c r="A2401" t="s">
        <v>75</v>
      </c>
      <c r="B2401" s="1">
        <v>45736</v>
      </c>
      <c r="C2401" t="str">
        <f>"11"</f>
        <v>11</v>
      </c>
      <c r="D2401" t="s">
        <v>2714</v>
      </c>
      <c r="E2401" t="s">
        <v>2715</v>
      </c>
      <c r="F2401" t="str">
        <f t="shared" si="67"/>
        <v>40110000</v>
      </c>
      <c r="G2401" t="str">
        <f>"40110944"</f>
        <v>40110944</v>
      </c>
      <c r="H2401" t="s">
        <v>2716</v>
      </c>
      <c r="I2401" s="1">
        <v>45736</v>
      </c>
      <c r="J2401" s="4">
        <v>436000</v>
      </c>
    </row>
    <row r="2402" spans="1:11" hidden="1" outlineLevel="2" x14ac:dyDescent="0.35">
      <c r="A2402" t="s">
        <v>101</v>
      </c>
      <c r="B2402" s="1">
        <v>45747</v>
      </c>
      <c r="C2402" t="str">
        <f>"58"</f>
        <v>58</v>
      </c>
      <c r="F2402" t="str">
        <f t="shared" si="67"/>
        <v>40110000</v>
      </c>
      <c r="G2402" t="str">
        <f>"40110014"</f>
        <v>40110014</v>
      </c>
      <c r="H2402" t="s">
        <v>2874</v>
      </c>
      <c r="I2402" s="1">
        <v>45747</v>
      </c>
      <c r="K2402" s="4">
        <v>57951</v>
      </c>
    </row>
    <row r="2403" spans="1:11" hidden="1" outlineLevel="2" x14ac:dyDescent="0.35">
      <c r="A2403" t="s">
        <v>101</v>
      </c>
      <c r="B2403" s="1">
        <v>45747</v>
      </c>
      <c r="C2403" t="str">
        <f>"58"</f>
        <v>58</v>
      </c>
      <c r="F2403" t="str">
        <f t="shared" si="67"/>
        <v>40110000</v>
      </c>
      <c r="G2403" t="str">
        <f>"40110597"</f>
        <v>40110597</v>
      </c>
      <c r="H2403" t="s">
        <v>2875</v>
      </c>
      <c r="I2403" s="1">
        <v>45747</v>
      </c>
      <c r="K2403" s="4">
        <v>87173</v>
      </c>
    </row>
    <row r="2404" spans="1:11" hidden="1" outlineLevel="2" x14ac:dyDescent="0.35">
      <c r="A2404" t="s">
        <v>101</v>
      </c>
      <c r="B2404" s="1">
        <v>45747</v>
      </c>
      <c r="C2404" t="str">
        <f>"58"</f>
        <v>58</v>
      </c>
      <c r="F2404" t="str">
        <f t="shared" si="67"/>
        <v>40110000</v>
      </c>
      <c r="G2404" t="str">
        <f>"40110597"</f>
        <v>40110597</v>
      </c>
      <c r="H2404" t="s">
        <v>2875</v>
      </c>
      <c r="I2404" s="1">
        <v>45747</v>
      </c>
      <c r="K2404" s="4">
        <v>230690</v>
      </c>
    </row>
    <row r="2405" spans="1:11" hidden="1" outlineLevel="2" x14ac:dyDescent="0.35">
      <c r="A2405" t="s">
        <v>101</v>
      </c>
      <c r="B2405" s="1">
        <v>45747</v>
      </c>
      <c r="C2405" t="str">
        <f>"58"</f>
        <v>58</v>
      </c>
      <c r="F2405" t="str">
        <f t="shared" si="67"/>
        <v>40110000</v>
      </c>
      <c r="G2405" t="str">
        <f>"40110613"</f>
        <v>40110613</v>
      </c>
      <c r="H2405" t="s">
        <v>2876</v>
      </c>
      <c r="I2405" s="1">
        <v>45747</v>
      </c>
      <c r="K2405" s="4">
        <v>270810</v>
      </c>
    </row>
    <row r="2406" spans="1:11" hidden="1" outlineLevel="2" x14ac:dyDescent="0.35">
      <c r="A2406" t="s">
        <v>101</v>
      </c>
      <c r="B2406" s="1">
        <v>45747</v>
      </c>
      <c r="C2406" t="str">
        <f>"58"</f>
        <v>58</v>
      </c>
      <c r="F2406" t="str">
        <f t="shared" si="67"/>
        <v>40110000</v>
      </c>
      <c r="G2406" t="str">
        <f>"40111985"</f>
        <v>40111985</v>
      </c>
      <c r="H2406" t="s">
        <v>2877</v>
      </c>
      <c r="I2406" s="1">
        <v>45747</v>
      </c>
      <c r="K2406" s="4">
        <v>107616</v>
      </c>
    </row>
    <row r="2407" spans="1:11" hidden="1" outlineLevel="2" x14ac:dyDescent="0.35">
      <c r="A2407" t="s">
        <v>101</v>
      </c>
      <c r="B2407" s="1">
        <v>45747</v>
      </c>
      <c r="C2407" t="str">
        <f>"59"</f>
        <v>59</v>
      </c>
      <c r="F2407" t="str">
        <f t="shared" si="67"/>
        <v>40110000</v>
      </c>
      <c r="G2407" t="str">
        <f>"40112035"</f>
        <v>40112035</v>
      </c>
      <c r="H2407" t="s">
        <v>2879</v>
      </c>
      <c r="I2407" s="1">
        <v>45747</v>
      </c>
      <c r="K2407" s="4">
        <v>168000</v>
      </c>
    </row>
    <row r="2408" spans="1:11" hidden="1" outlineLevel="2" x14ac:dyDescent="0.35">
      <c r="A2408" t="s">
        <v>101</v>
      </c>
      <c r="B2408" s="1">
        <v>45747</v>
      </c>
      <c r="C2408" t="str">
        <f>"62"</f>
        <v>62</v>
      </c>
      <c r="F2408" t="str">
        <f t="shared" si="67"/>
        <v>40110000</v>
      </c>
      <c r="G2408" t="str">
        <f>"40110397"</f>
        <v>40110397</v>
      </c>
      <c r="H2408" t="s">
        <v>2882</v>
      </c>
      <c r="I2408" s="1">
        <v>45747</v>
      </c>
      <c r="J2408" s="4">
        <v>34750000</v>
      </c>
    </row>
    <row r="2409" spans="1:11" hidden="1" outlineLevel="2" x14ac:dyDescent="0.35">
      <c r="A2409" t="s">
        <v>101</v>
      </c>
      <c r="B2409" s="1">
        <v>45747</v>
      </c>
      <c r="C2409" t="str">
        <f>"78"</f>
        <v>78</v>
      </c>
      <c r="F2409" t="str">
        <f t="shared" si="67"/>
        <v>40110000</v>
      </c>
      <c r="G2409" t="str">
        <f>"40120670"</f>
        <v>40120670</v>
      </c>
      <c r="H2409" t="s">
        <v>2943</v>
      </c>
      <c r="I2409" s="1">
        <v>45747</v>
      </c>
      <c r="J2409" s="4">
        <v>-4</v>
      </c>
    </row>
    <row r="2410" spans="1:11" hidden="1" outlineLevel="2" x14ac:dyDescent="0.35">
      <c r="A2410" t="s">
        <v>3031</v>
      </c>
      <c r="B2410" s="1">
        <v>45719</v>
      </c>
      <c r="C2410" t="str">
        <f>"51"</f>
        <v>51</v>
      </c>
      <c r="F2410" t="str">
        <f t="shared" si="67"/>
        <v>40110000</v>
      </c>
      <c r="G2410" t="s">
        <v>3032</v>
      </c>
      <c r="H2410" t="s">
        <v>3033</v>
      </c>
      <c r="J2410" s="4">
        <v>502000</v>
      </c>
    </row>
    <row r="2411" spans="1:11" hidden="1" outlineLevel="2" x14ac:dyDescent="0.35">
      <c r="A2411" t="s">
        <v>3031</v>
      </c>
      <c r="B2411" s="1">
        <v>45719</v>
      </c>
      <c r="C2411" t="str">
        <f>"53"</f>
        <v>53</v>
      </c>
      <c r="F2411" t="str">
        <f t="shared" si="67"/>
        <v>40110000</v>
      </c>
      <c r="G2411" t="s">
        <v>3032</v>
      </c>
      <c r="H2411" t="s">
        <v>3035</v>
      </c>
      <c r="J2411" s="4">
        <v>375857</v>
      </c>
    </row>
    <row r="2412" spans="1:11" hidden="1" outlineLevel="2" x14ac:dyDescent="0.35">
      <c r="A2412" t="s">
        <v>3031</v>
      </c>
      <c r="B2412" s="1">
        <v>45719</v>
      </c>
      <c r="C2412" t="str">
        <f>"55"</f>
        <v>55</v>
      </c>
      <c r="F2412" t="str">
        <f t="shared" si="67"/>
        <v>40110000</v>
      </c>
      <c r="G2412" t="s">
        <v>3032</v>
      </c>
      <c r="H2412" t="s">
        <v>3037</v>
      </c>
      <c r="J2412" s="4">
        <v>139016</v>
      </c>
    </row>
    <row r="2413" spans="1:11" hidden="1" outlineLevel="2" x14ac:dyDescent="0.35">
      <c r="A2413" t="s">
        <v>3031</v>
      </c>
      <c r="B2413" s="1">
        <v>45719</v>
      </c>
      <c r="C2413" t="str">
        <f>"57"</f>
        <v>57</v>
      </c>
      <c r="F2413" t="str">
        <f t="shared" si="67"/>
        <v>40110000</v>
      </c>
      <c r="G2413" t="s">
        <v>3032</v>
      </c>
      <c r="H2413" t="s">
        <v>3039</v>
      </c>
      <c r="J2413" s="4">
        <v>38615</v>
      </c>
    </row>
    <row r="2414" spans="1:11" hidden="1" outlineLevel="2" x14ac:dyDescent="0.35">
      <c r="A2414" t="s">
        <v>3031</v>
      </c>
      <c r="B2414" s="1">
        <v>45719</v>
      </c>
      <c r="C2414" t="str">
        <f>"59"</f>
        <v>59</v>
      </c>
      <c r="F2414" t="str">
        <f t="shared" si="67"/>
        <v>40110000</v>
      </c>
      <c r="G2414" t="s">
        <v>3032</v>
      </c>
      <c r="H2414" t="s">
        <v>3041</v>
      </c>
      <c r="J2414" s="4">
        <v>36041</v>
      </c>
    </row>
    <row r="2415" spans="1:11" hidden="1" outlineLevel="2" x14ac:dyDescent="0.35">
      <c r="A2415" t="s">
        <v>3031</v>
      </c>
      <c r="B2415" s="1">
        <v>45719</v>
      </c>
      <c r="C2415" t="str">
        <f>"61"</f>
        <v>61</v>
      </c>
      <c r="F2415" t="str">
        <f t="shared" si="67"/>
        <v>40110000</v>
      </c>
      <c r="G2415" t="s">
        <v>3032</v>
      </c>
      <c r="H2415" t="s">
        <v>3043</v>
      </c>
      <c r="J2415" s="4">
        <v>25744</v>
      </c>
    </row>
    <row r="2416" spans="1:11" hidden="1" outlineLevel="2" x14ac:dyDescent="0.35">
      <c r="A2416" t="s">
        <v>3031</v>
      </c>
      <c r="B2416" s="1">
        <v>45719</v>
      </c>
      <c r="C2416" t="str">
        <f>"63"</f>
        <v>63</v>
      </c>
      <c r="F2416" t="str">
        <f t="shared" si="67"/>
        <v>40110000</v>
      </c>
      <c r="G2416" t="s">
        <v>3032</v>
      </c>
      <c r="H2416" t="s">
        <v>3045</v>
      </c>
      <c r="J2416" s="4">
        <v>16733</v>
      </c>
    </row>
    <row r="2417" spans="1:11" hidden="1" outlineLevel="2" x14ac:dyDescent="0.35">
      <c r="A2417" t="s">
        <v>3031</v>
      </c>
      <c r="B2417" s="1">
        <v>45719</v>
      </c>
      <c r="C2417" t="str">
        <f>"65"</f>
        <v>65</v>
      </c>
      <c r="F2417" t="str">
        <f t="shared" si="67"/>
        <v>40110000</v>
      </c>
      <c r="G2417" t="s">
        <v>3032</v>
      </c>
      <c r="H2417" t="s">
        <v>3047</v>
      </c>
      <c r="J2417" s="4">
        <v>14950</v>
      </c>
    </row>
    <row r="2418" spans="1:11" hidden="1" outlineLevel="2" x14ac:dyDescent="0.35">
      <c r="A2418" t="s">
        <v>3031</v>
      </c>
      <c r="B2418" s="1">
        <v>45719</v>
      </c>
      <c r="C2418" t="str">
        <f>"67"</f>
        <v>67</v>
      </c>
      <c r="F2418" t="str">
        <f t="shared" si="67"/>
        <v>40110000</v>
      </c>
      <c r="G2418" t="s">
        <v>3032</v>
      </c>
      <c r="H2418" t="s">
        <v>3049</v>
      </c>
      <c r="J2418" s="4">
        <v>12871</v>
      </c>
    </row>
    <row r="2419" spans="1:11" hidden="1" outlineLevel="2" x14ac:dyDescent="0.35">
      <c r="A2419" t="s">
        <v>3056</v>
      </c>
      <c r="B2419" s="1">
        <v>45720</v>
      </c>
      <c r="C2419" t="str">
        <f>"147"</f>
        <v>147</v>
      </c>
      <c r="F2419" t="str">
        <f t="shared" si="67"/>
        <v>40110000</v>
      </c>
      <c r="G2419" t="s">
        <v>1216</v>
      </c>
      <c r="H2419" t="s">
        <v>3060</v>
      </c>
      <c r="J2419" s="4">
        <v>211200</v>
      </c>
    </row>
    <row r="2420" spans="1:11" hidden="1" outlineLevel="2" x14ac:dyDescent="0.35">
      <c r="A2420" t="s">
        <v>3056</v>
      </c>
      <c r="B2420" s="1">
        <v>45720</v>
      </c>
      <c r="C2420" t="str">
        <f>"149"</f>
        <v>149</v>
      </c>
      <c r="F2420" t="str">
        <f t="shared" si="67"/>
        <v>40110000</v>
      </c>
      <c r="G2420" t="str">
        <f>"40110001"</f>
        <v>40110001</v>
      </c>
      <c r="H2420" t="s">
        <v>3061</v>
      </c>
      <c r="J2420" s="4">
        <v>990000</v>
      </c>
    </row>
    <row r="2421" spans="1:11" hidden="1" outlineLevel="2" x14ac:dyDescent="0.35">
      <c r="A2421" t="s">
        <v>3056</v>
      </c>
      <c r="B2421" s="1">
        <v>45740</v>
      </c>
      <c r="C2421" t="str">
        <f>"191"</f>
        <v>191</v>
      </c>
      <c r="F2421" t="str">
        <f t="shared" si="67"/>
        <v>40110000</v>
      </c>
      <c r="G2421" t="str">
        <f>"40110001"</f>
        <v>40110001</v>
      </c>
      <c r="H2421" t="s">
        <v>3096</v>
      </c>
      <c r="J2421" s="4">
        <v>300000</v>
      </c>
    </row>
    <row r="2422" spans="1:11" outlineLevel="1" collapsed="1" x14ac:dyDescent="0.35">
      <c r="B2422" s="1"/>
      <c r="F2422" s="3" t="s">
        <v>6529</v>
      </c>
      <c r="J2422" s="4">
        <f>SUBTOTAL(9,J1794:J2421)</f>
        <v>582038264</v>
      </c>
      <c r="K2422" s="4">
        <f>SUBTOTAL(9,K1794:K2421)</f>
        <v>604077156</v>
      </c>
    </row>
    <row r="2423" spans="1:11" hidden="1" outlineLevel="2" x14ac:dyDescent="0.35">
      <c r="A2423" t="s">
        <v>1873</v>
      </c>
      <c r="B2423" s="1">
        <v>45717</v>
      </c>
      <c r="C2423" t="str">
        <f>"61"</f>
        <v>61</v>
      </c>
      <c r="F2423" t="str">
        <f>"40210000"</f>
        <v>40210000</v>
      </c>
      <c r="G2423" t="str">
        <f>"40110278"</f>
        <v>40110278</v>
      </c>
      <c r="H2423" t="s">
        <v>1874</v>
      </c>
      <c r="J2423" s="4">
        <v>40582866</v>
      </c>
    </row>
    <row r="2424" spans="1:11" hidden="1" outlineLevel="2" x14ac:dyDescent="0.35">
      <c r="A2424" t="s">
        <v>1873</v>
      </c>
      <c r="B2424" s="1">
        <v>45717</v>
      </c>
      <c r="C2424" t="str">
        <f>"62"</f>
        <v>62</v>
      </c>
      <c r="F2424" t="str">
        <f>"40210000"</f>
        <v>40210000</v>
      </c>
      <c r="G2424" t="str">
        <f>"40110278"</f>
        <v>40110278</v>
      </c>
      <c r="H2424" t="s">
        <v>1875</v>
      </c>
      <c r="J2424" s="4">
        <v>40582866</v>
      </c>
    </row>
    <row r="2425" spans="1:11" hidden="1" outlineLevel="2" x14ac:dyDescent="0.35">
      <c r="A2425" t="s">
        <v>1873</v>
      </c>
      <c r="B2425" s="1">
        <v>45717</v>
      </c>
      <c r="C2425" t="str">
        <f>"63"</f>
        <v>63</v>
      </c>
      <c r="F2425" t="str">
        <f>"40210000"</f>
        <v>40210000</v>
      </c>
      <c r="G2425" t="str">
        <f>"40110278"</f>
        <v>40110278</v>
      </c>
      <c r="H2425" t="s">
        <v>1876</v>
      </c>
      <c r="J2425" s="4">
        <v>40582869</v>
      </c>
    </row>
    <row r="2426" spans="1:11" outlineLevel="1" collapsed="1" x14ac:dyDescent="0.35">
      <c r="B2426" s="1"/>
      <c r="F2426" s="3" t="s">
        <v>6530</v>
      </c>
      <c r="J2426" s="4">
        <f>SUBTOTAL(9,J2423:J2425)</f>
        <v>121748601</v>
      </c>
      <c r="K2426" s="4">
        <f>SUBTOTAL(9,K2423:K2425)</f>
        <v>0</v>
      </c>
    </row>
    <row r="2427" spans="1:11" hidden="1" outlineLevel="2" x14ac:dyDescent="0.35">
      <c r="A2427" t="s">
        <v>1873</v>
      </c>
      <c r="B2427" s="1">
        <v>45734</v>
      </c>
      <c r="C2427" t="str">
        <f>"59"</f>
        <v>59</v>
      </c>
      <c r="F2427" t="str">
        <f t="shared" ref="F2427:F2443" si="68">"40420000"</f>
        <v>40420000</v>
      </c>
      <c r="G2427" t="str">
        <f>"40110001"</f>
        <v>40110001</v>
      </c>
      <c r="H2427" t="s">
        <v>1890</v>
      </c>
      <c r="J2427" s="4">
        <v>1509928</v>
      </c>
    </row>
    <row r="2428" spans="1:11" hidden="1" outlineLevel="2" x14ac:dyDescent="0.35">
      <c r="A2428" t="s">
        <v>1892</v>
      </c>
      <c r="B2428" s="1">
        <v>45741</v>
      </c>
      <c r="C2428" t="str">
        <f>"53"</f>
        <v>53</v>
      </c>
      <c r="F2428" t="str">
        <f t="shared" si="68"/>
        <v>40420000</v>
      </c>
      <c r="G2428" t="str">
        <f>"40110001"</f>
        <v>40110001</v>
      </c>
      <c r="H2428" t="s">
        <v>1909</v>
      </c>
      <c r="J2428" s="4">
        <v>1120000</v>
      </c>
    </row>
    <row r="2429" spans="1:11" hidden="1" outlineLevel="2" x14ac:dyDescent="0.35">
      <c r="A2429" t="s">
        <v>1911</v>
      </c>
      <c r="B2429" s="1">
        <v>45720</v>
      </c>
      <c r="C2429" t="str">
        <f>"156"</f>
        <v>156</v>
      </c>
      <c r="F2429" t="str">
        <f t="shared" si="68"/>
        <v>40420000</v>
      </c>
      <c r="G2429" t="str">
        <f>"40110038"</f>
        <v>40110038</v>
      </c>
      <c r="H2429" t="s">
        <v>1916</v>
      </c>
      <c r="J2429" s="4">
        <v>787650</v>
      </c>
    </row>
    <row r="2430" spans="1:11" hidden="1" outlineLevel="2" x14ac:dyDescent="0.35">
      <c r="A2430" t="s">
        <v>1986</v>
      </c>
      <c r="B2430" s="1">
        <v>45728</v>
      </c>
      <c r="C2430" t="str">
        <f>"55"</f>
        <v>55</v>
      </c>
      <c r="F2430" t="str">
        <f t="shared" si="68"/>
        <v>40420000</v>
      </c>
      <c r="G2430" t="str">
        <f>"40110014"</f>
        <v>40110014</v>
      </c>
      <c r="H2430" t="s">
        <v>1994</v>
      </c>
      <c r="J2430" s="4">
        <v>4644389</v>
      </c>
    </row>
    <row r="2431" spans="1:11" hidden="1" outlineLevel="2" x14ac:dyDescent="0.35">
      <c r="A2431" t="s">
        <v>1986</v>
      </c>
      <c r="B2431" s="1">
        <v>45728</v>
      </c>
      <c r="C2431" t="str">
        <f>"61"</f>
        <v>61</v>
      </c>
      <c r="F2431" t="str">
        <f t="shared" si="68"/>
        <v>40420000</v>
      </c>
      <c r="G2431" t="str">
        <f>"40110001"</f>
        <v>40110001</v>
      </c>
      <c r="H2431" t="s">
        <v>1997</v>
      </c>
      <c r="J2431" s="4">
        <v>1699750</v>
      </c>
    </row>
    <row r="2432" spans="1:11" hidden="1" outlineLevel="2" x14ac:dyDescent="0.35">
      <c r="A2432" t="s">
        <v>72</v>
      </c>
      <c r="B2432" s="1">
        <v>45719</v>
      </c>
      <c r="C2432" t="str">
        <f>"5"</f>
        <v>5</v>
      </c>
      <c r="D2432" t="s">
        <v>2674</v>
      </c>
      <c r="E2432" t="s">
        <v>2675</v>
      </c>
      <c r="F2432" t="str">
        <f t="shared" si="68"/>
        <v>40420000</v>
      </c>
      <c r="G2432" t="str">
        <f>"40110001"</f>
        <v>40110001</v>
      </c>
      <c r="H2432" t="s">
        <v>2677</v>
      </c>
      <c r="I2432" s="1">
        <v>45719</v>
      </c>
      <c r="K2432" s="4">
        <v>1003000</v>
      </c>
    </row>
    <row r="2433" spans="1:11" hidden="1" outlineLevel="2" x14ac:dyDescent="0.35">
      <c r="A2433" t="s">
        <v>72</v>
      </c>
      <c r="B2433" s="1">
        <v>45722</v>
      </c>
      <c r="C2433" t="str">
        <f>"2"</f>
        <v>2</v>
      </c>
      <c r="D2433" t="str">
        <f>"0188941"</f>
        <v>0188941</v>
      </c>
      <c r="E2433" t="s">
        <v>2679</v>
      </c>
      <c r="F2433" t="str">
        <f t="shared" si="68"/>
        <v>40420000</v>
      </c>
      <c r="G2433" t="str">
        <f>"40110944"</f>
        <v>40110944</v>
      </c>
      <c r="H2433" t="s">
        <v>2680</v>
      </c>
      <c r="I2433" s="1">
        <v>45722</v>
      </c>
      <c r="K2433" s="4">
        <v>1042000</v>
      </c>
    </row>
    <row r="2434" spans="1:11" hidden="1" outlineLevel="2" x14ac:dyDescent="0.35">
      <c r="A2434" t="s">
        <v>72</v>
      </c>
      <c r="B2434" s="1">
        <v>45727</v>
      </c>
      <c r="C2434" t="str">
        <f>"7"</f>
        <v>7</v>
      </c>
      <c r="D2434" t="str">
        <f>"103148"</f>
        <v>103148</v>
      </c>
      <c r="E2434" t="s">
        <v>2681</v>
      </c>
      <c r="F2434" t="str">
        <f t="shared" si="68"/>
        <v>40420000</v>
      </c>
      <c r="G2434" t="str">
        <f>"40110026"</f>
        <v>40110026</v>
      </c>
      <c r="H2434" t="s">
        <v>2683</v>
      </c>
      <c r="I2434" s="1">
        <v>45727</v>
      </c>
      <c r="K2434" s="4">
        <v>1692120</v>
      </c>
    </row>
    <row r="2435" spans="1:11" hidden="1" outlineLevel="2" x14ac:dyDescent="0.35">
      <c r="A2435" t="s">
        <v>72</v>
      </c>
      <c r="B2435" s="1">
        <v>45728</v>
      </c>
      <c r="C2435" t="str">
        <f>"1"</f>
        <v>1</v>
      </c>
      <c r="D2435" t="str">
        <f>"0000096"</f>
        <v>0000096</v>
      </c>
      <c r="E2435" t="s">
        <v>2686</v>
      </c>
      <c r="F2435" t="str">
        <f t="shared" si="68"/>
        <v>40420000</v>
      </c>
      <c r="G2435" t="str">
        <f>"40110001"</f>
        <v>40110001</v>
      </c>
      <c r="H2435" t="s">
        <v>2687</v>
      </c>
      <c r="I2435" s="1">
        <v>45721</v>
      </c>
      <c r="K2435" s="4">
        <v>1509928</v>
      </c>
    </row>
    <row r="2436" spans="1:11" hidden="1" outlineLevel="2" x14ac:dyDescent="0.35">
      <c r="A2436" t="s">
        <v>72</v>
      </c>
      <c r="B2436" s="1">
        <v>45733</v>
      </c>
      <c r="C2436" t="str">
        <f>"6"</f>
        <v>6</v>
      </c>
      <c r="D2436" t="str">
        <f>"103271"</f>
        <v>103271</v>
      </c>
      <c r="E2436" t="s">
        <v>2688</v>
      </c>
      <c r="F2436" t="str">
        <f t="shared" si="68"/>
        <v>40420000</v>
      </c>
      <c r="G2436" t="str">
        <f>"40110026"</f>
        <v>40110026</v>
      </c>
      <c r="H2436" t="s">
        <v>2689</v>
      </c>
      <c r="I2436" s="1">
        <v>45733</v>
      </c>
      <c r="K2436" s="4">
        <v>2220524</v>
      </c>
    </row>
    <row r="2437" spans="1:11" hidden="1" outlineLevel="2" x14ac:dyDescent="0.35">
      <c r="A2437" t="s">
        <v>72</v>
      </c>
      <c r="B2437" s="1">
        <v>45733</v>
      </c>
      <c r="C2437" t="str">
        <f>"8"</f>
        <v>8</v>
      </c>
      <c r="E2437" t="s">
        <v>2690</v>
      </c>
      <c r="F2437" t="str">
        <f t="shared" si="68"/>
        <v>40420000</v>
      </c>
      <c r="G2437" t="str">
        <f>"40110001"</f>
        <v>40110001</v>
      </c>
      <c r="H2437" t="s">
        <v>2691</v>
      </c>
      <c r="I2437" s="1">
        <v>45733</v>
      </c>
      <c r="K2437" s="4">
        <v>1699750</v>
      </c>
    </row>
    <row r="2438" spans="1:11" hidden="1" outlineLevel="2" x14ac:dyDescent="0.35">
      <c r="A2438" t="s">
        <v>72</v>
      </c>
      <c r="B2438" s="1">
        <v>45733</v>
      </c>
      <c r="C2438" t="str">
        <f>"9"</f>
        <v>9</v>
      </c>
      <c r="D2438" t="str">
        <f>"103271"</f>
        <v>103271</v>
      </c>
      <c r="E2438" t="s">
        <v>2688</v>
      </c>
      <c r="F2438" t="str">
        <f t="shared" si="68"/>
        <v>40420000</v>
      </c>
      <c r="G2438" t="str">
        <f>"40110026"</f>
        <v>40110026</v>
      </c>
      <c r="H2438" t="s">
        <v>2692</v>
      </c>
      <c r="I2438" s="1">
        <v>45733</v>
      </c>
      <c r="K2438" s="4">
        <v>-2220524</v>
      </c>
    </row>
    <row r="2439" spans="1:11" hidden="1" outlineLevel="2" x14ac:dyDescent="0.35">
      <c r="A2439" t="s">
        <v>72</v>
      </c>
      <c r="B2439" s="1">
        <v>45735</v>
      </c>
      <c r="C2439" t="str">
        <f>"4"</f>
        <v>4</v>
      </c>
      <c r="D2439" t="str">
        <f>"0000031"</f>
        <v>0000031</v>
      </c>
      <c r="E2439" t="s">
        <v>2693</v>
      </c>
      <c r="F2439" t="str">
        <f t="shared" si="68"/>
        <v>40420000</v>
      </c>
      <c r="G2439" t="str">
        <f>"40110001"</f>
        <v>40110001</v>
      </c>
      <c r="H2439" t="s">
        <v>2694</v>
      </c>
      <c r="I2439" s="1">
        <v>45735</v>
      </c>
      <c r="K2439" s="4">
        <v>2074700</v>
      </c>
    </row>
    <row r="2440" spans="1:11" hidden="1" outlineLevel="2" x14ac:dyDescent="0.35">
      <c r="A2440" t="s">
        <v>72</v>
      </c>
      <c r="B2440" s="1">
        <v>45740</v>
      </c>
      <c r="C2440" t="str">
        <f>"3"</f>
        <v>3</v>
      </c>
      <c r="D2440" t="str">
        <f>"0104809"</f>
        <v>0104809</v>
      </c>
      <c r="E2440" t="s">
        <v>2695</v>
      </c>
      <c r="F2440" t="str">
        <f t="shared" si="68"/>
        <v>40420000</v>
      </c>
      <c r="G2440" t="str">
        <f>"40110001"</f>
        <v>40110001</v>
      </c>
      <c r="H2440" t="s">
        <v>2696</v>
      </c>
      <c r="I2440" s="1">
        <v>45728</v>
      </c>
      <c r="K2440" s="4">
        <v>232500</v>
      </c>
    </row>
    <row r="2441" spans="1:11" hidden="1" outlineLevel="2" x14ac:dyDescent="0.35">
      <c r="A2441" t="s">
        <v>75</v>
      </c>
      <c r="B2441" s="1">
        <v>45736</v>
      </c>
      <c r="C2441" t="str">
        <f>"2"</f>
        <v>2</v>
      </c>
      <c r="D2441" t="s">
        <v>2700</v>
      </c>
      <c r="E2441" t="s">
        <v>2701</v>
      </c>
      <c r="F2441" t="str">
        <f t="shared" si="68"/>
        <v>40420000</v>
      </c>
      <c r="G2441" t="s">
        <v>2702</v>
      </c>
      <c r="H2441" t="s">
        <v>2703</v>
      </c>
      <c r="I2441" s="1">
        <v>45736</v>
      </c>
      <c r="J2441" s="4">
        <v>6195000</v>
      </c>
    </row>
    <row r="2442" spans="1:11" hidden="1" outlineLevel="2" x14ac:dyDescent="0.35">
      <c r="A2442" t="s">
        <v>75</v>
      </c>
      <c r="B2442" s="1">
        <v>45736</v>
      </c>
      <c r="C2442" t="str">
        <f>"11"</f>
        <v>11</v>
      </c>
      <c r="D2442" t="s">
        <v>2714</v>
      </c>
      <c r="E2442" t="s">
        <v>2715</v>
      </c>
      <c r="F2442" t="str">
        <f t="shared" si="68"/>
        <v>40420000</v>
      </c>
      <c r="G2442" t="str">
        <f>"40110944"</f>
        <v>40110944</v>
      </c>
      <c r="H2442" t="s">
        <v>2716</v>
      </c>
      <c r="I2442" s="1">
        <v>45736</v>
      </c>
      <c r="J2442" s="4">
        <v>1042000</v>
      </c>
    </row>
    <row r="2443" spans="1:11" hidden="1" outlineLevel="2" x14ac:dyDescent="0.35">
      <c r="A2443" t="s">
        <v>101</v>
      </c>
      <c r="B2443" s="1">
        <v>45747</v>
      </c>
      <c r="C2443" t="str">
        <f>"59"</f>
        <v>59</v>
      </c>
      <c r="F2443" t="str">
        <f t="shared" si="68"/>
        <v>40420000</v>
      </c>
      <c r="G2443" t="str">
        <f>"40112035"</f>
        <v>40112035</v>
      </c>
      <c r="H2443" t="s">
        <v>2879</v>
      </c>
      <c r="I2443" s="1">
        <v>45747</v>
      </c>
      <c r="J2443" s="4">
        <v>168000</v>
      </c>
    </row>
    <row r="2444" spans="1:11" outlineLevel="1" collapsed="1" x14ac:dyDescent="0.35">
      <c r="B2444" s="1"/>
      <c r="F2444" s="3" t="s">
        <v>6531</v>
      </c>
      <c r="I2444" s="1"/>
      <c r="J2444" s="4">
        <f>SUBTOTAL(9,J2427:J2443)</f>
        <v>17166717</v>
      </c>
      <c r="K2444" s="4">
        <f>SUBTOTAL(9,K2427:K2443)</f>
        <v>9253998</v>
      </c>
    </row>
    <row r="2445" spans="1:11" hidden="1" outlineLevel="2" x14ac:dyDescent="0.35">
      <c r="A2445" t="s">
        <v>101</v>
      </c>
      <c r="B2445" s="1">
        <v>45717</v>
      </c>
      <c r="C2445" t="str">
        <f t="shared" ref="C2445:C2462" si="69">"2"</f>
        <v>2</v>
      </c>
      <c r="F2445" t="str">
        <f t="shared" ref="F2445:F2483" si="70">"40810000"</f>
        <v>40810000</v>
      </c>
      <c r="G2445" t="str">
        <f>"40110010"</f>
        <v>40110010</v>
      </c>
      <c r="H2445" t="s">
        <v>2725</v>
      </c>
      <c r="I2445" s="1">
        <v>45716</v>
      </c>
      <c r="K2445" s="4">
        <v>-4864338</v>
      </c>
    </row>
    <row r="2446" spans="1:11" hidden="1" outlineLevel="2" x14ac:dyDescent="0.35">
      <c r="A2446" t="s">
        <v>101</v>
      </c>
      <c r="B2446" s="1">
        <v>45717</v>
      </c>
      <c r="C2446" t="str">
        <f t="shared" si="69"/>
        <v>2</v>
      </c>
      <c r="F2446" t="str">
        <f t="shared" si="70"/>
        <v>40810000</v>
      </c>
      <c r="G2446" t="str">
        <f>"40110038"</f>
        <v>40110038</v>
      </c>
      <c r="H2446" t="s">
        <v>2726</v>
      </c>
      <c r="I2446" s="1">
        <v>45716</v>
      </c>
      <c r="K2446" s="4">
        <v>-303850</v>
      </c>
    </row>
    <row r="2447" spans="1:11" hidden="1" outlineLevel="2" x14ac:dyDescent="0.35">
      <c r="A2447" t="s">
        <v>101</v>
      </c>
      <c r="B2447" s="1">
        <v>45717</v>
      </c>
      <c r="C2447" t="str">
        <f t="shared" si="69"/>
        <v>2</v>
      </c>
      <c r="F2447" t="str">
        <f t="shared" si="70"/>
        <v>40810000</v>
      </c>
      <c r="G2447" t="str">
        <f>"40110042"</f>
        <v>40110042</v>
      </c>
      <c r="H2447" t="s">
        <v>2727</v>
      </c>
      <c r="I2447" s="1">
        <v>45716</v>
      </c>
      <c r="K2447" s="4">
        <v>-992259</v>
      </c>
    </row>
    <row r="2448" spans="1:11" hidden="1" outlineLevel="2" x14ac:dyDescent="0.35">
      <c r="A2448" t="s">
        <v>101</v>
      </c>
      <c r="B2448" s="1">
        <v>45717</v>
      </c>
      <c r="C2448" t="str">
        <f t="shared" si="69"/>
        <v>2</v>
      </c>
      <c r="F2448" t="str">
        <f t="shared" si="70"/>
        <v>40810000</v>
      </c>
      <c r="G2448" t="str">
        <f>"40110049"</f>
        <v>40110049</v>
      </c>
      <c r="H2448" t="s">
        <v>2728</v>
      </c>
      <c r="I2448" s="1">
        <v>45716</v>
      </c>
      <c r="K2448" s="4">
        <v>-779620</v>
      </c>
    </row>
    <row r="2449" spans="1:11" hidden="1" outlineLevel="2" x14ac:dyDescent="0.35">
      <c r="A2449" t="s">
        <v>101</v>
      </c>
      <c r="B2449" s="1">
        <v>45717</v>
      </c>
      <c r="C2449" t="str">
        <f t="shared" si="69"/>
        <v>2</v>
      </c>
      <c r="F2449" t="str">
        <f t="shared" si="70"/>
        <v>40810000</v>
      </c>
      <c r="G2449" t="str">
        <f>"40110081"</f>
        <v>40110081</v>
      </c>
      <c r="H2449" t="s">
        <v>2729</v>
      </c>
      <c r="I2449" s="1">
        <v>45716</v>
      </c>
      <c r="K2449" s="4">
        <v>-870742</v>
      </c>
    </row>
    <row r="2450" spans="1:11" hidden="1" outlineLevel="2" x14ac:dyDescent="0.35">
      <c r="A2450" t="s">
        <v>101</v>
      </c>
      <c r="B2450" s="1">
        <v>45717</v>
      </c>
      <c r="C2450" t="str">
        <f t="shared" si="69"/>
        <v>2</v>
      </c>
      <c r="F2450" t="str">
        <f t="shared" si="70"/>
        <v>40810000</v>
      </c>
      <c r="G2450" t="str">
        <f>"40110088"</f>
        <v>40110088</v>
      </c>
      <c r="H2450" t="s">
        <v>2730</v>
      </c>
      <c r="I2450" s="1">
        <v>45716</v>
      </c>
      <c r="K2450" s="4">
        <v>-557809</v>
      </c>
    </row>
    <row r="2451" spans="1:11" hidden="1" outlineLevel="2" x14ac:dyDescent="0.35">
      <c r="A2451" t="s">
        <v>101</v>
      </c>
      <c r="B2451" s="1">
        <v>45717</v>
      </c>
      <c r="C2451" t="str">
        <f t="shared" si="69"/>
        <v>2</v>
      </c>
      <c r="F2451" t="str">
        <f t="shared" si="70"/>
        <v>40810000</v>
      </c>
      <c r="G2451" t="str">
        <f>"40110124"</f>
        <v>40110124</v>
      </c>
      <c r="H2451" t="s">
        <v>2731</v>
      </c>
      <c r="I2451" s="1">
        <v>45716</v>
      </c>
      <c r="K2451" s="4">
        <v>-38714</v>
      </c>
    </row>
    <row r="2452" spans="1:11" hidden="1" outlineLevel="2" x14ac:dyDescent="0.35">
      <c r="A2452" t="s">
        <v>101</v>
      </c>
      <c r="B2452" s="1">
        <v>45717</v>
      </c>
      <c r="C2452" t="str">
        <f t="shared" si="69"/>
        <v>2</v>
      </c>
      <c r="F2452" t="str">
        <f t="shared" si="70"/>
        <v>40810000</v>
      </c>
      <c r="G2452" t="str">
        <f>"40110157"</f>
        <v>40110157</v>
      </c>
      <c r="H2452" t="s">
        <v>2732</v>
      </c>
      <c r="I2452" s="1">
        <v>45716</v>
      </c>
      <c r="K2452" s="4">
        <v>-158742</v>
      </c>
    </row>
    <row r="2453" spans="1:11" hidden="1" outlineLevel="2" x14ac:dyDescent="0.35">
      <c r="A2453" t="s">
        <v>101</v>
      </c>
      <c r="B2453" s="1">
        <v>45717</v>
      </c>
      <c r="C2453" t="str">
        <f t="shared" si="69"/>
        <v>2</v>
      </c>
      <c r="F2453" t="str">
        <f t="shared" si="70"/>
        <v>40810000</v>
      </c>
      <c r="G2453" t="str">
        <f>"40110205"</f>
        <v>40110205</v>
      </c>
      <c r="H2453" t="s">
        <v>2733</v>
      </c>
      <c r="I2453" s="1">
        <v>45716</v>
      </c>
      <c r="K2453" s="4">
        <v>-121745</v>
      </c>
    </row>
    <row r="2454" spans="1:11" hidden="1" outlineLevel="2" x14ac:dyDescent="0.35">
      <c r="A2454" t="s">
        <v>101</v>
      </c>
      <c r="B2454" s="1">
        <v>45717</v>
      </c>
      <c r="C2454" t="str">
        <f t="shared" si="69"/>
        <v>2</v>
      </c>
      <c r="F2454" t="str">
        <f t="shared" si="70"/>
        <v>40810000</v>
      </c>
      <c r="G2454" t="str">
        <f>"40110278"</f>
        <v>40110278</v>
      </c>
      <c r="H2454" t="s">
        <v>2734</v>
      </c>
      <c r="I2454" s="1">
        <v>45716</v>
      </c>
      <c r="K2454" s="4">
        <v>-12500000</v>
      </c>
    </row>
    <row r="2455" spans="1:11" hidden="1" outlineLevel="2" x14ac:dyDescent="0.35">
      <c r="A2455" t="s">
        <v>101</v>
      </c>
      <c r="B2455" s="1">
        <v>45717</v>
      </c>
      <c r="C2455" t="str">
        <f t="shared" si="69"/>
        <v>2</v>
      </c>
      <c r="F2455" t="str">
        <f t="shared" si="70"/>
        <v>40810000</v>
      </c>
      <c r="G2455" t="str">
        <f>"40110342"</f>
        <v>40110342</v>
      </c>
      <c r="H2455" t="s">
        <v>2735</v>
      </c>
      <c r="I2455" s="1">
        <v>45716</v>
      </c>
      <c r="K2455" s="4">
        <v>-628628</v>
      </c>
    </row>
    <row r="2456" spans="1:11" hidden="1" outlineLevel="2" x14ac:dyDescent="0.35">
      <c r="A2456" t="s">
        <v>101</v>
      </c>
      <c r="B2456" s="1">
        <v>45717</v>
      </c>
      <c r="C2456" t="str">
        <f t="shared" si="69"/>
        <v>2</v>
      </c>
      <c r="F2456" t="str">
        <f t="shared" si="70"/>
        <v>40810000</v>
      </c>
      <c r="G2456" t="str">
        <f>"40110397"</f>
        <v>40110397</v>
      </c>
      <c r="H2456" t="s">
        <v>2736</v>
      </c>
      <c r="I2456" s="1">
        <v>45716</v>
      </c>
      <c r="K2456" s="4">
        <v>-30179600</v>
      </c>
    </row>
    <row r="2457" spans="1:11" hidden="1" outlineLevel="2" x14ac:dyDescent="0.35">
      <c r="A2457" t="s">
        <v>101</v>
      </c>
      <c r="B2457" s="1">
        <v>45717</v>
      </c>
      <c r="C2457" t="str">
        <f t="shared" si="69"/>
        <v>2</v>
      </c>
      <c r="F2457" t="str">
        <f t="shared" si="70"/>
        <v>40810000</v>
      </c>
      <c r="G2457" t="str">
        <f>"40110485"</f>
        <v>40110485</v>
      </c>
      <c r="H2457" t="s">
        <v>2737</v>
      </c>
      <c r="I2457" s="1">
        <v>45716</v>
      </c>
      <c r="K2457" s="4">
        <v>-96000</v>
      </c>
    </row>
    <row r="2458" spans="1:11" hidden="1" outlineLevel="2" x14ac:dyDescent="0.35">
      <c r="A2458" t="s">
        <v>101</v>
      </c>
      <c r="B2458" s="1">
        <v>45717</v>
      </c>
      <c r="C2458" t="str">
        <f t="shared" si="69"/>
        <v>2</v>
      </c>
      <c r="F2458" t="str">
        <f t="shared" si="70"/>
        <v>40810000</v>
      </c>
      <c r="G2458" t="str">
        <f>"40110493"</f>
        <v>40110493</v>
      </c>
      <c r="H2458" t="s">
        <v>2738</v>
      </c>
      <c r="I2458" s="1">
        <v>45716</v>
      </c>
      <c r="K2458" s="4">
        <v>-494000</v>
      </c>
    </row>
    <row r="2459" spans="1:11" hidden="1" outlineLevel="2" x14ac:dyDescent="0.35">
      <c r="A2459" t="s">
        <v>101</v>
      </c>
      <c r="B2459" s="1">
        <v>45717</v>
      </c>
      <c r="C2459" t="str">
        <f t="shared" si="69"/>
        <v>2</v>
      </c>
      <c r="F2459" t="str">
        <f t="shared" si="70"/>
        <v>40810000</v>
      </c>
      <c r="G2459" t="str">
        <f>"40110721"</f>
        <v>40110721</v>
      </c>
      <c r="H2459" t="s">
        <v>2739</v>
      </c>
      <c r="I2459" s="1">
        <v>45716</v>
      </c>
      <c r="K2459" s="4">
        <v>-131320</v>
      </c>
    </row>
    <row r="2460" spans="1:11" hidden="1" outlineLevel="2" x14ac:dyDescent="0.35">
      <c r="A2460" t="s">
        <v>101</v>
      </c>
      <c r="B2460" s="1">
        <v>45717</v>
      </c>
      <c r="C2460" t="str">
        <f t="shared" si="69"/>
        <v>2</v>
      </c>
      <c r="F2460" t="str">
        <f t="shared" si="70"/>
        <v>40810000</v>
      </c>
      <c r="G2460" t="str">
        <f>"40111012"</f>
        <v>40111012</v>
      </c>
      <c r="H2460" t="s">
        <v>2740</v>
      </c>
      <c r="I2460" s="1">
        <v>45716</v>
      </c>
      <c r="K2460" s="4">
        <v>-16896</v>
      </c>
    </row>
    <row r="2461" spans="1:11" hidden="1" outlineLevel="2" x14ac:dyDescent="0.35">
      <c r="A2461" t="s">
        <v>101</v>
      </c>
      <c r="B2461" s="1">
        <v>45717</v>
      </c>
      <c r="C2461" t="str">
        <f t="shared" si="69"/>
        <v>2</v>
      </c>
      <c r="F2461" t="str">
        <f t="shared" si="70"/>
        <v>40810000</v>
      </c>
      <c r="G2461" t="str">
        <f>"40112098"</f>
        <v>40112098</v>
      </c>
      <c r="H2461" t="s">
        <v>2741</v>
      </c>
      <c r="I2461" s="1">
        <v>45716</v>
      </c>
      <c r="K2461" s="4">
        <v>-185445</v>
      </c>
    </row>
    <row r="2462" spans="1:11" hidden="1" outlineLevel="2" x14ac:dyDescent="0.35">
      <c r="A2462" t="s">
        <v>101</v>
      </c>
      <c r="B2462" s="1">
        <v>45717</v>
      </c>
      <c r="C2462" t="str">
        <f t="shared" si="69"/>
        <v>2</v>
      </c>
      <c r="F2462" t="str">
        <f t="shared" si="70"/>
        <v>40810000</v>
      </c>
      <c r="G2462" t="str">
        <f>"40120627"</f>
        <v>40120627</v>
      </c>
      <c r="H2462" t="s">
        <v>2742</v>
      </c>
      <c r="I2462" s="1">
        <v>45716</v>
      </c>
      <c r="K2462" s="4">
        <v>-450000</v>
      </c>
    </row>
    <row r="2463" spans="1:11" hidden="1" outlineLevel="2" x14ac:dyDescent="0.35">
      <c r="A2463" t="s">
        <v>101</v>
      </c>
      <c r="B2463" s="1">
        <v>45717</v>
      </c>
      <c r="C2463" t="str">
        <f>"3"</f>
        <v>3</v>
      </c>
      <c r="F2463" t="str">
        <f t="shared" si="70"/>
        <v>40810000</v>
      </c>
      <c r="G2463" t="s">
        <v>1447</v>
      </c>
      <c r="H2463" t="s">
        <v>2744</v>
      </c>
      <c r="I2463" s="1">
        <v>45716</v>
      </c>
      <c r="K2463" s="4">
        <v>-5696880</v>
      </c>
    </row>
    <row r="2464" spans="1:11" hidden="1" outlineLevel="2" x14ac:dyDescent="0.35">
      <c r="A2464" t="s">
        <v>101</v>
      </c>
      <c r="B2464" s="1">
        <v>45717</v>
      </c>
      <c r="C2464" t="str">
        <f>"6"</f>
        <v>6</v>
      </c>
      <c r="F2464" t="str">
        <f t="shared" si="70"/>
        <v>40810000</v>
      </c>
      <c r="G2464" t="str">
        <f>"40110001"</f>
        <v>40110001</v>
      </c>
      <c r="H2464" t="s">
        <v>2746</v>
      </c>
      <c r="I2464" s="1">
        <v>45716</v>
      </c>
      <c r="K2464" s="4">
        <v>-6710000</v>
      </c>
    </row>
    <row r="2465" spans="1:11" hidden="1" outlineLevel="2" x14ac:dyDescent="0.35">
      <c r="A2465" t="s">
        <v>101</v>
      </c>
      <c r="B2465" s="1">
        <v>45717</v>
      </c>
      <c r="C2465" t="str">
        <f>"8"</f>
        <v>8</v>
      </c>
      <c r="F2465" t="str">
        <f t="shared" si="70"/>
        <v>40810000</v>
      </c>
      <c r="G2465" t="str">
        <f>"40110143"</f>
        <v>40110143</v>
      </c>
      <c r="H2465" t="s">
        <v>2748</v>
      </c>
      <c r="I2465" s="1">
        <v>45716</v>
      </c>
      <c r="K2465" s="4">
        <v>-29648340</v>
      </c>
    </row>
    <row r="2466" spans="1:11" hidden="1" outlineLevel="2" x14ac:dyDescent="0.35">
      <c r="A2466" t="s">
        <v>101</v>
      </c>
      <c r="B2466" s="1">
        <v>45747</v>
      </c>
      <c r="C2466" t="str">
        <f>"60"</f>
        <v>60</v>
      </c>
      <c r="F2466" t="str">
        <f t="shared" si="70"/>
        <v>40810000</v>
      </c>
      <c r="G2466" t="s">
        <v>1447</v>
      </c>
      <c r="H2466" t="s">
        <v>2880</v>
      </c>
      <c r="I2466" s="1">
        <v>45747</v>
      </c>
      <c r="K2466" s="4">
        <v>5412036</v>
      </c>
    </row>
    <row r="2467" spans="1:11" hidden="1" outlineLevel="2" x14ac:dyDescent="0.35">
      <c r="A2467" t="s">
        <v>101</v>
      </c>
      <c r="B2467" s="1">
        <v>45747</v>
      </c>
      <c r="C2467" t="str">
        <f>"61"</f>
        <v>61</v>
      </c>
      <c r="F2467" t="str">
        <f t="shared" si="70"/>
        <v>40810000</v>
      </c>
      <c r="G2467" t="str">
        <f>"40110143"</f>
        <v>40110143</v>
      </c>
      <c r="H2467" t="s">
        <v>2881</v>
      </c>
      <c r="I2467" s="1">
        <v>45747</v>
      </c>
      <c r="K2467" s="4">
        <v>29648340</v>
      </c>
    </row>
    <row r="2468" spans="1:11" hidden="1" outlineLevel="2" x14ac:dyDescent="0.35">
      <c r="A2468" t="s">
        <v>101</v>
      </c>
      <c r="B2468" s="1">
        <v>45747</v>
      </c>
      <c r="C2468" t="str">
        <f>"76"</f>
        <v>76</v>
      </c>
      <c r="F2468" t="str">
        <f t="shared" si="70"/>
        <v>40810000</v>
      </c>
      <c r="G2468" t="str">
        <f>"40110027"</f>
        <v>40110027</v>
      </c>
      <c r="H2468" t="s">
        <v>2923</v>
      </c>
      <c r="I2468" s="1">
        <v>45747</v>
      </c>
      <c r="K2468" s="4">
        <v>6864390</v>
      </c>
    </row>
    <row r="2469" spans="1:11" hidden="1" outlineLevel="2" x14ac:dyDescent="0.35">
      <c r="A2469" t="s">
        <v>101</v>
      </c>
      <c r="B2469" s="1">
        <v>45747</v>
      </c>
      <c r="C2469" t="str">
        <f t="shared" ref="C2469:C2483" si="71">"77"</f>
        <v>77</v>
      </c>
      <c r="F2469" t="str">
        <f t="shared" si="70"/>
        <v>40810000</v>
      </c>
      <c r="G2469" t="str">
        <f>"40110010"</f>
        <v>40110010</v>
      </c>
      <c r="H2469" t="s">
        <v>2927</v>
      </c>
      <c r="I2469" s="1">
        <v>45747</v>
      </c>
      <c r="K2469" s="4">
        <v>1973450</v>
      </c>
    </row>
    <row r="2470" spans="1:11" hidden="1" outlineLevel="2" x14ac:dyDescent="0.35">
      <c r="A2470" t="s">
        <v>101</v>
      </c>
      <c r="B2470" s="1">
        <v>45747</v>
      </c>
      <c r="C2470" t="str">
        <f t="shared" si="71"/>
        <v>77</v>
      </c>
      <c r="F2470" t="str">
        <f t="shared" si="70"/>
        <v>40810000</v>
      </c>
      <c r="G2470" t="str">
        <f>"40110038"</f>
        <v>40110038</v>
      </c>
      <c r="H2470" t="s">
        <v>2928</v>
      </c>
      <c r="I2470" s="1">
        <v>45747</v>
      </c>
      <c r="K2470" s="4">
        <v>1342650</v>
      </c>
    </row>
    <row r="2471" spans="1:11" hidden="1" outlineLevel="2" x14ac:dyDescent="0.35">
      <c r="A2471" t="s">
        <v>101</v>
      </c>
      <c r="B2471" s="1">
        <v>45747</v>
      </c>
      <c r="C2471" t="str">
        <f t="shared" si="71"/>
        <v>77</v>
      </c>
      <c r="F2471" t="str">
        <f t="shared" si="70"/>
        <v>40810000</v>
      </c>
      <c r="G2471" t="str">
        <f>"40110042"</f>
        <v>40110042</v>
      </c>
      <c r="H2471" t="s">
        <v>2929</v>
      </c>
      <c r="I2471" s="1">
        <v>45747</v>
      </c>
      <c r="K2471" s="4">
        <v>179873</v>
      </c>
    </row>
    <row r="2472" spans="1:11" hidden="1" outlineLevel="2" x14ac:dyDescent="0.35">
      <c r="A2472" t="s">
        <v>101</v>
      </c>
      <c r="B2472" s="1">
        <v>45747</v>
      </c>
      <c r="C2472" t="str">
        <f t="shared" si="71"/>
        <v>77</v>
      </c>
      <c r="F2472" t="str">
        <f t="shared" si="70"/>
        <v>40810000</v>
      </c>
      <c r="G2472" t="str">
        <f>"40110049"</f>
        <v>40110049</v>
      </c>
      <c r="H2472" t="s">
        <v>2930</v>
      </c>
      <c r="I2472" s="1">
        <v>45747</v>
      </c>
      <c r="K2472" s="4">
        <v>2429980</v>
      </c>
    </row>
    <row r="2473" spans="1:11" hidden="1" outlineLevel="2" x14ac:dyDescent="0.35">
      <c r="A2473" t="s">
        <v>101</v>
      </c>
      <c r="B2473" s="1">
        <v>45747</v>
      </c>
      <c r="C2473" t="str">
        <f t="shared" si="71"/>
        <v>77</v>
      </c>
      <c r="F2473" t="str">
        <f t="shared" si="70"/>
        <v>40810000</v>
      </c>
      <c r="G2473" t="str">
        <f>"40110081"</f>
        <v>40110081</v>
      </c>
      <c r="H2473" t="s">
        <v>2931</v>
      </c>
      <c r="I2473" s="1">
        <v>45747</v>
      </c>
      <c r="K2473" s="4">
        <v>738302</v>
      </c>
    </row>
    <row r="2474" spans="1:11" hidden="1" outlineLevel="2" x14ac:dyDescent="0.35">
      <c r="A2474" t="s">
        <v>101</v>
      </c>
      <c r="B2474" s="1">
        <v>45747</v>
      </c>
      <c r="C2474" t="str">
        <f t="shared" si="71"/>
        <v>77</v>
      </c>
      <c r="F2474" t="str">
        <f t="shared" si="70"/>
        <v>40810000</v>
      </c>
      <c r="G2474" t="str">
        <f>"40110088"</f>
        <v>40110088</v>
      </c>
      <c r="H2474" t="s">
        <v>2932</v>
      </c>
      <c r="I2474" s="1">
        <v>45747</v>
      </c>
      <c r="K2474" s="4">
        <v>331296</v>
      </c>
    </row>
    <row r="2475" spans="1:11" hidden="1" outlineLevel="2" x14ac:dyDescent="0.35">
      <c r="A2475" t="s">
        <v>101</v>
      </c>
      <c r="B2475" s="1">
        <v>45747</v>
      </c>
      <c r="C2475" t="str">
        <f t="shared" si="71"/>
        <v>77</v>
      </c>
      <c r="F2475" t="str">
        <f t="shared" si="70"/>
        <v>40810000</v>
      </c>
      <c r="G2475" t="str">
        <f>"40110124"</f>
        <v>40110124</v>
      </c>
      <c r="H2475" t="s">
        <v>2933</v>
      </c>
      <c r="I2475" s="1">
        <v>45747</v>
      </c>
      <c r="K2475" s="4">
        <v>33142</v>
      </c>
    </row>
    <row r="2476" spans="1:11" hidden="1" outlineLevel="2" x14ac:dyDescent="0.35">
      <c r="A2476" t="s">
        <v>101</v>
      </c>
      <c r="B2476" s="1">
        <v>45747</v>
      </c>
      <c r="C2476" t="str">
        <f t="shared" si="71"/>
        <v>77</v>
      </c>
      <c r="F2476" t="str">
        <f t="shared" si="70"/>
        <v>40810000</v>
      </c>
      <c r="G2476" t="str">
        <f>"40110278"</f>
        <v>40110278</v>
      </c>
      <c r="H2476" t="s">
        <v>2934</v>
      </c>
      <c r="I2476" s="1">
        <v>45747</v>
      </c>
      <c r="K2476" s="4">
        <v>13130000</v>
      </c>
    </row>
    <row r="2477" spans="1:11" hidden="1" outlineLevel="2" x14ac:dyDescent="0.35">
      <c r="A2477" t="s">
        <v>101</v>
      </c>
      <c r="B2477" s="1">
        <v>45747</v>
      </c>
      <c r="C2477" t="str">
        <f t="shared" si="71"/>
        <v>77</v>
      </c>
      <c r="F2477" t="str">
        <f t="shared" si="70"/>
        <v>40810000</v>
      </c>
      <c r="G2477" t="str">
        <f>"40110342"</f>
        <v>40110342</v>
      </c>
      <c r="H2477" t="s">
        <v>2935</v>
      </c>
      <c r="I2477" s="1">
        <v>45747</v>
      </c>
      <c r="K2477" s="4">
        <v>515565</v>
      </c>
    </row>
    <row r="2478" spans="1:11" hidden="1" outlineLevel="2" x14ac:dyDescent="0.35">
      <c r="A2478" t="s">
        <v>101</v>
      </c>
      <c r="B2478" s="1">
        <v>45747</v>
      </c>
      <c r="C2478" t="str">
        <f t="shared" si="71"/>
        <v>77</v>
      </c>
      <c r="F2478" t="str">
        <f t="shared" si="70"/>
        <v>40810000</v>
      </c>
      <c r="G2478" t="str">
        <f>"40110397"</f>
        <v>40110397</v>
      </c>
      <c r="H2478" t="s">
        <v>2936</v>
      </c>
      <c r="I2478" s="1">
        <v>45747</v>
      </c>
      <c r="K2478" s="4">
        <v>1610000</v>
      </c>
    </row>
    <row r="2479" spans="1:11" hidden="1" outlineLevel="2" x14ac:dyDescent="0.35">
      <c r="A2479" t="s">
        <v>101</v>
      </c>
      <c r="B2479" s="1">
        <v>45747</v>
      </c>
      <c r="C2479" t="str">
        <f t="shared" si="71"/>
        <v>77</v>
      </c>
      <c r="F2479" t="str">
        <f t="shared" si="70"/>
        <v>40810000</v>
      </c>
      <c r="G2479" t="str">
        <f>"40110493"</f>
        <v>40110493</v>
      </c>
      <c r="H2479" t="s">
        <v>2937</v>
      </c>
      <c r="I2479" s="1">
        <v>45747</v>
      </c>
      <c r="K2479" s="4">
        <v>90000</v>
      </c>
    </row>
    <row r="2480" spans="1:11" hidden="1" outlineLevel="2" x14ac:dyDescent="0.35">
      <c r="A2480" t="s">
        <v>101</v>
      </c>
      <c r="B2480" s="1">
        <v>45747</v>
      </c>
      <c r="C2480" t="str">
        <f t="shared" si="71"/>
        <v>77</v>
      </c>
      <c r="F2480" t="str">
        <f t="shared" si="70"/>
        <v>40810000</v>
      </c>
      <c r="G2480" t="str">
        <f>"40110625"</f>
        <v>40110625</v>
      </c>
      <c r="H2480" t="s">
        <v>2938</v>
      </c>
      <c r="I2480" s="1">
        <v>45747</v>
      </c>
      <c r="K2480" s="4">
        <v>445290</v>
      </c>
    </row>
    <row r="2481" spans="1:11" hidden="1" outlineLevel="2" x14ac:dyDescent="0.35">
      <c r="A2481" t="s">
        <v>101</v>
      </c>
      <c r="B2481" s="1">
        <v>45747</v>
      </c>
      <c r="C2481" t="str">
        <f t="shared" si="71"/>
        <v>77</v>
      </c>
      <c r="F2481" t="str">
        <f t="shared" si="70"/>
        <v>40810000</v>
      </c>
      <c r="G2481" t="str">
        <f>"40110721"</f>
        <v>40110721</v>
      </c>
      <c r="H2481" t="s">
        <v>2939</v>
      </c>
      <c r="I2481" s="1">
        <v>45747</v>
      </c>
      <c r="K2481" s="4">
        <v>40600</v>
      </c>
    </row>
    <row r="2482" spans="1:11" hidden="1" outlineLevel="2" x14ac:dyDescent="0.35">
      <c r="A2482" t="s">
        <v>101</v>
      </c>
      <c r="B2482" s="1">
        <v>45747</v>
      </c>
      <c r="C2482" t="str">
        <f t="shared" si="71"/>
        <v>77</v>
      </c>
      <c r="F2482" t="str">
        <f t="shared" si="70"/>
        <v>40810000</v>
      </c>
      <c r="G2482" t="str">
        <f>"40112098"</f>
        <v>40112098</v>
      </c>
      <c r="H2482" t="s">
        <v>2940</v>
      </c>
      <c r="I2482" s="1">
        <v>45747</v>
      </c>
      <c r="K2482" s="4">
        <v>246388</v>
      </c>
    </row>
    <row r="2483" spans="1:11" hidden="1" outlineLevel="2" x14ac:dyDescent="0.35">
      <c r="A2483" t="s">
        <v>101</v>
      </c>
      <c r="B2483" s="1">
        <v>45747</v>
      </c>
      <c r="C2483" t="str">
        <f t="shared" si="71"/>
        <v>77</v>
      </c>
      <c r="F2483" t="str">
        <f t="shared" si="70"/>
        <v>40810000</v>
      </c>
      <c r="G2483" t="str">
        <f>"40120644"</f>
        <v>40120644</v>
      </c>
      <c r="H2483" t="s">
        <v>2941</v>
      </c>
      <c r="I2483" s="1">
        <v>45747</v>
      </c>
      <c r="K2483" s="4">
        <v>525000</v>
      </c>
    </row>
    <row r="2484" spans="1:11" outlineLevel="1" collapsed="1" x14ac:dyDescent="0.35">
      <c r="B2484" s="1"/>
      <c r="F2484" s="3" t="s">
        <v>6532</v>
      </c>
      <c r="I2484" s="1"/>
      <c r="J2484" s="4">
        <f>SUBTOTAL(9,J2445:J2483)</f>
        <v>0</v>
      </c>
      <c r="K2484" s="4">
        <f>SUBTOTAL(9,K2445:K2483)</f>
        <v>-29868626</v>
      </c>
    </row>
    <row r="2485" spans="1:11" hidden="1" outlineLevel="2" x14ac:dyDescent="0.35">
      <c r="A2485" t="s">
        <v>1790</v>
      </c>
      <c r="B2485" s="1">
        <v>45726</v>
      </c>
      <c r="C2485" t="str">
        <f>"151"</f>
        <v>151</v>
      </c>
      <c r="F2485" t="str">
        <f t="shared" ref="F2485:F2548" si="72">"41110000"</f>
        <v>41110000</v>
      </c>
      <c r="G2485" t="str">
        <f>"41111340"</f>
        <v>41111340</v>
      </c>
      <c r="H2485" t="s">
        <v>1802</v>
      </c>
      <c r="K2485" s="4">
        <v>1220304</v>
      </c>
    </row>
    <row r="2486" spans="1:11" hidden="1" outlineLevel="2" x14ac:dyDescent="0.35">
      <c r="A2486" t="s">
        <v>1790</v>
      </c>
      <c r="B2486" s="1">
        <v>45733</v>
      </c>
      <c r="C2486" t="str">
        <f>"162"</f>
        <v>162</v>
      </c>
      <c r="F2486" t="str">
        <f t="shared" si="72"/>
        <v>41110000</v>
      </c>
      <c r="G2486" t="str">
        <f>"41111486"</f>
        <v>41111486</v>
      </c>
      <c r="H2486" t="s">
        <v>40</v>
      </c>
      <c r="K2486" s="4">
        <v>21671880</v>
      </c>
    </row>
    <row r="2487" spans="1:11" hidden="1" outlineLevel="2" x14ac:dyDescent="0.35">
      <c r="A2487" t="s">
        <v>1831</v>
      </c>
      <c r="B2487" s="1">
        <v>45733</v>
      </c>
      <c r="C2487" t="str">
        <f>"90"</f>
        <v>90</v>
      </c>
      <c r="F2487" t="str">
        <f t="shared" si="72"/>
        <v>41110000</v>
      </c>
      <c r="G2487" t="str">
        <f>"41111478"</f>
        <v>41111478</v>
      </c>
      <c r="H2487" t="s">
        <v>34</v>
      </c>
      <c r="K2487" s="4">
        <v>10978720</v>
      </c>
    </row>
    <row r="2488" spans="1:11" hidden="1" outlineLevel="2" x14ac:dyDescent="0.35">
      <c r="A2488" t="s">
        <v>1831</v>
      </c>
      <c r="B2488" s="1">
        <v>45742</v>
      </c>
      <c r="C2488" t="str">
        <f>"109"</f>
        <v>109</v>
      </c>
      <c r="F2488" t="str">
        <f t="shared" si="72"/>
        <v>41110000</v>
      </c>
      <c r="G2488" t="str">
        <f>"41111662"</f>
        <v>41111662</v>
      </c>
      <c r="H2488" t="s">
        <v>1870</v>
      </c>
      <c r="K2488" s="4">
        <v>2714000</v>
      </c>
    </row>
    <row r="2489" spans="1:11" hidden="1" outlineLevel="2" x14ac:dyDescent="0.35">
      <c r="A2489" t="s">
        <v>1831</v>
      </c>
      <c r="B2489" s="1">
        <v>45744</v>
      </c>
      <c r="C2489" t="str">
        <f>"113"</f>
        <v>113</v>
      </c>
      <c r="F2489" t="str">
        <f t="shared" si="72"/>
        <v>41110000</v>
      </c>
      <c r="G2489" t="str">
        <f>"41112001"</f>
        <v>41112001</v>
      </c>
      <c r="H2489" t="s">
        <v>1872</v>
      </c>
      <c r="K2489" s="4">
        <v>103840</v>
      </c>
    </row>
    <row r="2490" spans="1:11" hidden="1" outlineLevel="2" x14ac:dyDescent="0.35">
      <c r="A2490" t="s">
        <v>1892</v>
      </c>
      <c r="B2490" s="1">
        <v>45733</v>
      </c>
      <c r="C2490" t="str">
        <f>"52"</f>
        <v>52</v>
      </c>
      <c r="F2490" t="str">
        <f t="shared" si="72"/>
        <v>41110000</v>
      </c>
      <c r="G2490" t="str">
        <f>"41111454"</f>
        <v>41111454</v>
      </c>
      <c r="H2490" t="s">
        <v>1901</v>
      </c>
      <c r="K2490" s="4">
        <v>31034000</v>
      </c>
    </row>
    <row r="2491" spans="1:11" hidden="1" outlineLevel="2" x14ac:dyDescent="0.35">
      <c r="A2491" t="s">
        <v>1911</v>
      </c>
      <c r="B2491" s="1">
        <v>45722</v>
      </c>
      <c r="C2491" t="str">
        <f>"168"</f>
        <v>168</v>
      </c>
      <c r="F2491" t="str">
        <f t="shared" si="72"/>
        <v>41110000</v>
      </c>
      <c r="G2491" t="str">
        <f>"41111930"</f>
        <v>41111930</v>
      </c>
      <c r="H2491" t="s">
        <v>1924</v>
      </c>
      <c r="K2491" s="4">
        <v>21441134</v>
      </c>
    </row>
    <row r="2492" spans="1:11" hidden="1" outlineLevel="2" x14ac:dyDescent="0.35">
      <c r="A2492" t="s">
        <v>1911</v>
      </c>
      <c r="B2492" s="1">
        <v>45730</v>
      </c>
      <c r="C2492" t="str">
        <f>"171"</f>
        <v>171</v>
      </c>
      <c r="F2492" t="str">
        <f t="shared" si="72"/>
        <v>41110000</v>
      </c>
      <c r="G2492" t="str">
        <f>"41112009"</f>
        <v>41112009</v>
      </c>
      <c r="H2492" t="s">
        <v>1930</v>
      </c>
      <c r="K2492" s="4">
        <v>520399</v>
      </c>
    </row>
    <row r="2493" spans="1:11" hidden="1" outlineLevel="2" x14ac:dyDescent="0.35">
      <c r="A2493" t="s">
        <v>1911</v>
      </c>
      <c r="B2493" s="1">
        <v>45735</v>
      </c>
      <c r="C2493" t="str">
        <f>"186"</f>
        <v>186</v>
      </c>
      <c r="F2493" t="str">
        <f t="shared" si="72"/>
        <v>41110000</v>
      </c>
      <c r="G2493" t="str">
        <f>"41112014"</f>
        <v>41112014</v>
      </c>
      <c r="H2493" t="s">
        <v>1937</v>
      </c>
      <c r="K2493" s="4">
        <v>23500000</v>
      </c>
    </row>
    <row r="2494" spans="1:11" hidden="1" outlineLevel="2" x14ac:dyDescent="0.35">
      <c r="A2494" t="s">
        <v>1911</v>
      </c>
      <c r="B2494" s="1">
        <v>45741</v>
      </c>
      <c r="C2494" t="str">
        <f>"194"</f>
        <v>194</v>
      </c>
      <c r="F2494" t="str">
        <f t="shared" si="72"/>
        <v>41110000</v>
      </c>
      <c r="G2494" t="str">
        <f>"41111930"</f>
        <v>41111930</v>
      </c>
      <c r="H2494" t="s">
        <v>1924</v>
      </c>
      <c r="K2494" s="4">
        <v>19702290</v>
      </c>
    </row>
    <row r="2495" spans="1:11" hidden="1" outlineLevel="2" x14ac:dyDescent="0.35">
      <c r="A2495" t="s">
        <v>1911</v>
      </c>
      <c r="B2495" s="1">
        <v>45742</v>
      </c>
      <c r="C2495" t="str">
        <f>"198"</f>
        <v>198</v>
      </c>
      <c r="F2495" t="str">
        <f t="shared" si="72"/>
        <v>41110000</v>
      </c>
      <c r="G2495" t="str">
        <f>"41112009"</f>
        <v>41112009</v>
      </c>
      <c r="H2495" t="s">
        <v>1930</v>
      </c>
      <c r="K2495" s="4">
        <v>6944344</v>
      </c>
    </row>
    <row r="2496" spans="1:11" hidden="1" outlineLevel="2" x14ac:dyDescent="0.35">
      <c r="A2496" t="s">
        <v>1911</v>
      </c>
      <c r="B2496" s="1">
        <v>45744</v>
      </c>
      <c r="C2496" t="str">
        <f>"240"</f>
        <v>240</v>
      </c>
      <c r="F2496" t="str">
        <f t="shared" si="72"/>
        <v>41110000</v>
      </c>
      <c r="G2496" t="str">
        <f>"41111930"</f>
        <v>41111930</v>
      </c>
      <c r="H2496" t="s">
        <v>1924</v>
      </c>
      <c r="K2496" s="4">
        <v>13281305</v>
      </c>
    </row>
    <row r="2497" spans="1:11" hidden="1" outlineLevel="2" x14ac:dyDescent="0.35">
      <c r="A2497" t="s">
        <v>1986</v>
      </c>
      <c r="B2497" s="1">
        <v>45733</v>
      </c>
      <c r="C2497" t="str">
        <f>"64"</f>
        <v>64</v>
      </c>
      <c r="F2497" t="str">
        <f t="shared" si="72"/>
        <v>41110000</v>
      </c>
      <c r="G2497" t="str">
        <f>"41111864"</f>
        <v>41111864</v>
      </c>
      <c r="H2497" t="s">
        <v>2005</v>
      </c>
      <c r="J2497" s="4">
        <v>875000</v>
      </c>
    </row>
    <row r="2498" spans="1:11" hidden="1" outlineLevel="2" x14ac:dyDescent="0.35">
      <c r="A2498" t="s">
        <v>2656</v>
      </c>
      <c r="B2498" s="1">
        <v>45719</v>
      </c>
      <c r="C2498" t="str">
        <f>"37"</f>
        <v>37</v>
      </c>
      <c r="F2498" t="str">
        <f t="shared" si="72"/>
        <v>41110000</v>
      </c>
      <c r="G2498" t="str">
        <f>"41111237"</f>
        <v>41111237</v>
      </c>
      <c r="H2498" t="s">
        <v>2657</v>
      </c>
      <c r="I2498" s="1">
        <v>45719</v>
      </c>
      <c r="K2498" s="4">
        <v>18254416</v>
      </c>
    </row>
    <row r="2499" spans="1:11" hidden="1" outlineLevel="2" x14ac:dyDescent="0.35">
      <c r="A2499" t="s">
        <v>2656</v>
      </c>
      <c r="B2499" s="1">
        <v>45720</v>
      </c>
      <c r="C2499" t="str">
        <f>"38"</f>
        <v>38</v>
      </c>
      <c r="F2499" t="str">
        <f t="shared" si="72"/>
        <v>41110000</v>
      </c>
      <c r="G2499" t="str">
        <f>"41111833"</f>
        <v>41111833</v>
      </c>
      <c r="H2499" t="s">
        <v>2658</v>
      </c>
      <c r="I2499" s="1">
        <v>45721</v>
      </c>
      <c r="K2499" s="4">
        <v>40520124</v>
      </c>
    </row>
    <row r="2500" spans="1:11" hidden="1" outlineLevel="2" x14ac:dyDescent="0.35">
      <c r="A2500" t="s">
        <v>2656</v>
      </c>
      <c r="B2500" s="1">
        <v>45722</v>
      </c>
      <c r="C2500" t="str">
        <f>"40"</f>
        <v>40</v>
      </c>
      <c r="F2500" t="str">
        <f t="shared" si="72"/>
        <v>41110000</v>
      </c>
      <c r="G2500" t="str">
        <f>"41111371"</f>
        <v>41111371</v>
      </c>
      <c r="H2500" t="s">
        <v>2661</v>
      </c>
      <c r="I2500" s="1">
        <v>45722</v>
      </c>
      <c r="K2500" s="4">
        <v>25099780</v>
      </c>
    </row>
    <row r="2501" spans="1:11" hidden="1" outlineLevel="2" x14ac:dyDescent="0.35">
      <c r="A2501" t="s">
        <v>2656</v>
      </c>
      <c r="B2501" s="1">
        <v>45722</v>
      </c>
      <c r="C2501" t="str">
        <f>"41"</f>
        <v>41</v>
      </c>
      <c r="F2501" t="str">
        <f t="shared" si="72"/>
        <v>41110000</v>
      </c>
      <c r="G2501" t="str">
        <f>"41111371"</f>
        <v>41111371</v>
      </c>
      <c r="H2501" t="s">
        <v>2662</v>
      </c>
      <c r="I2501" s="1">
        <v>45722</v>
      </c>
      <c r="K2501" s="4">
        <v>2714000</v>
      </c>
    </row>
    <row r="2502" spans="1:11" hidden="1" outlineLevel="2" x14ac:dyDescent="0.35">
      <c r="A2502" t="s">
        <v>2656</v>
      </c>
      <c r="B2502" s="1">
        <v>45722</v>
      </c>
      <c r="C2502" t="str">
        <f>"55"</f>
        <v>55</v>
      </c>
      <c r="F2502" t="str">
        <f t="shared" si="72"/>
        <v>41110000</v>
      </c>
      <c r="G2502" t="str">
        <f>"41111833"</f>
        <v>41111833</v>
      </c>
      <c r="H2502" t="s">
        <v>2663</v>
      </c>
      <c r="I2502" s="1">
        <v>45721</v>
      </c>
      <c r="K2502" s="4">
        <v>-40520124</v>
      </c>
    </row>
    <row r="2503" spans="1:11" hidden="1" outlineLevel="2" x14ac:dyDescent="0.35">
      <c r="A2503" t="s">
        <v>2656</v>
      </c>
      <c r="B2503" s="1">
        <v>45729</v>
      </c>
      <c r="C2503" t="str">
        <f>"42"</f>
        <v>42</v>
      </c>
      <c r="F2503" t="str">
        <f t="shared" si="72"/>
        <v>41110000</v>
      </c>
      <c r="G2503" t="str">
        <f>"41101420"</f>
        <v>41101420</v>
      </c>
      <c r="H2503" t="s">
        <v>2664</v>
      </c>
      <c r="I2503" s="1">
        <v>45729</v>
      </c>
      <c r="K2503" s="4">
        <v>147500</v>
      </c>
    </row>
    <row r="2504" spans="1:11" hidden="1" outlineLevel="2" x14ac:dyDescent="0.35">
      <c r="A2504" t="s">
        <v>2656</v>
      </c>
      <c r="B2504" s="1">
        <v>45730</v>
      </c>
      <c r="C2504" t="str">
        <f>"43"</f>
        <v>43</v>
      </c>
      <c r="F2504" t="str">
        <f t="shared" si="72"/>
        <v>41110000</v>
      </c>
      <c r="G2504" t="str">
        <f>"41111415"</f>
        <v>41111415</v>
      </c>
      <c r="H2504" t="s">
        <v>2665</v>
      </c>
      <c r="I2504" s="1">
        <v>45730</v>
      </c>
      <c r="K2504" s="4">
        <v>3957000</v>
      </c>
    </row>
    <row r="2505" spans="1:11" hidden="1" outlineLevel="2" x14ac:dyDescent="0.35">
      <c r="A2505" t="s">
        <v>2656</v>
      </c>
      <c r="B2505" s="1">
        <v>45734</v>
      </c>
      <c r="C2505" t="str">
        <f>"45"</f>
        <v>45</v>
      </c>
      <c r="F2505" t="str">
        <f t="shared" si="72"/>
        <v>41110000</v>
      </c>
      <c r="G2505" t="str">
        <f>"41111415"</f>
        <v>41111415</v>
      </c>
      <c r="H2505" t="s">
        <v>2667</v>
      </c>
      <c r="I2505" s="1">
        <v>45734</v>
      </c>
      <c r="K2505" s="4">
        <v>4303000</v>
      </c>
    </row>
    <row r="2506" spans="1:11" hidden="1" outlineLevel="2" x14ac:dyDescent="0.35">
      <c r="A2506" t="s">
        <v>2656</v>
      </c>
      <c r="B2506" s="1">
        <v>45735</v>
      </c>
      <c r="C2506" t="str">
        <f>"46"</f>
        <v>46</v>
      </c>
      <c r="F2506" t="str">
        <f t="shared" si="72"/>
        <v>41110000</v>
      </c>
      <c r="G2506" t="str">
        <f>"41111643"</f>
        <v>41111643</v>
      </c>
      <c r="H2506" t="s">
        <v>2668</v>
      </c>
      <c r="I2506" s="1">
        <v>45735</v>
      </c>
      <c r="K2506" s="4">
        <v>2242000</v>
      </c>
    </row>
    <row r="2507" spans="1:11" hidden="1" outlineLevel="2" x14ac:dyDescent="0.35">
      <c r="A2507" t="s">
        <v>2656</v>
      </c>
      <c r="B2507" s="1">
        <v>45735</v>
      </c>
      <c r="C2507" t="str">
        <f>"47"</f>
        <v>47</v>
      </c>
      <c r="F2507" t="str">
        <f t="shared" si="72"/>
        <v>41110000</v>
      </c>
      <c r="G2507" t="str">
        <f>"41111643"</f>
        <v>41111643</v>
      </c>
      <c r="H2507" t="s">
        <v>2669</v>
      </c>
      <c r="I2507" s="1">
        <v>45735</v>
      </c>
      <c r="K2507" s="4">
        <v>1180000</v>
      </c>
    </row>
    <row r="2508" spans="1:11" hidden="1" outlineLevel="2" x14ac:dyDescent="0.35">
      <c r="A2508" t="s">
        <v>101</v>
      </c>
      <c r="B2508" s="1">
        <v>45736</v>
      </c>
      <c r="C2508" t="str">
        <f t="shared" ref="C2508:C2516" si="73">"21"</f>
        <v>21</v>
      </c>
      <c r="D2508" t="s">
        <v>2807</v>
      </c>
      <c r="F2508" t="str">
        <f t="shared" si="72"/>
        <v>41110000</v>
      </c>
      <c r="G2508" t="str">
        <f t="shared" ref="G2508:G2516" si="74">"41111710"</f>
        <v>41111710</v>
      </c>
      <c r="H2508" t="s">
        <v>2808</v>
      </c>
      <c r="I2508" s="1">
        <v>45736</v>
      </c>
      <c r="J2508" s="4">
        <v>4720000</v>
      </c>
    </row>
    <row r="2509" spans="1:11" hidden="1" outlineLevel="2" x14ac:dyDescent="0.35">
      <c r="A2509" t="s">
        <v>101</v>
      </c>
      <c r="B2509" s="1">
        <v>45736</v>
      </c>
      <c r="C2509" t="str">
        <f t="shared" si="73"/>
        <v>21</v>
      </c>
      <c r="D2509" t="s">
        <v>2809</v>
      </c>
      <c r="F2509" t="str">
        <f t="shared" si="72"/>
        <v>41110000</v>
      </c>
      <c r="G2509" t="str">
        <f t="shared" si="74"/>
        <v>41111710</v>
      </c>
      <c r="H2509" t="s">
        <v>2810</v>
      </c>
      <c r="I2509" s="1">
        <v>45766</v>
      </c>
      <c r="J2509" s="4">
        <v>708000</v>
      </c>
    </row>
    <row r="2510" spans="1:11" hidden="1" outlineLevel="2" x14ac:dyDescent="0.35">
      <c r="A2510" t="s">
        <v>101</v>
      </c>
      <c r="B2510" s="1">
        <v>45736</v>
      </c>
      <c r="C2510" t="str">
        <f t="shared" si="73"/>
        <v>21</v>
      </c>
      <c r="F2510" t="str">
        <f t="shared" si="72"/>
        <v>41110000</v>
      </c>
      <c r="G2510" t="str">
        <f t="shared" si="74"/>
        <v>41111710</v>
      </c>
      <c r="H2510" t="s">
        <v>2811</v>
      </c>
      <c r="I2510" s="1">
        <v>45766</v>
      </c>
      <c r="J2510" s="4">
        <v>1296000</v>
      </c>
    </row>
    <row r="2511" spans="1:11" hidden="1" outlineLevel="2" x14ac:dyDescent="0.35">
      <c r="A2511" t="s">
        <v>101</v>
      </c>
      <c r="B2511" s="1">
        <v>45736</v>
      </c>
      <c r="C2511" t="str">
        <f t="shared" si="73"/>
        <v>21</v>
      </c>
      <c r="F2511" t="str">
        <f t="shared" si="72"/>
        <v>41110000</v>
      </c>
      <c r="G2511" t="str">
        <f t="shared" si="74"/>
        <v>41111710</v>
      </c>
      <c r="H2511" t="s">
        <v>2811</v>
      </c>
      <c r="I2511" s="1">
        <v>45766</v>
      </c>
      <c r="J2511" s="4">
        <v>1296000</v>
      </c>
    </row>
    <row r="2512" spans="1:11" hidden="1" outlineLevel="2" x14ac:dyDescent="0.35">
      <c r="A2512" t="s">
        <v>101</v>
      </c>
      <c r="B2512" s="1">
        <v>45736</v>
      </c>
      <c r="C2512" t="str">
        <f t="shared" si="73"/>
        <v>21</v>
      </c>
      <c r="F2512" t="str">
        <f t="shared" si="72"/>
        <v>41110000</v>
      </c>
      <c r="G2512" t="str">
        <f t="shared" si="74"/>
        <v>41111710</v>
      </c>
      <c r="H2512" t="s">
        <v>2811</v>
      </c>
      <c r="I2512" s="1">
        <v>45736</v>
      </c>
      <c r="J2512" s="4">
        <v>486000</v>
      </c>
    </row>
    <row r="2513" spans="1:11" hidden="1" outlineLevel="2" x14ac:dyDescent="0.35">
      <c r="A2513" t="s">
        <v>101</v>
      </c>
      <c r="B2513" s="1">
        <v>45736</v>
      </c>
      <c r="C2513" t="str">
        <f t="shared" si="73"/>
        <v>21</v>
      </c>
      <c r="F2513" t="str">
        <f t="shared" si="72"/>
        <v>41110000</v>
      </c>
      <c r="G2513" t="str">
        <f t="shared" si="74"/>
        <v>41111710</v>
      </c>
      <c r="H2513" t="s">
        <v>2811</v>
      </c>
      <c r="I2513" s="1">
        <v>45736</v>
      </c>
      <c r="J2513" s="4">
        <v>486000</v>
      </c>
    </row>
    <row r="2514" spans="1:11" hidden="1" outlineLevel="2" x14ac:dyDescent="0.35">
      <c r="A2514" t="s">
        <v>101</v>
      </c>
      <c r="B2514" s="1">
        <v>45736</v>
      </c>
      <c r="C2514" t="str">
        <f t="shared" si="73"/>
        <v>21</v>
      </c>
      <c r="F2514" t="str">
        <f t="shared" si="72"/>
        <v>41110000</v>
      </c>
      <c r="G2514" t="str">
        <f t="shared" si="74"/>
        <v>41111710</v>
      </c>
      <c r="H2514" t="s">
        <v>2812</v>
      </c>
      <c r="I2514" s="1">
        <v>45766</v>
      </c>
      <c r="J2514" s="4">
        <v>-2700000</v>
      </c>
    </row>
    <row r="2515" spans="1:11" hidden="1" outlineLevel="2" x14ac:dyDescent="0.35">
      <c r="A2515" t="s">
        <v>101</v>
      </c>
      <c r="B2515" s="1">
        <v>45736</v>
      </c>
      <c r="C2515" t="str">
        <f t="shared" si="73"/>
        <v>21</v>
      </c>
      <c r="F2515" t="str">
        <f t="shared" si="72"/>
        <v>41110000</v>
      </c>
      <c r="G2515" t="str">
        <f t="shared" si="74"/>
        <v>41111710</v>
      </c>
      <c r="H2515" t="s">
        <v>2813</v>
      </c>
      <c r="I2515" s="1">
        <v>45766</v>
      </c>
      <c r="J2515" s="4">
        <v>-600000</v>
      </c>
    </row>
    <row r="2516" spans="1:11" hidden="1" outlineLevel="2" x14ac:dyDescent="0.35">
      <c r="A2516" t="s">
        <v>101</v>
      </c>
      <c r="B2516" s="1">
        <v>45736</v>
      </c>
      <c r="C2516" t="str">
        <f t="shared" si="73"/>
        <v>21</v>
      </c>
      <c r="D2516" t="s">
        <v>2814</v>
      </c>
      <c r="F2516" t="str">
        <f t="shared" si="72"/>
        <v>41110000</v>
      </c>
      <c r="G2516" t="str">
        <f t="shared" si="74"/>
        <v>41111710</v>
      </c>
      <c r="H2516" t="s">
        <v>2808</v>
      </c>
      <c r="I2516" s="1">
        <v>45736</v>
      </c>
      <c r="J2516" s="4">
        <v>354000</v>
      </c>
    </row>
    <row r="2517" spans="1:11" hidden="1" outlineLevel="2" x14ac:dyDescent="0.35">
      <c r="A2517" t="s">
        <v>101</v>
      </c>
      <c r="B2517" s="1">
        <v>45737</v>
      </c>
      <c r="C2517" t="str">
        <f>"23"</f>
        <v>23</v>
      </c>
      <c r="D2517" t="s">
        <v>2816</v>
      </c>
      <c r="E2517" t="s">
        <v>2816</v>
      </c>
      <c r="F2517" t="str">
        <f t="shared" si="72"/>
        <v>41110000</v>
      </c>
      <c r="G2517" t="s">
        <v>2817</v>
      </c>
      <c r="H2517" t="s">
        <v>2818</v>
      </c>
      <c r="I2517" s="1">
        <v>45737</v>
      </c>
      <c r="K2517" s="4">
        <v>36000</v>
      </c>
    </row>
    <row r="2518" spans="1:11" hidden="1" outlineLevel="2" x14ac:dyDescent="0.35">
      <c r="A2518" t="s">
        <v>101</v>
      </c>
      <c r="B2518" s="1">
        <v>45740</v>
      </c>
      <c r="C2518" t="str">
        <f>"24"</f>
        <v>24</v>
      </c>
      <c r="F2518" t="str">
        <f t="shared" si="72"/>
        <v>41110000</v>
      </c>
      <c r="G2518" t="str">
        <f>"41111595"</f>
        <v>41111595</v>
      </c>
      <c r="H2518" t="s">
        <v>2819</v>
      </c>
      <c r="I2518" s="1">
        <v>45740</v>
      </c>
      <c r="K2518" s="4">
        <v>514844</v>
      </c>
    </row>
    <row r="2519" spans="1:11" hidden="1" outlineLevel="2" x14ac:dyDescent="0.35">
      <c r="A2519" t="s">
        <v>101</v>
      </c>
      <c r="B2519" s="1">
        <v>45744</v>
      </c>
      <c r="C2519" t="str">
        <f>"28"</f>
        <v>28</v>
      </c>
      <c r="D2519" t="s">
        <v>2814</v>
      </c>
      <c r="E2519" t="s">
        <v>2814</v>
      </c>
      <c r="F2519" t="str">
        <f t="shared" si="72"/>
        <v>41110000</v>
      </c>
      <c r="G2519" t="str">
        <f>"41111710"</f>
        <v>41111710</v>
      </c>
      <c r="H2519" t="s">
        <v>2821</v>
      </c>
      <c r="I2519" s="1">
        <v>45774</v>
      </c>
      <c r="K2519" s="4">
        <v>54000</v>
      </c>
    </row>
    <row r="2520" spans="1:11" hidden="1" outlineLevel="2" x14ac:dyDescent="0.35">
      <c r="A2520" t="s">
        <v>101</v>
      </c>
      <c r="B2520" s="1">
        <v>45747</v>
      </c>
      <c r="C2520" t="str">
        <f>"24"</f>
        <v>24</v>
      </c>
      <c r="F2520" t="str">
        <f t="shared" si="72"/>
        <v>41110000</v>
      </c>
      <c r="G2520" t="str">
        <f>"41111710"</f>
        <v>41111710</v>
      </c>
      <c r="H2520" t="s">
        <v>2866</v>
      </c>
      <c r="I2520" s="1">
        <v>45777</v>
      </c>
      <c r="K2520" s="4">
        <v>5692000</v>
      </c>
    </row>
    <row r="2521" spans="1:11" hidden="1" outlineLevel="2" x14ac:dyDescent="0.35">
      <c r="A2521" t="s">
        <v>131</v>
      </c>
      <c r="B2521" s="1">
        <v>45717</v>
      </c>
      <c r="C2521" t="s">
        <v>5498</v>
      </c>
      <c r="D2521" t="s">
        <v>5498</v>
      </c>
      <c r="F2521" t="str">
        <f t="shared" si="72"/>
        <v>41110000</v>
      </c>
      <c r="G2521" t="str">
        <f>"41111454"</f>
        <v>41111454</v>
      </c>
      <c r="H2521" t="s">
        <v>5499</v>
      </c>
      <c r="I2521" s="1">
        <v>45717</v>
      </c>
      <c r="J2521" s="4">
        <v>29500000</v>
      </c>
    </row>
    <row r="2522" spans="1:11" hidden="1" outlineLevel="2" x14ac:dyDescent="0.35">
      <c r="A2522" t="s">
        <v>131</v>
      </c>
      <c r="B2522" s="1">
        <v>45717</v>
      </c>
      <c r="C2522" t="s">
        <v>5500</v>
      </c>
      <c r="D2522" t="s">
        <v>5500</v>
      </c>
      <c r="F2522" t="str">
        <f t="shared" si="72"/>
        <v>41110000</v>
      </c>
      <c r="G2522" t="str">
        <f>"41111991"</f>
        <v>41111991</v>
      </c>
      <c r="H2522" t="s">
        <v>5501</v>
      </c>
      <c r="I2522" s="1">
        <v>45744</v>
      </c>
      <c r="J2522" s="4">
        <v>247800</v>
      </c>
    </row>
    <row r="2523" spans="1:11" hidden="1" outlineLevel="2" x14ac:dyDescent="0.35">
      <c r="A2523" t="s">
        <v>131</v>
      </c>
      <c r="B2523" s="1">
        <v>45717</v>
      </c>
      <c r="C2523" t="s">
        <v>5503</v>
      </c>
      <c r="D2523" t="s">
        <v>5503</v>
      </c>
      <c r="F2523" t="str">
        <f t="shared" si="72"/>
        <v>41110000</v>
      </c>
      <c r="G2523" t="str">
        <f>"41111991"</f>
        <v>41111991</v>
      </c>
      <c r="H2523" t="s">
        <v>5501</v>
      </c>
      <c r="I2523" s="1">
        <v>45744</v>
      </c>
      <c r="J2523" s="4">
        <v>41269541</v>
      </c>
    </row>
    <row r="2524" spans="1:11" hidden="1" outlineLevel="2" x14ac:dyDescent="0.35">
      <c r="A2524" t="s">
        <v>131</v>
      </c>
      <c r="B2524" s="1">
        <v>45717</v>
      </c>
      <c r="C2524" t="s">
        <v>5505</v>
      </c>
      <c r="D2524" t="s">
        <v>5505</v>
      </c>
      <c r="F2524" t="str">
        <f t="shared" si="72"/>
        <v>41110000</v>
      </c>
      <c r="G2524" t="str">
        <f>"41111930"</f>
        <v>41111930</v>
      </c>
      <c r="H2524" t="s">
        <v>5506</v>
      </c>
      <c r="I2524" s="1">
        <v>45747</v>
      </c>
      <c r="J2524" s="4">
        <v>11354347</v>
      </c>
    </row>
    <row r="2525" spans="1:11" hidden="1" outlineLevel="2" x14ac:dyDescent="0.35">
      <c r="A2525" t="s">
        <v>131</v>
      </c>
      <c r="B2525" s="1">
        <v>45717</v>
      </c>
      <c r="C2525" t="s">
        <v>5509</v>
      </c>
      <c r="D2525" t="s">
        <v>5509</v>
      </c>
      <c r="F2525" t="str">
        <f t="shared" si="72"/>
        <v>41110000</v>
      </c>
      <c r="G2525" t="str">
        <f>"41111000"</f>
        <v>41111000</v>
      </c>
      <c r="H2525" t="s">
        <v>5510</v>
      </c>
      <c r="I2525" s="1">
        <v>45717</v>
      </c>
      <c r="J2525" s="4">
        <v>944000</v>
      </c>
    </row>
    <row r="2526" spans="1:11" hidden="1" outlineLevel="2" x14ac:dyDescent="0.35">
      <c r="A2526" t="s">
        <v>131</v>
      </c>
      <c r="B2526" s="1">
        <v>45718</v>
      </c>
      <c r="C2526" t="s">
        <v>5511</v>
      </c>
      <c r="D2526" t="s">
        <v>5511</v>
      </c>
      <c r="F2526" t="str">
        <f t="shared" si="72"/>
        <v>41110000</v>
      </c>
      <c r="G2526" t="str">
        <f>"41111486"</f>
        <v>41111486</v>
      </c>
      <c r="H2526" t="s">
        <v>5512</v>
      </c>
      <c r="I2526" s="1">
        <v>45749</v>
      </c>
      <c r="J2526" s="4">
        <v>938100</v>
      </c>
    </row>
    <row r="2527" spans="1:11" hidden="1" outlineLevel="2" x14ac:dyDescent="0.35">
      <c r="A2527" t="s">
        <v>131</v>
      </c>
      <c r="B2527" s="1">
        <v>45720</v>
      </c>
      <c r="C2527" t="s">
        <v>5517</v>
      </c>
      <c r="D2527" t="s">
        <v>5517</v>
      </c>
      <c r="F2527" t="str">
        <f t="shared" si="72"/>
        <v>41110000</v>
      </c>
      <c r="G2527" t="str">
        <f>"41111371"</f>
        <v>41111371</v>
      </c>
      <c r="H2527" t="s">
        <v>5518</v>
      </c>
      <c r="I2527" s="1">
        <v>45751</v>
      </c>
      <c r="J2527" s="4">
        <v>236000</v>
      </c>
    </row>
    <row r="2528" spans="1:11" hidden="1" outlineLevel="2" x14ac:dyDescent="0.35">
      <c r="A2528" t="s">
        <v>131</v>
      </c>
      <c r="B2528" s="1">
        <v>45720</v>
      </c>
      <c r="C2528" t="s">
        <v>5519</v>
      </c>
      <c r="D2528" t="s">
        <v>5519</v>
      </c>
      <c r="F2528" t="str">
        <f t="shared" si="72"/>
        <v>41110000</v>
      </c>
      <c r="G2528" t="str">
        <f>"41111371"</f>
        <v>41111371</v>
      </c>
      <c r="H2528" t="s">
        <v>5518</v>
      </c>
      <c r="I2528" s="1">
        <v>45751</v>
      </c>
      <c r="J2528" s="4">
        <v>236000</v>
      </c>
    </row>
    <row r="2529" spans="1:10" hidden="1" outlineLevel="2" x14ac:dyDescent="0.35">
      <c r="A2529" t="s">
        <v>131</v>
      </c>
      <c r="B2529" s="1">
        <v>45720</v>
      </c>
      <c r="C2529" t="s">
        <v>5520</v>
      </c>
      <c r="D2529" t="s">
        <v>5520</v>
      </c>
      <c r="F2529" t="str">
        <f t="shared" si="72"/>
        <v>41110000</v>
      </c>
      <c r="G2529" t="str">
        <f>"41111371"</f>
        <v>41111371</v>
      </c>
      <c r="H2529" t="s">
        <v>5518</v>
      </c>
      <c r="I2529" s="1">
        <v>45751</v>
      </c>
      <c r="J2529" s="4">
        <v>236000</v>
      </c>
    </row>
    <row r="2530" spans="1:10" hidden="1" outlineLevel="2" x14ac:dyDescent="0.35">
      <c r="A2530" t="s">
        <v>131</v>
      </c>
      <c r="B2530" s="1">
        <v>45720</v>
      </c>
      <c r="C2530" t="s">
        <v>5521</v>
      </c>
      <c r="D2530" t="s">
        <v>5521</v>
      </c>
      <c r="F2530" t="str">
        <f t="shared" si="72"/>
        <v>41110000</v>
      </c>
      <c r="G2530" t="str">
        <f>"41111478"</f>
        <v>41111478</v>
      </c>
      <c r="H2530" t="s">
        <v>5522</v>
      </c>
      <c r="I2530" s="1">
        <v>45777</v>
      </c>
      <c r="J2530" s="4">
        <v>322140</v>
      </c>
    </row>
    <row r="2531" spans="1:10" hidden="1" outlineLevel="2" x14ac:dyDescent="0.35">
      <c r="A2531" t="s">
        <v>131</v>
      </c>
      <c r="B2531" s="1">
        <v>45721</v>
      </c>
      <c r="C2531" t="s">
        <v>5524</v>
      </c>
      <c r="D2531" t="s">
        <v>5524</v>
      </c>
      <c r="F2531" t="str">
        <f t="shared" si="72"/>
        <v>41110000</v>
      </c>
      <c r="G2531" t="str">
        <f>"41111371"</f>
        <v>41111371</v>
      </c>
      <c r="H2531" t="s">
        <v>5518</v>
      </c>
      <c r="I2531" s="1">
        <v>45752</v>
      </c>
      <c r="J2531" s="4">
        <v>236000</v>
      </c>
    </row>
    <row r="2532" spans="1:10" hidden="1" outlineLevel="2" x14ac:dyDescent="0.35">
      <c r="A2532" t="s">
        <v>131</v>
      </c>
      <c r="B2532" s="1">
        <v>45721</v>
      </c>
      <c r="C2532" t="s">
        <v>5525</v>
      </c>
      <c r="D2532" t="s">
        <v>5525</v>
      </c>
      <c r="F2532" t="str">
        <f t="shared" si="72"/>
        <v>41110000</v>
      </c>
      <c r="G2532" t="str">
        <f>"41112009"</f>
        <v>41112009</v>
      </c>
      <c r="H2532" t="s">
        <v>5526</v>
      </c>
      <c r="I2532" s="1">
        <v>45721</v>
      </c>
      <c r="J2532" s="4">
        <v>3342072</v>
      </c>
    </row>
    <row r="2533" spans="1:10" hidden="1" outlineLevel="2" x14ac:dyDescent="0.35">
      <c r="A2533" t="s">
        <v>131</v>
      </c>
      <c r="B2533" s="1">
        <v>45721</v>
      </c>
      <c r="C2533" t="s">
        <v>5527</v>
      </c>
      <c r="D2533" t="s">
        <v>5527</v>
      </c>
      <c r="F2533" t="str">
        <f t="shared" si="72"/>
        <v>41110000</v>
      </c>
      <c r="G2533" t="str">
        <f>"41111930"</f>
        <v>41111930</v>
      </c>
      <c r="H2533" t="s">
        <v>5506</v>
      </c>
      <c r="I2533" s="1">
        <v>45752</v>
      </c>
      <c r="J2533" s="4">
        <v>8336073</v>
      </c>
    </row>
    <row r="2534" spans="1:10" hidden="1" outlineLevel="2" x14ac:dyDescent="0.35">
      <c r="A2534" t="s">
        <v>131</v>
      </c>
      <c r="B2534" s="1">
        <v>45722</v>
      </c>
      <c r="C2534" t="s">
        <v>5528</v>
      </c>
      <c r="D2534" t="s">
        <v>5528</v>
      </c>
      <c r="F2534" t="str">
        <f t="shared" si="72"/>
        <v>41110000</v>
      </c>
      <c r="G2534" t="str">
        <f>"41111486"</f>
        <v>41111486</v>
      </c>
      <c r="H2534" t="s">
        <v>5512</v>
      </c>
      <c r="I2534" s="1">
        <v>45753</v>
      </c>
      <c r="J2534" s="4">
        <v>266680</v>
      </c>
    </row>
    <row r="2535" spans="1:10" hidden="1" outlineLevel="2" x14ac:dyDescent="0.35">
      <c r="A2535" t="s">
        <v>131</v>
      </c>
      <c r="B2535" s="1">
        <v>45722</v>
      </c>
      <c r="C2535" t="s">
        <v>5529</v>
      </c>
      <c r="D2535" t="s">
        <v>5529</v>
      </c>
      <c r="F2535" t="str">
        <f t="shared" si="72"/>
        <v>41110000</v>
      </c>
      <c r="G2535" t="str">
        <f t="shared" ref="G2535:G2546" si="75">"41111371"</f>
        <v>41111371</v>
      </c>
      <c r="H2535" t="s">
        <v>5518</v>
      </c>
      <c r="I2535" s="1">
        <v>45753</v>
      </c>
      <c r="J2535" s="4">
        <v>236000</v>
      </c>
    </row>
    <row r="2536" spans="1:10" hidden="1" outlineLevel="2" x14ac:dyDescent="0.35">
      <c r="A2536" t="s">
        <v>131</v>
      </c>
      <c r="B2536" s="1">
        <v>45722</v>
      </c>
      <c r="C2536" t="s">
        <v>5530</v>
      </c>
      <c r="D2536" t="s">
        <v>5530</v>
      </c>
      <c r="F2536" t="str">
        <f t="shared" si="72"/>
        <v>41110000</v>
      </c>
      <c r="G2536" t="str">
        <f t="shared" si="75"/>
        <v>41111371</v>
      </c>
      <c r="H2536" t="s">
        <v>5518</v>
      </c>
      <c r="I2536" s="1">
        <v>45753</v>
      </c>
      <c r="J2536" s="4">
        <v>236000</v>
      </c>
    </row>
    <row r="2537" spans="1:10" hidden="1" outlineLevel="2" x14ac:dyDescent="0.35">
      <c r="A2537" t="s">
        <v>131</v>
      </c>
      <c r="B2537" s="1">
        <v>45722</v>
      </c>
      <c r="C2537" t="s">
        <v>5531</v>
      </c>
      <c r="D2537" t="s">
        <v>5531</v>
      </c>
      <c r="F2537" t="str">
        <f t="shared" si="72"/>
        <v>41110000</v>
      </c>
      <c r="G2537" t="str">
        <f t="shared" si="75"/>
        <v>41111371</v>
      </c>
      <c r="H2537" t="s">
        <v>5518</v>
      </c>
      <c r="I2537" s="1">
        <v>45753</v>
      </c>
      <c r="J2537" s="4">
        <v>236000</v>
      </c>
    </row>
    <row r="2538" spans="1:10" hidden="1" outlineLevel="2" x14ac:dyDescent="0.35">
      <c r="A2538" t="s">
        <v>131</v>
      </c>
      <c r="B2538" s="1">
        <v>45722</v>
      </c>
      <c r="C2538" t="s">
        <v>5532</v>
      </c>
      <c r="D2538" t="s">
        <v>5532</v>
      </c>
      <c r="F2538" t="str">
        <f t="shared" si="72"/>
        <v>41110000</v>
      </c>
      <c r="G2538" t="str">
        <f t="shared" si="75"/>
        <v>41111371</v>
      </c>
      <c r="H2538" t="s">
        <v>5518</v>
      </c>
      <c r="I2538" s="1">
        <v>45753</v>
      </c>
      <c r="J2538" s="4">
        <v>236000</v>
      </c>
    </row>
    <row r="2539" spans="1:10" hidden="1" outlineLevel="2" x14ac:dyDescent="0.35">
      <c r="A2539" t="s">
        <v>131</v>
      </c>
      <c r="B2539" s="1">
        <v>45722</v>
      </c>
      <c r="C2539" t="s">
        <v>5533</v>
      </c>
      <c r="D2539" t="s">
        <v>5533</v>
      </c>
      <c r="F2539" t="str">
        <f t="shared" si="72"/>
        <v>41110000</v>
      </c>
      <c r="G2539" t="str">
        <f t="shared" si="75"/>
        <v>41111371</v>
      </c>
      <c r="H2539" t="s">
        <v>5518</v>
      </c>
      <c r="I2539" s="1">
        <v>45753</v>
      </c>
      <c r="J2539" s="4">
        <v>236000</v>
      </c>
    </row>
    <row r="2540" spans="1:10" hidden="1" outlineLevel="2" x14ac:dyDescent="0.35">
      <c r="A2540" t="s">
        <v>131</v>
      </c>
      <c r="B2540" s="1">
        <v>45722</v>
      </c>
      <c r="C2540" t="s">
        <v>5534</v>
      </c>
      <c r="D2540" t="s">
        <v>5534</v>
      </c>
      <c r="F2540" t="str">
        <f t="shared" si="72"/>
        <v>41110000</v>
      </c>
      <c r="G2540" t="str">
        <f t="shared" si="75"/>
        <v>41111371</v>
      </c>
      <c r="H2540" t="s">
        <v>5518</v>
      </c>
      <c r="I2540" s="1">
        <v>45753</v>
      </c>
      <c r="J2540" s="4">
        <v>206500</v>
      </c>
    </row>
    <row r="2541" spans="1:10" hidden="1" outlineLevel="2" x14ac:dyDescent="0.35">
      <c r="A2541" t="s">
        <v>131</v>
      </c>
      <c r="B2541" s="1">
        <v>45722</v>
      </c>
      <c r="C2541" t="s">
        <v>5535</v>
      </c>
      <c r="D2541" t="s">
        <v>5535</v>
      </c>
      <c r="F2541" t="str">
        <f t="shared" si="72"/>
        <v>41110000</v>
      </c>
      <c r="G2541" t="str">
        <f t="shared" si="75"/>
        <v>41111371</v>
      </c>
      <c r="H2541" t="s">
        <v>5518</v>
      </c>
      <c r="I2541" s="1">
        <v>45753</v>
      </c>
      <c r="J2541" s="4">
        <v>206500</v>
      </c>
    </row>
    <row r="2542" spans="1:10" hidden="1" outlineLevel="2" x14ac:dyDescent="0.35">
      <c r="A2542" t="s">
        <v>131</v>
      </c>
      <c r="B2542" s="1">
        <v>45722</v>
      </c>
      <c r="C2542" t="s">
        <v>5536</v>
      </c>
      <c r="D2542" t="s">
        <v>5536</v>
      </c>
      <c r="F2542" t="str">
        <f t="shared" si="72"/>
        <v>41110000</v>
      </c>
      <c r="G2542" t="str">
        <f t="shared" si="75"/>
        <v>41111371</v>
      </c>
      <c r="H2542" t="s">
        <v>5518</v>
      </c>
      <c r="I2542" s="1">
        <v>45753</v>
      </c>
      <c r="J2542" s="4">
        <v>206500</v>
      </c>
    </row>
    <row r="2543" spans="1:10" hidden="1" outlineLevel="2" x14ac:dyDescent="0.35">
      <c r="A2543" t="s">
        <v>131</v>
      </c>
      <c r="B2543" s="1">
        <v>45722</v>
      </c>
      <c r="C2543" t="s">
        <v>5537</v>
      </c>
      <c r="D2543" t="s">
        <v>5537</v>
      </c>
      <c r="F2543" t="str">
        <f t="shared" si="72"/>
        <v>41110000</v>
      </c>
      <c r="G2543" t="str">
        <f t="shared" si="75"/>
        <v>41111371</v>
      </c>
      <c r="H2543" t="s">
        <v>5518</v>
      </c>
      <c r="I2543" s="1">
        <v>45753</v>
      </c>
      <c r="J2543" s="4">
        <v>236000</v>
      </c>
    </row>
    <row r="2544" spans="1:10" hidden="1" outlineLevel="2" x14ac:dyDescent="0.35">
      <c r="A2544" t="s">
        <v>131</v>
      </c>
      <c r="B2544" s="1">
        <v>45722</v>
      </c>
      <c r="C2544" t="s">
        <v>5538</v>
      </c>
      <c r="D2544" t="s">
        <v>5538</v>
      </c>
      <c r="F2544" t="str">
        <f t="shared" si="72"/>
        <v>41110000</v>
      </c>
      <c r="G2544" t="str">
        <f t="shared" si="75"/>
        <v>41111371</v>
      </c>
      <c r="H2544" t="s">
        <v>5518</v>
      </c>
      <c r="I2544" s="1">
        <v>45753</v>
      </c>
      <c r="J2544" s="4">
        <v>206500</v>
      </c>
    </row>
    <row r="2545" spans="1:10" hidden="1" outlineLevel="2" x14ac:dyDescent="0.35">
      <c r="A2545" t="s">
        <v>131</v>
      </c>
      <c r="B2545" s="1">
        <v>45722</v>
      </c>
      <c r="C2545" t="s">
        <v>5539</v>
      </c>
      <c r="D2545" t="s">
        <v>5539</v>
      </c>
      <c r="F2545" t="str">
        <f t="shared" si="72"/>
        <v>41110000</v>
      </c>
      <c r="G2545" t="str">
        <f t="shared" si="75"/>
        <v>41111371</v>
      </c>
      <c r="H2545" t="s">
        <v>5518</v>
      </c>
      <c r="I2545" s="1">
        <v>45753</v>
      </c>
      <c r="J2545" s="4">
        <v>472000</v>
      </c>
    </row>
    <row r="2546" spans="1:10" hidden="1" outlineLevel="2" x14ac:dyDescent="0.35">
      <c r="A2546" t="s">
        <v>131</v>
      </c>
      <c r="B2546" s="1">
        <v>45722</v>
      </c>
      <c r="C2546" t="s">
        <v>5540</v>
      </c>
      <c r="D2546" t="s">
        <v>5540</v>
      </c>
      <c r="F2546" t="str">
        <f t="shared" si="72"/>
        <v>41110000</v>
      </c>
      <c r="G2546" t="str">
        <f t="shared" si="75"/>
        <v>41111371</v>
      </c>
      <c r="H2546" t="s">
        <v>5518</v>
      </c>
      <c r="I2546" s="1">
        <v>45753</v>
      </c>
      <c r="J2546" s="4">
        <v>236000</v>
      </c>
    </row>
    <row r="2547" spans="1:10" hidden="1" outlineLevel="2" x14ac:dyDescent="0.35">
      <c r="A2547" t="s">
        <v>131</v>
      </c>
      <c r="B2547" s="1">
        <v>45722</v>
      </c>
      <c r="C2547" t="s">
        <v>5541</v>
      </c>
      <c r="D2547" t="s">
        <v>5541</v>
      </c>
      <c r="F2547" t="str">
        <f t="shared" si="72"/>
        <v>41110000</v>
      </c>
      <c r="G2547" t="str">
        <f>"41111478"</f>
        <v>41111478</v>
      </c>
      <c r="H2547" t="s">
        <v>180</v>
      </c>
      <c r="I2547" s="1">
        <v>45777</v>
      </c>
      <c r="J2547" s="4">
        <v>383500</v>
      </c>
    </row>
    <row r="2548" spans="1:10" hidden="1" outlineLevel="2" x14ac:dyDescent="0.35">
      <c r="A2548" t="s">
        <v>131</v>
      </c>
      <c r="B2548" s="1">
        <v>45722</v>
      </c>
      <c r="C2548" t="s">
        <v>5542</v>
      </c>
      <c r="D2548" t="s">
        <v>5542</v>
      </c>
      <c r="F2548" t="str">
        <f t="shared" si="72"/>
        <v>41110000</v>
      </c>
      <c r="G2548" t="str">
        <f>"41111478"</f>
        <v>41111478</v>
      </c>
      <c r="H2548" t="s">
        <v>5522</v>
      </c>
      <c r="I2548" s="1">
        <v>45777</v>
      </c>
      <c r="J2548" s="4">
        <v>322140</v>
      </c>
    </row>
    <row r="2549" spans="1:10" hidden="1" outlineLevel="2" x14ac:dyDescent="0.35">
      <c r="A2549" t="s">
        <v>131</v>
      </c>
      <c r="B2549" s="1">
        <v>45722</v>
      </c>
      <c r="C2549" t="s">
        <v>5543</v>
      </c>
      <c r="D2549" t="s">
        <v>5543</v>
      </c>
      <c r="F2549" t="str">
        <f t="shared" ref="F2549:F2612" si="76">"41110000"</f>
        <v>41110000</v>
      </c>
      <c r="G2549" t="str">
        <f>"41111478"</f>
        <v>41111478</v>
      </c>
      <c r="H2549" t="s">
        <v>5522</v>
      </c>
      <c r="I2549" s="1">
        <v>45777</v>
      </c>
      <c r="J2549" s="4">
        <v>107380</v>
      </c>
    </row>
    <row r="2550" spans="1:10" hidden="1" outlineLevel="2" x14ac:dyDescent="0.35">
      <c r="A2550" t="s">
        <v>131</v>
      </c>
      <c r="B2550" s="1">
        <v>45723</v>
      </c>
      <c r="C2550" t="s">
        <v>5544</v>
      </c>
      <c r="D2550" t="s">
        <v>5544</v>
      </c>
      <c r="F2550" t="str">
        <f t="shared" si="76"/>
        <v>41110000</v>
      </c>
      <c r="G2550" t="str">
        <f>"41111486"</f>
        <v>41111486</v>
      </c>
      <c r="H2550" t="s">
        <v>5512</v>
      </c>
      <c r="I2550" s="1">
        <v>45754</v>
      </c>
      <c r="J2550" s="4">
        <v>1500960</v>
      </c>
    </row>
    <row r="2551" spans="1:10" hidden="1" outlineLevel="2" x14ac:dyDescent="0.35">
      <c r="A2551" t="s">
        <v>131</v>
      </c>
      <c r="B2551" s="1">
        <v>45723</v>
      </c>
      <c r="C2551" t="s">
        <v>5545</v>
      </c>
      <c r="D2551" t="s">
        <v>5545</v>
      </c>
      <c r="F2551" t="str">
        <f t="shared" si="76"/>
        <v>41110000</v>
      </c>
      <c r="G2551" t="str">
        <f>"41111486"</f>
        <v>41111486</v>
      </c>
      <c r="H2551" t="s">
        <v>5512</v>
      </c>
      <c r="I2551" s="1">
        <v>45754</v>
      </c>
      <c r="J2551" s="4">
        <v>237180</v>
      </c>
    </row>
    <row r="2552" spans="1:10" hidden="1" outlineLevel="2" x14ac:dyDescent="0.35">
      <c r="A2552" t="s">
        <v>131</v>
      </c>
      <c r="B2552" s="1">
        <v>45723</v>
      </c>
      <c r="C2552" t="s">
        <v>5546</v>
      </c>
      <c r="D2552" t="s">
        <v>5546</v>
      </c>
      <c r="F2552" t="str">
        <f t="shared" si="76"/>
        <v>41110000</v>
      </c>
      <c r="G2552" t="str">
        <f>"41111371"</f>
        <v>41111371</v>
      </c>
      <c r="H2552" t="s">
        <v>5518</v>
      </c>
      <c r="I2552" s="1">
        <v>45754</v>
      </c>
      <c r="J2552" s="4">
        <v>236000</v>
      </c>
    </row>
    <row r="2553" spans="1:10" hidden="1" outlineLevel="2" x14ac:dyDescent="0.35">
      <c r="A2553" t="s">
        <v>131</v>
      </c>
      <c r="B2553" s="1">
        <v>45723</v>
      </c>
      <c r="C2553" t="s">
        <v>5547</v>
      </c>
      <c r="D2553" t="s">
        <v>5547</v>
      </c>
      <c r="F2553" t="str">
        <f t="shared" si="76"/>
        <v>41110000</v>
      </c>
      <c r="G2553" t="str">
        <f>"41111371"</f>
        <v>41111371</v>
      </c>
      <c r="H2553" t="s">
        <v>5518</v>
      </c>
      <c r="I2553" s="1">
        <v>45754</v>
      </c>
      <c r="J2553" s="4">
        <v>236000</v>
      </c>
    </row>
    <row r="2554" spans="1:10" hidden="1" outlineLevel="2" x14ac:dyDescent="0.35">
      <c r="A2554" t="s">
        <v>131</v>
      </c>
      <c r="B2554" s="1">
        <v>45723</v>
      </c>
      <c r="C2554" t="s">
        <v>5548</v>
      </c>
      <c r="D2554" t="s">
        <v>5548</v>
      </c>
      <c r="F2554" t="str">
        <f t="shared" si="76"/>
        <v>41110000</v>
      </c>
      <c r="G2554" t="str">
        <f>"41111371"</f>
        <v>41111371</v>
      </c>
      <c r="H2554" t="s">
        <v>5518</v>
      </c>
      <c r="I2554" s="1">
        <v>45754</v>
      </c>
      <c r="J2554" s="4">
        <v>206500</v>
      </c>
    </row>
    <row r="2555" spans="1:10" hidden="1" outlineLevel="2" x14ac:dyDescent="0.35">
      <c r="A2555" t="s">
        <v>131</v>
      </c>
      <c r="B2555" s="1">
        <v>45723</v>
      </c>
      <c r="C2555" t="s">
        <v>5549</v>
      </c>
      <c r="D2555" t="s">
        <v>5549</v>
      </c>
      <c r="F2555" t="str">
        <f t="shared" si="76"/>
        <v>41110000</v>
      </c>
      <c r="G2555" t="str">
        <f>"41111371"</f>
        <v>41111371</v>
      </c>
      <c r="H2555" t="s">
        <v>5518</v>
      </c>
      <c r="I2555" s="1">
        <v>45754</v>
      </c>
      <c r="J2555" s="4">
        <v>236000</v>
      </c>
    </row>
    <row r="2556" spans="1:10" hidden="1" outlineLevel="2" x14ac:dyDescent="0.35">
      <c r="A2556" t="s">
        <v>131</v>
      </c>
      <c r="B2556" s="1">
        <v>45723</v>
      </c>
      <c r="C2556" t="s">
        <v>5550</v>
      </c>
      <c r="D2556" t="s">
        <v>5550</v>
      </c>
      <c r="F2556" t="str">
        <f t="shared" si="76"/>
        <v>41110000</v>
      </c>
      <c r="G2556" t="str">
        <f>"41111478"</f>
        <v>41111478</v>
      </c>
      <c r="H2556" t="s">
        <v>5551</v>
      </c>
      <c r="I2556" s="1">
        <v>45723</v>
      </c>
      <c r="J2556" s="4">
        <v>409460</v>
      </c>
    </row>
    <row r="2557" spans="1:10" hidden="1" outlineLevel="2" x14ac:dyDescent="0.35">
      <c r="A2557" t="s">
        <v>131</v>
      </c>
      <c r="B2557" s="1">
        <v>45723</v>
      </c>
      <c r="C2557" t="s">
        <v>5552</v>
      </c>
      <c r="D2557" t="s">
        <v>5552</v>
      </c>
      <c r="F2557" t="str">
        <f t="shared" si="76"/>
        <v>41110000</v>
      </c>
      <c r="G2557" t="str">
        <f>"41111478"</f>
        <v>41111478</v>
      </c>
      <c r="H2557" t="s">
        <v>180</v>
      </c>
      <c r="I2557" s="1">
        <v>45777</v>
      </c>
      <c r="J2557" s="4">
        <v>116820</v>
      </c>
    </row>
    <row r="2558" spans="1:10" hidden="1" outlineLevel="2" x14ac:dyDescent="0.35">
      <c r="A2558" t="s">
        <v>131</v>
      </c>
      <c r="B2558" s="1">
        <v>45723</v>
      </c>
      <c r="C2558" t="s">
        <v>5553</v>
      </c>
      <c r="D2558" t="s">
        <v>5553</v>
      </c>
      <c r="F2558" t="str">
        <f t="shared" si="76"/>
        <v>41110000</v>
      </c>
      <c r="G2558" t="str">
        <f>"41111478"</f>
        <v>41111478</v>
      </c>
      <c r="H2558" t="s">
        <v>5522</v>
      </c>
      <c r="I2558" s="1">
        <v>45777</v>
      </c>
      <c r="J2558" s="4">
        <v>1073800</v>
      </c>
    </row>
    <row r="2559" spans="1:10" hidden="1" outlineLevel="2" x14ac:dyDescent="0.35">
      <c r="A2559" t="s">
        <v>131</v>
      </c>
      <c r="B2559" s="1">
        <v>45723</v>
      </c>
      <c r="C2559" t="s">
        <v>5554</v>
      </c>
      <c r="D2559" t="s">
        <v>5554</v>
      </c>
      <c r="F2559" t="str">
        <f t="shared" si="76"/>
        <v>41110000</v>
      </c>
      <c r="G2559" t="str">
        <f>"41101420"</f>
        <v>41101420</v>
      </c>
      <c r="H2559" t="s">
        <v>5555</v>
      </c>
      <c r="I2559" s="1">
        <v>45723</v>
      </c>
      <c r="J2559" s="4">
        <v>147500</v>
      </c>
    </row>
    <row r="2560" spans="1:10" hidden="1" outlineLevel="2" x14ac:dyDescent="0.35">
      <c r="A2560" t="s">
        <v>131</v>
      </c>
      <c r="B2560" s="1">
        <v>45725</v>
      </c>
      <c r="C2560" t="s">
        <v>5556</v>
      </c>
      <c r="D2560" t="s">
        <v>5556</v>
      </c>
      <c r="F2560" t="str">
        <f t="shared" si="76"/>
        <v>41110000</v>
      </c>
      <c r="G2560" t="str">
        <f>"41112009"</f>
        <v>41112009</v>
      </c>
      <c r="H2560" t="s">
        <v>5526</v>
      </c>
      <c r="I2560" s="1">
        <v>45725</v>
      </c>
      <c r="J2560" s="4">
        <v>232672</v>
      </c>
    </row>
    <row r="2561" spans="1:11" hidden="1" outlineLevel="2" x14ac:dyDescent="0.35">
      <c r="A2561" t="s">
        <v>131</v>
      </c>
      <c r="B2561" s="1">
        <v>45726</v>
      </c>
      <c r="C2561" t="s">
        <v>5561</v>
      </c>
      <c r="D2561" t="s">
        <v>5561</v>
      </c>
      <c r="F2561" t="str">
        <f t="shared" si="76"/>
        <v>41110000</v>
      </c>
      <c r="G2561" t="str">
        <f>"41111478"</f>
        <v>41111478</v>
      </c>
      <c r="H2561" t="s">
        <v>180</v>
      </c>
      <c r="I2561" s="1">
        <v>45777</v>
      </c>
      <c r="J2561" s="4">
        <v>409460</v>
      </c>
    </row>
    <row r="2562" spans="1:11" hidden="1" outlineLevel="2" x14ac:dyDescent="0.35">
      <c r="A2562" t="s">
        <v>131</v>
      </c>
      <c r="B2562" s="1">
        <v>45726</v>
      </c>
      <c r="C2562" t="s">
        <v>5569</v>
      </c>
      <c r="D2562" t="s">
        <v>5569</v>
      </c>
      <c r="F2562" t="str">
        <f t="shared" si="76"/>
        <v>41110000</v>
      </c>
      <c r="G2562" t="str">
        <f>"41111486"</f>
        <v>41111486</v>
      </c>
      <c r="H2562" t="s">
        <v>5512</v>
      </c>
      <c r="I2562" s="1">
        <v>45757</v>
      </c>
      <c r="J2562" s="4">
        <v>375240</v>
      </c>
    </row>
    <row r="2563" spans="1:11" hidden="1" outlineLevel="2" x14ac:dyDescent="0.35">
      <c r="A2563" t="s">
        <v>131</v>
      </c>
      <c r="B2563" s="1">
        <v>45726</v>
      </c>
      <c r="C2563" t="s">
        <v>5570</v>
      </c>
      <c r="D2563" t="s">
        <v>5570</v>
      </c>
      <c r="F2563" t="str">
        <f t="shared" si="76"/>
        <v>41110000</v>
      </c>
      <c r="G2563" t="str">
        <f>"41111371"</f>
        <v>41111371</v>
      </c>
      <c r="H2563" t="s">
        <v>5518</v>
      </c>
      <c r="I2563" s="1">
        <v>45757</v>
      </c>
      <c r="J2563" s="4">
        <v>236000</v>
      </c>
    </row>
    <row r="2564" spans="1:11" hidden="1" outlineLevel="2" x14ac:dyDescent="0.35">
      <c r="A2564" t="s">
        <v>131</v>
      </c>
      <c r="B2564" s="1">
        <v>45726</v>
      </c>
      <c r="C2564" t="s">
        <v>5571</v>
      </c>
      <c r="D2564" t="s">
        <v>5571</v>
      </c>
      <c r="F2564" t="str">
        <f t="shared" si="76"/>
        <v>41110000</v>
      </c>
      <c r="G2564" t="str">
        <f>"41111478"</f>
        <v>41111478</v>
      </c>
      <c r="H2564" t="s">
        <v>5522</v>
      </c>
      <c r="I2564" s="1">
        <v>45757</v>
      </c>
      <c r="J2564" s="4">
        <v>146320</v>
      </c>
    </row>
    <row r="2565" spans="1:11" hidden="1" outlineLevel="2" x14ac:dyDescent="0.35">
      <c r="A2565" t="s">
        <v>131</v>
      </c>
      <c r="B2565" s="1">
        <v>45726</v>
      </c>
      <c r="C2565" t="s">
        <v>5572</v>
      </c>
      <c r="D2565" t="s">
        <v>5572</v>
      </c>
      <c r="F2565" t="str">
        <f t="shared" si="76"/>
        <v>41110000</v>
      </c>
      <c r="G2565" t="str">
        <f>"41111475"</f>
        <v>41111475</v>
      </c>
      <c r="H2565" t="s">
        <v>5573</v>
      </c>
      <c r="I2565" s="1">
        <v>45757</v>
      </c>
      <c r="J2565" s="4">
        <v>1652000</v>
      </c>
    </row>
    <row r="2566" spans="1:11" hidden="1" outlineLevel="2" x14ac:dyDescent="0.35">
      <c r="A2566" t="s">
        <v>131</v>
      </c>
      <c r="B2566" s="1">
        <v>45726</v>
      </c>
      <c r="C2566" t="s">
        <v>5574</v>
      </c>
      <c r="D2566" t="s">
        <v>5574</v>
      </c>
      <c r="F2566" t="str">
        <f t="shared" si="76"/>
        <v>41110000</v>
      </c>
      <c r="G2566" t="str">
        <f>"41111475"</f>
        <v>41111475</v>
      </c>
      <c r="H2566" t="s">
        <v>5573</v>
      </c>
      <c r="I2566" s="1">
        <v>45757</v>
      </c>
      <c r="J2566" s="4">
        <v>1416000</v>
      </c>
    </row>
    <row r="2567" spans="1:11" hidden="1" outlineLevel="2" x14ac:dyDescent="0.35">
      <c r="A2567" t="s">
        <v>131</v>
      </c>
      <c r="B2567" s="1">
        <v>45726</v>
      </c>
      <c r="C2567" t="s">
        <v>5580</v>
      </c>
      <c r="D2567" t="s">
        <v>5580</v>
      </c>
      <c r="F2567" t="str">
        <f t="shared" si="76"/>
        <v>41110000</v>
      </c>
      <c r="G2567" t="str">
        <f>"41111237"</f>
        <v>41111237</v>
      </c>
      <c r="H2567" t="s">
        <v>5581</v>
      </c>
      <c r="I2567" s="1">
        <v>45757</v>
      </c>
      <c r="J2567" s="4">
        <v>3185596</v>
      </c>
    </row>
    <row r="2568" spans="1:11" hidden="1" outlineLevel="2" x14ac:dyDescent="0.35">
      <c r="A2568" t="s">
        <v>131</v>
      </c>
      <c r="B2568" s="1">
        <v>45726</v>
      </c>
      <c r="C2568" t="s">
        <v>5582</v>
      </c>
      <c r="D2568" t="s">
        <v>5582</v>
      </c>
      <c r="F2568" t="str">
        <f t="shared" si="76"/>
        <v>41110000</v>
      </c>
      <c r="G2568" t="str">
        <f>"41111237"</f>
        <v>41111237</v>
      </c>
      <c r="H2568" t="s">
        <v>5581</v>
      </c>
      <c r="I2568" s="1">
        <v>45757</v>
      </c>
      <c r="J2568" s="4">
        <v>49110760</v>
      </c>
    </row>
    <row r="2569" spans="1:11" hidden="1" outlineLevel="2" x14ac:dyDescent="0.35">
      <c r="A2569" t="s">
        <v>131</v>
      </c>
      <c r="B2569" s="1">
        <v>45727</v>
      </c>
      <c r="C2569" t="s">
        <v>5586</v>
      </c>
      <c r="D2569" t="s">
        <v>5586</v>
      </c>
      <c r="F2569" t="str">
        <f t="shared" si="76"/>
        <v>41110000</v>
      </c>
      <c r="G2569" t="str">
        <f>"41112012"</f>
        <v>41112012</v>
      </c>
      <c r="H2569" t="s">
        <v>5587</v>
      </c>
      <c r="I2569" s="1">
        <v>45727</v>
      </c>
      <c r="K2569" s="4">
        <v>2360000</v>
      </c>
    </row>
    <row r="2570" spans="1:11" hidden="1" outlineLevel="2" x14ac:dyDescent="0.35">
      <c r="A2570" t="s">
        <v>131</v>
      </c>
      <c r="B2570" s="1">
        <v>45727</v>
      </c>
      <c r="C2570" t="s">
        <v>5588</v>
      </c>
      <c r="D2570" t="s">
        <v>5588</v>
      </c>
      <c r="F2570" t="str">
        <f t="shared" si="76"/>
        <v>41110000</v>
      </c>
      <c r="G2570" t="str">
        <f>"41112035"</f>
        <v>41112035</v>
      </c>
      <c r="H2570" t="s">
        <v>5589</v>
      </c>
      <c r="I2570" s="1">
        <v>45727</v>
      </c>
      <c r="J2570" s="4">
        <v>1239000</v>
      </c>
    </row>
    <row r="2571" spans="1:11" hidden="1" outlineLevel="2" x14ac:dyDescent="0.35">
      <c r="A2571" t="s">
        <v>131</v>
      </c>
      <c r="B2571" s="1">
        <v>45727</v>
      </c>
      <c r="C2571" t="s">
        <v>5590</v>
      </c>
      <c r="D2571" t="s">
        <v>5590</v>
      </c>
      <c r="F2571" t="str">
        <f t="shared" si="76"/>
        <v>41110000</v>
      </c>
      <c r="G2571" t="str">
        <f>"41111478"</f>
        <v>41111478</v>
      </c>
      <c r="H2571" t="s">
        <v>180</v>
      </c>
      <c r="I2571" s="1">
        <v>45777</v>
      </c>
      <c r="J2571" s="4">
        <v>116820</v>
      </c>
    </row>
    <row r="2572" spans="1:11" hidden="1" outlineLevel="2" x14ac:dyDescent="0.35">
      <c r="A2572" t="s">
        <v>131</v>
      </c>
      <c r="B2572" s="1">
        <v>45728</v>
      </c>
      <c r="C2572" t="s">
        <v>5598</v>
      </c>
      <c r="D2572" t="s">
        <v>5598</v>
      </c>
      <c r="F2572" t="str">
        <f t="shared" si="76"/>
        <v>41110000</v>
      </c>
      <c r="G2572" t="str">
        <f>"41111486"</f>
        <v>41111486</v>
      </c>
      <c r="H2572" t="s">
        <v>139</v>
      </c>
      <c r="I2572" s="1">
        <v>45728</v>
      </c>
      <c r="J2572" s="4">
        <v>472000</v>
      </c>
    </row>
    <row r="2573" spans="1:11" hidden="1" outlineLevel="2" x14ac:dyDescent="0.35">
      <c r="A2573" t="s">
        <v>131</v>
      </c>
      <c r="B2573" s="1">
        <v>45728</v>
      </c>
      <c r="C2573" t="s">
        <v>5599</v>
      </c>
      <c r="D2573" t="s">
        <v>5599</v>
      </c>
      <c r="F2573" t="str">
        <f t="shared" si="76"/>
        <v>41110000</v>
      </c>
      <c r="G2573" t="str">
        <f>"41111486"</f>
        <v>41111486</v>
      </c>
      <c r="H2573" t="s">
        <v>139</v>
      </c>
      <c r="I2573" s="1">
        <v>45728</v>
      </c>
      <c r="J2573" s="4">
        <v>472000</v>
      </c>
    </row>
    <row r="2574" spans="1:11" hidden="1" outlineLevel="2" x14ac:dyDescent="0.35">
      <c r="A2574" t="s">
        <v>131</v>
      </c>
      <c r="B2574" s="1">
        <v>45728</v>
      </c>
      <c r="C2574" t="s">
        <v>5600</v>
      </c>
      <c r="D2574" t="s">
        <v>5600</v>
      </c>
      <c r="F2574" t="str">
        <f t="shared" si="76"/>
        <v>41110000</v>
      </c>
      <c r="G2574" t="str">
        <f>"41111486"</f>
        <v>41111486</v>
      </c>
      <c r="H2574" t="s">
        <v>5512</v>
      </c>
      <c r="I2574" s="1">
        <v>45759</v>
      </c>
      <c r="J2574" s="4">
        <v>266680</v>
      </c>
    </row>
    <row r="2575" spans="1:11" hidden="1" outlineLevel="2" x14ac:dyDescent="0.35">
      <c r="A2575" t="s">
        <v>131</v>
      </c>
      <c r="B2575" s="1">
        <v>45728</v>
      </c>
      <c r="C2575" t="s">
        <v>5601</v>
      </c>
      <c r="D2575" t="s">
        <v>5601</v>
      </c>
      <c r="F2575" t="str">
        <f t="shared" si="76"/>
        <v>41110000</v>
      </c>
      <c r="G2575" t="str">
        <f>"41111486"</f>
        <v>41111486</v>
      </c>
      <c r="H2575" t="s">
        <v>5602</v>
      </c>
      <c r="I2575" s="1">
        <v>45728</v>
      </c>
      <c r="J2575" s="4">
        <v>644280</v>
      </c>
    </row>
    <row r="2576" spans="1:11" hidden="1" outlineLevel="2" x14ac:dyDescent="0.35">
      <c r="A2576" t="s">
        <v>131</v>
      </c>
      <c r="B2576" s="1">
        <v>45728</v>
      </c>
      <c r="C2576" t="s">
        <v>5603</v>
      </c>
      <c r="D2576" t="s">
        <v>5603</v>
      </c>
      <c r="F2576" t="str">
        <f t="shared" si="76"/>
        <v>41110000</v>
      </c>
      <c r="G2576" t="str">
        <f>"41111478"</f>
        <v>41111478</v>
      </c>
      <c r="H2576" t="s">
        <v>180</v>
      </c>
      <c r="I2576" s="1">
        <v>45777</v>
      </c>
      <c r="J2576" s="4">
        <v>501795</v>
      </c>
    </row>
    <row r="2577" spans="1:10" hidden="1" outlineLevel="2" x14ac:dyDescent="0.35">
      <c r="A2577" t="s">
        <v>131</v>
      </c>
      <c r="B2577" s="1">
        <v>45730</v>
      </c>
      <c r="C2577" t="s">
        <v>5612</v>
      </c>
      <c r="D2577" t="s">
        <v>5612</v>
      </c>
      <c r="F2577" t="str">
        <f t="shared" si="76"/>
        <v>41110000</v>
      </c>
      <c r="G2577" t="str">
        <f>"41111454"</f>
        <v>41111454</v>
      </c>
      <c r="H2577" t="s">
        <v>5499</v>
      </c>
      <c r="I2577" s="1">
        <v>45730</v>
      </c>
      <c r="J2577" s="4">
        <v>354000</v>
      </c>
    </row>
    <row r="2578" spans="1:10" hidden="1" outlineLevel="2" x14ac:dyDescent="0.35">
      <c r="A2578" t="s">
        <v>131</v>
      </c>
      <c r="B2578" s="1">
        <v>45730</v>
      </c>
      <c r="C2578" t="s">
        <v>5613</v>
      </c>
      <c r="D2578" t="s">
        <v>5613</v>
      </c>
      <c r="F2578" t="str">
        <f t="shared" si="76"/>
        <v>41110000</v>
      </c>
      <c r="G2578" t="str">
        <f>"41111454"</f>
        <v>41111454</v>
      </c>
      <c r="H2578" t="s">
        <v>5499</v>
      </c>
      <c r="I2578" s="1">
        <v>45730</v>
      </c>
      <c r="J2578" s="4">
        <v>413000</v>
      </c>
    </row>
    <row r="2579" spans="1:10" hidden="1" outlineLevel="2" x14ac:dyDescent="0.35">
      <c r="A2579" t="s">
        <v>131</v>
      </c>
      <c r="B2579" s="1">
        <v>45730</v>
      </c>
      <c r="C2579" t="s">
        <v>5614</v>
      </c>
      <c r="D2579" t="s">
        <v>5614</v>
      </c>
      <c r="F2579" t="str">
        <f t="shared" si="76"/>
        <v>41110000</v>
      </c>
      <c r="G2579" t="str">
        <f>"41111454"</f>
        <v>41111454</v>
      </c>
      <c r="H2579" t="s">
        <v>5499</v>
      </c>
      <c r="I2579" s="1">
        <v>45730</v>
      </c>
      <c r="J2579" s="4">
        <v>619500</v>
      </c>
    </row>
    <row r="2580" spans="1:10" hidden="1" outlineLevel="2" x14ac:dyDescent="0.35">
      <c r="A2580" t="s">
        <v>131</v>
      </c>
      <c r="B2580" s="1">
        <v>45730</v>
      </c>
      <c r="C2580" t="s">
        <v>5615</v>
      </c>
      <c r="D2580" t="s">
        <v>5615</v>
      </c>
      <c r="F2580" t="str">
        <f t="shared" si="76"/>
        <v>41110000</v>
      </c>
      <c r="G2580" t="str">
        <f>"41111486"</f>
        <v>41111486</v>
      </c>
      <c r="H2580" t="s">
        <v>5512</v>
      </c>
      <c r="I2580" s="1">
        <v>45761</v>
      </c>
      <c r="J2580" s="4">
        <v>187620</v>
      </c>
    </row>
    <row r="2581" spans="1:10" hidden="1" outlineLevel="2" x14ac:dyDescent="0.35">
      <c r="A2581" t="s">
        <v>131</v>
      </c>
      <c r="B2581" s="1">
        <v>45730</v>
      </c>
      <c r="C2581" t="s">
        <v>5616</v>
      </c>
      <c r="D2581" t="s">
        <v>5616</v>
      </c>
      <c r="F2581" t="str">
        <f t="shared" si="76"/>
        <v>41110000</v>
      </c>
      <c r="G2581" t="str">
        <f>"41111486"</f>
        <v>41111486</v>
      </c>
      <c r="H2581" t="s">
        <v>165</v>
      </c>
      <c r="I2581" s="1">
        <v>45730</v>
      </c>
      <c r="J2581" s="4">
        <v>533360</v>
      </c>
    </row>
    <row r="2582" spans="1:10" hidden="1" outlineLevel="2" x14ac:dyDescent="0.35">
      <c r="A2582" t="s">
        <v>131</v>
      </c>
      <c r="B2582" s="1">
        <v>45730</v>
      </c>
      <c r="C2582" t="s">
        <v>5617</v>
      </c>
      <c r="D2582" t="s">
        <v>5617</v>
      </c>
      <c r="F2582" t="str">
        <f t="shared" si="76"/>
        <v>41110000</v>
      </c>
      <c r="G2582" t="str">
        <f>"41111371"</f>
        <v>41111371</v>
      </c>
      <c r="H2582" t="s">
        <v>5518</v>
      </c>
      <c r="I2582" s="1">
        <v>45761</v>
      </c>
      <c r="J2582" s="4">
        <v>236000</v>
      </c>
    </row>
    <row r="2583" spans="1:10" hidden="1" outlineLevel="2" x14ac:dyDescent="0.35">
      <c r="A2583" t="s">
        <v>131</v>
      </c>
      <c r="B2583" s="1">
        <v>45730</v>
      </c>
      <c r="C2583" t="s">
        <v>5618</v>
      </c>
      <c r="D2583" t="s">
        <v>5618</v>
      </c>
      <c r="F2583" t="str">
        <f t="shared" si="76"/>
        <v>41110000</v>
      </c>
      <c r="G2583" t="str">
        <f>"41111371"</f>
        <v>41111371</v>
      </c>
      <c r="H2583" t="s">
        <v>5518</v>
      </c>
      <c r="I2583" s="1">
        <v>45761</v>
      </c>
      <c r="J2583" s="4">
        <v>236000</v>
      </c>
    </row>
    <row r="2584" spans="1:10" hidden="1" outlineLevel="2" x14ac:dyDescent="0.35">
      <c r="A2584" t="s">
        <v>131</v>
      </c>
      <c r="B2584" s="1">
        <v>45730</v>
      </c>
      <c r="C2584" t="s">
        <v>5619</v>
      </c>
      <c r="D2584" t="s">
        <v>5619</v>
      </c>
      <c r="F2584" t="str">
        <f t="shared" si="76"/>
        <v>41110000</v>
      </c>
      <c r="G2584" t="str">
        <f>"41111478"</f>
        <v>41111478</v>
      </c>
      <c r="H2584" t="s">
        <v>5551</v>
      </c>
      <c r="I2584" s="1">
        <v>45730</v>
      </c>
      <c r="J2584" s="4">
        <v>354000</v>
      </c>
    </row>
    <row r="2585" spans="1:10" hidden="1" outlineLevel="2" x14ac:dyDescent="0.35">
      <c r="A2585" t="s">
        <v>131</v>
      </c>
      <c r="B2585" s="1">
        <v>45730</v>
      </c>
      <c r="C2585" t="s">
        <v>5620</v>
      </c>
      <c r="D2585" t="s">
        <v>5620</v>
      </c>
      <c r="F2585" t="str">
        <f t="shared" si="76"/>
        <v>41110000</v>
      </c>
      <c r="G2585" t="str">
        <f>"41111991"</f>
        <v>41111991</v>
      </c>
      <c r="H2585" t="s">
        <v>5621</v>
      </c>
      <c r="I2585" s="1">
        <v>45761</v>
      </c>
      <c r="J2585" s="4">
        <v>43245090</v>
      </c>
    </row>
    <row r="2586" spans="1:10" hidden="1" outlineLevel="2" x14ac:dyDescent="0.35">
      <c r="A2586" t="s">
        <v>131</v>
      </c>
      <c r="B2586" s="1">
        <v>45733</v>
      </c>
      <c r="C2586" t="s">
        <v>5640</v>
      </c>
      <c r="D2586" t="s">
        <v>5640</v>
      </c>
      <c r="F2586" t="str">
        <f t="shared" si="76"/>
        <v>41110000</v>
      </c>
      <c r="G2586" t="str">
        <f t="shared" ref="G2586:G2610" si="77">"41111371"</f>
        <v>41111371</v>
      </c>
      <c r="H2586" t="s">
        <v>5518</v>
      </c>
      <c r="I2586" s="1">
        <v>45764</v>
      </c>
      <c r="J2586" s="4">
        <v>944000</v>
      </c>
    </row>
    <row r="2587" spans="1:10" hidden="1" outlineLevel="2" x14ac:dyDescent="0.35">
      <c r="A2587" t="s">
        <v>131</v>
      </c>
      <c r="B2587" s="1">
        <v>45733</v>
      </c>
      <c r="C2587" t="s">
        <v>5641</v>
      </c>
      <c r="D2587" t="s">
        <v>5641</v>
      </c>
      <c r="F2587" t="str">
        <f t="shared" si="76"/>
        <v>41110000</v>
      </c>
      <c r="G2587" t="str">
        <f t="shared" si="77"/>
        <v>41111371</v>
      </c>
      <c r="H2587" t="s">
        <v>5518</v>
      </c>
      <c r="I2587" s="1">
        <v>45764</v>
      </c>
      <c r="J2587" s="4">
        <v>236000</v>
      </c>
    </row>
    <row r="2588" spans="1:10" hidden="1" outlineLevel="2" x14ac:dyDescent="0.35">
      <c r="A2588" t="s">
        <v>131</v>
      </c>
      <c r="B2588" s="1">
        <v>45733</v>
      </c>
      <c r="C2588" t="s">
        <v>5642</v>
      </c>
      <c r="D2588" t="s">
        <v>5642</v>
      </c>
      <c r="F2588" t="str">
        <f t="shared" si="76"/>
        <v>41110000</v>
      </c>
      <c r="G2588" t="str">
        <f t="shared" si="77"/>
        <v>41111371</v>
      </c>
      <c r="H2588" t="s">
        <v>5518</v>
      </c>
      <c r="I2588" s="1">
        <v>45764</v>
      </c>
      <c r="J2588" s="4">
        <v>236000</v>
      </c>
    </row>
    <row r="2589" spans="1:10" hidden="1" outlineLevel="2" x14ac:dyDescent="0.35">
      <c r="A2589" t="s">
        <v>131</v>
      </c>
      <c r="B2589" s="1">
        <v>45733</v>
      </c>
      <c r="C2589" t="s">
        <v>5643</v>
      </c>
      <c r="D2589" t="s">
        <v>5643</v>
      </c>
      <c r="F2589" t="str">
        <f t="shared" si="76"/>
        <v>41110000</v>
      </c>
      <c r="G2589" t="str">
        <f t="shared" si="77"/>
        <v>41111371</v>
      </c>
      <c r="H2589" t="s">
        <v>5518</v>
      </c>
      <c r="I2589" s="1">
        <v>45764</v>
      </c>
      <c r="J2589" s="4">
        <v>206500</v>
      </c>
    </row>
    <row r="2590" spans="1:10" hidden="1" outlineLevel="2" x14ac:dyDescent="0.35">
      <c r="A2590" t="s">
        <v>131</v>
      </c>
      <c r="B2590" s="1">
        <v>45733</v>
      </c>
      <c r="C2590" t="s">
        <v>5644</v>
      </c>
      <c r="D2590" t="s">
        <v>5644</v>
      </c>
      <c r="F2590" t="str">
        <f t="shared" si="76"/>
        <v>41110000</v>
      </c>
      <c r="G2590" t="str">
        <f t="shared" si="77"/>
        <v>41111371</v>
      </c>
      <c r="H2590" t="s">
        <v>5518</v>
      </c>
      <c r="I2590" s="1">
        <v>45764</v>
      </c>
      <c r="J2590" s="4">
        <v>236000</v>
      </c>
    </row>
    <row r="2591" spans="1:10" hidden="1" outlineLevel="2" x14ac:dyDescent="0.35">
      <c r="A2591" t="s">
        <v>131</v>
      </c>
      <c r="B2591" s="1">
        <v>45733</v>
      </c>
      <c r="C2591" t="s">
        <v>5645</v>
      </c>
      <c r="D2591" t="s">
        <v>5645</v>
      </c>
      <c r="F2591" t="str">
        <f t="shared" si="76"/>
        <v>41110000</v>
      </c>
      <c r="G2591" t="str">
        <f t="shared" si="77"/>
        <v>41111371</v>
      </c>
      <c r="H2591" t="s">
        <v>5518</v>
      </c>
      <c r="I2591" s="1">
        <v>45764</v>
      </c>
      <c r="J2591" s="4">
        <v>206500</v>
      </c>
    </row>
    <row r="2592" spans="1:10" hidden="1" outlineLevel="2" x14ac:dyDescent="0.35">
      <c r="A2592" t="s">
        <v>131</v>
      </c>
      <c r="B2592" s="1">
        <v>45733</v>
      </c>
      <c r="C2592" t="s">
        <v>5646</v>
      </c>
      <c r="D2592" t="s">
        <v>5646</v>
      </c>
      <c r="F2592" t="str">
        <f t="shared" si="76"/>
        <v>41110000</v>
      </c>
      <c r="G2592" t="str">
        <f t="shared" si="77"/>
        <v>41111371</v>
      </c>
      <c r="H2592" t="s">
        <v>5518</v>
      </c>
      <c r="I2592" s="1">
        <v>45764</v>
      </c>
      <c r="J2592" s="4">
        <v>206500</v>
      </c>
    </row>
    <row r="2593" spans="1:10" hidden="1" outlineLevel="2" x14ac:dyDescent="0.35">
      <c r="A2593" t="s">
        <v>131</v>
      </c>
      <c r="B2593" s="1">
        <v>45733</v>
      </c>
      <c r="C2593" t="s">
        <v>5647</v>
      </c>
      <c r="D2593" t="s">
        <v>5647</v>
      </c>
      <c r="F2593" t="str">
        <f t="shared" si="76"/>
        <v>41110000</v>
      </c>
      <c r="G2593" t="str">
        <f t="shared" si="77"/>
        <v>41111371</v>
      </c>
      <c r="H2593" t="s">
        <v>5518</v>
      </c>
      <c r="I2593" s="1">
        <v>45764</v>
      </c>
      <c r="J2593" s="4">
        <v>206500</v>
      </c>
    </row>
    <row r="2594" spans="1:10" hidden="1" outlineLevel="2" x14ac:dyDescent="0.35">
      <c r="A2594" t="s">
        <v>131</v>
      </c>
      <c r="B2594" s="1">
        <v>45733</v>
      </c>
      <c r="C2594" t="s">
        <v>5648</v>
      </c>
      <c r="D2594" t="s">
        <v>5648</v>
      </c>
      <c r="F2594" t="str">
        <f t="shared" si="76"/>
        <v>41110000</v>
      </c>
      <c r="G2594" t="str">
        <f t="shared" si="77"/>
        <v>41111371</v>
      </c>
      <c r="H2594" t="s">
        <v>5518</v>
      </c>
      <c r="I2594" s="1">
        <v>45764</v>
      </c>
      <c r="J2594" s="4">
        <v>236000</v>
      </c>
    </row>
    <row r="2595" spans="1:10" hidden="1" outlineLevel="2" x14ac:dyDescent="0.35">
      <c r="A2595" t="s">
        <v>131</v>
      </c>
      <c r="B2595" s="1">
        <v>45733</v>
      </c>
      <c r="C2595" t="s">
        <v>5649</v>
      </c>
      <c r="D2595" t="s">
        <v>5649</v>
      </c>
      <c r="F2595" t="str">
        <f t="shared" si="76"/>
        <v>41110000</v>
      </c>
      <c r="G2595" t="str">
        <f t="shared" si="77"/>
        <v>41111371</v>
      </c>
      <c r="H2595" t="s">
        <v>5518</v>
      </c>
      <c r="I2595" s="1">
        <v>45764</v>
      </c>
      <c r="J2595" s="4">
        <v>206500</v>
      </c>
    </row>
    <row r="2596" spans="1:10" hidden="1" outlineLevel="2" x14ac:dyDescent="0.35">
      <c r="A2596" t="s">
        <v>131</v>
      </c>
      <c r="B2596" s="1">
        <v>45733</v>
      </c>
      <c r="C2596" t="s">
        <v>5650</v>
      </c>
      <c r="D2596" t="s">
        <v>5650</v>
      </c>
      <c r="F2596" t="str">
        <f t="shared" si="76"/>
        <v>41110000</v>
      </c>
      <c r="G2596" t="str">
        <f t="shared" si="77"/>
        <v>41111371</v>
      </c>
      <c r="H2596" t="s">
        <v>5518</v>
      </c>
      <c r="I2596" s="1">
        <v>45764</v>
      </c>
      <c r="J2596" s="4">
        <v>206500</v>
      </c>
    </row>
    <row r="2597" spans="1:10" hidden="1" outlineLevel="2" x14ac:dyDescent="0.35">
      <c r="A2597" t="s">
        <v>131</v>
      </c>
      <c r="B2597" s="1">
        <v>45733</v>
      </c>
      <c r="C2597" t="s">
        <v>5651</v>
      </c>
      <c r="D2597" t="s">
        <v>5651</v>
      </c>
      <c r="F2597" t="str">
        <f t="shared" si="76"/>
        <v>41110000</v>
      </c>
      <c r="G2597" t="str">
        <f t="shared" si="77"/>
        <v>41111371</v>
      </c>
      <c r="H2597" t="s">
        <v>5518</v>
      </c>
      <c r="I2597" s="1">
        <v>45764</v>
      </c>
      <c r="J2597" s="4">
        <v>206500</v>
      </c>
    </row>
    <row r="2598" spans="1:10" hidden="1" outlineLevel="2" x14ac:dyDescent="0.35">
      <c r="A2598" t="s">
        <v>131</v>
      </c>
      <c r="B2598" s="1">
        <v>45733</v>
      </c>
      <c r="C2598" t="s">
        <v>5652</v>
      </c>
      <c r="D2598" t="s">
        <v>5652</v>
      </c>
      <c r="F2598" t="str">
        <f t="shared" si="76"/>
        <v>41110000</v>
      </c>
      <c r="G2598" t="str">
        <f t="shared" si="77"/>
        <v>41111371</v>
      </c>
      <c r="H2598" t="s">
        <v>5518</v>
      </c>
      <c r="I2598" s="1">
        <v>45764</v>
      </c>
      <c r="J2598" s="4">
        <v>206500</v>
      </c>
    </row>
    <row r="2599" spans="1:10" hidden="1" outlineLevel="2" x14ac:dyDescent="0.35">
      <c r="A2599" t="s">
        <v>131</v>
      </c>
      <c r="B2599" s="1">
        <v>45733</v>
      </c>
      <c r="C2599" t="s">
        <v>5653</v>
      </c>
      <c r="D2599" t="s">
        <v>5653</v>
      </c>
      <c r="F2599" t="str">
        <f t="shared" si="76"/>
        <v>41110000</v>
      </c>
      <c r="G2599" t="str">
        <f t="shared" si="77"/>
        <v>41111371</v>
      </c>
      <c r="H2599" t="s">
        <v>5518</v>
      </c>
      <c r="I2599" s="1">
        <v>45764</v>
      </c>
      <c r="J2599" s="4">
        <v>206500</v>
      </c>
    </row>
    <row r="2600" spans="1:10" hidden="1" outlineLevel="2" x14ac:dyDescent="0.35">
      <c r="A2600" t="s">
        <v>131</v>
      </c>
      <c r="B2600" s="1">
        <v>45733</v>
      </c>
      <c r="C2600" t="s">
        <v>5654</v>
      </c>
      <c r="D2600" t="s">
        <v>5654</v>
      </c>
      <c r="F2600" t="str">
        <f t="shared" si="76"/>
        <v>41110000</v>
      </c>
      <c r="G2600" t="str">
        <f t="shared" si="77"/>
        <v>41111371</v>
      </c>
      <c r="H2600" t="s">
        <v>5518</v>
      </c>
      <c r="I2600" s="1">
        <v>45764</v>
      </c>
      <c r="J2600" s="4">
        <v>206500</v>
      </c>
    </row>
    <row r="2601" spans="1:10" hidden="1" outlineLevel="2" x14ac:dyDescent="0.35">
      <c r="A2601" t="s">
        <v>131</v>
      </c>
      <c r="B2601" s="1">
        <v>45733</v>
      </c>
      <c r="C2601" t="s">
        <v>5655</v>
      </c>
      <c r="D2601" t="s">
        <v>5655</v>
      </c>
      <c r="F2601" t="str">
        <f t="shared" si="76"/>
        <v>41110000</v>
      </c>
      <c r="G2601" t="str">
        <f t="shared" si="77"/>
        <v>41111371</v>
      </c>
      <c r="H2601" t="s">
        <v>5518</v>
      </c>
      <c r="I2601" s="1">
        <v>45764</v>
      </c>
      <c r="J2601" s="4">
        <v>206500</v>
      </c>
    </row>
    <row r="2602" spans="1:10" hidden="1" outlineLevel="2" x14ac:dyDescent="0.35">
      <c r="A2602" t="s">
        <v>131</v>
      </c>
      <c r="B2602" s="1">
        <v>45733</v>
      </c>
      <c r="C2602" t="s">
        <v>5656</v>
      </c>
      <c r="D2602" t="s">
        <v>5656</v>
      </c>
      <c r="F2602" t="str">
        <f t="shared" si="76"/>
        <v>41110000</v>
      </c>
      <c r="G2602" t="str">
        <f t="shared" si="77"/>
        <v>41111371</v>
      </c>
      <c r="H2602" t="s">
        <v>5518</v>
      </c>
      <c r="I2602" s="1">
        <v>45764</v>
      </c>
      <c r="J2602" s="4">
        <v>236000</v>
      </c>
    </row>
    <row r="2603" spans="1:10" hidden="1" outlineLevel="2" x14ac:dyDescent="0.35">
      <c r="A2603" t="s">
        <v>131</v>
      </c>
      <c r="B2603" s="1">
        <v>45733</v>
      </c>
      <c r="C2603" t="s">
        <v>5657</v>
      </c>
      <c r="D2603" t="s">
        <v>5657</v>
      </c>
      <c r="F2603" t="str">
        <f t="shared" si="76"/>
        <v>41110000</v>
      </c>
      <c r="G2603" t="str">
        <f t="shared" si="77"/>
        <v>41111371</v>
      </c>
      <c r="H2603" t="s">
        <v>5518</v>
      </c>
      <c r="I2603" s="1">
        <v>45764</v>
      </c>
      <c r="J2603" s="4">
        <v>236000</v>
      </c>
    </row>
    <row r="2604" spans="1:10" hidden="1" outlineLevel="2" x14ac:dyDescent="0.35">
      <c r="A2604" t="s">
        <v>131</v>
      </c>
      <c r="B2604" s="1">
        <v>45733</v>
      </c>
      <c r="C2604" t="s">
        <v>5658</v>
      </c>
      <c r="D2604" t="s">
        <v>5658</v>
      </c>
      <c r="F2604" t="str">
        <f t="shared" si="76"/>
        <v>41110000</v>
      </c>
      <c r="G2604" t="str">
        <f t="shared" si="77"/>
        <v>41111371</v>
      </c>
      <c r="H2604" t="s">
        <v>5518</v>
      </c>
      <c r="I2604" s="1">
        <v>45764</v>
      </c>
      <c r="J2604" s="4">
        <v>236000</v>
      </c>
    </row>
    <row r="2605" spans="1:10" hidden="1" outlineLevel="2" x14ac:dyDescent="0.35">
      <c r="A2605" t="s">
        <v>131</v>
      </c>
      <c r="B2605" s="1">
        <v>45733</v>
      </c>
      <c r="C2605" t="s">
        <v>5659</v>
      </c>
      <c r="D2605" t="s">
        <v>5659</v>
      </c>
      <c r="F2605" t="str">
        <f t="shared" si="76"/>
        <v>41110000</v>
      </c>
      <c r="G2605" t="str">
        <f t="shared" si="77"/>
        <v>41111371</v>
      </c>
      <c r="H2605" t="s">
        <v>5518</v>
      </c>
      <c r="I2605" s="1">
        <v>45764</v>
      </c>
      <c r="J2605" s="4">
        <v>236000</v>
      </c>
    </row>
    <row r="2606" spans="1:10" hidden="1" outlineLevel="2" x14ac:dyDescent="0.35">
      <c r="A2606" t="s">
        <v>131</v>
      </c>
      <c r="B2606" s="1">
        <v>45733</v>
      </c>
      <c r="C2606" t="s">
        <v>5660</v>
      </c>
      <c r="D2606" t="s">
        <v>5660</v>
      </c>
      <c r="F2606" t="str">
        <f t="shared" si="76"/>
        <v>41110000</v>
      </c>
      <c r="G2606" t="str">
        <f t="shared" si="77"/>
        <v>41111371</v>
      </c>
      <c r="H2606" t="s">
        <v>5518</v>
      </c>
      <c r="I2606" s="1">
        <v>45764</v>
      </c>
      <c r="J2606" s="4">
        <v>236000</v>
      </c>
    </row>
    <row r="2607" spans="1:10" hidden="1" outlineLevel="2" x14ac:dyDescent="0.35">
      <c r="A2607" t="s">
        <v>131</v>
      </c>
      <c r="B2607" s="1">
        <v>45733</v>
      </c>
      <c r="C2607" t="s">
        <v>5661</v>
      </c>
      <c r="D2607" t="s">
        <v>5661</v>
      </c>
      <c r="F2607" t="str">
        <f t="shared" si="76"/>
        <v>41110000</v>
      </c>
      <c r="G2607" t="str">
        <f t="shared" si="77"/>
        <v>41111371</v>
      </c>
      <c r="H2607" t="s">
        <v>5518</v>
      </c>
      <c r="I2607" s="1">
        <v>45764</v>
      </c>
      <c r="J2607" s="4">
        <v>236000</v>
      </c>
    </row>
    <row r="2608" spans="1:10" hidden="1" outlineLevel="2" x14ac:dyDescent="0.35">
      <c r="A2608" t="s">
        <v>131</v>
      </c>
      <c r="B2608" s="1">
        <v>45733</v>
      </c>
      <c r="C2608" t="s">
        <v>5662</v>
      </c>
      <c r="D2608" t="s">
        <v>5662</v>
      </c>
      <c r="F2608" t="str">
        <f t="shared" si="76"/>
        <v>41110000</v>
      </c>
      <c r="G2608" t="str">
        <f t="shared" si="77"/>
        <v>41111371</v>
      </c>
      <c r="H2608" t="s">
        <v>5518</v>
      </c>
      <c r="I2608" s="1">
        <v>45764</v>
      </c>
      <c r="J2608" s="4">
        <v>472000</v>
      </c>
    </row>
    <row r="2609" spans="1:10" hidden="1" outlineLevel="2" x14ac:dyDescent="0.35">
      <c r="A2609" t="s">
        <v>131</v>
      </c>
      <c r="B2609" s="1">
        <v>45733</v>
      </c>
      <c r="C2609" t="s">
        <v>5663</v>
      </c>
      <c r="D2609" t="s">
        <v>5663</v>
      </c>
      <c r="F2609" t="str">
        <f t="shared" si="76"/>
        <v>41110000</v>
      </c>
      <c r="G2609" t="str">
        <f t="shared" si="77"/>
        <v>41111371</v>
      </c>
      <c r="H2609" t="s">
        <v>5518</v>
      </c>
      <c r="I2609" s="1">
        <v>45764</v>
      </c>
      <c r="J2609" s="4">
        <v>236000</v>
      </c>
    </row>
    <row r="2610" spans="1:10" hidden="1" outlineLevel="2" x14ac:dyDescent="0.35">
      <c r="A2610" t="s">
        <v>131</v>
      </c>
      <c r="B2610" s="1">
        <v>45733</v>
      </c>
      <c r="C2610" t="s">
        <v>5664</v>
      </c>
      <c r="D2610" t="s">
        <v>5664</v>
      </c>
      <c r="F2610" t="str">
        <f t="shared" si="76"/>
        <v>41110000</v>
      </c>
      <c r="G2610" t="str">
        <f t="shared" si="77"/>
        <v>41111371</v>
      </c>
      <c r="H2610" t="s">
        <v>5518</v>
      </c>
      <c r="I2610" s="1">
        <v>45764</v>
      </c>
      <c r="J2610" s="4">
        <v>236000</v>
      </c>
    </row>
    <row r="2611" spans="1:10" hidden="1" outlineLevel="2" x14ac:dyDescent="0.35">
      <c r="A2611" t="s">
        <v>131</v>
      </c>
      <c r="B2611" s="1">
        <v>45733</v>
      </c>
      <c r="C2611" t="s">
        <v>5665</v>
      </c>
      <c r="D2611" t="s">
        <v>5665</v>
      </c>
      <c r="F2611" t="str">
        <f t="shared" si="76"/>
        <v>41110000</v>
      </c>
      <c r="G2611" t="str">
        <f>"41111237"</f>
        <v>41111237</v>
      </c>
      <c r="H2611" t="s">
        <v>5581</v>
      </c>
      <c r="I2611" s="1">
        <v>45764</v>
      </c>
      <c r="J2611" s="4">
        <v>2859223</v>
      </c>
    </row>
    <row r="2612" spans="1:10" hidden="1" outlineLevel="2" x14ac:dyDescent="0.35">
      <c r="A2612" t="s">
        <v>131</v>
      </c>
      <c r="B2612" s="1">
        <v>45733</v>
      </c>
      <c r="C2612" t="s">
        <v>5665</v>
      </c>
      <c r="D2612" t="s">
        <v>5665</v>
      </c>
      <c r="F2612" t="str">
        <f t="shared" si="76"/>
        <v>41110000</v>
      </c>
      <c r="G2612" t="str">
        <f>"41111237"</f>
        <v>41111237</v>
      </c>
      <c r="H2612" t="s">
        <v>5666</v>
      </c>
      <c r="I2612" s="1">
        <v>45764</v>
      </c>
      <c r="J2612" s="4">
        <v>-2859223</v>
      </c>
    </row>
    <row r="2613" spans="1:10" hidden="1" outlineLevel="2" x14ac:dyDescent="0.35">
      <c r="A2613" t="s">
        <v>131</v>
      </c>
      <c r="B2613" s="1">
        <v>45733</v>
      </c>
      <c r="C2613" t="s">
        <v>5667</v>
      </c>
      <c r="D2613" t="s">
        <v>5667</v>
      </c>
      <c r="F2613" t="str">
        <f t="shared" ref="F2613:F2676" si="78">"41110000"</f>
        <v>41110000</v>
      </c>
      <c r="G2613" t="str">
        <f>"41111237"</f>
        <v>41111237</v>
      </c>
      <c r="H2613" t="s">
        <v>5581</v>
      </c>
      <c r="I2613" s="1">
        <v>45764</v>
      </c>
      <c r="J2613" s="4">
        <v>20910228</v>
      </c>
    </row>
    <row r="2614" spans="1:10" hidden="1" outlineLevel="2" x14ac:dyDescent="0.35">
      <c r="A2614" t="s">
        <v>131</v>
      </c>
      <c r="B2614" s="1">
        <v>45733</v>
      </c>
      <c r="C2614" t="s">
        <v>5667</v>
      </c>
      <c r="D2614" t="s">
        <v>5667</v>
      </c>
      <c r="F2614" t="str">
        <f t="shared" si="78"/>
        <v>41110000</v>
      </c>
      <c r="G2614" t="str">
        <f>"41111237"</f>
        <v>41111237</v>
      </c>
      <c r="H2614" t="s">
        <v>5666</v>
      </c>
      <c r="I2614" s="1">
        <v>45764</v>
      </c>
      <c r="J2614" s="4">
        <v>-20910228</v>
      </c>
    </row>
    <row r="2615" spans="1:10" hidden="1" outlineLevel="2" x14ac:dyDescent="0.35">
      <c r="A2615" t="s">
        <v>131</v>
      </c>
      <c r="B2615" s="1">
        <v>45734</v>
      </c>
      <c r="C2615" t="s">
        <v>5670</v>
      </c>
      <c r="D2615" t="s">
        <v>5670</v>
      </c>
      <c r="F2615" t="str">
        <f t="shared" si="78"/>
        <v>41110000</v>
      </c>
      <c r="G2615" t="str">
        <f>"41111643"</f>
        <v>41111643</v>
      </c>
      <c r="H2615" t="s">
        <v>5671</v>
      </c>
      <c r="I2615" s="1">
        <v>45734</v>
      </c>
      <c r="J2615" s="4">
        <v>1180000</v>
      </c>
    </row>
    <row r="2616" spans="1:10" hidden="1" outlineLevel="2" x14ac:dyDescent="0.35">
      <c r="A2616" t="s">
        <v>131</v>
      </c>
      <c r="B2616" s="1">
        <v>45734</v>
      </c>
      <c r="C2616" t="s">
        <v>5673</v>
      </c>
      <c r="D2616" t="s">
        <v>5673</v>
      </c>
      <c r="F2616" t="str">
        <f t="shared" si="78"/>
        <v>41110000</v>
      </c>
      <c r="G2616" t="str">
        <f>"41111913"</f>
        <v>41111913</v>
      </c>
      <c r="H2616" t="s">
        <v>5674</v>
      </c>
      <c r="I2616" s="1">
        <v>45765</v>
      </c>
      <c r="J2616" s="4">
        <v>10358040</v>
      </c>
    </row>
    <row r="2617" spans="1:10" hidden="1" outlineLevel="2" x14ac:dyDescent="0.35">
      <c r="A2617" t="s">
        <v>131</v>
      </c>
      <c r="B2617" s="1">
        <v>45734</v>
      </c>
      <c r="C2617" t="s">
        <v>5675</v>
      </c>
      <c r="D2617" t="s">
        <v>5675</v>
      </c>
      <c r="F2617" t="str">
        <f t="shared" si="78"/>
        <v>41110000</v>
      </c>
      <c r="G2617" t="str">
        <f>"41111371"</f>
        <v>41111371</v>
      </c>
      <c r="H2617" t="s">
        <v>5518</v>
      </c>
      <c r="I2617" s="1">
        <v>45765</v>
      </c>
      <c r="J2617" s="4">
        <v>323320</v>
      </c>
    </row>
    <row r="2618" spans="1:10" hidden="1" outlineLevel="2" x14ac:dyDescent="0.35">
      <c r="A2618" t="s">
        <v>131</v>
      </c>
      <c r="B2618" s="1">
        <v>45734</v>
      </c>
      <c r="C2618" t="s">
        <v>5675</v>
      </c>
      <c r="D2618" t="s">
        <v>5675</v>
      </c>
      <c r="F2618" t="str">
        <f t="shared" si="78"/>
        <v>41110000</v>
      </c>
      <c r="G2618" t="str">
        <f>"41111371"</f>
        <v>41111371</v>
      </c>
      <c r="H2618" t="s">
        <v>5518</v>
      </c>
      <c r="I2618" s="1">
        <v>45765</v>
      </c>
      <c r="J2618" s="4">
        <v>323320</v>
      </c>
    </row>
    <row r="2619" spans="1:10" hidden="1" outlineLevel="2" x14ac:dyDescent="0.35">
      <c r="A2619" t="s">
        <v>131</v>
      </c>
      <c r="B2619" s="1">
        <v>45734</v>
      </c>
      <c r="C2619" t="s">
        <v>5675</v>
      </c>
      <c r="D2619" t="s">
        <v>5675</v>
      </c>
      <c r="F2619" t="str">
        <f t="shared" si="78"/>
        <v>41110000</v>
      </c>
      <c r="G2619" t="str">
        <f>"41111371"</f>
        <v>41111371</v>
      </c>
      <c r="H2619" t="s">
        <v>5676</v>
      </c>
      <c r="I2619" s="1">
        <v>45765</v>
      </c>
      <c r="J2619" s="4">
        <v>-323320</v>
      </c>
    </row>
    <row r="2620" spans="1:10" hidden="1" outlineLevel="2" x14ac:dyDescent="0.35">
      <c r="A2620" t="s">
        <v>131</v>
      </c>
      <c r="B2620" s="1">
        <v>45734</v>
      </c>
      <c r="C2620" t="s">
        <v>5677</v>
      </c>
      <c r="D2620" t="s">
        <v>5677</v>
      </c>
      <c r="F2620" t="str">
        <f t="shared" si="78"/>
        <v>41110000</v>
      </c>
      <c r="G2620" t="str">
        <f t="shared" ref="G2620:G2635" si="79">"41111478"</f>
        <v>41111478</v>
      </c>
      <c r="H2620" t="s">
        <v>5551</v>
      </c>
      <c r="I2620" s="1">
        <v>45734</v>
      </c>
      <c r="J2620" s="4">
        <v>413000</v>
      </c>
    </row>
    <row r="2621" spans="1:10" hidden="1" outlineLevel="2" x14ac:dyDescent="0.35">
      <c r="A2621" t="s">
        <v>131</v>
      </c>
      <c r="B2621" s="1">
        <v>45734</v>
      </c>
      <c r="C2621" t="s">
        <v>5677</v>
      </c>
      <c r="D2621" t="s">
        <v>5677</v>
      </c>
      <c r="F2621" t="str">
        <f t="shared" si="78"/>
        <v>41110000</v>
      </c>
      <c r="G2621" t="str">
        <f t="shared" si="79"/>
        <v>41111478</v>
      </c>
      <c r="H2621" t="s">
        <v>5551</v>
      </c>
      <c r="I2621" s="1">
        <v>45734</v>
      </c>
      <c r="J2621" s="4">
        <v>413000</v>
      </c>
    </row>
    <row r="2622" spans="1:10" hidden="1" outlineLevel="2" x14ac:dyDescent="0.35">
      <c r="A2622" t="s">
        <v>131</v>
      </c>
      <c r="B2622" s="1">
        <v>45734</v>
      </c>
      <c r="C2622" t="s">
        <v>5677</v>
      </c>
      <c r="D2622" t="s">
        <v>5677</v>
      </c>
      <c r="F2622" t="str">
        <f t="shared" si="78"/>
        <v>41110000</v>
      </c>
      <c r="G2622" t="str">
        <f t="shared" si="79"/>
        <v>41111478</v>
      </c>
      <c r="H2622" t="s">
        <v>5678</v>
      </c>
      <c r="I2622" s="1">
        <v>45734</v>
      </c>
      <c r="J2622" s="4">
        <v>-413000</v>
      </c>
    </row>
    <row r="2623" spans="1:10" hidden="1" outlineLevel="2" x14ac:dyDescent="0.35">
      <c r="A2623" t="s">
        <v>131</v>
      </c>
      <c r="B2623" s="1">
        <v>45734</v>
      </c>
      <c r="C2623" t="s">
        <v>5679</v>
      </c>
      <c r="D2623" t="s">
        <v>5679</v>
      </c>
      <c r="F2623" t="str">
        <f t="shared" si="78"/>
        <v>41110000</v>
      </c>
      <c r="G2623" t="str">
        <f t="shared" si="79"/>
        <v>41111478</v>
      </c>
      <c r="H2623" t="s">
        <v>5522</v>
      </c>
      <c r="I2623" s="1">
        <v>45777</v>
      </c>
      <c r="J2623" s="4">
        <v>214760</v>
      </c>
    </row>
    <row r="2624" spans="1:10" hidden="1" outlineLevel="2" x14ac:dyDescent="0.35">
      <c r="A2624" t="s">
        <v>131</v>
      </c>
      <c r="B2624" s="1">
        <v>45734</v>
      </c>
      <c r="C2624" t="s">
        <v>5679</v>
      </c>
      <c r="D2624" t="s">
        <v>5679</v>
      </c>
      <c r="F2624" t="str">
        <f t="shared" si="78"/>
        <v>41110000</v>
      </c>
      <c r="G2624" t="str">
        <f t="shared" si="79"/>
        <v>41111478</v>
      </c>
      <c r="H2624" t="s">
        <v>5522</v>
      </c>
      <c r="I2624" s="1">
        <v>45777</v>
      </c>
      <c r="J2624" s="4">
        <v>214760</v>
      </c>
    </row>
    <row r="2625" spans="1:10" hidden="1" outlineLevel="2" x14ac:dyDescent="0.35">
      <c r="A2625" t="s">
        <v>131</v>
      </c>
      <c r="B2625" s="1">
        <v>45734</v>
      </c>
      <c r="C2625" t="s">
        <v>5679</v>
      </c>
      <c r="D2625" t="s">
        <v>5679</v>
      </c>
      <c r="F2625" t="str">
        <f t="shared" si="78"/>
        <v>41110000</v>
      </c>
      <c r="G2625" t="str">
        <f t="shared" si="79"/>
        <v>41111478</v>
      </c>
      <c r="H2625" t="s">
        <v>5680</v>
      </c>
      <c r="I2625" s="1">
        <v>45777</v>
      </c>
      <c r="J2625" s="4">
        <v>-214760</v>
      </c>
    </row>
    <row r="2626" spans="1:10" hidden="1" outlineLevel="2" x14ac:dyDescent="0.35">
      <c r="A2626" t="s">
        <v>131</v>
      </c>
      <c r="B2626" s="1">
        <v>45734</v>
      </c>
      <c r="C2626" t="s">
        <v>5681</v>
      </c>
      <c r="D2626" t="s">
        <v>5681</v>
      </c>
      <c r="F2626" t="str">
        <f t="shared" si="78"/>
        <v>41110000</v>
      </c>
      <c r="G2626" t="str">
        <f t="shared" si="79"/>
        <v>41111478</v>
      </c>
      <c r="H2626" t="s">
        <v>5522</v>
      </c>
      <c r="I2626" s="1">
        <v>45777</v>
      </c>
      <c r="J2626" s="4">
        <v>536900</v>
      </c>
    </row>
    <row r="2627" spans="1:10" hidden="1" outlineLevel="2" x14ac:dyDescent="0.35">
      <c r="A2627" t="s">
        <v>131</v>
      </c>
      <c r="B2627" s="1">
        <v>45734</v>
      </c>
      <c r="C2627" t="s">
        <v>5682</v>
      </c>
      <c r="D2627" t="s">
        <v>5682</v>
      </c>
      <c r="F2627" t="str">
        <f t="shared" si="78"/>
        <v>41110000</v>
      </c>
      <c r="G2627" t="str">
        <f t="shared" si="79"/>
        <v>41111478</v>
      </c>
      <c r="H2627" t="s">
        <v>5522</v>
      </c>
      <c r="I2627" s="1">
        <v>45777</v>
      </c>
      <c r="J2627" s="4">
        <v>536900</v>
      </c>
    </row>
    <row r="2628" spans="1:10" hidden="1" outlineLevel="2" x14ac:dyDescent="0.35">
      <c r="A2628" t="s">
        <v>131</v>
      </c>
      <c r="B2628" s="1">
        <v>45734</v>
      </c>
      <c r="C2628" t="s">
        <v>5682</v>
      </c>
      <c r="D2628" t="s">
        <v>5682</v>
      </c>
      <c r="F2628" t="str">
        <f t="shared" si="78"/>
        <v>41110000</v>
      </c>
      <c r="G2628" t="str">
        <f t="shared" si="79"/>
        <v>41111478</v>
      </c>
      <c r="H2628" t="s">
        <v>5522</v>
      </c>
      <c r="I2628" s="1">
        <v>45777</v>
      </c>
      <c r="J2628" s="4">
        <v>536900</v>
      </c>
    </row>
    <row r="2629" spans="1:10" hidden="1" outlineLevel="2" x14ac:dyDescent="0.35">
      <c r="A2629" t="s">
        <v>131</v>
      </c>
      <c r="B2629" s="1">
        <v>45734</v>
      </c>
      <c r="C2629" t="s">
        <v>5682</v>
      </c>
      <c r="D2629" t="s">
        <v>5682</v>
      </c>
      <c r="F2629" t="str">
        <f t="shared" si="78"/>
        <v>41110000</v>
      </c>
      <c r="G2629" t="str">
        <f t="shared" si="79"/>
        <v>41111478</v>
      </c>
      <c r="H2629" t="s">
        <v>5680</v>
      </c>
      <c r="I2629" s="1">
        <v>45777</v>
      </c>
      <c r="J2629" s="4">
        <v>-536900</v>
      </c>
    </row>
    <row r="2630" spans="1:10" hidden="1" outlineLevel="2" x14ac:dyDescent="0.35">
      <c r="A2630" t="s">
        <v>131</v>
      </c>
      <c r="B2630" s="1">
        <v>45734</v>
      </c>
      <c r="C2630" t="s">
        <v>5683</v>
      </c>
      <c r="D2630" t="s">
        <v>5683</v>
      </c>
      <c r="F2630" t="str">
        <f t="shared" si="78"/>
        <v>41110000</v>
      </c>
      <c r="G2630" t="str">
        <f t="shared" si="79"/>
        <v>41111478</v>
      </c>
      <c r="H2630" t="s">
        <v>5522</v>
      </c>
      <c r="I2630" s="1">
        <v>45777</v>
      </c>
      <c r="J2630" s="4">
        <v>214760</v>
      </c>
    </row>
    <row r="2631" spans="1:10" hidden="1" outlineLevel="2" x14ac:dyDescent="0.35">
      <c r="A2631" t="s">
        <v>131</v>
      </c>
      <c r="B2631" s="1">
        <v>45734</v>
      </c>
      <c r="C2631" t="s">
        <v>5683</v>
      </c>
      <c r="D2631" t="s">
        <v>5683</v>
      </c>
      <c r="F2631" t="str">
        <f t="shared" si="78"/>
        <v>41110000</v>
      </c>
      <c r="G2631" t="str">
        <f t="shared" si="79"/>
        <v>41111478</v>
      </c>
      <c r="H2631" t="s">
        <v>5522</v>
      </c>
      <c r="I2631" s="1">
        <v>45777</v>
      </c>
      <c r="J2631" s="4">
        <v>214760</v>
      </c>
    </row>
    <row r="2632" spans="1:10" hidden="1" outlineLevel="2" x14ac:dyDescent="0.35">
      <c r="A2632" t="s">
        <v>131</v>
      </c>
      <c r="B2632" s="1">
        <v>45734</v>
      </c>
      <c r="C2632" t="s">
        <v>5683</v>
      </c>
      <c r="D2632" t="s">
        <v>5683</v>
      </c>
      <c r="F2632" t="str">
        <f t="shared" si="78"/>
        <v>41110000</v>
      </c>
      <c r="G2632" t="str">
        <f t="shared" si="79"/>
        <v>41111478</v>
      </c>
      <c r="H2632" t="s">
        <v>5680</v>
      </c>
      <c r="I2632" s="1">
        <v>45777</v>
      </c>
      <c r="J2632" s="4">
        <v>-214760</v>
      </c>
    </row>
    <row r="2633" spans="1:10" hidden="1" outlineLevel="2" x14ac:dyDescent="0.35">
      <c r="A2633" t="s">
        <v>131</v>
      </c>
      <c r="B2633" s="1">
        <v>45734</v>
      </c>
      <c r="C2633" t="s">
        <v>5684</v>
      </c>
      <c r="D2633" t="s">
        <v>5684</v>
      </c>
      <c r="F2633" t="str">
        <f t="shared" si="78"/>
        <v>41110000</v>
      </c>
      <c r="G2633" t="str">
        <f t="shared" si="79"/>
        <v>41111478</v>
      </c>
      <c r="H2633" t="s">
        <v>5522</v>
      </c>
      <c r="I2633" s="1">
        <v>45777</v>
      </c>
      <c r="J2633" s="4">
        <v>536900</v>
      </c>
    </row>
    <row r="2634" spans="1:10" hidden="1" outlineLevel="2" x14ac:dyDescent="0.35">
      <c r="A2634" t="s">
        <v>131</v>
      </c>
      <c r="B2634" s="1">
        <v>45734</v>
      </c>
      <c r="C2634" t="s">
        <v>5684</v>
      </c>
      <c r="D2634" t="s">
        <v>5684</v>
      </c>
      <c r="F2634" t="str">
        <f t="shared" si="78"/>
        <v>41110000</v>
      </c>
      <c r="G2634" t="str">
        <f t="shared" si="79"/>
        <v>41111478</v>
      </c>
      <c r="H2634" t="s">
        <v>5522</v>
      </c>
      <c r="I2634" s="1">
        <v>45777</v>
      </c>
      <c r="J2634" s="4">
        <v>536900</v>
      </c>
    </row>
    <row r="2635" spans="1:10" hidden="1" outlineLevel="2" x14ac:dyDescent="0.35">
      <c r="A2635" t="s">
        <v>131</v>
      </c>
      <c r="B2635" s="1">
        <v>45734</v>
      </c>
      <c r="C2635" t="s">
        <v>5684</v>
      </c>
      <c r="D2635" t="s">
        <v>5684</v>
      </c>
      <c r="F2635" t="str">
        <f t="shared" si="78"/>
        <v>41110000</v>
      </c>
      <c r="G2635" t="str">
        <f t="shared" si="79"/>
        <v>41111478</v>
      </c>
      <c r="H2635" t="s">
        <v>5680</v>
      </c>
      <c r="I2635" s="1">
        <v>45777</v>
      </c>
      <c r="J2635" s="4">
        <v>-536900</v>
      </c>
    </row>
    <row r="2636" spans="1:10" hidden="1" outlineLevel="2" x14ac:dyDescent="0.35">
      <c r="A2636" t="s">
        <v>131</v>
      </c>
      <c r="B2636" s="1">
        <v>45736</v>
      </c>
      <c r="C2636" t="s">
        <v>5685</v>
      </c>
      <c r="D2636" t="s">
        <v>5685</v>
      </c>
      <c r="F2636" t="str">
        <f t="shared" si="78"/>
        <v>41110000</v>
      </c>
      <c r="G2636" t="str">
        <f>"41111237"</f>
        <v>41111237</v>
      </c>
      <c r="H2636" t="s">
        <v>5581</v>
      </c>
      <c r="I2636" s="1">
        <v>45767</v>
      </c>
      <c r="J2636" s="4">
        <v>24053283</v>
      </c>
    </row>
    <row r="2637" spans="1:10" hidden="1" outlineLevel="2" x14ac:dyDescent="0.35">
      <c r="A2637" t="s">
        <v>131</v>
      </c>
      <c r="B2637" s="1">
        <v>45736</v>
      </c>
      <c r="C2637" t="s">
        <v>5685</v>
      </c>
      <c r="D2637" t="s">
        <v>5685</v>
      </c>
      <c r="F2637" t="str">
        <f t="shared" si="78"/>
        <v>41110000</v>
      </c>
      <c r="G2637" t="str">
        <f>"41111237"</f>
        <v>41111237</v>
      </c>
      <c r="H2637" t="s">
        <v>5581</v>
      </c>
      <c r="I2637" s="1">
        <v>45767</v>
      </c>
      <c r="J2637" s="4">
        <v>24053283</v>
      </c>
    </row>
    <row r="2638" spans="1:10" hidden="1" outlineLevel="2" x14ac:dyDescent="0.35">
      <c r="A2638" t="s">
        <v>131</v>
      </c>
      <c r="B2638" s="1">
        <v>45736</v>
      </c>
      <c r="C2638" t="s">
        <v>5685</v>
      </c>
      <c r="D2638" t="s">
        <v>5685</v>
      </c>
      <c r="F2638" t="str">
        <f t="shared" si="78"/>
        <v>41110000</v>
      </c>
      <c r="G2638" t="str">
        <f>"41111237"</f>
        <v>41111237</v>
      </c>
      <c r="H2638" t="s">
        <v>5666</v>
      </c>
      <c r="I2638" s="1">
        <v>45767</v>
      </c>
      <c r="J2638" s="4">
        <v>-24053283</v>
      </c>
    </row>
    <row r="2639" spans="1:10" hidden="1" outlineLevel="2" x14ac:dyDescent="0.35">
      <c r="A2639" t="s">
        <v>131</v>
      </c>
      <c r="B2639" s="1">
        <v>45736</v>
      </c>
      <c r="C2639" t="s">
        <v>5688</v>
      </c>
      <c r="D2639" t="s">
        <v>5688</v>
      </c>
      <c r="F2639" t="str">
        <f t="shared" si="78"/>
        <v>41110000</v>
      </c>
      <c r="G2639" t="str">
        <f t="shared" ref="G2639:G2650" si="80">"41111486"</f>
        <v>41111486</v>
      </c>
      <c r="H2639" t="s">
        <v>5512</v>
      </c>
      <c r="I2639" s="1">
        <v>45767</v>
      </c>
      <c r="J2639" s="4">
        <v>750480</v>
      </c>
    </row>
    <row r="2640" spans="1:10" hidden="1" outlineLevel="2" x14ac:dyDescent="0.35">
      <c r="A2640" t="s">
        <v>131</v>
      </c>
      <c r="B2640" s="1">
        <v>45736</v>
      </c>
      <c r="C2640" t="s">
        <v>5688</v>
      </c>
      <c r="D2640" t="s">
        <v>5688</v>
      </c>
      <c r="F2640" t="str">
        <f t="shared" si="78"/>
        <v>41110000</v>
      </c>
      <c r="G2640" t="str">
        <f t="shared" si="80"/>
        <v>41111486</v>
      </c>
      <c r="H2640" t="s">
        <v>5512</v>
      </c>
      <c r="I2640" s="1">
        <v>45767</v>
      </c>
      <c r="J2640" s="4">
        <v>750480</v>
      </c>
    </row>
    <row r="2641" spans="1:10" hidden="1" outlineLevel="2" x14ac:dyDescent="0.35">
      <c r="A2641" t="s">
        <v>131</v>
      </c>
      <c r="B2641" s="1">
        <v>45736</v>
      </c>
      <c r="C2641" t="s">
        <v>5688</v>
      </c>
      <c r="D2641" t="s">
        <v>5688</v>
      </c>
      <c r="F2641" t="str">
        <f t="shared" si="78"/>
        <v>41110000</v>
      </c>
      <c r="G2641" t="str">
        <f t="shared" si="80"/>
        <v>41111486</v>
      </c>
      <c r="H2641" t="s">
        <v>5689</v>
      </c>
      <c r="I2641" s="1">
        <v>45767</v>
      </c>
      <c r="J2641" s="4">
        <v>-750480</v>
      </c>
    </row>
    <row r="2642" spans="1:10" hidden="1" outlineLevel="2" x14ac:dyDescent="0.35">
      <c r="A2642" t="s">
        <v>131</v>
      </c>
      <c r="B2642" s="1">
        <v>45736</v>
      </c>
      <c r="C2642" t="s">
        <v>5690</v>
      </c>
      <c r="D2642" t="s">
        <v>5690</v>
      </c>
      <c r="F2642" t="str">
        <f t="shared" si="78"/>
        <v>41110000</v>
      </c>
      <c r="G2642" t="str">
        <f t="shared" si="80"/>
        <v>41111486</v>
      </c>
      <c r="H2642" t="s">
        <v>5512</v>
      </c>
      <c r="I2642" s="1">
        <v>45767</v>
      </c>
      <c r="J2642" s="4">
        <v>2371800</v>
      </c>
    </row>
    <row r="2643" spans="1:10" hidden="1" outlineLevel="2" x14ac:dyDescent="0.35">
      <c r="A2643" t="s">
        <v>131</v>
      </c>
      <c r="B2643" s="1">
        <v>45736</v>
      </c>
      <c r="C2643" t="s">
        <v>5690</v>
      </c>
      <c r="D2643" t="s">
        <v>5690</v>
      </c>
      <c r="F2643" t="str">
        <f t="shared" si="78"/>
        <v>41110000</v>
      </c>
      <c r="G2643" t="str">
        <f t="shared" si="80"/>
        <v>41111486</v>
      </c>
      <c r="H2643" t="s">
        <v>5512</v>
      </c>
      <c r="I2643" s="1">
        <v>45767</v>
      </c>
      <c r="J2643" s="4">
        <v>2371800</v>
      </c>
    </row>
    <row r="2644" spans="1:10" hidden="1" outlineLevel="2" x14ac:dyDescent="0.35">
      <c r="A2644" t="s">
        <v>131</v>
      </c>
      <c r="B2644" s="1">
        <v>45736</v>
      </c>
      <c r="C2644" t="s">
        <v>5690</v>
      </c>
      <c r="D2644" t="s">
        <v>5690</v>
      </c>
      <c r="F2644" t="str">
        <f t="shared" si="78"/>
        <v>41110000</v>
      </c>
      <c r="G2644" t="str">
        <f t="shared" si="80"/>
        <v>41111486</v>
      </c>
      <c r="H2644" t="s">
        <v>5689</v>
      </c>
      <c r="I2644" s="1">
        <v>45767</v>
      </c>
      <c r="J2644" s="4">
        <v>-2371800</v>
      </c>
    </row>
    <row r="2645" spans="1:10" hidden="1" outlineLevel="2" x14ac:dyDescent="0.35">
      <c r="A2645" t="s">
        <v>131</v>
      </c>
      <c r="B2645" s="1">
        <v>45736</v>
      </c>
      <c r="C2645" t="s">
        <v>5691</v>
      </c>
      <c r="D2645" t="s">
        <v>5691</v>
      </c>
      <c r="F2645" t="str">
        <f t="shared" si="78"/>
        <v>41110000</v>
      </c>
      <c r="G2645" t="str">
        <f t="shared" si="80"/>
        <v>41111486</v>
      </c>
      <c r="H2645" t="s">
        <v>5512</v>
      </c>
      <c r="I2645" s="1">
        <v>45767</v>
      </c>
      <c r="J2645" s="4">
        <v>474360</v>
      </c>
    </row>
    <row r="2646" spans="1:10" hidden="1" outlineLevel="2" x14ac:dyDescent="0.35">
      <c r="A2646" t="s">
        <v>131</v>
      </c>
      <c r="B2646" s="1">
        <v>45736</v>
      </c>
      <c r="C2646" t="s">
        <v>5691</v>
      </c>
      <c r="D2646" t="s">
        <v>5691</v>
      </c>
      <c r="F2646" t="str">
        <f t="shared" si="78"/>
        <v>41110000</v>
      </c>
      <c r="G2646" t="str">
        <f t="shared" si="80"/>
        <v>41111486</v>
      </c>
      <c r="H2646" t="s">
        <v>5512</v>
      </c>
      <c r="I2646" s="1">
        <v>45767</v>
      </c>
      <c r="J2646" s="4">
        <v>474360</v>
      </c>
    </row>
    <row r="2647" spans="1:10" hidden="1" outlineLevel="2" x14ac:dyDescent="0.35">
      <c r="A2647" t="s">
        <v>131</v>
      </c>
      <c r="B2647" s="1">
        <v>45736</v>
      </c>
      <c r="C2647" t="s">
        <v>5691</v>
      </c>
      <c r="D2647" t="s">
        <v>5691</v>
      </c>
      <c r="F2647" t="str">
        <f t="shared" si="78"/>
        <v>41110000</v>
      </c>
      <c r="G2647" t="str">
        <f t="shared" si="80"/>
        <v>41111486</v>
      </c>
      <c r="H2647" t="s">
        <v>5689</v>
      </c>
      <c r="I2647" s="1">
        <v>45767</v>
      </c>
      <c r="J2647" s="4">
        <v>-474360</v>
      </c>
    </row>
    <row r="2648" spans="1:10" hidden="1" outlineLevel="2" x14ac:dyDescent="0.35">
      <c r="A2648" t="s">
        <v>131</v>
      </c>
      <c r="B2648" s="1">
        <v>45736</v>
      </c>
      <c r="C2648" t="s">
        <v>5692</v>
      </c>
      <c r="D2648" t="s">
        <v>5692</v>
      </c>
      <c r="F2648" t="str">
        <f t="shared" si="78"/>
        <v>41110000</v>
      </c>
      <c r="G2648" t="str">
        <f t="shared" si="80"/>
        <v>41111486</v>
      </c>
      <c r="H2648" t="s">
        <v>139</v>
      </c>
      <c r="I2648" s="1">
        <v>45777</v>
      </c>
      <c r="J2648" s="4">
        <v>750480</v>
      </c>
    </row>
    <row r="2649" spans="1:10" hidden="1" outlineLevel="2" x14ac:dyDescent="0.35">
      <c r="A2649" t="s">
        <v>131</v>
      </c>
      <c r="B2649" s="1">
        <v>45736</v>
      </c>
      <c r="C2649" t="s">
        <v>5692</v>
      </c>
      <c r="D2649" t="s">
        <v>5692</v>
      </c>
      <c r="F2649" t="str">
        <f t="shared" si="78"/>
        <v>41110000</v>
      </c>
      <c r="G2649" t="str">
        <f t="shared" si="80"/>
        <v>41111486</v>
      </c>
      <c r="H2649" t="s">
        <v>139</v>
      </c>
      <c r="I2649" s="1">
        <v>45777</v>
      </c>
      <c r="J2649" s="4">
        <v>750480</v>
      </c>
    </row>
    <row r="2650" spans="1:10" hidden="1" outlineLevel="2" x14ac:dyDescent="0.35">
      <c r="A2650" t="s">
        <v>131</v>
      </c>
      <c r="B2650" s="1">
        <v>45736</v>
      </c>
      <c r="C2650" t="s">
        <v>5692</v>
      </c>
      <c r="D2650" t="s">
        <v>5692</v>
      </c>
      <c r="F2650" t="str">
        <f t="shared" si="78"/>
        <v>41110000</v>
      </c>
      <c r="G2650" t="str">
        <f t="shared" si="80"/>
        <v>41111486</v>
      </c>
      <c r="H2650" t="s">
        <v>254</v>
      </c>
      <c r="I2650" s="1">
        <v>45777</v>
      </c>
      <c r="J2650" s="4">
        <v>-750480</v>
      </c>
    </row>
    <row r="2651" spans="1:10" hidden="1" outlineLevel="2" x14ac:dyDescent="0.35">
      <c r="A2651" t="s">
        <v>131</v>
      </c>
      <c r="B2651" s="1">
        <v>45736</v>
      </c>
      <c r="C2651" t="s">
        <v>5693</v>
      </c>
      <c r="D2651" t="s">
        <v>5693</v>
      </c>
      <c r="F2651" t="str">
        <f t="shared" si="78"/>
        <v>41110000</v>
      </c>
      <c r="G2651" t="str">
        <f>"41111371"</f>
        <v>41111371</v>
      </c>
      <c r="H2651" t="s">
        <v>5518</v>
      </c>
      <c r="I2651" s="1">
        <v>45767</v>
      </c>
      <c r="J2651" s="4">
        <v>236000</v>
      </c>
    </row>
    <row r="2652" spans="1:10" hidden="1" outlineLevel="2" x14ac:dyDescent="0.35">
      <c r="A2652" t="s">
        <v>131</v>
      </c>
      <c r="B2652" s="1">
        <v>45736</v>
      </c>
      <c r="C2652" t="s">
        <v>5693</v>
      </c>
      <c r="D2652" t="s">
        <v>5693</v>
      </c>
      <c r="F2652" t="str">
        <f t="shared" si="78"/>
        <v>41110000</v>
      </c>
      <c r="G2652" t="str">
        <f>"41111371"</f>
        <v>41111371</v>
      </c>
      <c r="H2652" t="s">
        <v>5518</v>
      </c>
      <c r="I2652" s="1">
        <v>45767</v>
      </c>
      <c r="J2652" s="4">
        <v>236000</v>
      </c>
    </row>
    <row r="2653" spans="1:10" hidden="1" outlineLevel="2" x14ac:dyDescent="0.35">
      <c r="A2653" t="s">
        <v>131</v>
      </c>
      <c r="B2653" s="1">
        <v>45736</v>
      </c>
      <c r="C2653" t="s">
        <v>5693</v>
      </c>
      <c r="D2653" t="s">
        <v>5693</v>
      </c>
      <c r="F2653" t="str">
        <f t="shared" si="78"/>
        <v>41110000</v>
      </c>
      <c r="G2653" t="str">
        <f>"41111371"</f>
        <v>41111371</v>
      </c>
      <c r="H2653" t="s">
        <v>5676</v>
      </c>
      <c r="I2653" s="1">
        <v>45767</v>
      </c>
      <c r="J2653" s="4">
        <v>-236000</v>
      </c>
    </row>
    <row r="2654" spans="1:10" hidden="1" outlineLevel="2" x14ac:dyDescent="0.35">
      <c r="A2654" t="s">
        <v>131</v>
      </c>
      <c r="B2654" s="1">
        <v>45736</v>
      </c>
      <c r="C2654" t="s">
        <v>5694</v>
      </c>
      <c r="D2654" t="s">
        <v>5694</v>
      </c>
      <c r="F2654" t="str">
        <f t="shared" si="78"/>
        <v>41110000</v>
      </c>
      <c r="G2654" t="str">
        <f>"41111478"</f>
        <v>41111478</v>
      </c>
      <c r="H2654" t="s">
        <v>180</v>
      </c>
      <c r="I2654" s="1">
        <v>45777</v>
      </c>
      <c r="J2654" s="4">
        <v>409460</v>
      </c>
    </row>
    <row r="2655" spans="1:10" hidden="1" outlineLevel="2" x14ac:dyDescent="0.35">
      <c r="A2655" t="s">
        <v>131</v>
      </c>
      <c r="B2655" s="1">
        <v>45736</v>
      </c>
      <c r="C2655" t="s">
        <v>5694</v>
      </c>
      <c r="D2655" t="s">
        <v>5694</v>
      </c>
      <c r="F2655" t="str">
        <f t="shared" si="78"/>
        <v>41110000</v>
      </c>
      <c r="G2655" t="str">
        <f>"41111478"</f>
        <v>41111478</v>
      </c>
      <c r="H2655" t="s">
        <v>180</v>
      </c>
      <c r="I2655" s="1">
        <v>45777</v>
      </c>
      <c r="J2655" s="4">
        <v>409460</v>
      </c>
    </row>
    <row r="2656" spans="1:10" hidden="1" outlineLevel="2" x14ac:dyDescent="0.35">
      <c r="A2656" t="s">
        <v>131</v>
      </c>
      <c r="B2656" s="1">
        <v>45736</v>
      </c>
      <c r="C2656" t="s">
        <v>5694</v>
      </c>
      <c r="D2656" t="s">
        <v>5694</v>
      </c>
      <c r="F2656" t="str">
        <f t="shared" si="78"/>
        <v>41110000</v>
      </c>
      <c r="G2656" t="str">
        <f>"41111478"</f>
        <v>41111478</v>
      </c>
      <c r="H2656" t="s">
        <v>257</v>
      </c>
      <c r="I2656" s="1">
        <v>45777</v>
      </c>
      <c r="J2656" s="4">
        <v>-409460</v>
      </c>
    </row>
    <row r="2657" spans="1:10" hidden="1" outlineLevel="2" x14ac:dyDescent="0.35">
      <c r="A2657" t="s">
        <v>131</v>
      </c>
      <c r="B2657" s="1">
        <v>45737</v>
      </c>
      <c r="C2657" t="s">
        <v>5702</v>
      </c>
      <c r="D2657" t="s">
        <v>5702</v>
      </c>
      <c r="F2657" t="str">
        <f t="shared" si="78"/>
        <v>41110000</v>
      </c>
      <c r="G2657" t="str">
        <f>"41111371"</f>
        <v>41111371</v>
      </c>
      <c r="H2657" t="s">
        <v>5518</v>
      </c>
      <c r="I2657" s="1">
        <v>45768</v>
      </c>
      <c r="J2657" s="4">
        <v>236000</v>
      </c>
    </row>
    <row r="2658" spans="1:10" hidden="1" outlineLevel="2" x14ac:dyDescent="0.35">
      <c r="A2658" t="s">
        <v>131</v>
      </c>
      <c r="B2658" s="1">
        <v>45737</v>
      </c>
      <c r="C2658" t="s">
        <v>5703</v>
      </c>
      <c r="D2658" t="s">
        <v>5703</v>
      </c>
      <c r="F2658" t="str">
        <f t="shared" si="78"/>
        <v>41110000</v>
      </c>
      <c r="G2658" t="str">
        <f>"41111371"</f>
        <v>41111371</v>
      </c>
      <c r="H2658" t="s">
        <v>5518</v>
      </c>
      <c r="I2658" s="1">
        <v>45768</v>
      </c>
      <c r="J2658" s="4">
        <v>236000</v>
      </c>
    </row>
    <row r="2659" spans="1:10" hidden="1" outlineLevel="2" x14ac:dyDescent="0.35">
      <c r="A2659" t="s">
        <v>131</v>
      </c>
      <c r="B2659" s="1">
        <v>45740</v>
      </c>
      <c r="C2659" t="s">
        <v>5711</v>
      </c>
      <c r="D2659" t="s">
        <v>5711</v>
      </c>
      <c r="F2659" t="str">
        <f t="shared" si="78"/>
        <v>41110000</v>
      </c>
      <c r="G2659" t="str">
        <f>"41111486"</f>
        <v>41111486</v>
      </c>
      <c r="H2659" t="s">
        <v>139</v>
      </c>
      <c r="I2659" s="1">
        <v>45740</v>
      </c>
      <c r="J2659" s="4">
        <v>1529280</v>
      </c>
    </row>
    <row r="2660" spans="1:10" hidden="1" outlineLevel="2" x14ac:dyDescent="0.35">
      <c r="A2660" t="s">
        <v>131</v>
      </c>
      <c r="B2660" s="1">
        <v>45740</v>
      </c>
      <c r="C2660" t="s">
        <v>5712</v>
      </c>
      <c r="D2660" t="s">
        <v>5712</v>
      </c>
      <c r="F2660" t="str">
        <f t="shared" si="78"/>
        <v>41110000</v>
      </c>
      <c r="G2660" t="str">
        <f t="shared" ref="G2660:G2676" si="81">"41111371"</f>
        <v>41111371</v>
      </c>
      <c r="H2660" t="s">
        <v>5518</v>
      </c>
      <c r="I2660" s="1">
        <v>45771</v>
      </c>
      <c r="J2660" s="4">
        <v>206500</v>
      </c>
    </row>
    <row r="2661" spans="1:10" hidden="1" outlineLevel="2" x14ac:dyDescent="0.35">
      <c r="A2661" t="s">
        <v>131</v>
      </c>
      <c r="B2661" s="1">
        <v>45740</v>
      </c>
      <c r="C2661" t="s">
        <v>5713</v>
      </c>
      <c r="D2661" t="s">
        <v>5713</v>
      </c>
      <c r="F2661" t="str">
        <f t="shared" si="78"/>
        <v>41110000</v>
      </c>
      <c r="G2661" t="str">
        <f t="shared" si="81"/>
        <v>41111371</v>
      </c>
      <c r="H2661" t="s">
        <v>5518</v>
      </c>
      <c r="I2661" s="1">
        <v>45771</v>
      </c>
      <c r="J2661" s="4">
        <v>206500</v>
      </c>
    </row>
    <row r="2662" spans="1:10" hidden="1" outlineLevel="2" x14ac:dyDescent="0.35">
      <c r="A2662" t="s">
        <v>131</v>
      </c>
      <c r="B2662" s="1">
        <v>45740</v>
      </c>
      <c r="C2662" t="s">
        <v>5714</v>
      </c>
      <c r="D2662" t="s">
        <v>5714</v>
      </c>
      <c r="F2662" t="str">
        <f t="shared" si="78"/>
        <v>41110000</v>
      </c>
      <c r="G2662" t="str">
        <f t="shared" si="81"/>
        <v>41111371</v>
      </c>
      <c r="H2662" t="s">
        <v>5518</v>
      </c>
      <c r="I2662" s="1">
        <v>45771</v>
      </c>
      <c r="J2662" s="4">
        <v>206500</v>
      </c>
    </row>
    <row r="2663" spans="1:10" hidden="1" outlineLevel="2" x14ac:dyDescent="0.35">
      <c r="A2663" t="s">
        <v>131</v>
      </c>
      <c r="B2663" s="1">
        <v>45740</v>
      </c>
      <c r="C2663" t="s">
        <v>5715</v>
      </c>
      <c r="D2663" t="s">
        <v>5715</v>
      </c>
      <c r="F2663" t="str">
        <f t="shared" si="78"/>
        <v>41110000</v>
      </c>
      <c r="G2663" t="str">
        <f t="shared" si="81"/>
        <v>41111371</v>
      </c>
      <c r="H2663" t="s">
        <v>5518</v>
      </c>
      <c r="I2663" s="1">
        <v>45771</v>
      </c>
      <c r="J2663" s="4">
        <v>206500</v>
      </c>
    </row>
    <row r="2664" spans="1:10" hidden="1" outlineLevel="2" x14ac:dyDescent="0.35">
      <c r="A2664" t="s">
        <v>131</v>
      </c>
      <c r="B2664" s="1">
        <v>45740</v>
      </c>
      <c r="C2664" t="s">
        <v>5716</v>
      </c>
      <c r="D2664" t="s">
        <v>5716</v>
      </c>
      <c r="F2664" t="str">
        <f t="shared" si="78"/>
        <v>41110000</v>
      </c>
      <c r="G2664" t="str">
        <f t="shared" si="81"/>
        <v>41111371</v>
      </c>
      <c r="H2664" t="s">
        <v>5518</v>
      </c>
      <c r="I2664" s="1">
        <v>45771</v>
      </c>
      <c r="J2664" s="4">
        <v>206500</v>
      </c>
    </row>
    <row r="2665" spans="1:10" hidden="1" outlineLevel="2" x14ac:dyDescent="0.35">
      <c r="A2665" t="s">
        <v>131</v>
      </c>
      <c r="B2665" s="1">
        <v>45740</v>
      </c>
      <c r="C2665" t="s">
        <v>5717</v>
      </c>
      <c r="D2665" t="s">
        <v>5717</v>
      </c>
      <c r="F2665" t="str">
        <f t="shared" si="78"/>
        <v>41110000</v>
      </c>
      <c r="G2665" t="str">
        <f t="shared" si="81"/>
        <v>41111371</v>
      </c>
      <c r="H2665" t="s">
        <v>5518</v>
      </c>
      <c r="I2665" s="1">
        <v>45771</v>
      </c>
      <c r="J2665" s="4">
        <v>206500</v>
      </c>
    </row>
    <row r="2666" spans="1:10" hidden="1" outlineLevel="2" x14ac:dyDescent="0.35">
      <c r="A2666" t="s">
        <v>131</v>
      </c>
      <c r="B2666" s="1">
        <v>45740</v>
      </c>
      <c r="C2666" t="s">
        <v>5718</v>
      </c>
      <c r="D2666" t="s">
        <v>5718</v>
      </c>
      <c r="F2666" t="str">
        <f t="shared" si="78"/>
        <v>41110000</v>
      </c>
      <c r="G2666" t="str">
        <f t="shared" si="81"/>
        <v>41111371</v>
      </c>
      <c r="H2666" t="s">
        <v>5518</v>
      </c>
      <c r="I2666" s="1">
        <v>45771</v>
      </c>
      <c r="J2666" s="4">
        <v>206500</v>
      </c>
    </row>
    <row r="2667" spans="1:10" hidden="1" outlineLevel="2" x14ac:dyDescent="0.35">
      <c r="A2667" t="s">
        <v>131</v>
      </c>
      <c r="B2667" s="1">
        <v>45740</v>
      </c>
      <c r="C2667" t="s">
        <v>5719</v>
      </c>
      <c r="D2667" t="s">
        <v>5719</v>
      </c>
      <c r="F2667" t="str">
        <f t="shared" si="78"/>
        <v>41110000</v>
      </c>
      <c r="G2667" t="str">
        <f t="shared" si="81"/>
        <v>41111371</v>
      </c>
      <c r="H2667" t="s">
        <v>5518</v>
      </c>
      <c r="I2667" s="1">
        <v>45771</v>
      </c>
      <c r="J2667" s="4">
        <v>206500</v>
      </c>
    </row>
    <row r="2668" spans="1:10" hidden="1" outlineLevel="2" x14ac:dyDescent="0.35">
      <c r="A2668" t="s">
        <v>131</v>
      </c>
      <c r="B2668" s="1">
        <v>45740</v>
      </c>
      <c r="C2668" t="s">
        <v>5720</v>
      </c>
      <c r="D2668" t="s">
        <v>5720</v>
      </c>
      <c r="F2668" t="str">
        <f t="shared" si="78"/>
        <v>41110000</v>
      </c>
      <c r="G2668" t="str">
        <f t="shared" si="81"/>
        <v>41111371</v>
      </c>
      <c r="H2668" t="s">
        <v>5518</v>
      </c>
      <c r="I2668" s="1">
        <v>45771</v>
      </c>
      <c r="J2668" s="4">
        <v>236000</v>
      </c>
    </row>
    <row r="2669" spans="1:10" hidden="1" outlineLevel="2" x14ac:dyDescent="0.35">
      <c r="A2669" t="s">
        <v>131</v>
      </c>
      <c r="B2669" s="1">
        <v>45740</v>
      </c>
      <c r="C2669" t="s">
        <v>5721</v>
      </c>
      <c r="D2669" t="s">
        <v>5721</v>
      </c>
      <c r="F2669" t="str">
        <f t="shared" si="78"/>
        <v>41110000</v>
      </c>
      <c r="G2669" t="str">
        <f t="shared" si="81"/>
        <v>41111371</v>
      </c>
      <c r="H2669" t="s">
        <v>5518</v>
      </c>
      <c r="I2669" s="1">
        <v>45771</v>
      </c>
      <c r="J2669" s="4">
        <v>236000</v>
      </c>
    </row>
    <row r="2670" spans="1:10" hidden="1" outlineLevel="2" x14ac:dyDescent="0.35">
      <c r="A2670" t="s">
        <v>131</v>
      </c>
      <c r="B2670" s="1">
        <v>45740</v>
      </c>
      <c r="C2670" t="s">
        <v>5722</v>
      </c>
      <c r="D2670" t="s">
        <v>5722</v>
      </c>
      <c r="F2670" t="str">
        <f t="shared" si="78"/>
        <v>41110000</v>
      </c>
      <c r="G2670" t="str">
        <f t="shared" si="81"/>
        <v>41111371</v>
      </c>
      <c r="H2670" t="s">
        <v>5518</v>
      </c>
      <c r="I2670" s="1">
        <v>45771</v>
      </c>
      <c r="J2670" s="4">
        <v>472000</v>
      </c>
    </row>
    <row r="2671" spans="1:10" hidden="1" outlineLevel="2" x14ac:dyDescent="0.35">
      <c r="A2671" t="s">
        <v>131</v>
      </c>
      <c r="B2671" s="1">
        <v>45740</v>
      </c>
      <c r="C2671" t="s">
        <v>5723</v>
      </c>
      <c r="D2671" t="s">
        <v>5723</v>
      </c>
      <c r="F2671" t="str">
        <f t="shared" si="78"/>
        <v>41110000</v>
      </c>
      <c r="G2671" t="str">
        <f t="shared" si="81"/>
        <v>41111371</v>
      </c>
      <c r="H2671" t="s">
        <v>5518</v>
      </c>
      <c r="I2671" s="1">
        <v>45771</v>
      </c>
      <c r="J2671" s="4">
        <v>236000</v>
      </c>
    </row>
    <row r="2672" spans="1:10" hidden="1" outlineLevel="2" x14ac:dyDescent="0.35">
      <c r="A2672" t="s">
        <v>131</v>
      </c>
      <c r="B2672" s="1">
        <v>45740</v>
      </c>
      <c r="C2672" t="s">
        <v>5724</v>
      </c>
      <c r="D2672" t="s">
        <v>5724</v>
      </c>
      <c r="F2672" t="str">
        <f t="shared" si="78"/>
        <v>41110000</v>
      </c>
      <c r="G2672" t="str">
        <f t="shared" si="81"/>
        <v>41111371</v>
      </c>
      <c r="H2672" t="s">
        <v>5518</v>
      </c>
      <c r="I2672" s="1">
        <v>45771</v>
      </c>
      <c r="J2672" s="4">
        <v>236000</v>
      </c>
    </row>
    <row r="2673" spans="1:10" hidden="1" outlineLevel="2" x14ac:dyDescent="0.35">
      <c r="A2673" t="s">
        <v>131</v>
      </c>
      <c r="B2673" s="1">
        <v>45740</v>
      </c>
      <c r="C2673" t="s">
        <v>5725</v>
      </c>
      <c r="D2673" t="s">
        <v>5725</v>
      </c>
      <c r="F2673" t="str">
        <f t="shared" si="78"/>
        <v>41110000</v>
      </c>
      <c r="G2673" t="str">
        <f t="shared" si="81"/>
        <v>41111371</v>
      </c>
      <c r="H2673" t="s">
        <v>5518</v>
      </c>
      <c r="I2673" s="1">
        <v>45771</v>
      </c>
      <c r="J2673" s="4">
        <v>236000</v>
      </c>
    </row>
    <row r="2674" spans="1:10" hidden="1" outlineLevel="2" x14ac:dyDescent="0.35">
      <c r="A2674" t="s">
        <v>131</v>
      </c>
      <c r="B2674" s="1">
        <v>45740</v>
      </c>
      <c r="C2674" t="s">
        <v>5703</v>
      </c>
      <c r="D2674" t="s">
        <v>5703</v>
      </c>
      <c r="F2674" t="str">
        <f t="shared" si="78"/>
        <v>41110000</v>
      </c>
      <c r="G2674" t="str">
        <f t="shared" si="81"/>
        <v>41111371</v>
      </c>
      <c r="H2674" t="s">
        <v>5518</v>
      </c>
      <c r="I2674" s="1">
        <v>45771</v>
      </c>
      <c r="J2674" s="4">
        <v>236000</v>
      </c>
    </row>
    <row r="2675" spans="1:10" hidden="1" outlineLevel="2" x14ac:dyDescent="0.35">
      <c r="A2675" t="s">
        <v>131</v>
      </c>
      <c r="B2675" s="1">
        <v>45740</v>
      </c>
      <c r="C2675" t="s">
        <v>5703</v>
      </c>
      <c r="D2675" t="s">
        <v>5703</v>
      </c>
      <c r="F2675" t="str">
        <f t="shared" si="78"/>
        <v>41110000</v>
      </c>
      <c r="G2675" t="str">
        <f t="shared" si="81"/>
        <v>41111371</v>
      </c>
      <c r="H2675" t="s">
        <v>5676</v>
      </c>
      <c r="I2675" s="1">
        <v>45771</v>
      </c>
      <c r="J2675" s="4">
        <v>-236000</v>
      </c>
    </row>
    <row r="2676" spans="1:10" hidden="1" outlineLevel="2" x14ac:dyDescent="0.35">
      <c r="A2676" t="s">
        <v>131</v>
      </c>
      <c r="B2676" s="1">
        <v>45740</v>
      </c>
      <c r="C2676" t="s">
        <v>5726</v>
      </c>
      <c r="D2676" t="s">
        <v>5726</v>
      </c>
      <c r="F2676" t="str">
        <f t="shared" si="78"/>
        <v>41110000</v>
      </c>
      <c r="G2676" t="str">
        <f t="shared" si="81"/>
        <v>41111371</v>
      </c>
      <c r="H2676" t="s">
        <v>5518</v>
      </c>
      <c r="I2676" s="1">
        <v>45771</v>
      </c>
      <c r="J2676" s="4">
        <v>472000</v>
      </c>
    </row>
    <row r="2677" spans="1:10" hidden="1" outlineLevel="2" x14ac:dyDescent="0.35">
      <c r="A2677" t="s">
        <v>131</v>
      </c>
      <c r="B2677" s="1">
        <v>45740</v>
      </c>
      <c r="C2677" t="s">
        <v>5727</v>
      </c>
      <c r="D2677" t="s">
        <v>5727</v>
      </c>
      <c r="F2677" t="str">
        <f t="shared" ref="F2677:F2744" si="82">"41110000"</f>
        <v>41110000</v>
      </c>
      <c r="G2677" t="str">
        <f>"41111478"</f>
        <v>41111478</v>
      </c>
      <c r="H2677" t="s">
        <v>180</v>
      </c>
      <c r="I2677" s="1">
        <v>45771</v>
      </c>
      <c r="J2677" s="4">
        <v>1052560</v>
      </c>
    </row>
    <row r="2678" spans="1:10" hidden="1" outlineLevel="2" x14ac:dyDescent="0.35">
      <c r="A2678" t="s">
        <v>131</v>
      </c>
      <c r="B2678" s="1">
        <v>45741</v>
      </c>
      <c r="C2678" t="s">
        <v>5731</v>
      </c>
      <c r="D2678" t="s">
        <v>5731</v>
      </c>
      <c r="F2678" t="str">
        <f t="shared" si="82"/>
        <v>41110000</v>
      </c>
      <c r="G2678" t="str">
        <f>"41111371"</f>
        <v>41111371</v>
      </c>
      <c r="H2678" t="s">
        <v>5518</v>
      </c>
      <c r="I2678" s="1">
        <v>45772</v>
      </c>
      <c r="J2678" s="4">
        <v>206500</v>
      </c>
    </row>
    <row r="2679" spans="1:10" hidden="1" outlineLevel="2" x14ac:dyDescent="0.35">
      <c r="A2679" t="s">
        <v>131</v>
      </c>
      <c r="B2679" s="1">
        <v>45741</v>
      </c>
      <c r="C2679" t="s">
        <v>5732</v>
      </c>
      <c r="D2679" t="s">
        <v>5732</v>
      </c>
      <c r="F2679" t="str">
        <f t="shared" si="82"/>
        <v>41110000</v>
      </c>
      <c r="G2679" t="str">
        <f>"41111371"</f>
        <v>41111371</v>
      </c>
      <c r="H2679" t="s">
        <v>5518</v>
      </c>
      <c r="I2679" s="1">
        <v>45772</v>
      </c>
      <c r="J2679" s="4">
        <v>236000</v>
      </c>
    </row>
    <row r="2680" spans="1:10" hidden="1" outlineLevel="2" x14ac:dyDescent="0.35">
      <c r="A2680" t="s">
        <v>131</v>
      </c>
      <c r="B2680" s="1">
        <v>45741</v>
      </c>
      <c r="C2680" t="s">
        <v>5733</v>
      </c>
      <c r="D2680" t="s">
        <v>5733</v>
      </c>
      <c r="F2680" t="str">
        <f t="shared" si="82"/>
        <v>41110000</v>
      </c>
      <c r="G2680" t="str">
        <f t="shared" ref="G2680:G2685" si="83">"41111478"</f>
        <v>41111478</v>
      </c>
      <c r="H2680" t="s">
        <v>180</v>
      </c>
      <c r="I2680" s="1">
        <v>45777</v>
      </c>
      <c r="J2680" s="4">
        <v>409460</v>
      </c>
    </row>
    <row r="2681" spans="1:10" hidden="1" outlineLevel="2" x14ac:dyDescent="0.35">
      <c r="A2681" t="s">
        <v>131</v>
      </c>
      <c r="B2681" s="1">
        <v>45741</v>
      </c>
      <c r="C2681" t="s">
        <v>5734</v>
      </c>
      <c r="D2681" t="s">
        <v>5734</v>
      </c>
      <c r="F2681" t="str">
        <f t="shared" si="82"/>
        <v>41110000</v>
      </c>
      <c r="G2681" t="str">
        <f t="shared" si="83"/>
        <v>41111478</v>
      </c>
      <c r="H2681" t="s">
        <v>5551</v>
      </c>
      <c r="I2681" s="1">
        <v>45741</v>
      </c>
      <c r="J2681" s="4">
        <v>413000</v>
      </c>
    </row>
    <row r="2682" spans="1:10" hidden="1" outlineLevel="2" x14ac:dyDescent="0.35">
      <c r="A2682" t="s">
        <v>131</v>
      </c>
      <c r="B2682" s="1">
        <v>45741</v>
      </c>
      <c r="C2682" t="s">
        <v>5735</v>
      </c>
      <c r="D2682" t="s">
        <v>5735</v>
      </c>
      <c r="F2682" t="str">
        <f t="shared" si="82"/>
        <v>41110000</v>
      </c>
      <c r="G2682" t="str">
        <f t="shared" si="83"/>
        <v>41111478</v>
      </c>
      <c r="H2682" t="s">
        <v>180</v>
      </c>
      <c r="I2682" s="1">
        <v>45777</v>
      </c>
      <c r="J2682" s="4">
        <v>146320</v>
      </c>
    </row>
    <row r="2683" spans="1:10" hidden="1" outlineLevel="2" x14ac:dyDescent="0.35">
      <c r="A2683" t="s">
        <v>131</v>
      </c>
      <c r="B2683" s="1">
        <v>45741</v>
      </c>
      <c r="C2683" t="s">
        <v>5736</v>
      </c>
      <c r="D2683" t="s">
        <v>5736</v>
      </c>
      <c r="F2683" t="str">
        <f t="shared" si="82"/>
        <v>41110000</v>
      </c>
      <c r="G2683" t="str">
        <f t="shared" si="83"/>
        <v>41111478</v>
      </c>
      <c r="H2683" t="s">
        <v>180</v>
      </c>
      <c r="I2683" s="1">
        <v>45777</v>
      </c>
      <c r="J2683" s="4">
        <v>146320</v>
      </c>
    </row>
    <row r="2684" spans="1:10" hidden="1" outlineLevel="2" x14ac:dyDescent="0.35">
      <c r="A2684" t="s">
        <v>131</v>
      </c>
      <c r="B2684" s="1">
        <v>45741</v>
      </c>
      <c r="C2684" t="s">
        <v>5737</v>
      </c>
      <c r="D2684" t="s">
        <v>5737</v>
      </c>
      <c r="F2684" t="str">
        <f t="shared" si="82"/>
        <v>41110000</v>
      </c>
      <c r="G2684" t="str">
        <f t="shared" si="83"/>
        <v>41111478</v>
      </c>
      <c r="H2684" t="s">
        <v>180</v>
      </c>
      <c r="I2684" s="1">
        <v>45777</v>
      </c>
      <c r="J2684" s="4">
        <v>146320</v>
      </c>
    </row>
    <row r="2685" spans="1:10" hidden="1" outlineLevel="2" x14ac:dyDescent="0.35">
      <c r="A2685" t="s">
        <v>131</v>
      </c>
      <c r="B2685" s="1">
        <v>45741</v>
      </c>
      <c r="C2685" t="s">
        <v>5738</v>
      </c>
      <c r="D2685" t="s">
        <v>5738</v>
      </c>
      <c r="F2685" t="str">
        <f t="shared" si="82"/>
        <v>41110000</v>
      </c>
      <c r="G2685" t="str">
        <f t="shared" si="83"/>
        <v>41111478</v>
      </c>
      <c r="H2685" t="s">
        <v>180</v>
      </c>
      <c r="I2685" s="1">
        <v>45777</v>
      </c>
      <c r="J2685" s="4">
        <v>146320</v>
      </c>
    </row>
    <row r="2686" spans="1:10" hidden="1" outlineLevel="2" x14ac:dyDescent="0.35">
      <c r="A2686" t="s">
        <v>131</v>
      </c>
      <c r="B2686" s="1">
        <v>45741</v>
      </c>
      <c r="C2686" t="s">
        <v>5739</v>
      </c>
      <c r="D2686" t="s">
        <v>5739</v>
      </c>
      <c r="F2686" t="str">
        <f t="shared" si="82"/>
        <v>41110000</v>
      </c>
      <c r="G2686" t="str">
        <f>"41112035"</f>
        <v>41112035</v>
      </c>
      <c r="H2686" t="s">
        <v>5740</v>
      </c>
      <c r="I2686" s="1">
        <v>45741</v>
      </c>
      <c r="J2686" s="4">
        <v>1982400</v>
      </c>
    </row>
    <row r="2687" spans="1:10" hidden="1" outlineLevel="2" x14ac:dyDescent="0.35">
      <c r="A2687" t="s">
        <v>131</v>
      </c>
      <c r="B2687" s="1">
        <v>45741</v>
      </c>
      <c r="C2687" t="s">
        <v>5741</v>
      </c>
      <c r="D2687" t="s">
        <v>5741</v>
      </c>
      <c r="F2687" t="str">
        <f t="shared" si="82"/>
        <v>41110000</v>
      </c>
      <c r="G2687" t="str">
        <f>"41111486"</f>
        <v>41111486</v>
      </c>
      <c r="H2687" t="s">
        <v>5512</v>
      </c>
      <c r="I2687" s="1">
        <v>45772</v>
      </c>
      <c r="J2687" s="4">
        <v>266680</v>
      </c>
    </row>
    <row r="2688" spans="1:10" hidden="1" outlineLevel="2" x14ac:dyDescent="0.35">
      <c r="A2688" t="s">
        <v>131</v>
      </c>
      <c r="B2688" s="1">
        <v>45741</v>
      </c>
      <c r="C2688" t="s">
        <v>5742</v>
      </c>
      <c r="D2688" t="s">
        <v>5742</v>
      </c>
      <c r="F2688" t="str">
        <f t="shared" si="82"/>
        <v>41110000</v>
      </c>
      <c r="G2688" t="str">
        <f>"41112009"</f>
        <v>41112009</v>
      </c>
      <c r="H2688" t="s">
        <v>5526</v>
      </c>
      <c r="I2688" s="1">
        <v>45741</v>
      </c>
      <c r="J2688" s="4">
        <v>3342072</v>
      </c>
    </row>
    <row r="2689" spans="1:10" hidden="1" outlineLevel="2" x14ac:dyDescent="0.35">
      <c r="A2689" t="s">
        <v>131</v>
      </c>
      <c r="B2689" s="1">
        <v>45742</v>
      </c>
      <c r="C2689" t="s">
        <v>5746</v>
      </c>
      <c r="D2689" t="s">
        <v>5746</v>
      </c>
      <c r="F2689" t="str">
        <f t="shared" si="82"/>
        <v>41110000</v>
      </c>
      <c r="G2689" t="str">
        <f>"41111486"</f>
        <v>41111486</v>
      </c>
      <c r="H2689" t="s">
        <v>165</v>
      </c>
      <c r="I2689" s="1">
        <v>45742</v>
      </c>
      <c r="J2689" s="4">
        <v>1067310</v>
      </c>
    </row>
    <row r="2690" spans="1:10" hidden="1" outlineLevel="2" x14ac:dyDescent="0.35">
      <c r="A2690" t="s">
        <v>131</v>
      </c>
      <c r="B2690" s="1">
        <v>45744</v>
      </c>
      <c r="C2690" t="s">
        <v>5769</v>
      </c>
      <c r="D2690" t="s">
        <v>5769</v>
      </c>
      <c r="F2690" t="str">
        <f t="shared" si="82"/>
        <v>41110000</v>
      </c>
      <c r="G2690" t="str">
        <f>"41112029"</f>
        <v>41112029</v>
      </c>
      <c r="H2690" t="s">
        <v>5770</v>
      </c>
      <c r="I2690" s="1">
        <v>45775</v>
      </c>
      <c r="J2690" s="4">
        <v>94400</v>
      </c>
    </row>
    <row r="2691" spans="1:10" hidden="1" outlineLevel="2" x14ac:dyDescent="0.35">
      <c r="A2691" t="s">
        <v>131</v>
      </c>
      <c r="B2691" s="1">
        <v>45744</v>
      </c>
      <c r="C2691" t="s">
        <v>5774</v>
      </c>
      <c r="D2691" t="s">
        <v>5774</v>
      </c>
      <c r="F2691" t="str">
        <f t="shared" si="82"/>
        <v>41110000</v>
      </c>
      <c r="G2691" t="str">
        <f t="shared" ref="G2691:G2696" si="84">"41111486"</f>
        <v>41111486</v>
      </c>
      <c r="H2691" t="s">
        <v>139</v>
      </c>
      <c r="I2691" s="1">
        <v>45744</v>
      </c>
      <c r="J2691" s="4">
        <v>885000</v>
      </c>
    </row>
    <row r="2692" spans="1:10" hidden="1" outlineLevel="2" x14ac:dyDescent="0.35">
      <c r="A2692" t="s">
        <v>131</v>
      </c>
      <c r="B2692" s="1">
        <v>45744</v>
      </c>
      <c r="C2692" t="s">
        <v>5775</v>
      </c>
      <c r="D2692" t="s">
        <v>5775</v>
      </c>
      <c r="F2692" t="str">
        <f t="shared" si="82"/>
        <v>41110000</v>
      </c>
      <c r="G2692" t="str">
        <f t="shared" si="84"/>
        <v>41111486</v>
      </c>
      <c r="H2692" t="s">
        <v>139</v>
      </c>
      <c r="I2692" s="1">
        <v>45744</v>
      </c>
      <c r="J2692" s="4">
        <v>590000</v>
      </c>
    </row>
    <row r="2693" spans="1:10" hidden="1" outlineLevel="2" x14ac:dyDescent="0.35">
      <c r="A2693" t="s">
        <v>131</v>
      </c>
      <c r="B2693" s="1">
        <v>45744</v>
      </c>
      <c r="C2693" t="s">
        <v>5776</v>
      </c>
      <c r="D2693" t="s">
        <v>5776</v>
      </c>
      <c r="F2693" t="str">
        <f t="shared" si="82"/>
        <v>41110000</v>
      </c>
      <c r="G2693" t="str">
        <f t="shared" si="84"/>
        <v>41111486</v>
      </c>
      <c r="H2693" t="s">
        <v>139</v>
      </c>
      <c r="I2693" s="1">
        <v>45744</v>
      </c>
      <c r="J2693" s="4">
        <v>442500</v>
      </c>
    </row>
    <row r="2694" spans="1:10" hidden="1" outlineLevel="2" x14ac:dyDescent="0.35">
      <c r="A2694" t="s">
        <v>131</v>
      </c>
      <c r="B2694" s="1">
        <v>45744</v>
      </c>
      <c r="C2694" t="s">
        <v>5777</v>
      </c>
      <c r="D2694" t="s">
        <v>5777</v>
      </c>
      <c r="F2694" t="str">
        <f t="shared" si="82"/>
        <v>41110000</v>
      </c>
      <c r="G2694" t="str">
        <f t="shared" si="84"/>
        <v>41111486</v>
      </c>
      <c r="H2694" t="s">
        <v>139</v>
      </c>
      <c r="I2694" s="1">
        <v>45744</v>
      </c>
      <c r="J2694" s="4">
        <v>1217760</v>
      </c>
    </row>
    <row r="2695" spans="1:10" hidden="1" outlineLevel="2" x14ac:dyDescent="0.35">
      <c r="A2695" t="s">
        <v>131</v>
      </c>
      <c r="B2695" s="1">
        <v>45744</v>
      </c>
      <c r="C2695" t="s">
        <v>5778</v>
      </c>
      <c r="D2695" t="s">
        <v>5778</v>
      </c>
      <c r="F2695" t="str">
        <f t="shared" si="82"/>
        <v>41110000</v>
      </c>
      <c r="G2695" t="str">
        <f t="shared" si="84"/>
        <v>41111486</v>
      </c>
      <c r="H2695" t="s">
        <v>5512</v>
      </c>
      <c r="I2695" s="1">
        <v>45775</v>
      </c>
      <c r="J2695" s="4">
        <v>750480</v>
      </c>
    </row>
    <row r="2696" spans="1:10" hidden="1" outlineLevel="2" x14ac:dyDescent="0.35">
      <c r="A2696" t="s">
        <v>131</v>
      </c>
      <c r="B2696" s="1">
        <v>45744</v>
      </c>
      <c r="C2696" t="s">
        <v>5779</v>
      </c>
      <c r="D2696" t="s">
        <v>5779</v>
      </c>
      <c r="F2696" t="str">
        <f t="shared" si="82"/>
        <v>41110000</v>
      </c>
      <c r="G2696" t="str">
        <f t="shared" si="84"/>
        <v>41111486</v>
      </c>
      <c r="H2696" t="s">
        <v>5512</v>
      </c>
      <c r="I2696" s="1">
        <v>45775</v>
      </c>
      <c r="J2696" s="4">
        <v>375240</v>
      </c>
    </row>
    <row r="2697" spans="1:10" hidden="1" outlineLevel="2" x14ac:dyDescent="0.35">
      <c r="A2697" t="s">
        <v>131</v>
      </c>
      <c r="B2697" s="1">
        <v>45744</v>
      </c>
      <c r="C2697" t="s">
        <v>5780</v>
      </c>
      <c r="D2697" t="s">
        <v>5780</v>
      </c>
      <c r="F2697" t="str">
        <f t="shared" si="82"/>
        <v>41110000</v>
      </c>
      <c r="G2697" t="str">
        <f t="shared" ref="G2697:G2702" si="85">"41111371"</f>
        <v>41111371</v>
      </c>
      <c r="H2697" t="s">
        <v>5518</v>
      </c>
      <c r="I2697" s="1">
        <v>45775</v>
      </c>
      <c r="J2697" s="4">
        <v>236000</v>
      </c>
    </row>
    <row r="2698" spans="1:10" hidden="1" outlineLevel="2" x14ac:dyDescent="0.35">
      <c r="A2698" t="s">
        <v>131</v>
      </c>
      <c r="B2698" s="1">
        <v>45744</v>
      </c>
      <c r="C2698" t="s">
        <v>5781</v>
      </c>
      <c r="D2698" t="s">
        <v>5781</v>
      </c>
      <c r="F2698" t="str">
        <f t="shared" si="82"/>
        <v>41110000</v>
      </c>
      <c r="G2698" t="str">
        <f t="shared" si="85"/>
        <v>41111371</v>
      </c>
      <c r="H2698" t="s">
        <v>5518</v>
      </c>
      <c r="I2698" s="1">
        <v>45775</v>
      </c>
      <c r="J2698" s="4">
        <v>236000</v>
      </c>
    </row>
    <row r="2699" spans="1:10" hidden="1" outlineLevel="2" x14ac:dyDescent="0.35">
      <c r="A2699" t="s">
        <v>131</v>
      </c>
      <c r="B2699" s="1">
        <v>45744</v>
      </c>
      <c r="C2699" t="s">
        <v>5782</v>
      </c>
      <c r="D2699" t="s">
        <v>5782</v>
      </c>
      <c r="F2699" t="str">
        <f t="shared" si="82"/>
        <v>41110000</v>
      </c>
      <c r="G2699" t="str">
        <f t="shared" si="85"/>
        <v>41111371</v>
      </c>
      <c r="H2699" t="s">
        <v>5518</v>
      </c>
      <c r="I2699" s="1">
        <v>45775</v>
      </c>
      <c r="J2699" s="4">
        <v>236000</v>
      </c>
    </row>
    <row r="2700" spans="1:10" hidden="1" outlineLevel="2" x14ac:dyDescent="0.35">
      <c r="A2700" t="s">
        <v>131</v>
      </c>
      <c r="B2700" s="1">
        <v>45744</v>
      </c>
      <c r="C2700" t="s">
        <v>5783</v>
      </c>
      <c r="D2700" t="s">
        <v>5783</v>
      </c>
      <c r="F2700" t="str">
        <f t="shared" si="82"/>
        <v>41110000</v>
      </c>
      <c r="G2700" t="str">
        <f t="shared" si="85"/>
        <v>41111371</v>
      </c>
      <c r="H2700" t="s">
        <v>5518</v>
      </c>
      <c r="I2700" s="1">
        <v>45775</v>
      </c>
      <c r="J2700" s="4">
        <v>236000</v>
      </c>
    </row>
    <row r="2701" spans="1:10" hidden="1" outlineLevel="2" x14ac:dyDescent="0.35">
      <c r="A2701" t="s">
        <v>131</v>
      </c>
      <c r="B2701" s="1">
        <v>45744</v>
      </c>
      <c r="C2701" t="s">
        <v>5784</v>
      </c>
      <c r="D2701" t="s">
        <v>5784</v>
      </c>
      <c r="F2701" t="str">
        <f t="shared" si="82"/>
        <v>41110000</v>
      </c>
      <c r="G2701" t="str">
        <f t="shared" si="85"/>
        <v>41111371</v>
      </c>
      <c r="H2701" t="s">
        <v>5518</v>
      </c>
      <c r="I2701" s="1">
        <v>45775</v>
      </c>
      <c r="J2701" s="4">
        <v>236000</v>
      </c>
    </row>
    <row r="2702" spans="1:10" hidden="1" outlineLevel="2" x14ac:dyDescent="0.35">
      <c r="A2702" t="s">
        <v>131</v>
      </c>
      <c r="B2702" s="1">
        <v>45744</v>
      </c>
      <c r="C2702" t="s">
        <v>5785</v>
      </c>
      <c r="D2702" t="s">
        <v>5785</v>
      </c>
      <c r="F2702" t="str">
        <f t="shared" si="82"/>
        <v>41110000</v>
      </c>
      <c r="G2702" t="str">
        <f t="shared" si="85"/>
        <v>41111371</v>
      </c>
      <c r="H2702" t="s">
        <v>5518</v>
      </c>
      <c r="I2702" s="1">
        <v>45775</v>
      </c>
      <c r="J2702" s="4">
        <v>236000</v>
      </c>
    </row>
    <row r="2703" spans="1:10" hidden="1" outlineLevel="2" x14ac:dyDescent="0.35">
      <c r="A2703" t="s">
        <v>131</v>
      </c>
      <c r="B2703" s="1">
        <v>45744</v>
      </c>
      <c r="C2703" t="s">
        <v>5786</v>
      </c>
      <c r="D2703" t="s">
        <v>5786</v>
      </c>
      <c r="F2703" t="str">
        <f t="shared" si="82"/>
        <v>41110000</v>
      </c>
      <c r="G2703" t="str">
        <f>"41111478"</f>
        <v>41111478</v>
      </c>
      <c r="H2703" t="s">
        <v>180</v>
      </c>
      <c r="I2703" s="1">
        <v>45775</v>
      </c>
      <c r="J2703" s="4">
        <v>263140</v>
      </c>
    </row>
    <row r="2704" spans="1:10" hidden="1" outlineLevel="2" x14ac:dyDescent="0.35">
      <c r="A2704" t="s">
        <v>131</v>
      </c>
      <c r="B2704" s="1">
        <v>45744</v>
      </c>
      <c r="C2704" t="s">
        <v>5788</v>
      </c>
      <c r="D2704" t="s">
        <v>5788</v>
      </c>
      <c r="F2704" t="str">
        <f t="shared" si="82"/>
        <v>41110000</v>
      </c>
      <c r="G2704" t="str">
        <f>"41111000"</f>
        <v>41111000</v>
      </c>
      <c r="H2704" t="s">
        <v>5789</v>
      </c>
      <c r="I2704" s="1">
        <v>45744</v>
      </c>
      <c r="J2704" s="4">
        <v>1062000</v>
      </c>
    </row>
    <row r="2705" spans="1:11" hidden="1" outlineLevel="2" x14ac:dyDescent="0.35">
      <c r="A2705" t="s">
        <v>131</v>
      </c>
      <c r="B2705" s="1">
        <v>45744</v>
      </c>
      <c r="C2705" t="s">
        <v>5790</v>
      </c>
      <c r="D2705" t="s">
        <v>5790</v>
      </c>
      <c r="F2705" t="str">
        <f t="shared" si="82"/>
        <v>41110000</v>
      </c>
      <c r="G2705" t="str">
        <f>"41111643"</f>
        <v>41111643</v>
      </c>
      <c r="H2705" t="s">
        <v>5671</v>
      </c>
      <c r="I2705" s="1">
        <v>45744</v>
      </c>
      <c r="J2705" s="4">
        <v>2242000</v>
      </c>
    </row>
    <row r="2706" spans="1:11" hidden="1" outlineLevel="2" x14ac:dyDescent="0.35">
      <c r="A2706" t="s">
        <v>131</v>
      </c>
      <c r="B2706" s="1">
        <v>45744</v>
      </c>
      <c r="C2706" t="s">
        <v>5791</v>
      </c>
      <c r="D2706" t="s">
        <v>5791</v>
      </c>
      <c r="F2706" t="str">
        <f t="shared" si="82"/>
        <v>41110000</v>
      </c>
      <c r="G2706" t="str">
        <f>"41112037"</f>
        <v>41112037</v>
      </c>
      <c r="H2706" t="s">
        <v>5792</v>
      </c>
      <c r="I2706" s="1">
        <v>45777</v>
      </c>
      <c r="J2706" s="4">
        <v>295000</v>
      </c>
    </row>
    <row r="2707" spans="1:11" hidden="1" outlineLevel="2" x14ac:dyDescent="0.35">
      <c r="A2707" t="s">
        <v>131</v>
      </c>
      <c r="B2707" s="1">
        <v>45744</v>
      </c>
      <c r="C2707" t="s">
        <v>5793</v>
      </c>
      <c r="D2707" t="s">
        <v>5793</v>
      </c>
      <c r="F2707" t="str">
        <f t="shared" si="82"/>
        <v>41110000</v>
      </c>
      <c r="G2707" t="str">
        <f>"41111914"</f>
        <v>41111914</v>
      </c>
      <c r="H2707" t="s">
        <v>5794</v>
      </c>
      <c r="I2707" s="1">
        <v>45775</v>
      </c>
      <c r="J2707" s="4">
        <v>2438522</v>
      </c>
    </row>
    <row r="2708" spans="1:11" hidden="1" outlineLevel="2" x14ac:dyDescent="0.35">
      <c r="A2708" t="s">
        <v>131</v>
      </c>
      <c r="B2708" s="1">
        <v>45745</v>
      </c>
      <c r="C2708" t="s">
        <v>5812</v>
      </c>
      <c r="D2708" t="s">
        <v>5812</v>
      </c>
      <c r="F2708" t="str">
        <f t="shared" si="82"/>
        <v>41110000</v>
      </c>
      <c r="G2708" t="str">
        <f>"41112009"</f>
        <v>41112009</v>
      </c>
      <c r="H2708" t="s">
        <v>5526</v>
      </c>
      <c r="I2708" s="1">
        <v>45745</v>
      </c>
      <c r="J2708" s="4">
        <v>241153</v>
      </c>
    </row>
    <row r="2709" spans="1:11" hidden="1" outlineLevel="2" x14ac:dyDescent="0.35">
      <c r="A2709" t="s">
        <v>131</v>
      </c>
      <c r="B2709" s="1">
        <v>45747</v>
      </c>
      <c r="C2709" t="s">
        <v>5818</v>
      </c>
      <c r="D2709" t="s">
        <v>5818</v>
      </c>
      <c r="F2709" t="str">
        <f t="shared" si="82"/>
        <v>41110000</v>
      </c>
      <c r="G2709" t="str">
        <f>"41111486"</f>
        <v>41111486</v>
      </c>
      <c r="H2709" t="s">
        <v>5819</v>
      </c>
      <c r="I2709" s="1">
        <v>45747</v>
      </c>
      <c r="K2709" s="4">
        <v>1529280</v>
      </c>
    </row>
    <row r="2710" spans="1:11" hidden="1" outlineLevel="2" x14ac:dyDescent="0.35">
      <c r="A2710" t="s">
        <v>131</v>
      </c>
      <c r="B2710" s="1">
        <v>45747</v>
      </c>
      <c r="C2710" t="s">
        <v>5821</v>
      </c>
      <c r="D2710" t="s">
        <v>5821</v>
      </c>
      <c r="F2710" t="str">
        <f t="shared" si="82"/>
        <v>41110000</v>
      </c>
      <c r="G2710" t="str">
        <f>"41111486"</f>
        <v>41111486</v>
      </c>
      <c r="H2710" t="s">
        <v>139</v>
      </c>
      <c r="I2710" s="1">
        <v>45747</v>
      </c>
      <c r="J2710" s="4">
        <v>4741200</v>
      </c>
    </row>
    <row r="2711" spans="1:11" hidden="1" outlineLevel="2" x14ac:dyDescent="0.35">
      <c r="A2711" t="s">
        <v>131</v>
      </c>
      <c r="B2711" s="1">
        <v>45747</v>
      </c>
      <c r="C2711" t="s">
        <v>5822</v>
      </c>
      <c r="D2711" t="s">
        <v>5822</v>
      </c>
      <c r="F2711" t="str">
        <f t="shared" si="82"/>
        <v>41110000</v>
      </c>
      <c r="G2711" t="str">
        <f>"41111486"</f>
        <v>41111486</v>
      </c>
      <c r="H2711" t="s">
        <v>139</v>
      </c>
      <c r="I2711" s="1">
        <v>45747</v>
      </c>
      <c r="J2711" s="4">
        <v>864000</v>
      </c>
    </row>
    <row r="2712" spans="1:11" hidden="1" outlineLevel="2" x14ac:dyDescent="0.35">
      <c r="A2712" t="s">
        <v>131</v>
      </c>
      <c r="B2712" s="1">
        <v>45747</v>
      </c>
      <c r="C2712" t="s">
        <v>5823</v>
      </c>
      <c r="D2712" t="s">
        <v>5823</v>
      </c>
      <c r="F2712" t="str">
        <f t="shared" si="82"/>
        <v>41110000</v>
      </c>
      <c r="G2712" t="str">
        <f>"41111486"</f>
        <v>41111486</v>
      </c>
      <c r="H2712" t="s">
        <v>139</v>
      </c>
      <c r="I2712" s="1">
        <v>45777</v>
      </c>
      <c r="J2712" s="4">
        <v>2933480</v>
      </c>
    </row>
    <row r="2713" spans="1:11" hidden="1" outlineLevel="2" x14ac:dyDescent="0.35">
      <c r="A2713" t="s">
        <v>131</v>
      </c>
      <c r="B2713" s="1">
        <v>45747</v>
      </c>
      <c r="C2713" t="s">
        <v>5824</v>
      </c>
      <c r="D2713" t="s">
        <v>5824</v>
      </c>
      <c r="F2713" t="str">
        <f t="shared" si="82"/>
        <v>41110000</v>
      </c>
      <c r="G2713" t="str">
        <f>"41111486"</f>
        <v>41111486</v>
      </c>
      <c r="H2713" t="s">
        <v>5825</v>
      </c>
      <c r="I2713" s="1">
        <v>45777</v>
      </c>
      <c r="J2713" s="4">
        <v>585280</v>
      </c>
    </row>
    <row r="2714" spans="1:11" hidden="1" outlineLevel="2" x14ac:dyDescent="0.35">
      <c r="A2714" t="s">
        <v>131</v>
      </c>
      <c r="B2714" s="1">
        <v>45747</v>
      </c>
      <c r="C2714" t="s">
        <v>5826</v>
      </c>
      <c r="D2714" t="s">
        <v>5826</v>
      </c>
      <c r="F2714" t="str">
        <f t="shared" si="82"/>
        <v>41110000</v>
      </c>
      <c r="G2714" t="str">
        <f t="shared" ref="G2714:G2728" si="86">"41111371"</f>
        <v>41111371</v>
      </c>
      <c r="H2714" t="s">
        <v>5518</v>
      </c>
      <c r="I2714" s="1">
        <v>45777</v>
      </c>
      <c r="J2714" s="4">
        <v>236000</v>
      </c>
    </row>
    <row r="2715" spans="1:11" hidden="1" outlineLevel="2" x14ac:dyDescent="0.35">
      <c r="A2715" t="s">
        <v>131</v>
      </c>
      <c r="B2715" s="1">
        <v>45747</v>
      </c>
      <c r="C2715" t="s">
        <v>5827</v>
      </c>
      <c r="D2715" t="s">
        <v>5827</v>
      </c>
      <c r="F2715" t="str">
        <f t="shared" si="82"/>
        <v>41110000</v>
      </c>
      <c r="G2715" t="str">
        <f t="shared" si="86"/>
        <v>41111371</v>
      </c>
      <c r="H2715" t="s">
        <v>5518</v>
      </c>
      <c r="I2715" s="1">
        <v>45777</v>
      </c>
      <c r="J2715" s="4">
        <v>236000</v>
      </c>
    </row>
    <row r="2716" spans="1:11" hidden="1" outlineLevel="2" x14ac:dyDescent="0.35">
      <c r="A2716" t="s">
        <v>131</v>
      </c>
      <c r="B2716" s="1">
        <v>45747</v>
      </c>
      <c r="C2716" t="s">
        <v>5828</v>
      </c>
      <c r="D2716" t="s">
        <v>5828</v>
      </c>
      <c r="F2716" t="str">
        <f t="shared" si="82"/>
        <v>41110000</v>
      </c>
      <c r="G2716" t="str">
        <f t="shared" si="86"/>
        <v>41111371</v>
      </c>
      <c r="H2716" t="s">
        <v>5518</v>
      </c>
      <c r="I2716" s="1">
        <v>45777</v>
      </c>
      <c r="J2716" s="4">
        <v>206500</v>
      </c>
    </row>
    <row r="2717" spans="1:11" hidden="1" outlineLevel="2" x14ac:dyDescent="0.35">
      <c r="A2717" t="s">
        <v>131</v>
      </c>
      <c r="B2717" s="1">
        <v>45747</v>
      </c>
      <c r="C2717" t="s">
        <v>5829</v>
      </c>
      <c r="D2717" t="s">
        <v>5829</v>
      </c>
      <c r="F2717" t="str">
        <f t="shared" si="82"/>
        <v>41110000</v>
      </c>
      <c r="G2717" t="str">
        <f t="shared" si="86"/>
        <v>41111371</v>
      </c>
      <c r="H2717" t="s">
        <v>5518</v>
      </c>
      <c r="I2717" s="1">
        <v>45777</v>
      </c>
      <c r="J2717" s="4">
        <v>206500</v>
      </c>
    </row>
    <row r="2718" spans="1:11" hidden="1" outlineLevel="2" x14ac:dyDescent="0.35">
      <c r="A2718" t="s">
        <v>131</v>
      </c>
      <c r="B2718" s="1">
        <v>45747</v>
      </c>
      <c r="C2718" t="s">
        <v>5830</v>
      </c>
      <c r="D2718" t="s">
        <v>5830</v>
      </c>
      <c r="F2718" t="str">
        <f t="shared" si="82"/>
        <v>41110000</v>
      </c>
      <c r="G2718" t="str">
        <f t="shared" si="86"/>
        <v>41111371</v>
      </c>
      <c r="H2718" t="s">
        <v>5518</v>
      </c>
      <c r="I2718" s="1">
        <v>45777</v>
      </c>
      <c r="J2718" s="4">
        <v>236000</v>
      </c>
    </row>
    <row r="2719" spans="1:11" hidden="1" outlineLevel="2" x14ac:dyDescent="0.35">
      <c r="A2719" t="s">
        <v>131</v>
      </c>
      <c r="B2719" s="1">
        <v>45747</v>
      </c>
      <c r="C2719" t="s">
        <v>5831</v>
      </c>
      <c r="D2719" t="s">
        <v>5831</v>
      </c>
      <c r="F2719" t="str">
        <f t="shared" si="82"/>
        <v>41110000</v>
      </c>
      <c r="G2719" t="str">
        <f t="shared" si="86"/>
        <v>41111371</v>
      </c>
      <c r="H2719" t="s">
        <v>5518</v>
      </c>
      <c r="I2719" s="1">
        <v>45777</v>
      </c>
      <c r="J2719" s="4">
        <v>236000</v>
      </c>
    </row>
    <row r="2720" spans="1:11" hidden="1" outlineLevel="2" x14ac:dyDescent="0.35">
      <c r="A2720" t="s">
        <v>131</v>
      </c>
      <c r="B2720" s="1">
        <v>45747</v>
      </c>
      <c r="C2720" t="s">
        <v>5832</v>
      </c>
      <c r="D2720" t="s">
        <v>5832</v>
      </c>
      <c r="F2720" t="str">
        <f t="shared" si="82"/>
        <v>41110000</v>
      </c>
      <c r="G2720" t="str">
        <f t="shared" si="86"/>
        <v>41111371</v>
      </c>
      <c r="H2720" t="s">
        <v>5518</v>
      </c>
      <c r="I2720" s="1">
        <v>45777</v>
      </c>
      <c r="J2720" s="4">
        <v>236000</v>
      </c>
    </row>
    <row r="2721" spans="1:10" hidden="1" outlineLevel="2" x14ac:dyDescent="0.35">
      <c r="A2721" t="s">
        <v>131</v>
      </c>
      <c r="B2721" s="1">
        <v>45747</v>
      </c>
      <c r="C2721" t="s">
        <v>5833</v>
      </c>
      <c r="D2721" t="s">
        <v>5833</v>
      </c>
      <c r="F2721" t="str">
        <f t="shared" si="82"/>
        <v>41110000</v>
      </c>
      <c r="G2721" t="str">
        <f t="shared" si="86"/>
        <v>41111371</v>
      </c>
      <c r="H2721" t="s">
        <v>5518</v>
      </c>
      <c r="I2721" s="1">
        <v>45777</v>
      </c>
      <c r="J2721" s="4">
        <v>206500</v>
      </c>
    </row>
    <row r="2722" spans="1:10" hidden="1" outlineLevel="2" x14ac:dyDescent="0.35">
      <c r="A2722" t="s">
        <v>131</v>
      </c>
      <c r="B2722" s="1">
        <v>45747</v>
      </c>
      <c r="C2722" t="s">
        <v>5834</v>
      </c>
      <c r="D2722" t="s">
        <v>5834</v>
      </c>
      <c r="F2722" t="str">
        <f t="shared" si="82"/>
        <v>41110000</v>
      </c>
      <c r="G2722" t="str">
        <f t="shared" si="86"/>
        <v>41111371</v>
      </c>
      <c r="H2722" t="s">
        <v>5518</v>
      </c>
      <c r="I2722" s="1">
        <v>45777</v>
      </c>
      <c r="J2722" s="4">
        <v>206500</v>
      </c>
    </row>
    <row r="2723" spans="1:10" hidden="1" outlineLevel="2" x14ac:dyDescent="0.35">
      <c r="A2723" t="s">
        <v>131</v>
      </c>
      <c r="B2723" s="1">
        <v>45747</v>
      </c>
      <c r="C2723" t="s">
        <v>5835</v>
      </c>
      <c r="D2723" t="s">
        <v>5835</v>
      </c>
      <c r="F2723" t="str">
        <f t="shared" si="82"/>
        <v>41110000</v>
      </c>
      <c r="G2723" t="str">
        <f t="shared" si="86"/>
        <v>41111371</v>
      </c>
      <c r="H2723" t="s">
        <v>5518</v>
      </c>
      <c r="I2723" s="1">
        <v>45777</v>
      </c>
      <c r="J2723" s="4">
        <v>236000</v>
      </c>
    </row>
    <row r="2724" spans="1:10" hidden="1" outlineLevel="2" x14ac:dyDescent="0.35">
      <c r="A2724" t="s">
        <v>131</v>
      </c>
      <c r="B2724" s="1">
        <v>45747</v>
      </c>
      <c r="C2724" t="s">
        <v>5836</v>
      </c>
      <c r="D2724" t="s">
        <v>5836</v>
      </c>
      <c r="F2724" t="str">
        <f t="shared" si="82"/>
        <v>41110000</v>
      </c>
      <c r="G2724" t="str">
        <f t="shared" si="86"/>
        <v>41111371</v>
      </c>
      <c r="H2724" t="s">
        <v>5518</v>
      </c>
      <c r="I2724" s="1">
        <v>45777</v>
      </c>
      <c r="J2724" s="4">
        <v>236000</v>
      </c>
    </row>
    <row r="2725" spans="1:10" hidden="1" outlineLevel="2" x14ac:dyDescent="0.35">
      <c r="A2725" t="s">
        <v>131</v>
      </c>
      <c r="B2725" s="1">
        <v>45747</v>
      </c>
      <c r="C2725" t="s">
        <v>5837</v>
      </c>
      <c r="D2725" t="s">
        <v>5837</v>
      </c>
      <c r="F2725" t="str">
        <f t="shared" si="82"/>
        <v>41110000</v>
      </c>
      <c r="G2725" t="str">
        <f t="shared" si="86"/>
        <v>41111371</v>
      </c>
      <c r="H2725" t="s">
        <v>5518</v>
      </c>
      <c r="I2725" s="1">
        <v>45777</v>
      </c>
      <c r="J2725" s="4">
        <v>236000</v>
      </c>
    </row>
    <row r="2726" spans="1:10" hidden="1" outlineLevel="2" x14ac:dyDescent="0.35">
      <c r="A2726" t="s">
        <v>131</v>
      </c>
      <c r="B2726" s="1">
        <v>45747</v>
      </c>
      <c r="C2726" t="s">
        <v>5838</v>
      </c>
      <c r="D2726" t="s">
        <v>5838</v>
      </c>
      <c r="F2726" t="str">
        <f t="shared" si="82"/>
        <v>41110000</v>
      </c>
      <c r="G2726" t="str">
        <f t="shared" si="86"/>
        <v>41111371</v>
      </c>
      <c r="H2726" t="s">
        <v>5518</v>
      </c>
      <c r="I2726" s="1">
        <v>45777</v>
      </c>
      <c r="J2726" s="4">
        <v>206500</v>
      </c>
    </row>
    <row r="2727" spans="1:10" hidden="1" outlineLevel="2" x14ac:dyDescent="0.35">
      <c r="A2727" t="s">
        <v>131</v>
      </c>
      <c r="B2727" s="1">
        <v>45747</v>
      </c>
      <c r="C2727" t="s">
        <v>5839</v>
      </c>
      <c r="D2727" t="s">
        <v>5839</v>
      </c>
      <c r="F2727" t="str">
        <f t="shared" si="82"/>
        <v>41110000</v>
      </c>
      <c r="G2727" t="str">
        <f t="shared" si="86"/>
        <v>41111371</v>
      </c>
      <c r="H2727" t="s">
        <v>5518</v>
      </c>
      <c r="I2727" s="1">
        <v>45777</v>
      </c>
      <c r="J2727" s="4">
        <v>472000</v>
      </c>
    </row>
    <row r="2728" spans="1:10" hidden="1" outlineLevel="2" x14ac:dyDescent="0.35">
      <c r="A2728" t="s">
        <v>131</v>
      </c>
      <c r="B2728" s="1">
        <v>45747</v>
      </c>
      <c r="C2728" t="s">
        <v>5840</v>
      </c>
      <c r="D2728" t="s">
        <v>5840</v>
      </c>
      <c r="F2728" t="str">
        <f t="shared" si="82"/>
        <v>41110000</v>
      </c>
      <c r="G2728" t="str">
        <f t="shared" si="86"/>
        <v>41111371</v>
      </c>
      <c r="H2728" t="s">
        <v>5518</v>
      </c>
      <c r="I2728" s="1">
        <v>45777</v>
      </c>
      <c r="J2728" s="4">
        <v>442500</v>
      </c>
    </row>
    <row r="2729" spans="1:10" hidden="1" outlineLevel="2" x14ac:dyDescent="0.35">
      <c r="A2729" t="s">
        <v>131</v>
      </c>
      <c r="B2729" s="1">
        <v>45747</v>
      </c>
      <c r="C2729" t="s">
        <v>5841</v>
      </c>
      <c r="D2729" t="s">
        <v>5841</v>
      </c>
      <c r="F2729" t="str">
        <f t="shared" si="82"/>
        <v>41110000</v>
      </c>
      <c r="G2729" t="str">
        <f>"41111478"</f>
        <v>41111478</v>
      </c>
      <c r="H2729" t="s">
        <v>5551</v>
      </c>
      <c r="I2729" s="1">
        <v>45747</v>
      </c>
      <c r="J2729" s="4">
        <v>409460</v>
      </c>
    </row>
    <row r="2730" spans="1:10" hidden="1" outlineLevel="2" x14ac:dyDescent="0.35">
      <c r="A2730" t="s">
        <v>131</v>
      </c>
      <c r="B2730" s="1">
        <v>45747</v>
      </c>
      <c r="C2730" t="s">
        <v>5842</v>
      </c>
      <c r="D2730" t="s">
        <v>5842</v>
      </c>
      <c r="F2730" t="str">
        <f t="shared" si="82"/>
        <v>41110000</v>
      </c>
      <c r="G2730" t="str">
        <f>"41111478"</f>
        <v>41111478</v>
      </c>
      <c r="H2730" t="s">
        <v>5551</v>
      </c>
      <c r="I2730" s="1">
        <v>45747</v>
      </c>
      <c r="J2730" s="4">
        <v>409460</v>
      </c>
    </row>
    <row r="2731" spans="1:10" hidden="1" outlineLevel="2" x14ac:dyDescent="0.35">
      <c r="A2731" t="s">
        <v>131</v>
      </c>
      <c r="B2731" s="1">
        <v>45747</v>
      </c>
      <c r="C2731" t="s">
        <v>5843</v>
      </c>
      <c r="D2731" t="s">
        <v>5843</v>
      </c>
      <c r="F2731" t="str">
        <f t="shared" si="82"/>
        <v>41110000</v>
      </c>
      <c r="G2731" t="str">
        <f>"41111478"</f>
        <v>41111478</v>
      </c>
      <c r="H2731" t="s">
        <v>180</v>
      </c>
      <c r="I2731" s="1">
        <v>45777</v>
      </c>
      <c r="J2731" s="4">
        <v>409460</v>
      </c>
    </row>
    <row r="2732" spans="1:10" hidden="1" outlineLevel="2" x14ac:dyDescent="0.35">
      <c r="A2732" t="s">
        <v>131</v>
      </c>
      <c r="B2732" s="1">
        <v>45747</v>
      </c>
      <c r="C2732" t="s">
        <v>5844</v>
      </c>
      <c r="D2732" t="s">
        <v>5844</v>
      </c>
      <c r="F2732" t="str">
        <f t="shared" si="82"/>
        <v>41110000</v>
      </c>
      <c r="G2732" t="str">
        <f>"41111478"</f>
        <v>41111478</v>
      </c>
      <c r="H2732" t="s">
        <v>180</v>
      </c>
      <c r="I2732" s="1">
        <v>45777</v>
      </c>
      <c r="J2732" s="4">
        <v>146320</v>
      </c>
    </row>
    <row r="2733" spans="1:10" hidden="1" outlineLevel="2" x14ac:dyDescent="0.35">
      <c r="A2733" t="s">
        <v>131</v>
      </c>
      <c r="B2733" s="1">
        <v>45747</v>
      </c>
      <c r="C2733" t="s">
        <v>5845</v>
      </c>
      <c r="D2733" t="s">
        <v>5845</v>
      </c>
      <c r="F2733" t="str">
        <f t="shared" si="82"/>
        <v>41110000</v>
      </c>
      <c r="G2733" t="str">
        <f>"41111478"</f>
        <v>41111478</v>
      </c>
      <c r="H2733" t="s">
        <v>5522</v>
      </c>
      <c r="I2733" s="1">
        <v>45777</v>
      </c>
      <c r="J2733" s="4">
        <v>322140</v>
      </c>
    </row>
    <row r="2734" spans="1:10" hidden="1" outlineLevel="2" x14ac:dyDescent="0.35">
      <c r="A2734" t="s">
        <v>131</v>
      </c>
      <c r="B2734" s="1">
        <v>45747</v>
      </c>
      <c r="C2734" t="s">
        <v>5849</v>
      </c>
      <c r="D2734" t="s">
        <v>5849</v>
      </c>
      <c r="F2734" t="str">
        <f t="shared" si="82"/>
        <v>41110000</v>
      </c>
      <c r="G2734" t="str">
        <f>"41111486"</f>
        <v>41111486</v>
      </c>
      <c r="H2734" t="s">
        <v>139</v>
      </c>
      <c r="I2734" s="1">
        <v>45747</v>
      </c>
      <c r="J2734" s="4">
        <v>1115600</v>
      </c>
    </row>
    <row r="2735" spans="1:10" hidden="1" outlineLevel="2" x14ac:dyDescent="0.35">
      <c r="A2735" t="s">
        <v>131</v>
      </c>
      <c r="B2735" s="1">
        <v>45747</v>
      </c>
      <c r="C2735" t="s">
        <v>5850</v>
      </c>
      <c r="D2735" t="s">
        <v>5850</v>
      </c>
      <c r="F2735" t="str">
        <f t="shared" si="82"/>
        <v>41110000</v>
      </c>
      <c r="G2735" t="str">
        <f>"41111486"</f>
        <v>41111486</v>
      </c>
      <c r="H2735" t="s">
        <v>139</v>
      </c>
      <c r="I2735" s="1">
        <v>45747</v>
      </c>
      <c r="J2735" s="4">
        <v>683600</v>
      </c>
    </row>
    <row r="2736" spans="1:10" hidden="1" outlineLevel="2" x14ac:dyDescent="0.35">
      <c r="A2736" t="s">
        <v>131</v>
      </c>
      <c r="B2736" s="1">
        <v>45747</v>
      </c>
      <c r="C2736" t="s">
        <v>5851</v>
      </c>
      <c r="D2736" t="s">
        <v>5851</v>
      </c>
      <c r="F2736" t="str">
        <f t="shared" si="82"/>
        <v>41110000</v>
      </c>
      <c r="G2736" t="str">
        <f>"41111486"</f>
        <v>41111486</v>
      </c>
      <c r="H2736" t="s">
        <v>139</v>
      </c>
      <c r="I2736" s="1">
        <v>45747</v>
      </c>
      <c r="J2736" s="4">
        <v>432000</v>
      </c>
    </row>
    <row r="2737" spans="1:11" hidden="1" outlineLevel="2" x14ac:dyDescent="0.35">
      <c r="A2737" t="s">
        <v>131</v>
      </c>
      <c r="B2737" s="1">
        <v>45747</v>
      </c>
      <c r="C2737" t="s">
        <v>5852</v>
      </c>
      <c r="D2737" t="s">
        <v>5852</v>
      </c>
      <c r="F2737" t="str">
        <f t="shared" si="82"/>
        <v>41110000</v>
      </c>
      <c r="G2737" t="str">
        <f>"41111486"</f>
        <v>41111486</v>
      </c>
      <c r="H2737" t="s">
        <v>139</v>
      </c>
      <c r="I2737" s="1">
        <v>45747</v>
      </c>
      <c r="J2737" s="4">
        <v>1115600</v>
      </c>
    </row>
    <row r="2738" spans="1:11" hidden="1" outlineLevel="2" x14ac:dyDescent="0.35">
      <c r="A2738" t="s">
        <v>131</v>
      </c>
      <c r="B2738" s="1">
        <v>45747</v>
      </c>
      <c r="C2738" t="s">
        <v>5853</v>
      </c>
      <c r="D2738" t="s">
        <v>5853</v>
      </c>
      <c r="F2738" t="str">
        <f t="shared" si="82"/>
        <v>41110000</v>
      </c>
      <c r="G2738" t="str">
        <f>"41112037"</f>
        <v>41112037</v>
      </c>
      <c r="H2738" t="s">
        <v>5792</v>
      </c>
      <c r="I2738" s="1">
        <v>45777</v>
      </c>
      <c r="J2738" s="4">
        <v>2360000</v>
      </c>
    </row>
    <row r="2739" spans="1:11" hidden="1" outlineLevel="2" x14ac:dyDescent="0.35">
      <c r="A2739" t="s">
        <v>131</v>
      </c>
      <c r="B2739" s="1">
        <v>45747</v>
      </c>
      <c r="C2739" t="s">
        <v>5854</v>
      </c>
      <c r="D2739" t="s">
        <v>5854</v>
      </c>
      <c r="F2739" t="str">
        <f t="shared" si="82"/>
        <v>41110000</v>
      </c>
      <c r="G2739" t="str">
        <f>"41112037"</f>
        <v>41112037</v>
      </c>
      <c r="H2739" t="s">
        <v>5792</v>
      </c>
      <c r="I2739" s="1">
        <v>45777</v>
      </c>
      <c r="J2739" s="4">
        <v>1180000</v>
      </c>
    </row>
    <row r="2740" spans="1:11" hidden="1" outlineLevel="2" x14ac:dyDescent="0.35">
      <c r="A2740" t="s">
        <v>131</v>
      </c>
      <c r="B2740" s="1">
        <v>45747</v>
      </c>
      <c r="C2740" t="s">
        <v>5855</v>
      </c>
      <c r="D2740" t="s">
        <v>5855</v>
      </c>
      <c r="F2740" t="str">
        <f t="shared" si="82"/>
        <v>41110000</v>
      </c>
      <c r="G2740" t="str">
        <f>"41112015"</f>
        <v>41112015</v>
      </c>
      <c r="H2740" t="s">
        <v>5856</v>
      </c>
      <c r="I2740" s="1">
        <v>45747</v>
      </c>
      <c r="J2740" s="4">
        <v>2891000</v>
      </c>
    </row>
    <row r="2741" spans="1:11" hidden="1" outlineLevel="2" x14ac:dyDescent="0.35">
      <c r="A2741" t="s">
        <v>131</v>
      </c>
      <c r="B2741" s="1">
        <v>45747</v>
      </c>
      <c r="C2741" t="s">
        <v>5865</v>
      </c>
      <c r="D2741" t="s">
        <v>5865</v>
      </c>
      <c r="F2741" t="str">
        <f t="shared" si="82"/>
        <v>41110000</v>
      </c>
      <c r="G2741" t="str">
        <f>"41111930"</f>
        <v>41111930</v>
      </c>
      <c r="H2741" t="s">
        <v>5506</v>
      </c>
      <c r="I2741" s="1">
        <v>45777</v>
      </c>
      <c r="J2741" s="4">
        <v>6589665</v>
      </c>
    </row>
    <row r="2742" spans="1:11" hidden="1" outlineLevel="2" x14ac:dyDescent="0.35">
      <c r="A2742" t="s">
        <v>131</v>
      </c>
      <c r="B2742" s="1">
        <v>45747</v>
      </c>
      <c r="C2742" t="s">
        <v>5866</v>
      </c>
      <c r="D2742" t="s">
        <v>5866</v>
      </c>
      <c r="F2742" t="str">
        <f t="shared" si="82"/>
        <v>41110000</v>
      </c>
      <c r="G2742" t="str">
        <f>"41111930"</f>
        <v>41111930</v>
      </c>
      <c r="H2742" t="s">
        <v>5506</v>
      </c>
      <c r="I2742" s="1">
        <v>45777</v>
      </c>
      <c r="J2742" s="4">
        <v>6375598</v>
      </c>
    </row>
    <row r="2743" spans="1:11" hidden="1" outlineLevel="2" x14ac:dyDescent="0.35">
      <c r="A2743" t="s">
        <v>131</v>
      </c>
      <c r="B2743" s="1">
        <v>45747</v>
      </c>
      <c r="C2743" t="s">
        <v>5867</v>
      </c>
      <c r="D2743" t="s">
        <v>5867</v>
      </c>
      <c r="F2743" t="str">
        <f t="shared" si="82"/>
        <v>41110000</v>
      </c>
      <c r="G2743" t="str">
        <f>"41111930"</f>
        <v>41111930</v>
      </c>
      <c r="H2743" t="s">
        <v>5506</v>
      </c>
      <c r="I2743" s="1">
        <v>45777</v>
      </c>
      <c r="J2743" s="4">
        <v>15074127</v>
      </c>
    </row>
    <row r="2744" spans="1:11" hidden="1" outlineLevel="2" x14ac:dyDescent="0.35">
      <c r="A2744" t="s">
        <v>131</v>
      </c>
      <c r="B2744" s="1">
        <v>45747</v>
      </c>
      <c r="C2744" t="s">
        <v>5868</v>
      </c>
      <c r="D2744" t="s">
        <v>5868</v>
      </c>
      <c r="F2744" t="str">
        <f t="shared" si="82"/>
        <v>41110000</v>
      </c>
      <c r="G2744" t="str">
        <f>"41111930"</f>
        <v>41111930</v>
      </c>
      <c r="H2744" t="s">
        <v>5506</v>
      </c>
      <c r="I2744" s="1">
        <v>45777</v>
      </c>
      <c r="J2744" s="4">
        <v>14555281</v>
      </c>
    </row>
    <row r="2745" spans="1:11" outlineLevel="1" collapsed="1" x14ac:dyDescent="0.35">
      <c r="B2745" s="1"/>
      <c r="F2745" s="3" t="s">
        <v>6533</v>
      </c>
      <c r="I2745" s="1"/>
      <c r="J2745" s="4">
        <f>SUBTOTAL(9,J2485:J2744)</f>
        <v>363764137</v>
      </c>
      <c r="K2745" s="4">
        <f>SUBTOTAL(9,K2485:K2744)</f>
        <v>221196036</v>
      </c>
    </row>
    <row r="2746" spans="1:11" hidden="1" outlineLevel="2" x14ac:dyDescent="0.35">
      <c r="A2746" t="s">
        <v>1775</v>
      </c>
      <c r="B2746" s="1">
        <v>45717</v>
      </c>
      <c r="C2746" t="s">
        <v>1776</v>
      </c>
      <c r="D2746" t="s">
        <v>1776</v>
      </c>
      <c r="F2746" t="str">
        <f t="shared" ref="F2746:F2777" si="87">"41112000"</f>
        <v>41112000</v>
      </c>
      <c r="G2746" t="str">
        <f t="shared" ref="G2746:G2752" si="88">"41111181"</f>
        <v>41111181</v>
      </c>
      <c r="H2746" t="s">
        <v>1777</v>
      </c>
      <c r="I2746" s="1">
        <v>45778</v>
      </c>
      <c r="K2746" s="4">
        <v>61902045</v>
      </c>
    </row>
    <row r="2747" spans="1:11" hidden="1" outlineLevel="2" x14ac:dyDescent="0.35">
      <c r="A2747" t="s">
        <v>1775</v>
      </c>
      <c r="B2747" s="1">
        <v>45717</v>
      </c>
      <c r="C2747" t="s">
        <v>1778</v>
      </c>
      <c r="D2747" t="s">
        <v>1778</v>
      </c>
      <c r="F2747" t="str">
        <f t="shared" si="87"/>
        <v>41112000</v>
      </c>
      <c r="G2747" t="str">
        <f t="shared" si="88"/>
        <v>41111181</v>
      </c>
      <c r="H2747" t="s">
        <v>1779</v>
      </c>
      <c r="I2747" s="1">
        <v>45747</v>
      </c>
      <c r="K2747" s="4">
        <v>41585147</v>
      </c>
    </row>
    <row r="2748" spans="1:11" hidden="1" outlineLevel="2" x14ac:dyDescent="0.35">
      <c r="A2748" t="s">
        <v>1775</v>
      </c>
      <c r="B2748" s="1">
        <v>45717</v>
      </c>
      <c r="C2748" t="s">
        <v>1780</v>
      </c>
      <c r="D2748" t="s">
        <v>1780</v>
      </c>
      <c r="F2748" t="str">
        <f t="shared" si="87"/>
        <v>41112000</v>
      </c>
      <c r="G2748" t="str">
        <f t="shared" si="88"/>
        <v>41111181</v>
      </c>
      <c r="H2748" t="s">
        <v>1781</v>
      </c>
      <c r="I2748" s="1">
        <v>45747</v>
      </c>
      <c r="K2748" s="4">
        <v>2950000</v>
      </c>
    </row>
    <row r="2749" spans="1:11" hidden="1" outlineLevel="2" x14ac:dyDescent="0.35">
      <c r="A2749" t="s">
        <v>1775</v>
      </c>
      <c r="B2749" s="1">
        <v>45717</v>
      </c>
      <c r="C2749" t="s">
        <v>1782</v>
      </c>
      <c r="D2749" t="s">
        <v>1782</v>
      </c>
      <c r="F2749" t="str">
        <f t="shared" si="87"/>
        <v>41112000</v>
      </c>
      <c r="G2749" t="str">
        <f t="shared" si="88"/>
        <v>41111181</v>
      </c>
      <c r="H2749" t="s">
        <v>1783</v>
      </c>
      <c r="I2749" s="1">
        <v>45747</v>
      </c>
      <c r="K2749" s="4">
        <v>1451400</v>
      </c>
    </row>
    <row r="2750" spans="1:11" hidden="1" outlineLevel="2" x14ac:dyDescent="0.35">
      <c r="A2750" t="s">
        <v>1775</v>
      </c>
      <c r="B2750" s="1">
        <v>45717</v>
      </c>
      <c r="C2750" t="s">
        <v>1784</v>
      </c>
      <c r="D2750" t="s">
        <v>1784</v>
      </c>
      <c r="F2750" t="str">
        <f t="shared" si="87"/>
        <v>41112000</v>
      </c>
      <c r="G2750" t="str">
        <f t="shared" si="88"/>
        <v>41111181</v>
      </c>
      <c r="H2750" t="s">
        <v>1785</v>
      </c>
      <c r="I2750" s="1">
        <v>45747</v>
      </c>
      <c r="K2750" s="4">
        <v>1451400</v>
      </c>
    </row>
    <row r="2751" spans="1:11" hidden="1" outlineLevel="2" x14ac:dyDescent="0.35">
      <c r="A2751" t="s">
        <v>1775</v>
      </c>
      <c r="B2751" s="1">
        <v>45717</v>
      </c>
      <c r="C2751" t="s">
        <v>1786</v>
      </c>
      <c r="D2751" t="s">
        <v>1786</v>
      </c>
      <c r="F2751" t="str">
        <f t="shared" si="87"/>
        <v>41112000</v>
      </c>
      <c r="G2751" t="str">
        <f t="shared" si="88"/>
        <v>41111181</v>
      </c>
      <c r="H2751" t="s">
        <v>1787</v>
      </c>
      <c r="I2751" s="1">
        <v>45778</v>
      </c>
      <c r="K2751" s="4">
        <v>81354923</v>
      </c>
    </row>
    <row r="2752" spans="1:11" hidden="1" outlineLevel="2" x14ac:dyDescent="0.35">
      <c r="A2752" t="s">
        <v>1775</v>
      </c>
      <c r="B2752" s="1">
        <v>45717</v>
      </c>
      <c r="C2752" t="s">
        <v>1788</v>
      </c>
      <c r="D2752" t="s">
        <v>1788</v>
      </c>
      <c r="F2752" t="str">
        <f t="shared" si="87"/>
        <v>41112000</v>
      </c>
      <c r="G2752" t="str">
        <f t="shared" si="88"/>
        <v>41111181</v>
      </c>
      <c r="H2752" t="s">
        <v>1789</v>
      </c>
      <c r="I2752" s="1">
        <v>45747</v>
      </c>
      <c r="K2752" s="4">
        <v>47265254</v>
      </c>
    </row>
    <row r="2753" spans="1:11" hidden="1" outlineLevel="2" x14ac:dyDescent="0.35">
      <c r="A2753" t="s">
        <v>1790</v>
      </c>
      <c r="B2753" s="1">
        <v>45733</v>
      </c>
      <c r="C2753" t="str">
        <f>"161"</f>
        <v>161</v>
      </c>
      <c r="F2753" t="str">
        <f t="shared" si="87"/>
        <v>41112000</v>
      </c>
      <c r="G2753" t="str">
        <f>"41111160"</f>
        <v>41111160</v>
      </c>
      <c r="H2753" t="s">
        <v>1817</v>
      </c>
      <c r="K2753" s="4">
        <v>246771604</v>
      </c>
    </row>
    <row r="2754" spans="1:11" hidden="1" outlineLevel="2" x14ac:dyDescent="0.35">
      <c r="A2754" t="s">
        <v>1790</v>
      </c>
      <c r="B2754" s="1">
        <v>45736</v>
      </c>
      <c r="C2754" t="str">
        <f>"185"</f>
        <v>185</v>
      </c>
      <c r="F2754" t="str">
        <f t="shared" si="87"/>
        <v>41112000</v>
      </c>
      <c r="G2754" t="str">
        <f>"41111818"</f>
        <v>41111818</v>
      </c>
      <c r="H2754" t="s">
        <v>1825</v>
      </c>
      <c r="K2754" s="4">
        <v>11246250</v>
      </c>
    </row>
    <row r="2755" spans="1:11" hidden="1" outlineLevel="2" x14ac:dyDescent="0.35">
      <c r="A2755" t="s">
        <v>1911</v>
      </c>
      <c r="B2755" s="1">
        <v>45721</v>
      </c>
      <c r="C2755" t="str">
        <f>"166"</f>
        <v>166</v>
      </c>
      <c r="F2755" t="str">
        <f t="shared" si="87"/>
        <v>41112000</v>
      </c>
      <c r="G2755" t="str">
        <f>"41111929"</f>
        <v>41111929</v>
      </c>
      <c r="H2755" t="s">
        <v>1920</v>
      </c>
      <c r="K2755" s="4">
        <v>42161097</v>
      </c>
    </row>
    <row r="2756" spans="1:11" hidden="1" outlineLevel="2" x14ac:dyDescent="0.35">
      <c r="A2756" t="s">
        <v>1911</v>
      </c>
      <c r="B2756" s="1">
        <v>45730</v>
      </c>
      <c r="C2756" t="str">
        <f>"180"</f>
        <v>180</v>
      </c>
      <c r="F2756" t="str">
        <f t="shared" si="87"/>
        <v>41112000</v>
      </c>
      <c r="G2756" t="str">
        <f>"41111929"</f>
        <v>41111929</v>
      </c>
      <c r="H2756" t="s">
        <v>1934</v>
      </c>
      <c r="K2756" s="4">
        <v>40000000</v>
      </c>
    </row>
    <row r="2757" spans="1:11" hidden="1" outlineLevel="2" x14ac:dyDescent="0.35">
      <c r="A2757" t="s">
        <v>1911</v>
      </c>
      <c r="B2757" s="1">
        <v>45730</v>
      </c>
      <c r="C2757" t="str">
        <f>"181"</f>
        <v>181</v>
      </c>
      <c r="F2757" t="str">
        <f t="shared" si="87"/>
        <v>41112000</v>
      </c>
      <c r="G2757" t="str">
        <f>"41111929"</f>
        <v>41111929</v>
      </c>
      <c r="H2757" t="s">
        <v>1934</v>
      </c>
      <c r="K2757" s="4">
        <v>41925859</v>
      </c>
    </row>
    <row r="2758" spans="1:11" hidden="1" outlineLevel="2" x14ac:dyDescent="0.35">
      <c r="A2758" t="s">
        <v>1911</v>
      </c>
      <c r="B2758" s="1">
        <v>45742</v>
      </c>
      <c r="C2758" t="str">
        <f>"195"</f>
        <v>195</v>
      </c>
      <c r="F2758" t="str">
        <f t="shared" si="87"/>
        <v>41112000</v>
      </c>
      <c r="G2758" t="str">
        <f>"41111929"</f>
        <v>41111929</v>
      </c>
      <c r="H2758" t="s">
        <v>1934</v>
      </c>
      <c r="K2758" s="4">
        <v>30000000</v>
      </c>
    </row>
    <row r="2759" spans="1:11" hidden="1" outlineLevel="2" x14ac:dyDescent="0.35">
      <c r="A2759" t="s">
        <v>1911</v>
      </c>
      <c r="B2759" s="1">
        <v>45742</v>
      </c>
      <c r="C2759" t="str">
        <f>"197"</f>
        <v>197</v>
      </c>
      <c r="F2759" t="str">
        <f t="shared" si="87"/>
        <v>41112000</v>
      </c>
      <c r="G2759" t="str">
        <f>"41111929"</f>
        <v>41111929</v>
      </c>
      <c r="H2759" t="s">
        <v>1934</v>
      </c>
      <c r="K2759" s="4">
        <v>24087189</v>
      </c>
    </row>
    <row r="2760" spans="1:11" hidden="1" outlineLevel="2" x14ac:dyDescent="0.35">
      <c r="A2760" t="s">
        <v>2318</v>
      </c>
      <c r="B2760" s="1">
        <v>45729</v>
      </c>
      <c r="C2760" t="str">
        <f>"47"</f>
        <v>47</v>
      </c>
      <c r="F2760" t="str">
        <f t="shared" si="87"/>
        <v>41112000</v>
      </c>
      <c r="G2760" t="str">
        <f>"41111160"</f>
        <v>41111160</v>
      </c>
      <c r="H2760" t="s">
        <v>2327</v>
      </c>
      <c r="K2760" s="4">
        <v>236000</v>
      </c>
    </row>
    <row r="2761" spans="1:11" hidden="1" outlineLevel="2" x14ac:dyDescent="0.35">
      <c r="A2761" t="s">
        <v>2656</v>
      </c>
      <c r="B2761" s="1">
        <v>45720</v>
      </c>
      <c r="C2761" t="str">
        <f>"39"</f>
        <v>39</v>
      </c>
      <c r="F2761" t="str">
        <f t="shared" si="87"/>
        <v>41112000</v>
      </c>
      <c r="G2761" t="str">
        <f>"41111916"</f>
        <v>41111916</v>
      </c>
      <c r="H2761" t="s">
        <v>2660</v>
      </c>
      <c r="I2761" s="1">
        <v>45720</v>
      </c>
      <c r="K2761" s="4">
        <v>22446000</v>
      </c>
    </row>
    <row r="2762" spans="1:11" hidden="1" outlineLevel="2" x14ac:dyDescent="0.35">
      <c r="A2762" t="s">
        <v>2656</v>
      </c>
      <c r="B2762" s="1">
        <v>45733</v>
      </c>
      <c r="C2762" t="str">
        <f>"44"</f>
        <v>44</v>
      </c>
      <c r="F2762" t="str">
        <f t="shared" si="87"/>
        <v>41112000</v>
      </c>
      <c r="G2762" t="str">
        <f>"41111259"</f>
        <v>41111259</v>
      </c>
      <c r="H2762" t="s">
        <v>2666</v>
      </c>
      <c r="I2762" s="1">
        <v>45733</v>
      </c>
      <c r="K2762" s="4">
        <v>12255556</v>
      </c>
    </row>
    <row r="2763" spans="1:11" hidden="1" outlineLevel="2" x14ac:dyDescent="0.35">
      <c r="A2763" t="s">
        <v>2656</v>
      </c>
      <c r="B2763" s="1">
        <v>45742</v>
      </c>
      <c r="C2763" t="str">
        <f>"48"</f>
        <v>48</v>
      </c>
      <c r="F2763" t="str">
        <f t="shared" si="87"/>
        <v>41112000</v>
      </c>
      <c r="G2763" t="str">
        <f>"41111169"</f>
        <v>41111169</v>
      </c>
      <c r="H2763" t="s">
        <v>2670</v>
      </c>
      <c r="I2763" s="1">
        <v>45742</v>
      </c>
      <c r="K2763" s="4">
        <v>1298000</v>
      </c>
    </row>
    <row r="2764" spans="1:11" hidden="1" outlineLevel="2" x14ac:dyDescent="0.35">
      <c r="A2764" t="s">
        <v>2656</v>
      </c>
      <c r="B2764" s="1">
        <v>45742</v>
      </c>
      <c r="C2764" t="str">
        <f>"49"</f>
        <v>49</v>
      </c>
      <c r="F2764" t="str">
        <f t="shared" si="87"/>
        <v>41112000</v>
      </c>
      <c r="G2764" t="str">
        <f>"41111169"</f>
        <v>41111169</v>
      </c>
      <c r="H2764" t="s">
        <v>2671</v>
      </c>
      <c r="I2764" s="1">
        <v>45742</v>
      </c>
      <c r="K2764" s="4">
        <v>5310000</v>
      </c>
    </row>
    <row r="2765" spans="1:11" hidden="1" outlineLevel="2" x14ac:dyDescent="0.35">
      <c r="A2765" t="s">
        <v>2656</v>
      </c>
      <c r="B2765" s="1">
        <v>45742</v>
      </c>
      <c r="C2765" t="str">
        <f>"50"</f>
        <v>50</v>
      </c>
      <c r="F2765" t="str">
        <f t="shared" si="87"/>
        <v>41112000</v>
      </c>
      <c r="G2765" t="str">
        <f>"41111200"</f>
        <v>41111200</v>
      </c>
      <c r="H2765" t="s">
        <v>1799</v>
      </c>
      <c r="I2765" s="1">
        <v>45742</v>
      </c>
      <c r="K2765" s="4">
        <v>3540000</v>
      </c>
    </row>
    <row r="2766" spans="1:11" hidden="1" outlineLevel="2" x14ac:dyDescent="0.35">
      <c r="A2766" t="s">
        <v>101</v>
      </c>
      <c r="B2766" s="1">
        <v>45747</v>
      </c>
      <c r="C2766" t="str">
        <f>"13"</f>
        <v>13</v>
      </c>
      <c r="F2766" t="str">
        <f t="shared" si="87"/>
        <v>41112000</v>
      </c>
      <c r="G2766" t="str">
        <f>"41111384"</f>
        <v>41111384</v>
      </c>
      <c r="H2766" t="s">
        <v>2848</v>
      </c>
      <c r="I2766" s="1">
        <v>45747</v>
      </c>
      <c r="K2766" s="4">
        <v>9990000</v>
      </c>
    </row>
    <row r="2767" spans="1:11" hidden="1" outlineLevel="2" x14ac:dyDescent="0.35">
      <c r="A2767" t="s">
        <v>101</v>
      </c>
      <c r="B2767" s="1">
        <v>45747</v>
      </c>
      <c r="C2767" t="str">
        <f>"26"</f>
        <v>26</v>
      </c>
      <c r="D2767" t="s">
        <v>2868</v>
      </c>
      <c r="E2767" t="s">
        <v>2868</v>
      </c>
      <c r="F2767" t="str">
        <f t="shared" si="87"/>
        <v>41112000</v>
      </c>
      <c r="G2767" t="str">
        <f>"41111181"</f>
        <v>41111181</v>
      </c>
      <c r="H2767" t="s">
        <v>2869</v>
      </c>
      <c r="I2767" s="1">
        <v>45777</v>
      </c>
      <c r="J2767" s="4">
        <v>5839758</v>
      </c>
    </row>
    <row r="2768" spans="1:11" hidden="1" outlineLevel="2" x14ac:dyDescent="0.35">
      <c r="A2768" t="s">
        <v>131</v>
      </c>
      <c r="B2768" s="1">
        <v>45717</v>
      </c>
      <c r="C2768" t="s">
        <v>5494</v>
      </c>
      <c r="D2768" t="s">
        <v>5494</v>
      </c>
      <c r="F2768" t="str">
        <f t="shared" si="87"/>
        <v>41112000</v>
      </c>
      <c r="G2768" t="str">
        <f>"41111929"</f>
        <v>41111929</v>
      </c>
      <c r="H2768" t="s">
        <v>5495</v>
      </c>
      <c r="I2768" s="1">
        <v>45716</v>
      </c>
      <c r="J2768" s="4">
        <v>6595020</v>
      </c>
    </row>
    <row r="2769" spans="1:11" hidden="1" outlineLevel="2" x14ac:dyDescent="0.35">
      <c r="A2769" t="s">
        <v>131</v>
      </c>
      <c r="B2769" s="1">
        <v>45717</v>
      </c>
      <c r="C2769" t="s">
        <v>5496</v>
      </c>
      <c r="D2769" t="s">
        <v>5496</v>
      </c>
      <c r="F2769" t="str">
        <f t="shared" si="87"/>
        <v>41112000</v>
      </c>
      <c r="G2769" t="str">
        <f>"41111181"</f>
        <v>41111181</v>
      </c>
      <c r="H2769" t="s">
        <v>5497</v>
      </c>
      <c r="I2769" s="1">
        <v>45747</v>
      </c>
      <c r="J2769" s="4">
        <v>2006000</v>
      </c>
    </row>
    <row r="2770" spans="1:11" hidden="1" outlineLevel="2" x14ac:dyDescent="0.35">
      <c r="A2770" t="s">
        <v>131</v>
      </c>
      <c r="B2770" s="1">
        <v>45717</v>
      </c>
      <c r="C2770" t="s">
        <v>1778</v>
      </c>
      <c r="D2770" t="s">
        <v>1778</v>
      </c>
      <c r="F2770" t="str">
        <f t="shared" si="87"/>
        <v>41112000</v>
      </c>
      <c r="G2770" t="str">
        <f>"41111181"</f>
        <v>41111181</v>
      </c>
      <c r="H2770" t="s">
        <v>5502</v>
      </c>
      <c r="I2770" s="1">
        <v>45744</v>
      </c>
      <c r="J2770" s="4">
        <v>41585147</v>
      </c>
    </row>
    <row r="2771" spans="1:11" hidden="1" outlineLevel="2" x14ac:dyDescent="0.35">
      <c r="A2771" t="s">
        <v>131</v>
      </c>
      <c r="B2771" s="1">
        <v>45717</v>
      </c>
      <c r="C2771" t="s">
        <v>5504</v>
      </c>
      <c r="D2771" t="s">
        <v>5504</v>
      </c>
      <c r="F2771" t="str">
        <f t="shared" si="87"/>
        <v>41112000</v>
      </c>
      <c r="G2771" t="str">
        <f>"41111929"</f>
        <v>41111929</v>
      </c>
      <c r="H2771" t="s">
        <v>5495</v>
      </c>
      <c r="I2771" s="1">
        <v>45719</v>
      </c>
      <c r="J2771" s="4">
        <v>395043</v>
      </c>
    </row>
    <row r="2772" spans="1:11" hidden="1" outlineLevel="2" x14ac:dyDescent="0.35">
      <c r="A2772" t="s">
        <v>131</v>
      </c>
      <c r="B2772" s="1">
        <v>45717</v>
      </c>
      <c r="C2772" t="s">
        <v>5507</v>
      </c>
      <c r="D2772" t="s">
        <v>5507</v>
      </c>
      <c r="F2772" t="str">
        <f t="shared" si="87"/>
        <v>41112000</v>
      </c>
      <c r="G2772" t="str">
        <f>"41111929"</f>
        <v>41111929</v>
      </c>
      <c r="H2772" t="s">
        <v>5508</v>
      </c>
      <c r="I2772" s="1">
        <v>45748</v>
      </c>
      <c r="J2772" s="4">
        <v>1099170</v>
      </c>
    </row>
    <row r="2773" spans="1:11" hidden="1" outlineLevel="2" x14ac:dyDescent="0.35">
      <c r="A2773" t="s">
        <v>131</v>
      </c>
      <c r="B2773" s="1">
        <v>45717</v>
      </c>
      <c r="C2773" t="s">
        <v>1788</v>
      </c>
      <c r="D2773" t="s">
        <v>1788</v>
      </c>
      <c r="F2773" t="str">
        <f t="shared" si="87"/>
        <v>41112000</v>
      </c>
      <c r="G2773" t="str">
        <f>"41111181"</f>
        <v>41111181</v>
      </c>
      <c r="H2773" t="s">
        <v>5502</v>
      </c>
      <c r="I2773" s="1">
        <v>45744</v>
      </c>
      <c r="J2773" s="4">
        <v>47265254</v>
      </c>
    </row>
    <row r="2774" spans="1:11" hidden="1" outlineLevel="2" x14ac:dyDescent="0.35">
      <c r="A2774" t="s">
        <v>131</v>
      </c>
      <c r="B2774" s="1">
        <v>45718</v>
      </c>
      <c r="C2774" t="s">
        <v>5513</v>
      </c>
      <c r="D2774" t="s">
        <v>5513</v>
      </c>
      <c r="F2774" t="str">
        <f t="shared" si="87"/>
        <v>41112000</v>
      </c>
      <c r="G2774" t="str">
        <f>"41111929"</f>
        <v>41111929</v>
      </c>
      <c r="H2774" t="s">
        <v>5514</v>
      </c>
      <c r="I2774" s="1">
        <v>45749</v>
      </c>
      <c r="K2774" s="4">
        <v>1099170</v>
      </c>
    </row>
    <row r="2775" spans="1:11" hidden="1" outlineLevel="2" x14ac:dyDescent="0.35">
      <c r="A2775" t="s">
        <v>131</v>
      </c>
      <c r="B2775" s="1">
        <v>45719</v>
      </c>
      <c r="C2775" t="s">
        <v>5515</v>
      </c>
      <c r="D2775" t="s">
        <v>5515</v>
      </c>
      <c r="F2775" t="str">
        <f t="shared" si="87"/>
        <v>41112000</v>
      </c>
      <c r="G2775" t="str">
        <f>"41111417"</f>
        <v>41111417</v>
      </c>
      <c r="H2775" t="s">
        <v>5516</v>
      </c>
      <c r="I2775" s="1">
        <v>45750</v>
      </c>
      <c r="J2775" s="4">
        <v>153400</v>
      </c>
    </row>
    <row r="2776" spans="1:11" hidden="1" outlineLevel="2" x14ac:dyDescent="0.35">
      <c r="A2776" t="s">
        <v>131</v>
      </c>
      <c r="B2776" s="1">
        <v>45720</v>
      </c>
      <c r="C2776" t="s">
        <v>5523</v>
      </c>
      <c r="D2776" t="s">
        <v>5523</v>
      </c>
      <c r="F2776" t="str">
        <f t="shared" si="87"/>
        <v>41112000</v>
      </c>
      <c r="G2776" t="str">
        <f t="shared" ref="G2776:G2787" si="89">"41111929"</f>
        <v>41111929</v>
      </c>
      <c r="H2776" t="s">
        <v>5508</v>
      </c>
      <c r="I2776" s="1">
        <v>45751</v>
      </c>
      <c r="J2776" s="4">
        <v>25636</v>
      </c>
    </row>
    <row r="2777" spans="1:11" hidden="1" outlineLevel="2" x14ac:dyDescent="0.35">
      <c r="A2777" t="s">
        <v>131</v>
      </c>
      <c r="B2777" s="1">
        <v>45725</v>
      </c>
      <c r="C2777" t="s">
        <v>5557</v>
      </c>
      <c r="D2777" t="s">
        <v>5557</v>
      </c>
      <c r="F2777" t="str">
        <f t="shared" si="87"/>
        <v>41112000</v>
      </c>
      <c r="G2777" t="str">
        <f t="shared" si="89"/>
        <v>41111929</v>
      </c>
      <c r="H2777" t="s">
        <v>5508</v>
      </c>
      <c r="I2777" s="1">
        <v>45756</v>
      </c>
      <c r="J2777" s="4">
        <v>1099170</v>
      </c>
    </row>
    <row r="2778" spans="1:11" hidden="1" outlineLevel="2" x14ac:dyDescent="0.35">
      <c r="A2778" t="s">
        <v>131</v>
      </c>
      <c r="B2778" s="1">
        <v>45725</v>
      </c>
      <c r="C2778" t="s">
        <v>5558</v>
      </c>
      <c r="D2778" t="s">
        <v>5558</v>
      </c>
      <c r="F2778" t="str">
        <f t="shared" ref="F2778:F2809" si="90">"41112000"</f>
        <v>41112000</v>
      </c>
      <c r="G2778" t="str">
        <f t="shared" si="89"/>
        <v>41111929</v>
      </c>
      <c r="H2778" t="s">
        <v>5508</v>
      </c>
      <c r="I2778" s="1">
        <v>45756</v>
      </c>
      <c r="J2778" s="4">
        <v>1099170</v>
      </c>
    </row>
    <row r="2779" spans="1:11" hidden="1" outlineLevel="2" x14ac:dyDescent="0.35">
      <c r="A2779" t="s">
        <v>131</v>
      </c>
      <c r="B2779" s="1">
        <v>45725</v>
      </c>
      <c r="C2779" t="s">
        <v>5559</v>
      </c>
      <c r="D2779" t="s">
        <v>5559</v>
      </c>
      <c r="F2779" t="str">
        <f t="shared" si="90"/>
        <v>41112000</v>
      </c>
      <c r="G2779" t="str">
        <f t="shared" si="89"/>
        <v>41111929</v>
      </c>
      <c r="H2779" t="s">
        <v>5508</v>
      </c>
      <c r="I2779" s="1">
        <v>45756</v>
      </c>
      <c r="J2779" s="4">
        <v>1099170</v>
      </c>
    </row>
    <row r="2780" spans="1:11" hidden="1" outlineLevel="2" x14ac:dyDescent="0.35">
      <c r="A2780" t="s">
        <v>131</v>
      </c>
      <c r="B2780" s="1">
        <v>45725</v>
      </c>
      <c r="C2780" t="s">
        <v>5560</v>
      </c>
      <c r="D2780" t="s">
        <v>5560</v>
      </c>
      <c r="F2780" t="str">
        <f t="shared" si="90"/>
        <v>41112000</v>
      </c>
      <c r="G2780" t="str">
        <f t="shared" si="89"/>
        <v>41111929</v>
      </c>
      <c r="H2780" t="s">
        <v>5508</v>
      </c>
      <c r="I2780" s="1">
        <v>45756</v>
      </c>
      <c r="J2780" s="4">
        <v>1099170</v>
      </c>
    </row>
    <row r="2781" spans="1:11" hidden="1" outlineLevel="2" x14ac:dyDescent="0.35">
      <c r="A2781" t="s">
        <v>131</v>
      </c>
      <c r="B2781" s="1">
        <v>45726</v>
      </c>
      <c r="C2781" t="s">
        <v>5562</v>
      </c>
      <c r="D2781" t="s">
        <v>5562</v>
      </c>
      <c r="F2781" t="str">
        <f t="shared" si="90"/>
        <v>41112000</v>
      </c>
      <c r="G2781" t="str">
        <f t="shared" si="89"/>
        <v>41111929</v>
      </c>
      <c r="H2781" t="s">
        <v>5508</v>
      </c>
      <c r="I2781" s="1">
        <v>45757</v>
      </c>
      <c r="J2781" s="4">
        <v>6595020</v>
      </c>
    </row>
    <row r="2782" spans="1:11" hidden="1" outlineLevel="2" x14ac:dyDescent="0.35">
      <c r="A2782" t="s">
        <v>131</v>
      </c>
      <c r="B2782" s="1">
        <v>45726</v>
      </c>
      <c r="C2782" t="s">
        <v>5563</v>
      </c>
      <c r="D2782" t="s">
        <v>5563</v>
      </c>
      <c r="F2782" t="str">
        <f t="shared" si="90"/>
        <v>41112000</v>
      </c>
      <c r="G2782" t="str">
        <f t="shared" si="89"/>
        <v>41111929</v>
      </c>
      <c r="H2782" t="s">
        <v>5508</v>
      </c>
      <c r="I2782" s="1">
        <v>45757</v>
      </c>
      <c r="J2782" s="4">
        <v>5495850</v>
      </c>
    </row>
    <row r="2783" spans="1:11" hidden="1" outlineLevel="2" x14ac:dyDescent="0.35">
      <c r="A2783" t="s">
        <v>131</v>
      </c>
      <c r="B2783" s="1">
        <v>45726</v>
      </c>
      <c r="C2783" t="s">
        <v>5564</v>
      </c>
      <c r="D2783" t="s">
        <v>5564</v>
      </c>
      <c r="F2783" t="str">
        <f t="shared" si="90"/>
        <v>41112000</v>
      </c>
      <c r="G2783" t="str">
        <f t="shared" si="89"/>
        <v>41111929</v>
      </c>
      <c r="H2783" t="s">
        <v>5508</v>
      </c>
      <c r="I2783" s="1">
        <v>45757</v>
      </c>
      <c r="J2783" s="4">
        <v>5495850</v>
      </c>
    </row>
    <row r="2784" spans="1:11" hidden="1" outlineLevel="2" x14ac:dyDescent="0.35">
      <c r="A2784" t="s">
        <v>131</v>
      </c>
      <c r="B2784" s="1">
        <v>45726</v>
      </c>
      <c r="C2784" t="s">
        <v>5565</v>
      </c>
      <c r="D2784" t="s">
        <v>5565</v>
      </c>
      <c r="F2784" t="str">
        <f t="shared" si="90"/>
        <v>41112000</v>
      </c>
      <c r="G2784" t="str">
        <f t="shared" si="89"/>
        <v>41111929</v>
      </c>
      <c r="H2784" t="s">
        <v>5508</v>
      </c>
      <c r="I2784" s="1">
        <v>45757</v>
      </c>
      <c r="J2784" s="4">
        <v>2198340</v>
      </c>
    </row>
    <row r="2785" spans="1:10" hidden="1" outlineLevel="2" x14ac:dyDescent="0.35">
      <c r="A2785" t="s">
        <v>131</v>
      </c>
      <c r="B2785" s="1">
        <v>45726</v>
      </c>
      <c r="C2785" t="s">
        <v>5566</v>
      </c>
      <c r="D2785" t="s">
        <v>5566</v>
      </c>
      <c r="F2785" t="str">
        <f t="shared" si="90"/>
        <v>41112000</v>
      </c>
      <c r="G2785" t="str">
        <f t="shared" si="89"/>
        <v>41111929</v>
      </c>
      <c r="H2785" t="s">
        <v>5508</v>
      </c>
      <c r="I2785" s="1">
        <v>45757</v>
      </c>
      <c r="J2785" s="4">
        <v>1099170</v>
      </c>
    </row>
    <row r="2786" spans="1:10" hidden="1" outlineLevel="2" x14ac:dyDescent="0.35">
      <c r="A2786" t="s">
        <v>131</v>
      </c>
      <c r="B2786" s="1">
        <v>45726</v>
      </c>
      <c r="C2786" t="s">
        <v>5567</v>
      </c>
      <c r="D2786" t="s">
        <v>5567</v>
      </c>
      <c r="F2786" t="str">
        <f t="shared" si="90"/>
        <v>41112000</v>
      </c>
      <c r="G2786" t="str">
        <f t="shared" si="89"/>
        <v>41111929</v>
      </c>
      <c r="H2786" t="s">
        <v>5508</v>
      </c>
      <c r="I2786" s="1">
        <v>45757</v>
      </c>
      <c r="J2786" s="4">
        <v>5495850</v>
      </c>
    </row>
    <row r="2787" spans="1:10" hidden="1" outlineLevel="2" x14ac:dyDescent="0.35">
      <c r="A2787" t="s">
        <v>131</v>
      </c>
      <c r="B2787" s="1">
        <v>45726</v>
      </c>
      <c r="C2787" t="s">
        <v>5568</v>
      </c>
      <c r="D2787" t="s">
        <v>5568</v>
      </c>
      <c r="F2787" t="str">
        <f t="shared" si="90"/>
        <v>41112000</v>
      </c>
      <c r="G2787" t="str">
        <f t="shared" si="89"/>
        <v>41111929</v>
      </c>
      <c r="H2787" t="s">
        <v>5508</v>
      </c>
      <c r="I2787" s="1">
        <v>45757</v>
      </c>
      <c r="J2787" s="4">
        <v>524864</v>
      </c>
    </row>
    <row r="2788" spans="1:10" hidden="1" outlineLevel="2" x14ac:dyDescent="0.35">
      <c r="A2788" t="s">
        <v>131</v>
      </c>
      <c r="B2788" s="1">
        <v>45726</v>
      </c>
      <c r="C2788" t="s">
        <v>5575</v>
      </c>
      <c r="D2788" t="s">
        <v>5575</v>
      </c>
      <c r="F2788" t="str">
        <f t="shared" si="90"/>
        <v>41112000</v>
      </c>
      <c r="G2788" t="str">
        <f>"41111818"</f>
        <v>41111818</v>
      </c>
      <c r="H2788" t="s">
        <v>5576</v>
      </c>
      <c r="I2788" s="1">
        <v>45726</v>
      </c>
      <c r="J2788" s="4">
        <v>590000</v>
      </c>
    </row>
    <row r="2789" spans="1:10" hidden="1" outlineLevel="2" x14ac:dyDescent="0.35">
      <c r="A2789" t="s">
        <v>131</v>
      </c>
      <c r="B2789" s="1">
        <v>45726</v>
      </c>
      <c r="C2789" t="s">
        <v>5577</v>
      </c>
      <c r="D2789" t="s">
        <v>5577</v>
      </c>
      <c r="F2789" t="str">
        <f t="shared" si="90"/>
        <v>41112000</v>
      </c>
      <c r="G2789" t="str">
        <f>"41111847"</f>
        <v>41111847</v>
      </c>
      <c r="H2789" t="s">
        <v>5578</v>
      </c>
      <c r="I2789" s="1">
        <v>45777</v>
      </c>
      <c r="J2789" s="4">
        <v>637200</v>
      </c>
    </row>
    <row r="2790" spans="1:10" hidden="1" outlineLevel="2" x14ac:dyDescent="0.35">
      <c r="A2790" t="s">
        <v>131</v>
      </c>
      <c r="B2790" s="1">
        <v>45726</v>
      </c>
      <c r="C2790" t="s">
        <v>5579</v>
      </c>
      <c r="D2790" t="s">
        <v>5579</v>
      </c>
      <c r="F2790" t="str">
        <f t="shared" si="90"/>
        <v>41112000</v>
      </c>
      <c r="G2790" t="str">
        <f>"41111847"</f>
        <v>41111847</v>
      </c>
      <c r="H2790" t="s">
        <v>5578</v>
      </c>
      <c r="I2790" s="1">
        <v>45777</v>
      </c>
      <c r="J2790" s="4">
        <v>932200</v>
      </c>
    </row>
    <row r="2791" spans="1:10" hidden="1" outlineLevel="2" x14ac:dyDescent="0.35">
      <c r="A2791" t="s">
        <v>131</v>
      </c>
      <c r="B2791" s="1">
        <v>45726</v>
      </c>
      <c r="C2791" t="s">
        <v>5583</v>
      </c>
      <c r="D2791" t="s">
        <v>5583</v>
      </c>
      <c r="F2791" t="str">
        <f t="shared" si="90"/>
        <v>41112000</v>
      </c>
      <c r="G2791" t="str">
        <f>"41111929"</f>
        <v>41111929</v>
      </c>
      <c r="H2791" t="s">
        <v>5508</v>
      </c>
      <c r="I2791" s="1">
        <v>45757</v>
      </c>
      <c r="J2791" s="4">
        <v>1099170</v>
      </c>
    </row>
    <row r="2792" spans="1:10" hidden="1" outlineLevel="2" x14ac:dyDescent="0.35">
      <c r="A2792" t="s">
        <v>131</v>
      </c>
      <c r="B2792" s="1">
        <v>45726</v>
      </c>
      <c r="C2792" t="s">
        <v>5584</v>
      </c>
      <c r="D2792" t="s">
        <v>5584</v>
      </c>
      <c r="F2792" t="str">
        <f t="shared" si="90"/>
        <v>41112000</v>
      </c>
      <c r="G2792" t="str">
        <f>"41111160"</f>
        <v>41111160</v>
      </c>
      <c r="H2792" t="s">
        <v>5585</v>
      </c>
      <c r="I2792" s="1">
        <v>45741</v>
      </c>
      <c r="J2792" s="4">
        <v>236000</v>
      </c>
    </row>
    <row r="2793" spans="1:10" hidden="1" outlineLevel="2" x14ac:dyDescent="0.35">
      <c r="A2793" t="s">
        <v>131</v>
      </c>
      <c r="B2793" s="1">
        <v>45727</v>
      </c>
      <c r="C2793" t="s">
        <v>5591</v>
      </c>
      <c r="D2793" t="s">
        <v>5591</v>
      </c>
      <c r="F2793" t="str">
        <f t="shared" si="90"/>
        <v>41112000</v>
      </c>
      <c r="G2793" t="str">
        <f t="shared" ref="G2793:G2801" si="91">"41111929"</f>
        <v>41111929</v>
      </c>
      <c r="H2793" t="s">
        <v>5508</v>
      </c>
      <c r="I2793" s="1">
        <v>45758</v>
      </c>
      <c r="J2793" s="4">
        <v>304485</v>
      </c>
    </row>
    <row r="2794" spans="1:10" hidden="1" outlineLevel="2" x14ac:dyDescent="0.35">
      <c r="A2794" t="s">
        <v>131</v>
      </c>
      <c r="B2794" s="1">
        <v>45727</v>
      </c>
      <c r="C2794" t="s">
        <v>5592</v>
      </c>
      <c r="D2794" t="s">
        <v>5592</v>
      </c>
      <c r="F2794" t="str">
        <f t="shared" si="90"/>
        <v>41112000</v>
      </c>
      <c r="G2794" t="str">
        <f t="shared" si="91"/>
        <v>41111929</v>
      </c>
      <c r="H2794" t="s">
        <v>5508</v>
      </c>
      <c r="I2794" s="1">
        <v>45758</v>
      </c>
      <c r="J2794" s="4">
        <v>304485</v>
      </c>
    </row>
    <row r="2795" spans="1:10" hidden="1" outlineLevel="2" x14ac:dyDescent="0.35">
      <c r="A2795" t="s">
        <v>131</v>
      </c>
      <c r="B2795" s="1">
        <v>45727</v>
      </c>
      <c r="C2795" t="s">
        <v>5593</v>
      </c>
      <c r="D2795" t="s">
        <v>5593</v>
      </c>
      <c r="F2795" t="str">
        <f t="shared" si="90"/>
        <v>41112000</v>
      </c>
      <c r="G2795" t="str">
        <f t="shared" si="91"/>
        <v>41111929</v>
      </c>
      <c r="H2795" t="s">
        <v>5508</v>
      </c>
      <c r="I2795" s="1">
        <v>45758</v>
      </c>
      <c r="J2795" s="4">
        <v>304485</v>
      </c>
    </row>
    <row r="2796" spans="1:10" hidden="1" outlineLevel="2" x14ac:dyDescent="0.35">
      <c r="A2796" t="s">
        <v>131</v>
      </c>
      <c r="B2796" s="1">
        <v>45727</v>
      </c>
      <c r="C2796" t="s">
        <v>5594</v>
      </c>
      <c r="D2796" t="s">
        <v>5594</v>
      </c>
      <c r="F2796" t="str">
        <f t="shared" si="90"/>
        <v>41112000</v>
      </c>
      <c r="G2796" t="str">
        <f t="shared" si="91"/>
        <v>41111929</v>
      </c>
      <c r="H2796" t="s">
        <v>5508</v>
      </c>
      <c r="I2796" s="1">
        <v>45758</v>
      </c>
      <c r="J2796" s="4">
        <v>1099170</v>
      </c>
    </row>
    <row r="2797" spans="1:10" hidden="1" outlineLevel="2" x14ac:dyDescent="0.35">
      <c r="A2797" t="s">
        <v>131</v>
      </c>
      <c r="B2797" s="1">
        <v>45727</v>
      </c>
      <c r="C2797" t="s">
        <v>5595</v>
      </c>
      <c r="D2797" t="s">
        <v>5595</v>
      </c>
      <c r="F2797" t="str">
        <f t="shared" si="90"/>
        <v>41112000</v>
      </c>
      <c r="G2797" t="str">
        <f t="shared" si="91"/>
        <v>41111929</v>
      </c>
      <c r="H2797" t="s">
        <v>5508</v>
      </c>
      <c r="I2797" s="1">
        <v>45758</v>
      </c>
      <c r="J2797" s="4">
        <v>1099170</v>
      </c>
    </row>
    <row r="2798" spans="1:10" hidden="1" outlineLevel="2" x14ac:dyDescent="0.35">
      <c r="A2798" t="s">
        <v>131</v>
      </c>
      <c r="B2798" s="1">
        <v>45727</v>
      </c>
      <c r="C2798" t="s">
        <v>5596</v>
      </c>
      <c r="D2798" t="s">
        <v>5596</v>
      </c>
      <c r="F2798" t="str">
        <f t="shared" si="90"/>
        <v>41112000</v>
      </c>
      <c r="G2798" t="str">
        <f t="shared" si="91"/>
        <v>41111929</v>
      </c>
      <c r="H2798" t="s">
        <v>5508</v>
      </c>
      <c r="I2798" s="1">
        <v>45758</v>
      </c>
      <c r="J2798" s="4">
        <v>1099170</v>
      </c>
    </row>
    <row r="2799" spans="1:10" hidden="1" outlineLevel="2" x14ac:dyDescent="0.35">
      <c r="A2799" t="s">
        <v>131</v>
      </c>
      <c r="B2799" s="1">
        <v>45727</v>
      </c>
      <c r="C2799" t="s">
        <v>5597</v>
      </c>
      <c r="D2799" t="s">
        <v>5597</v>
      </c>
      <c r="F2799" t="str">
        <f t="shared" si="90"/>
        <v>41112000</v>
      </c>
      <c r="G2799" t="str">
        <f t="shared" si="91"/>
        <v>41111929</v>
      </c>
      <c r="H2799" t="s">
        <v>5508</v>
      </c>
      <c r="I2799" s="1">
        <v>45758</v>
      </c>
      <c r="J2799" s="4">
        <v>1099170</v>
      </c>
    </row>
    <row r="2800" spans="1:10" hidden="1" outlineLevel="2" x14ac:dyDescent="0.35">
      <c r="A2800" t="s">
        <v>131</v>
      </c>
      <c r="B2800" s="1">
        <v>45728</v>
      </c>
      <c r="C2800" t="s">
        <v>5604</v>
      </c>
      <c r="D2800" t="s">
        <v>5604</v>
      </c>
      <c r="F2800" t="str">
        <f t="shared" si="90"/>
        <v>41112000</v>
      </c>
      <c r="G2800" t="str">
        <f t="shared" si="91"/>
        <v>41111929</v>
      </c>
      <c r="H2800" t="s">
        <v>5508</v>
      </c>
      <c r="I2800" s="1">
        <v>45759</v>
      </c>
      <c r="J2800" s="4">
        <v>6032055</v>
      </c>
    </row>
    <row r="2801" spans="1:11" hidden="1" outlineLevel="2" x14ac:dyDescent="0.35">
      <c r="A2801" t="s">
        <v>131</v>
      </c>
      <c r="B2801" s="1">
        <v>45728</v>
      </c>
      <c r="C2801" t="s">
        <v>5605</v>
      </c>
      <c r="D2801" t="s">
        <v>5605</v>
      </c>
      <c r="F2801" t="str">
        <f t="shared" si="90"/>
        <v>41112000</v>
      </c>
      <c r="G2801" t="str">
        <f t="shared" si="91"/>
        <v>41111929</v>
      </c>
      <c r="H2801" t="s">
        <v>5508</v>
      </c>
      <c r="I2801" s="1">
        <v>45759</v>
      </c>
      <c r="J2801" s="4">
        <v>6032055</v>
      </c>
    </row>
    <row r="2802" spans="1:11" hidden="1" outlineLevel="2" x14ac:dyDescent="0.35">
      <c r="A2802" t="s">
        <v>131</v>
      </c>
      <c r="B2802" s="1">
        <v>45729</v>
      </c>
      <c r="C2802" t="s">
        <v>5606</v>
      </c>
      <c r="D2802" t="s">
        <v>5606</v>
      </c>
      <c r="F2802" t="str">
        <f t="shared" si="90"/>
        <v>41112000</v>
      </c>
      <c r="G2802" t="str">
        <f>"41111259"</f>
        <v>41111259</v>
      </c>
      <c r="H2802" t="s">
        <v>5607</v>
      </c>
      <c r="I2802" s="1">
        <v>45777</v>
      </c>
      <c r="J2802" s="4">
        <v>16915602</v>
      </c>
    </row>
    <row r="2803" spans="1:11" hidden="1" outlineLevel="2" x14ac:dyDescent="0.35">
      <c r="A2803" t="s">
        <v>131</v>
      </c>
      <c r="B2803" s="1">
        <v>45729</v>
      </c>
      <c r="C2803" t="s">
        <v>5608</v>
      </c>
      <c r="D2803" t="s">
        <v>5608</v>
      </c>
      <c r="F2803" t="str">
        <f t="shared" si="90"/>
        <v>41112000</v>
      </c>
      <c r="G2803" t="str">
        <f>"41111916"</f>
        <v>41111916</v>
      </c>
      <c r="H2803" t="s">
        <v>5609</v>
      </c>
      <c r="I2803" s="1">
        <v>45777</v>
      </c>
      <c r="K2803" s="4">
        <v>1290000</v>
      </c>
    </row>
    <row r="2804" spans="1:11" hidden="1" outlineLevel="2" x14ac:dyDescent="0.35">
      <c r="A2804" t="s">
        <v>131</v>
      </c>
      <c r="B2804" s="1">
        <v>45729</v>
      </c>
      <c r="C2804" t="s">
        <v>5610</v>
      </c>
      <c r="D2804" t="s">
        <v>5610</v>
      </c>
      <c r="F2804" t="str">
        <f t="shared" si="90"/>
        <v>41112000</v>
      </c>
      <c r="G2804" t="str">
        <f t="shared" ref="G2804:G2828" si="92">"41111929"</f>
        <v>41111929</v>
      </c>
      <c r="H2804" t="s">
        <v>5508</v>
      </c>
      <c r="I2804" s="1">
        <v>45760</v>
      </c>
      <c r="J2804" s="4">
        <v>1099170</v>
      </c>
    </row>
    <row r="2805" spans="1:11" hidden="1" outlineLevel="2" x14ac:dyDescent="0.35">
      <c r="A2805" t="s">
        <v>131</v>
      </c>
      <c r="B2805" s="1">
        <v>45729</v>
      </c>
      <c r="C2805" t="s">
        <v>5610</v>
      </c>
      <c r="D2805" t="s">
        <v>5610</v>
      </c>
      <c r="F2805" t="str">
        <f t="shared" si="90"/>
        <v>41112000</v>
      </c>
      <c r="G2805" t="str">
        <f t="shared" si="92"/>
        <v>41111929</v>
      </c>
      <c r="H2805" t="s">
        <v>5611</v>
      </c>
      <c r="I2805" s="1">
        <v>45760</v>
      </c>
      <c r="J2805" s="4">
        <v>-1099170</v>
      </c>
    </row>
    <row r="2806" spans="1:11" hidden="1" outlineLevel="2" x14ac:dyDescent="0.35">
      <c r="A2806" t="s">
        <v>131</v>
      </c>
      <c r="B2806" s="1">
        <v>45730</v>
      </c>
      <c r="C2806" t="s">
        <v>5622</v>
      </c>
      <c r="D2806" t="s">
        <v>5622</v>
      </c>
      <c r="F2806" t="str">
        <f t="shared" si="90"/>
        <v>41112000</v>
      </c>
      <c r="G2806" t="str">
        <f t="shared" si="92"/>
        <v>41111929</v>
      </c>
      <c r="H2806" t="s">
        <v>5508</v>
      </c>
      <c r="I2806" s="1">
        <v>45761</v>
      </c>
      <c r="J2806" s="4">
        <v>1099170</v>
      </c>
    </row>
    <row r="2807" spans="1:11" hidden="1" outlineLevel="2" x14ac:dyDescent="0.35">
      <c r="A2807" t="s">
        <v>131</v>
      </c>
      <c r="B2807" s="1">
        <v>45730</v>
      </c>
      <c r="C2807" t="s">
        <v>5622</v>
      </c>
      <c r="D2807" t="s">
        <v>5622</v>
      </c>
      <c r="F2807" t="str">
        <f t="shared" si="90"/>
        <v>41112000</v>
      </c>
      <c r="G2807" t="str">
        <f t="shared" si="92"/>
        <v>41111929</v>
      </c>
      <c r="H2807" t="s">
        <v>5611</v>
      </c>
      <c r="I2807" s="1">
        <v>45761</v>
      </c>
      <c r="J2807" s="4">
        <v>-1099170</v>
      </c>
    </row>
    <row r="2808" spans="1:11" hidden="1" outlineLevel="2" x14ac:dyDescent="0.35">
      <c r="A2808" t="s">
        <v>131</v>
      </c>
      <c r="B2808" s="1">
        <v>45730</v>
      </c>
      <c r="C2808" t="s">
        <v>5623</v>
      </c>
      <c r="D2808" t="s">
        <v>5623</v>
      </c>
      <c r="F2808" t="str">
        <f t="shared" si="90"/>
        <v>41112000</v>
      </c>
      <c r="G2808" t="str">
        <f t="shared" si="92"/>
        <v>41111929</v>
      </c>
      <c r="H2808" t="s">
        <v>5508</v>
      </c>
      <c r="I2808" s="1">
        <v>45761</v>
      </c>
      <c r="J2808" s="4">
        <v>1099170</v>
      </c>
    </row>
    <row r="2809" spans="1:11" hidden="1" outlineLevel="2" x14ac:dyDescent="0.35">
      <c r="A2809" t="s">
        <v>131</v>
      </c>
      <c r="B2809" s="1">
        <v>45730</v>
      </c>
      <c r="C2809" t="s">
        <v>5623</v>
      </c>
      <c r="D2809" t="s">
        <v>5623</v>
      </c>
      <c r="F2809" t="str">
        <f t="shared" si="90"/>
        <v>41112000</v>
      </c>
      <c r="G2809" t="str">
        <f t="shared" si="92"/>
        <v>41111929</v>
      </c>
      <c r="H2809" t="s">
        <v>5611</v>
      </c>
      <c r="I2809" s="1">
        <v>45761</v>
      </c>
      <c r="J2809" s="4">
        <v>-1099170</v>
      </c>
    </row>
    <row r="2810" spans="1:11" hidden="1" outlineLevel="2" x14ac:dyDescent="0.35">
      <c r="A2810" t="s">
        <v>131</v>
      </c>
      <c r="B2810" s="1">
        <v>45730</v>
      </c>
      <c r="C2810" t="s">
        <v>5624</v>
      </c>
      <c r="D2810" t="s">
        <v>5624</v>
      </c>
      <c r="F2810" t="str">
        <f t="shared" ref="F2810:F2841" si="93">"41112000"</f>
        <v>41112000</v>
      </c>
      <c r="G2810" t="str">
        <f t="shared" si="92"/>
        <v>41111929</v>
      </c>
      <c r="H2810" t="s">
        <v>5508</v>
      </c>
      <c r="I2810" s="1">
        <v>45761</v>
      </c>
      <c r="J2810" s="4">
        <v>479397</v>
      </c>
    </row>
    <row r="2811" spans="1:11" hidden="1" outlineLevel="2" x14ac:dyDescent="0.35">
      <c r="A2811" t="s">
        <v>131</v>
      </c>
      <c r="B2811" s="1">
        <v>45730</v>
      </c>
      <c r="C2811" t="s">
        <v>5624</v>
      </c>
      <c r="D2811" t="s">
        <v>5624</v>
      </c>
      <c r="F2811" t="str">
        <f t="shared" si="93"/>
        <v>41112000</v>
      </c>
      <c r="G2811" t="str">
        <f t="shared" si="92"/>
        <v>41111929</v>
      </c>
      <c r="H2811" t="s">
        <v>5611</v>
      </c>
      <c r="I2811" s="1">
        <v>45761</v>
      </c>
      <c r="J2811" s="4">
        <v>-479397</v>
      </c>
    </row>
    <row r="2812" spans="1:11" hidden="1" outlineLevel="2" x14ac:dyDescent="0.35">
      <c r="A2812" t="s">
        <v>131</v>
      </c>
      <c r="B2812" s="1">
        <v>45731</v>
      </c>
      <c r="C2812" t="s">
        <v>5625</v>
      </c>
      <c r="D2812" t="s">
        <v>5625</v>
      </c>
      <c r="F2812" t="str">
        <f t="shared" si="93"/>
        <v>41112000</v>
      </c>
      <c r="G2812" t="str">
        <f t="shared" si="92"/>
        <v>41111929</v>
      </c>
      <c r="H2812" t="s">
        <v>5508</v>
      </c>
      <c r="I2812" s="1">
        <v>45762</v>
      </c>
      <c r="J2812" s="4">
        <v>1099170</v>
      </c>
    </row>
    <row r="2813" spans="1:11" hidden="1" outlineLevel="2" x14ac:dyDescent="0.35">
      <c r="A2813" t="s">
        <v>131</v>
      </c>
      <c r="B2813" s="1">
        <v>45731</v>
      </c>
      <c r="C2813" t="s">
        <v>5626</v>
      </c>
      <c r="D2813" t="s">
        <v>5626</v>
      </c>
      <c r="F2813" t="str">
        <f t="shared" si="93"/>
        <v>41112000</v>
      </c>
      <c r="G2813" t="str">
        <f t="shared" si="92"/>
        <v>41111929</v>
      </c>
      <c r="H2813" t="s">
        <v>5508</v>
      </c>
      <c r="I2813" s="1">
        <v>45762</v>
      </c>
      <c r="J2813" s="4">
        <v>1099170</v>
      </c>
    </row>
    <row r="2814" spans="1:11" hidden="1" outlineLevel="2" x14ac:dyDescent="0.35">
      <c r="A2814" t="s">
        <v>131</v>
      </c>
      <c r="B2814" s="1">
        <v>45731</v>
      </c>
      <c r="C2814" t="s">
        <v>5627</v>
      </c>
      <c r="D2814" t="s">
        <v>5627</v>
      </c>
      <c r="F2814" t="str">
        <f t="shared" si="93"/>
        <v>41112000</v>
      </c>
      <c r="G2814" t="str">
        <f t="shared" si="92"/>
        <v>41111929</v>
      </c>
      <c r="H2814" t="s">
        <v>5508</v>
      </c>
      <c r="I2814" s="1">
        <v>45762</v>
      </c>
      <c r="J2814" s="4">
        <v>1099170</v>
      </c>
    </row>
    <row r="2815" spans="1:11" hidden="1" outlineLevel="2" x14ac:dyDescent="0.35">
      <c r="A2815" t="s">
        <v>131</v>
      </c>
      <c r="B2815" s="1">
        <v>45731</v>
      </c>
      <c r="C2815" t="s">
        <v>5628</v>
      </c>
      <c r="D2815" t="s">
        <v>5628</v>
      </c>
      <c r="F2815" t="str">
        <f t="shared" si="93"/>
        <v>41112000</v>
      </c>
      <c r="G2815" t="str">
        <f t="shared" si="92"/>
        <v>41111929</v>
      </c>
      <c r="H2815" t="s">
        <v>5508</v>
      </c>
      <c r="I2815" s="1">
        <v>45762</v>
      </c>
      <c r="J2815" s="4">
        <v>1099170</v>
      </c>
    </row>
    <row r="2816" spans="1:11" hidden="1" outlineLevel="2" x14ac:dyDescent="0.35">
      <c r="A2816" t="s">
        <v>131</v>
      </c>
      <c r="B2816" s="1">
        <v>45732</v>
      </c>
      <c r="C2816" t="s">
        <v>5629</v>
      </c>
      <c r="D2816" t="s">
        <v>5629</v>
      </c>
      <c r="F2816" t="str">
        <f t="shared" si="93"/>
        <v>41112000</v>
      </c>
      <c r="G2816" t="str">
        <f t="shared" si="92"/>
        <v>41111929</v>
      </c>
      <c r="H2816" t="s">
        <v>5508</v>
      </c>
      <c r="I2816" s="1">
        <v>45763</v>
      </c>
      <c r="J2816" s="4">
        <v>7347902</v>
      </c>
    </row>
    <row r="2817" spans="1:10" hidden="1" outlineLevel="2" x14ac:dyDescent="0.35">
      <c r="A2817" t="s">
        <v>131</v>
      </c>
      <c r="B2817" s="1">
        <v>45732</v>
      </c>
      <c r="C2817" t="s">
        <v>5630</v>
      </c>
      <c r="D2817" t="s">
        <v>5630</v>
      </c>
      <c r="F2817" t="str">
        <f t="shared" si="93"/>
        <v>41112000</v>
      </c>
      <c r="G2817" t="str">
        <f t="shared" si="92"/>
        <v>41111929</v>
      </c>
      <c r="H2817" t="s">
        <v>5508</v>
      </c>
      <c r="I2817" s="1">
        <v>45763</v>
      </c>
      <c r="J2817" s="4">
        <v>2412822</v>
      </c>
    </row>
    <row r="2818" spans="1:10" hidden="1" outlineLevel="2" x14ac:dyDescent="0.35">
      <c r="A2818" t="s">
        <v>131</v>
      </c>
      <c r="B2818" s="1">
        <v>45732</v>
      </c>
      <c r="C2818" t="s">
        <v>5631</v>
      </c>
      <c r="D2818" t="s">
        <v>5631</v>
      </c>
      <c r="F2818" t="str">
        <f t="shared" si="93"/>
        <v>41112000</v>
      </c>
      <c r="G2818" t="str">
        <f t="shared" si="92"/>
        <v>41111929</v>
      </c>
      <c r="H2818" t="s">
        <v>5508</v>
      </c>
      <c r="I2818" s="1">
        <v>45763</v>
      </c>
      <c r="J2818" s="4">
        <v>6032055</v>
      </c>
    </row>
    <row r="2819" spans="1:10" hidden="1" outlineLevel="2" x14ac:dyDescent="0.35">
      <c r="A2819" t="s">
        <v>131</v>
      </c>
      <c r="B2819" s="1">
        <v>45732</v>
      </c>
      <c r="C2819" t="s">
        <v>5632</v>
      </c>
      <c r="D2819" t="s">
        <v>5632</v>
      </c>
      <c r="F2819" t="str">
        <f t="shared" si="93"/>
        <v>41112000</v>
      </c>
      <c r="G2819" t="str">
        <f t="shared" si="92"/>
        <v>41111929</v>
      </c>
      <c r="H2819" t="s">
        <v>5508</v>
      </c>
      <c r="I2819" s="1">
        <v>45763</v>
      </c>
      <c r="J2819" s="4">
        <v>7347902</v>
      </c>
    </row>
    <row r="2820" spans="1:10" hidden="1" outlineLevel="2" x14ac:dyDescent="0.35">
      <c r="A2820" t="s">
        <v>131</v>
      </c>
      <c r="B2820" s="1">
        <v>45733</v>
      </c>
      <c r="C2820" t="s">
        <v>5633</v>
      </c>
      <c r="D2820" t="s">
        <v>5633</v>
      </c>
      <c r="F2820" t="str">
        <f t="shared" si="93"/>
        <v>41112000</v>
      </c>
      <c r="G2820" t="str">
        <f t="shared" si="92"/>
        <v>41111929</v>
      </c>
      <c r="H2820" t="s">
        <v>5508</v>
      </c>
      <c r="I2820" s="1">
        <v>45764</v>
      </c>
      <c r="J2820" s="4">
        <v>2198340</v>
      </c>
    </row>
    <row r="2821" spans="1:10" hidden="1" outlineLevel="2" x14ac:dyDescent="0.35">
      <c r="A2821" t="s">
        <v>131</v>
      </c>
      <c r="B2821" s="1">
        <v>45733</v>
      </c>
      <c r="C2821" t="s">
        <v>5634</v>
      </c>
      <c r="D2821" t="s">
        <v>5634</v>
      </c>
      <c r="F2821" t="str">
        <f t="shared" si="93"/>
        <v>41112000</v>
      </c>
      <c r="G2821" t="str">
        <f t="shared" si="92"/>
        <v>41111929</v>
      </c>
      <c r="H2821" t="s">
        <v>5508</v>
      </c>
      <c r="I2821" s="1">
        <v>45764</v>
      </c>
      <c r="J2821" s="4">
        <v>879336</v>
      </c>
    </row>
    <row r="2822" spans="1:10" hidden="1" outlineLevel="2" x14ac:dyDescent="0.35">
      <c r="A2822" t="s">
        <v>131</v>
      </c>
      <c r="B2822" s="1">
        <v>45733</v>
      </c>
      <c r="C2822" t="s">
        <v>5635</v>
      </c>
      <c r="D2822" t="s">
        <v>5635</v>
      </c>
      <c r="F2822" t="str">
        <f t="shared" si="93"/>
        <v>41112000</v>
      </c>
      <c r="G2822" t="str">
        <f t="shared" si="92"/>
        <v>41111929</v>
      </c>
      <c r="H2822" t="s">
        <v>5508</v>
      </c>
      <c r="I2822" s="1">
        <v>45764</v>
      </c>
      <c r="J2822" s="4">
        <v>879336</v>
      </c>
    </row>
    <row r="2823" spans="1:10" hidden="1" outlineLevel="2" x14ac:dyDescent="0.35">
      <c r="A2823" t="s">
        <v>131</v>
      </c>
      <c r="B2823" s="1">
        <v>45733</v>
      </c>
      <c r="C2823" t="s">
        <v>5636</v>
      </c>
      <c r="D2823" t="s">
        <v>5636</v>
      </c>
      <c r="F2823" t="str">
        <f t="shared" si="93"/>
        <v>41112000</v>
      </c>
      <c r="G2823" t="str">
        <f t="shared" si="92"/>
        <v>41111929</v>
      </c>
      <c r="H2823" t="s">
        <v>5508</v>
      </c>
      <c r="I2823" s="1">
        <v>45764</v>
      </c>
      <c r="J2823" s="4">
        <v>5495850</v>
      </c>
    </row>
    <row r="2824" spans="1:10" hidden="1" outlineLevel="2" x14ac:dyDescent="0.35">
      <c r="A2824" t="s">
        <v>131</v>
      </c>
      <c r="B2824" s="1">
        <v>45733</v>
      </c>
      <c r="C2824" t="s">
        <v>5637</v>
      </c>
      <c r="D2824" t="s">
        <v>5637</v>
      </c>
      <c r="F2824" t="str">
        <f t="shared" si="93"/>
        <v>41112000</v>
      </c>
      <c r="G2824" t="str">
        <f t="shared" si="92"/>
        <v>41111929</v>
      </c>
      <c r="H2824" t="s">
        <v>5508</v>
      </c>
      <c r="I2824" s="1">
        <v>45764</v>
      </c>
      <c r="J2824" s="4">
        <v>5495850</v>
      </c>
    </row>
    <row r="2825" spans="1:10" hidden="1" outlineLevel="2" x14ac:dyDescent="0.35">
      <c r="A2825" t="s">
        <v>131</v>
      </c>
      <c r="B2825" s="1">
        <v>45733</v>
      </c>
      <c r="C2825" t="s">
        <v>5638</v>
      </c>
      <c r="D2825" t="s">
        <v>5638</v>
      </c>
      <c r="F2825" t="str">
        <f t="shared" si="93"/>
        <v>41112000</v>
      </c>
      <c r="G2825" t="str">
        <f t="shared" si="92"/>
        <v>41111929</v>
      </c>
      <c r="H2825" t="s">
        <v>5508</v>
      </c>
      <c r="I2825" s="1">
        <v>45764</v>
      </c>
      <c r="J2825" s="4">
        <v>304485</v>
      </c>
    </row>
    <row r="2826" spans="1:10" hidden="1" outlineLevel="2" x14ac:dyDescent="0.35">
      <c r="A2826" t="s">
        <v>131</v>
      </c>
      <c r="B2826" s="1">
        <v>45733</v>
      </c>
      <c r="C2826" t="s">
        <v>5639</v>
      </c>
      <c r="D2826" t="s">
        <v>5639</v>
      </c>
      <c r="F2826" t="str">
        <f t="shared" si="93"/>
        <v>41112000</v>
      </c>
      <c r="G2826" t="str">
        <f t="shared" si="92"/>
        <v>41111929</v>
      </c>
      <c r="H2826" t="s">
        <v>5508</v>
      </c>
      <c r="I2826" s="1">
        <v>45764</v>
      </c>
      <c r="J2826" s="4">
        <v>524864</v>
      </c>
    </row>
    <row r="2827" spans="1:10" hidden="1" outlineLevel="2" x14ac:dyDescent="0.35">
      <c r="A2827" t="s">
        <v>131</v>
      </c>
      <c r="B2827" s="1">
        <v>45733</v>
      </c>
      <c r="C2827" t="s">
        <v>5668</v>
      </c>
      <c r="D2827" t="s">
        <v>5668</v>
      </c>
      <c r="F2827" t="str">
        <f t="shared" si="93"/>
        <v>41112000</v>
      </c>
      <c r="G2827" t="str">
        <f t="shared" si="92"/>
        <v>41111929</v>
      </c>
      <c r="H2827" t="s">
        <v>5508</v>
      </c>
      <c r="I2827" s="1">
        <v>45764</v>
      </c>
      <c r="J2827" s="4">
        <v>546959</v>
      </c>
    </row>
    <row r="2828" spans="1:10" hidden="1" outlineLevel="2" x14ac:dyDescent="0.35">
      <c r="A2828" t="s">
        <v>131</v>
      </c>
      <c r="B2828" s="1">
        <v>45733</v>
      </c>
      <c r="C2828" t="s">
        <v>5669</v>
      </c>
      <c r="D2828" t="s">
        <v>5669</v>
      </c>
      <c r="F2828" t="str">
        <f t="shared" si="93"/>
        <v>41112000</v>
      </c>
      <c r="G2828" t="str">
        <f t="shared" si="92"/>
        <v>41111929</v>
      </c>
      <c r="H2828" t="s">
        <v>5508</v>
      </c>
      <c r="I2828" s="1">
        <v>45764</v>
      </c>
      <c r="J2828" s="4">
        <v>546959</v>
      </c>
    </row>
    <row r="2829" spans="1:10" hidden="1" outlineLevel="2" x14ac:dyDescent="0.35">
      <c r="A2829" t="s">
        <v>131</v>
      </c>
      <c r="B2829" s="1">
        <v>45734</v>
      </c>
      <c r="C2829" t="s">
        <v>5672</v>
      </c>
      <c r="D2829" t="s">
        <v>5672</v>
      </c>
      <c r="F2829" t="str">
        <f t="shared" si="93"/>
        <v>41112000</v>
      </c>
      <c r="G2829" t="str">
        <f>"41111417"</f>
        <v>41111417</v>
      </c>
      <c r="H2829" t="s">
        <v>5516</v>
      </c>
      <c r="I2829" s="1">
        <v>45765</v>
      </c>
      <c r="J2829" s="4">
        <v>153400</v>
      </c>
    </row>
    <row r="2830" spans="1:10" hidden="1" outlineLevel="2" x14ac:dyDescent="0.35">
      <c r="A2830" t="s">
        <v>131</v>
      </c>
      <c r="B2830" s="1">
        <v>45736</v>
      </c>
      <c r="C2830" t="s">
        <v>1780</v>
      </c>
      <c r="D2830" t="s">
        <v>1780</v>
      </c>
      <c r="F2830" t="str">
        <f t="shared" si="93"/>
        <v>41112000</v>
      </c>
      <c r="G2830" t="str">
        <f>"41111181"</f>
        <v>41111181</v>
      </c>
      <c r="H2830" t="s">
        <v>5686</v>
      </c>
      <c r="I2830" s="1">
        <v>45767</v>
      </c>
      <c r="J2830" s="4">
        <v>2950000</v>
      </c>
    </row>
    <row r="2831" spans="1:10" hidden="1" outlineLevel="2" x14ac:dyDescent="0.35">
      <c r="A2831" t="s">
        <v>131</v>
      </c>
      <c r="B2831" s="1">
        <v>45736</v>
      </c>
      <c r="C2831" t="s">
        <v>1780</v>
      </c>
      <c r="D2831" t="s">
        <v>1780</v>
      </c>
      <c r="F2831" t="str">
        <f t="shared" si="93"/>
        <v>41112000</v>
      </c>
      <c r="G2831" t="str">
        <f>"41111181"</f>
        <v>41111181</v>
      </c>
      <c r="H2831" t="s">
        <v>5686</v>
      </c>
      <c r="I2831" s="1">
        <v>45767</v>
      </c>
      <c r="J2831" s="4">
        <v>2950000</v>
      </c>
    </row>
    <row r="2832" spans="1:10" hidden="1" outlineLevel="2" x14ac:dyDescent="0.35">
      <c r="A2832" t="s">
        <v>131</v>
      </c>
      <c r="B2832" s="1">
        <v>45736</v>
      </c>
      <c r="C2832" t="s">
        <v>1780</v>
      </c>
      <c r="D2832" t="s">
        <v>1780</v>
      </c>
      <c r="F2832" t="str">
        <f t="shared" si="93"/>
        <v>41112000</v>
      </c>
      <c r="G2832" t="str">
        <f>"41111181"</f>
        <v>41111181</v>
      </c>
      <c r="H2832" t="s">
        <v>5687</v>
      </c>
      <c r="I2832" s="1">
        <v>45767</v>
      </c>
      <c r="J2832" s="4">
        <v>-2950000</v>
      </c>
    </row>
    <row r="2833" spans="1:10" hidden="1" outlineLevel="2" x14ac:dyDescent="0.35">
      <c r="A2833" t="s">
        <v>131</v>
      </c>
      <c r="B2833" s="1">
        <v>45736</v>
      </c>
      <c r="C2833" t="s">
        <v>5695</v>
      </c>
      <c r="D2833" t="s">
        <v>5695</v>
      </c>
      <c r="F2833" t="str">
        <f t="shared" si="93"/>
        <v>41112000</v>
      </c>
      <c r="G2833" t="str">
        <f t="shared" ref="G2833:G2853" si="94">"41111929"</f>
        <v>41111929</v>
      </c>
      <c r="H2833" t="s">
        <v>5508</v>
      </c>
      <c r="I2833" s="1">
        <v>45767</v>
      </c>
      <c r="J2833" s="4">
        <v>6032055</v>
      </c>
    </row>
    <row r="2834" spans="1:10" hidden="1" outlineLevel="2" x14ac:dyDescent="0.35">
      <c r="A2834" t="s">
        <v>131</v>
      </c>
      <c r="B2834" s="1">
        <v>45736</v>
      </c>
      <c r="C2834" t="s">
        <v>5695</v>
      </c>
      <c r="D2834" t="s">
        <v>5695</v>
      </c>
      <c r="F2834" t="str">
        <f t="shared" si="93"/>
        <v>41112000</v>
      </c>
      <c r="G2834" t="str">
        <f t="shared" si="94"/>
        <v>41111929</v>
      </c>
      <c r="H2834" t="s">
        <v>5508</v>
      </c>
      <c r="I2834" s="1">
        <v>45767</v>
      </c>
      <c r="J2834" s="4">
        <v>6032055</v>
      </c>
    </row>
    <row r="2835" spans="1:10" hidden="1" outlineLevel="2" x14ac:dyDescent="0.35">
      <c r="A2835" t="s">
        <v>131</v>
      </c>
      <c r="B2835" s="1">
        <v>45736</v>
      </c>
      <c r="C2835" t="s">
        <v>5695</v>
      </c>
      <c r="D2835" t="s">
        <v>5695</v>
      </c>
      <c r="F2835" t="str">
        <f t="shared" si="93"/>
        <v>41112000</v>
      </c>
      <c r="G2835" t="str">
        <f t="shared" si="94"/>
        <v>41111929</v>
      </c>
      <c r="H2835" t="s">
        <v>5611</v>
      </c>
      <c r="I2835" s="1">
        <v>45767</v>
      </c>
      <c r="J2835" s="4">
        <v>-6032055</v>
      </c>
    </row>
    <row r="2836" spans="1:10" hidden="1" outlineLevel="2" x14ac:dyDescent="0.35">
      <c r="A2836" t="s">
        <v>131</v>
      </c>
      <c r="B2836" s="1">
        <v>45736</v>
      </c>
      <c r="C2836" t="s">
        <v>5696</v>
      </c>
      <c r="D2836" t="s">
        <v>5696</v>
      </c>
      <c r="F2836" t="str">
        <f t="shared" si="93"/>
        <v>41112000</v>
      </c>
      <c r="G2836" t="str">
        <f t="shared" si="94"/>
        <v>41111929</v>
      </c>
      <c r="H2836" t="s">
        <v>5508</v>
      </c>
      <c r="I2836" s="1">
        <v>45767</v>
      </c>
      <c r="J2836" s="4">
        <v>1099170</v>
      </c>
    </row>
    <row r="2837" spans="1:10" hidden="1" outlineLevel="2" x14ac:dyDescent="0.35">
      <c r="A2837" t="s">
        <v>131</v>
      </c>
      <c r="B2837" s="1">
        <v>45736</v>
      </c>
      <c r="C2837" t="s">
        <v>5696</v>
      </c>
      <c r="D2837" t="s">
        <v>5696</v>
      </c>
      <c r="F2837" t="str">
        <f t="shared" si="93"/>
        <v>41112000</v>
      </c>
      <c r="G2837" t="str">
        <f t="shared" si="94"/>
        <v>41111929</v>
      </c>
      <c r="H2837" t="s">
        <v>5508</v>
      </c>
      <c r="I2837" s="1">
        <v>45767</v>
      </c>
      <c r="J2837" s="4">
        <v>1099170</v>
      </c>
    </row>
    <row r="2838" spans="1:10" hidden="1" outlineLevel="2" x14ac:dyDescent="0.35">
      <c r="A2838" t="s">
        <v>131</v>
      </c>
      <c r="B2838" s="1">
        <v>45736</v>
      </c>
      <c r="C2838" t="s">
        <v>5696</v>
      </c>
      <c r="D2838" t="s">
        <v>5696</v>
      </c>
      <c r="F2838" t="str">
        <f t="shared" si="93"/>
        <v>41112000</v>
      </c>
      <c r="G2838" t="str">
        <f t="shared" si="94"/>
        <v>41111929</v>
      </c>
      <c r="H2838" t="s">
        <v>5611</v>
      </c>
      <c r="I2838" s="1">
        <v>45767</v>
      </c>
      <c r="J2838" s="4">
        <v>-1099170</v>
      </c>
    </row>
    <row r="2839" spans="1:10" hidden="1" outlineLevel="2" x14ac:dyDescent="0.35">
      <c r="A2839" t="s">
        <v>131</v>
      </c>
      <c r="B2839" s="1">
        <v>45736</v>
      </c>
      <c r="C2839" t="s">
        <v>5697</v>
      </c>
      <c r="D2839" t="s">
        <v>5697</v>
      </c>
      <c r="F2839" t="str">
        <f t="shared" si="93"/>
        <v>41112000</v>
      </c>
      <c r="G2839" t="str">
        <f t="shared" si="94"/>
        <v>41111929</v>
      </c>
      <c r="H2839" t="s">
        <v>5508</v>
      </c>
      <c r="I2839" s="1">
        <v>45767</v>
      </c>
      <c r="J2839" s="4">
        <v>1966502</v>
      </c>
    </row>
    <row r="2840" spans="1:10" hidden="1" outlineLevel="2" x14ac:dyDescent="0.35">
      <c r="A2840" t="s">
        <v>131</v>
      </c>
      <c r="B2840" s="1">
        <v>45736</v>
      </c>
      <c r="C2840" t="s">
        <v>5697</v>
      </c>
      <c r="D2840" t="s">
        <v>5697</v>
      </c>
      <c r="F2840" t="str">
        <f t="shared" si="93"/>
        <v>41112000</v>
      </c>
      <c r="G2840" t="str">
        <f t="shared" si="94"/>
        <v>41111929</v>
      </c>
      <c r="H2840" t="s">
        <v>5508</v>
      </c>
      <c r="I2840" s="1">
        <v>45767</v>
      </c>
      <c r="J2840" s="4">
        <v>1966502</v>
      </c>
    </row>
    <row r="2841" spans="1:10" hidden="1" outlineLevel="2" x14ac:dyDescent="0.35">
      <c r="A2841" t="s">
        <v>131</v>
      </c>
      <c r="B2841" s="1">
        <v>45736</v>
      </c>
      <c r="C2841" t="s">
        <v>5697</v>
      </c>
      <c r="D2841" t="s">
        <v>5697</v>
      </c>
      <c r="F2841" t="str">
        <f t="shared" si="93"/>
        <v>41112000</v>
      </c>
      <c r="G2841" t="str">
        <f t="shared" si="94"/>
        <v>41111929</v>
      </c>
      <c r="H2841" t="s">
        <v>5611</v>
      </c>
      <c r="I2841" s="1">
        <v>45767</v>
      </c>
      <c r="J2841" s="4">
        <v>-1966502</v>
      </c>
    </row>
    <row r="2842" spans="1:10" hidden="1" outlineLevel="2" x14ac:dyDescent="0.35">
      <c r="A2842" t="s">
        <v>131</v>
      </c>
      <c r="B2842" s="1">
        <v>45736</v>
      </c>
      <c r="C2842" t="s">
        <v>5698</v>
      </c>
      <c r="D2842" t="s">
        <v>5698</v>
      </c>
      <c r="F2842" t="str">
        <f t="shared" ref="F2842:F2873" si="95">"41112000"</f>
        <v>41112000</v>
      </c>
      <c r="G2842" t="str">
        <f t="shared" si="94"/>
        <v>41111929</v>
      </c>
      <c r="H2842" t="s">
        <v>5508</v>
      </c>
      <c r="I2842" s="1">
        <v>45767</v>
      </c>
      <c r="J2842" s="4">
        <v>7347902</v>
      </c>
    </row>
    <row r="2843" spans="1:10" hidden="1" outlineLevel="2" x14ac:dyDescent="0.35">
      <c r="A2843" t="s">
        <v>131</v>
      </c>
      <c r="B2843" s="1">
        <v>45736</v>
      </c>
      <c r="C2843" t="s">
        <v>5698</v>
      </c>
      <c r="D2843" t="s">
        <v>5698</v>
      </c>
      <c r="F2843" t="str">
        <f t="shared" si="95"/>
        <v>41112000</v>
      </c>
      <c r="G2843" t="str">
        <f t="shared" si="94"/>
        <v>41111929</v>
      </c>
      <c r="H2843" t="s">
        <v>5508</v>
      </c>
      <c r="I2843" s="1">
        <v>45767</v>
      </c>
      <c r="J2843" s="4">
        <v>7347902</v>
      </c>
    </row>
    <row r="2844" spans="1:10" hidden="1" outlineLevel="2" x14ac:dyDescent="0.35">
      <c r="A2844" t="s">
        <v>131</v>
      </c>
      <c r="B2844" s="1">
        <v>45736</v>
      </c>
      <c r="C2844" t="s">
        <v>5698</v>
      </c>
      <c r="D2844" t="s">
        <v>5698</v>
      </c>
      <c r="F2844" t="str">
        <f t="shared" si="95"/>
        <v>41112000</v>
      </c>
      <c r="G2844" t="str">
        <f t="shared" si="94"/>
        <v>41111929</v>
      </c>
      <c r="H2844" t="s">
        <v>5611</v>
      </c>
      <c r="I2844" s="1">
        <v>45767</v>
      </c>
      <c r="J2844" s="4">
        <v>-7347902</v>
      </c>
    </row>
    <row r="2845" spans="1:10" hidden="1" outlineLevel="2" x14ac:dyDescent="0.35">
      <c r="A2845" t="s">
        <v>131</v>
      </c>
      <c r="B2845" s="1">
        <v>45736</v>
      </c>
      <c r="C2845" t="s">
        <v>5699</v>
      </c>
      <c r="D2845" t="s">
        <v>5699</v>
      </c>
      <c r="F2845" t="str">
        <f t="shared" si="95"/>
        <v>41112000</v>
      </c>
      <c r="G2845" t="str">
        <f t="shared" si="94"/>
        <v>41111929</v>
      </c>
      <c r="H2845" t="s">
        <v>5508</v>
      </c>
      <c r="I2845" s="1">
        <v>45767</v>
      </c>
      <c r="J2845" s="4">
        <v>6032055</v>
      </c>
    </row>
    <row r="2846" spans="1:10" hidden="1" outlineLevel="2" x14ac:dyDescent="0.35">
      <c r="A2846" t="s">
        <v>131</v>
      </c>
      <c r="B2846" s="1">
        <v>45736</v>
      </c>
      <c r="C2846" t="s">
        <v>5699</v>
      </c>
      <c r="D2846" t="s">
        <v>5699</v>
      </c>
      <c r="F2846" t="str">
        <f t="shared" si="95"/>
        <v>41112000</v>
      </c>
      <c r="G2846" t="str">
        <f t="shared" si="94"/>
        <v>41111929</v>
      </c>
      <c r="H2846" t="s">
        <v>5508</v>
      </c>
      <c r="I2846" s="1">
        <v>45767</v>
      </c>
      <c r="J2846" s="4">
        <v>6032055</v>
      </c>
    </row>
    <row r="2847" spans="1:10" hidden="1" outlineLevel="2" x14ac:dyDescent="0.35">
      <c r="A2847" t="s">
        <v>131</v>
      </c>
      <c r="B2847" s="1">
        <v>45736</v>
      </c>
      <c r="C2847" t="s">
        <v>5699</v>
      </c>
      <c r="D2847" t="s">
        <v>5699</v>
      </c>
      <c r="F2847" t="str">
        <f t="shared" si="95"/>
        <v>41112000</v>
      </c>
      <c r="G2847" t="str">
        <f t="shared" si="94"/>
        <v>41111929</v>
      </c>
      <c r="H2847" t="s">
        <v>5611</v>
      </c>
      <c r="I2847" s="1">
        <v>45767</v>
      </c>
      <c r="J2847" s="4">
        <v>-6032055</v>
      </c>
    </row>
    <row r="2848" spans="1:10" hidden="1" outlineLevel="2" x14ac:dyDescent="0.35">
      <c r="A2848" t="s">
        <v>131</v>
      </c>
      <c r="B2848" s="1">
        <v>45737</v>
      </c>
      <c r="C2848" t="s">
        <v>5700</v>
      </c>
      <c r="D2848" t="s">
        <v>5700</v>
      </c>
      <c r="F2848" t="str">
        <f t="shared" si="95"/>
        <v>41112000</v>
      </c>
      <c r="G2848" t="str">
        <f t="shared" si="94"/>
        <v>41111929</v>
      </c>
      <c r="H2848" t="s">
        <v>5508</v>
      </c>
      <c r="I2848" s="1">
        <v>45768</v>
      </c>
      <c r="J2848" s="4">
        <v>304485</v>
      </c>
    </row>
    <row r="2849" spans="1:10" hidden="1" outlineLevel="2" x14ac:dyDescent="0.35">
      <c r="A2849" t="s">
        <v>131</v>
      </c>
      <c r="B2849" s="1">
        <v>45737</v>
      </c>
      <c r="C2849" t="s">
        <v>5700</v>
      </c>
      <c r="D2849" t="s">
        <v>5700</v>
      </c>
      <c r="F2849" t="str">
        <f t="shared" si="95"/>
        <v>41112000</v>
      </c>
      <c r="G2849" t="str">
        <f t="shared" si="94"/>
        <v>41111929</v>
      </c>
      <c r="H2849" t="s">
        <v>5508</v>
      </c>
      <c r="I2849" s="1">
        <v>45768</v>
      </c>
      <c r="J2849" s="4">
        <v>304485</v>
      </c>
    </row>
    <row r="2850" spans="1:10" hidden="1" outlineLevel="2" x14ac:dyDescent="0.35">
      <c r="A2850" t="s">
        <v>131</v>
      </c>
      <c r="B2850" s="1">
        <v>45737</v>
      </c>
      <c r="C2850" t="s">
        <v>5700</v>
      </c>
      <c r="D2850" t="s">
        <v>5700</v>
      </c>
      <c r="F2850" t="str">
        <f t="shared" si="95"/>
        <v>41112000</v>
      </c>
      <c r="G2850" t="str">
        <f t="shared" si="94"/>
        <v>41111929</v>
      </c>
      <c r="H2850" t="s">
        <v>5611</v>
      </c>
      <c r="I2850" s="1">
        <v>45768</v>
      </c>
      <c r="J2850" s="4">
        <v>-304485</v>
      </c>
    </row>
    <row r="2851" spans="1:10" hidden="1" outlineLevel="2" x14ac:dyDescent="0.35">
      <c r="A2851" t="s">
        <v>131</v>
      </c>
      <c r="B2851" s="1">
        <v>45737</v>
      </c>
      <c r="C2851" t="s">
        <v>5701</v>
      </c>
      <c r="D2851" t="s">
        <v>5701</v>
      </c>
      <c r="F2851" t="str">
        <f t="shared" si="95"/>
        <v>41112000</v>
      </c>
      <c r="G2851" t="str">
        <f t="shared" si="94"/>
        <v>41111929</v>
      </c>
      <c r="H2851" t="s">
        <v>5508</v>
      </c>
      <c r="I2851" s="1">
        <v>45768</v>
      </c>
      <c r="J2851" s="4">
        <v>304485</v>
      </c>
    </row>
    <row r="2852" spans="1:10" hidden="1" outlineLevel="2" x14ac:dyDescent="0.35">
      <c r="A2852" t="s">
        <v>131</v>
      </c>
      <c r="B2852" s="1">
        <v>45737</v>
      </c>
      <c r="C2852" t="s">
        <v>5701</v>
      </c>
      <c r="D2852" t="s">
        <v>5701</v>
      </c>
      <c r="F2852" t="str">
        <f t="shared" si="95"/>
        <v>41112000</v>
      </c>
      <c r="G2852" t="str">
        <f t="shared" si="94"/>
        <v>41111929</v>
      </c>
      <c r="H2852" t="s">
        <v>5508</v>
      </c>
      <c r="I2852" s="1">
        <v>45768</v>
      </c>
      <c r="J2852" s="4">
        <v>304485</v>
      </c>
    </row>
    <row r="2853" spans="1:10" hidden="1" outlineLevel="2" x14ac:dyDescent="0.35">
      <c r="A2853" t="s">
        <v>131</v>
      </c>
      <c r="B2853" s="1">
        <v>45737</v>
      </c>
      <c r="C2853" t="s">
        <v>5701</v>
      </c>
      <c r="D2853" t="s">
        <v>5701</v>
      </c>
      <c r="F2853" t="str">
        <f t="shared" si="95"/>
        <v>41112000</v>
      </c>
      <c r="G2853" t="str">
        <f t="shared" si="94"/>
        <v>41111929</v>
      </c>
      <c r="H2853" t="s">
        <v>5611</v>
      </c>
      <c r="I2853" s="1">
        <v>45768</v>
      </c>
      <c r="J2853" s="4">
        <v>-304485</v>
      </c>
    </row>
    <row r="2854" spans="1:10" hidden="1" outlineLevel="2" x14ac:dyDescent="0.35">
      <c r="A2854" t="s">
        <v>131</v>
      </c>
      <c r="B2854" s="1">
        <v>45737</v>
      </c>
      <c r="C2854" t="s">
        <v>1782</v>
      </c>
      <c r="D2854" t="s">
        <v>1782</v>
      </c>
      <c r="F2854" t="str">
        <f t="shared" si="95"/>
        <v>41112000</v>
      </c>
      <c r="G2854" t="str">
        <f t="shared" ref="G2854:G2859" si="96">"41111181"</f>
        <v>41111181</v>
      </c>
      <c r="H2854" t="s">
        <v>5686</v>
      </c>
      <c r="I2854" s="1">
        <v>45768</v>
      </c>
      <c r="J2854" s="4">
        <v>1451400</v>
      </c>
    </row>
    <row r="2855" spans="1:10" hidden="1" outlineLevel="2" x14ac:dyDescent="0.35">
      <c r="A2855" t="s">
        <v>131</v>
      </c>
      <c r="B2855" s="1">
        <v>45737</v>
      </c>
      <c r="C2855" t="s">
        <v>1782</v>
      </c>
      <c r="D2855" t="s">
        <v>1782</v>
      </c>
      <c r="F2855" t="str">
        <f t="shared" si="95"/>
        <v>41112000</v>
      </c>
      <c r="G2855" t="str">
        <f t="shared" si="96"/>
        <v>41111181</v>
      </c>
      <c r="H2855" t="s">
        <v>5686</v>
      </c>
      <c r="I2855" s="1">
        <v>45768</v>
      </c>
      <c r="J2855" s="4">
        <v>1451400</v>
      </c>
    </row>
    <row r="2856" spans="1:10" hidden="1" outlineLevel="2" x14ac:dyDescent="0.35">
      <c r="A2856" t="s">
        <v>131</v>
      </c>
      <c r="B2856" s="1">
        <v>45737</v>
      </c>
      <c r="C2856" t="s">
        <v>1782</v>
      </c>
      <c r="D2856" t="s">
        <v>1782</v>
      </c>
      <c r="F2856" t="str">
        <f t="shared" si="95"/>
        <v>41112000</v>
      </c>
      <c r="G2856" t="str">
        <f t="shared" si="96"/>
        <v>41111181</v>
      </c>
      <c r="H2856" t="s">
        <v>5687</v>
      </c>
      <c r="I2856" s="1">
        <v>45768</v>
      </c>
      <c r="J2856" s="4">
        <v>-1451400</v>
      </c>
    </row>
    <row r="2857" spans="1:10" hidden="1" outlineLevel="2" x14ac:dyDescent="0.35">
      <c r="A2857" t="s">
        <v>131</v>
      </c>
      <c r="B2857" s="1">
        <v>45737</v>
      </c>
      <c r="C2857" t="s">
        <v>1784</v>
      </c>
      <c r="D2857" t="s">
        <v>1784</v>
      </c>
      <c r="F2857" t="str">
        <f t="shared" si="95"/>
        <v>41112000</v>
      </c>
      <c r="G2857" t="str">
        <f t="shared" si="96"/>
        <v>41111181</v>
      </c>
      <c r="H2857" t="s">
        <v>5686</v>
      </c>
      <c r="I2857" s="1">
        <v>45768</v>
      </c>
      <c r="J2857" s="4">
        <v>1451400</v>
      </c>
    </row>
    <row r="2858" spans="1:10" hidden="1" outlineLevel="2" x14ac:dyDescent="0.35">
      <c r="A2858" t="s">
        <v>131</v>
      </c>
      <c r="B2858" s="1">
        <v>45737</v>
      </c>
      <c r="C2858" t="s">
        <v>1784</v>
      </c>
      <c r="D2858" t="s">
        <v>1784</v>
      </c>
      <c r="F2858" t="str">
        <f t="shared" si="95"/>
        <v>41112000</v>
      </c>
      <c r="G2858" t="str">
        <f t="shared" si="96"/>
        <v>41111181</v>
      </c>
      <c r="H2858" t="s">
        <v>5686</v>
      </c>
      <c r="I2858" s="1">
        <v>45768</v>
      </c>
      <c r="J2858" s="4">
        <v>1451400</v>
      </c>
    </row>
    <row r="2859" spans="1:10" hidden="1" outlineLevel="2" x14ac:dyDescent="0.35">
      <c r="A2859" t="s">
        <v>131</v>
      </c>
      <c r="B2859" s="1">
        <v>45737</v>
      </c>
      <c r="C2859" t="s">
        <v>1784</v>
      </c>
      <c r="D2859" t="s">
        <v>1784</v>
      </c>
      <c r="F2859" t="str">
        <f t="shared" si="95"/>
        <v>41112000</v>
      </c>
      <c r="G2859" t="str">
        <f t="shared" si="96"/>
        <v>41111181</v>
      </c>
      <c r="H2859" t="s">
        <v>5687</v>
      </c>
      <c r="I2859" s="1">
        <v>45768</v>
      </c>
      <c r="J2859" s="4">
        <v>-1451400</v>
      </c>
    </row>
    <row r="2860" spans="1:10" hidden="1" outlineLevel="2" x14ac:dyDescent="0.35">
      <c r="A2860" t="s">
        <v>131</v>
      </c>
      <c r="B2860" s="1">
        <v>45737</v>
      </c>
      <c r="C2860" t="s">
        <v>5704</v>
      </c>
      <c r="D2860" t="s">
        <v>5704</v>
      </c>
      <c r="F2860" t="str">
        <f t="shared" si="95"/>
        <v>41112000</v>
      </c>
      <c r="G2860" t="str">
        <f t="shared" ref="G2860:G2880" si="97">"41111929"</f>
        <v>41111929</v>
      </c>
      <c r="H2860" t="s">
        <v>5508</v>
      </c>
      <c r="I2860" s="1">
        <v>45768</v>
      </c>
      <c r="J2860" s="4">
        <v>1099170</v>
      </c>
    </row>
    <row r="2861" spans="1:10" hidden="1" outlineLevel="2" x14ac:dyDescent="0.35">
      <c r="A2861" t="s">
        <v>131</v>
      </c>
      <c r="B2861" s="1">
        <v>45737</v>
      </c>
      <c r="C2861" t="s">
        <v>5704</v>
      </c>
      <c r="D2861" t="s">
        <v>5704</v>
      </c>
      <c r="F2861" t="str">
        <f t="shared" si="95"/>
        <v>41112000</v>
      </c>
      <c r="G2861" t="str">
        <f t="shared" si="97"/>
        <v>41111929</v>
      </c>
      <c r="H2861" t="s">
        <v>5508</v>
      </c>
      <c r="I2861" s="1">
        <v>45768</v>
      </c>
      <c r="J2861" s="4">
        <v>1099170</v>
      </c>
    </row>
    <row r="2862" spans="1:10" hidden="1" outlineLevel="2" x14ac:dyDescent="0.35">
      <c r="A2862" t="s">
        <v>131</v>
      </c>
      <c r="B2862" s="1">
        <v>45737</v>
      </c>
      <c r="C2862" t="s">
        <v>5704</v>
      </c>
      <c r="D2862" t="s">
        <v>5704</v>
      </c>
      <c r="F2862" t="str">
        <f t="shared" si="95"/>
        <v>41112000</v>
      </c>
      <c r="G2862" t="str">
        <f t="shared" si="97"/>
        <v>41111929</v>
      </c>
      <c r="H2862" t="s">
        <v>5611</v>
      </c>
      <c r="I2862" s="1">
        <v>45768</v>
      </c>
      <c r="J2862" s="4">
        <v>-1099170</v>
      </c>
    </row>
    <row r="2863" spans="1:10" hidden="1" outlineLevel="2" x14ac:dyDescent="0.35">
      <c r="A2863" t="s">
        <v>131</v>
      </c>
      <c r="B2863" s="1">
        <v>45737</v>
      </c>
      <c r="C2863" t="s">
        <v>5705</v>
      </c>
      <c r="D2863" t="s">
        <v>5705</v>
      </c>
      <c r="F2863" t="str">
        <f t="shared" si="95"/>
        <v>41112000</v>
      </c>
      <c r="G2863" t="str">
        <f t="shared" si="97"/>
        <v>41111929</v>
      </c>
      <c r="H2863" t="s">
        <v>5508</v>
      </c>
      <c r="I2863" s="1">
        <v>45768</v>
      </c>
      <c r="J2863" s="4">
        <v>1099170</v>
      </c>
    </row>
    <row r="2864" spans="1:10" hidden="1" outlineLevel="2" x14ac:dyDescent="0.35">
      <c r="A2864" t="s">
        <v>131</v>
      </c>
      <c r="B2864" s="1">
        <v>45737</v>
      </c>
      <c r="C2864" t="s">
        <v>5705</v>
      </c>
      <c r="D2864" t="s">
        <v>5705</v>
      </c>
      <c r="F2864" t="str">
        <f t="shared" si="95"/>
        <v>41112000</v>
      </c>
      <c r="G2864" t="str">
        <f t="shared" si="97"/>
        <v>41111929</v>
      </c>
      <c r="H2864" t="s">
        <v>5508</v>
      </c>
      <c r="I2864" s="1">
        <v>45768</v>
      </c>
      <c r="J2864" s="4">
        <v>1099170</v>
      </c>
    </row>
    <row r="2865" spans="1:10" hidden="1" outlineLevel="2" x14ac:dyDescent="0.35">
      <c r="A2865" t="s">
        <v>131</v>
      </c>
      <c r="B2865" s="1">
        <v>45737</v>
      </c>
      <c r="C2865" t="s">
        <v>5705</v>
      </c>
      <c r="D2865" t="s">
        <v>5705</v>
      </c>
      <c r="F2865" t="str">
        <f t="shared" si="95"/>
        <v>41112000</v>
      </c>
      <c r="G2865" t="str">
        <f t="shared" si="97"/>
        <v>41111929</v>
      </c>
      <c r="H2865" t="s">
        <v>5611</v>
      </c>
      <c r="I2865" s="1">
        <v>45768</v>
      </c>
      <c r="J2865" s="4">
        <v>-1099170</v>
      </c>
    </row>
    <row r="2866" spans="1:10" hidden="1" outlineLevel="2" x14ac:dyDescent="0.35">
      <c r="A2866" t="s">
        <v>131</v>
      </c>
      <c r="B2866" s="1">
        <v>45738</v>
      </c>
      <c r="C2866" t="s">
        <v>5706</v>
      </c>
      <c r="D2866" t="s">
        <v>5706</v>
      </c>
      <c r="F2866" t="str">
        <f t="shared" si="95"/>
        <v>41112000</v>
      </c>
      <c r="G2866" t="str">
        <f t="shared" si="97"/>
        <v>41111929</v>
      </c>
      <c r="H2866" t="s">
        <v>5508</v>
      </c>
      <c r="I2866" s="1">
        <v>45769</v>
      </c>
      <c r="J2866" s="4">
        <v>5495850</v>
      </c>
    </row>
    <row r="2867" spans="1:10" hidden="1" outlineLevel="2" x14ac:dyDescent="0.35">
      <c r="A2867" t="s">
        <v>131</v>
      </c>
      <c r="B2867" s="1">
        <v>45738</v>
      </c>
      <c r="C2867" t="s">
        <v>5706</v>
      </c>
      <c r="D2867" t="s">
        <v>5706</v>
      </c>
      <c r="F2867" t="str">
        <f t="shared" si="95"/>
        <v>41112000</v>
      </c>
      <c r="G2867" t="str">
        <f t="shared" si="97"/>
        <v>41111929</v>
      </c>
      <c r="H2867" t="s">
        <v>5508</v>
      </c>
      <c r="I2867" s="1">
        <v>45769</v>
      </c>
      <c r="J2867" s="4">
        <v>5495850</v>
      </c>
    </row>
    <row r="2868" spans="1:10" hidden="1" outlineLevel="2" x14ac:dyDescent="0.35">
      <c r="A2868" t="s">
        <v>131</v>
      </c>
      <c r="B2868" s="1">
        <v>45738</v>
      </c>
      <c r="C2868" t="s">
        <v>5706</v>
      </c>
      <c r="D2868" t="s">
        <v>5706</v>
      </c>
      <c r="F2868" t="str">
        <f t="shared" si="95"/>
        <v>41112000</v>
      </c>
      <c r="G2868" t="str">
        <f t="shared" si="97"/>
        <v>41111929</v>
      </c>
      <c r="H2868" t="s">
        <v>5611</v>
      </c>
      <c r="I2868" s="1">
        <v>45769</v>
      </c>
      <c r="J2868" s="4">
        <v>-5495850</v>
      </c>
    </row>
    <row r="2869" spans="1:10" hidden="1" outlineLevel="2" x14ac:dyDescent="0.35">
      <c r="A2869" t="s">
        <v>131</v>
      </c>
      <c r="B2869" s="1">
        <v>45738</v>
      </c>
      <c r="C2869" t="s">
        <v>5707</v>
      </c>
      <c r="D2869" t="s">
        <v>5707</v>
      </c>
      <c r="F2869" t="str">
        <f t="shared" si="95"/>
        <v>41112000</v>
      </c>
      <c r="G2869" t="str">
        <f t="shared" si="97"/>
        <v>41111929</v>
      </c>
      <c r="H2869" t="s">
        <v>5508</v>
      </c>
      <c r="I2869" s="1">
        <v>45769</v>
      </c>
      <c r="J2869" s="4">
        <v>5495850</v>
      </c>
    </row>
    <row r="2870" spans="1:10" hidden="1" outlineLevel="2" x14ac:dyDescent="0.35">
      <c r="A2870" t="s">
        <v>131</v>
      </c>
      <c r="B2870" s="1">
        <v>45738</v>
      </c>
      <c r="C2870" t="s">
        <v>5707</v>
      </c>
      <c r="D2870" t="s">
        <v>5707</v>
      </c>
      <c r="F2870" t="str">
        <f t="shared" si="95"/>
        <v>41112000</v>
      </c>
      <c r="G2870" t="str">
        <f t="shared" si="97"/>
        <v>41111929</v>
      </c>
      <c r="H2870" t="s">
        <v>5508</v>
      </c>
      <c r="I2870" s="1">
        <v>45769</v>
      </c>
      <c r="J2870" s="4">
        <v>5495850</v>
      </c>
    </row>
    <row r="2871" spans="1:10" hidden="1" outlineLevel="2" x14ac:dyDescent="0.35">
      <c r="A2871" t="s">
        <v>131</v>
      </c>
      <c r="B2871" s="1">
        <v>45738</v>
      </c>
      <c r="C2871" t="s">
        <v>5707</v>
      </c>
      <c r="D2871" t="s">
        <v>5707</v>
      </c>
      <c r="F2871" t="str">
        <f t="shared" si="95"/>
        <v>41112000</v>
      </c>
      <c r="G2871" t="str">
        <f t="shared" si="97"/>
        <v>41111929</v>
      </c>
      <c r="H2871" t="s">
        <v>5611</v>
      </c>
      <c r="I2871" s="1">
        <v>45769</v>
      </c>
      <c r="J2871" s="4">
        <v>-5495850</v>
      </c>
    </row>
    <row r="2872" spans="1:10" hidden="1" outlineLevel="2" x14ac:dyDescent="0.35">
      <c r="A2872" t="s">
        <v>131</v>
      </c>
      <c r="B2872" s="1">
        <v>45740</v>
      </c>
      <c r="C2872" t="s">
        <v>5708</v>
      </c>
      <c r="D2872" t="s">
        <v>5708</v>
      </c>
      <c r="F2872" t="str">
        <f t="shared" si="95"/>
        <v>41112000</v>
      </c>
      <c r="G2872" t="str">
        <f t="shared" si="97"/>
        <v>41111929</v>
      </c>
      <c r="H2872" t="s">
        <v>5508</v>
      </c>
      <c r="I2872" s="1">
        <v>45771</v>
      </c>
      <c r="J2872" s="4">
        <v>1099170</v>
      </c>
    </row>
    <row r="2873" spans="1:10" hidden="1" outlineLevel="2" x14ac:dyDescent="0.35">
      <c r="A2873" t="s">
        <v>131</v>
      </c>
      <c r="B2873" s="1">
        <v>45740</v>
      </c>
      <c r="C2873" t="s">
        <v>5709</v>
      </c>
      <c r="D2873" t="s">
        <v>5709</v>
      </c>
      <c r="F2873" t="str">
        <f t="shared" si="95"/>
        <v>41112000</v>
      </c>
      <c r="G2873" t="str">
        <f t="shared" si="97"/>
        <v>41111929</v>
      </c>
      <c r="H2873" t="s">
        <v>5508</v>
      </c>
      <c r="I2873" s="1">
        <v>45771</v>
      </c>
      <c r="J2873" s="4">
        <v>1099170</v>
      </c>
    </row>
    <row r="2874" spans="1:10" hidden="1" outlineLevel="2" x14ac:dyDescent="0.35">
      <c r="A2874" t="s">
        <v>131</v>
      </c>
      <c r="B2874" s="1">
        <v>45740</v>
      </c>
      <c r="C2874" t="s">
        <v>5710</v>
      </c>
      <c r="D2874" t="s">
        <v>5710</v>
      </c>
      <c r="F2874" t="str">
        <f t="shared" ref="F2874:F2905" si="98">"41112000"</f>
        <v>41112000</v>
      </c>
      <c r="G2874" t="str">
        <f t="shared" si="97"/>
        <v>41111929</v>
      </c>
      <c r="H2874" t="s">
        <v>5508</v>
      </c>
      <c r="I2874" s="1">
        <v>45771</v>
      </c>
      <c r="J2874" s="4">
        <v>1099170</v>
      </c>
    </row>
    <row r="2875" spans="1:10" hidden="1" outlineLevel="2" x14ac:dyDescent="0.35">
      <c r="A2875" t="s">
        <v>131</v>
      </c>
      <c r="B2875" s="1">
        <v>45740</v>
      </c>
      <c r="C2875" t="s">
        <v>5728</v>
      </c>
      <c r="D2875" t="s">
        <v>5728</v>
      </c>
      <c r="F2875" t="str">
        <f t="shared" si="98"/>
        <v>41112000</v>
      </c>
      <c r="G2875" t="str">
        <f t="shared" si="97"/>
        <v>41111929</v>
      </c>
      <c r="H2875" t="s">
        <v>5508</v>
      </c>
      <c r="I2875" s="1">
        <v>45771</v>
      </c>
      <c r="J2875" s="4">
        <v>25647</v>
      </c>
    </row>
    <row r="2876" spans="1:10" hidden="1" outlineLevel="2" x14ac:dyDescent="0.35">
      <c r="A2876" t="s">
        <v>131</v>
      </c>
      <c r="B2876" s="1">
        <v>45740</v>
      </c>
      <c r="C2876" t="s">
        <v>5729</v>
      </c>
      <c r="D2876" t="s">
        <v>5729</v>
      </c>
      <c r="F2876" t="str">
        <f t="shared" si="98"/>
        <v>41112000</v>
      </c>
      <c r="G2876" t="str">
        <f t="shared" si="97"/>
        <v>41111929</v>
      </c>
      <c r="H2876" t="s">
        <v>5508</v>
      </c>
      <c r="I2876" s="1">
        <v>45771</v>
      </c>
      <c r="J2876" s="4">
        <v>546959</v>
      </c>
    </row>
    <row r="2877" spans="1:10" hidden="1" outlineLevel="2" x14ac:dyDescent="0.35">
      <c r="A2877" t="s">
        <v>131</v>
      </c>
      <c r="B2877" s="1">
        <v>45740</v>
      </c>
      <c r="C2877" t="s">
        <v>5730</v>
      </c>
      <c r="D2877" t="s">
        <v>5730</v>
      </c>
      <c r="F2877" t="str">
        <f t="shared" si="98"/>
        <v>41112000</v>
      </c>
      <c r="G2877" t="str">
        <f t="shared" si="97"/>
        <v>41111929</v>
      </c>
      <c r="H2877" t="s">
        <v>5508</v>
      </c>
      <c r="I2877" s="1">
        <v>45771</v>
      </c>
      <c r="J2877" s="4">
        <v>250828</v>
      </c>
    </row>
    <row r="2878" spans="1:10" hidden="1" outlineLevel="2" x14ac:dyDescent="0.35">
      <c r="A2878" t="s">
        <v>131</v>
      </c>
      <c r="B2878" s="1">
        <v>45741</v>
      </c>
      <c r="C2878" t="s">
        <v>5743</v>
      </c>
      <c r="D2878" t="s">
        <v>5743</v>
      </c>
      <c r="F2878" t="str">
        <f t="shared" si="98"/>
        <v>41112000</v>
      </c>
      <c r="G2878" t="str">
        <f t="shared" si="97"/>
        <v>41111929</v>
      </c>
      <c r="H2878" t="s">
        <v>5508</v>
      </c>
      <c r="I2878" s="1">
        <v>45772</v>
      </c>
      <c r="J2878" s="4">
        <v>7347902</v>
      </c>
    </row>
    <row r="2879" spans="1:10" hidden="1" outlineLevel="2" x14ac:dyDescent="0.35">
      <c r="A2879" t="s">
        <v>131</v>
      </c>
      <c r="B2879" s="1">
        <v>45741</v>
      </c>
      <c r="C2879" t="s">
        <v>5744</v>
      </c>
      <c r="D2879" t="s">
        <v>5744</v>
      </c>
      <c r="F2879" t="str">
        <f t="shared" si="98"/>
        <v>41112000</v>
      </c>
      <c r="G2879" t="str">
        <f t="shared" si="97"/>
        <v>41111929</v>
      </c>
      <c r="H2879" t="s">
        <v>5508</v>
      </c>
      <c r="I2879" s="1">
        <v>45772</v>
      </c>
      <c r="J2879" s="4">
        <v>304485</v>
      </c>
    </row>
    <row r="2880" spans="1:10" hidden="1" outlineLevel="2" x14ac:dyDescent="0.35">
      <c r="A2880" t="s">
        <v>131</v>
      </c>
      <c r="B2880" s="1">
        <v>45741</v>
      </c>
      <c r="C2880" t="s">
        <v>5745</v>
      </c>
      <c r="D2880" t="s">
        <v>5745</v>
      </c>
      <c r="F2880" t="str">
        <f t="shared" si="98"/>
        <v>41112000</v>
      </c>
      <c r="G2880" t="str">
        <f t="shared" si="97"/>
        <v>41111929</v>
      </c>
      <c r="H2880" t="s">
        <v>5508</v>
      </c>
      <c r="I2880" s="1">
        <v>45772</v>
      </c>
      <c r="J2880" s="4">
        <v>304485</v>
      </c>
    </row>
    <row r="2881" spans="1:10" hidden="1" outlineLevel="2" x14ac:dyDescent="0.35">
      <c r="A2881" t="s">
        <v>131</v>
      </c>
      <c r="B2881" s="1">
        <v>45742</v>
      </c>
      <c r="C2881" t="s">
        <v>5747</v>
      </c>
      <c r="D2881" t="s">
        <v>5747</v>
      </c>
      <c r="F2881" t="str">
        <f t="shared" si="98"/>
        <v>41112000</v>
      </c>
      <c r="G2881" t="str">
        <f t="shared" ref="G2881:G2890" si="99">"41111916"</f>
        <v>41111916</v>
      </c>
      <c r="H2881" t="s">
        <v>5748</v>
      </c>
      <c r="I2881" s="1">
        <v>45777</v>
      </c>
      <c r="J2881" s="4">
        <v>1548000</v>
      </c>
    </row>
    <row r="2882" spans="1:10" hidden="1" outlineLevel="2" x14ac:dyDescent="0.35">
      <c r="A2882" t="s">
        <v>131</v>
      </c>
      <c r="B2882" s="1">
        <v>45742</v>
      </c>
      <c r="C2882" t="s">
        <v>5749</v>
      </c>
      <c r="D2882" t="s">
        <v>5749</v>
      </c>
      <c r="F2882" t="str">
        <f t="shared" si="98"/>
        <v>41112000</v>
      </c>
      <c r="G2882" t="str">
        <f t="shared" si="99"/>
        <v>41111916</v>
      </c>
      <c r="H2882" t="s">
        <v>5748</v>
      </c>
      <c r="I2882" s="1">
        <v>45777</v>
      </c>
      <c r="J2882" s="4">
        <v>1290000</v>
      </c>
    </row>
    <row r="2883" spans="1:10" hidden="1" outlineLevel="2" x14ac:dyDescent="0.35">
      <c r="A2883" t="s">
        <v>131</v>
      </c>
      <c r="B2883" s="1">
        <v>45742</v>
      </c>
      <c r="C2883" t="s">
        <v>5750</v>
      </c>
      <c r="D2883" t="s">
        <v>5750</v>
      </c>
      <c r="F2883" t="str">
        <f t="shared" si="98"/>
        <v>41112000</v>
      </c>
      <c r="G2883" t="str">
        <f t="shared" si="99"/>
        <v>41111916</v>
      </c>
      <c r="H2883" t="s">
        <v>5748</v>
      </c>
      <c r="I2883" s="1">
        <v>45777</v>
      </c>
      <c r="J2883" s="4">
        <v>3096000</v>
      </c>
    </row>
    <row r="2884" spans="1:10" hidden="1" outlineLevel="2" x14ac:dyDescent="0.35">
      <c r="A2884" t="s">
        <v>131</v>
      </c>
      <c r="B2884" s="1">
        <v>45742</v>
      </c>
      <c r="C2884" t="s">
        <v>5751</v>
      </c>
      <c r="D2884" t="s">
        <v>5751</v>
      </c>
      <c r="F2884" t="str">
        <f t="shared" si="98"/>
        <v>41112000</v>
      </c>
      <c r="G2884" t="str">
        <f t="shared" si="99"/>
        <v>41111916</v>
      </c>
      <c r="H2884" t="s">
        <v>5748</v>
      </c>
      <c r="I2884" s="1">
        <v>45777</v>
      </c>
      <c r="J2884" s="4">
        <v>1548000</v>
      </c>
    </row>
    <row r="2885" spans="1:10" hidden="1" outlineLevel="2" x14ac:dyDescent="0.35">
      <c r="A2885" t="s">
        <v>131</v>
      </c>
      <c r="B2885" s="1">
        <v>45742</v>
      </c>
      <c r="C2885" t="s">
        <v>5752</v>
      </c>
      <c r="D2885" t="s">
        <v>5752</v>
      </c>
      <c r="F2885" t="str">
        <f t="shared" si="98"/>
        <v>41112000</v>
      </c>
      <c r="G2885" t="str">
        <f t="shared" si="99"/>
        <v>41111916</v>
      </c>
      <c r="H2885" t="s">
        <v>5748</v>
      </c>
      <c r="I2885" s="1">
        <v>45777</v>
      </c>
      <c r="J2885" s="4">
        <v>1290000</v>
      </c>
    </row>
    <row r="2886" spans="1:10" hidden="1" outlineLevel="2" x14ac:dyDescent="0.35">
      <c r="A2886" t="s">
        <v>131</v>
      </c>
      <c r="B2886" s="1">
        <v>45742</v>
      </c>
      <c r="C2886" t="s">
        <v>5753</v>
      </c>
      <c r="D2886" t="s">
        <v>5753</v>
      </c>
      <c r="F2886" t="str">
        <f t="shared" si="98"/>
        <v>41112000</v>
      </c>
      <c r="G2886" t="str">
        <f t="shared" si="99"/>
        <v>41111916</v>
      </c>
      <c r="H2886" t="s">
        <v>5748</v>
      </c>
      <c r="I2886" s="1">
        <v>45777</v>
      </c>
      <c r="J2886" s="4">
        <v>1290000</v>
      </c>
    </row>
    <row r="2887" spans="1:10" hidden="1" outlineLevel="2" x14ac:dyDescent="0.35">
      <c r="A2887" t="s">
        <v>131</v>
      </c>
      <c r="B2887" s="1">
        <v>45742</v>
      </c>
      <c r="C2887" t="s">
        <v>5754</v>
      </c>
      <c r="D2887" t="s">
        <v>5754</v>
      </c>
      <c r="F2887" t="str">
        <f t="shared" si="98"/>
        <v>41112000</v>
      </c>
      <c r="G2887" t="str">
        <f t="shared" si="99"/>
        <v>41111916</v>
      </c>
      <c r="H2887" t="s">
        <v>5748</v>
      </c>
      <c r="I2887" s="1">
        <v>45777</v>
      </c>
      <c r="J2887" s="4">
        <v>1290000</v>
      </c>
    </row>
    <row r="2888" spans="1:10" hidden="1" outlineLevel="2" x14ac:dyDescent="0.35">
      <c r="A2888" t="s">
        <v>131</v>
      </c>
      <c r="B2888" s="1">
        <v>45742</v>
      </c>
      <c r="C2888" t="s">
        <v>5755</v>
      </c>
      <c r="D2888" t="s">
        <v>5755</v>
      </c>
      <c r="F2888" t="str">
        <f t="shared" si="98"/>
        <v>41112000</v>
      </c>
      <c r="G2888" t="str">
        <f t="shared" si="99"/>
        <v>41111916</v>
      </c>
      <c r="H2888" t="s">
        <v>5748</v>
      </c>
      <c r="I2888" s="1">
        <v>45777</v>
      </c>
      <c r="J2888" s="4">
        <v>1290000</v>
      </c>
    </row>
    <row r="2889" spans="1:10" hidden="1" outlineLevel="2" x14ac:dyDescent="0.35">
      <c r="A2889" t="s">
        <v>131</v>
      </c>
      <c r="B2889" s="1">
        <v>45742</v>
      </c>
      <c r="C2889" t="s">
        <v>5756</v>
      </c>
      <c r="D2889" t="s">
        <v>5756</v>
      </c>
      <c r="F2889" t="str">
        <f t="shared" si="98"/>
        <v>41112000</v>
      </c>
      <c r="G2889" t="str">
        <f t="shared" si="99"/>
        <v>41111916</v>
      </c>
      <c r="H2889" t="s">
        <v>5748</v>
      </c>
      <c r="I2889" s="1">
        <v>45777</v>
      </c>
      <c r="J2889" s="4">
        <v>516000</v>
      </c>
    </row>
    <row r="2890" spans="1:10" hidden="1" outlineLevel="2" x14ac:dyDescent="0.35">
      <c r="A2890" t="s">
        <v>131</v>
      </c>
      <c r="B2890" s="1">
        <v>45742</v>
      </c>
      <c r="C2890" t="s">
        <v>5757</v>
      </c>
      <c r="D2890" t="s">
        <v>5757</v>
      </c>
      <c r="F2890" t="str">
        <f t="shared" si="98"/>
        <v>41112000</v>
      </c>
      <c r="G2890" t="str">
        <f t="shared" si="99"/>
        <v>41111916</v>
      </c>
      <c r="H2890" t="s">
        <v>5748</v>
      </c>
      <c r="I2890" s="1">
        <v>45777</v>
      </c>
      <c r="J2890" s="4">
        <v>1548000</v>
      </c>
    </row>
    <row r="2891" spans="1:10" hidden="1" outlineLevel="2" x14ac:dyDescent="0.35">
      <c r="A2891" t="s">
        <v>131</v>
      </c>
      <c r="B2891" s="1">
        <v>45742</v>
      </c>
      <c r="C2891" t="s">
        <v>5758</v>
      </c>
      <c r="D2891" t="s">
        <v>5758</v>
      </c>
      <c r="F2891" t="str">
        <f t="shared" si="98"/>
        <v>41112000</v>
      </c>
      <c r="G2891" t="str">
        <f t="shared" ref="G2891:G2901" si="100">"41111929"</f>
        <v>41111929</v>
      </c>
      <c r="H2891" t="s">
        <v>5508</v>
      </c>
      <c r="I2891" s="1">
        <v>45773</v>
      </c>
      <c r="J2891" s="4">
        <v>1099170</v>
      </c>
    </row>
    <row r="2892" spans="1:10" hidden="1" outlineLevel="2" x14ac:dyDescent="0.35">
      <c r="A2892" t="s">
        <v>131</v>
      </c>
      <c r="B2892" s="1">
        <v>45742</v>
      </c>
      <c r="C2892" t="s">
        <v>5759</v>
      </c>
      <c r="D2892" t="s">
        <v>5759</v>
      </c>
      <c r="F2892" t="str">
        <f t="shared" si="98"/>
        <v>41112000</v>
      </c>
      <c r="G2892" t="str">
        <f t="shared" si="100"/>
        <v>41111929</v>
      </c>
      <c r="H2892" t="s">
        <v>5508</v>
      </c>
      <c r="I2892" s="1">
        <v>45773</v>
      </c>
      <c r="J2892" s="4">
        <v>25636</v>
      </c>
    </row>
    <row r="2893" spans="1:10" hidden="1" outlineLevel="2" x14ac:dyDescent="0.35">
      <c r="A2893" t="s">
        <v>131</v>
      </c>
      <c r="B2893" s="1">
        <v>45742</v>
      </c>
      <c r="C2893" t="s">
        <v>5760</v>
      </c>
      <c r="D2893" t="s">
        <v>5760</v>
      </c>
      <c r="F2893" t="str">
        <f t="shared" si="98"/>
        <v>41112000</v>
      </c>
      <c r="G2893" t="str">
        <f t="shared" si="100"/>
        <v>41111929</v>
      </c>
      <c r="H2893" t="s">
        <v>5508</v>
      </c>
      <c r="I2893" s="1">
        <v>45773</v>
      </c>
      <c r="J2893" s="4">
        <v>128237</v>
      </c>
    </row>
    <row r="2894" spans="1:10" hidden="1" outlineLevel="2" x14ac:dyDescent="0.35">
      <c r="A2894" t="s">
        <v>131</v>
      </c>
      <c r="B2894" s="1">
        <v>45742</v>
      </c>
      <c r="C2894" t="s">
        <v>5761</v>
      </c>
      <c r="D2894" t="s">
        <v>5761</v>
      </c>
      <c r="F2894" t="str">
        <f t="shared" si="98"/>
        <v>41112000</v>
      </c>
      <c r="G2894" t="str">
        <f t="shared" si="100"/>
        <v>41111929</v>
      </c>
      <c r="H2894" t="s">
        <v>5508</v>
      </c>
      <c r="I2894" s="1">
        <v>45773</v>
      </c>
      <c r="J2894" s="4">
        <v>51295</v>
      </c>
    </row>
    <row r="2895" spans="1:10" hidden="1" outlineLevel="2" x14ac:dyDescent="0.35">
      <c r="A2895" t="s">
        <v>131</v>
      </c>
      <c r="B2895" s="1">
        <v>45742</v>
      </c>
      <c r="C2895" t="s">
        <v>5762</v>
      </c>
      <c r="D2895" t="s">
        <v>5762</v>
      </c>
      <c r="F2895" t="str">
        <f t="shared" si="98"/>
        <v>41112000</v>
      </c>
      <c r="G2895" t="str">
        <f t="shared" si="100"/>
        <v>41111929</v>
      </c>
      <c r="H2895" t="s">
        <v>5508</v>
      </c>
      <c r="I2895" s="1">
        <v>45773</v>
      </c>
      <c r="J2895" s="4">
        <v>25647</v>
      </c>
    </row>
    <row r="2896" spans="1:10" hidden="1" outlineLevel="2" x14ac:dyDescent="0.35">
      <c r="A2896" t="s">
        <v>131</v>
      </c>
      <c r="B2896" s="1">
        <v>45742</v>
      </c>
      <c r="C2896" t="s">
        <v>5763</v>
      </c>
      <c r="D2896" t="s">
        <v>5763</v>
      </c>
      <c r="F2896" t="str">
        <f t="shared" si="98"/>
        <v>41112000</v>
      </c>
      <c r="G2896" t="str">
        <f t="shared" si="100"/>
        <v>41111929</v>
      </c>
      <c r="H2896" t="s">
        <v>5508</v>
      </c>
      <c r="I2896" s="1">
        <v>45773</v>
      </c>
      <c r="J2896" s="4">
        <v>51295</v>
      </c>
    </row>
    <row r="2897" spans="1:10" hidden="1" outlineLevel="2" x14ac:dyDescent="0.35">
      <c r="A2897" t="s">
        <v>131</v>
      </c>
      <c r="B2897" s="1">
        <v>45742</v>
      </c>
      <c r="C2897" t="s">
        <v>5764</v>
      </c>
      <c r="D2897" t="s">
        <v>5764</v>
      </c>
      <c r="F2897" t="str">
        <f t="shared" si="98"/>
        <v>41112000</v>
      </c>
      <c r="G2897" t="str">
        <f t="shared" si="100"/>
        <v>41111929</v>
      </c>
      <c r="H2897" t="s">
        <v>5508</v>
      </c>
      <c r="I2897" s="1">
        <v>45773</v>
      </c>
      <c r="J2897" s="4">
        <v>1099170</v>
      </c>
    </row>
    <row r="2898" spans="1:10" hidden="1" outlineLevel="2" x14ac:dyDescent="0.35">
      <c r="A2898" t="s">
        <v>131</v>
      </c>
      <c r="B2898" s="1">
        <v>45742</v>
      </c>
      <c r="C2898" t="s">
        <v>5765</v>
      </c>
      <c r="D2898" t="s">
        <v>5765</v>
      </c>
      <c r="F2898" t="str">
        <f t="shared" si="98"/>
        <v>41112000</v>
      </c>
      <c r="G2898" t="str">
        <f t="shared" si="100"/>
        <v>41111929</v>
      </c>
      <c r="H2898" t="s">
        <v>5508</v>
      </c>
      <c r="I2898" s="1">
        <v>45773</v>
      </c>
      <c r="J2898" s="4">
        <v>1099170</v>
      </c>
    </row>
    <row r="2899" spans="1:10" hidden="1" outlineLevel="2" x14ac:dyDescent="0.35">
      <c r="A2899" t="s">
        <v>131</v>
      </c>
      <c r="B2899" s="1">
        <v>45742</v>
      </c>
      <c r="C2899" t="s">
        <v>5766</v>
      </c>
      <c r="D2899" t="s">
        <v>5766</v>
      </c>
      <c r="F2899" t="str">
        <f t="shared" si="98"/>
        <v>41112000</v>
      </c>
      <c r="G2899" t="str">
        <f t="shared" si="100"/>
        <v>41111929</v>
      </c>
      <c r="H2899" t="s">
        <v>5508</v>
      </c>
      <c r="I2899" s="1">
        <v>45773</v>
      </c>
      <c r="J2899" s="4">
        <v>1099170</v>
      </c>
    </row>
    <row r="2900" spans="1:10" hidden="1" outlineLevel="2" x14ac:dyDescent="0.35">
      <c r="A2900" t="s">
        <v>131</v>
      </c>
      <c r="B2900" s="1">
        <v>45742</v>
      </c>
      <c r="C2900" t="s">
        <v>5767</v>
      </c>
      <c r="D2900" t="s">
        <v>5767</v>
      </c>
      <c r="F2900" t="str">
        <f t="shared" si="98"/>
        <v>41112000</v>
      </c>
      <c r="G2900" t="str">
        <f t="shared" si="100"/>
        <v>41111929</v>
      </c>
      <c r="H2900" t="s">
        <v>5508</v>
      </c>
      <c r="I2900" s="1">
        <v>45773</v>
      </c>
      <c r="J2900" s="4">
        <v>1099170</v>
      </c>
    </row>
    <row r="2901" spans="1:10" hidden="1" outlineLevel="2" x14ac:dyDescent="0.35">
      <c r="A2901" t="s">
        <v>131</v>
      </c>
      <c r="B2901" s="1">
        <v>45742</v>
      </c>
      <c r="C2901" t="s">
        <v>5768</v>
      </c>
      <c r="D2901" t="s">
        <v>5768</v>
      </c>
      <c r="F2901" t="str">
        <f t="shared" si="98"/>
        <v>41112000</v>
      </c>
      <c r="G2901" t="str">
        <f t="shared" si="100"/>
        <v>41111929</v>
      </c>
      <c r="H2901" t="s">
        <v>5508</v>
      </c>
      <c r="I2901" s="1">
        <v>45773</v>
      </c>
      <c r="J2901" s="4">
        <v>546959</v>
      </c>
    </row>
    <row r="2902" spans="1:10" hidden="1" outlineLevel="2" x14ac:dyDescent="0.35">
      <c r="A2902" t="s">
        <v>131</v>
      </c>
      <c r="B2902" s="1">
        <v>45744</v>
      </c>
      <c r="C2902" t="s">
        <v>5771</v>
      </c>
      <c r="D2902" t="s">
        <v>5771</v>
      </c>
      <c r="F2902" t="str">
        <f t="shared" si="98"/>
        <v>41112000</v>
      </c>
      <c r="G2902" t="str">
        <f>"41111417"</f>
        <v>41111417</v>
      </c>
      <c r="H2902" t="s">
        <v>5516</v>
      </c>
      <c r="I2902" s="1">
        <v>45775</v>
      </c>
      <c r="J2902" s="4">
        <v>1902160</v>
      </c>
    </row>
    <row r="2903" spans="1:10" hidden="1" outlineLevel="2" x14ac:dyDescent="0.35">
      <c r="A2903" t="s">
        <v>131</v>
      </c>
      <c r="B2903" s="1">
        <v>45744</v>
      </c>
      <c r="C2903" t="s">
        <v>5772</v>
      </c>
      <c r="D2903" t="s">
        <v>5772</v>
      </c>
      <c r="F2903" t="str">
        <f t="shared" si="98"/>
        <v>41112000</v>
      </c>
      <c r="G2903" t="str">
        <f>"41111181"</f>
        <v>41111181</v>
      </c>
      <c r="H2903" t="s">
        <v>5686</v>
      </c>
      <c r="I2903" s="1">
        <v>45775</v>
      </c>
      <c r="J2903" s="4">
        <v>2065000</v>
      </c>
    </row>
    <row r="2904" spans="1:10" hidden="1" outlineLevel="2" x14ac:dyDescent="0.35">
      <c r="A2904" t="s">
        <v>131</v>
      </c>
      <c r="B2904" s="1">
        <v>45744</v>
      </c>
      <c r="C2904" t="s">
        <v>5773</v>
      </c>
      <c r="D2904" t="s">
        <v>5773</v>
      </c>
      <c r="F2904" t="str">
        <f t="shared" si="98"/>
        <v>41112000</v>
      </c>
      <c r="G2904" t="str">
        <f>"41111929"</f>
        <v>41111929</v>
      </c>
      <c r="H2904" t="s">
        <v>5508</v>
      </c>
      <c r="I2904" s="1">
        <v>45775</v>
      </c>
      <c r="J2904" s="4">
        <v>7347902</v>
      </c>
    </row>
    <row r="2905" spans="1:10" hidden="1" outlineLevel="2" x14ac:dyDescent="0.35">
      <c r="A2905" t="s">
        <v>131</v>
      </c>
      <c r="B2905" s="1">
        <v>45744</v>
      </c>
      <c r="C2905" t="s">
        <v>5787</v>
      </c>
      <c r="D2905" t="s">
        <v>5787</v>
      </c>
      <c r="F2905" t="str">
        <f t="shared" si="98"/>
        <v>41112000</v>
      </c>
      <c r="G2905" t="str">
        <f>"41111847"</f>
        <v>41111847</v>
      </c>
      <c r="H2905" t="s">
        <v>5578</v>
      </c>
      <c r="I2905" s="1">
        <v>45777</v>
      </c>
      <c r="J2905" s="4">
        <v>590000</v>
      </c>
    </row>
    <row r="2906" spans="1:10" hidden="1" outlineLevel="2" x14ac:dyDescent="0.35">
      <c r="A2906" t="s">
        <v>131</v>
      </c>
      <c r="B2906" s="1">
        <v>45744</v>
      </c>
      <c r="C2906" t="s">
        <v>5795</v>
      </c>
      <c r="D2906" t="s">
        <v>5795</v>
      </c>
      <c r="F2906" t="str">
        <f t="shared" ref="F2906:F2937" si="101">"41112000"</f>
        <v>41112000</v>
      </c>
      <c r="G2906" t="str">
        <f t="shared" ref="G2906:G2918" si="102">"41111929"</f>
        <v>41111929</v>
      </c>
      <c r="H2906" t="s">
        <v>5508</v>
      </c>
      <c r="I2906" s="1">
        <v>45775</v>
      </c>
      <c r="J2906" s="4">
        <v>6032055</v>
      </c>
    </row>
    <row r="2907" spans="1:10" hidden="1" outlineLevel="2" x14ac:dyDescent="0.35">
      <c r="A2907" t="s">
        <v>131</v>
      </c>
      <c r="B2907" s="1">
        <v>45744</v>
      </c>
      <c r="C2907" t="s">
        <v>5796</v>
      </c>
      <c r="D2907" t="s">
        <v>5796</v>
      </c>
      <c r="F2907" t="str">
        <f t="shared" si="101"/>
        <v>41112000</v>
      </c>
      <c r="G2907" t="str">
        <f t="shared" si="102"/>
        <v>41111929</v>
      </c>
      <c r="H2907" t="s">
        <v>5508</v>
      </c>
      <c r="I2907" s="1">
        <v>45775</v>
      </c>
      <c r="J2907" s="4">
        <v>304485</v>
      </c>
    </row>
    <row r="2908" spans="1:10" hidden="1" outlineLevel="2" x14ac:dyDescent="0.35">
      <c r="A2908" t="s">
        <v>131</v>
      </c>
      <c r="B2908" s="1">
        <v>45744</v>
      </c>
      <c r="C2908" t="s">
        <v>5797</v>
      </c>
      <c r="D2908" t="s">
        <v>5797</v>
      </c>
      <c r="F2908" t="str">
        <f t="shared" si="101"/>
        <v>41112000</v>
      </c>
      <c r="G2908" t="str">
        <f t="shared" si="102"/>
        <v>41111929</v>
      </c>
      <c r="H2908" t="s">
        <v>5508</v>
      </c>
      <c r="I2908" s="1">
        <v>45775</v>
      </c>
      <c r="J2908" s="4">
        <v>304485</v>
      </c>
    </row>
    <row r="2909" spans="1:10" hidden="1" outlineLevel="2" x14ac:dyDescent="0.35">
      <c r="A2909" t="s">
        <v>131</v>
      </c>
      <c r="B2909" s="1">
        <v>45744</v>
      </c>
      <c r="C2909" t="s">
        <v>5798</v>
      </c>
      <c r="D2909" t="s">
        <v>5798</v>
      </c>
      <c r="F2909" t="str">
        <f t="shared" si="101"/>
        <v>41112000</v>
      </c>
      <c r="G2909" t="str">
        <f t="shared" si="102"/>
        <v>41111929</v>
      </c>
      <c r="H2909" t="s">
        <v>5508</v>
      </c>
      <c r="I2909" s="1">
        <v>45775</v>
      </c>
      <c r="J2909" s="4">
        <v>304485</v>
      </c>
    </row>
    <row r="2910" spans="1:10" hidden="1" outlineLevel="2" x14ac:dyDescent="0.35">
      <c r="A2910" t="s">
        <v>131</v>
      </c>
      <c r="B2910" s="1">
        <v>45744</v>
      </c>
      <c r="C2910" t="s">
        <v>5799</v>
      </c>
      <c r="D2910" t="s">
        <v>5799</v>
      </c>
      <c r="F2910" t="str">
        <f t="shared" si="101"/>
        <v>41112000</v>
      </c>
      <c r="G2910" t="str">
        <f t="shared" si="102"/>
        <v>41111929</v>
      </c>
      <c r="H2910" t="s">
        <v>5508</v>
      </c>
      <c r="I2910" s="1">
        <v>45775</v>
      </c>
      <c r="J2910" s="4">
        <v>304485</v>
      </c>
    </row>
    <row r="2911" spans="1:10" hidden="1" outlineLevel="2" x14ac:dyDescent="0.35">
      <c r="A2911" t="s">
        <v>131</v>
      </c>
      <c r="B2911" s="1">
        <v>45744</v>
      </c>
      <c r="C2911" t="s">
        <v>5800</v>
      </c>
      <c r="D2911" t="s">
        <v>5800</v>
      </c>
      <c r="F2911" t="str">
        <f t="shared" si="101"/>
        <v>41112000</v>
      </c>
      <c r="G2911" t="str">
        <f t="shared" si="102"/>
        <v>41111929</v>
      </c>
      <c r="H2911" t="s">
        <v>5508</v>
      </c>
      <c r="I2911" s="1">
        <v>45775</v>
      </c>
      <c r="J2911" s="4">
        <v>304485</v>
      </c>
    </row>
    <row r="2912" spans="1:10" hidden="1" outlineLevel="2" x14ac:dyDescent="0.35">
      <c r="A2912" t="s">
        <v>131</v>
      </c>
      <c r="B2912" s="1">
        <v>45744</v>
      </c>
      <c r="C2912" t="s">
        <v>5801</v>
      </c>
      <c r="D2912" t="s">
        <v>5801</v>
      </c>
      <c r="F2912" t="str">
        <f t="shared" si="101"/>
        <v>41112000</v>
      </c>
      <c r="G2912" t="str">
        <f t="shared" si="102"/>
        <v>41111929</v>
      </c>
      <c r="H2912" t="s">
        <v>5508</v>
      </c>
      <c r="I2912" s="1">
        <v>45775</v>
      </c>
      <c r="J2912" s="4">
        <v>304485</v>
      </c>
    </row>
    <row r="2913" spans="1:10" hidden="1" outlineLevel="2" x14ac:dyDescent="0.35">
      <c r="A2913" t="s">
        <v>131</v>
      </c>
      <c r="B2913" s="1">
        <v>45744</v>
      </c>
      <c r="C2913" t="s">
        <v>5802</v>
      </c>
      <c r="D2913" t="s">
        <v>5802</v>
      </c>
      <c r="F2913" t="str">
        <f t="shared" si="101"/>
        <v>41112000</v>
      </c>
      <c r="G2913" t="str">
        <f t="shared" si="102"/>
        <v>41111929</v>
      </c>
      <c r="H2913" t="s">
        <v>5508</v>
      </c>
      <c r="I2913" s="1">
        <v>45775</v>
      </c>
      <c r="J2913" s="4">
        <v>304485</v>
      </c>
    </row>
    <row r="2914" spans="1:10" hidden="1" outlineLevel="2" x14ac:dyDescent="0.35">
      <c r="A2914" t="s">
        <v>131</v>
      </c>
      <c r="B2914" s="1">
        <v>45744</v>
      </c>
      <c r="C2914" t="s">
        <v>5803</v>
      </c>
      <c r="D2914" t="s">
        <v>5803</v>
      </c>
      <c r="F2914" t="str">
        <f t="shared" si="101"/>
        <v>41112000</v>
      </c>
      <c r="G2914" t="str">
        <f t="shared" si="102"/>
        <v>41111929</v>
      </c>
      <c r="H2914" t="s">
        <v>5508</v>
      </c>
      <c r="I2914" s="1">
        <v>45775</v>
      </c>
      <c r="J2914" s="4">
        <v>1099170</v>
      </c>
    </row>
    <row r="2915" spans="1:10" hidden="1" outlineLevel="2" x14ac:dyDescent="0.35">
      <c r="A2915" t="s">
        <v>131</v>
      </c>
      <c r="B2915" s="1">
        <v>45744</v>
      </c>
      <c r="C2915" t="s">
        <v>5804</v>
      </c>
      <c r="D2915" t="s">
        <v>5804</v>
      </c>
      <c r="F2915" t="str">
        <f t="shared" si="101"/>
        <v>41112000</v>
      </c>
      <c r="G2915" t="str">
        <f t="shared" si="102"/>
        <v>41111929</v>
      </c>
      <c r="H2915" t="s">
        <v>5508</v>
      </c>
      <c r="I2915" s="1">
        <v>45775</v>
      </c>
      <c r="J2915" s="4">
        <v>1099170</v>
      </c>
    </row>
    <row r="2916" spans="1:10" hidden="1" outlineLevel="2" x14ac:dyDescent="0.35">
      <c r="A2916" t="s">
        <v>131</v>
      </c>
      <c r="B2916" s="1">
        <v>45744</v>
      </c>
      <c r="C2916" t="s">
        <v>5805</v>
      </c>
      <c r="D2916" t="s">
        <v>5805</v>
      </c>
      <c r="F2916" t="str">
        <f t="shared" si="101"/>
        <v>41112000</v>
      </c>
      <c r="G2916" t="str">
        <f t="shared" si="102"/>
        <v>41111929</v>
      </c>
      <c r="H2916" t="s">
        <v>5508</v>
      </c>
      <c r="I2916" s="1">
        <v>45775</v>
      </c>
      <c r="J2916" s="4">
        <v>1099170</v>
      </c>
    </row>
    <row r="2917" spans="1:10" hidden="1" outlineLevel="2" x14ac:dyDescent="0.35">
      <c r="A2917" t="s">
        <v>131</v>
      </c>
      <c r="B2917" s="1">
        <v>45744</v>
      </c>
      <c r="C2917" t="s">
        <v>5806</v>
      </c>
      <c r="D2917" t="s">
        <v>5806</v>
      </c>
      <c r="F2917" t="str">
        <f t="shared" si="101"/>
        <v>41112000</v>
      </c>
      <c r="G2917" t="str">
        <f t="shared" si="102"/>
        <v>41111929</v>
      </c>
      <c r="H2917" t="s">
        <v>5508</v>
      </c>
      <c r="I2917" s="1">
        <v>45775</v>
      </c>
      <c r="J2917" s="4">
        <v>1099170</v>
      </c>
    </row>
    <row r="2918" spans="1:10" hidden="1" outlineLevel="2" x14ac:dyDescent="0.35">
      <c r="A2918" t="s">
        <v>131</v>
      </c>
      <c r="B2918" s="1">
        <v>45744</v>
      </c>
      <c r="C2918" t="s">
        <v>5806</v>
      </c>
      <c r="D2918" t="s">
        <v>5806</v>
      </c>
      <c r="F2918" t="str">
        <f t="shared" si="101"/>
        <v>41112000</v>
      </c>
      <c r="G2918" t="str">
        <f t="shared" si="102"/>
        <v>41111929</v>
      </c>
      <c r="H2918" t="s">
        <v>5611</v>
      </c>
      <c r="I2918" s="1">
        <v>45775</v>
      </c>
      <c r="J2918" s="4">
        <v>-1099170</v>
      </c>
    </row>
    <row r="2919" spans="1:10" hidden="1" outlineLevel="2" x14ac:dyDescent="0.35">
      <c r="A2919" t="s">
        <v>131</v>
      </c>
      <c r="B2919" s="1">
        <v>45744</v>
      </c>
      <c r="C2919" t="s">
        <v>5807</v>
      </c>
      <c r="D2919" t="s">
        <v>5807</v>
      </c>
      <c r="F2919" t="str">
        <f t="shared" si="101"/>
        <v>41112000</v>
      </c>
      <c r="G2919" t="str">
        <f>"41111181"</f>
        <v>41111181</v>
      </c>
      <c r="H2919" t="s">
        <v>5686</v>
      </c>
      <c r="I2919" s="1">
        <v>45775</v>
      </c>
      <c r="J2919" s="4">
        <v>885000</v>
      </c>
    </row>
    <row r="2920" spans="1:10" hidden="1" outlineLevel="2" x14ac:dyDescent="0.35">
      <c r="A2920" t="s">
        <v>131</v>
      </c>
      <c r="B2920" s="1">
        <v>45744</v>
      </c>
      <c r="C2920" t="s">
        <v>5808</v>
      </c>
      <c r="D2920" t="s">
        <v>5808</v>
      </c>
      <c r="F2920" t="str">
        <f t="shared" si="101"/>
        <v>41112000</v>
      </c>
      <c r="G2920" t="str">
        <f>"41111181"</f>
        <v>41111181</v>
      </c>
      <c r="H2920" t="s">
        <v>5686</v>
      </c>
      <c r="I2920" s="1">
        <v>45775</v>
      </c>
      <c r="J2920" s="4">
        <v>590000</v>
      </c>
    </row>
    <row r="2921" spans="1:10" hidden="1" outlineLevel="2" x14ac:dyDescent="0.35">
      <c r="A2921" t="s">
        <v>131</v>
      </c>
      <c r="B2921" s="1">
        <v>45745</v>
      </c>
      <c r="C2921" t="s">
        <v>5809</v>
      </c>
      <c r="D2921" t="s">
        <v>5809</v>
      </c>
      <c r="F2921" t="str">
        <f t="shared" si="101"/>
        <v>41112000</v>
      </c>
      <c r="G2921" t="str">
        <f>"41111929"</f>
        <v>41111929</v>
      </c>
      <c r="H2921" t="s">
        <v>5508</v>
      </c>
      <c r="I2921" s="1">
        <v>45776</v>
      </c>
      <c r="J2921" s="4">
        <v>4396680</v>
      </c>
    </row>
    <row r="2922" spans="1:10" hidden="1" outlineLevel="2" x14ac:dyDescent="0.35">
      <c r="A2922" t="s">
        <v>131</v>
      </c>
      <c r="B2922" s="1">
        <v>45745</v>
      </c>
      <c r="C2922" t="s">
        <v>5810</v>
      </c>
      <c r="D2922" t="s">
        <v>5810</v>
      </c>
      <c r="F2922" t="str">
        <f t="shared" si="101"/>
        <v>41112000</v>
      </c>
      <c r="G2922" t="str">
        <f>"41111929"</f>
        <v>41111929</v>
      </c>
      <c r="H2922" t="s">
        <v>5508</v>
      </c>
      <c r="I2922" s="1">
        <v>45776</v>
      </c>
      <c r="J2922" s="4">
        <v>2198340</v>
      </c>
    </row>
    <row r="2923" spans="1:10" hidden="1" outlineLevel="2" x14ac:dyDescent="0.35">
      <c r="A2923" t="s">
        <v>131</v>
      </c>
      <c r="B2923" s="1">
        <v>45745</v>
      </c>
      <c r="C2923" t="s">
        <v>5811</v>
      </c>
      <c r="D2923" t="s">
        <v>5811</v>
      </c>
      <c r="F2923" t="str">
        <f t="shared" si="101"/>
        <v>41112000</v>
      </c>
      <c r="G2923" t="str">
        <f>"41111929"</f>
        <v>41111929</v>
      </c>
      <c r="H2923" t="s">
        <v>5508</v>
      </c>
      <c r="I2923" s="1">
        <v>45776</v>
      </c>
      <c r="J2923" s="4">
        <v>6595020</v>
      </c>
    </row>
    <row r="2924" spans="1:10" hidden="1" outlineLevel="2" x14ac:dyDescent="0.35">
      <c r="A2924" t="s">
        <v>131</v>
      </c>
      <c r="B2924" s="1">
        <v>45745</v>
      </c>
      <c r="C2924" t="s">
        <v>5813</v>
      </c>
      <c r="D2924" t="s">
        <v>5813</v>
      </c>
      <c r="F2924" t="str">
        <f t="shared" si="101"/>
        <v>41112000</v>
      </c>
      <c r="G2924" t="str">
        <f>"41111929"</f>
        <v>41111929</v>
      </c>
      <c r="H2924" t="s">
        <v>5508</v>
      </c>
      <c r="I2924" s="1">
        <v>45776</v>
      </c>
      <c r="J2924" s="4">
        <v>546959</v>
      </c>
    </row>
    <row r="2925" spans="1:10" hidden="1" outlineLevel="2" x14ac:dyDescent="0.35">
      <c r="A2925" t="s">
        <v>131</v>
      </c>
      <c r="B2925" s="1">
        <v>45747</v>
      </c>
      <c r="C2925" t="s">
        <v>5814</v>
      </c>
      <c r="D2925" t="s">
        <v>5814</v>
      </c>
      <c r="F2925" t="str">
        <f t="shared" si="101"/>
        <v>41112000</v>
      </c>
      <c r="G2925" t="str">
        <f>"41111181"</f>
        <v>41111181</v>
      </c>
      <c r="H2925" t="s">
        <v>5686</v>
      </c>
      <c r="I2925" s="1">
        <v>45777</v>
      </c>
      <c r="J2925" s="4">
        <v>4248000</v>
      </c>
    </row>
    <row r="2926" spans="1:10" hidden="1" outlineLevel="2" x14ac:dyDescent="0.35">
      <c r="A2926" t="s">
        <v>131</v>
      </c>
      <c r="B2926" s="1">
        <v>45747</v>
      </c>
      <c r="C2926" t="s">
        <v>5815</v>
      </c>
      <c r="D2926" t="s">
        <v>5815</v>
      </c>
      <c r="F2926" t="str">
        <f t="shared" si="101"/>
        <v>41112000</v>
      </c>
      <c r="G2926" t="str">
        <f>"41111633"</f>
        <v>41111633</v>
      </c>
      <c r="H2926" t="s">
        <v>5816</v>
      </c>
      <c r="I2926" s="1">
        <v>45777</v>
      </c>
      <c r="J2926" s="4">
        <v>1062000</v>
      </c>
    </row>
    <row r="2927" spans="1:10" hidden="1" outlineLevel="2" x14ac:dyDescent="0.35">
      <c r="A2927" t="s">
        <v>131</v>
      </c>
      <c r="B2927" s="1">
        <v>45747</v>
      </c>
      <c r="C2927" t="s">
        <v>5817</v>
      </c>
      <c r="D2927" t="s">
        <v>5817</v>
      </c>
      <c r="F2927" t="str">
        <f t="shared" si="101"/>
        <v>41112000</v>
      </c>
      <c r="G2927" t="str">
        <f>"41111818"</f>
        <v>41111818</v>
      </c>
      <c r="H2927" t="s">
        <v>5576</v>
      </c>
      <c r="I2927" s="1">
        <v>45747</v>
      </c>
      <c r="J2927" s="4">
        <v>9451800</v>
      </c>
    </row>
    <row r="2928" spans="1:10" hidden="1" outlineLevel="2" x14ac:dyDescent="0.35">
      <c r="A2928" t="s">
        <v>131</v>
      </c>
      <c r="B2928" s="1">
        <v>45747</v>
      </c>
      <c r="C2928" t="s">
        <v>5820</v>
      </c>
      <c r="D2928" t="s">
        <v>5820</v>
      </c>
      <c r="F2928" t="str">
        <f t="shared" si="101"/>
        <v>41112000</v>
      </c>
      <c r="G2928" t="str">
        <f>"41111181"</f>
        <v>41111181</v>
      </c>
      <c r="H2928" t="s">
        <v>5686</v>
      </c>
      <c r="I2928" s="1">
        <v>45777</v>
      </c>
      <c r="J2928" s="4">
        <v>46757913</v>
      </c>
    </row>
    <row r="2929" spans="1:11" hidden="1" outlineLevel="2" x14ac:dyDescent="0.35">
      <c r="A2929" t="s">
        <v>131</v>
      </c>
      <c r="B2929" s="1">
        <v>45747</v>
      </c>
      <c r="C2929" t="s">
        <v>5846</v>
      </c>
      <c r="D2929" t="s">
        <v>5846</v>
      </c>
      <c r="F2929" t="str">
        <f t="shared" si="101"/>
        <v>41112000</v>
      </c>
      <c r="G2929" t="str">
        <f t="shared" ref="G2929:G2940" si="103">"41111929"</f>
        <v>41111929</v>
      </c>
      <c r="H2929" t="s">
        <v>5508</v>
      </c>
      <c r="I2929" s="1">
        <v>45777</v>
      </c>
      <c r="J2929" s="4">
        <v>656080</v>
      </c>
    </row>
    <row r="2930" spans="1:11" hidden="1" outlineLevel="2" x14ac:dyDescent="0.35">
      <c r="A2930" t="s">
        <v>131</v>
      </c>
      <c r="B2930" s="1">
        <v>45747</v>
      </c>
      <c r="C2930" t="s">
        <v>5847</v>
      </c>
      <c r="D2930" t="s">
        <v>5847</v>
      </c>
      <c r="F2930" t="str">
        <f t="shared" si="101"/>
        <v>41112000</v>
      </c>
      <c r="G2930" t="str">
        <f t="shared" si="103"/>
        <v>41111929</v>
      </c>
      <c r="H2930" t="s">
        <v>5508</v>
      </c>
      <c r="I2930" s="1">
        <v>45777</v>
      </c>
      <c r="J2930" s="4">
        <v>656080</v>
      </c>
    </row>
    <row r="2931" spans="1:11" hidden="1" outlineLevel="2" x14ac:dyDescent="0.35">
      <c r="A2931" t="s">
        <v>131</v>
      </c>
      <c r="B2931" s="1">
        <v>45747</v>
      </c>
      <c r="C2931" t="s">
        <v>5848</v>
      </c>
      <c r="D2931" t="s">
        <v>5848</v>
      </c>
      <c r="F2931" t="str">
        <f t="shared" si="101"/>
        <v>41112000</v>
      </c>
      <c r="G2931" t="str">
        <f t="shared" si="103"/>
        <v>41111929</v>
      </c>
      <c r="H2931" t="s">
        <v>5508</v>
      </c>
      <c r="I2931" s="1">
        <v>45777</v>
      </c>
      <c r="J2931" s="4">
        <v>4396680</v>
      </c>
    </row>
    <row r="2932" spans="1:11" hidden="1" outlineLevel="2" x14ac:dyDescent="0.35">
      <c r="A2932" t="s">
        <v>131</v>
      </c>
      <c r="B2932" s="1">
        <v>45747</v>
      </c>
      <c r="C2932" t="s">
        <v>5857</v>
      </c>
      <c r="D2932" t="s">
        <v>5857</v>
      </c>
      <c r="F2932" t="str">
        <f t="shared" si="101"/>
        <v>41112000</v>
      </c>
      <c r="G2932" t="str">
        <f t="shared" si="103"/>
        <v>41111929</v>
      </c>
      <c r="H2932" t="s">
        <v>5508</v>
      </c>
      <c r="I2932" s="1">
        <v>45777</v>
      </c>
      <c r="J2932" s="4">
        <v>9832510</v>
      </c>
    </row>
    <row r="2933" spans="1:11" hidden="1" outlineLevel="2" x14ac:dyDescent="0.35">
      <c r="A2933" t="s">
        <v>131</v>
      </c>
      <c r="B2933" s="1">
        <v>45747</v>
      </c>
      <c r="C2933" t="s">
        <v>5858</v>
      </c>
      <c r="D2933" t="s">
        <v>5858</v>
      </c>
      <c r="F2933" t="str">
        <f t="shared" si="101"/>
        <v>41112000</v>
      </c>
      <c r="G2933" t="str">
        <f t="shared" si="103"/>
        <v>41111929</v>
      </c>
      <c r="H2933" t="s">
        <v>5508</v>
      </c>
      <c r="I2933" s="1">
        <v>45777</v>
      </c>
      <c r="J2933" s="4">
        <v>9832510</v>
      </c>
    </row>
    <row r="2934" spans="1:11" hidden="1" outlineLevel="2" x14ac:dyDescent="0.35">
      <c r="A2934" t="s">
        <v>131</v>
      </c>
      <c r="B2934" s="1">
        <v>45747</v>
      </c>
      <c r="C2934" t="s">
        <v>5859</v>
      </c>
      <c r="D2934" t="s">
        <v>5859</v>
      </c>
      <c r="F2934" t="str">
        <f t="shared" si="101"/>
        <v>41112000</v>
      </c>
      <c r="G2934" t="str">
        <f t="shared" si="103"/>
        <v>41111929</v>
      </c>
      <c r="H2934" t="s">
        <v>5508</v>
      </c>
      <c r="I2934" s="1">
        <v>45777</v>
      </c>
      <c r="J2934" s="4">
        <v>9832510</v>
      </c>
    </row>
    <row r="2935" spans="1:11" hidden="1" outlineLevel="2" x14ac:dyDescent="0.35">
      <c r="A2935" t="s">
        <v>131</v>
      </c>
      <c r="B2935" s="1">
        <v>45747</v>
      </c>
      <c r="C2935" t="s">
        <v>5860</v>
      </c>
      <c r="D2935" t="s">
        <v>5860</v>
      </c>
      <c r="F2935" t="str">
        <f t="shared" si="101"/>
        <v>41112000</v>
      </c>
      <c r="G2935" t="str">
        <f t="shared" si="103"/>
        <v>41111929</v>
      </c>
      <c r="H2935" t="s">
        <v>5508</v>
      </c>
      <c r="I2935" s="1">
        <v>45777</v>
      </c>
      <c r="J2935" s="4">
        <v>1206411</v>
      </c>
    </row>
    <row r="2936" spans="1:11" hidden="1" outlineLevel="2" x14ac:dyDescent="0.35">
      <c r="A2936" t="s">
        <v>131</v>
      </c>
      <c r="B2936" s="1">
        <v>45747</v>
      </c>
      <c r="C2936" t="s">
        <v>5861</v>
      </c>
      <c r="D2936" t="s">
        <v>5861</v>
      </c>
      <c r="F2936" t="str">
        <f t="shared" si="101"/>
        <v>41112000</v>
      </c>
      <c r="G2936" t="str">
        <f t="shared" si="103"/>
        <v>41111929</v>
      </c>
      <c r="H2936" t="s">
        <v>5508</v>
      </c>
      <c r="I2936" s="1">
        <v>45777</v>
      </c>
      <c r="J2936" s="4">
        <v>7347902</v>
      </c>
    </row>
    <row r="2937" spans="1:11" hidden="1" outlineLevel="2" x14ac:dyDescent="0.35">
      <c r="A2937" t="s">
        <v>131</v>
      </c>
      <c r="B2937" s="1">
        <v>45747</v>
      </c>
      <c r="C2937" t="s">
        <v>5862</v>
      </c>
      <c r="D2937" t="s">
        <v>5862</v>
      </c>
      <c r="F2937" t="str">
        <f t="shared" si="101"/>
        <v>41112000</v>
      </c>
      <c r="G2937" t="str">
        <f t="shared" si="103"/>
        <v>41111929</v>
      </c>
      <c r="H2937" t="s">
        <v>5508</v>
      </c>
      <c r="I2937" s="1">
        <v>45777</v>
      </c>
      <c r="J2937" s="4">
        <v>9832510</v>
      </c>
    </row>
    <row r="2938" spans="1:11" hidden="1" outlineLevel="2" x14ac:dyDescent="0.35">
      <c r="A2938" t="s">
        <v>131</v>
      </c>
      <c r="B2938" s="1">
        <v>45747</v>
      </c>
      <c r="C2938" t="s">
        <v>5863</v>
      </c>
      <c r="D2938" t="s">
        <v>5863</v>
      </c>
      <c r="F2938" t="str">
        <f t="shared" ref="F2938:F2943" si="104">"41112000"</f>
        <v>41112000</v>
      </c>
      <c r="G2938" t="str">
        <f t="shared" si="103"/>
        <v>41111929</v>
      </c>
      <c r="H2938" t="s">
        <v>5508</v>
      </c>
      <c r="I2938" s="1">
        <v>45777</v>
      </c>
      <c r="J2938" s="4">
        <v>1099170</v>
      </c>
    </row>
    <row r="2939" spans="1:11" hidden="1" outlineLevel="2" x14ac:dyDescent="0.35">
      <c r="A2939" t="s">
        <v>131</v>
      </c>
      <c r="B2939" s="1">
        <v>45747</v>
      </c>
      <c r="C2939" t="s">
        <v>5864</v>
      </c>
      <c r="D2939" t="s">
        <v>5864</v>
      </c>
      <c r="F2939" t="str">
        <f t="shared" si="104"/>
        <v>41112000</v>
      </c>
      <c r="G2939" t="str">
        <f t="shared" si="103"/>
        <v>41111929</v>
      </c>
      <c r="H2939" t="s">
        <v>5508</v>
      </c>
      <c r="I2939" s="1">
        <v>45777</v>
      </c>
      <c r="J2939" s="4">
        <v>1099170</v>
      </c>
    </row>
    <row r="2940" spans="1:11" hidden="1" outlineLevel="2" x14ac:dyDescent="0.35">
      <c r="A2940" t="s">
        <v>131</v>
      </c>
      <c r="B2940" s="1">
        <v>45747</v>
      </c>
      <c r="C2940" t="s">
        <v>5869</v>
      </c>
      <c r="D2940" t="s">
        <v>5869</v>
      </c>
      <c r="F2940" t="str">
        <f t="shared" si="104"/>
        <v>41112000</v>
      </c>
      <c r="G2940" t="str">
        <f t="shared" si="103"/>
        <v>41111929</v>
      </c>
      <c r="H2940" t="s">
        <v>5508</v>
      </c>
      <c r="I2940" s="1">
        <v>45777</v>
      </c>
      <c r="J2940" s="4">
        <v>1099170</v>
      </c>
    </row>
    <row r="2941" spans="1:11" hidden="1" outlineLevel="2" x14ac:dyDescent="0.35">
      <c r="A2941" t="s">
        <v>131</v>
      </c>
      <c r="B2941" s="1">
        <v>45747</v>
      </c>
      <c r="C2941" t="s">
        <v>5870</v>
      </c>
      <c r="D2941" t="s">
        <v>5870</v>
      </c>
      <c r="F2941" t="str">
        <f t="shared" si="104"/>
        <v>41112000</v>
      </c>
      <c r="G2941" t="str">
        <f>"41111160"</f>
        <v>41111160</v>
      </c>
      <c r="H2941" t="s">
        <v>5585</v>
      </c>
      <c r="I2941" s="1">
        <v>45762</v>
      </c>
      <c r="J2941" s="4">
        <v>173319925</v>
      </c>
    </row>
    <row r="2942" spans="1:11" hidden="1" outlineLevel="2" x14ac:dyDescent="0.35">
      <c r="A2942" t="s">
        <v>131</v>
      </c>
      <c r="B2942" s="1">
        <v>45747</v>
      </c>
      <c r="C2942" t="s">
        <v>5871</v>
      </c>
      <c r="D2942" t="s">
        <v>5871</v>
      </c>
      <c r="F2942" t="str">
        <f t="shared" si="104"/>
        <v>41112000</v>
      </c>
      <c r="G2942" t="str">
        <f>"41111160"</f>
        <v>41111160</v>
      </c>
      <c r="H2942" t="s">
        <v>5585</v>
      </c>
      <c r="I2942" s="1">
        <v>45762</v>
      </c>
      <c r="J2942" s="4">
        <v>7516600</v>
      </c>
    </row>
    <row r="2943" spans="1:11" hidden="1" outlineLevel="2" x14ac:dyDescent="0.35">
      <c r="A2943" t="s">
        <v>131</v>
      </c>
      <c r="B2943" s="1">
        <v>45747</v>
      </c>
      <c r="C2943" t="s">
        <v>5872</v>
      </c>
      <c r="D2943" t="s">
        <v>5872</v>
      </c>
      <c r="F2943" t="str">
        <f t="shared" si="104"/>
        <v>41112000</v>
      </c>
      <c r="G2943" t="str">
        <f>"41111181"</f>
        <v>41111181</v>
      </c>
      <c r="H2943" t="s">
        <v>5686</v>
      </c>
      <c r="I2943" s="1">
        <v>45777</v>
      </c>
      <c r="J2943" s="4">
        <v>68023696</v>
      </c>
    </row>
    <row r="2944" spans="1:11" outlineLevel="1" collapsed="1" x14ac:dyDescent="0.35">
      <c r="B2944" s="1"/>
      <c r="F2944" s="3" t="s">
        <v>6534</v>
      </c>
      <c r="I2944" s="1"/>
      <c r="J2944" s="4">
        <f>SUBTOTAL(9,J2746:J2943)</f>
        <v>699700096</v>
      </c>
      <c r="K2944" s="4">
        <f>SUBTOTAL(9,K2746:K2943)</f>
        <v>731616894</v>
      </c>
    </row>
    <row r="2945" spans="1:11" hidden="1" outlineLevel="2" x14ac:dyDescent="0.35">
      <c r="A2945" t="s">
        <v>101</v>
      </c>
      <c r="B2945" s="1">
        <v>45747</v>
      </c>
      <c r="C2945" t="str">
        <f>"62"</f>
        <v>62</v>
      </c>
      <c r="F2945" t="str">
        <f>"41410000"</f>
        <v>41410000</v>
      </c>
      <c r="G2945" t="str">
        <f>"40110397"</f>
        <v>40110397</v>
      </c>
      <c r="H2945" t="s">
        <v>2882</v>
      </c>
      <c r="K2945" s="4">
        <v>34750000</v>
      </c>
    </row>
    <row r="2946" spans="1:11" outlineLevel="1" collapsed="1" x14ac:dyDescent="0.35">
      <c r="B2946" s="1"/>
      <c r="F2946" s="3" t="s">
        <v>6535</v>
      </c>
      <c r="J2946" s="4">
        <f>SUBTOTAL(9,J2945:J2945)</f>
        <v>0</v>
      </c>
      <c r="K2946" s="4">
        <f>SUBTOTAL(9,K2945:K2945)</f>
        <v>34750000</v>
      </c>
    </row>
    <row r="2947" spans="1:11" hidden="1" outlineLevel="2" x14ac:dyDescent="0.35">
      <c r="A2947" t="s">
        <v>101</v>
      </c>
      <c r="B2947" s="1">
        <v>45736</v>
      </c>
      <c r="C2947" t="str">
        <f>"21"</f>
        <v>21</v>
      </c>
      <c r="F2947" t="str">
        <f>"41620000"</f>
        <v>41620000</v>
      </c>
      <c r="G2947" t="str">
        <f>"41111710"</f>
        <v>41111710</v>
      </c>
      <c r="H2947" t="s">
        <v>2815</v>
      </c>
      <c r="I2947" s="1">
        <v>45736</v>
      </c>
      <c r="K2947" s="4">
        <v>6046000</v>
      </c>
    </row>
    <row r="2948" spans="1:11" hidden="1" outlineLevel="2" x14ac:dyDescent="0.35">
      <c r="A2948" t="s">
        <v>101</v>
      </c>
      <c r="B2948" s="1">
        <v>45740</v>
      </c>
      <c r="C2948" t="str">
        <f>"24"</f>
        <v>24</v>
      </c>
      <c r="F2948" t="str">
        <f>"41620000"</f>
        <v>41620000</v>
      </c>
      <c r="G2948" t="str">
        <f>"41111595"</f>
        <v>41111595</v>
      </c>
      <c r="H2948" t="s">
        <v>2819</v>
      </c>
      <c r="I2948" s="1">
        <v>45740</v>
      </c>
      <c r="J2948" s="4">
        <v>514844</v>
      </c>
    </row>
    <row r="2949" spans="1:11" hidden="1" outlineLevel="2" x14ac:dyDescent="0.35">
      <c r="A2949" t="s">
        <v>101</v>
      </c>
      <c r="B2949" s="1">
        <v>45747</v>
      </c>
      <c r="C2949" t="str">
        <f>"24"</f>
        <v>24</v>
      </c>
      <c r="F2949" t="str">
        <f>"41620000"</f>
        <v>41620000</v>
      </c>
      <c r="G2949" t="str">
        <f>"41111710"</f>
        <v>41111710</v>
      </c>
      <c r="H2949" t="s">
        <v>2866</v>
      </c>
      <c r="I2949" s="1">
        <v>45747</v>
      </c>
      <c r="J2949" s="4">
        <v>5692000</v>
      </c>
    </row>
    <row r="2950" spans="1:11" outlineLevel="1" collapsed="1" x14ac:dyDescent="0.35">
      <c r="B2950" s="1"/>
      <c r="F2950" s="3" t="s">
        <v>6536</v>
      </c>
      <c r="I2950" s="1"/>
      <c r="J2950" s="4">
        <f>SUBTOTAL(9,J2947:J2949)</f>
        <v>6206844</v>
      </c>
      <c r="K2950" s="4">
        <f>SUBTOTAL(9,K2947:K2949)</f>
        <v>6046000</v>
      </c>
    </row>
    <row r="2951" spans="1:11" hidden="1" outlineLevel="2" x14ac:dyDescent="0.35">
      <c r="A2951" t="s">
        <v>101</v>
      </c>
      <c r="B2951" s="1">
        <v>45717</v>
      </c>
      <c r="C2951" t="str">
        <f>"66"</f>
        <v>66</v>
      </c>
      <c r="F2951" t="str">
        <f>"41810000"</f>
        <v>41810000</v>
      </c>
      <c r="G2951" t="s">
        <v>2753</v>
      </c>
      <c r="H2951" t="s">
        <v>106</v>
      </c>
      <c r="I2951" s="1">
        <v>45716</v>
      </c>
      <c r="J2951" s="4">
        <v>99048180</v>
      </c>
    </row>
    <row r="2952" spans="1:11" hidden="1" outlineLevel="2" x14ac:dyDescent="0.35">
      <c r="A2952" t="s">
        <v>101</v>
      </c>
      <c r="B2952" s="1">
        <v>45747</v>
      </c>
      <c r="C2952" t="str">
        <f>"67"</f>
        <v>67</v>
      </c>
      <c r="F2952" t="str">
        <f>"41810000"</f>
        <v>41810000</v>
      </c>
      <c r="G2952" t="s">
        <v>2753</v>
      </c>
      <c r="H2952" t="s">
        <v>2901</v>
      </c>
      <c r="I2952" s="1">
        <v>45747</v>
      </c>
      <c r="J2952" s="4">
        <v>15166546</v>
      </c>
    </row>
    <row r="2953" spans="1:11" outlineLevel="1" collapsed="1" x14ac:dyDescent="0.35">
      <c r="B2953" s="1"/>
      <c r="F2953" s="3" t="s">
        <v>6537</v>
      </c>
      <c r="I2953" s="1"/>
      <c r="J2953" s="4">
        <f>SUBTOTAL(9,J2951:J2952)</f>
        <v>114214726</v>
      </c>
      <c r="K2953" s="4">
        <f>SUBTOTAL(9,K2951:K2952)</f>
        <v>0</v>
      </c>
    </row>
    <row r="2954" spans="1:11" hidden="1" outlineLevel="2" x14ac:dyDescent="0.35">
      <c r="A2954" t="s">
        <v>1911</v>
      </c>
      <c r="B2954" s="1">
        <v>45719</v>
      </c>
      <c r="C2954" t="str">
        <f>"176"</f>
        <v>176</v>
      </c>
      <c r="F2954" t="str">
        <f t="shared" ref="F2954:F2960" si="105">"42110000"</f>
        <v>42110000</v>
      </c>
      <c r="H2954" t="s">
        <v>1914</v>
      </c>
      <c r="J2954" s="4">
        <v>584721</v>
      </c>
    </row>
    <row r="2955" spans="1:11" hidden="1" outlineLevel="2" x14ac:dyDescent="0.35">
      <c r="A2955" t="s">
        <v>1911</v>
      </c>
      <c r="B2955" s="1">
        <v>45730</v>
      </c>
      <c r="C2955" t="str">
        <f>"177"</f>
        <v>177</v>
      </c>
      <c r="F2955" t="str">
        <f t="shared" si="105"/>
        <v>42110000</v>
      </c>
      <c r="H2955" t="s">
        <v>1931</v>
      </c>
      <c r="J2955" s="4">
        <v>393561</v>
      </c>
    </row>
    <row r="2956" spans="1:11" hidden="1" outlineLevel="2" x14ac:dyDescent="0.35">
      <c r="A2956" t="s">
        <v>2337</v>
      </c>
      <c r="B2956" s="1">
        <v>45729</v>
      </c>
      <c r="C2956" t="str">
        <f>"751"</f>
        <v>751</v>
      </c>
      <c r="E2956" t="str">
        <f>"17370"</f>
        <v>17370</v>
      </c>
      <c r="F2956" t="str">
        <f t="shared" si="105"/>
        <v>42110000</v>
      </c>
      <c r="G2956" t="str">
        <f>"00006"</f>
        <v>00006</v>
      </c>
      <c r="H2956" t="s">
        <v>2490</v>
      </c>
      <c r="J2956" s="4">
        <v>150000</v>
      </c>
    </row>
    <row r="2957" spans="1:11" hidden="1" outlineLevel="2" x14ac:dyDescent="0.35">
      <c r="A2957" t="s">
        <v>2337</v>
      </c>
      <c r="B2957" s="1">
        <v>45737</v>
      </c>
      <c r="C2957" t="str">
        <f>"832"</f>
        <v>832</v>
      </c>
      <c r="E2957" t="str">
        <f>"17488"</f>
        <v>17488</v>
      </c>
      <c r="F2957" t="str">
        <f t="shared" si="105"/>
        <v>42110000</v>
      </c>
      <c r="G2957" t="str">
        <f>"01424"</f>
        <v>01424</v>
      </c>
      <c r="H2957" t="s">
        <v>2587</v>
      </c>
      <c r="J2957" s="4">
        <v>50000</v>
      </c>
    </row>
    <row r="2958" spans="1:11" hidden="1" outlineLevel="2" x14ac:dyDescent="0.35">
      <c r="A2958" t="s">
        <v>2964</v>
      </c>
      <c r="B2958" s="1">
        <v>45747</v>
      </c>
      <c r="C2958" t="s">
        <v>2965</v>
      </c>
      <c r="D2958" t="s">
        <v>2966</v>
      </c>
      <c r="F2958" t="str">
        <f t="shared" si="105"/>
        <v>42110000</v>
      </c>
      <c r="H2958" t="s">
        <v>2967</v>
      </c>
      <c r="K2958" s="4">
        <v>788084</v>
      </c>
    </row>
    <row r="2959" spans="1:11" hidden="1" outlineLevel="2" x14ac:dyDescent="0.35">
      <c r="A2959" t="s">
        <v>3056</v>
      </c>
      <c r="B2959" s="1">
        <v>45730</v>
      </c>
      <c r="C2959" t="str">
        <f>"170"</f>
        <v>170</v>
      </c>
      <c r="F2959" t="str">
        <f t="shared" si="105"/>
        <v>42110000</v>
      </c>
      <c r="H2959" t="s">
        <v>3085</v>
      </c>
      <c r="J2959" s="4">
        <v>100000</v>
      </c>
    </row>
    <row r="2960" spans="1:11" hidden="1" outlineLevel="2" x14ac:dyDescent="0.35">
      <c r="A2960" t="s">
        <v>3056</v>
      </c>
      <c r="B2960" s="1">
        <v>45740</v>
      </c>
      <c r="C2960" t="str">
        <f>"196"</f>
        <v>196</v>
      </c>
      <c r="F2960" t="str">
        <f t="shared" si="105"/>
        <v>42110000</v>
      </c>
      <c r="H2960" t="s">
        <v>3103</v>
      </c>
      <c r="J2960" s="4">
        <v>150000</v>
      </c>
    </row>
    <row r="2961" spans="1:11" outlineLevel="1" collapsed="1" x14ac:dyDescent="0.35">
      <c r="B2961" s="1"/>
      <c r="F2961" s="3" t="s">
        <v>6538</v>
      </c>
      <c r="J2961" s="4">
        <f>SUBTOTAL(9,J2954:J2960)</f>
        <v>1428282</v>
      </c>
      <c r="K2961" s="4">
        <f>SUBTOTAL(9,K2954:K2960)</f>
        <v>788084</v>
      </c>
    </row>
    <row r="2962" spans="1:11" hidden="1" outlineLevel="2" x14ac:dyDescent="0.35">
      <c r="A2962" t="s">
        <v>2964</v>
      </c>
      <c r="B2962" s="1">
        <v>45747</v>
      </c>
      <c r="C2962" t="s">
        <v>2965</v>
      </c>
      <c r="D2962" t="s">
        <v>2966</v>
      </c>
      <c r="F2962" t="str">
        <f>"42110100"</f>
        <v>42110100</v>
      </c>
      <c r="H2962" t="s">
        <v>2968</v>
      </c>
      <c r="K2962" s="4">
        <v>5104000</v>
      </c>
    </row>
    <row r="2963" spans="1:11" outlineLevel="1" collapsed="1" x14ac:dyDescent="0.35">
      <c r="B2963" s="1"/>
      <c r="F2963" s="3" t="s">
        <v>6539</v>
      </c>
      <c r="J2963" s="4">
        <f>SUBTOTAL(9,J2962:J2962)</f>
        <v>0</v>
      </c>
      <c r="K2963" s="4">
        <f>SUBTOTAL(9,K2962:K2962)</f>
        <v>5104000</v>
      </c>
    </row>
    <row r="2964" spans="1:11" hidden="1" outlineLevel="2" x14ac:dyDescent="0.35">
      <c r="A2964" t="s">
        <v>26</v>
      </c>
      <c r="B2964" s="1">
        <v>45719</v>
      </c>
      <c r="C2964" t="str">
        <f>"15"</f>
        <v>15</v>
      </c>
      <c r="D2964" t="s">
        <v>1446</v>
      </c>
      <c r="E2964" t="str">
        <f>"1469"</f>
        <v>1469</v>
      </c>
      <c r="F2964" t="str">
        <f>"42110200"</f>
        <v>42110200</v>
      </c>
      <c r="H2964" t="s">
        <v>1448</v>
      </c>
      <c r="I2964" s="1">
        <v>45719</v>
      </c>
      <c r="J2964" s="4">
        <v>1165000</v>
      </c>
    </row>
    <row r="2965" spans="1:11" hidden="1" outlineLevel="2" x14ac:dyDescent="0.35">
      <c r="A2965" t="s">
        <v>101</v>
      </c>
      <c r="B2965" s="1">
        <v>45717</v>
      </c>
      <c r="C2965" t="str">
        <f>"3"</f>
        <v>3</v>
      </c>
      <c r="F2965" t="str">
        <f>"42110200"</f>
        <v>42110200</v>
      </c>
      <c r="H2965" t="s">
        <v>2744</v>
      </c>
      <c r="I2965" s="1">
        <v>45716</v>
      </c>
      <c r="J2965" s="4">
        <v>-1165000</v>
      </c>
    </row>
    <row r="2966" spans="1:11" hidden="1" outlineLevel="2" x14ac:dyDescent="0.35">
      <c r="A2966" t="s">
        <v>101</v>
      </c>
      <c r="B2966" s="1">
        <v>45747</v>
      </c>
      <c r="C2966" t="str">
        <f>"60"</f>
        <v>60</v>
      </c>
      <c r="F2966" t="str">
        <f>"42110200"</f>
        <v>42110200</v>
      </c>
      <c r="H2966" t="s">
        <v>2880</v>
      </c>
      <c r="I2966" s="1">
        <v>45747</v>
      </c>
      <c r="J2966" s="4">
        <v>990000</v>
      </c>
    </row>
    <row r="2967" spans="1:11" hidden="1" outlineLevel="2" x14ac:dyDescent="0.35">
      <c r="A2967" t="s">
        <v>2964</v>
      </c>
      <c r="B2967" s="1">
        <v>45747</v>
      </c>
      <c r="C2967" t="s">
        <v>2965</v>
      </c>
      <c r="D2967" t="s">
        <v>2966</v>
      </c>
      <c r="F2967" t="str">
        <f>"42110200"</f>
        <v>42110200</v>
      </c>
      <c r="H2967" t="s">
        <v>2969</v>
      </c>
      <c r="K2967" s="4">
        <v>990000</v>
      </c>
    </row>
    <row r="2968" spans="1:11" outlineLevel="1" collapsed="1" x14ac:dyDescent="0.35">
      <c r="B2968" s="1"/>
      <c r="F2968" s="3" t="s">
        <v>6540</v>
      </c>
      <c r="J2968" s="4">
        <f>SUBTOTAL(9,J2964:J2967)</f>
        <v>990000</v>
      </c>
      <c r="K2968" s="4">
        <f>SUBTOTAL(9,K2964:K2967)</f>
        <v>990000</v>
      </c>
    </row>
    <row r="2969" spans="1:11" hidden="1" outlineLevel="2" x14ac:dyDescent="0.35">
      <c r="A2969" t="s">
        <v>11</v>
      </c>
      <c r="B2969" s="1">
        <v>45717</v>
      </c>
      <c r="C2969" t="str">
        <f>"203"</f>
        <v>203</v>
      </c>
      <c r="E2969" t="s">
        <v>1181</v>
      </c>
      <c r="F2969" t="str">
        <f>"42110301"</f>
        <v>42110301</v>
      </c>
      <c r="H2969" t="s">
        <v>1182</v>
      </c>
      <c r="J2969" s="4">
        <v>63343</v>
      </c>
    </row>
    <row r="2970" spans="1:11" outlineLevel="1" collapsed="1" x14ac:dyDescent="0.35">
      <c r="B2970" s="1"/>
      <c r="F2970" s="3" t="s">
        <v>6541</v>
      </c>
      <c r="J2970" s="4">
        <f>SUBTOTAL(9,J2969:J2969)</f>
        <v>63343</v>
      </c>
      <c r="K2970" s="4">
        <f>SUBTOTAL(9,K2969:K2969)</f>
        <v>0</v>
      </c>
    </row>
    <row r="2971" spans="1:11" hidden="1" outlineLevel="2" x14ac:dyDescent="0.35">
      <c r="A2971" t="s">
        <v>101</v>
      </c>
      <c r="B2971" s="1">
        <v>45747</v>
      </c>
      <c r="C2971" t="str">
        <f>"58"</f>
        <v>58</v>
      </c>
      <c r="F2971" t="str">
        <f>"42120000"</f>
        <v>42120000</v>
      </c>
      <c r="G2971" t="str">
        <f>"1448"</f>
        <v>1448</v>
      </c>
      <c r="H2971" t="s">
        <v>2878</v>
      </c>
      <c r="I2971" s="1">
        <v>45747</v>
      </c>
      <c r="J2971" s="4">
        <v>754240</v>
      </c>
    </row>
    <row r="2972" spans="1:11" hidden="1" outlineLevel="2" x14ac:dyDescent="0.35">
      <c r="A2972" t="s">
        <v>2964</v>
      </c>
      <c r="B2972" s="1">
        <v>45747</v>
      </c>
      <c r="C2972" t="s">
        <v>2965</v>
      </c>
      <c r="D2972" t="s">
        <v>2966</v>
      </c>
      <c r="F2972" t="str">
        <f>"42120000"</f>
        <v>42120000</v>
      </c>
      <c r="H2972" t="s">
        <v>2970</v>
      </c>
      <c r="J2972" s="4">
        <v>349527</v>
      </c>
    </row>
    <row r="2973" spans="1:11" outlineLevel="1" collapsed="1" x14ac:dyDescent="0.35">
      <c r="B2973" s="1"/>
      <c r="F2973" s="3" t="s">
        <v>6542</v>
      </c>
      <c r="J2973" s="4">
        <f>SUBTOTAL(9,J2971:J2972)</f>
        <v>1103767</v>
      </c>
      <c r="K2973" s="4">
        <f>SUBTOTAL(9,K2971:K2972)</f>
        <v>0</v>
      </c>
    </row>
    <row r="2974" spans="1:11" hidden="1" outlineLevel="2" x14ac:dyDescent="0.35">
      <c r="A2974" t="s">
        <v>2337</v>
      </c>
      <c r="B2974" s="1">
        <v>45726</v>
      </c>
      <c r="C2974" t="str">
        <f>"704"</f>
        <v>704</v>
      </c>
      <c r="E2974" t="str">
        <f>"17323"</f>
        <v>17323</v>
      </c>
      <c r="F2974" t="str">
        <f>"42130000"</f>
        <v>42130000</v>
      </c>
      <c r="G2974" t="str">
        <f>"00001"</f>
        <v>00001</v>
      </c>
      <c r="H2974" t="s">
        <v>2422</v>
      </c>
      <c r="J2974" s="4">
        <v>-260000</v>
      </c>
    </row>
    <row r="2975" spans="1:11" hidden="1" outlineLevel="2" x14ac:dyDescent="0.35">
      <c r="A2975" t="s">
        <v>2337</v>
      </c>
      <c r="B2975" s="1">
        <v>45744</v>
      </c>
      <c r="C2975" t="str">
        <f>"885"</f>
        <v>885</v>
      </c>
      <c r="E2975" t="str">
        <f>"15891"</f>
        <v>15891</v>
      </c>
      <c r="F2975" t="str">
        <f>"42130000"</f>
        <v>42130000</v>
      </c>
      <c r="G2975" t="str">
        <f>"00004"</f>
        <v>00004</v>
      </c>
      <c r="H2975" t="s">
        <v>2655</v>
      </c>
      <c r="J2975" s="4">
        <v>300000</v>
      </c>
    </row>
    <row r="2976" spans="1:11" outlineLevel="1" collapsed="1" x14ac:dyDescent="0.35">
      <c r="B2976" s="1"/>
      <c r="F2976" s="3" t="s">
        <v>6543</v>
      </c>
      <c r="J2976" s="4">
        <f>SUBTOTAL(9,J2974:J2975)</f>
        <v>40000</v>
      </c>
      <c r="K2976" s="4">
        <f>SUBTOTAL(9,K2974:K2975)</f>
        <v>0</v>
      </c>
    </row>
    <row r="2977" spans="1:10" hidden="1" outlineLevel="2" x14ac:dyDescent="0.35">
      <c r="A2977" t="s">
        <v>1790</v>
      </c>
      <c r="B2977" s="1">
        <v>45742</v>
      </c>
      <c r="C2977" t="str">
        <f>"192"</f>
        <v>192</v>
      </c>
      <c r="F2977" t="str">
        <f t="shared" ref="F2977:F3013" si="106">"42200000"</f>
        <v>42200000</v>
      </c>
      <c r="H2977" t="s">
        <v>1829</v>
      </c>
      <c r="J2977" s="4">
        <v>17706172</v>
      </c>
    </row>
    <row r="2978" spans="1:10" hidden="1" outlineLevel="2" x14ac:dyDescent="0.35">
      <c r="A2978" t="s">
        <v>1790</v>
      </c>
      <c r="B2978" s="1">
        <v>45744</v>
      </c>
      <c r="C2978" t="str">
        <f>"193"</f>
        <v>193</v>
      </c>
      <c r="F2978" t="str">
        <f t="shared" si="106"/>
        <v>42200000</v>
      </c>
      <c r="H2978" t="s">
        <v>1829</v>
      </c>
      <c r="J2978" s="4">
        <v>171999</v>
      </c>
    </row>
    <row r="2979" spans="1:10" hidden="1" outlineLevel="2" x14ac:dyDescent="0.35">
      <c r="A2979" t="s">
        <v>1911</v>
      </c>
      <c r="B2979" s="1">
        <v>45742</v>
      </c>
      <c r="C2979" t="str">
        <f>"206"</f>
        <v>206</v>
      </c>
      <c r="F2979" t="str">
        <f t="shared" si="106"/>
        <v>42200000</v>
      </c>
      <c r="H2979" t="s">
        <v>1946</v>
      </c>
      <c r="J2979" s="4">
        <v>208246</v>
      </c>
    </row>
    <row r="2980" spans="1:10" hidden="1" outlineLevel="2" x14ac:dyDescent="0.35">
      <c r="A2980" t="s">
        <v>1911</v>
      </c>
      <c r="B2980" s="1">
        <v>45742</v>
      </c>
      <c r="C2980" t="str">
        <f>"207"</f>
        <v>207</v>
      </c>
      <c r="F2980" t="str">
        <f t="shared" si="106"/>
        <v>42200000</v>
      </c>
      <c r="H2980" t="s">
        <v>1947</v>
      </c>
      <c r="J2980" s="4">
        <v>238458</v>
      </c>
    </row>
    <row r="2981" spans="1:10" hidden="1" outlineLevel="2" x14ac:dyDescent="0.35">
      <c r="A2981" t="s">
        <v>1911</v>
      </c>
      <c r="B2981" s="1">
        <v>45742</v>
      </c>
      <c r="C2981" t="str">
        <f>"208"</f>
        <v>208</v>
      </c>
      <c r="F2981" t="str">
        <f t="shared" si="106"/>
        <v>42200000</v>
      </c>
      <c r="H2981" t="s">
        <v>1949</v>
      </c>
      <c r="J2981" s="4">
        <v>210488</v>
      </c>
    </row>
    <row r="2982" spans="1:10" hidden="1" outlineLevel="2" x14ac:dyDescent="0.35">
      <c r="A2982" t="s">
        <v>1911</v>
      </c>
      <c r="B2982" s="1">
        <v>45742</v>
      </c>
      <c r="C2982" t="str">
        <f>"209"</f>
        <v>209</v>
      </c>
      <c r="F2982" t="str">
        <f t="shared" si="106"/>
        <v>42200000</v>
      </c>
      <c r="H2982" t="s">
        <v>1950</v>
      </c>
      <c r="J2982" s="4">
        <v>177302</v>
      </c>
    </row>
    <row r="2983" spans="1:10" hidden="1" outlineLevel="2" x14ac:dyDescent="0.35">
      <c r="A2983" t="s">
        <v>1911</v>
      </c>
      <c r="B2983" s="1">
        <v>45742</v>
      </c>
      <c r="C2983" t="str">
        <f>"210"</f>
        <v>210</v>
      </c>
      <c r="F2983" t="str">
        <f t="shared" si="106"/>
        <v>42200000</v>
      </c>
      <c r="H2983" t="s">
        <v>1951</v>
      </c>
      <c r="J2983" s="4">
        <v>201863</v>
      </c>
    </row>
    <row r="2984" spans="1:10" hidden="1" outlineLevel="2" x14ac:dyDescent="0.35">
      <c r="A2984" t="s">
        <v>1911</v>
      </c>
      <c r="B2984" s="1">
        <v>45742</v>
      </c>
      <c r="C2984" t="str">
        <f>"211"</f>
        <v>211</v>
      </c>
      <c r="F2984" t="str">
        <f t="shared" si="106"/>
        <v>42200000</v>
      </c>
      <c r="H2984" t="s">
        <v>1952</v>
      </c>
      <c r="J2984" s="4">
        <v>174405</v>
      </c>
    </row>
    <row r="2985" spans="1:10" hidden="1" outlineLevel="2" x14ac:dyDescent="0.35">
      <c r="A2985" t="s">
        <v>1911</v>
      </c>
      <c r="B2985" s="1">
        <v>45742</v>
      </c>
      <c r="C2985" t="str">
        <f>"212"</f>
        <v>212</v>
      </c>
      <c r="F2985" t="str">
        <f t="shared" si="106"/>
        <v>42200000</v>
      </c>
      <c r="H2985" t="s">
        <v>1953</v>
      </c>
      <c r="J2985" s="4">
        <v>181045</v>
      </c>
    </row>
    <row r="2986" spans="1:10" hidden="1" outlineLevel="2" x14ac:dyDescent="0.35">
      <c r="A2986" t="s">
        <v>1911</v>
      </c>
      <c r="B2986" s="1">
        <v>45742</v>
      </c>
      <c r="C2986" t="str">
        <f>"213"</f>
        <v>213</v>
      </c>
      <c r="F2986" t="str">
        <f t="shared" si="106"/>
        <v>42200000</v>
      </c>
      <c r="H2986" t="s">
        <v>1954</v>
      </c>
      <c r="J2986" s="4">
        <v>177151</v>
      </c>
    </row>
    <row r="2987" spans="1:10" hidden="1" outlineLevel="2" x14ac:dyDescent="0.35">
      <c r="A2987" t="s">
        <v>1911</v>
      </c>
      <c r="B2987" s="1">
        <v>45742</v>
      </c>
      <c r="C2987" t="str">
        <f>"214"</f>
        <v>214</v>
      </c>
      <c r="F2987" t="str">
        <f t="shared" si="106"/>
        <v>42200000</v>
      </c>
      <c r="H2987" t="s">
        <v>1955</v>
      </c>
      <c r="J2987" s="4">
        <v>177001</v>
      </c>
    </row>
    <row r="2988" spans="1:10" hidden="1" outlineLevel="2" x14ac:dyDescent="0.35">
      <c r="A2988" t="s">
        <v>1911</v>
      </c>
      <c r="B2988" s="1">
        <v>45742</v>
      </c>
      <c r="C2988" t="str">
        <f>"215"</f>
        <v>215</v>
      </c>
      <c r="F2988" t="str">
        <f t="shared" si="106"/>
        <v>42200000</v>
      </c>
      <c r="H2988" t="s">
        <v>1956</v>
      </c>
      <c r="J2988" s="4">
        <v>174405</v>
      </c>
    </row>
    <row r="2989" spans="1:10" hidden="1" outlineLevel="2" x14ac:dyDescent="0.35">
      <c r="A2989" t="s">
        <v>1911</v>
      </c>
      <c r="B2989" s="1">
        <v>45742</v>
      </c>
      <c r="C2989" t="str">
        <f>"216"</f>
        <v>216</v>
      </c>
      <c r="F2989" t="str">
        <f t="shared" si="106"/>
        <v>42200000</v>
      </c>
      <c r="H2989" t="s">
        <v>1957</v>
      </c>
      <c r="J2989" s="4">
        <v>163592</v>
      </c>
    </row>
    <row r="2990" spans="1:10" hidden="1" outlineLevel="2" x14ac:dyDescent="0.35">
      <c r="A2990" t="s">
        <v>1911</v>
      </c>
      <c r="B2990" s="1">
        <v>45742</v>
      </c>
      <c r="C2990" t="str">
        <f>"217"</f>
        <v>217</v>
      </c>
      <c r="F2990" t="str">
        <f t="shared" si="106"/>
        <v>42200000</v>
      </c>
      <c r="H2990" t="s">
        <v>1958</v>
      </c>
      <c r="J2990" s="4">
        <v>150615</v>
      </c>
    </row>
    <row r="2991" spans="1:10" hidden="1" outlineLevel="2" x14ac:dyDescent="0.35">
      <c r="A2991" t="s">
        <v>1911</v>
      </c>
      <c r="B2991" s="1">
        <v>45742</v>
      </c>
      <c r="C2991" t="str">
        <f>"218"</f>
        <v>218</v>
      </c>
      <c r="F2991" t="str">
        <f t="shared" si="106"/>
        <v>42200000</v>
      </c>
      <c r="H2991" t="s">
        <v>1959</v>
      </c>
      <c r="J2991" s="4">
        <v>113040</v>
      </c>
    </row>
    <row r="2992" spans="1:10" hidden="1" outlineLevel="2" x14ac:dyDescent="0.35">
      <c r="A2992" t="s">
        <v>1911</v>
      </c>
      <c r="B2992" s="1">
        <v>45742</v>
      </c>
      <c r="C2992" t="str">
        <f>"219"</f>
        <v>219</v>
      </c>
      <c r="F2992" t="str">
        <f t="shared" si="106"/>
        <v>42200000</v>
      </c>
      <c r="H2992" t="s">
        <v>1960</v>
      </c>
      <c r="J2992" s="4">
        <v>113040</v>
      </c>
    </row>
    <row r="2993" spans="1:10" hidden="1" outlineLevel="2" x14ac:dyDescent="0.35">
      <c r="A2993" t="s">
        <v>1911</v>
      </c>
      <c r="B2993" s="1">
        <v>45742</v>
      </c>
      <c r="C2993" t="str">
        <f>"220"</f>
        <v>220</v>
      </c>
      <c r="F2993" t="str">
        <f t="shared" si="106"/>
        <v>42200000</v>
      </c>
      <c r="H2993" t="s">
        <v>1961</v>
      </c>
      <c r="J2993" s="4">
        <v>113040</v>
      </c>
    </row>
    <row r="2994" spans="1:10" hidden="1" outlineLevel="2" x14ac:dyDescent="0.35">
      <c r="A2994" t="s">
        <v>1911</v>
      </c>
      <c r="B2994" s="1">
        <v>45742</v>
      </c>
      <c r="C2994" t="str">
        <f>"221"</f>
        <v>221</v>
      </c>
      <c r="F2994" t="str">
        <f t="shared" si="106"/>
        <v>42200000</v>
      </c>
      <c r="H2994" t="s">
        <v>1962</v>
      </c>
      <c r="J2994" s="4">
        <v>113040</v>
      </c>
    </row>
    <row r="2995" spans="1:10" hidden="1" outlineLevel="2" x14ac:dyDescent="0.35">
      <c r="A2995" t="s">
        <v>1911</v>
      </c>
      <c r="B2995" s="1">
        <v>45742</v>
      </c>
      <c r="C2995" t="str">
        <f>"222"</f>
        <v>222</v>
      </c>
      <c r="F2995" t="str">
        <f t="shared" si="106"/>
        <v>42200000</v>
      </c>
      <c r="H2995" t="s">
        <v>1963</v>
      </c>
      <c r="J2995" s="4">
        <v>113040</v>
      </c>
    </row>
    <row r="2996" spans="1:10" hidden="1" outlineLevel="2" x14ac:dyDescent="0.35">
      <c r="A2996" t="s">
        <v>1911</v>
      </c>
      <c r="B2996" s="1">
        <v>45742</v>
      </c>
      <c r="C2996" t="str">
        <f>"223"</f>
        <v>223</v>
      </c>
      <c r="F2996" t="str">
        <f t="shared" si="106"/>
        <v>42200000</v>
      </c>
      <c r="H2996" t="s">
        <v>1964</v>
      </c>
      <c r="J2996" s="4">
        <v>113040</v>
      </c>
    </row>
    <row r="2997" spans="1:10" hidden="1" outlineLevel="2" x14ac:dyDescent="0.35">
      <c r="A2997" t="s">
        <v>1911</v>
      </c>
      <c r="B2997" s="1">
        <v>45742</v>
      </c>
      <c r="C2997" t="str">
        <f>"224"</f>
        <v>224</v>
      </c>
      <c r="F2997" t="str">
        <f t="shared" si="106"/>
        <v>42200000</v>
      </c>
      <c r="H2997" t="s">
        <v>1965</v>
      </c>
      <c r="J2997" s="4">
        <v>113040</v>
      </c>
    </row>
    <row r="2998" spans="1:10" hidden="1" outlineLevel="2" x14ac:dyDescent="0.35">
      <c r="A2998" t="s">
        <v>1911</v>
      </c>
      <c r="B2998" s="1">
        <v>45742</v>
      </c>
      <c r="C2998" t="str">
        <f>"225"</f>
        <v>225</v>
      </c>
      <c r="F2998" t="str">
        <f t="shared" si="106"/>
        <v>42200000</v>
      </c>
      <c r="H2998" t="s">
        <v>1966</v>
      </c>
      <c r="J2998" s="4">
        <v>113040</v>
      </c>
    </row>
    <row r="2999" spans="1:10" hidden="1" outlineLevel="2" x14ac:dyDescent="0.35">
      <c r="A2999" t="s">
        <v>1911</v>
      </c>
      <c r="B2999" s="1">
        <v>45742</v>
      </c>
      <c r="C2999" t="str">
        <f>"226"</f>
        <v>226</v>
      </c>
      <c r="F2999" t="str">
        <f t="shared" si="106"/>
        <v>42200000</v>
      </c>
      <c r="H2999" t="s">
        <v>1967</v>
      </c>
      <c r="J2999" s="4">
        <v>113040</v>
      </c>
    </row>
    <row r="3000" spans="1:10" hidden="1" outlineLevel="2" x14ac:dyDescent="0.35">
      <c r="A3000" t="s">
        <v>1911</v>
      </c>
      <c r="B3000" s="1">
        <v>45742</v>
      </c>
      <c r="C3000" t="str">
        <f>"227"</f>
        <v>227</v>
      </c>
      <c r="F3000" t="str">
        <f t="shared" si="106"/>
        <v>42200000</v>
      </c>
      <c r="H3000" t="s">
        <v>1968</v>
      </c>
      <c r="J3000" s="4">
        <v>113040</v>
      </c>
    </row>
    <row r="3001" spans="1:10" hidden="1" outlineLevel="2" x14ac:dyDescent="0.35">
      <c r="A3001" t="s">
        <v>1911</v>
      </c>
      <c r="B3001" s="1">
        <v>45742</v>
      </c>
      <c r="C3001" t="str">
        <f>"228"</f>
        <v>228</v>
      </c>
      <c r="F3001" t="str">
        <f t="shared" si="106"/>
        <v>42200000</v>
      </c>
      <c r="H3001" t="s">
        <v>1969</v>
      </c>
      <c r="J3001" s="4">
        <v>113040</v>
      </c>
    </row>
    <row r="3002" spans="1:10" hidden="1" outlineLevel="2" x14ac:dyDescent="0.35">
      <c r="A3002" t="s">
        <v>1911</v>
      </c>
      <c r="B3002" s="1">
        <v>45742</v>
      </c>
      <c r="C3002" t="str">
        <f>"229"</f>
        <v>229</v>
      </c>
      <c r="F3002" t="str">
        <f t="shared" si="106"/>
        <v>42200000</v>
      </c>
      <c r="H3002" t="s">
        <v>1970</v>
      </c>
      <c r="J3002" s="4">
        <v>113040</v>
      </c>
    </row>
    <row r="3003" spans="1:10" hidden="1" outlineLevel="2" x14ac:dyDescent="0.35">
      <c r="A3003" t="s">
        <v>1911</v>
      </c>
      <c r="B3003" s="1">
        <v>45742</v>
      </c>
      <c r="C3003" t="str">
        <f>"230"</f>
        <v>230</v>
      </c>
      <c r="F3003" t="str">
        <f t="shared" si="106"/>
        <v>42200000</v>
      </c>
      <c r="H3003" t="s">
        <v>1971</v>
      </c>
      <c r="J3003" s="4">
        <v>113040</v>
      </c>
    </row>
    <row r="3004" spans="1:10" hidden="1" outlineLevel="2" x14ac:dyDescent="0.35">
      <c r="A3004" t="s">
        <v>1911</v>
      </c>
      <c r="B3004" s="1">
        <v>45742</v>
      </c>
      <c r="C3004" t="str">
        <f>"231"</f>
        <v>231</v>
      </c>
      <c r="F3004" t="str">
        <f t="shared" si="106"/>
        <v>42200000</v>
      </c>
      <c r="H3004" t="s">
        <v>1972</v>
      </c>
      <c r="J3004" s="4">
        <v>113040</v>
      </c>
    </row>
    <row r="3005" spans="1:10" hidden="1" outlineLevel="2" x14ac:dyDescent="0.35">
      <c r="A3005" t="s">
        <v>1911</v>
      </c>
      <c r="B3005" s="1">
        <v>45742</v>
      </c>
      <c r="C3005" t="str">
        <f>"232"</f>
        <v>232</v>
      </c>
      <c r="F3005" t="str">
        <f t="shared" si="106"/>
        <v>42200000</v>
      </c>
      <c r="H3005" t="s">
        <v>1973</v>
      </c>
      <c r="J3005" s="4">
        <v>113040</v>
      </c>
    </row>
    <row r="3006" spans="1:10" hidden="1" outlineLevel="2" x14ac:dyDescent="0.35">
      <c r="A3006" t="s">
        <v>1911</v>
      </c>
      <c r="B3006" s="1">
        <v>45742</v>
      </c>
      <c r="C3006" t="str">
        <f>"233"</f>
        <v>233</v>
      </c>
      <c r="F3006" t="str">
        <f t="shared" si="106"/>
        <v>42200000</v>
      </c>
      <c r="H3006" t="s">
        <v>1974</v>
      </c>
      <c r="J3006" s="4">
        <v>113040</v>
      </c>
    </row>
    <row r="3007" spans="1:10" hidden="1" outlineLevel="2" x14ac:dyDescent="0.35">
      <c r="A3007" t="s">
        <v>1911</v>
      </c>
      <c r="B3007" s="1">
        <v>45742</v>
      </c>
      <c r="C3007" t="str">
        <f>"234"</f>
        <v>234</v>
      </c>
      <c r="F3007" t="str">
        <f t="shared" si="106"/>
        <v>42200000</v>
      </c>
      <c r="H3007" t="s">
        <v>1975</v>
      </c>
      <c r="J3007" s="4">
        <v>161893</v>
      </c>
    </row>
    <row r="3008" spans="1:10" hidden="1" outlineLevel="2" x14ac:dyDescent="0.35">
      <c r="A3008" t="s">
        <v>2318</v>
      </c>
      <c r="B3008" s="1">
        <v>45744</v>
      </c>
      <c r="C3008" t="str">
        <f>"54"</f>
        <v>54</v>
      </c>
      <c r="F3008" t="str">
        <f t="shared" si="106"/>
        <v>42200000</v>
      </c>
      <c r="H3008" t="s">
        <v>2334</v>
      </c>
      <c r="J3008" s="4">
        <v>6503907</v>
      </c>
    </row>
    <row r="3009" spans="1:11" hidden="1" outlineLevel="2" x14ac:dyDescent="0.35">
      <c r="A3009" t="s">
        <v>2337</v>
      </c>
      <c r="B3009" s="1">
        <v>45723</v>
      </c>
      <c r="C3009" t="str">
        <f>"696"</f>
        <v>696</v>
      </c>
      <c r="E3009" t="str">
        <f>"17315"</f>
        <v>17315</v>
      </c>
      <c r="F3009" t="str">
        <f t="shared" si="106"/>
        <v>42200000</v>
      </c>
      <c r="H3009" t="s">
        <v>2413</v>
      </c>
      <c r="J3009" s="4">
        <v>58564</v>
      </c>
    </row>
    <row r="3010" spans="1:11" hidden="1" outlineLevel="2" x14ac:dyDescent="0.35">
      <c r="A3010" t="s">
        <v>75</v>
      </c>
      <c r="B3010" s="1">
        <v>45742</v>
      </c>
      <c r="C3010" t="str">
        <f>"13"</f>
        <v>13</v>
      </c>
      <c r="D3010" t="s">
        <v>2720</v>
      </c>
      <c r="E3010" t="s">
        <v>2711</v>
      </c>
      <c r="F3010" t="str">
        <f t="shared" si="106"/>
        <v>42200000</v>
      </c>
      <c r="H3010" t="s">
        <v>2721</v>
      </c>
      <c r="I3010" s="1">
        <v>45742</v>
      </c>
      <c r="J3010" s="4">
        <v>158180181</v>
      </c>
    </row>
    <row r="3011" spans="1:11" hidden="1" outlineLevel="2" x14ac:dyDescent="0.35">
      <c r="A3011" t="s">
        <v>2964</v>
      </c>
      <c r="B3011" s="1">
        <v>45747</v>
      </c>
      <c r="C3011" t="s">
        <v>2965</v>
      </c>
      <c r="D3011" t="s">
        <v>2966</v>
      </c>
      <c r="F3011" t="str">
        <f t="shared" si="106"/>
        <v>42200000</v>
      </c>
      <c r="H3011" t="s">
        <v>2971</v>
      </c>
      <c r="K3011" s="4">
        <v>180824310</v>
      </c>
    </row>
    <row r="3012" spans="1:11" hidden="1" outlineLevel="2" x14ac:dyDescent="0.35">
      <c r="A3012" t="s">
        <v>2964</v>
      </c>
      <c r="B3012" s="1">
        <v>45747</v>
      </c>
      <c r="C3012" t="s">
        <v>2965</v>
      </c>
      <c r="D3012" t="s">
        <v>2966</v>
      </c>
      <c r="F3012" t="str">
        <f t="shared" si="106"/>
        <v>42200000</v>
      </c>
      <c r="H3012" t="s">
        <v>2972</v>
      </c>
      <c r="K3012" s="4">
        <v>25781958</v>
      </c>
    </row>
    <row r="3013" spans="1:11" hidden="1" outlineLevel="2" x14ac:dyDescent="0.35">
      <c r="A3013" t="s">
        <v>3056</v>
      </c>
      <c r="B3013" s="1">
        <v>45744</v>
      </c>
      <c r="C3013" t="str">
        <f>"201"</f>
        <v>201</v>
      </c>
      <c r="F3013" t="str">
        <f t="shared" si="106"/>
        <v>42200000</v>
      </c>
      <c r="H3013" t="s">
        <v>3112</v>
      </c>
      <c r="J3013" s="4">
        <v>19278051</v>
      </c>
    </row>
    <row r="3014" spans="1:11" outlineLevel="1" collapsed="1" x14ac:dyDescent="0.35">
      <c r="B3014" s="1"/>
      <c r="F3014" s="3" t="s">
        <v>6544</v>
      </c>
      <c r="J3014" s="4">
        <f>SUBTOTAL(9,J2977:J3013)</f>
        <v>206103978</v>
      </c>
      <c r="K3014" s="4">
        <f>SUBTOTAL(9,K2977:K3013)</f>
        <v>206606268</v>
      </c>
    </row>
    <row r="3015" spans="1:11" hidden="1" outlineLevel="2" x14ac:dyDescent="0.35">
      <c r="A3015" t="s">
        <v>3025</v>
      </c>
      <c r="B3015" s="1">
        <v>45717</v>
      </c>
      <c r="C3015" t="str">
        <f>"5"</f>
        <v>5</v>
      </c>
      <c r="E3015" t="s">
        <v>3026</v>
      </c>
      <c r="F3015" t="str">
        <f t="shared" ref="F3015:F3020" si="107">"42200100"</f>
        <v>42200100</v>
      </c>
      <c r="H3015" t="s">
        <v>3027</v>
      </c>
      <c r="K3015" s="4">
        <v>-7132680</v>
      </c>
    </row>
    <row r="3016" spans="1:11" hidden="1" outlineLevel="2" x14ac:dyDescent="0.35">
      <c r="A3016" t="s">
        <v>3025</v>
      </c>
      <c r="B3016" s="1">
        <v>45747</v>
      </c>
      <c r="C3016" t="str">
        <f>"6"</f>
        <v>6</v>
      </c>
      <c r="E3016" t="s">
        <v>3026</v>
      </c>
      <c r="F3016" t="str">
        <f t="shared" si="107"/>
        <v>42200100</v>
      </c>
      <c r="H3016" t="s">
        <v>3028</v>
      </c>
      <c r="K3016" s="4">
        <v>10950100</v>
      </c>
    </row>
    <row r="3017" spans="1:11" hidden="1" outlineLevel="2" x14ac:dyDescent="0.35">
      <c r="A3017" t="s">
        <v>3025</v>
      </c>
      <c r="B3017" s="1">
        <v>45747</v>
      </c>
      <c r="C3017" t="str">
        <f>"7"</f>
        <v>7</v>
      </c>
      <c r="E3017" t="s">
        <v>3029</v>
      </c>
      <c r="F3017" t="str">
        <f t="shared" si="107"/>
        <v>42200100</v>
      </c>
      <c r="H3017" t="s">
        <v>3030</v>
      </c>
      <c r="K3017" s="4">
        <v>28952888</v>
      </c>
    </row>
    <row r="3018" spans="1:11" hidden="1" outlineLevel="2" x14ac:dyDescent="0.35">
      <c r="A3018" t="s">
        <v>3056</v>
      </c>
      <c r="B3018" s="1">
        <v>45719</v>
      </c>
      <c r="C3018" t="str">
        <f>"145"</f>
        <v>145</v>
      </c>
      <c r="F3018" t="str">
        <f t="shared" si="107"/>
        <v>42200100</v>
      </c>
      <c r="H3018" t="s">
        <v>3058</v>
      </c>
      <c r="J3018" s="4">
        <v>1867325</v>
      </c>
    </row>
    <row r="3019" spans="1:11" hidden="1" outlineLevel="2" x14ac:dyDescent="0.35">
      <c r="A3019" t="s">
        <v>3056</v>
      </c>
      <c r="B3019" s="1">
        <v>45726</v>
      </c>
      <c r="C3019" t="str">
        <f>"160"</f>
        <v>160</v>
      </c>
      <c r="F3019" t="str">
        <f t="shared" si="107"/>
        <v>42200100</v>
      </c>
      <c r="H3019" t="s">
        <v>3074</v>
      </c>
      <c r="J3019" s="4">
        <v>3495007</v>
      </c>
    </row>
    <row r="3020" spans="1:11" hidden="1" outlineLevel="2" x14ac:dyDescent="0.35">
      <c r="A3020" t="s">
        <v>3056</v>
      </c>
      <c r="B3020" s="1">
        <v>45737</v>
      </c>
      <c r="C3020" t="str">
        <f>"190"</f>
        <v>190</v>
      </c>
      <c r="F3020" t="str">
        <f t="shared" si="107"/>
        <v>42200100</v>
      </c>
      <c r="H3020" t="s">
        <v>3095</v>
      </c>
      <c r="J3020" s="4">
        <v>13420091</v>
      </c>
    </row>
    <row r="3021" spans="1:11" outlineLevel="1" collapsed="1" x14ac:dyDescent="0.35">
      <c r="B3021" s="1"/>
      <c r="F3021" s="3" t="s">
        <v>6545</v>
      </c>
      <c r="J3021" s="4">
        <f>SUBTOTAL(9,J3015:J3020)</f>
        <v>18782423</v>
      </c>
      <c r="K3021" s="4">
        <f>SUBTOTAL(9,K3015:K3020)</f>
        <v>32770308</v>
      </c>
    </row>
    <row r="3022" spans="1:11" hidden="1" outlineLevel="2" x14ac:dyDescent="0.35">
      <c r="A3022" t="s">
        <v>11</v>
      </c>
      <c r="B3022" s="1">
        <v>45718</v>
      </c>
      <c r="C3022" t="str">
        <f>"269"</f>
        <v>269</v>
      </c>
      <c r="E3022" t="s">
        <v>1298</v>
      </c>
      <c r="F3022" t="str">
        <f>"42860000"</f>
        <v>42860000</v>
      </c>
      <c r="G3022" t="s">
        <v>1299</v>
      </c>
      <c r="H3022" t="s">
        <v>1300</v>
      </c>
      <c r="K3022" s="4">
        <v>18501542</v>
      </c>
    </row>
    <row r="3023" spans="1:11" outlineLevel="1" collapsed="1" x14ac:dyDescent="0.35">
      <c r="B3023" s="1"/>
      <c r="F3023" s="3" t="s">
        <v>6546</v>
      </c>
      <c r="J3023" s="4">
        <f>SUBTOTAL(9,J3022:J3022)</f>
        <v>0</v>
      </c>
      <c r="K3023" s="4">
        <f>SUBTOTAL(9,K3022:K3022)</f>
        <v>18501542</v>
      </c>
    </row>
    <row r="3024" spans="1:11" hidden="1" outlineLevel="2" x14ac:dyDescent="0.35">
      <c r="A3024" t="s">
        <v>1911</v>
      </c>
      <c r="B3024" s="1">
        <v>45730</v>
      </c>
      <c r="C3024" t="str">
        <f>"179"</f>
        <v>179</v>
      </c>
      <c r="F3024" t="str">
        <f>"43130000"</f>
        <v>43130000</v>
      </c>
      <c r="H3024" t="s">
        <v>1933</v>
      </c>
      <c r="J3024" s="4">
        <v>31213518</v>
      </c>
    </row>
    <row r="3025" spans="1:11" hidden="1" outlineLevel="2" x14ac:dyDescent="0.35">
      <c r="A3025" t="s">
        <v>2964</v>
      </c>
      <c r="B3025" s="1">
        <v>45747</v>
      </c>
      <c r="C3025" t="s">
        <v>2965</v>
      </c>
      <c r="D3025" t="s">
        <v>2966</v>
      </c>
      <c r="F3025" t="str">
        <f>"43130000"</f>
        <v>43130000</v>
      </c>
      <c r="H3025" t="s">
        <v>2973</v>
      </c>
      <c r="K3025" s="4">
        <v>10769380</v>
      </c>
    </row>
    <row r="3026" spans="1:11" hidden="1" outlineLevel="2" x14ac:dyDescent="0.35">
      <c r="A3026" t="s">
        <v>2964</v>
      </c>
      <c r="B3026" s="1">
        <v>45747</v>
      </c>
      <c r="C3026" t="s">
        <v>2965</v>
      </c>
      <c r="D3026" t="s">
        <v>2966</v>
      </c>
      <c r="F3026" t="str">
        <f>"43130000"</f>
        <v>43130000</v>
      </c>
      <c r="H3026" t="s">
        <v>2974</v>
      </c>
      <c r="K3026" s="4">
        <v>17812943</v>
      </c>
    </row>
    <row r="3027" spans="1:11" hidden="1" outlineLevel="2" x14ac:dyDescent="0.35">
      <c r="A3027" t="s">
        <v>2964</v>
      </c>
      <c r="B3027" s="1">
        <v>45747</v>
      </c>
      <c r="C3027" t="s">
        <v>2965</v>
      </c>
      <c r="D3027" t="s">
        <v>2966</v>
      </c>
      <c r="F3027" t="str">
        <f>"43130000"</f>
        <v>43130000</v>
      </c>
      <c r="H3027" t="s">
        <v>2975</v>
      </c>
      <c r="K3027" s="4">
        <v>1726394</v>
      </c>
    </row>
    <row r="3028" spans="1:11" hidden="1" outlineLevel="2" x14ac:dyDescent="0.35">
      <c r="A3028" t="s">
        <v>2964</v>
      </c>
      <c r="B3028" s="1">
        <v>45747</v>
      </c>
      <c r="C3028" t="s">
        <v>2965</v>
      </c>
      <c r="D3028" t="s">
        <v>2966</v>
      </c>
      <c r="F3028" t="str">
        <f>"43130000"</f>
        <v>43130000</v>
      </c>
      <c r="H3028" t="s">
        <v>2976</v>
      </c>
      <c r="K3028" s="4">
        <v>2803459</v>
      </c>
    </row>
    <row r="3029" spans="1:11" outlineLevel="1" collapsed="1" x14ac:dyDescent="0.35">
      <c r="B3029" s="1"/>
      <c r="F3029" s="3" t="s">
        <v>6547</v>
      </c>
      <c r="J3029" s="4">
        <f>SUBTOTAL(9,J3024:J3028)</f>
        <v>31213518</v>
      </c>
      <c r="K3029" s="4">
        <f>SUBTOTAL(9,K3024:K3028)</f>
        <v>33112176</v>
      </c>
    </row>
    <row r="3030" spans="1:11" hidden="1" outlineLevel="2" x14ac:dyDescent="0.35">
      <c r="A3030" t="s">
        <v>1911</v>
      </c>
      <c r="B3030" s="1">
        <v>45730</v>
      </c>
      <c r="C3030" t="str">
        <f>"178"</f>
        <v>178</v>
      </c>
      <c r="F3030" t="str">
        <f>"43130001"</f>
        <v>43130001</v>
      </c>
      <c r="H3030" t="s">
        <v>1932</v>
      </c>
      <c r="J3030" s="4">
        <v>10342029</v>
      </c>
    </row>
    <row r="3031" spans="1:11" hidden="1" outlineLevel="2" x14ac:dyDescent="0.35">
      <c r="A3031" t="s">
        <v>1986</v>
      </c>
      <c r="B3031" s="1">
        <v>45717</v>
      </c>
      <c r="C3031" t="str">
        <f>"65"</f>
        <v>65</v>
      </c>
      <c r="F3031" t="str">
        <f>"43130001"</f>
        <v>43130001</v>
      </c>
      <c r="H3031" t="s">
        <v>1989</v>
      </c>
      <c r="J3031" s="4">
        <v>-10342029</v>
      </c>
    </row>
    <row r="3032" spans="1:11" hidden="1" outlineLevel="2" x14ac:dyDescent="0.35">
      <c r="A3032" t="s">
        <v>2337</v>
      </c>
      <c r="B3032" s="1">
        <v>45735</v>
      </c>
      <c r="C3032" t="str">
        <f>"800"</f>
        <v>800</v>
      </c>
      <c r="E3032" t="str">
        <f>"17456"</f>
        <v>17456</v>
      </c>
      <c r="F3032" t="str">
        <f>"43130001"</f>
        <v>43130001</v>
      </c>
      <c r="H3032" t="s">
        <v>2536</v>
      </c>
      <c r="J3032" s="4">
        <v>10342029</v>
      </c>
    </row>
    <row r="3033" spans="1:11" outlineLevel="1" collapsed="1" x14ac:dyDescent="0.35">
      <c r="B3033" s="1"/>
      <c r="F3033" s="3" t="s">
        <v>6548</v>
      </c>
      <c r="J3033" s="4">
        <f>SUBTOTAL(9,J3030:J3032)</f>
        <v>10342029</v>
      </c>
      <c r="K3033" s="4">
        <f>SUBTOTAL(9,K3030:K3032)</f>
        <v>0</v>
      </c>
    </row>
    <row r="3034" spans="1:11" hidden="1" outlineLevel="2" x14ac:dyDescent="0.35">
      <c r="A3034" t="s">
        <v>101</v>
      </c>
      <c r="B3034" s="1">
        <v>45747</v>
      </c>
      <c r="C3034" t="str">
        <f>"15"</f>
        <v>15</v>
      </c>
      <c r="F3034" t="str">
        <f>"43180000"</f>
        <v>43180000</v>
      </c>
      <c r="H3034" t="s">
        <v>2849</v>
      </c>
      <c r="K3034" s="4">
        <v>246500</v>
      </c>
    </row>
    <row r="3035" spans="1:11" hidden="1" outlineLevel="2" x14ac:dyDescent="0.35">
      <c r="A3035" t="s">
        <v>2964</v>
      </c>
      <c r="B3035" s="1">
        <v>45747</v>
      </c>
      <c r="C3035" t="s">
        <v>2965</v>
      </c>
      <c r="D3035" t="s">
        <v>2966</v>
      </c>
      <c r="F3035" t="str">
        <f>"43180000"</f>
        <v>43180000</v>
      </c>
      <c r="H3035" t="s">
        <v>2977</v>
      </c>
      <c r="K3035" s="4">
        <v>912000</v>
      </c>
    </row>
    <row r="3036" spans="1:11" outlineLevel="1" collapsed="1" x14ac:dyDescent="0.35">
      <c r="B3036" s="1"/>
      <c r="F3036" s="3" t="s">
        <v>6549</v>
      </c>
      <c r="J3036" s="4">
        <f>SUBTOTAL(9,J3034:J3035)</f>
        <v>0</v>
      </c>
      <c r="K3036" s="4">
        <f>SUBTOTAL(9,K3034:K3035)</f>
        <v>1158500</v>
      </c>
    </row>
    <row r="3037" spans="1:11" hidden="1" outlineLevel="2" x14ac:dyDescent="0.35">
      <c r="A3037" t="s">
        <v>1790</v>
      </c>
      <c r="B3037" s="1">
        <v>45719</v>
      </c>
      <c r="C3037" t="str">
        <f>"153"</f>
        <v>153</v>
      </c>
      <c r="F3037" t="str">
        <f>"44210200"</f>
        <v>44210200</v>
      </c>
      <c r="H3037" t="s">
        <v>1791</v>
      </c>
      <c r="J3037" s="4">
        <v>20481468</v>
      </c>
    </row>
    <row r="3038" spans="1:11" outlineLevel="1" collapsed="1" x14ac:dyDescent="0.35">
      <c r="B3038" s="1"/>
      <c r="F3038" s="3" t="s">
        <v>6550</v>
      </c>
      <c r="J3038" s="4">
        <f>SUBTOTAL(9,J3037:J3037)</f>
        <v>20481468</v>
      </c>
      <c r="K3038" s="4">
        <f>SUBTOTAL(9,K3037:K3037)</f>
        <v>0</v>
      </c>
    </row>
    <row r="3039" spans="1:11" hidden="1" outlineLevel="2" x14ac:dyDescent="0.35">
      <c r="A3039" t="s">
        <v>26</v>
      </c>
      <c r="B3039" s="1">
        <v>45728</v>
      </c>
      <c r="C3039" t="str">
        <f>"71"</f>
        <v>71</v>
      </c>
      <c r="D3039" t="s">
        <v>1608</v>
      </c>
      <c r="E3039" t="s">
        <v>1609</v>
      </c>
      <c r="F3039" t="str">
        <f t="shared" ref="F3039:F3048" si="108">"44210300"</f>
        <v>44210300</v>
      </c>
      <c r="H3039" t="s">
        <v>1610</v>
      </c>
      <c r="K3039" s="4">
        <v>5211630</v>
      </c>
    </row>
    <row r="3040" spans="1:11" hidden="1" outlineLevel="2" x14ac:dyDescent="0.35">
      <c r="A3040" t="s">
        <v>26</v>
      </c>
      <c r="B3040" s="1">
        <v>45728</v>
      </c>
      <c r="C3040" t="str">
        <f>"72"</f>
        <v>72</v>
      </c>
      <c r="D3040" t="s">
        <v>1611</v>
      </c>
      <c r="E3040" t="s">
        <v>1612</v>
      </c>
      <c r="F3040" t="str">
        <f t="shared" si="108"/>
        <v>44210300</v>
      </c>
      <c r="H3040" t="s">
        <v>1610</v>
      </c>
      <c r="K3040" s="4">
        <v>11000</v>
      </c>
    </row>
    <row r="3041" spans="1:11" hidden="1" outlineLevel="2" x14ac:dyDescent="0.35">
      <c r="A3041" t="s">
        <v>26</v>
      </c>
      <c r="B3041" s="1">
        <v>45729</v>
      </c>
      <c r="C3041" t="str">
        <f>"73"</f>
        <v>73</v>
      </c>
      <c r="D3041" t="s">
        <v>1619</v>
      </c>
      <c r="E3041" t="s">
        <v>1620</v>
      </c>
      <c r="F3041" t="str">
        <f t="shared" si="108"/>
        <v>44210300</v>
      </c>
      <c r="H3041" t="s">
        <v>1621</v>
      </c>
      <c r="K3041" s="4">
        <v>116134430</v>
      </c>
    </row>
    <row r="3042" spans="1:11" hidden="1" outlineLevel="2" x14ac:dyDescent="0.35">
      <c r="A3042" t="s">
        <v>26</v>
      </c>
      <c r="B3042" s="1">
        <v>45735</v>
      </c>
      <c r="C3042" t="str">
        <f>"85"</f>
        <v>85</v>
      </c>
      <c r="D3042" t="s">
        <v>1685</v>
      </c>
      <c r="E3042" t="s">
        <v>1688</v>
      </c>
      <c r="F3042" t="str">
        <f t="shared" si="108"/>
        <v>44210300</v>
      </c>
      <c r="H3042" t="s">
        <v>1689</v>
      </c>
      <c r="K3042" s="4">
        <v>24172800</v>
      </c>
    </row>
    <row r="3043" spans="1:11" hidden="1" outlineLevel="2" x14ac:dyDescent="0.35">
      <c r="A3043" t="s">
        <v>1790</v>
      </c>
      <c r="B3043" s="1">
        <v>45735</v>
      </c>
      <c r="C3043" t="str">
        <f>"198"</f>
        <v>198</v>
      </c>
      <c r="F3043" t="str">
        <f t="shared" si="108"/>
        <v>44210300</v>
      </c>
      <c r="H3043" t="s">
        <v>1824</v>
      </c>
      <c r="J3043" s="4">
        <v>58067215</v>
      </c>
    </row>
    <row r="3044" spans="1:11" hidden="1" outlineLevel="2" x14ac:dyDescent="0.35">
      <c r="A3044" t="s">
        <v>1790</v>
      </c>
      <c r="B3044" s="1">
        <v>45735</v>
      </c>
      <c r="C3044" t="str">
        <f>"199"</f>
        <v>199</v>
      </c>
      <c r="F3044" t="str">
        <f t="shared" si="108"/>
        <v>44210300</v>
      </c>
      <c r="H3044" t="s">
        <v>1824</v>
      </c>
      <c r="J3044" s="4">
        <v>2616815</v>
      </c>
    </row>
    <row r="3045" spans="1:11" hidden="1" outlineLevel="2" x14ac:dyDescent="0.35">
      <c r="A3045" t="s">
        <v>1790</v>
      </c>
      <c r="B3045" s="1">
        <v>45735</v>
      </c>
      <c r="C3045" t="str">
        <f>"200"</f>
        <v>200</v>
      </c>
      <c r="F3045" t="str">
        <f t="shared" si="108"/>
        <v>44210300</v>
      </c>
      <c r="H3045" t="s">
        <v>1824</v>
      </c>
      <c r="J3045" s="4">
        <v>12086400</v>
      </c>
    </row>
    <row r="3046" spans="1:11" hidden="1" outlineLevel="2" x14ac:dyDescent="0.35">
      <c r="A3046" t="s">
        <v>1790</v>
      </c>
      <c r="B3046" s="1">
        <v>45735</v>
      </c>
      <c r="C3046" t="str">
        <f>"201"</f>
        <v>201</v>
      </c>
      <c r="F3046" t="str">
        <f t="shared" si="108"/>
        <v>44210300</v>
      </c>
      <c r="H3046" t="s">
        <v>1824</v>
      </c>
      <c r="J3046" s="4">
        <v>2415170</v>
      </c>
    </row>
    <row r="3047" spans="1:11" hidden="1" outlineLevel="2" x14ac:dyDescent="0.35">
      <c r="A3047" t="s">
        <v>1790</v>
      </c>
      <c r="B3047" s="1">
        <v>45735</v>
      </c>
      <c r="C3047" t="str">
        <f>"202"</f>
        <v>202</v>
      </c>
      <c r="F3047" t="str">
        <f t="shared" si="108"/>
        <v>44210300</v>
      </c>
      <c r="H3047" t="s">
        <v>1824</v>
      </c>
      <c r="J3047" s="4">
        <v>588925</v>
      </c>
    </row>
    <row r="3048" spans="1:11" hidden="1" outlineLevel="2" x14ac:dyDescent="0.35">
      <c r="A3048" t="s">
        <v>101</v>
      </c>
      <c r="B3048" s="1">
        <v>45747</v>
      </c>
      <c r="C3048" t="str">
        <f>"13"</f>
        <v>13</v>
      </c>
      <c r="F3048" t="str">
        <f t="shared" si="108"/>
        <v>44210300</v>
      </c>
      <c r="H3048" t="s">
        <v>2848</v>
      </c>
      <c r="J3048" s="4">
        <v>9990000</v>
      </c>
    </row>
    <row r="3049" spans="1:11" outlineLevel="1" collapsed="1" x14ac:dyDescent="0.35">
      <c r="B3049" s="1"/>
      <c r="F3049" s="3" t="s">
        <v>6551</v>
      </c>
      <c r="J3049" s="4">
        <f>SUBTOTAL(9,J3039:J3048)</f>
        <v>85764525</v>
      </c>
      <c r="K3049" s="4">
        <f>SUBTOTAL(9,K3039:K3048)</f>
        <v>145529860</v>
      </c>
    </row>
    <row r="3050" spans="1:11" hidden="1" outlineLevel="2" x14ac:dyDescent="0.35">
      <c r="A3050" t="s">
        <v>1831</v>
      </c>
      <c r="B3050" s="1">
        <v>45721</v>
      </c>
      <c r="C3050" t="str">
        <f>"88"</f>
        <v>88</v>
      </c>
      <c r="F3050" t="str">
        <f>"44210400"</f>
        <v>44210400</v>
      </c>
      <c r="H3050" t="s">
        <v>1843</v>
      </c>
      <c r="J3050" s="4">
        <v>2004250</v>
      </c>
    </row>
    <row r="3051" spans="1:11" outlineLevel="1" collapsed="1" x14ac:dyDescent="0.35">
      <c r="B3051" s="1"/>
      <c r="F3051" s="3" t="s">
        <v>6552</v>
      </c>
      <c r="J3051" s="4">
        <f>SUBTOTAL(9,J3050:J3050)</f>
        <v>2004250</v>
      </c>
      <c r="K3051" s="4">
        <f>SUBTOTAL(9,K3050:K3050)</f>
        <v>0</v>
      </c>
    </row>
    <row r="3052" spans="1:11" hidden="1" outlineLevel="2" x14ac:dyDescent="0.35">
      <c r="A3052" t="s">
        <v>101</v>
      </c>
      <c r="B3052" s="1">
        <v>45717</v>
      </c>
      <c r="C3052" t="str">
        <f>"75"</f>
        <v>75</v>
      </c>
      <c r="F3052" t="str">
        <f t="shared" ref="F3052:F3059" si="109">"44310000"</f>
        <v>44310000</v>
      </c>
      <c r="H3052" t="s">
        <v>2767</v>
      </c>
      <c r="K3052" s="4">
        <v>-763200</v>
      </c>
    </row>
    <row r="3053" spans="1:11" hidden="1" outlineLevel="2" x14ac:dyDescent="0.35">
      <c r="A3053" t="s">
        <v>101</v>
      </c>
      <c r="B3053" s="1">
        <v>45747</v>
      </c>
      <c r="C3053" t="str">
        <f>"69"</f>
        <v>69</v>
      </c>
      <c r="F3053" t="str">
        <f t="shared" si="109"/>
        <v>44310000</v>
      </c>
      <c r="H3053" t="s">
        <v>2916</v>
      </c>
      <c r="K3053" s="4">
        <v>122270</v>
      </c>
    </row>
    <row r="3054" spans="1:11" hidden="1" outlineLevel="2" x14ac:dyDescent="0.35">
      <c r="A3054" t="s">
        <v>101</v>
      </c>
      <c r="B3054" s="1">
        <v>45747</v>
      </c>
      <c r="C3054" t="str">
        <f>"70"</f>
        <v>70</v>
      </c>
      <c r="F3054" t="str">
        <f t="shared" si="109"/>
        <v>44310000</v>
      </c>
      <c r="H3054" t="s">
        <v>2917</v>
      </c>
      <c r="K3054" s="4">
        <v>128610</v>
      </c>
    </row>
    <row r="3055" spans="1:11" hidden="1" outlineLevel="2" x14ac:dyDescent="0.35">
      <c r="A3055" t="s">
        <v>101</v>
      </c>
      <c r="B3055" s="1">
        <v>45747</v>
      </c>
      <c r="C3055" t="str">
        <f>"71"</f>
        <v>71</v>
      </c>
      <c r="F3055" t="str">
        <f t="shared" si="109"/>
        <v>44310000</v>
      </c>
      <c r="H3055" t="s">
        <v>2918</v>
      </c>
      <c r="K3055" s="4">
        <v>438</v>
      </c>
    </row>
    <row r="3056" spans="1:11" hidden="1" outlineLevel="2" x14ac:dyDescent="0.35">
      <c r="A3056" t="s">
        <v>101</v>
      </c>
      <c r="B3056" s="1">
        <v>45747</v>
      </c>
      <c r="C3056" t="str">
        <f>"72"</f>
        <v>72</v>
      </c>
      <c r="F3056" t="str">
        <f t="shared" si="109"/>
        <v>44310000</v>
      </c>
      <c r="H3056" t="s">
        <v>2919</v>
      </c>
      <c r="K3056" s="4">
        <v>190800</v>
      </c>
    </row>
    <row r="3057" spans="1:11" hidden="1" outlineLevel="2" x14ac:dyDescent="0.35">
      <c r="A3057" t="s">
        <v>101</v>
      </c>
      <c r="B3057" s="1">
        <v>45747</v>
      </c>
      <c r="C3057" t="str">
        <f>"73"</f>
        <v>73</v>
      </c>
      <c r="F3057" t="str">
        <f t="shared" si="109"/>
        <v>44310000</v>
      </c>
      <c r="H3057" t="s">
        <v>2920</v>
      </c>
      <c r="K3057" s="4">
        <v>190800</v>
      </c>
    </row>
    <row r="3058" spans="1:11" hidden="1" outlineLevel="2" x14ac:dyDescent="0.35">
      <c r="A3058" t="s">
        <v>101</v>
      </c>
      <c r="B3058" s="1">
        <v>45747</v>
      </c>
      <c r="C3058" t="str">
        <f>"74"</f>
        <v>74</v>
      </c>
      <c r="F3058" t="str">
        <f t="shared" si="109"/>
        <v>44310000</v>
      </c>
      <c r="H3058" t="s">
        <v>2921</v>
      </c>
      <c r="K3058" s="4">
        <v>27720</v>
      </c>
    </row>
    <row r="3059" spans="1:11" hidden="1" outlineLevel="2" x14ac:dyDescent="0.35">
      <c r="A3059" t="s">
        <v>101</v>
      </c>
      <c r="B3059" s="1">
        <v>45747</v>
      </c>
      <c r="C3059" t="str">
        <f>"75"</f>
        <v>75</v>
      </c>
      <c r="F3059" t="str">
        <f t="shared" si="109"/>
        <v>44310000</v>
      </c>
      <c r="H3059" t="s">
        <v>2922</v>
      </c>
      <c r="K3059" s="4">
        <v>9000</v>
      </c>
    </row>
    <row r="3060" spans="1:11" outlineLevel="1" collapsed="1" x14ac:dyDescent="0.35">
      <c r="B3060" s="1"/>
      <c r="F3060" s="3" t="s">
        <v>6553</v>
      </c>
      <c r="J3060" s="4">
        <f>SUBTOTAL(9,J3052:J3059)</f>
        <v>0</v>
      </c>
      <c r="K3060" s="4">
        <f>SUBTOTAL(9,K3052:K3059)</f>
        <v>-93562</v>
      </c>
    </row>
    <row r="3061" spans="1:11" hidden="1" outlineLevel="2" x14ac:dyDescent="0.35">
      <c r="A3061" t="s">
        <v>101</v>
      </c>
      <c r="B3061" s="1">
        <v>45717</v>
      </c>
      <c r="C3061" t="str">
        <f>"18"</f>
        <v>18</v>
      </c>
      <c r="F3061" t="str">
        <f t="shared" ref="F3061:F3124" si="110">"44320000"</f>
        <v>44320000</v>
      </c>
      <c r="H3061" t="s">
        <v>2749</v>
      </c>
      <c r="J3061" s="4">
        <v>-254220696</v>
      </c>
    </row>
    <row r="3062" spans="1:11" hidden="1" outlineLevel="2" x14ac:dyDescent="0.35">
      <c r="A3062" t="s">
        <v>101</v>
      </c>
      <c r="B3062" s="1">
        <v>45717</v>
      </c>
      <c r="C3062" t="str">
        <f>"20"</f>
        <v>20</v>
      </c>
      <c r="F3062" t="str">
        <f t="shared" si="110"/>
        <v>44320000</v>
      </c>
      <c r="H3062" t="s">
        <v>2750</v>
      </c>
      <c r="J3062" s="4">
        <v>254220696</v>
      </c>
    </row>
    <row r="3063" spans="1:11" hidden="1" outlineLevel="2" x14ac:dyDescent="0.35">
      <c r="A3063" t="s">
        <v>101</v>
      </c>
      <c r="B3063" s="1">
        <v>45737</v>
      </c>
      <c r="C3063" t="str">
        <f>"23"</f>
        <v>23</v>
      </c>
      <c r="D3063" t="s">
        <v>2816</v>
      </c>
      <c r="E3063" t="s">
        <v>2816</v>
      </c>
      <c r="F3063" t="str">
        <f t="shared" si="110"/>
        <v>44320000</v>
      </c>
      <c r="H3063" t="s">
        <v>2818</v>
      </c>
      <c r="J3063" s="4">
        <v>36000</v>
      </c>
    </row>
    <row r="3064" spans="1:11" hidden="1" outlineLevel="2" x14ac:dyDescent="0.35">
      <c r="A3064" t="s">
        <v>101</v>
      </c>
      <c r="B3064" s="1">
        <v>45744</v>
      </c>
      <c r="C3064" t="str">
        <f>"28"</f>
        <v>28</v>
      </c>
      <c r="D3064" t="s">
        <v>2814</v>
      </c>
      <c r="E3064" t="s">
        <v>2814</v>
      </c>
      <c r="F3064" t="str">
        <f t="shared" si="110"/>
        <v>44320000</v>
      </c>
      <c r="H3064" t="s">
        <v>2821</v>
      </c>
      <c r="J3064" s="4">
        <v>54000</v>
      </c>
    </row>
    <row r="3065" spans="1:11" hidden="1" outlineLevel="2" x14ac:dyDescent="0.35">
      <c r="A3065" t="s">
        <v>101</v>
      </c>
      <c r="B3065" s="1">
        <v>45747</v>
      </c>
      <c r="C3065" t="str">
        <f>"68"</f>
        <v>68</v>
      </c>
      <c r="F3065" t="str">
        <f t="shared" si="110"/>
        <v>44320000</v>
      </c>
      <c r="H3065" t="s">
        <v>120</v>
      </c>
      <c r="J3065" s="4">
        <v>215986447</v>
      </c>
    </row>
    <row r="3066" spans="1:11" hidden="1" outlineLevel="2" x14ac:dyDescent="0.35">
      <c r="A3066" t="s">
        <v>131</v>
      </c>
      <c r="B3066" s="1">
        <v>45717</v>
      </c>
      <c r="C3066" t="s">
        <v>5494</v>
      </c>
      <c r="D3066" t="s">
        <v>5494</v>
      </c>
      <c r="F3066" t="str">
        <f t="shared" si="110"/>
        <v>44320000</v>
      </c>
      <c r="H3066" t="s">
        <v>5495</v>
      </c>
      <c r="I3066" s="1">
        <v>45716</v>
      </c>
      <c r="K3066" s="4">
        <v>1006020</v>
      </c>
    </row>
    <row r="3067" spans="1:11" hidden="1" outlineLevel="2" x14ac:dyDescent="0.35">
      <c r="A3067" t="s">
        <v>131</v>
      </c>
      <c r="B3067" s="1">
        <v>45717</v>
      </c>
      <c r="C3067" t="s">
        <v>5496</v>
      </c>
      <c r="D3067" t="s">
        <v>5496</v>
      </c>
      <c r="F3067" t="str">
        <f t="shared" si="110"/>
        <v>44320000</v>
      </c>
      <c r="H3067" t="s">
        <v>5497</v>
      </c>
      <c r="K3067" s="4">
        <v>306000</v>
      </c>
    </row>
    <row r="3068" spans="1:11" hidden="1" outlineLevel="2" x14ac:dyDescent="0.35">
      <c r="A3068" t="s">
        <v>131</v>
      </c>
      <c r="B3068" s="1">
        <v>45717</v>
      </c>
      <c r="C3068" t="s">
        <v>5498</v>
      </c>
      <c r="D3068" t="s">
        <v>5498</v>
      </c>
      <c r="F3068" t="str">
        <f t="shared" si="110"/>
        <v>44320000</v>
      </c>
      <c r="H3068" t="s">
        <v>5499</v>
      </c>
      <c r="I3068" s="1">
        <v>45717</v>
      </c>
      <c r="K3068" s="4">
        <v>4500000</v>
      </c>
    </row>
    <row r="3069" spans="1:11" hidden="1" outlineLevel="2" x14ac:dyDescent="0.35">
      <c r="A3069" t="s">
        <v>131</v>
      </c>
      <c r="B3069" s="1">
        <v>45717</v>
      </c>
      <c r="C3069" t="s">
        <v>5500</v>
      </c>
      <c r="D3069" t="s">
        <v>5500</v>
      </c>
      <c r="F3069" t="str">
        <f t="shared" si="110"/>
        <v>44320000</v>
      </c>
      <c r="H3069" t="s">
        <v>5501</v>
      </c>
      <c r="I3069" s="1">
        <v>45744</v>
      </c>
      <c r="K3069" s="4">
        <v>37800</v>
      </c>
    </row>
    <row r="3070" spans="1:11" hidden="1" outlineLevel="2" x14ac:dyDescent="0.35">
      <c r="A3070" t="s">
        <v>131</v>
      </c>
      <c r="B3070" s="1">
        <v>45717</v>
      </c>
      <c r="C3070" t="s">
        <v>1778</v>
      </c>
      <c r="D3070" t="s">
        <v>1778</v>
      </c>
      <c r="F3070" t="str">
        <f t="shared" si="110"/>
        <v>44320000</v>
      </c>
      <c r="H3070" t="s">
        <v>5502</v>
      </c>
      <c r="I3070" s="1">
        <v>45744</v>
      </c>
      <c r="K3070" s="4">
        <v>6343497</v>
      </c>
    </row>
    <row r="3071" spans="1:11" hidden="1" outlineLevel="2" x14ac:dyDescent="0.35">
      <c r="A3071" t="s">
        <v>131</v>
      </c>
      <c r="B3071" s="1">
        <v>45717</v>
      </c>
      <c r="C3071" t="s">
        <v>5503</v>
      </c>
      <c r="D3071" t="s">
        <v>5503</v>
      </c>
      <c r="F3071" t="str">
        <f t="shared" si="110"/>
        <v>44320000</v>
      </c>
      <c r="H3071" t="s">
        <v>5501</v>
      </c>
      <c r="I3071" s="1">
        <v>45744</v>
      </c>
      <c r="K3071" s="4">
        <v>6295354</v>
      </c>
    </row>
    <row r="3072" spans="1:11" hidden="1" outlineLevel="2" x14ac:dyDescent="0.35">
      <c r="A3072" t="s">
        <v>131</v>
      </c>
      <c r="B3072" s="1">
        <v>45717</v>
      </c>
      <c r="C3072" t="s">
        <v>5505</v>
      </c>
      <c r="D3072" t="s">
        <v>5505</v>
      </c>
      <c r="F3072" t="str">
        <f t="shared" si="110"/>
        <v>44320000</v>
      </c>
      <c r="H3072" t="s">
        <v>5506</v>
      </c>
      <c r="K3072" s="4">
        <v>1732019</v>
      </c>
    </row>
    <row r="3073" spans="1:11" hidden="1" outlineLevel="2" x14ac:dyDescent="0.35">
      <c r="A3073" t="s">
        <v>131</v>
      </c>
      <c r="B3073" s="1">
        <v>45717</v>
      </c>
      <c r="C3073" t="s">
        <v>5507</v>
      </c>
      <c r="D3073" t="s">
        <v>5507</v>
      </c>
      <c r="F3073" t="str">
        <f t="shared" si="110"/>
        <v>44320000</v>
      </c>
      <c r="H3073" t="s">
        <v>5508</v>
      </c>
      <c r="I3073" s="1">
        <v>45748</v>
      </c>
      <c r="K3073" s="4">
        <v>167670</v>
      </c>
    </row>
    <row r="3074" spans="1:11" hidden="1" outlineLevel="2" x14ac:dyDescent="0.35">
      <c r="A3074" t="s">
        <v>131</v>
      </c>
      <c r="B3074" s="1">
        <v>45717</v>
      </c>
      <c r="C3074" t="s">
        <v>5509</v>
      </c>
      <c r="D3074" t="s">
        <v>5509</v>
      </c>
      <c r="F3074" t="str">
        <f t="shared" si="110"/>
        <v>44320000</v>
      </c>
      <c r="H3074" t="s">
        <v>5510</v>
      </c>
      <c r="K3074" s="4">
        <v>144000</v>
      </c>
    </row>
    <row r="3075" spans="1:11" hidden="1" outlineLevel="2" x14ac:dyDescent="0.35">
      <c r="A3075" t="s">
        <v>131</v>
      </c>
      <c r="B3075" s="1">
        <v>45717</v>
      </c>
      <c r="C3075" t="s">
        <v>1788</v>
      </c>
      <c r="D3075" t="s">
        <v>1788</v>
      </c>
      <c r="F3075" t="str">
        <f t="shared" si="110"/>
        <v>44320000</v>
      </c>
      <c r="H3075" t="s">
        <v>5502</v>
      </c>
      <c r="I3075" s="1">
        <v>45744</v>
      </c>
      <c r="K3075" s="4">
        <v>7209954</v>
      </c>
    </row>
    <row r="3076" spans="1:11" hidden="1" outlineLevel="2" x14ac:dyDescent="0.35">
      <c r="A3076" t="s">
        <v>131</v>
      </c>
      <c r="B3076" s="1">
        <v>45718</v>
      </c>
      <c r="C3076" t="s">
        <v>5511</v>
      </c>
      <c r="D3076" t="s">
        <v>5511</v>
      </c>
      <c r="F3076" t="str">
        <f t="shared" si="110"/>
        <v>44320000</v>
      </c>
      <c r="H3076" t="s">
        <v>5512</v>
      </c>
      <c r="I3076" s="1">
        <v>45749</v>
      </c>
      <c r="K3076" s="4">
        <v>120600</v>
      </c>
    </row>
    <row r="3077" spans="1:11" hidden="1" outlineLevel="2" x14ac:dyDescent="0.35">
      <c r="A3077" t="s">
        <v>131</v>
      </c>
      <c r="B3077" s="1">
        <v>45718</v>
      </c>
      <c r="C3077" t="s">
        <v>5513</v>
      </c>
      <c r="D3077" t="s">
        <v>5513</v>
      </c>
      <c r="F3077" t="str">
        <f t="shared" si="110"/>
        <v>44320000</v>
      </c>
      <c r="H3077" t="s">
        <v>5514</v>
      </c>
      <c r="I3077" s="1">
        <v>45749</v>
      </c>
      <c r="J3077" s="4">
        <v>167670</v>
      </c>
    </row>
    <row r="3078" spans="1:11" hidden="1" outlineLevel="2" x14ac:dyDescent="0.35">
      <c r="A3078" t="s">
        <v>131</v>
      </c>
      <c r="B3078" s="1">
        <v>45719</v>
      </c>
      <c r="C3078" t="s">
        <v>5515</v>
      </c>
      <c r="D3078" t="s">
        <v>5515</v>
      </c>
      <c r="F3078" t="str">
        <f t="shared" si="110"/>
        <v>44320000</v>
      </c>
      <c r="H3078" t="s">
        <v>5516</v>
      </c>
      <c r="I3078" s="1">
        <v>45750</v>
      </c>
      <c r="K3078" s="4">
        <v>23400</v>
      </c>
    </row>
    <row r="3079" spans="1:11" hidden="1" outlineLevel="2" x14ac:dyDescent="0.35">
      <c r="A3079" t="s">
        <v>131</v>
      </c>
      <c r="B3079" s="1">
        <v>45720</v>
      </c>
      <c r="C3079" t="s">
        <v>5517</v>
      </c>
      <c r="D3079" t="s">
        <v>5517</v>
      </c>
      <c r="F3079" t="str">
        <f t="shared" si="110"/>
        <v>44320000</v>
      </c>
      <c r="H3079" t="s">
        <v>5518</v>
      </c>
      <c r="I3079" s="1">
        <v>45751</v>
      </c>
      <c r="K3079" s="4">
        <v>27000</v>
      </c>
    </row>
    <row r="3080" spans="1:11" hidden="1" outlineLevel="2" x14ac:dyDescent="0.35">
      <c r="A3080" t="s">
        <v>131</v>
      </c>
      <c r="B3080" s="1">
        <v>45720</v>
      </c>
      <c r="C3080" t="s">
        <v>5519</v>
      </c>
      <c r="D3080" t="s">
        <v>5519</v>
      </c>
      <c r="F3080" t="str">
        <f t="shared" si="110"/>
        <v>44320000</v>
      </c>
      <c r="H3080" t="s">
        <v>5518</v>
      </c>
      <c r="I3080" s="1">
        <v>45751</v>
      </c>
      <c r="K3080" s="4">
        <v>27000</v>
      </c>
    </row>
    <row r="3081" spans="1:11" hidden="1" outlineLevel="2" x14ac:dyDescent="0.35">
      <c r="A3081" t="s">
        <v>131</v>
      </c>
      <c r="B3081" s="1">
        <v>45720</v>
      </c>
      <c r="C3081" t="s">
        <v>5520</v>
      </c>
      <c r="D3081" t="s">
        <v>5520</v>
      </c>
      <c r="F3081" t="str">
        <f t="shared" si="110"/>
        <v>44320000</v>
      </c>
      <c r="H3081" t="s">
        <v>5518</v>
      </c>
      <c r="I3081" s="1">
        <v>45751</v>
      </c>
      <c r="K3081" s="4">
        <v>27000</v>
      </c>
    </row>
    <row r="3082" spans="1:11" hidden="1" outlineLevel="2" x14ac:dyDescent="0.35">
      <c r="A3082" t="s">
        <v>131</v>
      </c>
      <c r="B3082" s="1">
        <v>45720</v>
      </c>
      <c r="C3082" t="s">
        <v>5521</v>
      </c>
      <c r="D3082" t="s">
        <v>5521</v>
      </c>
      <c r="F3082" t="str">
        <f t="shared" si="110"/>
        <v>44320000</v>
      </c>
      <c r="H3082" t="s">
        <v>5522</v>
      </c>
      <c r="I3082" s="1">
        <v>45777</v>
      </c>
      <c r="K3082" s="4">
        <v>35640</v>
      </c>
    </row>
    <row r="3083" spans="1:11" hidden="1" outlineLevel="2" x14ac:dyDescent="0.35">
      <c r="A3083" t="s">
        <v>131</v>
      </c>
      <c r="B3083" s="1">
        <v>45720</v>
      </c>
      <c r="C3083" t="s">
        <v>5523</v>
      </c>
      <c r="D3083" t="s">
        <v>5523</v>
      </c>
      <c r="F3083" t="str">
        <f t="shared" si="110"/>
        <v>44320000</v>
      </c>
      <c r="H3083" t="s">
        <v>5508</v>
      </c>
      <c r="I3083" s="1">
        <v>45751</v>
      </c>
      <c r="K3083" s="4">
        <v>3911</v>
      </c>
    </row>
    <row r="3084" spans="1:11" hidden="1" outlineLevel="2" x14ac:dyDescent="0.35">
      <c r="A3084" t="s">
        <v>131</v>
      </c>
      <c r="B3084" s="1">
        <v>45721</v>
      </c>
      <c r="C3084" t="s">
        <v>5524</v>
      </c>
      <c r="D3084" t="s">
        <v>5524</v>
      </c>
      <c r="F3084" t="str">
        <f t="shared" si="110"/>
        <v>44320000</v>
      </c>
      <c r="H3084" t="s">
        <v>5518</v>
      </c>
      <c r="I3084" s="1">
        <v>45752</v>
      </c>
      <c r="K3084" s="4">
        <v>27000</v>
      </c>
    </row>
    <row r="3085" spans="1:11" hidden="1" outlineLevel="2" x14ac:dyDescent="0.35">
      <c r="A3085" t="s">
        <v>131</v>
      </c>
      <c r="B3085" s="1">
        <v>45721</v>
      </c>
      <c r="C3085" t="s">
        <v>5527</v>
      </c>
      <c r="D3085" t="s">
        <v>5527</v>
      </c>
      <c r="F3085" t="str">
        <f t="shared" si="110"/>
        <v>44320000</v>
      </c>
      <c r="H3085" t="s">
        <v>5506</v>
      </c>
      <c r="I3085" s="1">
        <v>45752</v>
      </c>
      <c r="K3085" s="4">
        <v>1271604</v>
      </c>
    </row>
    <row r="3086" spans="1:11" hidden="1" outlineLevel="2" x14ac:dyDescent="0.35">
      <c r="A3086" t="s">
        <v>131</v>
      </c>
      <c r="B3086" s="1">
        <v>45722</v>
      </c>
      <c r="C3086" t="s">
        <v>5528</v>
      </c>
      <c r="D3086" t="s">
        <v>5528</v>
      </c>
      <c r="F3086" t="str">
        <f t="shared" si="110"/>
        <v>44320000</v>
      </c>
      <c r="H3086" t="s">
        <v>5512</v>
      </c>
      <c r="I3086" s="1">
        <v>45753</v>
      </c>
      <c r="K3086" s="4">
        <v>36180</v>
      </c>
    </row>
    <row r="3087" spans="1:11" hidden="1" outlineLevel="2" x14ac:dyDescent="0.35">
      <c r="A3087" t="s">
        <v>131</v>
      </c>
      <c r="B3087" s="1">
        <v>45722</v>
      </c>
      <c r="C3087" t="s">
        <v>5529</v>
      </c>
      <c r="D3087" t="s">
        <v>5529</v>
      </c>
      <c r="F3087" t="str">
        <f t="shared" si="110"/>
        <v>44320000</v>
      </c>
      <c r="H3087" t="s">
        <v>5518</v>
      </c>
      <c r="I3087" s="1">
        <v>45753</v>
      </c>
      <c r="K3087" s="4">
        <v>27000</v>
      </c>
    </row>
    <row r="3088" spans="1:11" hidden="1" outlineLevel="2" x14ac:dyDescent="0.35">
      <c r="A3088" t="s">
        <v>131</v>
      </c>
      <c r="B3088" s="1">
        <v>45722</v>
      </c>
      <c r="C3088" t="s">
        <v>5530</v>
      </c>
      <c r="D3088" t="s">
        <v>5530</v>
      </c>
      <c r="F3088" t="str">
        <f t="shared" si="110"/>
        <v>44320000</v>
      </c>
      <c r="H3088" t="s">
        <v>5518</v>
      </c>
      <c r="I3088" s="1">
        <v>45753</v>
      </c>
      <c r="K3088" s="4">
        <v>27000</v>
      </c>
    </row>
    <row r="3089" spans="1:11" hidden="1" outlineLevel="2" x14ac:dyDescent="0.35">
      <c r="A3089" t="s">
        <v>131</v>
      </c>
      <c r="B3089" s="1">
        <v>45722</v>
      </c>
      <c r="C3089" t="s">
        <v>5531</v>
      </c>
      <c r="D3089" t="s">
        <v>5531</v>
      </c>
      <c r="F3089" t="str">
        <f t="shared" si="110"/>
        <v>44320000</v>
      </c>
      <c r="H3089" t="s">
        <v>5518</v>
      </c>
      <c r="I3089" s="1">
        <v>45753</v>
      </c>
      <c r="K3089" s="4">
        <v>27000</v>
      </c>
    </row>
    <row r="3090" spans="1:11" hidden="1" outlineLevel="2" x14ac:dyDescent="0.35">
      <c r="A3090" t="s">
        <v>131</v>
      </c>
      <c r="B3090" s="1">
        <v>45722</v>
      </c>
      <c r="C3090" t="s">
        <v>5532</v>
      </c>
      <c r="D3090" t="s">
        <v>5532</v>
      </c>
      <c r="F3090" t="str">
        <f t="shared" si="110"/>
        <v>44320000</v>
      </c>
      <c r="H3090" t="s">
        <v>5518</v>
      </c>
      <c r="I3090" s="1">
        <v>45753</v>
      </c>
      <c r="K3090" s="4">
        <v>27000</v>
      </c>
    </row>
    <row r="3091" spans="1:11" hidden="1" outlineLevel="2" x14ac:dyDescent="0.35">
      <c r="A3091" t="s">
        <v>131</v>
      </c>
      <c r="B3091" s="1">
        <v>45722</v>
      </c>
      <c r="C3091" t="s">
        <v>5533</v>
      </c>
      <c r="D3091" t="s">
        <v>5533</v>
      </c>
      <c r="F3091" t="str">
        <f t="shared" si="110"/>
        <v>44320000</v>
      </c>
      <c r="H3091" t="s">
        <v>5518</v>
      </c>
      <c r="I3091" s="1">
        <v>45753</v>
      </c>
      <c r="K3091" s="4">
        <v>27000</v>
      </c>
    </row>
    <row r="3092" spans="1:11" hidden="1" outlineLevel="2" x14ac:dyDescent="0.35">
      <c r="A3092" t="s">
        <v>131</v>
      </c>
      <c r="B3092" s="1">
        <v>45722</v>
      </c>
      <c r="C3092" t="s">
        <v>5534</v>
      </c>
      <c r="D3092" t="s">
        <v>5534</v>
      </c>
      <c r="F3092" t="str">
        <f t="shared" si="110"/>
        <v>44320000</v>
      </c>
      <c r="H3092" t="s">
        <v>5518</v>
      </c>
      <c r="I3092" s="1">
        <v>45753</v>
      </c>
      <c r="K3092" s="4">
        <v>27000</v>
      </c>
    </row>
    <row r="3093" spans="1:11" hidden="1" outlineLevel="2" x14ac:dyDescent="0.35">
      <c r="A3093" t="s">
        <v>131</v>
      </c>
      <c r="B3093" s="1">
        <v>45722</v>
      </c>
      <c r="C3093" t="s">
        <v>5535</v>
      </c>
      <c r="D3093" t="s">
        <v>5535</v>
      </c>
      <c r="F3093" t="str">
        <f t="shared" si="110"/>
        <v>44320000</v>
      </c>
      <c r="H3093" t="s">
        <v>5518</v>
      </c>
      <c r="I3093" s="1">
        <v>45753</v>
      </c>
      <c r="K3093" s="4">
        <v>27000</v>
      </c>
    </row>
    <row r="3094" spans="1:11" hidden="1" outlineLevel="2" x14ac:dyDescent="0.35">
      <c r="A3094" t="s">
        <v>131</v>
      </c>
      <c r="B3094" s="1">
        <v>45722</v>
      </c>
      <c r="C3094" t="s">
        <v>5536</v>
      </c>
      <c r="D3094" t="s">
        <v>5536</v>
      </c>
      <c r="F3094" t="str">
        <f t="shared" si="110"/>
        <v>44320000</v>
      </c>
      <c r="H3094" t="s">
        <v>5518</v>
      </c>
      <c r="I3094" s="1">
        <v>45753</v>
      </c>
      <c r="K3094" s="4">
        <v>27000</v>
      </c>
    </row>
    <row r="3095" spans="1:11" hidden="1" outlineLevel="2" x14ac:dyDescent="0.35">
      <c r="A3095" t="s">
        <v>131</v>
      </c>
      <c r="B3095" s="1">
        <v>45722</v>
      </c>
      <c r="C3095" t="s">
        <v>5537</v>
      </c>
      <c r="D3095" t="s">
        <v>5537</v>
      </c>
      <c r="F3095" t="str">
        <f t="shared" si="110"/>
        <v>44320000</v>
      </c>
      <c r="H3095" t="s">
        <v>5518</v>
      </c>
      <c r="I3095" s="1">
        <v>45753</v>
      </c>
      <c r="K3095" s="4">
        <v>27000</v>
      </c>
    </row>
    <row r="3096" spans="1:11" hidden="1" outlineLevel="2" x14ac:dyDescent="0.35">
      <c r="A3096" t="s">
        <v>131</v>
      </c>
      <c r="B3096" s="1">
        <v>45722</v>
      </c>
      <c r="C3096" t="s">
        <v>5538</v>
      </c>
      <c r="D3096" t="s">
        <v>5538</v>
      </c>
      <c r="F3096" t="str">
        <f t="shared" si="110"/>
        <v>44320000</v>
      </c>
      <c r="H3096" t="s">
        <v>5518</v>
      </c>
      <c r="I3096" s="1">
        <v>45753</v>
      </c>
      <c r="K3096" s="4">
        <v>27000</v>
      </c>
    </row>
    <row r="3097" spans="1:11" hidden="1" outlineLevel="2" x14ac:dyDescent="0.35">
      <c r="A3097" t="s">
        <v>131</v>
      </c>
      <c r="B3097" s="1">
        <v>45722</v>
      </c>
      <c r="C3097" t="s">
        <v>5539</v>
      </c>
      <c r="D3097" t="s">
        <v>5539</v>
      </c>
      <c r="F3097" t="str">
        <f t="shared" si="110"/>
        <v>44320000</v>
      </c>
      <c r="H3097" t="s">
        <v>5518</v>
      </c>
      <c r="I3097" s="1">
        <v>45753</v>
      </c>
      <c r="K3097" s="4">
        <v>54000</v>
      </c>
    </row>
    <row r="3098" spans="1:11" hidden="1" outlineLevel="2" x14ac:dyDescent="0.35">
      <c r="A3098" t="s">
        <v>131</v>
      </c>
      <c r="B3098" s="1">
        <v>45722</v>
      </c>
      <c r="C3098" t="s">
        <v>5540</v>
      </c>
      <c r="D3098" t="s">
        <v>5540</v>
      </c>
      <c r="F3098" t="str">
        <f t="shared" si="110"/>
        <v>44320000</v>
      </c>
      <c r="H3098" t="s">
        <v>5518</v>
      </c>
      <c r="I3098" s="1">
        <v>45753</v>
      </c>
      <c r="K3098" s="4">
        <v>27000</v>
      </c>
    </row>
    <row r="3099" spans="1:11" hidden="1" outlineLevel="2" x14ac:dyDescent="0.35">
      <c r="A3099" t="s">
        <v>131</v>
      </c>
      <c r="B3099" s="1">
        <v>45722</v>
      </c>
      <c r="C3099" t="s">
        <v>5541</v>
      </c>
      <c r="D3099" t="s">
        <v>5541</v>
      </c>
      <c r="F3099" t="str">
        <f t="shared" si="110"/>
        <v>44320000</v>
      </c>
      <c r="H3099" t="s">
        <v>180</v>
      </c>
      <c r="I3099" s="1">
        <v>45777</v>
      </c>
      <c r="K3099" s="4">
        <v>54000</v>
      </c>
    </row>
    <row r="3100" spans="1:11" hidden="1" outlineLevel="2" x14ac:dyDescent="0.35">
      <c r="A3100" t="s">
        <v>131</v>
      </c>
      <c r="B3100" s="1">
        <v>45722</v>
      </c>
      <c r="C3100" t="s">
        <v>5542</v>
      </c>
      <c r="D3100" t="s">
        <v>5542</v>
      </c>
      <c r="F3100" t="str">
        <f t="shared" si="110"/>
        <v>44320000</v>
      </c>
      <c r="H3100" t="s">
        <v>5522</v>
      </c>
      <c r="I3100" s="1">
        <v>45777</v>
      </c>
      <c r="K3100" s="4">
        <v>35640</v>
      </c>
    </row>
    <row r="3101" spans="1:11" hidden="1" outlineLevel="2" x14ac:dyDescent="0.35">
      <c r="A3101" t="s">
        <v>131</v>
      </c>
      <c r="B3101" s="1">
        <v>45722</v>
      </c>
      <c r="C3101" t="s">
        <v>5543</v>
      </c>
      <c r="D3101" t="s">
        <v>5543</v>
      </c>
      <c r="F3101" t="str">
        <f t="shared" si="110"/>
        <v>44320000</v>
      </c>
      <c r="H3101" t="s">
        <v>5522</v>
      </c>
      <c r="I3101" s="1">
        <v>45777</v>
      </c>
      <c r="K3101" s="4">
        <v>11880</v>
      </c>
    </row>
    <row r="3102" spans="1:11" hidden="1" outlineLevel="2" x14ac:dyDescent="0.35">
      <c r="A3102" t="s">
        <v>131</v>
      </c>
      <c r="B3102" s="1">
        <v>45723</v>
      </c>
      <c r="C3102" t="s">
        <v>5544</v>
      </c>
      <c r="D3102" t="s">
        <v>5544</v>
      </c>
      <c r="F3102" t="str">
        <f t="shared" si="110"/>
        <v>44320000</v>
      </c>
      <c r="H3102" t="s">
        <v>5512</v>
      </c>
      <c r="I3102" s="1">
        <v>45754</v>
      </c>
      <c r="K3102" s="4">
        <v>192960</v>
      </c>
    </row>
    <row r="3103" spans="1:11" hidden="1" outlineLevel="2" x14ac:dyDescent="0.35">
      <c r="A3103" t="s">
        <v>131</v>
      </c>
      <c r="B3103" s="1">
        <v>45723</v>
      </c>
      <c r="C3103" t="s">
        <v>5545</v>
      </c>
      <c r="D3103" t="s">
        <v>5545</v>
      </c>
      <c r="F3103" t="str">
        <f t="shared" si="110"/>
        <v>44320000</v>
      </c>
      <c r="H3103" t="s">
        <v>5512</v>
      </c>
      <c r="I3103" s="1">
        <v>45754</v>
      </c>
      <c r="K3103" s="4">
        <v>36180</v>
      </c>
    </row>
    <row r="3104" spans="1:11" hidden="1" outlineLevel="2" x14ac:dyDescent="0.35">
      <c r="A3104" t="s">
        <v>131</v>
      </c>
      <c r="B3104" s="1">
        <v>45723</v>
      </c>
      <c r="C3104" t="s">
        <v>5546</v>
      </c>
      <c r="D3104" t="s">
        <v>5546</v>
      </c>
      <c r="F3104" t="str">
        <f t="shared" si="110"/>
        <v>44320000</v>
      </c>
      <c r="H3104" t="s">
        <v>5518</v>
      </c>
      <c r="I3104" s="1">
        <v>45754</v>
      </c>
      <c r="K3104" s="4">
        <v>27000</v>
      </c>
    </row>
    <row r="3105" spans="1:11" hidden="1" outlineLevel="2" x14ac:dyDescent="0.35">
      <c r="A3105" t="s">
        <v>131</v>
      </c>
      <c r="B3105" s="1">
        <v>45723</v>
      </c>
      <c r="C3105" t="s">
        <v>5547</v>
      </c>
      <c r="D3105" t="s">
        <v>5547</v>
      </c>
      <c r="F3105" t="str">
        <f t="shared" si="110"/>
        <v>44320000</v>
      </c>
      <c r="H3105" t="s">
        <v>5518</v>
      </c>
      <c r="I3105" s="1">
        <v>45754</v>
      </c>
      <c r="K3105" s="4">
        <v>27000</v>
      </c>
    </row>
    <row r="3106" spans="1:11" hidden="1" outlineLevel="2" x14ac:dyDescent="0.35">
      <c r="A3106" t="s">
        <v>131</v>
      </c>
      <c r="B3106" s="1">
        <v>45723</v>
      </c>
      <c r="C3106" t="s">
        <v>5548</v>
      </c>
      <c r="D3106" t="s">
        <v>5548</v>
      </c>
      <c r="F3106" t="str">
        <f t="shared" si="110"/>
        <v>44320000</v>
      </c>
      <c r="H3106" t="s">
        <v>5518</v>
      </c>
      <c r="I3106" s="1">
        <v>45754</v>
      </c>
      <c r="K3106" s="4">
        <v>27000</v>
      </c>
    </row>
    <row r="3107" spans="1:11" hidden="1" outlineLevel="2" x14ac:dyDescent="0.35">
      <c r="A3107" t="s">
        <v>131</v>
      </c>
      <c r="B3107" s="1">
        <v>45723</v>
      </c>
      <c r="C3107" t="s">
        <v>5549</v>
      </c>
      <c r="D3107" t="s">
        <v>5549</v>
      </c>
      <c r="F3107" t="str">
        <f t="shared" si="110"/>
        <v>44320000</v>
      </c>
      <c r="H3107" t="s">
        <v>5518</v>
      </c>
      <c r="I3107" s="1">
        <v>45754</v>
      </c>
      <c r="K3107" s="4">
        <v>27000</v>
      </c>
    </row>
    <row r="3108" spans="1:11" hidden="1" outlineLevel="2" x14ac:dyDescent="0.35">
      <c r="A3108" t="s">
        <v>131</v>
      </c>
      <c r="B3108" s="1">
        <v>45723</v>
      </c>
      <c r="C3108" t="s">
        <v>5550</v>
      </c>
      <c r="D3108" t="s">
        <v>5550</v>
      </c>
      <c r="F3108" t="str">
        <f t="shared" si="110"/>
        <v>44320000</v>
      </c>
      <c r="H3108" t="s">
        <v>5551</v>
      </c>
      <c r="I3108" s="1">
        <v>45723</v>
      </c>
      <c r="K3108" s="4">
        <v>53460</v>
      </c>
    </row>
    <row r="3109" spans="1:11" hidden="1" outlineLevel="2" x14ac:dyDescent="0.35">
      <c r="A3109" t="s">
        <v>131</v>
      </c>
      <c r="B3109" s="1">
        <v>45723</v>
      </c>
      <c r="C3109" t="s">
        <v>5552</v>
      </c>
      <c r="D3109" t="s">
        <v>5552</v>
      </c>
      <c r="F3109" t="str">
        <f t="shared" si="110"/>
        <v>44320000</v>
      </c>
      <c r="H3109" t="s">
        <v>180</v>
      </c>
      <c r="I3109" s="1">
        <v>45777</v>
      </c>
      <c r="K3109" s="4">
        <v>17820</v>
      </c>
    </row>
    <row r="3110" spans="1:11" hidden="1" outlineLevel="2" x14ac:dyDescent="0.35">
      <c r="A3110" t="s">
        <v>131</v>
      </c>
      <c r="B3110" s="1">
        <v>45723</v>
      </c>
      <c r="C3110" t="s">
        <v>5553</v>
      </c>
      <c r="D3110" t="s">
        <v>5553</v>
      </c>
      <c r="F3110" t="str">
        <f t="shared" si="110"/>
        <v>44320000</v>
      </c>
      <c r="H3110" t="s">
        <v>5522</v>
      </c>
      <c r="I3110" s="1">
        <v>45777</v>
      </c>
      <c r="K3110" s="4">
        <v>118800</v>
      </c>
    </row>
    <row r="3111" spans="1:11" hidden="1" outlineLevel="2" x14ac:dyDescent="0.35">
      <c r="A3111" t="s">
        <v>131</v>
      </c>
      <c r="B3111" s="1">
        <v>45723</v>
      </c>
      <c r="C3111" t="s">
        <v>5554</v>
      </c>
      <c r="D3111" t="s">
        <v>5554</v>
      </c>
      <c r="F3111" t="str">
        <f t="shared" si="110"/>
        <v>44320000</v>
      </c>
      <c r="H3111" t="s">
        <v>5555</v>
      </c>
      <c r="I3111" s="1">
        <v>45723</v>
      </c>
      <c r="K3111" s="4">
        <v>18000</v>
      </c>
    </row>
    <row r="3112" spans="1:11" hidden="1" outlineLevel="2" x14ac:dyDescent="0.35">
      <c r="A3112" t="s">
        <v>131</v>
      </c>
      <c r="B3112" s="1">
        <v>45725</v>
      </c>
      <c r="C3112" t="s">
        <v>5557</v>
      </c>
      <c r="D3112" t="s">
        <v>5557</v>
      </c>
      <c r="F3112" t="str">
        <f t="shared" si="110"/>
        <v>44320000</v>
      </c>
      <c r="H3112" t="s">
        <v>5508</v>
      </c>
      <c r="I3112" s="1">
        <v>45756</v>
      </c>
      <c r="K3112" s="4">
        <v>167670</v>
      </c>
    </row>
    <row r="3113" spans="1:11" hidden="1" outlineLevel="2" x14ac:dyDescent="0.35">
      <c r="A3113" t="s">
        <v>131</v>
      </c>
      <c r="B3113" s="1">
        <v>45725</v>
      </c>
      <c r="C3113" t="s">
        <v>5558</v>
      </c>
      <c r="D3113" t="s">
        <v>5558</v>
      </c>
      <c r="F3113" t="str">
        <f t="shared" si="110"/>
        <v>44320000</v>
      </c>
      <c r="H3113" t="s">
        <v>5508</v>
      </c>
      <c r="I3113" s="1">
        <v>45756</v>
      </c>
      <c r="K3113" s="4">
        <v>167670</v>
      </c>
    </row>
    <row r="3114" spans="1:11" hidden="1" outlineLevel="2" x14ac:dyDescent="0.35">
      <c r="A3114" t="s">
        <v>131</v>
      </c>
      <c r="B3114" s="1">
        <v>45725</v>
      </c>
      <c r="C3114" t="s">
        <v>5559</v>
      </c>
      <c r="D3114" t="s">
        <v>5559</v>
      </c>
      <c r="F3114" t="str">
        <f t="shared" si="110"/>
        <v>44320000</v>
      </c>
      <c r="H3114" t="s">
        <v>5508</v>
      </c>
      <c r="I3114" s="1">
        <v>45756</v>
      </c>
      <c r="K3114" s="4">
        <v>167670</v>
      </c>
    </row>
    <row r="3115" spans="1:11" hidden="1" outlineLevel="2" x14ac:dyDescent="0.35">
      <c r="A3115" t="s">
        <v>131</v>
      </c>
      <c r="B3115" s="1">
        <v>45725</v>
      </c>
      <c r="C3115" t="s">
        <v>5560</v>
      </c>
      <c r="D3115" t="s">
        <v>5560</v>
      </c>
      <c r="F3115" t="str">
        <f t="shared" si="110"/>
        <v>44320000</v>
      </c>
      <c r="H3115" t="s">
        <v>5508</v>
      </c>
      <c r="I3115" s="1">
        <v>45756</v>
      </c>
      <c r="K3115" s="4">
        <v>167670</v>
      </c>
    </row>
    <row r="3116" spans="1:11" hidden="1" outlineLevel="2" x14ac:dyDescent="0.35">
      <c r="A3116" t="s">
        <v>131</v>
      </c>
      <c r="B3116" s="1">
        <v>45726</v>
      </c>
      <c r="C3116" t="s">
        <v>5561</v>
      </c>
      <c r="D3116" t="s">
        <v>5561</v>
      </c>
      <c r="F3116" t="str">
        <f t="shared" si="110"/>
        <v>44320000</v>
      </c>
      <c r="H3116" t="s">
        <v>180</v>
      </c>
      <c r="I3116" s="1">
        <v>45777</v>
      </c>
      <c r="K3116" s="4">
        <v>53460</v>
      </c>
    </row>
    <row r="3117" spans="1:11" hidden="1" outlineLevel="2" x14ac:dyDescent="0.35">
      <c r="A3117" t="s">
        <v>131</v>
      </c>
      <c r="B3117" s="1">
        <v>45726</v>
      </c>
      <c r="C3117" t="s">
        <v>5562</v>
      </c>
      <c r="D3117" t="s">
        <v>5562</v>
      </c>
      <c r="F3117" t="str">
        <f t="shared" si="110"/>
        <v>44320000</v>
      </c>
      <c r="H3117" t="s">
        <v>5508</v>
      </c>
      <c r="I3117" s="1">
        <v>45757</v>
      </c>
      <c r="K3117" s="4">
        <v>1006020</v>
      </c>
    </row>
    <row r="3118" spans="1:11" hidden="1" outlineLevel="2" x14ac:dyDescent="0.35">
      <c r="A3118" t="s">
        <v>131</v>
      </c>
      <c r="B3118" s="1">
        <v>45726</v>
      </c>
      <c r="C3118" t="s">
        <v>5563</v>
      </c>
      <c r="D3118" t="s">
        <v>5563</v>
      </c>
      <c r="F3118" t="str">
        <f t="shared" si="110"/>
        <v>44320000</v>
      </c>
      <c r="H3118" t="s">
        <v>5508</v>
      </c>
      <c r="I3118" s="1">
        <v>45757</v>
      </c>
      <c r="K3118" s="4">
        <v>838350</v>
      </c>
    </row>
    <row r="3119" spans="1:11" hidden="1" outlineLevel="2" x14ac:dyDescent="0.35">
      <c r="A3119" t="s">
        <v>131</v>
      </c>
      <c r="B3119" s="1">
        <v>45726</v>
      </c>
      <c r="C3119" t="s">
        <v>5564</v>
      </c>
      <c r="D3119" t="s">
        <v>5564</v>
      </c>
      <c r="F3119" t="str">
        <f t="shared" si="110"/>
        <v>44320000</v>
      </c>
      <c r="H3119" t="s">
        <v>5508</v>
      </c>
      <c r="I3119" s="1">
        <v>45757</v>
      </c>
      <c r="K3119" s="4">
        <v>838350</v>
      </c>
    </row>
    <row r="3120" spans="1:11" hidden="1" outlineLevel="2" x14ac:dyDescent="0.35">
      <c r="A3120" t="s">
        <v>131</v>
      </c>
      <c r="B3120" s="1">
        <v>45726</v>
      </c>
      <c r="C3120" t="s">
        <v>5565</v>
      </c>
      <c r="D3120" t="s">
        <v>5565</v>
      </c>
      <c r="F3120" t="str">
        <f t="shared" si="110"/>
        <v>44320000</v>
      </c>
      <c r="H3120" t="s">
        <v>5508</v>
      </c>
      <c r="I3120" s="1">
        <v>45757</v>
      </c>
      <c r="K3120" s="4">
        <v>335340</v>
      </c>
    </row>
    <row r="3121" spans="1:11" hidden="1" outlineLevel="2" x14ac:dyDescent="0.35">
      <c r="A3121" t="s">
        <v>131</v>
      </c>
      <c r="B3121" s="1">
        <v>45726</v>
      </c>
      <c r="C3121" t="s">
        <v>5566</v>
      </c>
      <c r="D3121" t="s">
        <v>5566</v>
      </c>
      <c r="F3121" t="str">
        <f t="shared" si="110"/>
        <v>44320000</v>
      </c>
      <c r="H3121" t="s">
        <v>5508</v>
      </c>
      <c r="I3121" s="1">
        <v>45757</v>
      </c>
      <c r="K3121" s="4">
        <v>167670</v>
      </c>
    </row>
    <row r="3122" spans="1:11" hidden="1" outlineLevel="2" x14ac:dyDescent="0.35">
      <c r="A3122" t="s">
        <v>131</v>
      </c>
      <c r="B3122" s="1">
        <v>45726</v>
      </c>
      <c r="C3122" t="s">
        <v>5567</v>
      </c>
      <c r="D3122" t="s">
        <v>5567</v>
      </c>
      <c r="F3122" t="str">
        <f t="shared" si="110"/>
        <v>44320000</v>
      </c>
      <c r="H3122" t="s">
        <v>5508</v>
      </c>
      <c r="I3122" s="1">
        <v>45757</v>
      </c>
      <c r="K3122" s="4">
        <v>838350</v>
      </c>
    </row>
    <row r="3123" spans="1:11" hidden="1" outlineLevel="2" x14ac:dyDescent="0.35">
      <c r="A3123" t="s">
        <v>131</v>
      </c>
      <c r="B3123" s="1">
        <v>45726</v>
      </c>
      <c r="C3123" t="s">
        <v>5568</v>
      </c>
      <c r="D3123" t="s">
        <v>5568</v>
      </c>
      <c r="F3123" t="str">
        <f t="shared" si="110"/>
        <v>44320000</v>
      </c>
      <c r="H3123" t="s">
        <v>5508</v>
      </c>
      <c r="I3123" s="1">
        <v>45757</v>
      </c>
      <c r="K3123" s="4">
        <v>80064</v>
      </c>
    </row>
    <row r="3124" spans="1:11" hidden="1" outlineLevel="2" x14ac:dyDescent="0.35">
      <c r="A3124" t="s">
        <v>131</v>
      </c>
      <c r="B3124" s="1">
        <v>45726</v>
      </c>
      <c r="C3124" t="s">
        <v>5569</v>
      </c>
      <c r="D3124" t="s">
        <v>5569</v>
      </c>
      <c r="F3124" t="str">
        <f t="shared" si="110"/>
        <v>44320000</v>
      </c>
      <c r="H3124" t="s">
        <v>5512</v>
      </c>
      <c r="I3124" s="1">
        <v>45757</v>
      </c>
      <c r="K3124" s="4">
        <v>48240</v>
      </c>
    </row>
    <row r="3125" spans="1:11" hidden="1" outlineLevel="2" x14ac:dyDescent="0.35">
      <c r="A3125" t="s">
        <v>131</v>
      </c>
      <c r="B3125" s="1">
        <v>45726</v>
      </c>
      <c r="C3125" t="s">
        <v>5570</v>
      </c>
      <c r="D3125" t="s">
        <v>5570</v>
      </c>
      <c r="F3125" t="str">
        <f t="shared" ref="F3125:F3188" si="111">"44320000"</f>
        <v>44320000</v>
      </c>
      <c r="H3125" t="s">
        <v>5518</v>
      </c>
      <c r="I3125" s="1">
        <v>45757</v>
      </c>
      <c r="K3125" s="4">
        <v>27000</v>
      </c>
    </row>
    <row r="3126" spans="1:11" hidden="1" outlineLevel="2" x14ac:dyDescent="0.35">
      <c r="A3126" t="s">
        <v>131</v>
      </c>
      <c r="B3126" s="1">
        <v>45726</v>
      </c>
      <c r="C3126" t="s">
        <v>5571</v>
      </c>
      <c r="D3126" t="s">
        <v>5571</v>
      </c>
      <c r="F3126" t="str">
        <f t="shared" si="111"/>
        <v>44320000</v>
      </c>
      <c r="H3126" t="s">
        <v>5522</v>
      </c>
      <c r="I3126" s="1">
        <v>45757</v>
      </c>
      <c r="K3126" s="4">
        <v>17820</v>
      </c>
    </row>
    <row r="3127" spans="1:11" hidden="1" outlineLevel="2" x14ac:dyDescent="0.35">
      <c r="A3127" t="s">
        <v>131</v>
      </c>
      <c r="B3127" s="1">
        <v>45726</v>
      </c>
      <c r="C3127" t="s">
        <v>5572</v>
      </c>
      <c r="D3127" t="s">
        <v>5572</v>
      </c>
      <c r="F3127" t="str">
        <f t="shared" si="111"/>
        <v>44320000</v>
      </c>
      <c r="H3127" t="s">
        <v>5573</v>
      </c>
      <c r="I3127" s="1">
        <v>45757</v>
      </c>
      <c r="K3127" s="4">
        <v>252000</v>
      </c>
    </row>
    <row r="3128" spans="1:11" hidden="1" outlineLevel="2" x14ac:dyDescent="0.35">
      <c r="A3128" t="s">
        <v>131</v>
      </c>
      <c r="B3128" s="1">
        <v>45726</v>
      </c>
      <c r="C3128" t="s">
        <v>5574</v>
      </c>
      <c r="D3128" t="s">
        <v>5574</v>
      </c>
      <c r="F3128" t="str">
        <f t="shared" si="111"/>
        <v>44320000</v>
      </c>
      <c r="H3128" t="s">
        <v>5573</v>
      </c>
      <c r="I3128" s="1">
        <v>45757</v>
      </c>
      <c r="K3128" s="4">
        <v>216000</v>
      </c>
    </row>
    <row r="3129" spans="1:11" hidden="1" outlineLevel="2" x14ac:dyDescent="0.35">
      <c r="A3129" t="s">
        <v>131</v>
      </c>
      <c r="B3129" s="1">
        <v>45726</v>
      </c>
      <c r="C3129" t="s">
        <v>5575</v>
      </c>
      <c r="D3129" t="s">
        <v>5575</v>
      </c>
      <c r="F3129" t="str">
        <f t="shared" si="111"/>
        <v>44320000</v>
      </c>
      <c r="H3129" t="s">
        <v>5576</v>
      </c>
      <c r="I3129" s="1">
        <v>45726</v>
      </c>
      <c r="K3129" s="4">
        <v>90000</v>
      </c>
    </row>
    <row r="3130" spans="1:11" hidden="1" outlineLevel="2" x14ac:dyDescent="0.35">
      <c r="A3130" t="s">
        <v>131</v>
      </c>
      <c r="B3130" s="1">
        <v>45726</v>
      </c>
      <c r="C3130" t="s">
        <v>5577</v>
      </c>
      <c r="D3130" t="s">
        <v>5577</v>
      </c>
      <c r="F3130" t="str">
        <f t="shared" si="111"/>
        <v>44320000</v>
      </c>
      <c r="H3130" t="s">
        <v>5578</v>
      </c>
      <c r="I3130" s="1">
        <v>45777</v>
      </c>
      <c r="K3130" s="4">
        <v>97200</v>
      </c>
    </row>
    <row r="3131" spans="1:11" hidden="1" outlineLevel="2" x14ac:dyDescent="0.35">
      <c r="A3131" t="s">
        <v>131</v>
      </c>
      <c r="B3131" s="1">
        <v>45726</v>
      </c>
      <c r="C3131" t="s">
        <v>5579</v>
      </c>
      <c r="D3131" t="s">
        <v>5579</v>
      </c>
      <c r="F3131" t="str">
        <f t="shared" si="111"/>
        <v>44320000</v>
      </c>
      <c r="H3131" t="s">
        <v>5578</v>
      </c>
      <c r="I3131" s="1">
        <v>45777</v>
      </c>
      <c r="K3131" s="4">
        <v>142200</v>
      </c>
    </row>
    <row r="3132" spans="1:11" hidden="1" outlineLevel="2" x14ac:dyDescent="0.35">
      <c r="A3132" t="s">
        <v>131</v>
      </c>
      <c r="B3132" s="1">
        <v>45726</v>
      </c>
      <c r="C3132" t="s">
        <v>5580</v>
      </c>
      <c r="D3132" t="s">
        <v>5580</v>
      </c>
      <c r="F3132" t="str">
        <f t="shared" si="111"/>
        <v>44320000</v>
      </c>
      <c r="H3132" t="s">
        <v>5581</v>
      </c>
      <c r="I3132" s="1">
        <v>45757</v>
      </c>
      <c r="K3132" s="4">
        <v>485938</v>
      </c>
    </row>
    <row r="3133" spans="1:11" hidden="1" outlineLevel="2" x14ac:dyDescent="0.35">
      <c r="A3133" t="s">
        <v>131</v>
      </c>
      <c r="B3133" s="1">
        <v>45726</v>
      </c>
      <c r="C3133" t="s">
        <v>5582</v>
      </c>
      <c r="D3133" t="s">
        <v>5582</v>
      </c>
      <c r="F3133" t="str">
        <f t="shared" si="111"/>
        <v>44320000</v>
      </c>
      <c r="H3133" t="s">
        <v>5581</v>
      </c>
      <c r="I3133" s="1">
        <v>45757</v>
      </c>
      <c r="K3133" s="4">
        <v>7491472</v>
      </c>
    </row>
    <row r="3134" spans="1:11" hidden="1" outlineLevel="2" x14ac:dyDescent="0.35">
      <c r="A3134" t="s">
        <v>131</v>
      </c>
      <c r="B3134" s="1">
        <v>45726</v>
      </c>
      <c r="C3134" t="s">
        <v>5583</v>
      </c>
      <c r="D3134" t="s">
        <v>5583</v>
      </c>
      <c r="F3134" t="str">
        <f t="shared" si="111"/>
        <v>44320000</v>
      </c>
      <c r="H3134" t="s">
        <v>5508</v>
      </c>
      <c r="I3134" s="1">
        <v>45757</v>
      </c>
      <c r="K3134" s="4">
        <v>167670</v>
      </c>
    </row>
    <row r="3135" spans="1:11" hidden="1" outlineLevel="2" x14ac:dyDescent="0.35">
      <c r="A3135" t="s">
        <v>131</v>
      </c>
      <c r="B3135" s="1">
        <v>45726</v>
      </c>
      <c r="C3135" t="s">
        <v>5584</v>
      </c>
      <c r="D3135" t="s">
        <v>5584</v>
      </c>
      <c r="F3135" t="str">
        <f t="shared" si="111"/>
        <v>44320000</v>
      </c>
      <c r="H3135" t="s">
        <v>5585</v>
      </c>
      <c r="I3135" s="1">
        <v>45741</v>
      </c>
      <c r="K3135" s="4">
        <v>36000</v>
      </c>
    </row>
    <row r="3136" spans="1:11" hidden="1" outlineLevel="2" x14ac:dyDescent="0.35">
      <c r="A3136" t="s">
        <v>131</v>
      </c>
      <c r="B3136" s="1">
        <v>45727</v>
      </c>
      <c r="C3136" t="s">
        <v>5586</v>
      </c>
      <c r="D3136" t="s">
        <v>5586</v>
      </c>
      <c r="F3136" t="str">
        <f t="shared" si="111"/>
        <v>44320000</v>
      </c>
      <c r="H3136" t="s">
        <v>5587</v>
      </c>
      <c r="I3136" s="1">
        <v>45727</v>
      </c>
      <c r="J3136" s="4">
        <v>360000</v>
      </c>
    </row>
    <row r="3137" spans="1:11" hidden="1" outlineLevel="2" x14ac:dyDescent="0.35">
      <c r="A3137" t="s">
        <v>131</v>
      </c>
      <c r="B3137" s="1">
        <v>45727</v>
      </c>
      <c r="C3137" t="s">
        <v>5588</v>
      </c>
      <c r="D3137" t="s">
        <v>5588</v>
      </c>
      <c r="F3137" t="str">
        <f t="shared" si="111"/>
        <v>44320000</v>
      </c>
      <c r="H3137" t="s">
        <v>5589</v>
      </c>
      <c r="I3137" s="1">
        <v>45727</v>
      </c>
      <c r="K3137" s="4">
        <v>189000</v>
      </c>
    </row>
    <row r="3138" spans="1:11" hidden="1" outlineLevel="2" x14ac:dyDescent="0.35">
      <c r="A3138" t="s">
        <v>131</v>
      </c>
      <c r="B3138" s="1">
        <v>45727</v>
      </c>
      <c r="C3138" t="s">
        <v>5590</v>
      </c>
      <c r="D3138" t="s">
        <v>5590</v>
      </c>
      <c r="F3138" t="str">
        <f t="shared" si="111"/>
        <v>44320000</v>
      </c>
      <c r="H3138" t="s">
        <v>180</v>
      </c>
      <c r="I3138" s="1">
        <v>45777</v>
      </c>
      <c r="K3138" s="4">
        <v>17820</v>
      </c>
    </row>
    <row r="3139" spans="1:11" hidden="1" outlineLevel="2" x14ac:dyDescent="0.35">
      <c r="A3139" t="s">
        <v>131</v>
      </c>
      <c r="B3139" s="1">
        <v>45727</v>
      </c>
      <c r="C3139" t="s">
        <v>5591</v>
      </c>
      <c r="D3139" t="s">
        <v>5591</v>
      </c>
      <c r="F3139" t="str">
        <f t="shared" si="111"/>
        <v>44320000</v>
      </c>
      <c r="H3139" t="s">
        <v>5508</v>
      </c>
      <c r="I3139" s="1">
        <v>45758</v>
      </c>
      <c r="K3139" s="4">
        <v>46447</v>
      </c>
    </row>
    <row r="3140" spans="1:11" hidden="1" outlineLevel="2" x14ac:dyDescent="0.35">
      <c r="A3140" t="s">
        <v>131</v>
      </c>
      <c r="B3140" s="1">
        <v>45727</v>
      </c>
      <c r="C3140" t="s">
        <v>5592</v>
      </c>
      <c r="D3140" t="s">
        <v>5592</v>
      </c>
      <c r="F3140" t="str">
        <f t="shared" si="111"/>
        <v>44320000</v>
      </c>
      <c r="H3140" t="s">
        <v>5508</v>
      </c>
      <c r="I3140" s="1">
        <v>45758</v>
      </c>
      <c r="K3140" s="4">
        <v>46447</v>
      </c>
    </row>
    <row r="3141" spans="1:11" hidden="1" outlineLevel="2" x14ac:dyDescent="0.35">
      <c r="A3141" t="s">
        <v>131</v>
      </c>
      <c r="B3141" s="1">
        <v>45727</v>
      </c>
      <c r="C3141" t="s">
        <v>5593</v>
      </c>
      <c r="D3141" t="s">
        <v>5593</v>
      </c>
      <c r="F3141" t="str">
        <f t="shared" si="111"/>
        <v>44320000</v>
      </c>
      <c r="H3141" t="s">
        <v>5508</v>
      </c>
      <c r="I3141" s="1">
        <v>45758</v>
      </c>
      <c r="K3141" s="4">
        <v>46447</v>
      </c>
    </row>
    <row r="3142" spans="1:11" hidden="1" outlineLevel="2" x14ac:dyDescent="0.35">
      <c r="A3142" t="s">
        <v>131</v>
      </c>
      <c r="B3142" s="1">
        <v>45727</v>
      </c>
      <c r="C3142" t="s">
        <v>5594</v>
      </c>
      <c r="D3142" t="s">
        <v>5594</v>
      </c>
      <c r="F3142" t="str">
        <f t="shared" si="111"/>
        <v>44320000</v>
      </c>
      <c r="H3142" t="s">
        <v>5508</v>
      </c>
      <c r="I3142" s="1">
        <v>45758</v>
      </c>
      <c r="K3142" s="4">
        <v>167670</v>
      </c>
    </row>
    <row r="3143" spans="1:11" hidden="1" outlineLevel="2" x14ac:dyDescent="0.35">
      <c r="A3143" t="s">
        <v>131</v>
      </c>
      <c r="B3143" s="1">
        <v>45727</v>
      </c>
      <c r="C3143" t="s">
        <v>5595</v>
      </c>
      <c r="D3143" t="s">
        <v>5595</v>
      </c>
      <c r="F3143" t="str">
        <f t="shared" si="111"/>
        <v>44320000</v>
      </c>
      <c r="H3143" t="s">
        <v>5508</v>
      </c>
      <c r="I3143" s="1">
        <v>45758</v>
      </c>
      <c r="K3143" s="4">
        <v>167670</v>
      </c>
    </row>
    <row r="3144" spans="1:11" hidden="1" outlineLevel="2" x14ac:dyDescent="0.35">
      <c r="A3144" t="s">
        <v>131</v>
      </c>
      <c r="B3144" s="1">
        <v>45727</v>
      </c>
      <c r="C3144" t="s">
        <v>5596</v>
      </c>
      <c r="D3144" t="s">
        <v>5596</v>
      </c>
      <c r="F3144" t="str">
        <f t="shared" si="111"/>
        <v>44320000</v>
      </c>
      <c r="H3144" t="s">
        <v>5508</v>
      </c>
      <c r="I3144" s="1">
        <v>45758</v>
      </c>
      <c r="K3144" s="4">
        <v>167670</v>
      </c>
    </row>
    <row r="3145" spans="1:11" hidden="1" outlineLevel="2" x14ac:dyDescent="0.35">
      <c r="A3145" t="s">
        <v>131</v>
      </c>
      <c r="B3145" s="1">
        <v>45727</v>
      </c>
      <c r="C3145" t="s">
        <v>5597</v>
      </c>
      <c r="D3145" t="s">
        <v>5597</v>
      </c>
      <c r="F3145" t="str">
        <f t="shared" si="111"/>
        <v>44320000</v>
      </c>
      <c r="H3145" t="s">
        <v>5508</v>
      </c>
      <c r="I3145" s="1">
        <v>45758</v>
      </c>
      <c r="K3145" s="4">
        <v>167670</v>
      </c>
    </row>
    <row r="3146" spans="1:11" hidden="1" outlineLevel="2" x14ac:dyDescent="0.35">
      <c r="A3146" t="s">
        <v>131</v>
      </c>
      <c r="B3146" s="1">
        <v>45728</v>
      </c>
      <c r="C3146" t="s">
        <v>5598</v>
      </c>
      <c r="D3146" t="s">
        <v>5598</v>
      </c>
      <c r="F3146" t="str">
        <f t="shared" si="111"/>
        <v>44320000</v>
      </c>
      <c r="H3146" t="s">
        <v>139</v>
      </c>
      <c r="I3146" s="1">
        <v>45728</v>
      </c>
      <c r="K3146" s="4">
        <v>72000</v>
      </c>
    </row>
    <row r="3147" spans="1:11" hidden="1" outlineLevel="2" x14ac:dyDescent="0.35">
      <c r="A3147" t="s">
        <v>131</v>
      </c>
      <c r="B3147" s="1">
        <v>45728</v>
      </c>
      <c r="C3147" t="s">
        <v>5599</v>
      </c>
      <c r="D3147" t="s">
        <v>5599</v>
      </c>
      <c r="F3147" t="str">
        <f t="shared" si="111"/>
        <v>44320000</v>
      </c>
      <c r="H3147" t="s">
        <v>139</v>
      </c>
      <c r="I3147" s="1">
        <v>45728</v>
      </c>
      <c r="K3147" s="4">
        <v>72000</v>
      </c>
    </row>
    <row r="3148" spans="1:11" hidden="1" outlineLevel="2" x14ac:dyDescent="0.35">
      <c r="A3148" t="s">
        <v>131</v>
      </c>
      <c r="B3148" s="1">
        <v>45728</v>
      </c>
      <c r="C3148" t="s">
        <v>5600</v>
      </c>
      <c r="D3148" t="s">
        <v>5600</v>
      </c>
      <c r="F3148" t="str">
        <f t="shared" si="111"/>
        <v>44320000</v>
      </c>
      <c r="H3148" t="s">
        <v>5512</v>
      </c>
      <c r="I3148" s="1">
        <v>45759</v>
      </c>
      <c r="K3148" s="4">
        <v>36180</v>
      </c>
    </row>
    <row r="3149" spans="1:11" hidden="1" outlineLevel="2" x14ac:dyDescent="0.35">
      <c r="A3149" t="s">
        <v>131</v>
      </c>
      <c r="B3149" s="1">
        <v>45728</v>
      </c>
      <c r="C3149" t="s">
        <v>5601</v>
      </c>
      <c r="D3149" t="s">
        <v>5601</v>
      </c>
      <c r="F3149" t="str">
        <f t="shared" si="111"/>
        <v>44320000</v>
      </c>
      <c r="H3149" t="s">
        <v>5602</v>
      </c>
      <c r="I3149" s="1">
        <v>45728</v>
      </c>
      <c r="K3149" s="4">
        <v>71280</v>
      </c>
    </row>
    <row r="3150" spans="1:11" hidden="1" outlineLevel="2" x14ac:dyDescent="0.35">
      <c r="A3150" t="s">
        <v>131</v>
      </c>
      <c r="B3150" s="1">
        <v>45728</v>
      </c>
      <c r="C3150" t="s">
        <v>5603</v>
      </c>
      <c r="D3150" t="s">
        <v>5603</v>
      </c>
      <c r="F3150" t="str">
        <f t="shared" si="111"/>
        <v>44320000</v>
      </c>
      <c r="H3150" t="s">
        <v>180</v>
      </c>
      <c r="I3150" s="1">
        <v>45777</v>
      </c>
      <c r="K3150" s="4">
        <v>72045</v>
      </c>
    </row>
    <row r="3151" spans="1:11" hidden="1" outlineLevel="2" x14ac:dyDescent="0.35">
      <c r="A3151" t="s">
        <v>131</v>
      </c>
      <c r="B3151" s="1">
        <v>45729</v>
      </c>
      <c r="C3151" t="s">
        <v>5606</v>
      </c>
      <c r="D3151" t="s">
        <v>5606</v>
      </c>
      <c r="F3151" t="str">
        <f t="shared" si="111"/>
        <v>44320000</v>
      </c>
      <c r="H3151" t="s">
        <v>5607</v>
      </c>
      <c r="I3151" s="1">
        <v>45777</v>
      </c>
      <c r="K3151" s="4">
        <v>2580346</v>
      </c>
    </row>
    <row r="3152" spans="1:11" hidden="1" outlineLevel="2" x14ac:dyDescent="0.35">
      <c r="A3152" t="s">
        <v>131</v>
      </c>
      <c r="B3152" s="1">
        <v>45729</v>
      </c>
      <c r="C3152" t="s">
        <v>5610</v>
      </c>
      <c r="D3152" t="s">
        <v>5610</v>
      </c>
      <c r="F3152" t="str">
        <f t="shared" si="111"/>
        <v>44320000</v>
      </c>
      <c r="H3152" t="s">
        <v>5508</v>
      </c>
      <c r="I3152" s="1">
        <v>45760</v>
      </c>
      <c r="K3152" s="4">
        <v>167670</v>
      </c>
    </row>
    <row r="3153" spans="1:11" hidden="1" outlineLevel="2" x14ac:dyDescent="0.35">
      <c r="A3153" t="s">
        <v>131</v>
      </c>
      <c r="B3153" s="1">
        <v>45729</v>
      </c>
      <c r="C3153" t="s">
        <v>5610</v>
      </c>
      <c r="D3153" t="s">
        <v>5610</v>
      </c>
      <c r="F3153" t="str">
        <f t="shared" si="111"/>
        <v>44320000</v>
      </c>
      <c r="H3153" t="s">
        <v>5611</v>
      </c>
      <c r="I3153" s="1">
        <v>45760</v>
      </c>
      <c r="K3153" s="4">
        <v>-167670</v>
      </c>
    </row>
    <row r="3154" spans="1:11" hidden="1" outlineLevel="2" x14ac:dyDescent="0.35">
      <c r="A3154" t="s">
        <v>131</v>
      </c>
      <c r="B3154" s="1">
        <v>45730</v>
      </c>
      <c r="C3154" t="s">
        <v>5612</v>
      </c>
      <c r="D3154" t="s">
        <v>5612</v>
      </c>
      <c r="F3154" t="str">
        <f t="shared" si="111"/>
        <v>44320000</v>
      </c>
      <c r="H3154" t="s">
        <v>5499</v>
      </c>
      <c r="I3154" s="1">
        <v>45730</v>
      </c>
      <c r="K3154" s="4">
        <v>54000</v>
      </c>
    </row>
    <row r="3155" spans="1:11" hidden="1" outlineLevel="2" x14ac:dyDescent="0.35">
      <c r="A3155" t="s">
        <v>131</v>
      </c>
      <c r="B3155" s="1">
        <v>45730</v>
      </c>
      <c r="C3155" t="s">
        <v>5613</v>
      </c>
      <c r="D3155" t="s">
        <v>5613</v>
      </c>
      <c r="F3155" t="str">
        <f t="shared" si="111"/>
        <v>44320000</v>
      </c>
      <c r="H3155" t="s">
        <v>5499</v>
      </c>
      <c r="I3155" s="1">
        <v>45730</v>
      </c>
      <c r="K3155" s="4">
        <v>54000</v>
      </c>
    </row>
    <row r="3156" spans="1:11" hidden="1" outlineLevel="2" x14ac:dyDescent="0.35">
      <c r="A3156" t="s">
        <v>131</v>
      </c>
      <c r="B3156" s="1">
        <v>45730</v>
      </c>
      <c r="C3156" t="s">
        <v>5614</v>
      </c>
      <c r="D3156" t="s">
        <v>5614</v>
      </c>
      <c r="F3156" t="str">
        <f t="shared" si="111"/>
        <v>44320000</v>
      </c>
      <c r="H3156" t="s">
        <v>5499</v>
      </c>
      <c r="I3156" s="1">
        <v>45730</v>
      </c>
      <c r="K3156" s="4">
        <v>81000</v>
      </c>
    </row>
    <row r="3157" spans="1:11" hidden="1" outlineLevel="2" x14ac:dyDescent="0.35">
      <c r="A3157" t="s">
        <v>131</v>
      </c>
      <c r="B3157" s="1">
        <v>45730</v>
      </c>
      <c r="C3157" t="s">
        <v>5615</v>
      </c>
      <c r="D3157" t="s">
        <v>5615</v>
      </c>
      <c r="F3157" t="str">
        <f t="shared" si="111"/>
        <v>44320000</v>
      </c>
      <c r="H3157" t="s">
        <v>5512</v>
      </c>
      <c r="I3157" s="1">
        <v>45761</v>
      </c>
      <c r="K3157" s="4">
        <v>24120</v>
      </c>
    </row>
    <row r="3158" spans="1:11" hidden="1" outlineLevel="2" x14ac:dyDescent="0.35">
      <c r="A3158" t="s">
        <v>131</v>
      </c>
      <c r="B3158" s="1">
        <v>45730</v>
      </c>
      <c r="C3158" t="s">
        <v>5616</v>
      </c>
      <c r="D3158" t="s">
        <v>5616</v>
      </c>
      <c r="F3158" t="str">
        <f t="shared" si="111"/>
        <v>44320000</v>
      </c>
      <c r="H3158" t="s">
        <v>165</v>
      </c>
      <c r="I3158" s="1">
        <v>45730</v>
      </c>
      <c r="K3158" s="4">
        <v>72360</v>
      </c>
    </row>
    <row r="3159" spans="1:11" hidden="1" outlineLevel="2" x14ac:dyDescent="0.35">
      <c r="A3159" t="s">
        <v>131</v>
      </c>
      <c r="B3159" s="1">
        <v>45730</v>
      </c>
      <c r="C3159" t="s">
        <v>5617</v>
      </c>
      <c r="D3159" t="s">
        <v>5617</v>
      </c>
      <c r="F3159" t="str">
        <f t="shared" si="111"/>
        <v>44320000</v>
      </c>
      <c r="H3159" t="s">
        <v>5518</v>
      </c>
      <c r="I3159" s="1">
        <v>45761</v>
      </c>
      <c r="K3159" s="4">
        <v>27000</v>
      </c>
    </row>
    <row r="3160" spans="1:11" hidden="1" outlineLevel="2" x14ac:dyDescent="0.35">
      <c r="A3160" t="s">
        <v>131</v>
      </c>
      <c r="B3160" s="1">
        <v>45730</v>
      </c>
      <c r="C3160" t="s">
        <v>5618</v>
      </c>
      <c r="D3160" t="s">
        <v>5618</v>
      </c>
      <c r="F3160" t="str">
        <f t="shared" si="111"/>
        <v>44320000</v>
      </c>
      <c r="H3160" t="s">
        <v>5518</v>
      </c>
      <c r="I3160" s="1">
        <v>45761</v>
      </c>
      <c r="K3160" s="4">
        <v>27000</v>
      </c>
    </row>
    <row r="3161" spans="1:11" hidden="1" outlineLevel="2" x14ac:dyDescent="0.35">
      <c r="A3161" t="s">
        <v>131</v>
      </c>
      <c r="B3161" s="1">
        <v>45730</v>
      </c>
      <c r="C3161" t="s">
        <v>5619</v>
      </c>
      <c r="D3161" t="s">
        <v>5619</v>
      </c>
      <c r="F3161" t="str">
        <f t="shared" si="111"/>
        <v>44320000</v>
      </c>
      <c r="H3161" t="s">
        <v>5551</v>
      </c>
      <c r="I3161" s="1">
        <v>45730</v>
      </c>
      <c r="K3161" s="4">
        <v>54000</v>
      </c>
    </row>
    <row r="3162" spans="1:11" hidden="1" outlineLevel="2" x14ac:dyDescent="0.35">
      <c r="A3162" t="s">
        <v>131</v>
      </c>
      <c r="B3162" s="1">
        <v>45730</v>
      </c>
      <c r="C3162" t="s">
        <v>5620</v>
      </c>
      <c r="D3162" t="s">
        <v>5620</v>
      </c>
      <c r="F3162" t="str">
        <f t="shared" si="111"/>
        <v>44320000</v>
      </c>
      <c r="H3162" t="s">
        <v>5621</v>
      </c>
      <c r="I3162" s="1">
        <v>45761</v>
      </c>
      <c r="K3162" s="4">
        <v>6596709</v>
      </c>
    </row>
    <row r="3163" spans="1:11" hidden="1" outlineLevel="2" x14ac:dyDescent="0.35">
      <c r="A3163" t="s">
        <v>131</v>
      </c>
      <c r="B3163" s="1">
        <v>45730</v>
      </c>
      <c r="C3163" t="s">
        <v>5622</v>
      </c>
      <c r="D3163" t="s">
        <v>5622</v>
      </c>
      <c r="F3163" t="str">
        <f t="shared" si="111"/>
        <v>44320000</v>
      </c>
      <c r="H3163" t="s">
        <v>5508</v>
      </c>
      <c r="I3163" s="1">
        <v>45761</v>
      </c>
      <c r="K3163" s="4">
        <v>167670</v>
      </c>
    </row>
    <row r="3164" spans="1:11" hidden="1" outlineLevel="2" x14ac:dyDescent="0.35">
      <c r="A3164" t="s">
        <v>131</v>
      </c>
      <c r="B3164" s="1">
        <v>45730</v>
      </c>
      <c r="C3164" t="s">
        <v>5622</v>
      </c>
      <c r="D3164" t="s">
        <v>5622</v>
      </c>
      <c r="F3164" t="str">
        <f t="shared" si="111"/>
        <v>44320000</v>
      </c>
      <c r="H3164" t="s">
        <v>5611</v>
      </c>
      <c r="I3164" s="1">
        <v>45761</v>
      </c>
      <c r="K3164" s="4">
        <v>-167670</v>
      </c>
    </row>
    <row r="3165" spans="1:11" hidden="1" outlineLevel="2" x14ac:dyDescent="0.35">
      <c r="A3165" t="s">
        <v>131</v>
      </c>
      <c r="B3165" s="1">
        <v>45730</v>
      </c>
      <c r="C3165" t="s">
        <v>5623</v>
      </c>
      <c r="D3165" t="s">
        <v>5623</v>
      </c>
      <c r="F3165" t="str">
        <f t="shared" si="111"/>
        <v>44320000</v>
      </c>
      <c r="H3165" t="s">
        <v>5508</v>
      </c>
      <c r="I3165" s="1">
        <v>45761</v>
      </c>
      <c r="K3165" s="4">
        <v>167670</v>
      </c>
    </row>
    <row r="3166" spans="1:11" hidden="1" outlineLevel="2" x14ac:dyDescent="0.35">
      <c r="A3166" t="s">
        <v>131</v>
      </c>
      <c r="B3166" s="1">
        <v>45730</v>
      </c>
      <c r="C3166" t="s">
        <v>5623</v>
      </c>
      <c r="D3166" t="s">
        <v>5623</v>
      </c>
      <c r="F3166" t="str">
        <f t="shared" si="111"/>
        <v>44320000</v>
      </c>
      <c r="H3166" t="s">
        <v>5611</v>
      </c>
      <c r="I3166" s="1">
        <v>45761</v>
      </c>
      <c r="K3166" s="4">
        <v>-167670</v>
      </c>
    </row>
    <row r="3167" spans="1:11" hidden="1" outlineLevel="2" x14ac:dyDescent="0.35">
      <c r="A3167" t="s">
        <v>131</v>
      </c>
      <c r="B3167" s="1">
        <v>45731</v>
      </c>
      <c r="C3167" t="s">
        <v>5625</v>
      </c>
      <c r="D3167" t="s">
        <v>5625</v>
      </c>
      <c r="F3167" t="str">
        <f t="shared" si="111"/>
        <v>44320000</v>
      </c>
      <c r="H3167" t="s">
        <v>5508</v>
      </c>
      <c r="I3167" s="1">
        <v>45762</v>
      </c>
      <c r="K3167" s="4">
        <v>167670</v>
      </c>
    </row>
    <row r="3168" spans="1:11" hidden="1" outlineLevel="2" x14ac:dyDescent="0.35">
      <c r="A3168" t="s">
        <v>131</v>
      </c>
      <c r="B3168" s="1">
        <v>45731</v>
      </c>
      <c r="C3168" t="s">
        <v>5626</v>
      </c>
      <c r="D3168" t="s">
        <v>5626</v>
      </c>
      <c r="F3168" t="str">
        <f t="shared" si="111"/>
        <v>44320000</v>
      </c>
      <c r="H3168" t="s">
        <v>5508</v>
      </c>
      <c r="I3168" s="1">
        <v>45762</v>
      </c>
      <c r="K3168" s="4">
        <v>167670</v>
      </c>
    </row>
    <row r="3169" spans="1:11" hidden="1" outlineLevel="2" x14ac:dyDescent="0.35">
      <c r="A3169" t="s">
        <v>131</v>
      </c>
      <c r="B3169" s="1">
        <v>45731</v>
      </c>
      <c r="C3169" t="s">
        <v>5627</v>
      </c>
      <c r="D3169" t="s">
        <v>5627</v>
      </c>
      <c r="F3169" t="str">
        <f t="shared" si="111"/>
        <v>44320000</v>
      </c>
      <c r="H3169" t="s">
        <v>5508</v>
      </c>
      <c r="I3169" s="1">
        <v>45762</v>
      </c>
      <c r="K3169" s="4">
        <v>167670</v>
      </c>
    </row>
    <row r="3170" spans="1:11" hidden="1" outlineLevel="2" x14ac:dyDescent="0.35">
      <c r="A3170" t="s">
        <v>131</v>
      </c>
      <c r="B3170" s="1">
        <v>45731</v>
      </c>
      <c r="C3170" t="s">
        <v>5628</v>
      </c>
      <c r="D3170" t="s">
        <v>5628</v>
      </c>
      <c r="F3170" t="str">
        <f t="shared" si="111"/>
        <v>44320000</v>
      </c>
      <c r="H3170" t="s">
        <v>5508</v>
      </c>
      <c r="I3170" s="1">
        <v>45762</v>
      </c>
      <c r="K3170" s="4">
        <v>167670</v>
      </c>
    </row>
    <row r="3171" spans="1:11" hidden="1" outlineLevel="2" x14ac:dyDescent="0.35">
      <c r="A3171" t="s">
        <v>131</v>
      </c>
      <c r="B3171" s="1">
        <v>45733</v>
      </c>
      <c r="C3171" t="s">
        <v>5633</v>
      </c>
      <c r="D3171" t="s">
        <v>5633</v>
      </c>
      <c r="F3171" t="str">
        <f t="shared" si="111"/>
        <v>44320000</v>
      </c>
      <c r="H3171" t="s">
        <v>5508</v>
      </c>
      <c r="I3171" s="1">
        <v>45764</v>
      </c>
      <c r="K3171" s="4">
        <v>335340</v>
      </c>
    </row>
    <row r="3172" spans="1:11" hidden="1" outlineLevel="2" x14ac:dyDescent="0.35">
      <c r="A3172" t="s">
        <v>131</v>
      </c>
      <c r="B3172" s="1">
        <v>45733</v>
      </c>
      <c r="C3172" t="s">
        <v>5634</v>
      </c>
      <c r="D3172" t="s">
        <v>5634</v>
      </c>
      <c r="F3172" t="str">
        <f t="shared" si="111"/>
        <v>44320000</v>
      </c>
      <c r="H3172" t="s">
        <v>5508</v>
      </c>
      <c r="I3172" s="1">
        <v>45764</v>
      </c>
      <c r="K3172" s="4">
        <v>134136</v>
      </c>
    </row>
    <row r="3173" spans="1:11" hidden="1" outlineLevel="2" x14ac:dyDescent="0.35">
      <c r="A3173" t="s">
        <v>131</v>
      </c>
      <c r="B3173" s="1">
        <v>45733</v>
      </c>
      <c r="C3173" t="s">
        <v>5635</v>
      </c>
      <c r="D3173" t="s">
        <v>5635</v>
      </c>
      <c r="F3173" t="str">
        <f t="shared" si="111"/>
        <v>44320000</v>
      </c>
      <c r="H3173" t="s">
        <v>5508</v>
      </c>
      <c r="I3173" s="1">
        <v>45764</v>
      </c>
      <c r="K3173" s="4">
        <v>134136</v>
      </c>
    </row>
    <row r="3174" spans="1:11" hidden="1" outlineLevel="2" x14ac:dyDescent="0.35">
      <c r="A3174" t="s">
        <v>131</v>
      </c>
      <c r="B3174" s="1">
        <v>45733</v>
      </c>
      <c r="C3174" t="s">
        <v>5636</v>
      </c>
      <c r="D3174" t="s">
        <v>5636</v>
      </c>
      <c r="F3174" t="str">
        <f t="shared" si="111"/>
        <v>44320000</v>
      </c>
      <c r="H3174" t="s">
        <v>5508</v>
      </c>
      <c r="I3174" s="1">
        <v>45764</v>
      </c>
      <c r="K3174" s="4">
        <v>838350</v>
      </c>
    </row>
    <row r="3175" spans="1:11" hidden="1" outlineLevel="2" x14ac:dyDescent="0.35">
      <c r="A3175" t="s">
        <v>131</v>
      </c>
      <c r="B3175" s="1">
        <v>45733</v>
      </c>
      <c r="C3175" t="s">
        <v>5637</v>
      </c>
      <c r="D3175" t="s">
        <v>5637</v>
      </c>
      <c r="F3175" t="str">
        <f t="shared" si="111"/>
        <v>44320000</v>
      </c>
      <c r="H3175" t="s">
        <v>5508</v>
      </c>
      <c r="I3175" s="1">
        <v>45764</v>
      </c>
      <c r="K3175" s="4">
        <v>838350</v>
      </c>
    </row>
    <row r="3176" spans="1:11" hidden="1" outlineLevel="2" x14ac:dyDescent="0.35">
      <c r="A3176" t="s">
        <v>131</v>
      </c>
      <c r="B3176" s="1">
        <v>45733</v>
      </c>
      <c r="C3176" t="s">
        <v>5638</v>
      </c>
      <c r="D3176" t="s">
        <v>5638</v>
      </c>
      <c r="F3176" t="str">
        <f t="shared" si="111"/>
        <v>44320000</v>
      </c>
      <c r="H3176" t="s">
        <v>5508</v>
      </c>
      <c r="I3176" s="1">
        <v>45764</v>
      </c>
      <c r="K3176" s="4">
        <v>46447</v>
      </c>
    </row>
    <row r="3177" spans="1:11" hidden="1" outlineLevel="2" x14ac:dyDescent="0.35">
      <c r="A3177" t="s">
        <v>131</v>
      </c>
      <c r="B3177" s="1">
        <v>45733</v>
      </c>
      <c r="C3177" t="s">
        <v>5639</v>
      </c>
      <c r="D3177" t="s">
        <v>5639</v>
      </c>
      <c r="F3177" t="str">
        <f t="shared" si="111"/>
        <v>44320000</v>
      </c>
      <c r="H3177" t="s">
        <v>5508</v>
      </c>
      <c r="I3177" s="1">
        <v>45764</v>
      </c>
      <c r="K3177" s="4">
        <v>80064</v>
      </c>
    </row>
    <row r="3178" spans="1:11" hidden="1" outlineLevel="2" x14ac:dyDescent="0.35">
      <c r="A3178" t="s">
        <v>131</v>
      </c>
      <c r="B3178" s="1">
        <v>45733</v>
      </c>
      <c r="C3178" t="s">
        <v>5640</v>
      </c>
      <c r="D3178" t="s">
        <v>5640</v>
      </c>
      <c r="F3178" t="str">
        <f t="shared" si="111"/>
        <v>44320000</v>
      </c>
      <c r="H3178" t="s">
        <v>5518</v>
      </c>
      <c r="I3178" s="1">
        <v>45764</v>
      </c>
      <c r="K3178" s="4">
        <v>108000</v>
      </c>
    </row>
    <row r="3179" spans="1:11" hidden="1" outlineLevel="2" x14ac:dyDescent="0.35">
      <c r="A3179" t="s">
        <v>131</v>
      </c>
      <c r="B3179" s="1">
        <v>45733</v>
      </c>
      <c r="C3179" t="s">
        <v>5641</v>
      </c>
      <c r="D3179" t="s">
        <v>5641</v>
      </c>
      <c r="F3179" t="str">
        <f t="shared" si="111"/>
        <v>44320000</v>
      </c>
      <c r="H3179" t="s">
        <v>5518</v>
      </c>
      <c r="I3179" s="1">
        <v>45764</v>
      </c>
      <c r="K3179" s="4">
        <v>27000</v>
      </c>
    </row>
    <row r="3180" spans="1:11" hidden="1" outlineLevel="2" x14ac:dyDescent="0.35">
      <c r="A3180" t="s">
        <v>131</v>
      </c>
      <c r="B3180" s="1">
        <v>45733</v>
      </c>
      <c r="C3180" t="s">
        <v>5642</v>
      </c>
      <c r="D3180" t="s">
        <v>5642</v>
      </c>
      <c r="F3180" t="str">
        <f t="shared" si="111"/>
        <v>44320000</v>
      </c>
      <c r="H3180" t="s">
        <v>5518</v>
      </c>
      <c r="I3180" s="1">
        <v>45764</v>
      </c>
      <c r="K3180" s="4">
        <v>27000</v>
      </c>
    </row>
    <row r="3181" spans="1:11" hidden="1" outlineLevel="2" x14ac:dyDescent="0.35">
      <c r="A3181" t="s">
        <v>131</v>
      </c>
      <c r="B3181" s="1">
        <v>45733</v>
      </c>
      <c r="C3181" t="s">
        <v>5643</v>
      </c>
      <c r="D3181" t="s">
        <v>5643</v>
      </c>
      <c r="F3181" t="str">
        <f t="shared" si="111"/>
        <v>44320000</v>
      </c>
      <c r="H3181" t="s">
        <v>5518</v>
      </c>
      <c r="I3181" s="1">
        <v>45764</v>
      </c>
      <c r="K3181" s="4">
        <v>27000</v>
      </c>
    </row>
    <row r="3182" spans="1:11" hidden="1" outlineLevel="2" x14ac:dyDescent="0.35">
      <c r="A3182" t="s">
        <v>131</v>
      </c>
      <c r="B3182" s="1">
        <v>45733</v>
      </c>
      <c r="C3182" t="s">
        <v>5644</v>
      </c>
      <c r="D3182" t="s">
        <v>5644</v>
      </c>
      <c r="F3182" t="str">
        <f t="shared" si="111"/>
        <v>44320000</v>
      </c>
      <c r="H3182" t="s">
        <v>5518</v>
      </c>
      <c r="I3182" s="1">
        <v>45764</v>
      </c>
      <c r="K3182" s="4">
        <v>27000</v>
      </c>
    </row>
    <row r="3183" spans="1:11" hidden="1" outlineLevel="2" x14ac:dyDescent="0.35">
      <c r="A3183" t="s">
        <v>131</v>
      </c>
      <c r="B3183" s="1">
        <v>45733</v>
      </c>
      <c r="C3183" t="s">
        <v>5645</v>
      </c>
      <c r="D3183" t="s">
        <v>5645</v>
      </c>
      <c r="F3183" t="str">
        <f t="shared" si="111"/>
        <v>44320000</v>
      </c>
      <c r="H3183" t="s">
        <v>5518</v>
      </c>
      <c r="I3183" s="1">
        <v>45764</v>
      </c>
      <c r="K3183" s="4">
        <v>27000</v>
      </c>
    </row>
    <row r="3184" spans="1:11" hidden="1" outlineLevel="2" x14ac:dyDescent="0.35">
      <c r="A3184" t="s">
        <v>131</v>
      </c>
      <c r="B3184" s="1">
        <v>45733</v>
      </c>
      <c r="C3184" t="s">
        <v>5646</v>
      </c>
      <c r="D3184" t="s">
        <v>5646</v>
      </c>
      <c r="F3184" t="str">
        <f t="shared" si="111"/>
        <v>44320000</v>
      </c>
      <c r="H3184" t="s">
        <v>5518</v>
      </c>
      <c r="I3184" s="1">
        <v>45764</v>
      </c>
      <c r="K3184" s="4">
        <v>27000</v>
      </c>
    </row>
    <row r="3185" spans="1:11" hidden="1" outlineLevel="2" x14ac:dyDescent="0.35">
      <c r="A3185" t="s">
        <v>131</v>
      </c>
      <c r="B3185" s="1">
        <v>45733</v>
      </c>
      <c r="C3185" t="s">
        <v>5647</v>
      </c>
      <c r="D3185" t="s">
        <v>5647</v>
      </c>
      <c r="F3185" t="str">
        <f t="shared" si="111"/>
        <v>44320000</v>
      </c>
      <c r="H3185" t="s">
        <v>5518</v>
      </c>
      <c r="I3185" s="1">
        <v>45764</v>
      </c>
      <c r="K3185" s="4">
        <v>27000</v>
      </c>
    </row>
    <row r="3186" spans="1:11" hidden="1" outlineLevel="2" x14ac:dyDescent="0.35">
      <c r="A3186" t="s">
        <v>131</v>
      </c>
      <c r="B3186" s="1">
        <v>45733</v>
      </c>
      <c r="C3186" t="s">
        <v>5648</v>
      </c>
      <c r="D3186" t="s">
        <v>5648</v>
      </c>
      <c r="F3186" t="str">
        <f t="shared" si="111"/>
        <v>44320000</v>
      </c>
      <c r="H3186" t="s">
        <v>5518</v>
      </c>
      <c r="I3186" s="1">
        <v>45764</v>
      </c>
      <c r="K3186" s="4">
        <v>27000</v>
      </c>
    </row>
    <row r="3187" spans="1:11" hidden="1" outlineLevel="2" x14ac:dyDescent="0.35">
      <c r="A3187" t="s">
        <v>131</v>
      </c>
      <c r="B3187" s="1">
        <v>45733</v>
      </c>
      <c r="C3187" t="s">
        <v>5649</v>
      </c>
      <c r="D3187" t="s">
        <v>5649</v>
      </c>
      <c r="F3187" t="str">
        <f t="shared" si="111"/>
        <v>44320000</v>
      </c>
      <c r="H3187" t="s">
        <v>5518</v>
      </c>
      <c r="I3187" s="1">
        <v>45764</v>
      </c>
      <c r="K3187" s="4">
        <v>27000</v>
      </c>
    </row>
    <row r="3188" spans="1:11" hidden="1" outlineLevel="2" x14ac:dyDescent="0.35">
      <c r="A3188" t="s">
        <v>131</v>
      </c>
      <c r="B3188" s="1">
        <v>45733</v>
      </c>
      <c r="C3188" t="s">
        <v>5650</v>
      </c>
      <c r="D3188" t="s">
        <v>5650</v>
      </c>
      <c r="F3188" t="str">
        <f t="shared" si="111"/>
        <v>44320000</v>
      </c>
      <c r="H3188" t="s">
        <v>5518</v>
      </c>
      <c r="I3188" s="1">
        <v>45764</v>
      </c>
      <c r="K3188" s="4">
        <v>27000</v>
      </c>
    </row>
    <row r="3189" spans="1:11" hidden="1" outlineLevel="2" x14ac:dyDescent="0.35">
      <c r="A3189" t="s">
        <v>131</v>
      </c>
      <c r="B3189" s="1">
        <v>45733</v>
      </c>
      <c r="C3189" t="s">
        <v>5651</v>
      </c>
      <c r="D3189" t="s">
        <v>5651</v>
      </c>
      <c r="F3189" t="str">
        <f t="shared" ref="F3189:F3252" si="112">"44320000"</f>
        <v>44320000</v>
      </c>
      <c r="H3189" t="s">
        <v>5518</v>
      </c>
      <c r="I3189" s="1">
        <v>45764</v>
      </c>
      <c r="K3189" s="4">
        <v>27000</v>
      </c>
    </row>
    <row r="3190" spans="1:11" hidden="1" outlineLevel="2" x14ac:dyDescent="0.35">
      <c r="A3190" t="s">
        <v>131</v>
      </c>
      <c r="B3190" s="1">
        <v>45733</v>
      </c>
      <c r="C3190" t="s">
        <v>5652</v>
      </c>
      <c r="D3190" t="s">
        <v>5652</v>
      </c>
      <c r="F3190" t="str">
        <f t="shared" si="112"/>
        <v>44320000</v>
      </c>
      <c r="H3190" t="s">
        <v>5518</v>
      </c>
      <c r="I3190" s="1">
        <v>45764</v>
      </c>
      <c r="K3190" s="4">
        <v>27000</v>
      </c>
    </row>
    <row r="3191" spans="1:11" hidden="1" outlineLevel="2" x14ac:dyDescent="0.35">
      <c r="A3191" t="s">
        <v>131</v>
      </c>
      <c r="B3191" s="1">
        <v>45733</v>
      </c>
      <c r="C3191" t="s">
        <v>5653</v>
      </c>
      <c r="D3191" t="s">
        <v>5653</v>
      </c>
      <c r="F3191" t="str">
        <f t="shared" si="112"/>
        <v>44320000</v>
      </c>
      <c r="H3191" t="s">
        <v>5518</v>
      </c>
      <c r="I3191" s="1">
        <v>45764</v>
      </c>
      <c r="K3191" s="4">
        <v>27000</v>
      </c>
    </row>
    <row r="3192" spans="1:11" hidden="1" outlineLevel="2" x14ac:dyDescent="0.35">
      <c r="A3192" t="s">
        <v>131</v>
      </c>
      <c r="B3192" s="1">
        <v>45733</v>
      </c>
      <c r="C3192" t="s">
        <v>5654</v>
      </c>
      <c r="D3192" t="s">
        <v>5654</v>
      </c>
      <c r="F3192" t="str">
        <f t="shared" si="112"/>
        <v>44320000</v>
      </c>
      <c r="H3192" t="s">
        <v>5518</v>
      </c>
      <c r="I3192" s="1">
        <v>45764</v>
      </c>
      <c r="K3192" s="4">
        <v>27000</v>
      </c>
    </row>
    <row r="3193" spans="1:11" hidden="1" outlineLevel="2" x14ac:dyDescent="0.35">
      <c r="A3193" t="s">
        <v>131</v>
      </c>
      <c r="B3193" s="1">
        <v>45733</v>
      </c>
      <c r="C3193" t="s">
        <v>5655</v>
      </c>
      <c r="D3193" t="s">
        <v>5655</v>
      </c>
      <c r="F3193" t="str">
        <f t="shared" si="112"/>
        <v>44320000</v>
      </c>
      <c r="H3193" t="s">
        <v>5518</v>
      </c>
      <c r="I3193" s="1">
        <v>45764</v>
      </c>
      <c r="K3193" s="4">
        <v>27000</v>
      </c>
    </row>
    <row r="3194" spans="1:11" hidden="1" outlineLevel="2" x14ac:dyDescent="0.35">
      <c r="A3194" t="s">
        <v>131</v>
      </c>
      <c r="B3194" s="1">
        <v>45733</v>
      </c>
      <c r="C3194" t="s">
        <v>5656</v>
      </c>
      <c r="D3194" t="s">
        <v>5656</v>
      </c>
      <c r="F3194" t="str">
        <f t="shared" si="112"/>
        <v>44320000</v>
      </c>
      <c r="H3194" t="s">
        <v>5518</v>
      </c>
      <c r="I3194" s="1">
        <v>45764</v>
      </c>
      <c r="K3194" s="4">
        <v>27000</v>
      </c>
    </row>
    <row r="3195" spans="1:11" hidden="1" outlineLevel="2" x14ac:dyDescent="0.35">
      <c r="A3195" t="s">
        <v>131</v>
      </c>
      <c r="B3195" s="1">
        <v>45733</v>
      </c>
      <c r="C3195" t="s">
        <v>5657</v>
      </c>
      <c r="D3195" t="s">
        <v>5657</v>
      </c>
      <c r="F3195" t="str">
        <f t="shared" si="112"/>
        <v>44320000</v>
      </c>
      <c r="H3195" t="s">
        <v>5518</v>
      </c>
      <c r="I3195" s="1">
        <v>45764</v>
      </c>
      <c r="K3195" s="4">
        <v>27000</v>
      </c>
    </row>
    <row r="3196" spans="1:11" hidden="1" outlineLevel="2" x14ac:dyDescent="0.35">
      <c r="A3196" t="s">
        <v>131</v>
      </c>
      <c r="B3196" s="1">
        <v>45733</v>
      </c>
      <c r="C3196" t="s">
        <v>5658</v>
      </c>
      <c r="D3196" t="s">
        <v>5658</v>
      </c>
      <c r="F3196" t="str">
        <f t="shared" si="112"/>
        <v>44320000</v>
      </c>
      <c r="H3196" t="s">
        <v>5518</v>
      </c>
      <c r="I3196" s="1">
        <v>45764</v>
      </c>
      <c r="K3196" s="4">
        <v>27000</v>
      </c>
    </row>
    <row r="3197" spans="1:11" hidden="1" outlineLevel="2" x14ac:dyDescent="0.35">
      <c r="A3197" t="s">
        <v>131</v>
      </c>
      <c r="B3197" s="1">
        <v>45733</v>
      </c>
      <c r="C3197" t="s">
        <v>5659</v>
      </c>
      <c r="D3197" t="s">
        <v>5659</v>
      </c>
      <c r="F3197" t="str">
        <f t="shared" si="112"/>
        <v>44320000</v>
      </c>
      <c r="H3197" t="s">
        <v>5518</v>
      </c>
      <c r="I3197" s="1">
        <v>45764</v>
      </c>
      <c r="K3197" s="4">
        <v>27000</v>
      </c>
    </row>
    <row r="3198" spans="1:11" hidden="1" outlineLevel="2" x14ac:dyDescent="0.35">
      <c r="A3198" t="s">
        <v>131</v>
      </c>
      <c r="B3198" s="1">
        <v>45733</v>
      </c>
      <c r="C3198" t="s">
        <v>5660</v>
      </c>
      <c r="D3198" t="s">
        <v>5660</v>
      </c>
      <c r="F3198" t="str">
        <f t="shared" si="112"/>
        <v>44320000</v>
      </c>
      <c r="H3198" t="s">
        <v>5518</v>
      </c>
      <c r="I3198" s="1">
        <v>45764</v>
      </c>
      <c r="K3198" s="4">
        <v>27000</v>
      </c>
    </row>
    <row r="3199" spans="1:11" hidden="1" outlineLevel="2" x14ac:dyDescent="0.35">
      <c r="A3199" t="s">
        <v>131</v>
      </c>
      <c r="B3199" s="1">
        <v>45733</v>
      </c>
      <c r="C3199" t="s">
        <v>5661</v>
      </c>
      <c r="D3199" t="s">
        <v>5661</v>
      </c>
      <c r="F3199" t="str">
        <f t="shared" si="112"/>
        <v>44320000</v>
      </c>
      <c r="H3199" t="s">
        <v>5518</v>
      </c>
      <c r="I3199" s="1">
        <v>45764</v>
      </c>
      <c r="K3199" s="4">
        <v>27000</v>
      </c>
    </row>
    <row r="3200" spans="1:11" hidden="1" outlineLevel="2" x14ac:dyDescent="0.35">
      <c r="A3200" t="s">
        <v>131</v>
      </c>
      <c r="B3200" s="1">
        <v>45733</v>
      </c>
      <c r="C3200" t="s">
        <v>5662</v>
      </c>
      <c r="D3200" t="s">
        <v>5662</v>
      </c>
      <c r="F3200" t="str">
        <f t="shared" si="112"/>
        <v>44320000</v>
      </c>
      <c r="H3200" t="s">
        <v>5518</v>
      </c>
      <c r="I3200" s="1">
        <v>45764</v>
      </c>
      <c r="K3200" s="4">
        <v>54000</v>
      </c>
    </row>
    <row r="3201" spans="1:11" hidden="1" outlineLevel="2" x14ac:dyDescent="0.35">
      <c r="A3201" t="s">
        <v>131</v>
      </c>
      <c r="B3201" s="1">
        <v>45733</v>
      </c>
      <c r="C3201" t="s">
        <v>5663</v>
      </c>
      <c r="D3201" t="s">
        <v>5663</v>
      </c>
      <c r="F3201" t="str">
        <f t="shared" si="112"/>
        <v>44320000</v>
      </c>
      <c r="H3201" t="s">
        <v>5518</v>
      </c>
      <c r="I3201" s="1">
        <v>45764</v>
      </c>
      <c r="K3201" s="4">
        <v>27000</v>
      </c>
    </row>
    <row r="3202" spans="1:11" hidden="1" outlineLevel="2" x14ac:dyDescent="0.35">
      <c r="A3202" t="s">
        <v>131</v>
      </c>
      <c r="B3202" s="1">
        <v>45733</v>
      </c>
      <c r="C3202" t="s">
        <v>5664</v>
      </c>
      <c r="D3202" t="s">
        <v>5664</v>
      </c>
      <c r="F3202" t="str">
        <f t="shared" si="112"/>
        <v>44320000</v>
      </c>
      <c r="H3202" t="s">
        <v>5518</v>
      </c>
      <c r="I3202" s="1">
        <v>45764</v>
      </c>
      <c r="K3202" s="4">
        <v>27000</v>
      </c>
    </row>
    <row r="3203" spans="1:11" hidden="1" outlineLevel="2" x14ac:dyDescent="0.35">
      <c r="A3203" t="s">
        <v>131</v>
      </c>
      <c r="B3203" s="1">
        <v>45733</v>
      </c>
      <c r="C3203" t="s">
        <v>5665</v>
      </c>
      <c r="D3203" t="s">
        <v>5665</v>
      </c>
      <c r="F3203" t="str">
        <f t="shared" si="112"/>
        <v>44320000</v>
      </c>
      <c r="H3203" t="s">
        <v>5581</v>
      </c>
      <c r="I3203" s="1">
        <v>45764</v>
      </c>
      <c r="K3203" s="4">
        <v>436153</v>
      </c>
    </row>
    <row r="3204" spans="1:11" hidden="1" outlineLevel="2" x14ac:dyDescent="0.35">
      <c r="A3204" t="s">
        <v>131</v>
      </c>
      <c r="B3204" s="1">
        <v>45733</v>
      </c>
      <c r="C3204" t="s">
        <v>5665</v>
      </c>
      <c r="D3204" t="s">
        <v>5665</v>
      </c>
      <c r="F3204" t="str">
        <f t="shared" si="112"/>
        <v>44320000</v>
      </c>
      <c r="H3204" t="s">
        <v>5666</v>
      </c>
      <c r="I3204" s="1">
        <v>45764</v>
      </c>
      <c r="K3204" s="4">
        <v>-436153</v>
      </c>
    </row>
    <row r="3205" spans="1:11" hidden="1" outlineLevel="2" x14ac:dyDescent="0.35">
      <c r="A3205" t="s">
        <v>131</v>
      </c>
      <c r="B3205" s="1">
        <v>45733</v>
      </c>
      <c r="C3205" t="s">
        <v>5667</v>
      </c>
      <c r="D3205" t="s">
        <v>5667</v>
      </c>
      <c r="F3205" t="str">
        <f t="shared" si="112"/>
        <v>44320000</v>
      </c>
      <c r="H3205" t="s">
        <v>5581</v>
      </c>
      <c r="I3205" s="1">
        <v>45764</v>
      </c>
      <c r="K3205" s="4">
        <v>3189696</v>
      </c>
    </row>
    <row r="3206" spans="1:11" hidden="1" outlineLevel="2" x14ac:dyDescent="0.35">
      <c r="A3206" t="s">
        <v>131</v>
      </c>
      <c r="B3206" s="1">
        <v>45733</v>
      </c>
      <c r="C3206" t="s">
        <v>5667</v>
      </c>
      <c r="D3206" t="s">
        <v>5667</v>
      </c>
      <c r="F3206" t="str">
        <f t="shared" si="112"/>
        <v>44320000</v>
      </c>
      <c r="H3206" t="s">
        <v>5666</v>
      </c>
      <c r="I3206" s="1">
        <v>45764</v>
      </c>
      <c r="K3206" s="4">
        <v>-3189696</v>
      </c>
    </row>
    <row r="3207" spans="1:11" hidden="1" outlineLevel="2" x14ac:dyDescent="0.35">
      <c r="A3207" t="s">
        <v>131</v>
      </c>
      <c r="B3207" s="1">
        <v>45734</v>
      </c>
      <c r="C3207" t="s">
        <v>5670</v>
      </c>
      <c r="D3207" t="s">
        <v>5670</v>
      </c>
      <c r="F3207" t="str">
        <f t="shared" si="112"/>
        <v>44320000</v>
      </c>
      <c r="H3207" t="s">
        <v>5671</v>
      </c>
      <c r="I3207" s="1">
        <v>45734</v>
      </c>
      <c r="K3207" s="4">
        <v>180000</v>
      </c>
    </row>
    <row r="3208" spans="1:11" hidden="1" outlineLevel="2" x14ac:dyDescent="0.35">
      <c r="A3208" t="s">
        <v>131</v>
      </c>
      <c r="B3208" s="1">
        <v>45734</v>
      </c>
      <c r="C3208" t="s">
        <v>5672</v>
      </c>
      <c r="D3208" t="s">
        <v>5672</v>
      </c>
      <c r="F3208" t="str">
        <f t="shared" si="112"/>
        <v>44320000</v>
      </c>
      <c r="H3208" t="s">
        <v>5516</v>
      </c>
      <c r="I3208" s="1">
        <v>45765</v>
      </c>
      <c r="K3208" s="4">
        <v>23400</v>
      </c>
    </row>
    <row r="3209" spans="1:11" hidden="1" outlineLevel="2" x14ac:dyDescent="0.35">
      <c r="A3209" t="s">
        <v>131</v>
      </c>
      <c r="B3209" s="1">
        <v>45734</v>
      </c>
      <c r="C3209" t="s">
        <v>5673</v>
      </c>
      <c r="D3209" t="s">
        <v>5673</v>
      </c>
      <c r="F3209" t="str">
        <f t="shared" si="112"/>
        <v>44320000</v>
      </c>
      <c r="H3209" t="s">
        <v>5674</v>
      </c>
      <c r="I3209" s="1">
        <v>45765</v>
      </c>
      <c r="K3209" s="4">
        <v>1580040</v>
      </c>
    </row>
    <row r="3210" spans="1:11" hidden="1" outlineLevel="2" x14ac:dyDescent="0.35">
      <c r="A3210" t="s">
        <v>131</v>
      </c>
      <c r="B3210" s="1">
        <v>45734</v>
      </c>
      <c r="C3210" t="s">
        <v>5675</v>
      </c>
      <c r="D3210" t="s">
        <v>5675</v>
      </c>
      <c r="F3210" t="str">
        <f t="shared" si="112"/>
        <v>44320000</v>
      </c>
      <c r="H3210" t="s">
        <v>5518</v>
      </c>
      <c r="I3210" s="1">
        <v>45765</v>
      </c>
      <c r="K3210" s="4">
        <v>44820</v>
      </c>
    </row>
    <row r="3211" spans="1:11" hidden="1" outlineLevel="2" x14ac:dyDescent="0.35">
      <c r="A3211" t="s">
        <v>131</v>
      </c>
      <c r="B3211" s="1">
        <v>45734</v>
      </c>
      <c r="C3211" t="s">
        <v>5675</v>
      </c>
      <c r="D3211" t="s">
        <v>5675</v>
      </c>
      <c r="F3211" t="str">
        <f t="shared" si="112"/>
        <v>44320000</v>
      </c>
      <c r="H3211" t="s">
        <v>5518</v>
      </c>
      <c r="I3211" s="1">
        <v>45765</v>
      </c>
      <c r="K3211" s="4">
        <v>44820</v>
      </c>
    </row>
    <row r="3212" spans="1:11" hidden="1" outlineLevel="2" x14ac:dyDescent="0.35">
      <c r="A3212" t="s">
        <v>131</v>
      </c>
      <c r="B3212" s="1">
        <v>45734</v>
      </c>
      <c r="C3212" t="s">
        <v>5675</v>
      </c>
      <c r="D3212" t="s">
        <v>5675</v>
      </c>
      <c r="F3212" t="str">
        <f t="shared" si="112"/>
        <v>44320000</v>
      </c>
      <c r="H3212" t="s">
        <v>5676</v>
      </c>
      <c r="I3212" s="1">
        <v>45765</v>
      </c>
      <c r="K3212" s="4">
        <v>-44820</v>
      </c>
    </row>
    <row r="3213" spans="1:11" hidden="1" outlineLevel="2" x14ac:dyDescent="0.35">
      <c r="A3213" t="s">
        <v>131</v>
      </c>
      <c r="B3213" s="1">
        <v>45734</v>
      </c>
      <c r="C3213" t="s">
        <v>5677</v>
      </c>
      <c r="D3213" t="s">
        <v>5677</v>
      </c>
      <c r="F3213" t="str">
        <f t="shared" si="112"/>
        <v>44320000</v>
      </c>
      <c r="H3213" t="s">
        <v>5551</v>
      </c>
      <c r="I3213" s="1">
        <v>45734</v>
      </c>
      <c r="K3213" s="4">
        <v>54000</v>
      </c>
    </row>
    <row r="3214" spans="1:11" hidden="1" outlineLevel="2" x14ac:dyDescent="0.35">
      <c r="A3214" t="s">
        <v>131</v>
      </c>
      <c r="B3214" s="1">
        <v>45734</v>
      </c>
      <c r="C3214" t="s">
        <v>5677</v>
      </c>
      <c r="D3214" t="s">
        <v>5677</v>
      </c>
      <c r="F3214" t="str">
        <f t="shared" si="112"/>
        <v>44320000</v>
      </c>
      <c r="H3214" t="s">
        <v>5551</v>
      </c>
      <c r="I3214" s="1">
        <v>45734</v>
      </c>
      <c r="K3214" s="4">
        <v>54000</v>
      </c>
    </row>
    <row r="3215" spans="1:11" hidden="1" outlineLevel="2" x14ac:dyDescent="0.35">
      <c r="A3215" t="s">
        <v>131</v>
      </c>
      <c r="B3215" s="1">
        <v>45734</v>
      </c>
      <c r="C3215" t="s">
        <v>5677</v>
      </c>
      <c r="D3215" t="s">
        <v>5677</v>
      </c>
      <c r="F3215" t="str">
        <f t="shared" si="112"/>
        <v>44320000</v>
      </c>
      <c r="H3215" t="s">
        <v>5678</v>
      </c>
      <c r="I3215" s="1">
        <v>45734</v>
      </c>
      <c r="K3215" s="4">
        <v>-54000</v>
      </c>
    </row>
    <row r="3216" spans="1:11" hidden="1" outlineLevel="2" x14ac:dyDescent="0.35">
      <c r="A3216" t="s">
        <v>131</v>
      </c>
      <c r="B3216" s="1">
        <v>45734</v>
      </c>
      <c r="C3216" t="s">
        <v>5679</v>
      </c>
      <c r="D3216" t="s">
        <v>5679</v>
      </c>
      <c r="F3216" t="str">
        <f t="shared" si="112"/>
        <v>44320000</v>
      </c>
      <c r="H3216" t="s">
        <v>5522</v>
      </c>
      <c r="I3216" s="1">
        <v>45777</v>
      </c>
      <c r="K3216" s="4">
        <v>23760</v>
      </c>
    </row>
    <row r="3217" spans="1:11" hidden="1" outlineLevel="2" x14ac:dyDescent="0.35">
      <c r="A3217" t="s">
        <v>131</v>
      </c>
      <c r="B3217" s="1">
        <v>45734</v>
      </c>
      <c r="C3217" t="s">
        <v>5679</v>
      </c>
      <c r="D3217" t="s">
        <v>5679</v>
      </c>
      <c r="F3217" t="str">
        <f t="shared" si="112"/>
        <v>44320000</v>
      </c>
      <c r="H3217" t="s">
        <v>5522</v>
      </c>
      <c r="I3217" s="1">
        <v>45777</v>
      </c>
      <c r="K3217" s="4">
        <v>23760</v>
      </c>
    </row>
    <row r="3218" spans="1:11" hidden="1" outlineLevel="2" x14ac:dyDescent="0.35">
      <c r="A3218" t="s">
        <v>131</v>
      </c>
      <c r="B3218" s="1">
        <v>45734</v>
      </c>
      <c r="C3218" t="s">
        <v>5679</v>
      </c>
      <c r="D3218" t="s">
        <v>5679</v>
      </c>
      <c r="F3218" t="str">
        <f t="shared" si="112"/>
        <v>44320000</v>
      </c>
      <c r="H3218" t="s">
        <v>5680</v>
      </c>
      <c r="I3218" s="1">
        <v>45777</v>
      </c>
      <c r="K3218" s="4">
        <v>-23760</v>
      </c>
    </row>
    <row r="3219" spans="1:11" hidden="1" outlineLevel="2" x14ac:dyDescent="0.35">
      <c r="A3219" t="s">
        <v>131</v>
      </c>
      <c r="B3219" s="1">
        <v>45734</v>
      </c>
      <c r="C3219" t="s">
        <v>5681</v>
      </c>
      <c r="D3219" t="s">
        <v>5681</v>
      </c>
      <c r="F3219" t="str">
        <f t="shared" si="112"/>
        <v>44320000</v>
      </c>
      <c r="H3219" t="s">
        <v>5522</v>
      </c>
      <c r="I3219" s="1">
        <v>45777</v>
      </c>
      <c r="K3219" s="4">
        <v>59400</v>
      </c>
    </row>
    <row r="3220" spans="1:11" hidden="1" outlineLevel="2" x14ac:dyDescent="0.35">
      <c r="A3220" t="s">
        <v>131</v>
      </c>
      <c r="B3220" s="1">
        <v>45734</v>
      </c>
      <c r="C3220" t="s">
        <v>5682</v>
      </c>
      <c r="D3220" t="s">
        <v>5682</v>
      </c>
      <c r="F3220" t="str">
        <f t="shared" si="112"/>
        <v>44320000</v>
      </c>
      <c r="H3220" t="s">
        <v>5522</v>
      </c>
      <c r="I3220" s="1">
        <v>45777</v>
      </c>
      <c r="K3220" s="4">
        <v>59400</v>
      </c>
    </row>
    <row r="3221" spans="1:11" hidden="1" outlineLevel="2" x14ac:dyDescent="0.35">
      <c r="A3221" t="s">
        <v>131</v>
      </c>
      <c r="B3221" s="1">
        <v>45734</v>
      </c>
      <c r="C3221" t="s">
        <v>5682</v>
      </c>
      <c r="D3221" t="s">
        <v>5682</v>
      </c>
      <c r="F3221" t="str">
        <f t="shared" si="112"/>
        <v>44320000</v>
      </c>
      <c r="H3221" t="s">
        <v>5522</v>
      </c>
      <c r="I3221" s="1">
        <v>45777</v>
      </c>
      <c r="K3221" s="4">
        <v>59400</v>
      </c>
    </row>
    <row r="3222" spans="1:11" hidden="1" outlineLevel="2" x14ac:dyDescent="0.35">
      <c r="A3222" t="s">
        <v>131</v>
      </c>
      <c r="B3222" s="1">
        <v>45734</v>
      </c>
      <c r="C3222" t="s">
        <v>5682</v>
      </c>
      <c r="D3222" t="s">
        <v>5682</v>
      </c>
      <c r="F3222" t="str">
        <f t="shared" si="112"/>
        <v>44320000</v>
      </c>
      <c r="H3222" t="s">
        <v>5680</v>
      </c>
      <c r="I3222" s="1">
        <v>45777</v>
      </c>
      <c r="K3222" s="4">
        <v>-59400</v>
      </c>
    </row>
    <row r="3223" spans="1:11" hidden="1" outlineLevel="2" x14ac:dyDescent="0.35">
      <c r="A3223" t="s">
        <v>131</v>
      </c>
      <c r="B3223" s="1">
        <v>45734</v>
      </c>
      <c r="C3223" t="s">
        <v>5683</v>
      </c>
      <c r="D3223" t="s">
        <v>5683</v>
      </c>
      <c r="F3223" t="str">
        <f t="shared" si="112"/>
        <v>44320000</v>
      </c>
      <c r="H3223" t="s">
        <v>5522</v>
      </c>
      <c r="I3223" s="1">
        <v>45777</v>
      </c>
      <c r="K3223" s="4">
        <v>23760</v>
      </c>
    </row>
    <row r="3224" spans="1:11" hidden="1" outlineLevel="2" x14ac:dyDescent="0.35">
      <c r="A3224" t="s">
        <v>131</v>
      </c>
      <c r="B3224" s="1">
        <v>45734</v>
      </c>
      <c r="C3224" t="s">
        <v>5683</v>
      </c>
      <c r="D3224" t="s">
        <v>5683</v>
      </c>
      <c r="F3224" t="str">
        <f t="shared" si="112"/>
        <v>44320000</v>
      </c>
      <c r="H3224" t="s">
        <v>5522</v>
      </c>
      <c r="I3224" s="1">
        <v>45777</v>
      </c>
      <c r="K3224" s="4">
        <v>23760</v>
      </c>
    </row>
    <row r="3225" spans="1:11" hidden="1" outlineLevel="2" x14ac:dyDescent="0.35">
      <c r="A3225" t="s">
        <v>131</v>
      </c>
      <c r="B3225" s="1">
        <v>45734</v>
      </c>
      <c r="C3225" t="s">
        <v>5683</v>
      </c>
      <c r="D3225" t="s">
        <v>5683</v>
      </c>
      <c r="F3225" t="str">
        <f t="shared" si="112"/>
        <v>44320000</v>
      </c>
      <c r="H3225" t="s">
        <v>5680</v>
      </c>
      <c r="I3225" s="1">
        <v>45777</v>
      </c>
      <c r="K3225" s="4">
        <v>-23760</v>
      </c>
    </row>
    <row r="3226" spans="1:11" hidden="1" outlineLevel="2" x14ac:dyDescent="0.35">
      <c r="A3226" t="s">
        <v>131</v>
      </c>
      <c r="B3226" s="1">
        <v>45734</v>
      </c>
      <c r="C3226" t="s">
        <v>5684</v>
      </c>
      <c r="D3226" t="s">
        <v>5684</v>
      </c>
      <c r="F3226" t="str">
        <f t="shared" si="112"/>
        <v>44320000</v>
      </c>
      <c r="H3226" t="s">
        <v>5522</v>
      </c>
      <c r="I3226" s="1">
        <v>45777</v>
      </c>
      <c r="K3226" s="4">
        <v>59400</v>
      </c>
    </row>
    <row r="3227" spans="1:11" hidden="1" outlineLevel="2" x14ac:dyDescent="0.35">
      <c r="A3227" t="s">
        <v>131</v>
      </c>
      <c r="B3227" s="1">
        <v>45734</v>
      </c>
      <c r="C3227" t="s">
        <v>5684</v>
      </c>
      <c r="D3227" t="s">
        <v>5684</v>
      </c>
      <c r="F3227" t="str">
        <f t="shared" si="112"/>
        <v>44320000</v>
      </c>
      <c r="H3227" t="s">
        <v>5522</v>
      </c>
      <c r="I3227" s="1">
        <v>45777</v>
      </c>
      <c r="K3227" s="4">
        <v>59400</v>
      </c>
    </row>
    <row r="3228" spans="1:11" hidden="1" outlineLevel="2" x14ac:dyDescent="0.35">
      <c r="A3228" t="s">
        <v>131</v>
      </c>
      <c r="B3228" s="1">
        <v>45734</v>
      </c>
      <c r="C3228" t="s">
        <v>5684</v>
      </c>
      <c r="D3228" t="s">
        <v>5684</v>
      </c>
      <c r="F3228" t="str">
        <f t="shared" si="112"/>
        <v>44320000</v>
      </c>
      <c r="H3228" t="s">
        <v>5680</v>
      </c>
      <c r="I3228" s="1">
        <v>45777</v>
      </c>
      <c r="K3228" s="4">
        <v>-59400</v>
      </c>
    </row>
    <row r="3229" spans="1:11" hidden="1" outlineLevel="2" x14ac:dyDescent="0.35">
      <c r="A3229" t="s">
        <v>131</v>
      </c>
      <c r="B3229" s="1">
        <v>45736</v>
      </c>
      <c r="C3229" t="s">
        <v>5685</v>
      </c>
      <c r="D3229" t="s">
        <v>5685</v>
      </c>
      <c r="F3229" t="str">
        <f t="shared" si="112"/>
        <v>44320000</v>
      </c>
      <c r="H3229" t="s">
        <v>5581</v>
      </c>
      <c r="I3229" s="1">
        <v>45767</v>
      </c>
      <c r="K3229" s="4">
        <v>3669145</v>
      </c>
    </row>
    <row r="3230" spans="1:11" hidden="1" outlineLevel="2" x14ac:dyDescent="0.35">
      <c r="A3230" t="s">
        <v>131</v>
      </c>
      <c r="B3230" s="1">
        <v>45736</v>
      </c>
      <c r="C3230" t="s">
        <v>5685</v>
      </c>
      <c r="D3230" t="s">
        <v>5685</v>
      </c>
      <c r="F3230" t="str">
        <f t="shared" si="112"/>
        <v>44320000</v>
      </c>
      <c r="H3230" t="s">
        <v>5581</v>
      </c>
      <c r="I3230" s="1">
        <v>45767</v>
      </c>
      <c r="K3230" s="4">
        <v>3669145</v>
      </c>
    </row>
    <row r="3231" spans="1:11" hidden="1" outlineLevel="2" x14ac:dyDescent="0.35">
      <c r="A3231" t="s">
        <v>131</v>
      </c>
      <c r="B3231" s="1">
        <v>45736</v>
      </c>
      <c r="C3231" t="s">
        <v>5685</v>
      </c>
      <c r="D3231" t="s">
        <v>5685</v>
      </c>
      <c r="F3231" t="str">
        <f t="shared" si="112"/>
        <v>44320000</v>
      </c>
      <c r="H3231" t="s">
        <v>5666</v>
      </c>
      <c r="I3231" s="1">
        <v>45767</v>
      </c>
      <c r="K3231" s="4">
        <v>-3669145</v>
      </c>
    </row>
    <row r="3232" spans="1:11" hidden="1" outlineLevel="2" x14ac:dyDescent="0.35">
      <c r="A3232" t="s">
        <v>131</v>
      </c>
      <c r="B3232" s="1">
        <v>45736</v>
      </c>
      <c r="C3232" t="s">
        <v>1780</v>
      </c>
      <c r="D3232" t="s">
        <v>1780</v>
      </c>
      <c r="F3232" t="str">
        <f t="shared" si="112"/>
        <v>44320000</v>
      </c>
      <c r="H3232" t="s">
        <v>5686</v>
      </c>
      <c r="I3232" s="1">
        <v>45767</v>
      </c>
      <c r="K3232" s="4">
        <v>450000</v>
      </c>
    </row>
    <row r="3233" spans="1:11" hidden="1" outlineLevel="2" x14ac:dyDescent="0.35">
      <c r="A3233" t="s">
        <v>131</v>
      </c>
      <c r="B3233" s="1">
        <v>45736</v>
      </c>
      <c r="C3233" t="s">
        <v>1780</v>
      </c>
      <c r="D3233" t="s">
        <v>1780</v>
      </c>
      <c r="F3233" t="str">
        <f t="shared" si="112"/>
        <v>44320000</v>
      </c>
      <c r="H3233" t="s">
        <v>5686</v>
      </c>
      <c r="I3233" s="1">
        <v>45767</v>
      </c>
      <c r="K3233" s="4">
        <v>450000</v>
      </c>
    </row>
    <row r="3234" spans="1:11" hidden="1" outlineLevel="2" x14ac:dyDescent="0.35">
      <c r="A3234" t="s">
        <v>131</v>
      </c>
      <c r="B3234" s="1">
        <v>45736</v>
      </c>
      <c r="C3234" t="s">
        <v>1780</v>
      </c>
      <c r="D3234" t="s">
        <v>1780</v>
      </c>
      <c r="F3234" t="str">
        <f t="shared" si="112"/>
        <v>44320000</v>
      </c>
      <c r="H3234" t="s">
        <v>5687</v>
      </c>
      <c r="I3234" s="1">
        <v>45767</v>
      </c>
      <c r="K3234" s="4">
        <v>-450000</v>
      </c>
    </row>
    <row r="3235" spans="1:11" hidden="1" outlineLevel="2" x14ac:dyDescent="0.35">
      <c r="A3235" t="s">
        <v>131</v>
      </c>
      <c r="B3235" s="1">
        <v>45736</v>
      </c>
      <c r="C3235" t="s">
        <v>5688</v>
      </c>
      <c r="D3235" t="s">
        <v>5688</v>
      </c>
      <c r="F3235" t="str">
        <f t="shared" si="112"/>
        <v>44320000</v>
      </c>
      <c r="H3235" t="s">
        <v>5512</v>
      </c>
      <c r="I3235" s="1">
        <v>45767</v>
      </c>
      <c r="K3235" s="4">
        <v>96480</v>
      </c>
    </row>
    <row r="3236" spans="1:11" hidden="1" outlineLevel="2" x14ac:dyDescent="0.35">
      <c r="A3236" t="s">
        <v>131</v>
      </c>
      <c r="B3236" s="1">
        <v>45736</v>
      </c>
      <c r="C3236" t="s">
        <v>5688</v>
      </c>
      <c r="D3236" t="s">
        <v>5688</v>
      </c>
      <c r="F3236" t="str">
        <f t="shared" si="112"/>
        <v>44320000</v>
      </c>
      <c r="H3236" t="s">
        <v>5512</v>
      </c>
      <c r="I3236" s="1">
        <v>45767</v>
      </c>
      <c r="K3236" s="4">
        <v>96480</v>
      </c>
    </row>
    <row r="3237" spans="1:11" hidden="1" outlineLevel="2" x14ac:dyDescent="0.35">
      <c r="A3237" t="s">
        <v>131</v>
      </c>
      <c r="B3237" s="1">
        <v>45736</v>
      </c>
      <c r="C3237" t="s">
        <v>5688</v>
      </c>
      <c r="D3237" t="s">
        <v>5688</v>
      </c>
      <c r="F3237" t="str">
        <f t="shared" si="112"/>
        <v>44320000</v>
      </c>
      <c r="H3237" t="s">
        <v>5689</v>
      </c>
      <c r="I3237" s="1">
        <v>45767</v>
      </c>
      <c r="K3237" s="4">
        <v>-96480</v>
      </c>
    </row>
    <row r="3238" spans="1:11" hidden="1" outlineLevel="2" x14ac:dyDescent="0.35">
      <c r="A3238" t="s">
        <v>131</v>
      </c>
      <c r="B3238" s="1">
        <v>45736</v>
      </c>
      <c r="C3238" t="s">
        <v>5690</v>
      </c>
      <c r="D3238" t="s">
        <v>5690</v>
      </c>
      <c r="F3238" t="str">
        <f t="shared" si="112"/>
        <v>44320000</v>
      </c>
      <c r="H3238" t="s">
        <v>5512</v>
      </c>
      <c r="I3238" s="1">
        <v>45767</v>
      </c>
      <c r="K3238" s="4">
        <v>361800</v>
      </c>
    </row>
    <row r="3239" spans="1:11" hidden="1" outlineLevel="2" x14ac:dyDescent="0.35">
      <c r="A3239" t="s">
        <v>131</v>
      </c>
      <c r="B3239" s="1">
        <v>45736</v>
      </c>
      <c r="C3239" t="s">
        <v>5690</v>
      </c>
      <c r="D3239" t="s">
        <v>5690</v>
      </c>
      <c r="F3239" t="str">
        <f t="shared" si="112"/>
        <v>44320000</v>
      </c>
      <c r="H3239" t="s">
        <v>5512</v>
      </c>
      <c r="I3239" s="1">
        <v>45767</v>
      </c>
      <c r="K3239" s="4">
        <v>361800</v>
      </c>
    </row>
    <row r="3240" spans="1:11" hidden="1" outlineLevel="2" x14ac:dyDescent="0.35">
      <c r="A3240" t="s">
        <v>131</v>
      </c>
      <c r="B3240" s="1">
        <v>45736</v>
      </c>
      <c r="C3240" t="s">
        <v>5690</v>
      </c>
      <c r="D3240" t="s">
        <v>5690</v>
      </c>
      <c r="F3240" t="str">
        <f t="shared" si="112"/>
        <v>44320000</v>
      </c>
      <c r="H3240" t="s">
        <v>5689</v>
      </c>
      <c r="I3240" s="1">
        <v>45767</v>
      </c>
      <c r="K3240" s="4">
        <v>-361800</v>
      </c>
    </row>
    <row r="3241" spans="1:11" hidden="1" outlineLevel="2" x14ac:dyDescent="0.35">
      <c r="A3241" t="s">
        <v>131</v>
      </c>
      <c r="B3241" s="1">
        <v>45736</v>
      </c>
      <c r="C3241" t="s">
        <v>5691</v>
      </c>
      <c r="D3241" t="s">
        <v>5691</v>
      </c>
      <c r="F3241" t="str">
        <f t="shared" si="112"/>
        <v>44320000</v>
      </c>
      <c r="H3241" t="s">
        <v>5512</v>
      </c>
      <c r="I3241" s="1">
        <v>45767</v>
      </c>
      <c r="K3241" s="4">
        <v>72360</v>
      </c>
    </row>
    <row r="3242" spans="1:11" hidden="1" outlineLevel="2" x14ac:dyDescent="0.35">
      <c r="A3242" t="s">
        <v>131</v>
      </c>
      <c r="B3242" s="1">
        <v>45736</v>
      </c>
      <c r="C3242" t="s">
        <v>5691</v>
      </c>
      <c r="D3242" t="s">
        <v>5691</v>
      </c>
      <c r="F3242" t="str">
        <f t="shared" si="112"/>
        <v>44320000</v>
      </c>
      <c r="H3242" t="s">
        <v>5512</v>
      </c>
      <c r="I3242" s="1">
        <v>45767</v>
      </c>
      <c r="K3242" s="4">
        <v>72360</v>
      </c>
    </row>
    <row r="3243" spans="1:11" hidden="1" outlineLevel="2" x14ac:dyDescent="0.35">
      <c r="A3243" t="s">
        <v>131</v>
      </c>
      <c r="B3243" s="1">
        <v>45736</v>
      </c>
      <c r="C3243" t="s">
        <v>5691</v>
      </c>
      <c r="D3243" t="s">
        <v>5691</v>
      </c>
      <c r="F3243" t="str">
        <f t="shared" si="112"/>
        <v>44320000</v>
      </c>
      <c r="H3243" t="s">
        <v>5689</v>
      </c>
      <c r="I3243" s="1">
        <v>45767</v>
      </c>
      <c r="K3243" s="4">
        <v>-72360</v>
      </c>
    </row>
    <row r="3244" spans="1:11" hidden="1" outlineLevel="2" x14ac:dyDescent="0.35">
      <c r="A3244" t="s">
        <v>131</v>
      </c>
      <c r="B3244" s="1">
        <v>45736</v>
      </c>
      <c r="C3244" t="s">
        <v>5692</v>
      </c>
      <c r="D3244" t="s">
        <v>5692</v>
      </c>
      <c r="F3244" t="str">
        <f t="shared" si="112"/>
        <v>44320000</v>
      </c>
      <c r="H3244" t="s">
        <v>139</v>
      </c>
      <c r="I3244" s="1">
        <v>45777</v>
      </c>
      <c r="K3244" s="4">
        <v>96480</v>
      </c>
    </row>
    <row r="3245" spans="1:11" hidden="1" outlineLevel="2" x14ac:dyDescent="0.35">
      <c r="A3245" t="s">
        <v>131</v>
      </c>
      <c r="B3245" s="1">
        <v>45736</v>
      </c>
      <c r="C3245" t="s">
        <v>5692</v>
      </c>
      <c r="D3245" t="s">
        <v>5692</v>
      </c>
      <c r="F3245" t="str">
        <f t="shared" si="112"/>
        <v>44320000</v>
      </c>
      <c r="H3245" t="s">
        <v>139</v>
      </c>
      <c r="I3245" s="1">
        <v>45777</v>
      </c>
      <c r="K3245" s="4">
        <v>96480</v>
      </c>
    </row>
    <row r="3246" spans="1:11" hidden="1" outlineLevel="2" x14ac:dyDescent="0.35">
      <c r="A3246" t="s">
        <v>131</v>
      </c>
      <c r="B3246" s="1">
        <v>45736</v>
      </c>
      <c r="C3246" t="s">
        <v>5692</v>
      </c>
      <c r="D3246" t="s">
        <v>5692</v>
      </c>
      <c r="F3246" t="str">
        <f t="shared" si="112"/>
        <v>44320000</v>
      </c>
      <c r="H3246" t="s">
        <v>254</v>
      </c>
      <c r="I3246" s="1">
        <v>45777</v>
      </c>
      <c r="K3246" s="4">
        <v>-96480</v>
      </c>
    </row>
    <row r="3247" spans="1:11" hidden="1" outlineLevel="2" x14ac:dyDescent="0.35">
      <c r="A3247" t="s">
        <v>131</v>
      </c>
      <c r="B3247" s="1">
        <v>45736</v>
      </c>
      <c r="C3247" t="s">
        <v>5693</v>
      </c>
      <c r="D3247" t="s">
        <v>5693</v>
      </c>
      <c r="F3247" t="str">
        <f t="shared" si="112"/>
        <v>44320000</v>
      </c>
      <c r="H3247" t="s">
        <v>5518</v>
      </c>
      <c r="I3247" s="1">
        <v>45767</v>
      </c>
      <c r="K3247" s="4">
        <v>27000</v>
      </c>
    </row>
    <row r="3248" spans="1:11" hidden="1" outlineLevel="2" x14ac:dyDescent="0.35">
      <c r="A3248" t="s">
        <v>131</v>
      </c>
      <c r="B3248" s="1">
        <v>45736</v>
      </c>
      <c r="C3248" t="s">
        <v>5693</v>
      </c>
      <c r="D3248" t="s">
        <v>5693</v>
      </c>
      <c r="F3248" t="str">
        <f t="shared" si="112"/>
        <v>44320000</v>
      </c>
      <c r="H3248" t="s">
        <v>5518</v>
      </c>
      <c r="I3248" s="1">
        <v>45767</v>
      </c>
      <c r="K3248" s="4">
        <v>27000</v>
      </c>
    </row>
    <row r="3249" spans="1:11" hidden="1" outlineLevel="2" x14ac:dyDescent="0.35">
      <c r="A3249" t="s">
        <v>131</v>
      </c>
      <c r="B3249" s="1">
        <v>45736</v>
      </c>
      <c r="C3249" t="s">
        <v>5693</v>
      </c>
      <c r="D3249" t="s">
        <v>5693</v>
      </c>
      <c r="F3249" t="str">
        <f t="shared" si="112"/>
        <v>44320000</v>
      </c>
      <c r="H3249" t="s">
        <v>5676</v>
      </c>
      <c r="I3249" s="1">
        <v>45767</v>
      </c>
      <c r="K3249" s="4">
        <v>-27000</v>
      </c>
    </row>
    <row r="3250" spans="1:11" hidden="1" outlineLevel="2" x14ac:dyDescent="0.35">
      <c r="A3250" t="s">
        <v>131</v>
      </c>
      <c r="B3250" s="1">
        <v>45736</v>
      </c>
      <c r="C3250" t="s">
        <v>5694</v>
      </c>
      <c r="D3250" t="s">
        <v>5694</v>
      </c>
      <c r="F3250" t="str">
        <f t="shared" si="112"/>
        <v>44320000</v>
      </c>
      <c r="H3250" t="s">
        <v>180</v>
      </c>
      <c r="I3250" s="1">
        <v>45777</v>
      </c>
      <c r="K3250" s="4">
        <v>53460</v>
      </c>
    </row>
    <row r="3251" spans="1:11" hidden="1" outlineLevel="2" x14ac:dyDescent="0.35">
      <c r="A3251" t="s">
        <v>131</v>
      </c>
      <c r="B3251" s="1">
        <v>45736</v>
      </c>
      <c r="C3251" t="s">
        <v>5694</v>
      </c>
      <c r="D3251" t="s">
        <v>5694</v>
      </c>
      <c r="F3251" t="str">
        <f t="shared" si="112"/>
        <v>44320000</v>
      </c>
      <c r="H3251" t="s">
        <v>180</v>
      </c>
      <c r="I3251" s="1">
        <v>45777</v>
      </c>
      <c r="K3251" s="4">
        <v>53460</v>
      </c>
    </row>
    <row r="3252" spans="1:11" hidden="1" outlineLevel="2" x14ac:dyDescent="0.35">
      <c r="A3252" t="s">
        <v>131</v>
      </c>
      <c r="B3252" s="1">
        <v>45736</v>
      </c>
      <c r="C3252" t="s">
        <v>5694</v>
      </c>
      <c r="D3252" t="s">
        <v>5694</v>
      </c>
      <c r="F3252" t="str">
        <f t="shared" si="112"/>
        <v>44320000</v>
      </c>
      <c r="H3252" t="s">
        <v>257</v>
      </c>
      <c r="I3252" s="1">
        <v>45777</v>
      </c>
      <c r="K3252" s="4">
        <v>-53460</v>
      </c>
    </row>
    <row r="3253" spans="1:11" hidden="1" outlineLevel="2" x14ac:dyDescent="0.35">
      <c r="A3253" t="s">
        <v>131</v>
      </c>
      <c r="B3253" s="1">
        <v>45736</v>
      </c>
      <c r="C3253" t="s">
        <v>5696</v>
      </c>
      <c r="D3253" t="s">
        <v>5696</v>
      </c>
      <c r="F3253" t="str">
        <f t="shared" ref="F3253:F3316" si="113">"44320000"</f>
        <v>44320000</v>
      </c>
      <c r="H3253" t="s">
        <v>5508</v>
      </c>
      <c r="I3253" s="1">
        <v>45767</v>
      </c>
      <c r="K3253" s="4">
        <v>167670</v>
      </c>
    </row>
    <row r="3254" spans="1:11" hidden="1" outlineLevel="2" x14ac:dyDescent="0.35">
      <c r="A3254" t="s">
        <v>131</v>
      </c>
      <c r="B3254" s="1">
        <v>45736</v>
      </c>
      <c r="C3254" t="s">
        <v>5696</v>
      </c>
      <c r="D3254" t="s">
        <v>5696</v>
      </c>
      <c r="F3254" t="str">
        <f t="shared" si="113"/>
        <v>44320000</v>
      </c>
      <c r="H3254" t="s">
        <v>5508</v>
      </c>
      <c r="I3254" s="1">
        <v>45767</v>
      </c>
      <c r="K3254" s="4">
        <v>167670</v>
      </c>
    </row>
    <row r="3255" spans="1:11" hidden="1" outlineLevel="2" x14ac:dyDescent="0.35">
      <c r="A3255" t="s">
        <v>131</v>
      </c>
      <c r="B3255" s="1">
        <v>45736</v>
      </c>
      <c r="C3255" t="s">
        <v>5696</v>
      </c>
      <c r="D3255" t="s">
        <v>5696</v>
      </c>
      <c r="F3255" t="str">
        <f t="shared" si="113"/>
        <v>44320000</v>
      </c>
      <c r="H3255" t="s">
        <v>5611</v>
      </c>
      <c r="I3255" s="1">
        <v>45767</v>
      </c>
      <c r="K3255" s="4">
        <v>-167670</v>
      </c>
    </row>
    <row r="3256" spans="1:11" hidden="1" outlineLevel="2" x14ac:dyDescent="0.35">
      <c r="A3256" t="s">
        <v>131</v>
      </c>
      <c r="B3256" s="1">
        <v>45737</v>
      </c>
      <c r="C3256" t="s">
        <v>5700</v>
      </c>
      <c r="D3256" t="s">
        <v>5700</v>
      </c>
      <c r="F3256" t="str">
        <f t="shared" si="113"/>
        <v>44320000</v>
      </c>
      <c r="H3256" t="s">
        <v>5508</v>
      </c>
      <c r="I3256" s="1">
        <v>45768</v>
      </c>
      <c r="K3256" s="4">
        <v>46447</v>
      </c>
    </row>
    <row r="3257" spans="1:11" hidden="1" outlineLevel="2" x14ac:dyDescent="0.35">
      <c r="A3257" t="s">
        <v>131</v>
      </c>
      <c r="B3257" s="1">
        <v>45737</v>
      </c>
      <c r="C3257" t="s">
        <v>5700</v>
      </c>
      <c r="D3257" t="s">
        <v>5700</v>
      </c>
      <c r="F3257" t="str">
        <f t="shared" si="113"/>
        <v>44320000</v>
      </c>
      <c r="H3257" t="s">
        <v>5508</v>
      </c>
      <c r="I3257" s="1">
        <v>45768</v>
      </c>
      <c r="K3257" s="4">
        <v>46447</v>
      </c>
    </row>
    <row r="3258" spans="1:11" hidden="1" outlineLevel="2" x14ac:dyDescent="0.35">
      <c r="A3258" t="s">
        <v>131</v>
      </c>
      <c r="B3258" s="1">
        <v>45737</v>
      </c>
      <c r="C3258" t="s">
        <v>5700</v>
      </c>
      <c r="D3258" t="s">
        <v>5700</v>
      </c>
      <c r="F3258" t="str">
        <f t="shared" si="113"/>
        <v>44320000</v>
      </c>
      <c r="H3258" t="s">
        <v>5611</v>
      </c>
      <c r="I3258" s="1">
        <v>45768</v>
      </c>
      <c r="K3258" s="4">
        <v>-46447</v>
      </c>
    </row>
    <row r="3259" spans="1:11" hidden="1" outlineLevel="2" x14ac:dyDescent="0.35">
      <c r="A3259" t="s">
        <v>131</v>
      </c>
      <c r="B3259" s="1">
        <v>45737</v>
      </c>
      <c r="C3259" t="s">
        <v>5701</v>
      </c>
      <c r="D3259" t="s">
        <v>5701</v>
      </c>
      <c r="F3259" t="str">
        <f t="shared" si="113"/>
        <v>44320000</v>
      </c>
      <c r="H3259" t="s">
        <v>5508</v>
      </c>
      <c r="I3259" s="1">
        <v>45768</v>
      </c>
      <c r="K3259" s="4">
        <v>46447</v>
      </c>
    </row>
    <row r="3260" spans="1:11" hidden="1" outlineLevel="2" x14ac:dyDescent="0.35">
      <c r="A3260" t="s">
        <v>131</v>
      </c>
      <c r="B3260" s="1">
        <v>45737</v>
      </c>
      <c r="C3260" t="s">
        <v>5701</v>
      </c>
      <c r="D3260" t="s">
        <v>5701</v>
      </c>
      <c r="F3260" t="str">
        <f t="shared" si="113"/>
        <v>44320000</v>
      </c>
      <c r="H3260" t="s">
        <v>5508</v>
      </c>
      <c r="I3260" s="1">
        <v>45768</v>
      </c>
      <c r="K3260" s="4">
        <v>46447</v>
      </c>
    </row>
    <row r="3261" spans="1:11" hidden="1" outlineLevel="2" x14ac:dyDescent="0.35">
      <c r="A3261" t="s">
        <v>131</v>
      </c>
      <c r="B3261" s="1">
        <v>45737</v>
      </c>
      <c r="C3261" t="s">
        <v>5701</v>
      </c>
      <c r="D3261" t="s">
        <v>5701</v>
      </c>
      <c r="F3261" t="str">
        <f t="shared" si="113"/>
        <v>44320000</v>
      </c>
      <c r="H3261" t="s">
        <v>5611</v>
      </c>
      <c r="I3261" s="1">
        <v>45768</v>
      </c>
      <c r="K3261" s="4">
        <v>-46447</v>
      </c>
    </row>
    <row r="3262" spans="1:11" hidden="1" outlineLevel="2" x14ac:dyDescent="0.35">
      <c r="A3262" t="s">
        <v>131</v>
      </c>
      <c r="B3262" s="1">
        <v>45737</v>
      </c>
      <c r="C3262" t="s">
        <v>1782</v>
      </c>
      <c r="D3262" t="s">
        <v>1782</v>
      </c>
      <c r="F3262" t="str">
        <f t="shared" si="113"/>
        <v>44320000</v>
      </c>
      <c r="H3262" t="s">
        <v>5686</v>
      </c>
      <c r="I3262" s="1">
        <v>45768</v>
      </c>
      <c r="K3262" s="4">
        <v>221400</v>
      </c>
    </row>
    <row r="3263" spans="1:11" hidden="1" outlineLevel="2" x14ac:dyDescent="0.35">
      <c r="A3263" t="s">
        <v>131</v>
      </c>
      <c r="B3263" s="1">
        <v>45737</v>
      </c>
      <c r="C3263" t="s">
        <v>1782</v>
      </c>
      <c r="D3263" t="s">
        <v>1782</v>
      </c>
      <c r="F3263" t="str">
        <f t="shared" si="113"/>
        <v>44320000</v>
      </c>
      <c r="H3263" t="s">
        <v>5686</v>
      </c>
      <c r="I3263" s="1">
        <v>45768</v>
      </c>
      <c r="K3263" s="4">
        <v>221400</v>
      </c>
    </row>
    <row r="3264" spans="1:11" hidden="1" outlineLevel="2" x14ac:dyDescent="0.35">
      <c r="A3264" t="s">
        <v>131</v>
      </c>
      <c r="B3264" s="1">
        <v>45737</v>
      </c>
      <c r="C3264" t="s">
        <v>1782</v>
      </c>
      <c r="D3264" t="s">
        <v>1782</v>
      </c>
      <c r="F3264" t="str">
        <f t="shared" si="113"/>
        <v>44320000</v>
      </c>
      <c r="H3264" t="s">
        <v>5687</v>
      </c>
      <c r="I3264" s="1">
        <v>45768</v>
      </c>
      <c r="K3264" s="4">
        <v>-221400</v>
      </c>
    </row>
    <row r="3265" spans="1:11" hidden="1" outlineLevel="2" x14ac:dyDescent="0.35">
      <c r="A3265" t="s">
        <v>131</v>
      </c>
      <c r="B3265" s="1">
        <v>45737</v>
      </c>
      <c r="C3265" t="s">
        <v>1784</v>
      </c>
      <c r="D3265" t="s">
        <v>1784</v>
      </c>
      <c r="F3265" t="str">
        <f t="shared" si="113"/>
        <v>44320000</v>
      </c>
      <c r="H3265" t="s">
        <v>5686</v>
      </c>
      <c r="I3265" s="1">
        <v>45768</v>
      </c>
      <c r="K3265" s="4">
        <v>221400</v>
      </c>
    </row>
    <row r="3266" spans="1:11" hidden="1" outlineLevel="2" x14ac:dyDescent="0.35">
      <c r="A3266" t="s">
        <v>131</v>
      </c>
      <c r="B3266" s="1">
        <v>45737</v>
      </c>
      <c r="C3266" t="s">
        <v>1784</v>
      </c>
      <c r="D3266" t="s">
        <v>1784</v>
      </c>
      <c r="F3266" t="str">
        <f t="shared" si="113"/>
        <v>44320000</v>
      </c>
      <c r="H3266" t="s">
        <v>5686</v>
      </c>
      <c r="I3266" s="1">
        <v>45768</v>
      </c>
      <c r="K3266" s="4">
        <v>221400</v>
      </c>
    </row>
    <row r="3267" spans="1:11" hidden="1" outlineLevel="2" x14ac:dyDescent="0.35">
      <c r="A3267" t="s">
        <v>131</v>
      </c>
      <c r="B3267" s="1">
        <v>45737</v>
      </c>
      <c r="C3267" t="s">
        <v>1784</v>
      </c>
      <c r="D3267" t="s">
        <v>1784</v>
      </c>
      <c r="F3267" t="str">
        <f t="shared" si="113"/>
        <v>44320000</v>
      </c>
      <c r="H3267" t="s">
        <v>5687</v>
      </c>
      <c r="I3267" s="1">
        <v>45768</v>
      </c>
      <c r="K3267" s="4">
        <v>-221400</v>
      </c>
    </row>
    <row r="3268" spans="1:11" hidden="1" outlineLevel="2" x14ac:dyDescent="0.35">
      <c r="A3268" t="s">
        <v>131</v>
      </c>
      <c r="B3268" s="1">
        <v>45737</v>
      </c>
      <c r="C3268" t="s">
        <v>5702</v>
      </c>
      <c r="D3268" t="s">
        <v>5702</v>
      </c>
      <c r="F3268" t="str">
        <f t="shared" si="113"/>
        <v>44320000</v>
      </c>
      <c r="H3268" t="s">
        <v>5518</v>
      </c>
      <c r="I3268" s="1">
        <v>45768</v>
      </c>
      <c r="K3268" s="4">
        <v>27000</v>
      </c>
    </row>
    <row r="3269" spans="1:11" hidden="1" outlineLevel="2" x14ac:dyDescent="0.35">
      <c r="A3269" t="s">
        <v>131</v>
      </c>
      <c r="B3269" s="1">
        <v>45737</v>
      </c>
      <c r="C3269" t="s">
        <v>5703</v>
      </c>
      <c r="D3269" t="s">
        <v>5703</v>
      </c>
      <c r="F3269" t="str">
        <f t="shared" si="113"/>
        <v>44320000</v>
      </c>
      <c r="H3269" t="s">
        <v>5518</v>
      </c>
      <c r="I3269" s="1">
        <v>45768</v>
      </c>
      <c r="K3269" s="4">
        <v>27000</v>
      </c>
    </row>
    <row r="3270" spans="1:11" hidden="1" outlineLevel="2" x14ac:dyDescent="0.35">
      <c r="A3270" t="s">
        <v>131</v>
      </c>
      <c r="B3270" s="1">
        <v>45737</v>
      </c>
      <c r="C3270" t="s">
        <v>5704</v>
      </c>
      <c r="D3270" t="s">
        <v>5704</v>
      </c>
      <c r="F3270" t="str">
        <f t="shared" si="113"/>
        <v>44320000</v>
      </c>
      <c r="H3270" t="s">
        <v>5508</v>
      </c>
      <c r="I3270" s="1">
        <v>45768</v>
      </c>
      <c r="K3270" s="4">
        <v>167670</v>
      </c>
    </row>
    <row r="3271" spans="1:11" hidden="1" outlineLevel="2" x14ac:dyDescent="0.35">
      <c r="A3271" t="s">
        <v>131</v>
      </c>
      <c r="B3271" s="1">
        <v>45737</v>
      </c>
      <c r="C3271" t="s">
        <v>5704</v>
      </c>
      <c r="D3271" t="s">
        <v>5704</v>
      </c>
      <c r="F3271" t="str">
        <f t="shared" si="113"/>
        <v>44320000</v>
      </c>
      <c r="H3271" t="s">
        <v>5508</v>
      </c>
      <c r="I3271" s="1">
        <v>45768</v>
      </c>
      <c r="K3271" s="4">
        <v>167670</v>
      </c>
    </row>
    <row r="3272" spans="1:11" hidden="1" outlineLevel="2" x14ac:dyDescent="0.35">
      <c r="A3272" t="s">
        <v>131</v>
      </c>
      <c r="B3272" s="1">
        <v>45737</v>
      </c>
      <c r="C3272" t="s">
        <v>5704</v>
      </c>
      <c r="D3272" t="s">
        <v>5704</v>
      </c>
      <c r="F3272" t="str">
        <f t="shared" si="113"/>
        <v>44320000</v>
      </c>
      <c r="H3272" t="s">
        <v>5611</v>
      </c>
      <c r="I3272" s="1">
        <v>45768</v>
      </c>
      <c r="K3272" s="4">
        <v>-167670</v>
      </c>
    </row>
    <row r="3273" spans="1:11" hidden="1" outlineLevel="2" x14ac:dyDescent="0.35">
      <c r="A3273" t="s">
        <v>131</v>
      </c>
      <c r="B3273" s="1">
        <v>45737</v>
      </c>
      <c r="C3273" t="s">
        <v>5705</v>
      </c>
      <c r="D3273" t="s">
        <v>5705</v>
      </c>
      <c r="F3273" t="str">
        <f t="shared" si="113"/>
        <v>44320000</v>
      </c>
      <c r="H3273" t="s">
        <v>5508</v>
      </c>
      <c r="I3273" s="1">
        <v>45768</v>
      </c>
      <c r="K3273" s="4">
        <v>167670</v>
      </c>
    </row>
    <row r="3274" spans="1:11" hidden="1" outlineLevel="2" x14ac:dyDescent="0.35">
      <c r="A3274" t="s">
        <v>131</v>
      </c>
      <c r="B3274" s="1">
        <v>45737</v>
      </c>
      <c r="C3274" t="s">
        <v>5705</v>
      </c>
      <c r="D3274" t="s">
        <v>5705</v>
      </c>
      <c r="F3274" t="str">
        <f t="shared" si="113"/>
        <v>44320000</v>
      </c>
      <c r="H3274" t="s">
        <v>5508</v>
      </c>
      <c r="I3274" s="1">
        <v>45768</v>
      </c>
      <c r="K3274" s="4">
        <v>167670</v>
      </c>
    </row>
    <row r="3275" spans="1:11" hidden="1" outlineLevel="2" x14ac:dyDescent="0.35">
      <c r="A3275" t="s">
        <v>131</v>
      </c>
      <c r="B3275" s="1">
        <v>45737</v>
      </c>
      <c r="C3275" t="s">
        <v>5705</v>
      </c>
      <c r="D3275" t="s">
        <v>5705</v>
      </c>
      <c r="F3275" t="str">
        <f t="shared" si="113"/>
        <v>44320000</v>
      </c>
      <c r="H3275" t="s">
        <v>5611</v>
      </c>
      <c r="I3275" s="1">
        <v>45768</v>
      </c>
      <c r="K3275" s="4">
        <v>-167670</v>
      </c>
    </row>
    <row r="3276" spans="1:11" hidden="1" outlineLevel="2" x14ac:dyDescent="0.35">
      <c r="A3276" t="s">
        <v>131</v>
      </c>
      <c r="B3276" s="1">
        <v>45738</v>
      </c>
      <c r="C3276" t="s">
        <v>5706</v>
      </c>
      <c r="D3276" t="s">
        <v>5706</v>
      </c>
      <c r="F3276" t="str">
        <f t="shared" si="113"/>
        <v>44320000</v>
      </c>
      <c r="H3276" t="s">
        <v>5508</v>
      </c>
      <c r="I3276" s="1">
        <v>45769</v>
      </c>
      <c r="K3276" s="4">
        <v>838350</v>
      </c>
    </row>
    <row r="3277" spans="1:11" hidden="1" outlineLevel="2" x14ac:dyDescent="0.35">
      <c r="A3277" t="s">
        <v>131</v>
      </c>
      <c r="B3277" s="1">
        <v>45738</v>
      </c>
      <c r="C3277" t="s">
        <v>5706</v>
      </c>
      <c r="D3277" t="s">
        <v>5706</v>
      </c>
      <c r="F3277" t="str">
        <f t="shared" si="113"/>
        <v>44320000</v>
      </c>
      <c r="H3277" t="s">
        <v>5508</v>
      </c>
      <c r="I3277" s="1">
        <v>45769</v>
      </c>
      <c r="K3277" s="4">
        <v>838350</v>
      </c>
    </row>
    <row r="3278" spans="1:11" hidden="1" outlineLevel="2" x14ac:dyDescent="0.35">
      <c r="A3278" t="s">
        <v>131</v>
      </c>
      <c r="B3278" s="1">
        <v>45738</v>
      </c>
      <c r="C3278" t="s">
        <v>5706</v>
      </c>
      <c r="D3278" t="s">
        <v>5706</v>
      </c>
      <c r="F3278" t="str">
        <f t="shared" si="113"/>
        <v>44320000</v>
      </c>
      <c r="H3278" t="s">
        <v>5611</v>
      </c>
      <c r="I3278" s="1">
        <v>45769</v>
      </c>
      <c r="K3278" s="4">
        <v>-838350</v>
      </c>
    </row>
    <row r="3279" spans="1:11" hidden="1" outlineLevel="2" x14ac:dyDescent="0.35">
      <c r="A3279" t="s">
        <v>131</v>
      </c>
      <c r="B3279" s="1">
        <v>45738</v>
      </c>
      <c r="C3279" t="s">
        <v>5707</v>
      </c>
      <c r="D3279" t="s">
        <v>5707</v>
      </c>
      <c r="F3279" t="str">
        <f t="shared" si="113"/>
        <v>44320000</v>
      </c>
      <c r="H3279" t="s">
        <v>5508</v>
      </c>
      <c r="I3279" s="1">
        <v>45769</v>
      </c>
      <c r="K3279" s="4">
        <v>838350</v>
      </c>
    </row>
    <row r="3280" spans="1:11" hidden="1" outlineLevel="2" x14ac:dyDescent="0.35">
      <c r="A3280" t="s">
        <v>131</v>
      </c>
      <c r="B3280" s="1">
        <v>45738</v>
      </c>
      <c r="C3280" t="s">
        <v>5707</v>
      </c>
      <c r="D3280" t="s">
        <v>5707</v>
      </c>
      <c r="F3280" t="str">
        <f t="shared" si="113"/>
        <v>44320000</v>
      </c>
      <c r="H3280" t="s">
        <v>5508</v>
      </c>
      <c r="I3280" s="1">
        <v>45769</v>
      </c>
      <c r="K3280" s="4">
        <v>838350</v>
      </c>
    </row>
    <row r="3281" spans="1:11" hidden="1" outlineLevel="2" x14ac:dyDescent="0.35">
      <c r="A3281" t="s">
        <v>131</v>
      </c>
      <c r="B3281" s="1">
        <v>45738</v>
      </c>
      <c r="C3281" t="s">
        <v>5707</v>
      </c>
      <c r="D3281" t="s">
        <v>5707</v>
      </c>
      <c r="F3281" t="str">
        <f t="shared" si="113"/>
        <v>44320000</v>
      </c>
      <c r="H3281" t="s">
        <v>5611</v>
      </c>
      <c r="I3281" s="1">
        <v>45769</v>
      </c>
      <c r="K3281" s="4">
        <v>-838350</v>
      </c>
    </row>
    <row r="3282" spans="1:11" hidden="1" outlineLevel="2" x14ac:dyDescent="0.35">
      <c r="A3282" t="s">
        <v>131</v>
      </c>
      <c r="B3282" s="1">
        <v>45740</v>
      </c>
      <c r="C3282" t="s">
        <v>5708</v>
      </c>
      <c r="D3282" t="s">
        <v>5708</v>
      </c>
      <c r="F3282" t="str">
        <f t="shared" si="113"/>
        <v>44320000</v>
      </c>
      <c r="H3282" t="s">
        <v>5508</v>
      </c>
      <c r="I3282" s="1">
        <v>45771</v>
      </c>
      <c r="K3282" s="4">
        <v>167670</v>
      </c>
    </row>
    <row r="3283" spans="1:11" hidden="1" outlineLevel="2" x14ac:dyDescent="0.35">
      <c r="A3283" t="s">
        <v>131</v>
      </c>
      <c r="B3283" s="1">
        <v>45740</v>
      </c>
      <c r="C3283" t="s">
        <v>5709</v>
      </c>
      <c r="D3283" t="s">
        <v>5709</v>
      </c>
      <c r="F3283" t="str">
        <f t="shared" si="113"/>
        <v>44320000</v>
      </c>
      <c r="H3283" t="s">
        <v>5508</v>
      </c>
      <c r="I3283" s="1">
        <v>45771</v>
      </c>
      <c r="K3283" s="4">
        <v>167670</v>
      </c>
    </row>
    <row r="3284" spans="1:11" hidden="1" outlineLevel="2" x14ac:dyDescent="0.35">
      <c r="A3284" t="s">
        <v>131</v>
      </c>
      <c r="B3284" s="1">
        <v>45740</v>
      </c>
      <c r="C3284" t="s">
        <v>5710</v>
      </c>
      <c r="D3284" t="s">
        <v>5710</v>
      </c>
      <c r="F3284" t="str">
        <f t="shared" si="113"/>
        <v>44320000</v>
      </c>
      <c r="H3284" t="s">
        <v>5508</v>
      </c>
      <c r="I3284" s="1">
        <v>45771</v>
      </c>
      <c r="K3284" s="4">
        <v>167670</v>
      </c>
    </row>
    <row r="3285" spans="1:11" hidden="1" outlineLevel="2" x14ac:dyDescent="0.35">
      <c r="A3285" t="s">
        <v>131</v>
      </c>
      <c r="B3285" s="1">
        <v>45740</v>
      </c>
      <c r="C3285" t="s">
        <v>5711</v>
      </c>
      <c r="D3285" t="s">
        <v>5711</v>
      </c>
      <c r="F3285" t="str">
        <f t="shared" si="113"/>
        <v>44320000</v>
      </c>
      <c r="H3285" t="s">
        <v>139</v>
      </c>
      <c r="I3285" s="1">
        <v>45740</v>
      </c>
      <c r="K3285" s="4">
        <v>215280</v>
      </c>
    </row>
    <row r="3286" spans="1:11" hidden="1" outlineLevel="2" x14ac:dyDescent="0.35">
      <c r="A3286" t="s">
        <v>131</v>
      </c>
      <c r="B3286" s="1">
        <v>45740</v>
      </c>
      <c r="C3286" t="s">
        <v>5712</v>
      </c>
      <c r="D3286" t="s">
        <v>5712</v>
      </c>
      <c r="F3286" t="str">
        <f t="shared" si="113"/>
        <v>44320000</v>
      </c>
      <c r="H3286" t="s">
        <v>5518</v>
      </c>
      <c r="I3286" s="1">
        <v>45771</v>
      </c>
      <c r="K3286" s="4">
        <v>27000</v>
      </c>
    </row>
    <row r="3287" spans="1:11" hidden="1" outlineLevel="2" x14ac:dyDescent="0.35">
      <c r="A3287" t="s">
        <v>131</v>
      </c>
      <c r="B3287" s="1">
        <v>45740</v>
      </c>
      <c r="C3287" t="s">
        <v>5713</v>
      </c>
      <c r="D3287" t="s">
        <v>5713</v>
      </c>
      <c r="F3287" t="str">
        <f t="shared" si="113"/>
        <v>44320000</v>
      </c>
      <c r="H3287" t="s">
        <v>5518</v>
      </c>
      <c r="I3287" s="1">
        <v>45771</v>
      </c>
      <c r="K3287" s="4">
        <v>27000</v>
      </c>
    </row>
    <row r="3288" spans="1:11" hidden="1" outlineLevel="2" x14ac:dyDescent="0.35">
      <c r="A3288" t="s">
        <v>131</v>
      </c>
      <c r="B3288" s="1">
        <v>45740</v>
      </c>
      <c r="C3288" t="s">
        <v>5714</v>
      </c>
      <c r="D3288" t="s">
        <v>5714</v>
      </c>
      <c r="F3288" t="str">
        <f t="shared" si="113"/>
        <v>44320000</v>
      </c>
      <c r="H3288" t="s">
        <v>5518</v>
      </c>
      <c r="I3288" s="1">
        <v>45771</v>
      </c>
      <c r="K3288" s="4">
        <v>27000</v>
      </c>
    </row>
    <row r="3289" spans="1:11" hidden="1" outlineLevel="2" x14ac:dyDescent="0.35">
      <c r="A3289" t="s">
        <v>131</v>
      </c>
      <c r="B3289" s="1">
        <v>45740</v>
      </c>
      <c r="C3289" t="s">
        <v>5715</v>
      </c>
      <c r="D3289" t="s">
        <v>5715</v>
      </c>
      <c r="F3289" t="str">
        <f t="shared" si="113"/>
        <v>44320000</v>
      </c>
      <c r="H3289" t="s">
        <v>5518</v>
      </c>
      <c r="I3289" s="1">
        <v>45771</v>
      </c>
      <c r="K3289" s="4">
        <v>27000</v>
      </c>
    </row>
    <row r="3290" spans="1:11" hidden="1" outlineLevel="2" x14ac:dyDescent="0.35">
      <c r="A3290" t="s">
        <v>131</v>
      </c>
      <c r="B3290" s="1">
        <v>45740</v>
      </c>
      <c r="C3290" t="s">
        <v>5716</v>
      </c>
      <c r="D3290" t="s">
        <v>5716</v>
      </c>
      <c r="F3290" t="str">
        <f t="shared" si="113"/>
        <v>44320000</v>
      </c>
      <c r="H3290" t="s">
        <v>5518</v>
      </c>
      <c r="I3290" s="1">
        <v>45771</v>
      </c>
      <c r="K3290" s="4">
        <v>27000</v>
      </c>
    </row>
    <row r="3291" spans="1:11" hidden="1" outlineLevel="2" x14ac:dyDescent="0.35">
      <c r="A3291" t="s">
        <v>131</v>
      </c>
      <c r="B3291" s="1">
        <v>45740</v>
      </c>
      <c r="C3291" t="s">
        <v>5717</v>
      </c>
      <c r="D3291" t="s">
        <v>5717</v>
      </c>
      <c r="F3291" t="str">
        <f t="shared" si="113"/>
        <v>44320000</v>
      </c>
      <c r="H3291" t="s">
        <v>5518</v>
      </c>
      <c r="I3291" s="1">
        <v>45771</v>
      </c>
      <c r="K3291" s="4">
        <v>27000</v>
      </c>
    </row>
    <row r="3292" spans="1:11" hidden="1" outlineLevel="2" x14ac:dyDescent="0.35">
      <c r="A3292" t="s">
        <v>131</v>
      </c>
      <c r="B3292" s="1">
        <v>45740</v>
      </c>
      <c r="C3292" t="s">
        <v>5718</v>
      </c>
      <c r="D3292" t="s">
        <v>5718</v>
      </c>
      <c r="F3292" t="str">
        <f t="shared" si="113"/>
        <v>44320000</v>
      </c>
      <c r="H3292" t="s">
        <v>5518</v>
      </c>
      <c r="I3292" s="1">
        <v>45771</v>
      </c>
      <c r="K3292" s="4">
        <v>27000</v>
      </c>
    </row>
    <row r="3293" spans="1:11" hidden="1" outlineLevel="2" x14ac:dyDescent="0.35">
      <c r="A3293" t="s">
        <v>131</v>
      </c>
      <c r="B3293" s="1">
        <v>45740</v>
      </c>
      <c r="C3293" t="s">
        <v>5719</v>
      </c>
      <c r="D3293" t="s">
        <v>5719</v>
      </c>
      <c r="F3293" t="str">
        <f t="shared" si="113"/>
        <v>44320000</v>
      </c>
      <c r="H3293" t="s">
        <v>5518</v>
      </c>
      <c r="I3293" s="1">
        <v>45771</v>
      </c>
      <c r="K3293" s="4">
        <v>27000</v>
      </c>
    </row>
    <row r="3294" spans="1:11" hidden="1" outlineLevel="2" x14ac:dyDescent="0.35">
      <c r="A3294" t="s">
        <v>131</v>
      </c>
      <c r="B3294" s="1">
        <v>45740</v>
      </c>
      <c r="C3294" t="s">
        <v>5720</v>
      </c>
      <c r="D3294" t="s">
        <v>5720</v>
      </c>
      <c r="F3294" t="str">
        <f t="shared" si="113"/>
        <v>44320000</v>
      </c>
      <c r="H3294" t="s">
        <v>5518</v>
      </c>
      <c r="I3294" s="1">
        <v>45771</v>
      </c>
      <c r="K3294" s="4">
        <v>27000</v>
      </c>
    </row>
    <row r="3295" spans="1:11" hidden="1" outlineLevel="2" x14ac:dyDescent="0.35">
      <c r="A3295" t="s">
        <v>131</v>
      </c>
      <c r="B3295" s="1">
        <v>45740</v>
      </c>
      <c r="C3295" t="s">
        <v>5721</v>
      </c>
      <c r="D3295" t="s">
        <v>5721</v>
      </c>
      <c r="F3295" t="str">
        <f t="shared" si="113"/>
        <v>44320000</v>
      </c>
      <c r="H3295" t="s">
        <v>5518</v>
      </c>
      <c r="I3295" s="1">
        <v>45771</v>
      </c>
      <c r="K3295" s="4">
        <v>27000</v>
      </c>
    </row>
    <row r="3296" spans="1:11" hidden="1" outlineLevel="2" x14ac:dyDescent="0.35">
      <c r="A3296" t="s">
        <v>131</v>
      </c>
      <c r="B3296" s="1">
        <v>45740</v>
      </c>
      <c r="C3296" t="s">
        <v>5722</v>
      </c>
      <c r="D3296" t="s">
        <v>5722</v>
      </c>
      <c r="F3296" t="str">
        <f t="shared" si="113"/>
        <v>44320000</v>
      </c>
      <c r="H3296" t="s">
        <v>5518</v>
      </c>
      <c r="I3296" s="1">
        <v>45771</v>
      </c>
      <c r="K3296" s="4">
        <v>54000</v>
      </c>
    </row>
    <row r="3297" spans="1:11" hidden="1" outlineLevel="2" x14ac:dyDescent="0.35">
      <c r="A3297" t="s">
        <v>131</v>
      </c>
      <c r="B3297" s="1">
        <v>45740</v>
      </c>
      <c r="C3297" t="s">
        <v>5723</v>
      </c>
      <c r="D3297" t="s">
        <v>5723</v>
      </c>
      <c r="F3297" t="str">
        <f t="shared" si="113"/>
        <v>44320000</v>
      </c>
      <c r="H3297" t="s">
        <v>5518</v>
      </c>
      <c r="I3297" s="1">
        <v>45771</v>
      </c>
      <c r="K3297" s="4">
        <v>27000</v>
      </c>
    </row>
    <row r="3298" spans="1:11" hidden="1" outlineLevel="2" x14ac:dyDescent="0.35">
      <c r="A3298" t="s">
        <v>131</v>
      </c>
      <c r="B3298" s="1">
        <v>45740</v>
      </c>
      <c r="C3298" t="s">
        <v>5724</v>
      </c>
      <c r="D3298" t="s">
        <v>5724</v>
      </c>
      <c r="F3298" t="str">
        <f t="shared" si="113"/>
        <v>44320000</v>
      </c>
      <c r="H3298" t="s">
        <v>5518</v>
      </c>
      <c r="I3298" s="1">
        <v>45771</v>
      </c>
      <c r="K3298" s="4">
        <v>27000</v>
      </c>
    </row>
    <row r="3299" spans="1:11" hidden="1" outlineLevel="2" x14ac:dyDescent="0.35">
      <c r="A3299" t="s">
        <v>131</v>
      </c>
      <c r="B3299" s="1">
        <v>45740</v>
      </c>
      <c r="C3299" t="s">
        <v>5725</v>
      </c>
      <c r="D3299" t="s">
        <v>5725</v>
      </c>
      <c r="F3299" t="str">
        <f t="shared" si="113"/>
        <v>44320000</v>
      </c>
      <c r="H3299" t="s">
        <v>5518</v>
      </c>
      <c r="I3299" s="1">
        <v>45771</v>
      </c>
      <c r="K3299" s="4">
        <v>27000</v>
      </c>
    </row>
    <row r="3300" spans="1:11" hidden="1" outlineLevel="2" x14ac:dyDescent="0.35">
      <c r="A3300" t="s">
        <v>131</v>
      </c>
      <c r="B3300" s="1">
        <v>45740</v>
      </c>
      <c r="C3300" t="s">
        <v>5703</v>
      </c>
      <c r="D3300" t="s">
        <v>5703</v>
      </c>
      <c r="F3300" t="str">
        <f t="shared" si="113"/>
        <v>44320000</v>
      </c>
      <c r="H3300" t="s">
        <v>5518</v>
      </c>
      <c r="I3300" s="1">
        <v>45771</v>
      </c>
      <c r="K3300" s="4">
        <v>27000</v>
      </c>
    </row>
    <row r="3301" spans="1:11" hidden="1" outlineLevel="2" x14ac:dyDescent="0.35">
      <c r="A3301" t="s">
        <v>131</v>
      </c>
      <c r="B3301" s="1">
        <v>45740</v>
      </c>
      <c r="C3301" t="s">
        <v>5703</v>
      </c>
      <c r="D3301" t="s">
        <v>5703</v>
      </c>
      <c r="F3301" t="str">
        <f t="shared" si="113"/>
        <v>44320000</v>
      </c>
      <c r="H3301" t="s">
        <v>5676</v>
      </c>
      <c r="I3301" s="1">
        <v>45771</v>
      </c>
      <c r="K3301" s="4">
        <v>-27000</v>
      </c>
    </row>
    <row r="3302" spans="1:11" hidden="1" outlineLevel="2" x14ac:dyDescent="0.35">
      <c r="A3302" t="s">
        <v>131</v>
      </c>
      <c r="B3302" s="1">
        <v>45740</v>
      </c>
      <c r="C3302" t="s">
        <v>5726</v>
      </c>
      <c r="D3302" t="s">
        <v>5726</v>
      </c>
      <c r="F3302" t="str">
        <f t="shared" si="113"/>
        <v>44320000</v>
      </c>
      <c r="H3302" t="s">
        <v>5518</v>
      </c>
      <c r="I3302" s="1">
        <v>45771</v>
      </c>
      <c r="K3302" s="4">
        <v>54000</v>
      </c>
    </row>
    <row r="3303" spans="1:11" hidden="1" outlineLevel="2" x14ac:dyDescent="0.35">
      <c r="A3303" t="s">
        <v>131</v>
      </c>
      <c r="B3303" s="1">
        <v>45740</v>
      </c>
      <c r="C3303" t="s">
        <v>5727</v>
      </c>
      <c r="D3303" t="s">
        <v>5727</v>
      </c>
      <c r="F3303" t="str">
        <f t="shared" si="113"/>
        <v>44320000</v>
      </c>
      <c r="H3303" t="s">
        <v>180</v>
      </c>
      <c r="I3303" s="1">
        <v>45771</v>
      </c>
      <c r="K3303" s="4">
        <v>142560</v>
      </c>
    </row>
    <row r="3304" spans="1:11" hidden="1" outlineLevel="2" x14ac:dyDescent="0.35">
      <c r="A3304" t="s">
        <v>131</v>
      </c>
      <c r="B3304" s="1">
        <v>45740</v>
      </c>
      <c r="C3304" t="s">
        <v>5728</v>
      </c>
      <c r="D3304" t="s">
        <v>5728</v>
      </c>
      <c r="F3304" t="str">
        <f t="shared" si="113"/>
        <v>44320000</v>
      </c>
      <c r="H3304" t="s">
        <v>5508</v>
      </c>
      <c r="I3304" s="1">
        <v>45771</v>
      </c>
      <c r="K3304" s="4">
        <v>3912</v>
      </c>
    </row>
    <row r="3305" spans="1:11" hidden="1" outlineLevel="2" x14ac:dyDescent="0.35">
      <c r="A3305" t="s">
        <v>131</v>
      </c>
      <c r="B3305" s="1">
        <v>45741</v>
      </c>
      <c r="C3305" t="s">
        <v>5731</v>
      </c>
      <c r="D3305" t="s">
        <v>5731</v>
      </c>
      <c r="F3305" t="str">
        <f t="shared" si="113"/>
        <v>44320000</v>
      </c>
      <c r="H3305" t="s">
        <v>5518</v>
      </c>
      <c r="I3305" s="1">
        <v>45772</v>
      </c>
      <c r="K3305" s="4">
        <v>27000</v>
      </c>
    </row>
    <row r="3306" spans="1:11" hidden="1" outlineLevel="2" x14ac:dyDescent="0.35">
      <c r="A3306" t="s">
        <v>131</v>
      </c>
      <c r="B3306" s="1">
        <v>45741</v>
      </c>
      <c r="C3306" t="s">
        <v>5732</v>
      </c>
      <c r="D3306" t="s">
        <v>5732</v>
      </c>
      <c r="F3306" t="str">
        <f t="shared" si="113"/>
        <v>44320000</v>
      </c>
      <c r="H3306" t="s">
        <v>5518</v>
      </c>
      <c r="I3306" s="1">
        <v>45772</v>
      </c>
      <c r="K3306" s="4">
        <v>27000</v>
      </c>
    </row>
    <row r="3307" spans="1:11" hidden="1" outlineLevel="2" x14ac:dyDescent="0.35">
      <c r="A3307" t="s">
        <v>131</v>
      </c>
      <c r="B3307" s="1">
        <v>45741</v>
      </c>
      <c r="C3307" t="s">
        <v>5733</v>
      </c>
      <c r="D3307" t="s">
        <v>5733</v>
      </c>
      <c r="F3307" t="str">
        <f t="shared" si="113"/>
        <v>44320000</v>
      </c>
      <c r="H3307" t="s">
        <v>180</v>
      </c>
      <c r="I3307" s="1">
        <v>45777</v>
      </c>
      <c r="K3307" s="4">
        <v>53460</v>
      </c>
    </row>
    <row r="3308" spans="1:11" hidden="1" outlineLevel="2" x14ac:dyDescent="0.35">
      <c r="A3308" t="s">
        <v>131</v>
      </c>
      <c r="B3308" s="1">
        <v>45741</v>
      </c>
      <c r="C3308" t="s">
        <v>5734</v>
      </c>
      <c r="D3308" t="s">
        <v>5734</v>
      </c>
      <c r="F3308" t="str">
        <f t="shared" si="113"/>
        <v>44320000</v>
      </c>
      <c r="H3308" t="s">
        <v>5551</v>
      </c>
      <c r="I3308" s="1">
        <v>45741</v>
      </c>
      <c r="K3308" s="4">
        <v>54000</v>
      </c>
    </row>
    <row r="3309" spans="1:11" hidden="1" outlineLevel="2" x14ac:dyDescent="0.35">
      <c r="A3309" t="s">
        <v>131</v>
      </c>
      <c r="B3309" s="1">
        <v>45741</v>
      </c>
      <c r="C3309" t="s">
        <v>5735</v>
      </c>
      <c r="D3309" t="s">
        <v>5735</v>
      </c>
      <c r="F3309" t="str">
        <f t="shared" si="113"/>
        <v>44320000</v>
      </c>
      <c r="H3309" t="s">
        <v>180</v>
      </c>
      <c r="I3309" s="1">
        <v>45777</v>
      </c>
      <c r="K3309" s="4">
        <v>17820</v>
      </c>
    </row>
    <row r="3310" spans="1:11" hidden="1" outlineLevel="2" x14ac:dyDescent="0.35">
      <c r="A3310" t="s">
        <v>131</v>
      </c>
      <c r="B3310" s="1">
        <v>45741</v>
      </c>
      <c r="C3310" t="s">
        <v>5736</v>
      </c>
      <c r="D3310" t="s">
        <v>5736</v>
      </c>
      <c r="F3310" t="str">
        <f t="shared" si="113"/>
        <v>44320000</v>
      </c>
      <c r="H3310" t="s">
        <v>180</v>
      </c>
      <c r="I3310" s="1">
        <v>45777</v>
      </c>
      <c r="K3310" s="4">
        <v>17820</v>
      </c>
    </row>
    <row r="3311" spans="1:11" hidden="1" outlineLevel="2" x14ac:dyDescent="0.35">
      <c r="A3311" t="s">
        <v>131</v>
      </c>
      <c r="B3311" s="1">
        <v>45741</v>
      </c>
      <c r="C3311" t="s">
        <v>5737</v>
      </c>
      <c r="D3311" t="s">
        <v>5737</v>
      </c>
      <c r="F3311" t="str">
        <f t="shared" si="113"/>
        <v>44320000</v>
      </c>
      <c r="H3311" t="s">
        <v>180</v>
      </c>
      <c r="I3311" s="1">
        <v>45777</v>
      </c>
      <c r="K3311" s="4">
        <v>17820</v>
      </c>
    </row>
    <row r="3312" spans="1:11" hidden="1" outlineLevel="2" x14ac:dyDescent="0.35">
      <c r="A3312" t="s">
        <v>131</v>
      </c>
      <c r="B3312" s="1">
        <v>45741</v>
      </c>
      <c r="C3312" t="s">
        <v>5738</v>
      </c>
      <c r="D3312" t="s">
        <v>5738</v>
      </c>
      <c r="F3312" t="str">
        <f t="shared" si="113"/>
        <v>44320000</v>
      </c>
      <c r="H3312" t="s">
        <v>180</v>
      </c>
      <c r="I3312" s="1">
        <v>45777</v>
      </c>
      <c r="K3312" s="4">
        <v>17820</v>
      </c>
    </row>
    <row r="3313" spans="1:11" hidden="1" outlineLevel="2" x14ac:dyDescent="0.35">
      <c r="A3313" t="s">
        <v>131</v>
      </c>
      <c r="B3313" s="1">
        <v>45741</v>
      </c>
      <c r="C3313" t="s">
        <v>5739</v>
      </c>
      <c r="D3313" t="s">
        <v>5739</v>
      </c>
      <c r="F3313" t="str">
        <f t="shared" si="113"/>
        <v>44320000</v>
      </c>
      <c r="H3313" t="s">
        <v>5740</v>
      </c>
      <c r="I3313" s="1">
        <v>45741</v>
      </c>
      <c r="K3313" s="4">
        <v>302400</v>
      </c>
    </row>
    <row r="3314" spans="1:11" hidden="1" outlineLevel="2" x14ac:dyDescent="0.35">
      <c r="A3314" t="s">
        <v>131</v>
      </c>
      <c r="B3314" s="1">
        <v>45741</v>
      </c>
      <c r="C3314" t="s">
        <v>5741</v>
      </c>
      <c r="D3314" t="s">
        <v>5741</v>
      </c>
      <c r="F3314" t="str">
        <f t="shared" si="113"/>
        <v>44320000</v>
      </c>
      <c r="H3314" t="s">
        <v>5512</v>
      </c>
      <c r="I3314" s="1">
        <v>45772</v>
      </c>
      <c r="K3314" s="4">
        <v>36180</v>
      </c>
    </row>
    <row r="3315" spans="1:11" hidden="1" outlineLevel="2" x14ac:dyDescent="0.35">
      <c r="A3315" t="s">
        <v>131</v>
      </c>
      <c r="B3315" s="1">
        <v>45741</v>
      </c>
      <c r="C3315" t="s">
        <v>5744</v>
      </c>
      <c r="D3315" t="s">
        <v>5744</v>
      </c>
      <c r="F3315" t="str">
        <f t="shared" si="113"/>
        <v>44320000</v>
      </c>
      <c r="H3315" t="s">
        <v>5508</v>
      </c>
      <c r="I3315" s="1">
        <v>45772</v>
      </c>
      <c r="K3315" s="4">
        <v>46447</v>
      </c>
    </row>
    <row r="3316" spans="1:11" hidden="1" outlineLevel="2" x14ac:dyDescent="0.35">
      <c r="A3316" t="s">
        <v>131</v>
      </c>
      <c r="B3316" s="1">
        <v>45741</v>
      </c>
      <c r="C3316" t="s">
        <v>5745</v>
      </c>
      <c r="D3316" t="s">
        <v>5745</v>
      </c>
      <c r="F3316" t="str">
        <f t="shared" si="113"/>
        <v>44320000</v>
      </c>
      <c r="H3316" t="s">
        <v>5508</v>
      </c>
      <c r="I3316" s="1">
        <v>45772</v>
      </c>
      <c r="K3316" s="4">
        <v>46447</v>
      </c>
    </row>
    <row r="3317" spans="1:11" hidden="1" outlineLevel="2" x14ac:dyDescent="0.35">
      <c r="A3317" t="s">
        <v>131</v>
      </c>
      <c r="B3317" s="1">
        <v>45742</v>
      </c>
      <c r="C3317" t="s">
        <v>5746</v>
      </c>
      <c r="D3317" t="s">
        <v>5746</v>
      </c>
      <c r="F3317" t="str">
        <f t="shared" ref="F3317:F3380" si="114">"44320000"</f>
        <v>44320000</v>
      </c>
      <c r="H3317" t="s">
        <v>165</v>
      </c>
      <c r="I3317" s="1">
        <v>45742</v>
      </c>
      <c r="K3317" s="4">
        <v>162810</v>
      </c>
    </row>
    <row r="3318" spans="1:11" hidden="1" outlineLevel="2" x14ac:dyDescent="0.35">
      <c r="A3318" t="s">
        <v>131</v>
      </c>
      <c r="B3318" s="1">
        <v>45742</v>
      </c>
      <c r="C3318" t="s">
        <v>5758</v>
      </c>
      <c r="D3318" t="s">
        <v>5758</v>
      </c>
      <c r="F3318" t="str">
        <f t="shared" si="114"/>
        <v>44320000</v>
      </c>
      <c r="H3318" t="s">
        <v>5508</v>
      </c>
      <c r="I3318" s="1">
        <v>45773</v>
      </c>
      <c r="K3318" s="4">
        <v>167670</v>
      </c>
    </row>
    <row r="3319" spans="1:11" hidden="1" outlineLevel="2" x14ac:dyDescent="0.35">
      <c r="A3319" t="s">
        <v>131</v>
      </c>
      <c r="B3319" s="1">
        <v>45742</v>
      </c>
      <c r="C3319" t="s">
        <v>5759</v>
      </c>
      <c r="D3319" t="s">
        <v>5759</v>
      </c>
      <c r="F3319" t="str">
        <f t="shared" si="114"/>
        <v>44320000</v>
      </c>
      <c r="H3319" t="s">
        <v>5508</v>
      </c>
      <c r="I3319" s="1">
        <v>45773</v>
      </c>
      <c r="K3319" s="4">
        <v>3911</v>
      </c>
    </row>
    <row r="3320" spans="1:11" hidden="1" outlineLevel="2" x14ac:dyDescent="0.35">
      <c r="A3320" t="s">
        <v>131</v>
      </c>
      <c r="B3320" s="1">
        <v>45742</v>
      </c>
      <c r="C3320" t="s">
        <v>5760</v>
      </c>
      <c r="D3320" t="s">
        <v>5760</v>
      </c>
      <c r="F3320" t="str">
        <f t="shared" si="114"/>
        <v>44320000</v>
      </c>
      <c r="H3320" t="s">
        <v>5508</v>
      </c>
      <c r="I3320" s="1">
        <v>45773</v>
      </c>
      <c r="K3320" s="4">
        <v>19562</v>
      </c>
    </row>
    <row r="3321" spans="1:11" hidden="1" outlineLevel="2" x14ac:dyDescent="0.35">
      <c r="A3321" t="s">
        <v>131</v>
      </c>
      <c r="B3321" s="1">
        <v>45742</v>
      </c>
      <c r="C3321" t="s">
        <v>5761</v>
      </c>
      <c r="D3321" t="s">
        <v>5761</v>
      </c>
      <c r="F3321" t="str">
        <f t="shared" si="114"/>
        <v>44320000</v>
      </c>
      <c r="H3321" t="s">
        <v>5508</v>
      </c>
      <c r="I3321" s="1">
        <v>45773</v>
      </c>
      <c r="K3321" s="4">
        <v>7825</v>
      </c>
    </row>
    <row r="3322" spans="1:11" hidden="1" outlineLevel="2" x14ac:dyDescent="0.35">
      <c r="A3322" t="s">
        <v>131</v>
      </c>
      <c r="B3322" s="1">
        <v>45742</v>
      </c>
      <c r="C3322" t="s">
        <v>5762</v>
      </c>
      <c r="D3322" t="s">
        <v>5762</v>
      </c>
      <c r="F3322" t="str">
        <f t="shared" si="114"/>
        <v>44320000</v>
      </c>
      <c r="H3322" t="s">
        <v>5508</v>
      </c>
      <c r="I3322" s="1">
        <v>45773</v>
      </c>
      <c r="K3322" s="4">
        <v>3912</v>
      </c>
    </row>
    <row r="3323" spans="1:11" hidden="1" outlineLevel="2" x14ac:dyDescent="0.35">
      <c r="A3323" t="s">
        <v>131</v>
      </c>
      <c r="B3323" s="1">
        <v>45742</v>
      </c>
      <c r="C3323" t="s">
        <v>5763</v>
      </c>
      <c r="D3323" t="s">
        <v>5763</v>
      </c>
      <c r="F3323" t="str">
        <f t="shared" si="114"/>
        <v>44320000</v>
      </c>
      <c r="H3323" t="s">
        <v>5508</v>
      </c>
      <c r="I3323" s="1">
        <v>45773</v>
      </c>
      <c r="K3323" s="4">
        <v>7825</v>
      </c>
    </row>
    <row r="3324" spans="1:11" hidden="1" outlineLevel="2" x14ac:dyDescent="0.35">
      <c r="A3324" t="s">
        <v>131</v>
      </c>
      <c r="B3324" s="1">
        <v>45742</v>
      </c>
      <c r="C3324" t="s">
        <v>5764</v>
      </c>
      <c r="D3324" t="s">
        <v>5764</v>
      </c>
      <c r="F3324" t="str">
        <f t="shared" si="114"/>
        <v>44320000</v>
      </c>
      <c r="H3324" t="s">
        <v>5508</v>
      </c>
      <c r="I3324" s="1">
        <v>45773</v>
      </c>
      <c r="K3324" s="4">
        <v>167670</v>
      </c>
    </row>
    <row r="3325" spans="1:11" hidden="1" outlineLevel="2" x14ac:dyDescent="0.35">
      <c r="A3325" t="s">
        <v>131</v>
      </c>
      <c r="B3325" s="1">
        <v>45742</v>
      </c>
      <c r="C3325" t="s">
        <v>5765</v>
      </c>
      <c r="D3325" t="s">
        <v>5765</v>
      </c>
      <c r="F3325" t="str">
        <f t="shared" si="114"/>
        <v>44320000</v>
      </c>
      <c r="H3325" t="s">
        <v>5508</v>
      </c>
      <c r="I3325" s="1">
        <v>45773</v>
      </c>
      <c r="K3325" s="4">
        <v>167670</v>
      </c>
    </row>
    <row r="3326" spans="1:11" hidden="1" outlineLevel="2" x14ac:dyDescent="0.35">
      <c r="A3326" t="s">
        <v>131</v>
      </c>
      <c r="B3326" s="1">
        <v>45742</v>
      </c>
      <c r="C3326" t="s">
        <v>5766</v>
      </c>
      <c r="D3326" t="s">
        <v>5766</v>
      </c>
      <c r="F3326" t="str">
        <f t="shared" si="114"/>
        <v>44320000</v>
      </c>
      <c r="H3326" t="s">
        <v>5508</v>
      </c>
      <c r="I3326" s="1">
        <v>45773</v>
      </c>
      <c r="K3326" s="4">
        <v>167670</v>
      </c>
    </row>
    <row r="3327" spans="1:11" hidden="1" outlineLevel="2" x14ac:dyDescent="0.35">
      <c r="A3327" t="s">
        <v>131</v>
      </c>
      <c r="B3327" s="1">
        <v>45742</v>
      </c>
      <c r="C3327" t="s">
        <v>5767</v>
      </c>
      <c r="D3327" t="s">
        <v>5767</v>
      </c>
      <c r="F3327" t="str">
        <f t="shared" si="114"/>
        <v>44320000</v>
      </c>
      <c r="H3327" t="s">
        <v>5508</v>
      </c>
      <c r="I3327" s="1">
        <v>45773</v>
      </c>
      <c r="K3327" s="4">
        <v>167670</v>
      </c>
    </row>
    <row r="3328" spans="1:11" hidden="1" outlineLevel="2" x14ac:dyDescent="0.35">
      <c r="A3328" t="s">
        <v>131</v>
      </c>
      <c r="B3328" s="1">
        <v>45744</v>
      </c>
      <c r="C3328" t="s">
        <v>5769</v>
      </c>
      <c r="D3328" t="s">
        <v>5769</v>
      </c>
      <c r="F3328" t="str">
        <f t="shared" si="114"/>
        <v>44320000</v>
      </c>
      <c r="H3328" t="s">
        <v>5770</v>
      </c>
      <c r="I3328" s="1">
        <v>45775</v>
      </c>
      <c r="K3328" s="4">
        <v>14400</v>
      </c>
    </row>
    <row r="3329" spans="1:11" hidden="1" outlineLevel="2" x14ac:dyDescent="0.35">
      <c r="A3329" t="s">
        <v>131</v>
      </c>
      <c r="B3329" s="1">
        <v>45744</v>
      </c>
      <c r="C3329" t="s">
        <v>5771</v>
      </c>
      <c r="D3329" t="s">
        <v>5771</v>
      </c>
      <c r="F3329" t="str">
        <f t="shared" si="114"/>
        <v>44320000</v>
      </c>
      <c r="H3329" t="s">
        <v>5516</v>
      </c>
      <c r="I3329" s="1">
        <v>45775</v>
      </c>
      <c r="K3329" s="4">
        <v>290160</v>
      </c>
    </row>
    <row r="3330" spans="1:11" hidden="1" outlineLevel="2" x14ac:dyDescent="0.35">
      <c r="A3330" t="s">
        <v>131</v>
      </c>
      <c r="B3330" s="1">
        <v>45744</v>
      </c>
      <c r="C3330" t="s">
        <v>5772</v>
      </c>
      <c r="D3330" t="s">
        <v>5772</v>
      </c>
      <c r="F3330" t="str">
        <f t="shared" si="114"/>
        <v>44320000</v>
      </c>
      <c r="H3330" t="s">
        <v>5686</v>
      </c>
      <c r="I3330" s="1">
        <v>45775</v>
      </c>
      <c r="K3330" s="4">
        <v>315000</v>
      </c>
    </row>
    <row r="3331" spans="1:11" hidden="1" outlineLevel="2" x14ac:dyDescent="0.35">
      <c r="A3331" t="s">
        <v>131</v>
      </c>
      <c r="B3331" s="1">
        <v>45744</v>
      </c>
      <c r="C3331" t="s">
        <v>5774</v>
      </c>
      <c r="D3331" t="s">
        <v>5774</v>
      </c>
      <c r="F3331" t="str">
        <f t="shared" si="114"/>
        <v>44320000</v>
      </c>
      <c r="H3331" t="s">
        <v>139</v>
      </c>
      <c r="I3331" s="1">
        <v>45744</v>
      </c>
      <c r="K3331" s="4">
        <v>108000</v>
      </c>
    </row>
    <row r="3332" spans="1:11" hidden="1" outlineLevel="2" x14ac:dyDescent="0.35">
      <c r="A3332" t="s">
        <v>131</v>
      </c>
      <c r="B3332" s="1">
        <v>45744</v>
      </c>
      <c r="C3332" t="s">
        <v>5775</v>
      </c>
      <c r="D3332" t="s">
        <v>5775</v>
      </c>
      <c r="F3332" t="str">
        <f t="shared" si="114"/>
        <v>44320000</v>
      </c>
      <c r="H3332" t="s">
        <v>139</v>
      </c>
      <c r="I3332" s="1">
        <v>45744</v>
      </c>
      <c r="K3332" s="4">
        <v>72000</v>
      </c>
    </row>
    <row r="3333" spans="1:11" hidden="1" outlineLevel="2" x14ac:dyDescent="0.35">
      <c r="A3333" t="s">
        <v>131</v>
      </c>
      <c r="B3333" s="1">
        <v>45744</v>
      </c>
      <c r="C3333" t="s">
        <v>5776</v>
      </c>
      <c r="D3333" t="s">
        <v>5776</v>
      </c>
      <c r="F3333" t="str">
        <f t="shared" si="114"/>
        <v>44320000</v>
      </c>
      <c r="H3333" t="s">
        <v>139</v>
      </c>
      <c r="I3333" s="1">
        <v>45744</v>
      </c>
      <c r="K3333" s="4">
        <v>54000</v>
      </c>
    </row>
    <row r="3334" spans="1:11" hidden="1" outlineLevel="2" x14ac:dyDescent="0.35">
      <c r="A3334" t="s">
        <v>131</v>
      </c>
      <c r="B3334" s="1">
        <v>45744</v>
      </c>
      <c r="C3334" t="s">
        <v>5777</v>
      </c>
      <c r="D3334" t="s">
        <v>5777</v>
      </c>
      <c r="F3334" t="str">
        <f t="shared" si="114"/>
        <v>44320000</v>
      </c>
      <c r="H3334" t="s">
        <v>139</v>
      </c>
      <c r="I3334" s="1">
        <v>45744</v>
      </c>
      <c r="K3334" s="4">
        <v>167760</v>
      </c>
    </row>
    <row r="3335" spans="1:11" hidden="1" outlineLevel="2" x14ac:dyDescent="0.35">
      <c r="A3335" t="s">
        <v>131</v>
      </c>
      <c r="B3335" s="1">
        <v>45744</v>
      </c>
      <c r="C3335" t="s">
        <v>5778</v>
      </c>
      <c r="D3335" t="s">
        <v>5778</v>
      </c>
      <c r="F3335" t="str">
        <f t="shared" si="114"/>
        <v>44320000</v>
      </c>
      <c r="H3335" t="s">
        <v>5512</v>
      </c>
      <c r="I3335" s="1">
        <v>45775</v>
      </c>
      <c r="K3335" s="4">
        <v>96480</v>
      </c>
    </row>
    <row r="3336" spans="1:11" hidden="1" outlineLevel="2" x14ac:dyDescent="0.35">
      <c r="A3336" t="s">
        <v>131</v>
      </c>
      <c r="B3336" s="1">
        <v>45744</v>
      </c>
      <c r="C3336" t="s">
        <v>5779</v>
      </c>
      <c r="D3336" t="s">
        <v>5779</v>
      </c>
      <c r="F3336" t="str">
        <f t="shared" si="114"/>
        <v>44320000</v>
      </c>
      <c r="H3336" t="s">
        <v>5512</v>
      </c>
      <c r="I3336" s="1">
        <v>45775</v>
      </c>
      <c r="K3336" s="4">
        <v>48240</v>
      </c>
    </row>
    <row r="3337" spans="1:11" hidden="1" outlineLevel="2" x14ac:dyDescent="0.35">
      <c r="A3337" t="s">
        <v>131</v>
      </c>
      <c r="B3337" s="1">
        <v>45744</v>
      </c>
      <c r="C3337" t="s">
        <v>5780</v>
      </c>
      <c r="D3337" t="s">
        <v>5780</v>
      </c>
      <c r="F3337" t="str">
        <f t="shared" si="114"/>
        <v>44320000</v>
      </c>
      <c r="H3337" t="s">
        <v>5518</v>
      </c>
      <c r="I3337" s="1">
        <v>45775</v>
      </c>
      <c r="K3337" s="4">
        <v>27000</v>
      </c>
    </row>
    <row r="3338" spans="1:11" hidden="1" outlineLevel="2" x14ac:dyDescent="0.35">
      <c r="A3338" t="s">
        <v>131</v>
      </c>
      <c r="B3338" s="1">
        <v>45744</v>
      </c>
      <c r="C3338" t="s">
        <v>5781</v>
      </c>
      <c r="D3338" t="s">
        <v>5781</v>
      </c>
      <c r="F3338" t="str">
        <f t="shared" si="114"/>
        <v>44320000</v>
      </c>
      <c r="H3338" t="s">
        <v>5518</v>
      </c>
      <c r="I3338" s="1">
        <v>45775</v>
      </c>
      <c r="K3338" s="4">
        <v>27000</v>
      </c>
    </row>
    <row r="3339" spans="1:11" hidden="1" outlineLevel="2" x14ac:dyDescent="0.35">
      <c r="A3339" t="s">
        <v>131</v>
      </c>
      <c r="B3339" s="1">
        <v>45744</v>
      </c>
      <c r="C3339" t="s">
        <v>5782</v>
      </c>
      <c r="D3339" t="s">
        <v>5782</v>
      </c>
      <c r="F3339" t="str">
        <f t="shared" si="114"/>
        <v>44320000</v>
      </c>
      <c r="H3339" t="s">
        <v>5518</v>
      </c>
      <c r="I3339" s="1">
        <v>45775</v>
      </c>
      <c r="K3339" s="4">
        <v>27000</v>
      </c>
    </row>
    <row r="3340" spans="1:11" hidden="1" outlineLevel="2" x14ac:dyDescent="0.35">
      <c r="A3340" t="s">
        <v>131</v>
      </c>
      <c r="B3340" s="1">
        <v>45744</v>
      </c>
      <c r="C3340" t="s">
        <v>5783</v>
      </c>
      <c r="D3340" t="s">
        <v>5783</v>
      </c>
      <c r="F3340" t="str">
        <f t="shared" si="114"/>
        <v>44320000</v>
      </c>
      <c r="H3340" t="s">
        <v>5518</v>
      </c>
      <c r="I3340" s="1">
        <v>45775</v>
      </c>
      <c r="K3340" s="4">
        <v>27000</v>
      </c>
    </row>
    <row r="3341" spans="1:11" hidden="1" outlineLevel="2" x14ac:dyDescent="0.35">
      <c r="A3341" t="s">
        <v>131</v>
      </c>
      <c r="B3341" s="1">
        <v>45744</v>
      </c>
      <c r="C3341" t="s">
        <v>5784</v>
      </c>
      <c r="D3341" t="s">
        <v>5784</v>
      </c>
      <c r="F3341" t="str">
        <f t="shared" si="114"/>
        <v>44320000</v>
      </c>
      <c r="H3341" t="s">
        <v>5518</v>
      </c>
      <c r="I3341" s="1">
        <v>45775</v>
      </c>
      <c r="K3341" s="4">
        <v>27000</v>
      </c>
    </row>
    <row r="3342" spans="1:11" hidden="1" outlineLevel="2" x14ac:dyDescent="0.35">
      <c r="A3342" t="s">
        <v>131</v>
      </c>
      <c r="B3342" s="1">
        <v>45744</v>
      </c>
      <c r="C3342" t="s">
        <v>5785</v>
      </c>
      <c r="D3342" t="s">
        <v>5785</v>
      </c>
      <c r="F3342" t="str">
        <f t="shared" si="114"/>
        <v>44320000</v>
      </c>
      <c r="H3342" t="s">
        <v>5518</v>
      </c>
      <c r="I3342" s="1">
        <v>45775</v>
      </c>
      <c r="K3342" s="4">
        <v>27000</v>
      </c>
    </row>
    <row r="3343" spans="1:11" hidden="1" outlineLevel="2" x14ac:dyDescent="0.35">
      <c r="A3343" t="s">
        <v>131</v>
      </c>
      <c r="B3343" s="1">
        <v>45744</v>
      </c>
      <c r="C3343" t="s">
        <v>5786</v>
      </c>
      <c r="D3343" t="s">
        <v>5786</v>
      </c>
      <c r="F3343" t="str">
        <f t="shared" si="114"/>
        <v>44320000</v>
      </c>
      <c r="H3343" t="s">
        <v>180</v>
      </c>
      <c r="I3343" s="1">
        <v>45775</v>
      </c>
      <c r="K3343" s="4">
        <v>35640</v>
      </c>
    </row>
    <row r="3344" spans="1:11" hidden="1" outlineLevel="2" x14ac:dyDescent="0.35">
      <c r="A3344" t="s">
        <v>131</v>
      </c>
      <c r="B3344" s="1">
        <v>45744</v>
      </c>
      <c r="C3344" t="s">
        <v>5787</v>
      </c>
      <c r="D3344" t="s">
        <v>5787</v>
      </c>
      <c r="F3344" t="str">
        <f t="shared" si="114"/>
        <v>44320000</v>
      </c>
      <c r="H3344" t="s">
        <v>5578</v>
      </c>
      <c r="I3344" s="1">
        <v>45777</v>
      </c>
      <c r="K3344" s="4">
        <v>90000</v>
      </c>
    </row>
    <row r="3345" spans="1:11" hidden="1" outlineLevel="2" x14ac:dyDescent="0.35">
      <c r="A3345" t="s">
        <v>131</v>
      </c>
      <c r="B3345" s="1">
        <v>45744</v>
      </c>
      <c r="C3345" t="s">
        <v>5788</v>
      </c>
      <c r="D3345" t="s">
        <v>5788</v>
      </c>
      <c r="F3345" t="str">
        <f t="shared" si="114"/>
        <v>44320000</v>
      </c>
      <c r="H3345" t="s">
        <v>5789</v>
      </c>
      <c r="I3345" s="1">
        <v>45744</v>
      </c>
      <c r="K3345" s="4">
        <v>162000</v>
      </c>
    </row>
    <row r="3346" spans="1:11" hidden="1" outlineLevel="2" x14ac:dyDescent="0.35">
      <c r="A3346" t="s">
        <v>131</v>
      </c>
      <c r="B3346" s="1">
        <v>45744</v>
      </c>
      <c r="C3346" t="s">
        <v>5790</v>
      </c>
      <c r="D3346" t="s">
        <v>5790</v>
      </c>
      <c r="F3346" t="str">
        <f t="shared" si="114"/>
        <v>44320000</v>
      </c>
      <c r="H3346" t="s">
        <v>5671</v>
      </c>
      <c r="I3346" s="1">
        <v>45744</v>
      </c>
      <c r="K3346" s="4">
        <v>342000</v>
      </c>
    </row>
    <row r="3347" spans="1:11" hidden="1" outlineLevel="2" x14ac:dyDescent="0.35">
      <c r="A3347" t="s">
        <v>131</v>
      </c>
      <c r="B3347" s="1">
        <v>45744</v>
      </c>
      <c r="C3347" t="s">
        <v>5791</v>
      </c>
      <c r="D3347" t="s">
        <v>5791</v>
      </c>
      <c r="F3347" t="str">
        <f t="shared" si="114"/>
        <v>44320000</v>
      </c>
      <c r="H3347" t="s">
        <v>5792</v>
      </c>
      <c r="I3347" s="1">
        <v>45777</v>
      </c>
      <c r="K3347" s="4">
        <v>45000</v>
      </c>
    </row>
    <row r="3348" spans="1:11" hidden="1" outlineLevel="2" x14ac:dyDescent="0.35">
      <c r="A3348" t="s">
        <v>131</v>
      </c>
      <c r="B3348" s="1">
        <v>45744</v>
      </c>
      <c r="C3348" t="s">
        <v>5796</v>
      </c>
      <c r="D3348" t="s">
        <v>5796</v>
      </c>
      <c r="F3348" t="str">
        <f t="shared" si="114"/>
        <v>44320000</v>
      </c>
      <c r="H3348" t="s">
        <v>5508</v>
      </c>
      <c r="I3348" s="1">
        <v>45775</v>
      </c>
      <c r="K3348" s="4">
        <v>46447</v>
      </c>
    </row>
    <row r="3349" spans="1:11" hidden="1" outlineLevel="2" x14ac:dyDescent="0.35">
      <c r="A3349" t="s">
        <v>131</v>
      </c>
      <c r="B3349" s="1">
        <v>45744</v>
      </c>
      <c r="C3349" t="s">
        <v>5797</v>
      </c>
      <c r="D3349" t="s">
        <v>5797</v>
      </c>
      <c r="F3349" t="str">
        <f t="shared" si="114"/>
        <v>44320000</v>
      </c>
      <c r="H3349" t="s">
        <v>5508</v>
      </c>
      <c r="I3349" s="1">
        <v>45775</v>
      </c>
      <c r="K3349" s="4">
        <v>46447</v>
      </c>
    </row>
    <row r="3350" spans="1:11" hidden="1" outlineLevel="2" x14ac:dyDescent="0.35">
      <c r="A3350" t="s">
        <v>131</v>
      </c>
      <c r="B3350" s="1">
        <v>45744</v>
      </c>
      <c r="C3350" t="s">
        <v>5798</v>
      </c>
      <c r="D3350" t="s">
        <v>5798</v>
      </c>
      <c r="F3350" t="str">
        <f t="shared" si="114"/>
        <v>44320000</v>
      </c>
      <c r="H3350" t="s">
        <v>5508</v>
      </c>
      <c r="I3350" s="1">
        <v>45775</v>
      </c>
      <c r="K3350" s="4">
        <v>46447</v>
      </c>
    </row>
    <row r="3351" spans="1:11" hidden="1" outlineLevel="2" x14ac:dyDescent="0.35">
      <c r="A3351" t="s">
        <v>131</v>
      </c>
      <c r="B3351" s="1">
        <v>45744</v>
      </c>
      <c r="C3351" t="s">
        <v>5799</v>
      </c>
      <c r="D3351" t="s">
        <v>5799</v>
      </c>
      <c r="F3351" t="str">
        <f t="shared" si="114"/>
        <v>44320000</v>
      </c>
      <c r="H3351" t="s">
        <v>5508</v>
      </c>
      <c r="I3351" s="1">
        <v>45775</v>
      </c>
      <c r="K3351" s="4">
        <v>46447</v>
      </c>
    </row>
    <row r="3352" spans="1:11" hidden="1" outlineLevel="2" x14ac:dyDescent="0.35">
      <c r="A3352" t="s">
        <v>131</v>
      </c>
      <c r="B3352" s="1">
        <v>45744</v>
      </c>
      <c r="C3352" t="s">
        <v>5800</v>
      </c>
      <c r="D3352" t="s">
        <v>5800</v>
      </c>
      <c r="F3352" t="str">
        <f t="shared" si="114"/>
        <v>44320000</v>
      </c>
      <c r="H3352" t="s">
        <v>5508</v>
      </c>
      <c r="I3352" s="1">
        <v>45775</v>
      </c>
      <c r="K3352" s="4">
        <v>46447</v>
      </c>
    </row>
    <row r="3353" spans="1:11" hidden="1" outlineLevel="2" x14ac:dyDescent="0.35">
      <c r="A3353" t="s">
        <v>131</v>
      </c>
      <c r="B3353" s="1">
        <v>45744</v>
      </c>
      <c r="C3353" t="s">
        <v>5801</v>
      </c>
      <c r="D3353" t="s">
        <v>5801</v>
      </c>
      <c r="F3353" t="str">
        <f t="shared" si="114"/>
        <v>44320000</v>
      </c>
      <c r="H3353" t="s">
        <v>5508</v>
      </c>
      <c r="I3353" s="1">
        <v>45775</v>
      </c>
      <c r="K3353" s="4">
        <v>46447</v>
      </c>
    </row>
    <row r="3354" spans="1:11" hidden="1" outlineLevel="2" x14ac:dyDescent="0.35">
      <c r="A3354" t="s">
        <v>131</v>
      </c>
      <c r="B3354" s="1">
        <v>45744</v>
      </c>
      <c r="C3354" t="s">
        <v>5802</v>
      </c>
      <c r="D3354" t="s">
        <v>5802</v>
      </c>
      <c r="F3354" t="str">
        <f t="shared" si="114"/>
        <v>44320000</v>
      </c>
      <c r="H3354" t="s">
        <v>5508</v>
      </c>
      <c r="I3354" s="1">
        <v>45775</v>
      </c>
      <c r="K3354" s="4">
        <v>46447</v>
      </c>
    </row>
    <row r="3355" spans="1:11" hidden="1" outlineLevel="2" x14ac:dyDescent="0.35">
      <c r="A3355" t="s">
        <v>131</v>
      </c>
      <c r="B3355" s="1">
        <v>45744</v>
      </c>
      <c r="C3355" t="s">
        <v>5803</v>
      </c>
      <c r="D3355" t="s">
        <v>5803</v>
      </c>
      <c r="F3355" t="str">
        <f t="shared" si="114"/>
        <v>44320000</v>
      </c>
      <c r="H3355" t="s">
        <v>5508</v>
      </c>
      <c r="I3355" s="1">
        <v>45775</v>
      </c>
      <c r="K3355" s="4">
        <v>167670</v>
      </c>
    </row>
    <row r="3356" spans="1:11" hidden="1" outlineLevel="2" x14ac:dyDescent="0.35">
      <c r="A3356" t="s">
        <v>131</v>
      </c>
      <c r="B3356" s="1">
        <v>45744</v>
      </c>
      <c r="C3356" t="s">
        <v>5804</v>
      </c>
      <c r="D3356" t="s">
        <v>5804</v>
      </c>
      <c r="F3356" t="str">
        <f t="shared" si="114"/>
        <v>44320000</v>
      </c>
      <c r="H3356" t="s">
        <v>5508</v>
      </c>
      <c r="I3356" s="1">
        <v>45775</v>
      </c>
      <c r="K3356" s="4">
        <v>167670</v>
      </c>
    </row>
    <row r="3357" spans="1:11" hidden="1" outlineLevel="2" x14ac:dyDescent="0.35">
      <c r="A3357" t="s">
        <v>131</v>
      </c>
      <c r="B3357" s="1">
        <v>45744</v>
      </c>
      <c r="C3357" t="s">
        <v>5805</v>
      </c>
      <c r="D3357" t="s">
        <v>5805</v>
      </c>
      <c r="F3357" t="str">
        <f t="shared" si="114"/>
        <v>44320000</v>
      </c>
      <c r="H3357" t="s">
        <v>5508</v>
      </c>
      <c r="I3357" s="1">
        <v>45775</v>
      </c>
      <c r="K3357" s="4">
        <v>167670</v>
      </c>
    </row>
    <row r="3358" spans="1:11" hidden="1" outlineLevel="2" x14ac:dyDescent="0.35">
      <c r="A3358" t="s">
        <v>131</v>
      </c>
      <c r="B3358" s="1">
        <v>45744</v>
      </c>
      <c r="C3358" t="s">
        <v>5806</v>
      </c>
      <c r="D3358" t="s">
        <v>5806</v>
      </c>
      <c r="F3358" t="str">
        <f t="shared" si="114"/>
        <v>44320000</v>
      </c>
      <c r="H3358" t="s">
        <v>5508</v>
      </c>
      <c r="I3358" s="1">
        <v>45775</v>
      </c>
      <c r="K3358" s="4">
        <v>167670</v>
      </c>
    </row>
    <row r="3359" spans="1:11" hidden="1" outlineLevel="2" x14ac:dyDescent="0.35">
      <c r="A3359" t="s">
        <v>131</v>
      </c>
      <c r="B3359" s="1">
        <v>45744</v>
      </c>
      <c r="C3359" t="s">
        <v>5806</v>
      </c>
      <c r="D3359" t="s">
        <v>5806</v>
      </c>
      <c r="F3359" t="str">
        <f t="shared" si="114"/>
        <v>44320000</v>
      </c>
      <c r="H3359" t="s">
        <v>5611</v>
      </c>
      <c r="I3359" s="1">
        <v>45775</v>
      </c>
      <c r="K3359" s="4">
        <v>-167670</v>
      </c>
    </row>
    <row r="3360" spans="1:11" hidden="1" outlineLevel="2" x14ac:dyDescent="0.35">
      <c r="A3360" t="s">
        <v>131</v>
      </c>
      <c r="B3360" s="1">
        <v>45744</v>
      </c>
      <c r="C3360" t="s">
        <v>5807</v>
      </c>
      <c r="D3360" t="s">
        <v>5807</v>
      </c>
      <c r="F3360" t="str">
        <f t="shared" si="114"/>
        <v>44320000</v>
      </c>
      <c r="H3360" t="s">
        <v>5686</v>
      </c>
      <c r="I3360" s="1">
        <v>45775</v>
      </c>
      <c r="K3360" s="4">
        <v>135000</v>
      </c>
    </row>
    <row r="3361" spans="1:11" hidden="1" outlineLevel="2" x14ac:dyDescent="0.35">
      <c r="A3361" t="s">
        <v>131</v>
      </c>
      <c r="B3361" s="1">
        <v>45744</v>
      </c>
      <c r="C3361" t="s">
        <v>5808</v>
      </c>
      <c r="D3361" t="s">
        <v>5808</v>
      </c>
      <c r="F3361" t="str">
        <f t="shared" si="114"/>
        <v>44320000</v>
      </c>
      <c r="H3361" t="s">
        <v>5686</v>
      </c>
      <c r="I3361" s="1">
        <v>45775</v>
      </c>
      <c r="K3361" s="4">
        <v>90000</v>
      </c>
    </row>
    <row r="3362" spans="1:11" hidden="1" outlineLevel="2" x14ac:dyDescent="0.35">
      <c r="A3362" t="s">
        <v>131</v>
      </c>
      <c r="B3362" s="1">
        <v>45745</v>
      </c>
      <c r="C3362" t="s">
        <v>5809</v>
      </c>
      <c r="D3362" t="s">
        <v>5809</v>
      </c>
      <c r="F3362" t="str">
        <f t="shared" si="114"/>
        <v>44320000</v>
      </c>
      <c r="H3362" t="s">
        <v>5508</v>
      </c>
      <c r="I3362" s="1">
        <v>45776</v>
      </c>
      <c r="K3362" s="4">
        <v>670680</v>
      </c>
    </row>
    <row r="3363" spans="1:11" hidden="1" outlineLevel="2" x14ac:dyDescent="0.35">
      <c r="A3363" t="s">
        <v>131</v>
      </c>
      <c r="B3363" s="1">
        <v>45745</v>
      </c>
      <c r="C3363" t="s">
        <v>5810</v>
      </c>
      <c r="D3363" t="s">
        <v>5810</v>
      </c>
      <c r="F3363" t="str">
        <f t="shared" si="114"/>
        <v>44320000</v>
      </c>
      <c r="H3363" t="s">
        <v>5508</v>
      </c>
      <c r="I3363" s="1">
        <v>45776</v>
      </c>
      <c r="K3363" s="4">
        <v>335340</v>
      </c>
    </row>
    <row r="3364" spans="1:11" hidden="1" outlineLevel="2" x14ac:dyDescent="0.35">
      <c r="A3364" t="s">
        <v>131</v>
      </c>
      <c r="B3364" s="1">
        <v>45745</v>
      </c>
      <c r="C3364" t="s">
        <v>5811</v>
      </c>
      <c r="D3364" t="s">
        <v>5811</v>
      </c>
      <c r="F3364" t="str">
        <f t="shared" si="114"/>
        <v>44320000</v>
      </c>
      <c r="H3364" t="s">
        <v>5508</v>
      </c>
      <c r="I3364" s="1">
        <v>45776</v>
      </c>
      <c r="K3364" s="4">
        <v>1006020</v>
      </c>
    </row>
    <row r="3365" spans="1:11" hidden="1" outlineLevel="2" x14ac:dyDescent="0.35">
      <c r="A3365" t="s">
        <v>131</v>
      </c>
      <c r="B3365" s="1">
        <v>45747</v>
      </c>
      <c r="C3365" t="s">
        <v>5814</v>
      </c>
      <c r="D3365" t="s">
        <v>5814</v>
      </c>
      <c r="F3365" t="str">
        <f t="shared" si="114"/>
        <v>44320000</v>
      </c>
      <c r="H3365" t="s">
        <v>5686</v>
      </c>
      <c r="I3365" s="1">
        <v>45777</v>
      </c>
      <c r="K3365" s="4">
        <v>648000</v>
      </c>
    </row>
    <row r="3366" spans="1:11" hidden="1" outlineLevel="2" x14ac:dyDescent="0.35">
      <c r="A3366" t="s">
        <v>131</v>
      </c>
      <c r="B3366" s="1">
        <v>45747</v>
      </c>
      <c r="C3366" t="s">
        <v>5815</v>
      </c>
      <c r="D3366" t="s">
        <v>5815</v>
      </c>
      <c r="F3366" t="str">
        <f t="shared" si="114"/>
        <v>44320000</v>
      </c>
      <c r="H3366" t="s">
        <v>5816</v>
      </c>
      <c r="I3366" s="1">
        <v>45777</v>
      </c>
      <c r="K3366" s="4">
        <v>162000</v>
      </c>
    </row>
    <row r="3367" spans="1:11" hidden="1" outlineLevel="2" x14ac:dyDescent="0.35">
      <c r="A3367" t="s">
        <v>131</v>
      </c>
      <c r="B3367" s="1">
        <v>45747</v>
      </c>
      <c r="C3367" t="s">
        <v>5817</v>
      </c>
      <c r="D3367" t="s">
        <v>5817</v>
      </c>
      <c r="F3367" t="str">
        <f t="shared" si="114"/>
        <v>44320000</v>
      </c>
      <c r="H3367" t="s">
        <v>5576</v>
      </c>
      <c r="I3367" s="1">
        <v>45747</v>
      </c>
      <c r="K3367" s="4">
        <v>1441800</v>
      </c>
    </row>
    <row r="3368" spans="1:11" hidden="1" outlineLevel="2" x14ac:dyDescent="0.35">
      <c r="A3368" t="s">
        <v>131</v>
      </c>
      <c r="B3368" s="1">
        <v>45747</v>
      </c>
      <c r="C3368" t="s">
        <v>5818</v>
      </c>
      <c r="D3368" t="s">
        <v>5818</v>
      </c>
      <c r="F3368" t="str">
        <f t="shared" si="114"/>
        <v>44320000</v>
      </c>
      <c r="H3368" t="s">
        <v>5819</v>
      </c>
      <c r="I3368" s="1">
        <v>45747</v>
      </c>
      <c r="J3368" s="4">
        <v>215280</v>
      </c>
    </row>
    <row r="3369" spans="1:11" hidden="1" outlineLevel="2" x14ac:dyDescent="0.35">
      <c r="A3369" t="s">
        <v>131</v>
      </c>
      <c r="B3369" s="1">
        <v>45747</v>
      </c>
      <c r="C3369" t="s">
        <v>5820</v>
      </c>
      <c r="D3369" t="s">
        <v>5820</v>
      </c>
      <c r="F3369" t="str">
        <f t="shared" si="114"/>
        <v>44320000</v>
      </c>
      <c r="H3369" t="s">
        <v>5686</v>
      </c>
      <c r="I3369" s="1">
        <v>45777</v>
      </c>
      <c r="K3369" s="4">
        <v>7132563</v>
      </c>
    </row>
    <row r="3370" spans="1:11" hidden="1" outlineLevel="2" x14ac:dyDescent="0.35">
      <c r="A3370" t="s">
        <v>131</v>
      </c>
      <c r="B3370" s="1">
        <v>45747</v>
      </c>
      <c r="C3370" t="s">
        <v>5823</v>
      </c>
      <c r="D3370" t="s">
        <v>5823</v>
      </c>
      <c r="F3370" t="str">
        <f t="shared" si="114"/>
        <v>44320000</v>
      </c>
      <c r="H3370" t="s">
        <v>139</v>
      </c>
      <c r="I3370" s="1">
        <v>45777</v>
      </c>
      <c r="K3370" s="4">
        <v>397980</v>
      </c>
    </row>
    <row r="3371" spans="1:11" hidden="1" outlineLevel="2" x14ac:dyDescent="0.35">
      <c r="A3371" t="s">
        <v>131</v>
      </c>
      <c r="B3371" s="1">
        <v>45747</v>
      </c>
      <c r="C3371" t="s">
        <v>5824</v>
      </c>
      <c r="D3371" t="s">
        <v>5824</v>
      </c>
      <c r="F3371" t="str">
        <f t="shared" si="114"/>
        <v>44320000</v>
      </c>
      <c r="H3371" t="s">
        <v>5825</v>
      </c>
      <c r="I3371" s="1">
        <v>45777</v>
      </c>
      <c r="K3371" s="4">
        <v>71280</v>
      </c>
    </row>
    <row r="3372" spans="1:11" hidden="1" outlineLevel="2" x14ac:dyDescent="0.35">
      <c r="A3372" t="s">
        <v>131</v>
      </c>
      <c r="B3372" s="1">
        <v>45747</v>
      </c>
      <c r="C3372" t="s">
        <v>5826</v>
      </c>
      <c r="D3372" t="s">
        <v>5826</v>
      </c>
      <c r="F3372" t="str">
        <f t="shared" si="114"/>
        <v>44320000</v>
      </c>
      <c r="H3372" t="s">
        <v>5518</v>
      </c>
      <c r="I3372" s="1">
        <v>45777</v>
      </c>
      <c r="K3372" s="4">
        <v>27000</v>
      </c>
    </row>
    <row r="3373" spans="1:11" hidden="1" outlineLevel="2" x14ac:dyDescent="0.35">
      <c r="A3373" t="s">
        <v>131</v>
      </c>
      <c r="B3373" s="1">
        <v>45747</v>
      </c>
      <c r="C3373" t="s">
        <v>5827</v>
      </c>
      <c r="D3373" t="s">
        <v>5827</v>
      </c>
      <c r="F3373" t="str">
        <f t="shared" si="114"/>
        <v>44320000</v>
      </c>
      <c r="H3373" t="s">
        <v>5518</v>
      </c>
      <c r="I3373" s="1">
        <v>45777</v>
      </c>
      <c r="K3373" s="4">
        <v>27000</v>
      </c>
    </row>
    <row r="3374" spans="1:11" hidden="1" outlineLevel="2" x14ac:dyDescent="0.35">
      <c r="A3374" t="s">
        <v>131</v>
      </c>
      <c r="B3374" s="1">
        <v>45747</v>
      </c>
      <c r="C3374" t="s">
        <v>5828</v>
      </c>
      <c r="D3374" t="s">
        <v>5828</v>
      </c>
      <c r="F3374" t="str">
        <f t="shared" si="114"/>
        <v>44320000</v>
      </c>
      <c r="H3374" t="s">
        <v>5518</v>
      </c>
      <c r="I3374" s="1">
        <v>45777</v>
      </c>
      <c r="K3374" s="4">
        <v>27000</v>
      </c>
    </row>
    <row r="3375" spans="1:11" hidden="1" outlineLevel="2" x14ac:dyDescent="0.35">
      <c r="A3375" t="s">
        <v>131</v>
      </c>
      <c r="B3375" s="1">
        <v>45747</v>
      </c>
      <c r="C3375" t="s">
        <v>5829</v>
      </c>
      <c r="D3375" t="s">
        <v>5829</v>
      </c>
      <c r="F3375" t="str">
        <f t="shared" si="114"/>
        <v>44320000</v>
      </c>
      <c r="H3375" t="s">
        <v>5518</v>
      </c>
      <c r="I3375" s="1">
        <v>45777</v>
      </c>
      <c r="K3375" s="4">
        <v>27000</v>
      </c>
    </row>
    <row r="3376" spans="1:11" hidden="1" outlineLevel="2" x14ac:dyDescent="0.35">
      <c r="A3376" t="s">
        <v>131</v>
      </c>
      <c r="B3376" s="1">
        <v>45747</v>
      </c>
      <c r="C3376" t="s">
        <v>5830</v>
      </c>
      <c r="D3376" t="s">
        <v>5830</v>
      </c>
      <c r="F3376" t="str">
        <f t="shared" si="114"/>
        <v>44320000</v>
      </c>
      <c r="H3376" t="s">
        <v>5518</v>
      </c>
      <c r="I3376" s="1">
        <v>45777</v>
      </c>
      <c r="K3376" s="4">
        <v>27000</v>
      </c>
    </row>
    <row r="3377" spans="1:11" hidden="1" outlineLevel="2" x14ac:dyDescent="0.35">
      <c r="A3377" t="s">
        <v>131</v>
      </c>
      <c r="B3377" s="1">
        <v>45747</v>
      </c>
      <c r="C3377" t="s">
        <v>5831</v>
      </c>
      <c r="D3377" t="s">
        <v>5831</v>
      </c>
      <c r="F3377" t="str">
        <f t="shared" si="114"/>
        <v>44320000</v>
      </c>
      <c r="H3377" t="s">
        <v>5518</v>
      </c>
      <c r="I3377" s="1">
        <v>45777</v>
      </c>
      <c r="K3377" s="4">
        <v>27000</v>
      </c>
    </row>
    <row r="3378" spans="1:11" hidden="1" outlineLevel="2" x14ac:dyDescent="0.35">
      <c r="A3378" t="s">
        <v>131</v>
      </c>
      <c r="B3378" s="1">
        <v>45747</v>
      </c>
      <c r="C3378" t="s">
        <v>5832</v>
      </c>
      <c r="D3378" t="s">
        <v>5832</v>
      </c>
      <c r="F3378" t="str">
        <f t="shared" si="114"/>
        <v>44320000</v>
      </c>
      <c r="H3378" t="s">
        <v>5518</v>
      </c>
      <c r="I3378" s="1">
        <v>45777</v>
      </c>
      <c r="K3378" s="4">
        <v>27000</v>
      </c>
    </row>
    <row r="3379" spans="1:11" hidden="1" outlineLevel="2" x14ac:dyDescent="0.35">
      <c r="A3379" t="s">
        <v>131</v>
      </c>
      <c r="B3379" s="1">
        <v>45747</v>
      </c>
      <c r="C3379" t="s">
        <v>5833</v>
      </c>
      <c r="D3379" t="s">
        <v>5833</v>
      </c>
      <c r="F3379" t="str">
        <f t="shared" si="114"/>
        <v>44320000</v>
      </c>
      <c r="H3379" t="s">
        <v>5518</v>
      </c>
      <c r="I3379" s="1">
        <v>45777</v>
      </c>
      <c r="K3379" s="4">
        <v>27000</v>
      </c>
    </row>
    <row r="3380" spans="1:11" hidden="1" outlineLevel="2" x14ac:dyDescent="0.35">
      <c r="A3380" t="s">
        <v>131</v>
      </c>
      <c r="B3380" s="1">
        <v>45747</v>
      </c>
      <c r="C3380" t="s">
        <v>5834</v>
      </c>
      <c r="D3380" t="s">
        <v>5834</v>
      </c>
      <c r="F3380" t="str">
        <f t="shared" si="114"/>
        <v>44320000</v>
      </c>
      <c r="H3380" t="s">
        <v>5518</v>
      </c>
      <c r="I3380" s="1">
        <v>45777</v>
      </c>
      <c r="K3380" s="4">
        <v>27000</v>
      </c>
    </row>
    <row r="3381" spans="1:11" hidden="1" outlineLevel="2" x14ac:dyDescent="0.35">
      <c r="A3381" t="s">
        <v>131</v>
      </c>
      <c r="B3381" s="1">
        <v>45747</v>
      </c>
      <c r="C3381" t="s">
        <v>5835</v>
      </c>
      <c r="D3381" t="s">
        <v>5835</v>
      </c>
      <c r="F3381" t="str">
        <f t="shared" ref="F3381:F3407" si="115">"44320000"</f>
        <v>44320000</v>
      </c>
      <c r="H3381" t="s">
        <v>5518</v>
      </c>
      <c r="I3381" s="1">
        <v>45777</v>
      </c>
      <c r="K3381" s="4">
        <v>27000</v>
      </c>
    </row>
    <row r="3382" spans="1:11" hidden="1" outlineLevel="2" x14ac:dyDescent="0.35">
      <c r="A3382" t="s">
        <v>131</v>
      </c>
      <c r="B3382" s="1">
        <v>45747</v>
      </c>
      <c r="C3382" t="s">
        <v>5836</v>
      </c>
      <c r="D3382" t="s">
        <v>5836</v>
      </c>
      <c r="F3382" t="str">
        <f t="shared" si="115"/>
        <v>44320000</v>
      </c>
      <c r="H3382" t="s">
        <v>5518</v>
      </c>
      <c r="I3382" s="1">
        <v>45777</v>
      </c>
      <c r="K3382" s="4">
        <v>27000</v>
      </c>
    </row>
    <row r="3383" spans="1:11" hidden="1" outlineLevel="2" x14ac:dyDescent="0.35">
      <c r="A3383" t="s">
        <v>131</v>
      </c>
      <c r="B3383" s="1">
        <v>45747</v>
      </c>
      <c r="C3383" t="s">
        <v>5837</v>
      </c>
      <c r="D3383" t="s">
        <v>5837</v>
      </c>
      <c r="F3383" t="str">
        <f t="shared" si="115"/>
        <v>44320000</v>
      </c>
      <c r="H3383" t="s">
        <v>5518</v>
      </c>
      <c r="I3383" s="1">
        <v>45777</v>
      </c>
      <c r="K3383" s="4">
        <v>27000</v>
      </c>
    </row>
    <row r="3384" spans="1:11" hidden="1" outlineLevel="2" x14ac:dyDescent="0.35">
      <c r="A3384" t="s">
        <v>131</v>
      </c>
      <c r="B3384" s="1">
        <v>45747</v>
      </c>
      <c r="C3384" t="s">
        <v>5838</v>
      </c>
      <c r="D3384" t="s">
        <v>5838</v>
      </c>
      <c r="F3384" t="str">
        <f t="shared" si="115"/>
        <v>44320000</v>
      </c>
      <c r="H3384" t="s">
        <v>5518</v>
      </c>
      <c r="I3384" s="1">
        <v>45777</v>
      </c>
      <c r="K3384" s="4">
        <v>27000</v>
      </c>
    </row>
    <row r="3385" spans="1:11" hidden="1" outlineLevel="2" x14ac:dyDescent="0.35">
      <c r="A3385" t="s">
        <v>131</v>
      </c>
      <c r="B3385" s="1">
        <v>45747</v>
      </c>
      <c r="C3385" t="s">
        <v>5839</v>
      </c>
      <c r="D3385" t="s">
        <v>5839</v>
      </c>
      <c r="F3385" t="str">
        <f t="shared" si="115"/>
        <v>44320000</v>
      </c>
      <c r="H3385" t="s">
        <v>5518</v>
      </c>
      <c r="I3385" s="1">
        <v>45777</v>
      </c>
      <c r="K3385" s="4">
        <v>54000</v>
      </c>
    </row>
    <row r="3386" spans="1:11" hidden="1" outlineLevel="2" x14ac:dyDescent="0.35">
      <c r="A3386" t="s">
        <v>131</v>
      </c>
      <c r="B3386" s="1">
        <v>45747</v>
      </c>
      <c r="C3386" t="s">
        <v>5840</v>
      </c>
      <c r="D3386" t="s">
        <v>5840</v>
      </c>
      <c r="F3386" t="str">
        <f t="shared" si="115"/>
        <v>44320000</v>
      </c>
      <c r="H3386" t="s">
        <v>5518</v>
      </c>
      <c r="I3386" s="1">
        <v>45777</v>
      </c>
      <c r="K3386" s="4">
        <v>54000</v>
      </c>
    </row>
    <row r="3387" spans="1:11" hidden="1" outlineLevel="2" x14ac:dyDescent="0.35">
      <c r="A3387" t="s">
        <v>131</v>
      </c>
      <c r="B3387" s="1">
        <v>45747</v>
      </c>
      <c r="C3387" t="s">
        <v>5841</v>
      </c>
      <c r="D3387" t="s">
        <v>5841</v>
      </c>
      <c r="F3387" t="str">
        <f t="shared" si="115"/>
        <v>44320000</v>
      </c>
      <c r="H3387" t="s">
        <v>5551</v>
      </c>
      <c r="I3387" s="1">
        <v>45747</v>
      </c>
      <c r="K3387" s="4">
        <v>53460</v>
      </c>
    </row>
    <row r="3388" spans="1:11" hidden="1" outlineLevel="2" x14ac:dyDescent="0.35">
      <c r="A3388" t="s">
        <v>131</v>
      </c>
      <c r="B3388" s="1">
        <v>45747</v>
      </c>
      <c r="C3388" t="s">
        <v>5842</v>
      </c>
      <c r="D3388" t="s">
        <v>5842</v>
      </c>
      <c r="F3388" t="str">
        <f t="shared" si="115"/>
        <v>44320000</v>
      </c>
      <c r="H3388" t="s">
        <v>5551</v>
      </c>
      <c r="I3388" s="1">
        <v>45747</v>
      </c>
      <c r="K3388" s="4">
        <v>53460</v>
      </c>
    </row>
    <row r="3389" spans="1:11" hidden="1" outlineLevel="2" x14ac:dyDescent="0.35">
      <c r="A3389" t="s">
        <v>131</v>
      </c>
      <c r="B3389" s="1">
        <v>45747</v>
      </c>
      <c r="C3389" t="s">
        <v>5843</v>
      </c>
      <c r="D3389" t="s">
        <v>5843</v>
      </c>
      <c r="F3389" t="str">
        <f t="shared" si="115"/>
        <v>44320000</v>
      </c>
      <c r="H3389" t="s">
        <v>180</v>
      </c>
      <c r="I3389" s="1">
        <v>45777</v>
      </c>
      <c r="K3389" s="4">
        <v>53460</v>
      </c>
    </row>
    <row r="3390" spans="1:11" hidden="1" outlineLevel="2" x14ac:dyDescent="0.35">
      <c r="A3390" t="s">
        <v>131</v>
      </c>
      <c r="B3390" s="1">
        <v>45747</v>
      </c>
      <c r="C3390" t="s">
        <v>5844</v>
      </c>
      <c r="D3390" t="s">
        <v>5844</v>
      </c>
      <c r="F3390" t="str">
        <f t="shared" si="115"/>
        <v>44320000</v>
      </c>
      <c r="H3390" t="s">
        <v>180</v>
      </c>
      <c r="I3390" s="1">
        <v>45777</v>
      </c>
      <c r="K3390" s="4">
        <v>17820</v>
      </c>
    </row>
    <row r="3391" spans="1:11" hidden="1" outlineLevel="2" x14ac:dyDescent="0.35">
      <c r="A3391" t="s">
        <v>131</v>
      </c>
      <c r="B3391" s="1">
        <v>45747</v>
      </c>
      <c r="C3391" t="s">
        <v>5845</v>
      </c>
      <c r="D3391" t="s">
        <v>5845</v>
      </c>
      <c r="F3391" t="str">
        <f t="shared" si="115"/>
        <v>44320000</v>
      </c>
      <c r="H3391" t="s">
        <v>5522</v>
      </c>
      <c r="I3391" s="1">
        <v>45777</v>
      </c>
      <c r="K3391" s="4">
        <v>35640</v>
      </c>
    </row>
    <row r="3392" spans="1:11" hidden="1" outlineLevel="2" x14ac:dyDescent="0.35">
      <c r="A3392" t="s">
        <v>131</v>
      </c>
      <c r="B3392" s="1">
        <v>45747</v>
      </c>
      <c r="C3392" t="s">
        <v>5846</v>
      </c>
      <c r="D3392" t="s">
        <v>5846</v>
      </c>
      <c r="F3392" t="str">
        <f t="shared" si="115"/>
        <v>44320000</v>
      </c>
      <c r="H3392" t="s">
        <v>5508</v>
      </c>
      <c r="I3392" s="1">
        <v>45777</v>
      </c>
      <c r="K3392" s="4">
        <v>100080</v>
      </c>
    </row>
    <row r="3393" spans="1:11" hidden="1" outlineLevel="2" x14ac:dyDescent="0.35">
      <c r="A3393" t="s">
        <v>131</v>
      </c>
      <c r="B3393" s="1">
        <v>45747</v>
      </c>
      <c r="C3393" t="s">
        <v>5847</v>
      </c>
      <c r="D3393" t="s">
        <v>5847</v>
      </c>
      <c r="F3393" t="str">
        <f t="shared" si="115"/>
        <v>44320000</v>
      </c>
      <c r="H3393" t="s">
        <v>5508</v>
      </c>
      <c r="I3393" s="1">
        <v>45777</v>
      </c>
      <c r="K3393" s="4">
        <v>100080</v>
      </c>
    </row>
    <row r="3394" spans="1:11" hidden="1" outlineLevel="2" x14ac:dyDescent="0.35">
      <c r="A3394" t="s">
        <v>131</v>
      </c>
      <c r="B3394" s="1">
        <v>45747</v>
      </c>
      <c r="C3394" t="s">
        <v>5848</v>
      </c>
      <c r="D3394" t="s">
        <v>5848</v>
      </c>
      <c r="F3394" t="str">
        <f t="shared" si="115"/>
        <v>44320000</v>
      </c>
      <c r="H3394" t="s">
        <v>5508</v>
      </c>
      <c r="I3394" s="1">
        <v>45777</v>
      </c>
      <c r="K3394" s="4">
        <v>670680</v>
      </c>
    </row>
    <row r="3395" spans="1:11" hidden="1" outlineLevel="2" x14ac:dyDescent="0.35">
      <c r="A3395" t="s">
        <v>131</v>
      </c>
      <c r="B3395" s="1">
        <v>45747</v>
      </c>
      <c r="C3395" t="s">
        <v>5853</v>
      </c>
      <c r="D3395" t="s">
        <v>5853</v>
      </c>
      <c r="F3395" t="str">
        <f t="shared" si="115"/>
        <v>44320000</v>
      </c>
      <c r="H3395" t="s">
        <v>5792</v>
      </c>
      <c r="I3395" s="1">
        <v>45777</v>
      </c>
      <c r="K3395" s="4">
        <v>360000</v>
      </c>
    </row>
    <row r="3396" spans="1:11" hidden="1" outlineLevel="2" x14ac:dyDescent="0.35">
      <c r="A3396" t="s">
        <v>131</v>
      </c>
      <c r="B3396" s="1">
        <v>45747</v>
      </c>
      <c r="C3396" t="s">
        <v>5854</v>
      </c>
      <c r="D3396" t="s">
        <v>5854</v>
      </c>
      <c r="F3396" t="str">
        <f t="shared" si="115"/>
        <v>44320000</v>
      </c>
      <c r="H3396" t="s">
        <v>5792</v>
      </c>
      <c r="I3396" s="1">
        <v>45777</v>
      </c>
      <c r="K3396" s="4">
        <v>180000</v>
      </c>
    </row>
    <row r="3397" spans="1:11" hidden="1" outlineLevel="2" x14ac:dyDescent="0.35">
      <c r="A3397" t="s">
        <v>131</v>
      </c>
      <c r="B3397" s="1">
        <v>45747</v>
      </c>
      <c r="C3397" t="s">
        <v>5855</v>
      </c>
      <c r="D3397" t="s">
        <v>5855</v>
      </c>
      <c r="F3397" t="str">
        <f t="shared" si="115"/>
        <v>44320000</v>
      </c>
      <c r="H3397" t="s">
        <v>5856</v>
      </c>
      <c r="I3397" s="1">
        <v>45747</v>
      </c>
      <c r="K3397" s="4">
        <v>441000</v>
      </c>
    </row>
    <row r="3398" spans="1:11" hidden="1" outlineLevel="2" x14ac:dyDescent="0.35">
      <c r="A3398" t="s">
        <v>131</v>
      </c>
      <c r="B3398" s="1">
        <v>45747</v>
      </c>
      <c r="C3398" t="s">
        <v>5863</v>
      </c>
      <c r="D3398" t="s">
        <v>5863</v>
      </c>
      <c r="F3398" t="str">
        <f t="shared" si="115"/>
        <v>44320000</v>
      </c>
      <c r="H3398" t="s">
        <v>5508</v>
      </c>
      <c r="I3398" s="1">
        <v>45777</v>
      </c>
      <c r="K3398" s="4">
        <v>167670</v>
      </c>
    </row>
    <row r="3399" spans="1:11" hidden="1" outlineLevel="2" x14ac:dyDescent="0.35">
      <c r="A3399" t="s">
        <v>131</v>
      </c>
      <c r="B3399" s="1">
        <v>45747</v>
      </c>
      <c r="C3399" t="s">
        <v>5864</v>
      </c>
      <c r="D3399" t="s">
        <v>5864</v>
      </c>
      <c r="F3399" t="str">
        <f t="shared" si="115"/>
        <v>44320000</v>
      </c>
      <c r="H3399" t="s">
        <v>5508</v>
      </c>
      <c r="I3399" s="1">
        <v>45777</v>
      </c>
      <c r="K3399" s="4">
        <v>167670</v>
      </c>
    </row>
    <row r="3400" spans="1:11" hidden="1" outlineLevel="2" x14ac:dyDescent="0.35">
      <c r="A3400" t="s">
        <v>131</v>
      </c>
      <c r="B3400" s="1">
        <v>45747</v>
      </c>
      <c r="C3400" t="s">
        <v>5865</v>
      </c>
      <c r="D3400" t="s">
        <v>5865</v>
      </c>
      <c r="F3400" t="str">
        <f t="shared" si="115"/>
        <v>44320000</v>
      </c>
      <c r="H3400" t="s">
        <v>5506</v>
      </c>
      <c r="I3400" s="1">
        <v>45777</v>
      </c>
      <c r="K3400" s="4">
        <v>1005203</v>
      </c>
    </row>
    <row r="3401" spans="1:11" hidden="1" outlineLevel="2" x14ac:dyDescent="0.35">
      <c r="A3401" t="s">
        <v>131</v>
      </c>
      <c r="B3401" s="1">
        <v>45747</v>
      </c>
      <c r="C3401" t="s">
        <v>5866</v>
      </c>
      <c r="D3401" t="s">
        <v>5866</v>
      </c>
      <c r="F3401" t="str">
        <f t="shared" si="115"/>
        <v>44320000</v>
      </c>
      <c r="H3401" t="s">
        <v>5506</v>
      </c>
      <c r="I3401" s="1">
        <v>45777</v>
      </c>
      <c r="K3401" s="4">
        <v>972549</v>
      </c>
    </row>
    <row r="3402" spans="1:11" hidden="1" outlineLevel="2" x14ac:dyDescent="0.35">
      <c r="A3402" t="s">
        <v>131</v>
      </c>
      <c r="B3402" s="1">
        <v>45747</v>
      </c>
      <c r="C3402" t="s">
        <v>5867</v>
      </c>
      <c r="D3402" t="s">
        <v>5867</v>
      </c>
      <c r="F3402" t="str">
        <f t="shared" si="115"/>
        <v>44320000</v>
      </c>
      <c r="H3402" t="s">
        <v>5506</v>
      </c>
      <c r="I3402" s="1">
        <v>45777</v>
      </c>
      <c r="K3402" s="4">
        <v>2299443</v>
      </c>
    </row>
    <row r="3403" spans="1:11" hidden="1" outlineLevel="2" x14ac:dyDescent="0.35">
      <c r="A3403" t="s">
        <v>131</v>
      </c>
      <c r="B3403" s="1">
        <v>45747</v>
      </c>
      <c r="C3403" t="s">
        <v>5868</v>
      </c>
      <c r="D3403" t="s">
        <v>5868</v>
      </c>
      <c r="F3403" t="str">
        <f t="shared" si="115"/>
        <v>44320000</v>
      </c>
      <c r="H3403" t="s">
        <v>5506</v>
      </c>
      <c r="I3403" s="1">
        <v>45777</v>
      </c>
      <c r="K3403" s="4">
        <v>2220297</v>
      </c>
    </row>
    <row r="3404" spans="1:11" hidden="1" outlineLevel="2" x14ac:dyDescent="0.35">
      <c r="A3404" t="s">
        <v>131</v>
      </c>
      <c r="B3404" s="1">
        <v>45747</v>
      </c>
      <c r="C3404" t="s">
        <v>5869</v>
      </c>
      <c r="D3404" t="s">
        <v>5869</v>
      </c>
      <c r="F3404" t="str">
        <f t="shared" si="115"/>
        <v>44320000</v>
      </c>
      <c r="H3404" t="s">
        <v>5508</v>
      </c>
      <c r="I3404" s="1">
        <v>45777</v>
      </c>
      <c r="K3404" s="4">
        <v>167670</v>
      </c>
    </row>
    <row r="3405" spans="1:11" hidden="1" outlineLevel="2" x14ac:dyDescent="0.35">
      <c r="A3405" t="s">
        <v>131</v>
      </c>
      <c r="B3405" s="1">
        <v>45747</v>
      </c>
      <c r="C3405" t="s">
        <v>5870</v>
      </c>
      <c r="D3405" t="s">
        <v>5870</v>
      </c>
      <c r="F3405" t="str">
        <f t="shared" si="115"/>
        <v>44320000</v>
      </c>
      <c r="H3405" t="s">
        <v>5585</v>
      </c>
      <c r="I3405" s="1">
        <v>45762</v>
      </c>
      <c r="K3405" s="4">
        <v>26438633</v>
      </c>
    </row>
    <row r="3406" spans="1:11" hidden="1" outlineLevel="2" x14ac:dyDescent="0.35">
      <c r="A3406" t="s">
        <v>131</v>
      </c>
      <c r="B3406" s="1">
        <v>45747</v>
      </c>
      <c r="C3406" t="s">
        <v>5871</v>
      </c>
      <c r="D3406" t="s">
        <v>5871</v>
      </c>
      <c r="F3406" t="str">
        <f t="shared" si="115"/>
        <v>44320000</v>
      </c>
      <c r="H3406" t="s">
        <v>5585</v>
      </c>
      <c r="I3406" s="1">
        <v>45762</v>
      </c>
      <c r="K3406" s="4">
        <v>1146600</v>
      </c>
    </row>
    <row r="3407" spans="1:11" hidden="1" outlineLevel="2" x14ac:dyDescent="0.35">
      <c r="A3407" t="s">
        <v>131</v>
      </c>
      <c r="B3407" s="1">
        <v>45747</v>
      </c>
      <c r="C3407" t="s">
        <v>5872</v>
      </c>
      <c r="D3407" t="s">
        <v>5872</v>
      </c>
      <c r="F3407" t="str">
        <f t="shared" si="115"/>
        <v>44320000</v>
      </c>
      <c r="H3407" t="s">
        <v>5686</v>
      </c>
      <c r="I3407" s="1">
        <v>45777</v>
      </c>
      <c r="K3407" s="4">
        <v>10376496</v>
      </c>
    </row>
    <row r="3408" spans="1:11" outlineLevel="1" collapsed="1" x14ac:dyDescent="0.35">
      <c r="B3408" s="1"/>
      <c r="F3408" s="3" t="s">
        <v>6554</v>
      </c>
      <c r="I3408" s="1"/>
      <c r="J3408" s="4">
        <f>SUBTOTAL(9,J3061:J3407)</f>
        <v>216819397</v>
      </c>
      <c r="K3408" s="4">
        <f>SUBTOTAL(9,K3061:K3407)</f>
        <v>134155270</v>
      </c>
    </row>
    <row r="3409" spans="1:11" hidden="1" outlineLevel="2" x14ac:dyDescent="0.35">
      <c r="A3409" t="s">
        <v>1790</v>
      </c>
      <c r="B3409" s="1">
        <v>45733</v>
      </c>
      <c r="C3409" t="str">
        <f>"170"</f>
        <v>170</v>
      </c>
      <c r="F3409" t="str">
        <f>"44410000"</f>
        <v>44410000</v>
      </c>
      <c r="H3409" t="s">
        <v>1818</v>
      </c>
      <c r="J3409" s="4">
        <v>20218747</v>
      </c>
    </row>
    <row r="3410" spans="1:11" hidden="1" outlineLevel="2" x14ac:dyDescent="0.35">
      <c r="A3410" t="s">
        <v>101</v>
      </c>
      <c r="B3410" s="1">
        <v>45717</v>
      </c>
      <c r="C3410" t="str">
        <f>"18"</f>
        <v>18</v>
      </c>
      <c r="F3410" t="str">
        <f>"44410000"</f>
        <v>44410000</v>
      </c>
      <c r="H3410" t="s">
        <v>2749</v>
      </c>
      <c r="K3410" s="4">
        <v>-25124937</v>
      </c>
    </row>
    <row r="3411" spans="1:11" hidden="1" outlineLevel="2" x14ac:dyDescent="0.35">
      <c r="A3411" t="s">
        <v>101</v>
      </c>
      <c r="B3411" s="1">
        <v>45717</v>
      </c>
      <c r="C3411" t="str">
        <f>"20"</f>
        <v>20</v>
      </c>
      <c r="F3411" t="str">
        <f>"44410000"</f>
        <v>44410000</v>
      </c>
      <c r="H3411" t="s">
        <v>2750</v>
      </c>
      <c r="K3411" s="4">
        <v>25002686</v>
      </c>
    </row>
    <row r="3412" spans="1:11" hidden="1" outlineLevel="2" x14ac:dyDescent="0.35">
      <c r="A3412" t="s">
        <v>101</v>
      </c>
      <c r="B3412" s="1">
        <v>45747</v>
      </c>
      <c r="C3412" t="str">
        <f>"68"</f>
        <v>68</v>
      </c>
      <c r="F3412" t="str">
        <f>"44410000"</f>
        <v>44410000</v>
      </c>
      <c r="H3412" t="s">
        <v>120</v>
      </c>
      <c r="K3412" s="4">
        <v>24989874</v>
      </c>
    </row>
    <row r="3413" spans="1:11" outlineLevel="1" collapsed="1" x14ac:dyDescent="0.35">
      <c r="B3413" s="1"/>
      <c r="F3413" s="3" t="s">
        <v>6555</v>
      </c>
      <c r="J3413" s="4">
        <f>SUBTOTAL(9,J3409:J3412)</f>
        <v>20218747</v>
      </c>
      <c r="K3413" s="4">
        <f>SUBTOTAL(9,K3409:K3412)</f>
        <v>24867623</v>
      </c>
    </row>
    <row r="3414" spans="1:11" hidden="1" outlineLevel="2" x14ac:dyDescent="0.35">
      <c r="A3414" t="s">
        <v>72</v>
      </c>
      <c r="B3414" s="1">
        <v>45719</v>
      </c>
      <c r="C3414" t="str">
        <f>"5"</f>
        <v>5</v>
      </c>
      <c r="D3414" t="s">
        <v>2674</v>
      </c>
      <c r="E3414" t="s">
        <v>2675</v>
      </c>
      <c r="F3414" t="str">
        <f t="shared" ref="F3414:F3421" si="116">"44510000"</f>
        <v>44510000</v>
      </c>
      <c r="H3414" t="s">
        <v>2677</v>
      </c>
      <c r="J3414" s="4">
        <v>153000</v>
      </c>
    </row>
    <row r="3415" spans="1:11" hidden="1" outlineLevel="2" x14ac:dyDescent="0.35">
      <c r="A3415" t="s">
        <v>72</v>
      </c>
      <c r="B3415" s="1">
        <v>45727</v>
      </c>
      <c r="C3415" t="str">
        <f>"7"</f>
        <v>7</v>
      </c>
      <c r="D3415" t="str">
        <f>"103148"</f>
        <v>103148</v>
      </c>
      <c r="E3415" t="s">
        <v>2681</v>
      </c>
      <c r="F3415" t="str">
        <f t="shared" si="116"/>
        <v>44510000</v>
      </c>
      <c r="H3415" t="s">
        <v>2682</v>
      </c>
      <c r="J3415" s="4">
        <v>244440</v>
      </c>
    </row>
    <row r="3416" spans="1:11" hidden="1" outlineLevel="2" x14ac:dyDescent="0.35">
      <c r="A3416" t="s">
        <v>72</v>
      </c>
      <c r="B3416" s="1">
        <v>45728</v>
      </c>
      <c r="C3416" t="str">
        <f>"1"</f>
        <v>1</v>
      </c>
      <c r="D3416" t="str">
        <f>"0000096"</f>
        <v>0000096</v>
      </c>
      <c r="E3416" t="s">
        <v>2686</v>
      </c>
      <c r="F3416" t="str">
        <f t="shared" si="116"/>
        <v>44510000</v>
      </c>
      <c r="H3416" t="s">
        <v>2687</v>
      </c>
      <c r="J3416" s="4">
        <v>230328</v>
      </c>
    </row>
    <row r="3417" spans="1:11" hidden="1" outlineLevel="2" x14ac:dyDescent="0.35">
      <c r="A3417" t="s">
        <v>72</v>
      </c>
      <c r="B3417" s="1">
        <v>45733</v>
      </c>
      <c r="C3417" t="str">
        <f>"6"</f>
        <v>6</v>
      </c>
      <c r="D3417" t="str">
        <f>"103271"</f>
        <v>103271</v>
      </c>
      <c r="E3417" t="s">
        <v>2688</v>
      </c>
      <c r="F3417" t="str">
        <f t="shared" si="116"/>
        <v>44510000</v>
      </c>
      <c r="H3417" t="s">
        <v>2689</v>
      </c>
      <c r="J3417" s="4">
        <v>338724</v>
      </c>
    </row>
    <row r="3418" spans="1:11" hidden="1" outlineLevel="2" x14ac:dyDescent="0.35">
      <c r="A3418" t="s">
        <v>72</v>
      </c>
      <c r="B3418" s="1">
        <v>45733</v>
      </c>
      <c r="C3418" t="str">
        <f>"9"</f>
        <v>9</v>
      </c>
      <c r="D3418" t="str">
        <f>"103271"</f>
        <v>103271</v>
      </c>
      <c r="E3418" t="s">
        <v>2688</v>
      </c>
      <c r="F3418" t="str">
        <f t="shared" si="116"/>
        <v>44510000</v>
      </c>
      <c r="H3418" t="s">
        <v>2692</v>
      </c>
      <c r="J3418" s="4">
        <v>-338724</v>
      </c>
    </row>
    <row r="3419" spans="1:11" hidden="1" outlineLevel="2" x14ac:dyDescent="0.35">
      <c r="A3419" t="s">
        <v>72</v>
      </c>
      <c r="B3419" s="1">
        <v>45740</v>
      </c>
      <c r="C3419" t="str">
        <f>"3"</f>
        <v>3</v>
      </c>
      <c r="D3419" t="str">
        <f>"0104809"</f>
        <v>0104809</v>
      </c>
      <c r="E3419" t="s">
        <v>2695</v>
      </c>
      <c r="F3419" t="str">
        <f t="shared" si="116"/>
        <v>44510000</v>
      </c>
      <c r="H3419" t="s">
        <v>2696</v>
      </c>
      <c r="J3419" s="4">
        <v>35467</v>
      </c>
    </row>
    <row r="3420" spans="1:11" hidden="1" outlineLevel="2" x14ac:dyDescent="0.35">
      <c r="A3420" t="s">
        <v>101</v>
      </c>
      <c r="B3420" s="1">
        <v>45717</v>
      </c>
      <c r="C3420" t="str">
        <f>"20"</f>
        <v>20</v>
      </c>
      <c r="F3420" t="str">
        <f t="shared" si="116"/>
        <v>44510000</v>
      </c>
      <c r="H3420" t="s">
        <v>2750</v>
      </c>
      <c r="K3420" s="4">
        <v>122251</v>
      </c>
    </row>
    <row r="3421" spans="1:11" hidden="1" outlineLevel="2" x14ac:dyDescent="0.35">
      <c r="A3421" t="s">
        <v>101</v>
      </c>
      <c r="B3421" s="1">
        <v>45747</v>
      </c>
      <c r="C3421" t="str">
        <f>"68"</f>
        <v>68</v>
      </c>
      <c r="F3421" t="str">
        <f t="shared" si="116"/>
        <v>44510000</v>
      </c>
      <c r="H3421" t="s">
        <v>120</v>
      </c>
      <c r="K3421" s="4">
        <v>432907</v>
      </c>
    </row>
    <row r="3422" spans="1:11" outlineLevel="1" collapsed="1" x14ac:dyDescent="0.35">
      <c r="B3422" s="1"/>
      <c r="F3422" s="3" t="s">
        <v>6556</v>
      </c>
      <c r="J3422" s="4">
        <f>SUBTOTAL(9,J3414:J3421)</f>
        <v>663235</v>
      </c>
      <c r="K3422" s="4">
        <f>SUBTOTAL(9,K3414:K3421)</f>
        <v>555158</v>
      </c>
    </row>
    <row r="3423" spans="1:11" hidden="1" outlineLevel="2" x14ac:dyDescent="0.35">
      <c r="A3423" t="s">
        <v>101</v>
      </c>
      <c r="B3423" s="1">
        <v>45717</v>
      </c>
      <c r="C3423" t="str">
        <f>"18"</f>
        <v>18</v>
      </c>
      <c r="F3423" t="str">
        <f>"44510100"</f>
        <v>44510100</v>
      </c>
      <c r="H3423" t="s">
        <v>2749</v>
      </c>
      <c r="K3423" s="4">
        <v>-43103742</v>
      </c>
    </row>
    <row r="3424" spans="1:11" hidden="1" outlineLevel="2" x14ac:dyDescent="0.35">
      <c r="A3424" t="s">
        <v>101</v>
      </c>
      <c r="B3424" s="1">
        <v>45717</v>
      </c>
      <c r="C3424" t="str">
        <f>"20"</f>
        <v>20</v>
      </c>
      <c r="F3424" t="str">
        <f>"44510100"</f>
        <v>44510100</v>
      </c>
      <c r="H3424" t="s">
        <v>2750</v>
      </c>
      <c r="K3424" s="4">
        <v>43103742</v>
      </c>
    </row>
    <row r="3425" spans="1:11" hidden="1" outlineLevel="2" x14ac:dyDescent="0.35">
      <c r="A3425" t="s">
        <v>101</v>
      </c>
      <c r="B3425" s="1">
        <v>45747</v>
      </c>
      <c r="C3425" t="str">
        <f>"68"</f>
        <v>68</v>
      </c>
      <c r="F3425" t="str">
        <f>"44510100"</f>
        <v>44510100</v>
      </c>
      <c r="H3425" t="s">
        <v>120</v>
      </c>
      <c r="K3425" s="4">
        <v>43103742</v>
      </c>
    </row>
    <row r="3426" spans="1:11" outlineLevel="1" collapsed="1" x14ac:dyDescent="0.35">
      <c r="B3426" s="1"/>
      <c r="F3426" s="3" t="s">
        <v>6557</v>
      </c>
      <c r="J3426" s="4">
        <f>SUBTOTAL(9,J3423:J3425)</f>
        <v>0</v>
      </c>
      <c r="K3426" s="4">
        <f>SUBTOTAL(9,K3423:K3425)</f>
        <v>43103742</v>
      </c>
    </row>
    <row r="3427" spans="1:11" hidden="1" outlineLevel="2" x14ac:dyDescent="0.35">
      <c r="A3427" t="s">
        <v>101</v>
      </c>
      <c r="B3427" s="1">
        <v>45717</v>
      </c>
      <c r="C3427" t="str">
        <f>"18"</f>
        <v>18</v>
      </c>
      <c r="F3427" t="str">
        <f>"44510200"</f>
        <v>44510200</v>
      </c>
      <c r="H3427" t="s">
        <v>2749</v>
      </c>
      <c r="J3427" s="4">
        <v>-43103742</v>
      </c>
    </row>
    <row r="3428" spans="1:11" hidden="1" outlineLevel="2" x14ac:dyDescent="0.35">
      <c r="A3428" t="s">
        <v>101</v>
      </c>
      <c r="B3428" s="1">
        <v>45717</v>
      </c>
      <c r="C3428" t="str">
        <f>"20"</f>
        <v>20</v>
      </c>
      <c r="F3428" t="str">
        <f>"44510200"</f>
        <v>44510200</v>
      </c>
      <c r="H3428" t="s">
        <v>2750</v>
      </c>
      <c r="J3428" s="4">
        <v>43103742</v>
      </c>
    </row>
    <row r="3429" spans="1:11" hidden="1" outlineLevel="2" x14ac:dyDescent="0.35">
      <c r="A3429" t="s">
        <v>101</v>
      </c>
      <c r="B3429" s="1">
        <v>45747</v>
      </c>
      <c r="C3429" t="str">
        <f>"68"</f>
        <v>68</v>
      </c>
      <c r="F3429" t="str">
        <f>"44510200"</f>
        <v>44510200</v>
      </c>
      <c r="H3429" t="s">
        <v>120</v>
      </c>
      <c r="J3429" s="4">
        <v>43103742</v>
      </c>
    </row>
    <row r="3430" spans="1:11" outlineLevel="1" collapsed="1" x14ac:dyDescent="0.35">
      <c r="B3430" s="1"/>
      <c r="F3430" s="3" t="s">
        <v>6558</v>
      </c>
      <c r="J3430" s="4">
        <f>SUBTOTAL(9,J3427:J3429)</f>
        <v>43103742</v>
      </c>
      <c r="K3430" s="4">
        <f>SUBTOTAL(9,K3427:K3429)</f>
        <v>0</v>
      </c>
    </row>
    <row r="3431" spans="1:11" hidden="1" outlineLevel="2" x14ac:dyDescent="0.35">
      <c r="A3431" t="s">
        <v>354</v>
      </c>
      <c r="B3431" s="1">
        <v>45717</v>
      </c>
      <c r="C3431" t="str">
        <f>"553"</f>
        <v>553</v>
      </c>
      <c r="D3431" t="s">
        <v>355</v>
      </c>
      <c r="E3431" t="s">
        <v>356</v>
      </c>
      <c r="F3431" t="str">
        <f t="shared" ref="F3431:F3462" si="117">"44520000"</f>
        <v>44520000</v>
      </c>
      <c r="H3431" t="s">
        <v>357</v>
      </c>
      <c r="J3431" s="4">
        <v>3025</v>
      </c>
    </row>
    <row r="3432" spans="1:11" hidden="1" outlineLevel="2" x14ac:dyDescent="0.35">
      <c r="A3432" t="s">
        <v>354</v>
      </c>
      <c r="B3432" s="1">
        <v>45719</v>
      </c>
      <c r="C3432" t="str">
        <f>"485"</f>
        <v>485</v>
      </c>
      <c r="D3432" t="s">
        <v>358</v>
      </c>
      <c r="E3432" t="s">
        <v>359</v>
      </c>
      <c r="F3432" t="str">
        <f t="shared" si="117"/>
        <v>44520000</v>
      </c>
      <c r="H3432" t="s">
        <v>360</v>
      </c>
      <c r="J3432" s="4">
        <v>18077</v>
      </c>
    </row>
    <row r="3433" spans="1:11" hidden="1" outlineLevel="2" x14ac:dyDescent="0.35">
      <c r="A3433" t="s">
        <v>354</v>
      </c>
      <c r="B3433" s="1">
        <v>45719</v>
      </c>
      <c r="C3433" t="str">
        <f>"486"</f>
        <v>486</v>
      </c>
      <c r="D3433" t="s">
        <v>361</v>
      </c>
      <c r="E3433" t="s">
        <v>362</v>
      </c>
      <c r="F3433" t="str">
        <f t="shared" si="117"/>
        <v>44520000</v>
      </c>
      <c r="H3433" t="s">
        <v>363</v>
      </c>
      <c r="J3433" s="4">
        <v>31952</v>
      </c>
    </row>
    <row r="3434" spans="1:11" hidden="1" outlineLevel="2" x14ac:dyDescent="0.35">
      <c r="A3434" t="s">
        <v>354</v>
      </c>
      <c r="B3434" s="1">
        <v>45719</v>
      </c>
      <c r="C3434" t="str">
        <f>"487"</f>
        <v>487</v>
      </c>
      <c r="D3434" t="s">
        <v>364</v>
      </c>
      <c r="E3434" t="str">
        <f>"0001558"</f>
        <v>0001558</v>
      </c>
      <c r="F3434" t="str">
        <f t="shared" si="117"/>
        <v>44520000</v>
      </c>
      <c r="H3434" t="s">
        <v>365</v>
      </c>
      <c r="J3434" s="4">
        <v>11592</v>
      </c>
    </row>
    <row r="3435" spans="1:11" hidden="1" outlineLevel="2" x14ac:dyDescent="0.35">
      <c r="A3435" t="s">
        <v>354</v>
      </c>
      <c r="B3435" s="1">
        <v>45719</v>
      </c>
      <c r="C3435" t="str">
        <f>"488"</f>
        <v>488</v>
      </c>
      <c r="D3435" t="s">
        <v>366</v>
      </c>
      <c r="E3435" t="str">
        <f>"0001559"</f>
        <v>0001559</v>
      </c>
      <c r="F3435" t="str">
        <f t="shared" si="117"/>
        <v>44520000</v>
      </c>
      <c r="H3435" t="s">
        <v>367</v>
      </c>
      <c r="J3435" s="4">
        <v>9324</v>
      </c>
    </row>
    <row r="3436" spans="1:11" hidden="1" outlineLevel="2" x14ac:dyDescent="0.35">
      <c r="A3436" t="s">
        <v>354</v>
      </c>
      <c r="B3436" s="1">
        <v>45719</v>
      </c>
      <c r="C3436" t="str">
        <f>"490"</f>
        <v>490</v>
      </c>
      <c r="D3436" t="s">
        <v>370</v>
      </c>
      <c r="E3436" t="s">
        <v>371</v>
      </c>
      <c r="F3436" t="str">
        <f t="shared" si="117"/>
        <v>44520000</v>
      </c>
      <c r="H3436" t="s">
        <v>372</v>
      </c>
      <c r="J3436" s="4">
        <v>1953</v>
      </c>
    </row>
    <row r="3437" spans="1:11" hidden="1" outlineLevel="2" x14ac:dyDescent="0.35">
      <c r="A3437" t="s">
        <v>354</v>
      </c>
      <c r="B3437" s="1">
        <v>45719</v>
      </c>
      <c r="C3437" t="str">
        <f>"491"</f>
        <v>491</v>
      </c>
      <c r="D3437" t="s">
        <v>373</v>
      </c>
      <c r="E3437" t="s">
        <v>374</v>
      </c>
      <c r="F3437" t="str">
        <f t="shared" si="117"/>
        <v>44520000</v>
      </c>
      <c r="H3437" t="s">
        <v>375</v>
      </c>
      <c r="J3437" s="4">
        <v>35280</v>
      </c>
    </row>
    <row r="3438" spans="1:11" hidden="1" outlineLevel="2" x14ac:dyDescent="0.35">
      <c r="A3438" t="s">
        <v>354</v>
      </c>
      <c r="B3438" s="1">
        <v>45719</v>
      </c>
      <c r="C3438" t="str">
        <f>"492"</f>
        <v>492</v>
      </c>
      <c r="D3438" t="s">
        <v>376</v>
      </c>
      <c r="E3438" t="s">
        <v>377</v>
      </c>
      <c r="F3438" t="str">
        <f t="shared" si="117"/>
        <v>44520000</v>
      </c>
      <c r="H3438" t="s">
        <v>378</v>
      </c>
      <c r="J3438" s="4">
        <v>17460</v>
      </c>
    </row>
    <row r="3439" spans="1:11" hidden="1" outlineLevel="2" x14ac:dyDescent="0.35">
      <c r="A3439" t="s">
        <v>354</v>
      </c>
      <c r="B3439" s="1">
        <v>45719</v>
      </c>
      <c r="C3439" t="str">
        <f>"493"</f>
        <v>493</v>
      </c>
      <c r="D3439" t="s">
        <v>379</v>
      </c>
      <c r="E3439" t="s">
        <v>380</v>
      </c>
      <c r="F3439" t="str">
        <f t="shared" si="117"/>
        <v>44520000</v>
      </c>
      <c r="H3439" t="s">
        <v>381</v>
      </c>
      <c r="J3439" s="4">
        <v>91631</v>
      </c>
    </row>
    <row r="3440" spans="1:11" hidden="1" outlineLevel="2" x14ac:dyDescent="0.35">
      <c r="A3440" t="s">
        <v>354</v>
      </c>
      <c r="B3440" s="1">
        <v>45719</v>
      </c>
      <c r="C3440" t="str">
        <f>"494"</f>
        <v>494</v>
      </c>
      <c r="D3440" t="s">
        <v>382</v>
      </c>
      <c r="E3440" t="s">
        <v>383</v>
      </c>
      <c r="F3440" t="str">
        <f t="shared" si="117"/>
        <v>44520000</v>
      </c>
      <c r="H3440" t="s">
        <v>384</v>
      </c>
      <c r="J3440" s="4">
        <v>3688</v>
      </c>
    </row>
    <row r="3441" spans="1:10" hidden="1" outlineLevel="2" x14ac:dyDescent="0.35">
      <c r="A3441" t="s">
        <v>354</v>
      </c>
      <c r="B3441" s="1">
        <v>45719</v>
      </c>
      <c r="C3441" t="str">
        <f>"495"</f>
        <v>495</v>
      </c>
      <c r="D3441" t="s">
        <v>385</v>
      </c>
      <c r="E3441" t="s">
        <v>386</v>
      </c>
      <c r="F3441" t="str">
        <f t="shared" si="117"/>
        <v>44520000</v>
      </c>
      <c r="H3441" t="s">
        <v>387</v>
      </c>
      <c r="J3441" s="4">
        <v>41679</v>
      </c>
    </row>
    <row r="3442" spans="1:10" hidden="1" outlineLevel="2" x14ac:dyDescent="0.35">
      <c r="A3442" t="s">
        <v>354</v>
      </c>
      <c r="B3442" s="1">
        <v>45719</v>
      </c>
      <c r="C3442" t="str">
        <f>"496"</f>
        <v>496</v>
      </c>
      <c r="D3442" t="s">
        <v>388</v>
      </c>
      <c r="E3442" t="s">
        <v>389</v>
      </c>
      <c r="F3442" t="str">
        <f t="shared" si="117"/>
        <v>44520000</v>
      </c>
      <c r="H3442" t="s">
        <v>390</v>
      </c>
      <c r="J3442" s="4">
        <v>15725</v>
      </c>
    </row>
    <row r="3443" spans="1:10" hidden="1" outlineLevel="2" x14ac:dyDescent="0.35">
      <c r="A3443" t="s">
        <v>354</v>
      </c>
      <c r="B3443" s="1">
        <v>45719</v>
      </c>
      <c r="C3443" t="str">
        <f>"497"</f>
        <v>497</v>
      </c>
      <c r="D3443" t="s">
        <v>391</v>
      </c>
      <c r="E3443" t="s">
        <v>392</v>
      </c>
      <c r="F3443" t="str">
        <f t="shared" si="117"/>
        <v>44520000</v>
      </c>
      <c r="H3443" t="s">
        <v>393</v>
      </c>
      <c r="J3443" s="4">
        <v>4011</v>
      </c>
    </row>
    <row r="3444" spans="1:10" hidden="1" outlineLevel="2" x14ac:dyDescent="0.35">
      <c r="A3444" t="s">
        <v>354</v>
      </c>
      <c r="B3444" s="1">
        <v>45719</v>
      </c>
      <c r="C3444" t="str">
        <f>"498"</f>
        <v>498</v>
      </c>
      <c r="D3444" t="s">
        <v>394</v>
      </c>
      <c r="E3444" t="s">
        <v>395</v>
      </c>
      <c r="F3444" t="str">
        <f t="shared" si="117"/>
        <v>44520000</v>
      </c>
      <c r="H3444" t="s">
        <v>396</v>
      </c>
      <c r="J3444" s="4">
        <v>9635</v>
      </c>
    </row>
    <row r="3445" spans="1:10" hidden="1" outlineLevel="2" x14ac:dyDescent="0.35">
      <c r="A3445" t="s">
        <v>354</v>
      </c>
      <c r="B3445" s="1">
        <v>45719</v>
      </c>
      <c r="C3445" t="str">
        <f>"499"</f>
        <v>499</v>
      </c>
      <c r="D3445" t="s">
        <v>397</v>
      </c>
      <c r="E3445" t="s">
        <v>398</v>
      </c>
      <c r="F3445" t="str">
        <f t="shared" si="117"/>
        <v>44520000</v>
      </c>
      <c r="H3445" t="s">
        <v>399</v>
      </c>
      <c r="J3445" s="4">
        <v>1430</v>
      </c>
    </row>
    <row r="3446" spans="1:10" hidden="1" outlineLevel="2" x14ac:dyDescent="0.35">
      <c r="A3446" t="s">
        <v>354</v>
      </c>
      <c r="B3446" s="1">
        <v>45719</v>
      </c>
      <c r="C3446" t="str">
        <f>"500"</f>
        <v>500</v>
      </c>
      <c r="D3446" t="s">
        <v>400</v>
      </c>
      <c r="E3446" t="s">
        <v>401</v>
      </c>
      <c r="F3446" t="str">
        <f t="shared" si="117"/>
        <v>44520000</v>
      </c>
      <c r="H3446" t="s">
        <v>402</v>
      </c>
      <c r="J3446" s="4">
        <v>8003</v>
      </c>
    </row>
    <row r="3447" spans="1:10" hidden="1" outlineLevel="2" x14ac:dyDescent="0.35">
      <c r="A3447" t="s">
        <v>354</v>
      </c>
      <c r="B3447" s="1">
        <v>45719</v>
      </c>
      <c r="C3447" t="str">
        <f>"501"</f>
        <v>501</v>
      </c>
      <c r="D3447" t="s">
        <v>403</v>
      </c>
      <c r="E3447" t="s">
        <v>404</v>
      </c>
      <c r="F3447" t="str">
        <f t="shared" si="117"/>
        <v>44520000</v>
      </c>
      <c r="H3447" t="s">
        <v>405</v>
      </c>
      <c r="J3447" s="4">
        <v>10492</v>
      </c>
    </row>
    <row r="3448" spans="1:10" hidden="1" outlineLevel="2" x14ac:dyDescent="0.35">
      <c r="A3448" t="s">
        <v>354</v>
      </c>
      <c r="B3448" s="1">
        <v>45719</v>
      </c>
      <c r="C3448" t="str">
        <f>"502"</f>
        <v>502</v>
      </c>
      <c r="D3448" t="s">
        <v>406</v>
      </c>
      <c r="E3448" t="s">
        <v>407</v>
      </c>
      <c r="F3448" t="str">
        <f t="shared" si="117"/>
        <v>44520000</v>
      </c>
      <c r="H3448" t="s">
        <v>408</v>
      </c>
      <c r="J3448" s="4">
        <v>21978</v>
      </c>
    </row>
    <row r="3449" spans="1:10" hidden="1" outlineLevel="2" x14ac:dyDescent="0.35">
      <c r="A3449" t="s">
        <v>354</v>
      </c>
      <c r="B3449" s="1">
        <v>45719</v>
      </c>
      <c r="C3449" t="str">
        <f>"503"</f>
        <v>503</v>
      </c>
      <c r="D3449" t="s">
        <v>409</v>
      </c>
      <c r="E3449" t="s">
        <v>410</v>
      </c>
      <c r="F3449" t="str">
        <f t="shared" si="117"/>
        <v>44520000</v>
      </c>
      <c r="H3449" t="s">
        <v>411</v>
      </c>
      <c r="J3449" s="4">
        <v>21978</v>
      </c>
    </row>
    <row r="3450" spans="1:10" hidden="1" outlineLevel="2" x14ac:dyDescent="0.35">
      <c r="A3450" t="s">
        <v>354</v>
      </c>
      <c r="B3450" s="1">
        <v>45719</v>
      </c>
      <c r="C3450" t="str">
        <f>"504"</f>
        <v>504</v>
      </c>
      <c r="D3450" t="s">
        <v>412</v>
      </c>
      <c r="E3450" t="s">
        <v>413</v>
      </c>
      <c r="F3450" t="str">
        <f t="shared" si="117"/>
        <v>44520000</v>
      </c>
      <c r="H3450" t="s">
        <v>414</v>
      </c>
      <c r="J3450" s="4">
        <v>736</v>
      </c>
    </row>
    <row r="3451" spans="1:10" hidden="1" outlineLevel="2" x14ac:dyDescent="0.35">
      <c r="A3451" t="s">
        <v>354</v>
      </c>
      <c r="B3451" s="1">
        <v>45719</v>
      </c>
      <c r="C3451" t="str">
        <f>"505"</f>
        <v>505</v>
      </c>
      <c r="D3451" t="s">
        <v>415</v>
      </c>
      <c r="E3451" t="s">
        <v>416</v>
      </c>
      <c r="F3451" t="str">
        <f t="shared" si="117"/>
        <v>44520000</v>
      </c>
      <c r="H3451" t="s">
        <v>417</v>
      </c>
      <c r="J3451" s="4">
        <v>11736</v>
      </c>
    </row>
    <row r="3452" spans="1:10" hidden="1" outlineLevel="2" x14ac:dyDescent="0.35">
      <c r="A3452" t="s">
        <v>354</v>
      </c>
      <c r="B3452" s="1">
        <v>45719</v>
      </c>
      <c r="C3452" t="str">
        <f>"506"</f>
        <v>506</v>
      </c>
      <c r="D3452" t="s">
        <v>418</v>
      </c>
      <c r="E3452" t="s">
        <v>419</v>
      </c>
      <c r="F3452" t="str">
        <f t="shared" si="117"/>
        <v>44520000</v>
      </c>
      <c r="H3452" t="s">
        <v>420</v>
      </c>
      <c r="J3452" s="4">
        <v>4675</v>
      </c>
    </row>
    <row r="3453" spans="1:10" hidden="1" outlineLevel="2" x14ac:dyDescent="0.35">
      <c r="A3453" t="s">
        <v>354</v>
      </c>
      <c r="B3453" s="1">
        <v>45719</v>
      </c>
      <c r="C3453" t="str">
        <f>"507"</f>
        <v>507</v>
      </c>
      <c r="D3453" t="s">
        <v>421</v>
      </c>
      <c r="E3453" t="s">
        <v>422</v>
      </c>
      <c r="F3453" t="str">
        <f t="shared" si="117"/>
        <v>44520000</v>
      </c>
      <c r="H3453" t="s">
        <v>423</v>
      </c>
      <c r="J3453" s="4">
        <v>15120</v>
      </c>
    </row>
    <row r="3454" spans="1:10" hidden="1" outlineLevel="2" x14ac:dyDescent="0.35">
      <c r="A3454" t="s">
        <v>354</v>
      </c>
      <c r="B3454" s="1">
        <v>45719</v>
      </c>
      <c r="C3454" t="str">
        <f>"508"</f>
        <v>508</v>
      </c>
      <c r="D3454" t="s">
        <v>424</v>
      </c>
      <c r="E3454" t="s">
        <v>425</v>
      </c>
      <c r="F3454" t="str">
        <f t="shared" si="117"/>
        <v>44520000</v>
      </c>
      <c r="H3454" t="s">
        <v>426</v>
      </c>
      <c r="J3454" s="4">
        <v>302400</v>
      </c>
    </row>
    <row r="3455" spans="1:10" hidden="1" outlineLevel="2" x14ac:dyDescent="0.35">
      <c r="A3455" t="s">
        <v>354</v>
      </c>
      <c r="B3455" s="1">
        <v>45719</v>
      </c>
      <c r="C3455" t="str">
        <f>"509"</f>
        <v>509</v>
      </c>
      <c r="D3455" t="s">
        <v>427</v>
      </c>
      <c r="E3455" t="s">
        <v>428</v>
      </c>
      <c r="F3455" t="str">
        <f t="shared" si="117"/>
        <v>44520000</v>
      </c>
      <c r="H3455" t="s">
        <v>429</v>
      </c>
      <c r="J3455" s="4">
        <v>104400</v>
      </c>
    </row>
    <row r="3456" spans="1:10" hidden="1" outlineLevel="2" x14ac:dyDescent="0.35">
      <c r="A3456" t="s">
        <v>354</v>
      </c>
      <c r="B3456" s="1">
        <v>45719</v>
      </c>
      <c r="C3456" t="str">
        <f>"510"</f>
        <v>510</v>
      </c>
      <c r="D3456" t="s">
        <v>430</v>
      </c>
      <c r="E3456" t="s">
        <v>431</v>
      </c>
      <c r="F3456" t="str">
        <f t="shared" si="117"/>
        <v>44520000</v>
      </c>
      <c r="H3456" t="s">
        <v>432</v>
      </c>
      <c r="J3456" s="4">
        <v>417600</v>
      </c>
    </row>
    <row r="3457" spans="1:10" hidden="1" outlineLevel="2" x14ac:dyDescent="0.35">
      <c r="A3457" t="s">
        <v>354</v>
      </c>
      <c r="B3457" s="1">
        <v>45719</v>
      </c>
      <c r="C3457" t="str">
        <f>"511"</f>
        <v>511</v>
      </c>
      <c r="D3457" t="s">
        <v>433</v>
      </c>
      <c r="E3457" t="s">
        <v>434</v>
      </c>
      <c r="F3457" t="str">
        <f t="shared" si="117"/>
        <v>44520000</v>
      </c>
      <c r="H3457" t="s">
        <v>435</v>
      </c>
      <c r="J3457" s="4">
        <v>313200</v>
      </c>
    </row>
    <row r="3458" spans="1:10" hidden="1" outlineLevel="2" x14ac:dyDescent="0.35">
      <c r="A3458" t="s">
        <v>354</v>
      </c>
      <c r="B3458" s="1">
        <v>45719</v>
      </c>
      <c r="C3458" t="str">
        <f>"512"</f>
        <v>512</v>
      </c>
      <c r="D3458" t="s">
        <v>436</v>
      </c>
      <c r="E3458" t="s">
        <v>437</v>
      </c>
      <c r="F3458" t="str">
        <f t="shared" si="117"/>
        <v>44520000</v>
      </c>
      <c r="H3458" t="s">
        <v>438</v>
      </c>
      <c r="J3458" s="4">
        <v>178200</v>
      </c>
    </row>
    <row r="3459" spans="1:10" hidden="1" outlineLevel="2" x14ac:dyDescent="0.35">
      <c r="A3459" t="s">
        <v>354</v>
      </c>
      <c r="B3459" s="1">
        <v>45719</v>
      </c>
      <c r="C3459" t="str">
        <f>"513"</f>
        <v>513</v>
      </c>
      <c r="D3459" t="s">
        <v>439</v>
      </c>
      <c r="E3459" t="s">
        <v>440</v>
      </c>
      <c r="F3459" t="str">
        <f t="shared" si="117"/>
        <v>44520000</v>
      </c>
      <c r="H3459" t="s">
        <v>441</v>
      </c>
      <c r="J3459" s="4">
        <v>297000</v>
      </c>
    </row>
    <row r="3460" spans="1:10" hidden="1" outlineLevel="2" x14ac:dyDescent="0.35">
      <c r="A3460" t="s">
        <v>354</v>
      </c>
      <c r="B3460" s="1">
        <v>45719</v>
      </c>
      <c r="C3460" t="str">
        <f>"514"</f>
        <v>514</v>
      </c>
      <c r="D3460" t="s">
        <v>442</v>
      </c>
      <c r="E3460" t="s">
        <v>443</v>
      </c>
      <c r="F3460" t="str">
        <f t="shared" si="117"/>
        <v>44520000</v>
      </c>
      <c r="H3460" t="s">
        <v>444</v>
      </c>
      <c r="J3460" s="4">
        <v>516600</v>
      </c>
    </row>
    <row r="3461" spans="1:10" hidden="1" outlineLevel="2" x14ac:dyDescent="0.35">
      <c r="A3461" t="s">
        <v>354</v>
      </c>
      <c r="B3461" s="1">
        <v>45719</v>
      </c>
      <c r="C3461" t="str">
        <f>"515"</f>
        <v>515</v>
      </c>
      <c r="D3461" t="s">
        <v>445</v>
      </c>
      <c r="E3461" t="s">
        <v>446</v>
      </c>
      <c r="F3461" t="str">
        <f t="shared" si="117"/>
        <v>44520000</v>
      </c>
      <c r="H3461" t="s">
        <v>447</v>
      </c>
      <c r="J3461" s="4">
        <v>280800</v>
      </c>
    </row>
    <row r="3462" spans="1:10" hidden="1" outlineLevel="2" x14ac:dyDescent="0.35">
      <c r="A3462" t="s">
        <v>354</v>
      </c>
      <c r="B3462" s="1">
        <v>45719</v>
      </c>
      <c r="C3462" t="str">
        <f>"516"</f>
        <v>516</v>
      </c>
      <c r="D3462" t="s">
        <v>448</v>
      </c>
      <c r="E3462" t="s">
        <v>449</v>
      </c>
      <c r="F3462" t="str">
        <f t="shared" si="117"/>
        <v>44520000</v>
      </c>
      <c r="H3462" t="s">
        <v>450</v>
      </c>
      <c r="J3462" s="4">
        <v>31500</v>
      </c>
    </row>
    <row r="3463" spans="1:10" hidden="1" outlineLevel="2" x14ac:dyDescent="0.35">
      <c r="A3463" t="s">
        <v>354</v>
      </c>
      <c r="B3463" s="1">
        <v>45719</v>
      </c>
      <c r="C3463" t="str">
        <f>"517"</f>
        <v>517</v>
      </c>
      <c r="D3463" t="s">
        <v>451</v>
      </c>
      <c r="E3463" t="s">
        <v>452</v>
      </c>
      <c r="F3463" t="str">
        <f t="shared" ref="F3463:F3494" si="118">"44520000"</f>
        <v>44520000</v>
      </c>
      <c r="H3463" t="s">
        <v>453</v>
      </c>
      <c r="J3463" s="4">
        <v>403200</v>
      </c>
    </row>
    <row r="3464" spans="1:10" hidden="1" outlineLevel="2" x14ac:dyDescent="0.35">
      <c r="A3464" t="s">
        <v>354</v>
      </c>
      <c r="B3464" s="1">
        <v>45719</v>
      </c>
      <c r="C3464" t="str">
        <f>"518"</f>
        <v>518</v>
      </c>
      <c r="D3464" t="s">
        <v>454</v>
      </c>
      <c r="E3464" t="s">
        <v>455</v>
      </c>
      <c r="F3464" t="str">
        <f t="shared" si="118"/>
        <v>44520000</v>
      </c>
      <c r="H3464" t="s">
        <v>456</v>
      </c>
      <c r="J3464" s="4">
        <v>604800</v>
      </c>
    </row>
    <row r="3465" spans="1:10" hidden="1" outlineLevel="2" x14ac:dyDescent="0.35">
      <c r="A3465" t="s">
        <v>354</v>
      </c>
      <c r="B3465" s="1">
        <v>45719</v>
      </c>
      <c r="C3465" t="str">
        <f>"519"</f>
        <v>519</v>
      </c>
      <c r="D3465" t="s">
        <v>457</v>
      </c>
      <c r="E3465" t="s">
        <v>458</v>
      </c>
      <c r="F3465" t="str">
        <f t="shared" si="118"/>
        <v>44520000</v>
      </c>
      <c r="H3465" t="s">
        <v>459</v>
      </c>
      <c r="J3465" s="4">
        <v>54000</v>
      </c>
    </row>
    <row r="3466" spans="1:10" hidden="1" outlineLevel="2" x14ac:dyDescent="0.35">
      <c r="A3466" t="s">
        <v>354</v>
      </c>
      <c r="B3466" s="1">
        <v>45719</v>
      </c>
      <c r="C3466" t="str">
        <f>"520"</f>
        <v>520</v>
      </c>
      <c r="D3466" t="s">
        <v>460</v>
      </c>
      <c r="E3466" t="s">
        <v>461</v>
      </c>
      <c r="F3466" t="str">
        <f t="shared" si="118"/>
        <v>44520000</v>
      </c>
      <c r="H3466" t="s">
        <v>462</v>
      </c>
      <c r="J3466" s="4">
        <v>140400</v>
      </c>
    </row>
    <row r="3467" spans="1:10" hidden="1" outlineLevel="2" x14ac:dyDescent="0.35">
      <c r="A3467" t="s">
        <v>354</v>
      </c>
      <c r="B3467" s="1">
        <v>45719</v>
      </c>
      <c r="C3467" t="str">
        <f>"521"</f>
        <v>521</v>
      </c>
      <c r="D3467" t="s">
        <v>463</v>
      </c>
      <c r="E3467" t="s">
        <v>464</v>
      </c>
      <c r="F3467" t="str">
        <f t="shared" si="118"/>
        <v>44520000</v>
      </c>
      <c r="H3467" t="s">
        <v>465</v>
      </c>
      <c r="J3467" s="4">
        <v>604800</v>
      </c>
    </row>
    <row r="3468" spans="1:10" hidden="1" outlineLevel="2" x14ac:dyDescent="0.35">
      <c r="A3468" t="s">
        <v>354</v>
      </c>
      <c r="B3468" s="1">
        <v>45719</v>
      </c>
      <c r="C3468" t="str">
        <f>"522"</f>
        <v>522</v>
      </c>
      <c r="D3468" t="s">
        <v>466</v>
      </c>
      <c r="E3468" t="s">
        <v>467</v>
      </c>
      <c r="F3468" t="str">
        <f t="shared" si="118"/>
        <v>44520000</v>
      </c>
      <c r="H3468" t="s">
        <v>468</v>
      </c>
      <c r="J3468" s="4">
        <v>280800</v>
      </c>
    </row>
    <row r="3469" spans="1:10" hidden="1" outlineLevel="2" x14ac:dyDescent="0.35">
      <c r="A3469" t="s">
        <v>354</v>
      </c>
      <c r="B3469" s="1">
        <v>45719</v>
      </c>
      <c r="C3469" t="str">
        <f>"523"</f>
        <v>523</v>
      </c>
      <c r="D3469" t="s">
        <v>469</v>
      </c>
      <c r="E3469" t="s">
        <v>470</v>
      </c>
      <c r="F3469" t="str">
        <f t="shared" si="118"/>
        <v>44520000</v>
      </c>
      <c r="H3469" t="s">
        <v>471</v>
      </c>
      <c r="J3469" s="4">
        <v>421200</v>
      </c>
    </row>
    <row r="3470" spans="1:10" hidden="1" outlineLevel="2" x14ac:dyDescent="0.35">
      <c r="A3470" t="s">
        <v>354</v>
      </c>
      <c r="B3470" s="1">
        <v>45719</v>
      </c>
      <c r="C3470" t="str">
        <f>"524"</f>
        <v>524</v>
      </c>
      <c r="D3470" t="s">
        <v>472</v>
      </c>
      <c r="E3470" t="s">
        <v>473</v>
      </c>
      <c r="F3470" t="str">
        <f t="shared" si="118"/>
        <v>44520000</v>
      </c>
      <c r="H3470" t="s">
        <v>474</v>
      </c>
      <c r="J3470" s="4">
        <v>604800</v>
      </c>
    </row>
    <row r="3471" spans="1:10" hidden="1" outlineLevel="2" x14ac:dyDescent="0.35">
      <c r="A3471" t="s">
        <v>354</v>
      </c>
      <c r="B3471" s="1">
        <v>45719</v>
      </c>
      <c r="C3471" t="str">
        <f>"525"</f>
        <v>525</v>
      </c>
      <c r="D3471" t="s">
        <v>475</v>
      </c>
      <c r="E3471" t="s">
        <v>476</v>
      </c>
      <c r="F3471" t="str">
        <f t="shared" si="118"/>
        <v>44520000</v>
      </c>
      <c r="H3471" t="s">
        <v>477</v>
      </c>
      <c r="J3471" s="4">
        <v>54000</v>
      </c>
    </row>
    <row r="3472" spans="1:10" hidden="1" outlineLevel="2" x14ac:dyDescent="0.35">
      <c r="A3472" t="s">
        <v>354</v>
      </c>
      <c r="B3472" s="1">
        <v>45719</v>
      </c>
      <c r="C3472" t="str">
        <f>"526"</f>
        <v>526</v>
      </c>
      <c r="D3472" t="s">
        <v>478</v>
      </c>
      <c r="E3472" t="s">
        <v>479</v>
      </c>
      <c r="F3472" t="str">
        <f t="shared" si="118"/>
        <v>44520000</v>
      </c>
      <c r="H3472" t="s">
        <v>480</v>
      </c>
      <c r="J3472" s="4">
        <v>162000</v>
      </c>
    </row>
    <row r="3473" spans="1:10" hidden="1" outlineLevel="2" x14ac:dyDescent="0.35">
      <c r="A3473" t="s">
        <v>354</v>
      </c>
      <c r="B3473" s="1">
        <v>45719</v>
      </c>
      <c r="C3473" t="str">
        <f>"527"</f>
        <v>527</v>
      </c>
      <c r="D3473" t="s">
        <v>481</v>
      </c>
      <c r="E3473" t="s">
        <v>482</v>
      </c>
      <c r="F3473" t="str">
        <f t="shared" si="118"/>
        <v>44520000</v>
      </c>
      <c r="H3473" t="s">
        <v>483</v>
      </c>
      <c r="J3473" s="4">
        <v>432000</v>
      </c>
    </row>
    <row r="3474" spans="1:10" hidden="1" outlineLevel="2" x14ac:dyDescent="0.35">
      <c r="A3474" t="s">
        <v>354</v>
      </c>
      <c r="B3474" s="1">
        <v>45719</v>
      </c>
      <c r="C3474" t="str">
        <f>"528"</f>
        <v>528</v>
      </c>
      <c r="D3474" t="s">
        <v>484</v>
      </c>
      <c r="E3474" t="s">
        <v>485</v>
      </c>
      <c r="F3474" t="str">
        <f t="shared" si="118"/>
        <v>44520000</v>
      </c>
      <c r="H3474" t="s">
        <v>486</v>
      </c>
      <c r="J3474" s="4">
        <v>108000</v>
      </c>
    </row>
    <row r="3475" spans="1:10" hidden="1" outlineLevel="2" x14ac:dyDescent="0.35">
      <c r="A3475" t="s">
        <v>354</v>
      </c>
      <c r="B3475" s="1">
        <v>45719</v>
      </c>
      <c r="C3475" t="str">
        <f>"529"</f>
        <v>529</v>
      </c>
      <c r="D3475" t="s">
        <v>487</v>
      </c>
      <c r="E3475" t="s">
        <v>488</v>
      </c>
      <c r="F3475" t="str">
        <f t="shared" si="118"/>
        <v>44520000</v>
      </c>
      <c r="H3475" t="s">
        <v>489</v>
      </c>
      <c r="J3475" s="4">
        <v>183600</v>
      </c>
    </row>
    <row r="3476" spans="1:10" hidden="1" outlineLevel="2" x14ac:dyDescent="0.35">
      <c r="A3476" t="s">
        <v>354</v>
      </c>
      <c r="B3476" s="1">
        <v>45719</v>
      </c>
      <c r="C3476" t="str">
        <f>"530"</f>
        <v>530</v>
      </c>
      <c r="D3476" t="s">
        <v>490</v>
      </c>
      <c r="E3476" t="s">
        <v>491</v>
      </c>
      <c r="F3476" t="str">
        <f t="shared" si="118"/>
        <v>44520000</v>
      </c>
      <c r="H3476" t="s">
        <v>492</v>
      </c>
      <c r="J3476" s="4">
        <v>421200</v>
      </c>
    </row>
    <row r="3477" spans="1:10" hidden="1" outlineLevel="2" x14ac:dyDescent="0.35">
      <c r="A3477" t="s">
        <v>354</v>
      </c>
      <c r="B3477" s="1">
        <v>45719</v>
      </c>
      <c r="C3477" t="str">
        <f>"531"</f>
        <v>531</v>
      </c>
      <c r="D3477" t="s">
        <v>493</v>
      </c>
      <c r="E3477" t="s">
        <v>494</v>
      </c>
      <c r="F3477" t="str">
        <f t="shared" si="118"/>
        <v>44520000</v>
      </c>
      <c r="H3477" t="s">
        <v>495</v>
      </c>
      <c r="J3477" s="4">
        <v>579600</v>
      </c>
    </row>
    <row r="3478" spans="1:10" hidden="1" outlineLevel="2" x14ac:dyDescent="0.35">
      <c r="A3478" t="s">
        <v>354</v>
      </c>
      <c r="B3478" s="1">
        <v>45719</v>
      </c>
      <c r="C3478" t="str">
        <f>"532"</f>
        <v>532</v>
      </c>
      <c r="D3478" t="s">
        <v>496</v>
      </c>
      <c r="E3478" t="s">
        <v>497</v>
      </c>
      <c r="F3478" t="str">
        <f t="shared" si="118"/>
        <v>44520000</v>
      </c>
      <c r="H3478" t="s">
        <v>498</v>
      </c>
      <c r="J3478" s="4">
        <v>550800</v>
      </c>
    </row>
    <row r="3479" spans="1:10" hidden="1" outlineLevel="2" x14ac:dyDescent="0.35">
      <c r="A3479" t="s">
        <v>354</v>
      </c>
      <c r="B3479" s="1">
        <v>45719</v>
      </c>
      <c r="C3479" t="str">
        <f>"533"</f>
        <v>533</v>
      </c>
      <c r="D3479" t="s">
        <v>499</v>
      </c>
      <c r="E3479" t="s">
        <v>500</v>
      </c>
      <c r="F3479" t="str">
        <f t="shared" si="118"/>
        <v>44520000</v>
      </c>
      <c r="H3479" t="s">
        <v>501</v>
      </c>
      <c r="J3479" s="4">
        <v>313200</v>
      </c>
    </row>
    <row r="3480" spans="1:10" hidden="1" outlineLevel="2" x14ac:dyDescent="0.35">
      <c r="A3480" t="s">
        <v>354</v>
      </c>
      <c r="B3480" s="1">
        <v>45719</v>
      </c>
      <c r="C3480" t="str">
        <f>"534"</f>
        <v>534</v>
      </c>
      <c r="D3480" t="s">
        <v>502</v>
      </c>
      <c r="E3480" t="s">
        <v>503</v>
      </c>
      <c r="F3480" t="str">
        <f t="shared" si="118"/>
        <v>44520000</v>
      </c>
      <c r="H3480" t="s">
        <v>504</v>
      </c>
      <c r="J3480" s="4">
        <v>280800</v>
      </c>
    </row>
    <row r="3481" spans="1:10" hidden="1" outlineLevel="2" x14ac:dyDescent="0.35">
      <c r="A3481" t="s">
        <v>354</v>
      </c>
      <c r="B3481" s="1">
        <v>45719</v>
      </c>
      <c r="C3481" t="str">
        <f>"538"</f>
        <v>538</v>
      </c>
      <c r="D3481" t="s">
        <v>505</v>
      </c>
      <c r="E3481" t="str">
        <f>"0001818"</f>
        <v>0001818</v>
      </c>
      <c r="F3481" t="str">
        <f t="shared" si="118"/>
        <v>44520000</v>
      </c>
      <c r="H3481" t="s">
        <v>506</v>
      </c>
      <c r="J3481" s="4">
        <v>32760</v>
      </c>
    </row>
    <row r="3482" spans="1:10" hidden="1" outlineLevel="2" x14ac:dyDescent="0.35">
      <c r="A3482" t="s">
        <v>354</v>
      </c>
      <c r="B3482" s="1">
        <v>45719</v>
      </c>
      <c r="C3482" t="str">
        <f>"707"</f>
        <v>707</v>
      </c>
      <c r="D3482" t="s">
        <v>509</v>
      </c>
      <c r="E3482" t="s">
        <v>510</v>
      </c>
      <c r="F3482" t="str">
        <f t="shared" si="118"/>
        <v>44520000</v>
      </c>
      <c r="H3482" t="s">
        <v>511</v>
      </c>
      <c r="J3482" s="4">
        <v>49140</v>
      </c>
    </row>
    <row r="3483" spans="1:10" hidden="1" outlineLevel="2" x14ac:dyDescent="0.35">
      <c r="A3483" t="s">
        <v>354</v>
      </c>
      <c r="B3483" s="1">
        <v>45721</v>
      </c>
      <c r="C3483" t="str">
        <f>"560"</f>
        <v>560</v>
      </c>
      <c r="D3483" t="s">
        <v>516</v>
      </c>
      <c r="E3483" t="s">
        <v>517</v>
      </c>
      <c r="F3483" t="str">
        <f t="shared" si="118"/>
        <v>44520000</v>
      </c>
      <c r="H3483" t="s">
        <v>518</v>
      </c>
      <c r="J3483" s="4">
        <v>64350</v>
      </c>
    </row>
    <row r="3484" spans="1:10" hidden="1" outlineLevel="2" x14ac:dyDescent="0.35">
      <c r="A3484" t="s">
        <v>354</v>
      </c>
      <c r="B3484" s="1">
        <v>45721</v>
      </c>
      <c r="C3484" t="str">
        <f>"561"</f>
        <v>561</v>
      </c>
      <c r="D3484" t="s">
        <v>519</v>
      </c>
      <c r="E3484" t="s">
        <v>520</v>
      </c>
      <c r="F3484" t="str">
        <f t="shared" si="118"/>
        <v>44520000</v>
      </c>
      <c r="H3484" t="s">
        <v>521</v>
      </c>
      <c r="J3484" s="4">
        <v>2804</v>
      </c>
    </row>
    <row r="3485" spans="1:10" hidden="1" outlineLevel="2" x14ac:dyDescent="0.35">
      <c r="A3485" t="s">
        <v>354</v>
      </c>
      <c r="B3485" s="1">
        <v>45722</v>
      </c>
      <c r="C3485" t="str">
        <f>"535"</f>
        <v>535</v>
      </c>
      <c r="D3485" t="s">
        <v>538</v>
      </c>
      <c r="E3485" t="str">
        <f>"00001115"</f>
        <v>00001115</v>
      </c>
      <c r="F3485" t="str">
        <f t="shared" si="118"/>
        <v>44520000</v>
      </c>
      <c r="H3485" t="s">
        <v>539</v>
      </c>
      <c r="J3485" s="4">
        <v>3600</v>
      </c>
    </row>
    <row r="3486" spans="1:10" hidden="1" outlineLevel="2" x14ac:dyDescent="0.35">
      <c r="A3486" t="s">
        <v>354</v>
      </c>
      <c r="B3486" s="1">
        <v>45722</v>
      </c>
      <c r="C3486" t="str">
        <f>"536"</f>
        <v>536</v>
      </c>
      <c r="D3486" t="s">
        <v>540</v>
      </c>
      <c r="E3486" t="s">
        <v>541</v>
      </c>
      <c r="F3486" t="str">
        <f t="shared" si="118"/>
        <v>44520000</v>
      </c>
      <c r="H3486" t="s">
        <v>542</v>
      </c>
      <c r="J3486" s="4">
        <v>1274</v>
      </c>
    </row>
    <row r="3487" spans="1:10" hidden="1" outlineLevel="2" x14ac:dyDescent="0.35">
      <c r="A3487" t="s">
        <v>354</v>
      </c>
      <c r="B3487" s="1">
        <v>45722</v>
      </c>
      <c r="C3487" t="str">
        <f>"545"</f>
        <v>545</v>
      </c>
      <c r="D3487" t="s">
        <v>546</v>
      </c>
      <c r="E3487" t="s">
        <v>547</v>
      </c>
      <c r="F3487" t="str">
        <f t="shared" si="118"/>
        <v>44520000</v>
      </c>
      <c r="H3487" t="s">
        <v>548</v>
      </c>
      <c r="J3487" s="4">
        <v>10538</v>
      </c>
    </row>
    <row r="3488" spans="1:10" hidden="1" outlineLevel="2" x14ac:dyDescent="0.35">
      <c r="A3488" t="s">
        <v>354</v>
      </c>
      <c r="B3488" s="1">
        <v>45722</v>
      </c>
      <c r="C3488" t="str">
        <f>"546"</f>
        <v>546</v>
      </c>
      <c r="D3488" t="s">
        <v>549</v>
      </c>
      <c r="E3488" t="s">
        <v>550</v>
      </c>
      <c r="F3488" t="str">
        <f t="shared" si="118"/>
        <v>44520000</v>
      </c>
      <c r="H3488" t="s">
        <v>551</v>
      </c>
      <c r="J3488" s="4">
        <v>42889</v>
      </c>
    </row>
    <row r="3489" spans="1:10" hidden="1" outlineLevel="2" x14ac:dyDescent="0.35">
      <c r="A3489" t="s">
        <v>354</v>
      </c>
      <c r="B3489" s="1">
        <v>45722</v>
      </c>
      <c r="C3489" t="str">
        <f>"547"</f>
        <v>547</v>
      </c>
      <c r="D3489" t="s">
        <v>552</v>
      </c>
      <c r="E3489" t="s">
        <v>553</v>
      </c>
      <c r="F3489" t="str">
        <f t="shared" si="118"/>
        <v>44520000</v>
      </c>
      <c r="H3489" t="s">
        <v>554</v>
      </c>
      <c r="J3489" s="4">
        <v>10538</v>
      </c>
    </row>
    <row r="3490" spans="1:10" hidden="1" outlineLevel="2" x14ac:dyDescent="0.35">
      <c r="A3490" t="s">
        <v>354</v>
      </c>
      <c r="B3490" s="1">
        <v>45722</v>
      </c>
      <c r="C3490" t="str">
        <f>"548"</f>
        <v>548</v>
      </c>
      <c r="D3490" t="s">
        <v>555</v>
      </c>
      <c r="E3490" t="s">
        <v>556</v>
      </c>
      <c r="F3490" t="str">
        <f t="shared" si="118"/>
        <v>44520000</v>
      </c>
      <c r="H3490" t="s">
        <v>557</v>
      </c>
      <c r="J3490" s="4">
        <v>44583</v>
      </c>
    </row>
    <row r="3491" spans="1:10" hidden="1" outlineLevel="2" x14ac:dyDescent="0.35">
      <c r="A3491" t="s">
        <v>354</v>
      </c>
      <c r="B3491" s="1">
        <v>45722</v>
      </c>
      <c r="C3491" t="str">
        <f>"549"</f>
        <v>549</v>
      </c>
      <c r="D3491" t="s">
        <v>558</v>
      </c>
      <c r="E3491" t="s">
        <v>559</v>
      </c>
      <c r="F3491" t="str">
        <f t="shared" si="118"/>
        <v>44520000</v>
      </c>
      <c r="H3491" t="s">
        <v>560</v>
      </c>
      <c r="J3491" s="4">
        <v>66875</v>
      </c>
    </row>
    <row r="3492" spans="1:10" hidden="1" outlineLevel="2" x14ac:dyDescent="0.35">
      <c r="A3492" t="s">
        <v>354</v>
      </c>
      <c r="B3492" s="1">
        <v>45722</v>
      </c>
      <c r="C3492" t="str">
        <f>"550"</f>
        <v>550</v>
      </c>
      <c r="D3492" t="s">
        <v>561</v>
      </c>
      <c r="E3492" t="s">
        <v>562</v>
      </c>
      <c r="F3492" t="str">
        <f t="shared" si="118"/>
        <v>44520000</v>
      </c>
      <c r="H3492" t="s">
        <v>563</v>
      </c>
      <c r="J3492" s="4">
        <v>66875</v>
      </c>
    </row>
    <row r="3493" spans="1:10" hidden="1" outlineLevel="2" x14ac:dyDescent="0.35">
      <c r="A3493" t="s">
        <v>354</v>
      </c>
      <c r="B3493" s="1">
        <v>45722</v>
      </c>
      <c r="C3493" t="str">
        <f>"551"</f>
        <v>551</v>
      </c>
      <c r="D3493" t="s">
        <v>564</v>
      </c>
      <c r="E3493" t="s">
        <v>565</v>
      </c>
      <c r="F3493" t="str">
        <f t="shared" si="118"/>
        <v>44520000</v>
      </c>
      <c r="H3493" t="s">
        <v>566</v>
      </c>
      <c r="J3493" s="4">
        <v>71308</v>
      </c>
    </row>
    <row r="3494" spans="1:10" hidden="1" outlineLevel="2" x14ac:dyDescent="0.35">
      <c r="A3494" t="s">
        <v>354</v>
      </c>
      <c r="B3494" s="1">
        <v>45722</v>
      </c>
      <c r="C3494" t="str">
        <f>"552"</f>
        <v>552</v>
      </c>
      <c r="D3494" t="s">
        <v>567</v>
      </c>
      <c r="E3494" t="s">
        <v>568</v>
      </c>
      <c r="F3494" t="str">
        <f t="shared" si="118"/>
        <v>44520000</v>
      </c>
      <c r="H3494" t="s">
        <v>569</v>
      </c>
      <c r="J3494" s="4">
        <v>509580</v>
      </c>
    </row>
    <row r="3495" spans="1:10" hidden="1" outlineLevel="2" x14ac:dyDescent="0.35">
      <c r="A3495" t="s">
        <v>354</v>
      </c>
      <c r="B3495" s="1">
        <v>45722</v>
      </c>
      <c r="C3495" t="str">
        <f>"562"</f>
        <v>562</v>
      </c>
      <c r="D3495" t="s">
        <v>570</v>
      </c>
      <c r="E3495" t="s">
        <v>571</v>
      </c>
      <c r="F3495" t="str">
        <f t="shared" ref="F3495:F3526" si="119">"44520000"</f>
        <v>44520000</v>
      </c>
      <c r="H3495" t="s">
        <v>572</v>
      </c>
      <c r="J3495" s="4">
        <v>11538</v>
      </c>
    </row>
    <row r="3496" spans="1:10" hidden="1" outlineLevel="2" x14ac:dyDescent="0.35">
      <c r="A3496" t="s">
        <v>354</v>
      </c>
      <c r="B3496" s="1">
        <v>45722</v>
      </c>
      <c r="C3496" t="str">
        <f>"563"</f>
        <v>563</v>
      </c>
      <c r="D3496" t="s">
        <v>573</v>
      </c>
      <c r="E3496" t="s">
        <v>574</v>
      </c>
      <c r="F3496" t="str">
        <f t="shared" si="119"/>
        <v>44520000</v>
      </c>
      <c r="H3496" t="s">
        <v>575</v>
      </c>
      <c r="J3496" s="4">
        <v>13729</v>
      </c>
    </row>
    <row r="3497" spans="1:10" hidden="1" outlineLevel="2" x14ac:dyDescent="0.35">
      <c r="A3497" t="s">
        <v>354</v>
      </c>
      <c r="B3497" s="1">
        <v>45722</v>
      </c>
      <c r="C3497" t="str">
        <f>"565"</f>
        <v>565</v>
      </c>
      <c r="D3497" t="s">
        <v>576</v>
      </c>
      <c r="E3497" t="s">
        <v>577</v>
      </c>
      <c r="F3497" t="str">
        <f t="shared" si="119"/>
        <v>44520000</v>
      </c>
      <c r="H3497" t="s">
        <v>578</v>
      </c>
      <c r="J3497" s="4">
        <v>42260</v>
      </c>
    </row>
    <row r="3498" spans="1:10" hidden="1" outlineLevel="2" x14ac:dyDescent="0.35">
      <c r="A3498" t="s">
        <v>354</v>
      </c>
      <c r="B3498" s="1">
        <v>45722</v>
      </c>
      <c r="C3498" t="str">
        <f>"566"</f>
        <v>566</v>
      </c>
      <c r="D3498" t="s">
        <v>579</v>
      </c>
      <c r="E3498" t="s">
        <v>580</v>
      </c>
      <c r="F3498" t="str">
        <f t="shared" si="119"/>
        <v>44520000</v>
      </c>
      <c r="H3498" t="s">
        <v>581</v>
      </c>
      <c r="J3498" s="4">
        <v>1650</v>
      </c>
    </row>
    <row r="3499" spans="1:10" hidden="1" outlineLevel="2" x14ac:dyDescent="0.35">
      <c r="A3499" t="s">
        <v>354</v>
      </c>
      <c r="B3499" s="1">
        <v>45722</v>
      </c>
      <c r="C3499" t="str">
        <f>"567"</f>
        <v>567</v>
      </c>
      <c r="D3499" t="s">
        <v>582</v>
      </c>
      <c r="E3499" t="s">
        <v>583</v>
      </c>
      <c r="F3499" t="str">
        <f t="shared" si="119"/>
        <v>44520000</v>
      </c>
      <c r="H3499" t="s">
        <v>584</v>
      </c>
      <c r="J3499" s="4">
        <v>100093</v>
      </c>
    </row>
    <row r="3500" spans="1:10" hidden="1" outlineLevel="2" x14ac:dyDescent="0.35">
      <c r="A3500" t="s">
        <v>354</v>
      </c>
      <c r="B3500" s="1">
        <v>45722</v>
      </c>
      <c r="C3500" t="str">
        <f>"568"</f>
        <v>568</v>
      </c>
      <c r="D3500" t="s">
        <v>585</v>
      </c>
      <c r="E3500" t="s">
        <v>586</v>
      </c>
      <c r="F3500" t="str">
        <f t="shared" si="119"/>
        <v>44520000</v>
      </c>
      <c r="H3500" t="s">
        <v>587</v>
      </c>
      <c r="J3500" s="4">
        <v>20408</v>
      </c>
    </row>
    <row r="3501" spans="1:10" hidden="1" outlineLevel="2" x14ac:dyDescent="0.35">
      <c r="A3501" t="s">
        <v>354</v>
      </c>
      <c r="B3501" s="1">
        <v>45722</v>
      </c>
      <c r="C3501" t="str">
        <f>"569"</f>
        <v>569</v>
      </c>
      <c r="D3501" t="s">
        <v>588</v>
      </c>
      <c r="E3501" t="s">
        <v>589</v>
      </c>
      <c r="F3501" t="str">
        <f t="shared" si="119"/>
        <v>44520000</v>
      </c>
      <c r="H3501" t="s">
        <v>590</v>
      </c>
      <c r="J3501" s="4">
        <v>41152</v>
      </c>
    </row>
    <row r="3502" spans="1:10" hidden="1" outlineLevel="2" x14ac:dyDescent="0.35">
      <c r="A3502" t="s">
        <v>354</v>
      </c>
      <c r="B3502" s="1">
        <v>45722</v>
      </c>
      <c r="C3502" t="str">
        <f>"570"</f>
        <v>570</v>
      </c>
      <c r="D3502" t="s">
        <v>591</v>
      </c>
      <c r="E3502" t="s">
        <v>592</v>
      </c>
      <c r="F3502" t="str">
        <f t="shared" si="119"/>
        <v>44520000</v>
      </c>
      <c r="H3502" t="s">
        <v>593</v>
      </c>
      <c r="J3502" s="4">
        <v>6756</v>
      </c>
    </row>
    <row r="3503" spans="1:10" hidden="1" outlineLevel="2" x14ac:dyDescent="0.35">
      <c r="A3503" t="s">
        <v>354</v>
      </c>
      <c r="B3503" s="1">
        <v>45722</v>
      </c>
      <c r="C3503" t="str">
        <f>"571"</f>
        <v>571</v>
      </c>
      <c r="D3503" t="s">
        <v>594</v>
      </c>
      <c r="E3503" t="s">
        <v>595</v>
      </c>
      <c r="F3503" t="str">
        <f t="shared" si="119"/>
        <v>44520000</v>
      </c>
      <c r="H3503" t="s">
        <v>596</v>
      </c>
      <c r="J3503" s="4">
        <v>99763</v>
      </c>
    </row>
    <row r="3504" spans="1:10" hidden="1" outlineLevel="2" x14ac:dyDescent="0.35">
      <c r="A3504" t="s">
        <v>354</v>
      </c>
      <c r="B3504" s="1">
        <v>45722</v>
      </c>
      <c r="C3504" t="str">
        <f>"572"</f>
        <v>572</v>
      </c>
      <c r="D3504" t="s">
        <v>597</v>
      </c>
      <c r="E3504" t="s">
        <v>598</v>
      </c>
      <c r="F3504" t="str">
        <f t="shared" si="119"/>
        <v>44520000</v>
      </c>
      <c r="H3504" t="s">
        <v>599</v>
      </c>
      <c r="J3504" s="4">
        <v>22653</v>
      </c>
    </row>
    <row r="3505" spans="1:10" hidden="1" outlineLevel="2" x14ac:dyDescent="0.35">
      <c r="A3505" t="s">
        <v>354</v>
      </c>
      <c r="B3505" s="1">
        <v>45722</v>
      </c>
      <c r="C3505" t="str">
        <f>"573"</f>
        <v>573</v>
      </c>
      <c r="D3505" t="s">
        <v>600</v>
      </c>
      <c r="E3505" t="s">
        <v>601</v>
      </c>
      <c r="F3505" t="str">
        <f t="shared" si="119"/>
        <v>44520000</v>
      </c>
      <c r="H3505" t="s">
        <v>602</v>
      </c>
      <c r="J3505" s="4">
        <v>95734</v>
      </c>
    </row>
    <row r="3506" spans="1:10" hidden="1" outlineLevel="2" x14ac:dyDescent="0.35">
      <c r="A3506" t="s">
        <v>354</v>
      </c>
      <c r="B3506" s="1">
        <v>45722</v>
      </c>
      <c r="C3506" t="str">
        <f>"574"</f>
        <v>574</v>
      </c>
      <c r="D3506" t="s">
        <v>603</v>
      </c>
      <c r="E3506" t="s">
        <v>604</v>
      </c>
      <c r="F3506" t="str">
        <f t="shared" si="119"/>
        <v>44520000</v>
      </c>
      <c r="H3506" t="s">
        <v>605</v>
      </c>
      <c r="J3506" s="4">
        <v>3733</v>
      </c>
    </row>
    <row r="3507" spans="1:10" hidden="1" outlineLevel="2" x14ac:dyDescent="0.35">
      <c r="A3507" t="s">
        <v>354</v>
      </c>
      <c r="B3507" s="1">
        <v>45722</v>
      </c>
      <c r="C3507" t="str">
        <f>"575"</f>
        <v>575</v>
      </c>
      <c r="D3507" t="s">
        <v>606</v>
      </c>
      <c r="E3507" t="s">
        <v>607</v>
      </c>
      <c r="F3507" t="str">
        <f t="shared" si="119"/>
        <v>44520000</v>
      </c>
      <c r="H3507" t="s">
        <v>608</v>
      </c>
      <c r="J3507" s="4">
        <v>32573</v>
      </c>
    </row>
    <row r="3508" spans="1:10" hidden="1" outlineLevel="2" x14ac:dyDescent="0.35">
      <c r="A3508" t="s">
        <v>354</v>
      </c>
      <c r="B3508" s="1">
        <v>45722</v>
      </c>
      <c r="C3508" t="str">
        <f>"576"</f>
        <v>576</v>
      </c>
      <c r="D3508" t="s">
        <v>609</v>
      </c>
      <c r="E3508" t="s">
        <v>610</v>
      </c>
      <c r="F3508" t="str">
        <f t="shared" si="119"/>
        <v>44520000</v>
      </c>
      <c r="H3508" t="s">
        <v>611</v>
      </c>
      <c r="J3508" s="4">
        <v>2596</v>
      </c>
    </row>
    <row r="3509" spans="1:10" hidden="1" outlineLevel="2" x14ac:dyDescent="0.35">
      <c r="A3509" t="s">
        <v>354</v>
      </c>
      <c r="B3509" s="1">
        <v>45722</v>
      </c>
      <c r="C3509" t="str">
        <f>"577"</f>
        <v>577</v>
      </c>
      <c r="D3509" t="s">
        <v>612</v>
      </c>
      <c r="E3509" t="s">
        <v>613</v>
      </c>
      <c r="F3509" t="str">
        <f t="shared" si="119"/>
        <v>44520000</v>
      </c>
      <c r="H3509" t="s">
        <v>614</v>
      </c>
      <c r="J3509" s="4">
        <v>9734</v>
      </c>
    </row>
    <row r="3510" spans="1:10" hidden="1" outlineLevel="2" x14ac:dyDescent="0.35">
      <c r="A3510" t="s">
        <v>354</v>
      </c>
      <c r="B3510" s="1">
        <v>45722</v>
      </c>
      <c r="C3510" t="str">
        <f>"654"</f>
        <v>654</v>
      </c>
      <c r="D3510" t="s">
        <v>663</v>
      </c>
      <c r="E3510" t="s">
        <v>664</v>
      </c>
      <c r="F3510" t="str">
        <f t="shared" si="119"/>
        <v>44520000</v>
      </c>
      <c r="H3510" t="s">
        <v>665</v>
      </c>
      <c r="J3510" s="4">
        <v>2077</v>
      </c>
    </row>
    <row r="3511" spans="1:10" hidden="1" outlineLevel="2" x14ac:dyDescent="0.35">
      <c r="A3511" t="s">
        <v>354</v>
      </c>
      <c r="B3511" s="1">
        <v>45722</v>
      </c>
      <c r="C3511" t="str">
        <f>"655"</f>
        <v>655</v>
      </c>
      <c r="D3511" t="s">
        <v>666</v>
      </c>
      <c r="E3511" t="s">
        <v>667</v>
      </c>
      <c r="F3511" t="str">
        <f t="shared" si="119"/>
        <v>44520000</v>
      </c>
      <c r="H3511" t="s">
        <v>668</v>
      </c>
      <c r="J3511" s="4">
        <v>41152</v>
      </c>
    </row>
    <row r="3512" spans="1:10" hidden="1" outlineLevel="2" x14ac:dyDescent="0.35">
      <c r="A3512" t="s">
        <v>354</v>
      </c>
      <c r="B3512" s="1">
        <v>45722</v>
      </c>
      <c r="C3512" t="str">
        <f>"657"</f>
        <v>657</v>
      </c>
      <c r="D3512" t="s">
        <v>669</v>
      </c>
      <c r="E3512" t="s">
        <v>670</v>
      </c>
      <c r="F3512" t="str">
        <f t="shared" si="119"/>
        <v>44520000</v>
      </c>
      <c r="H3512" t="s">
        <v>671</v>
      </c>
      <c r="J3512" s="4">
        <v>33659</v>
      </c>
    </row>
    <row r="3513" spans="1:10" hidden="1" outlineLevel="2" x14ac:dyDescent="0.35">
      <c r="A3513" t="s">
        <v>354</v>
      </c>
      <c r="B3513" s="1">
        <v>45726</v>
      </c>
      <c r="C3513" t="str">
        <f>"537"</f>
        <v>537</v>
      </c>
      <c r="D3513" t="s">
        <v>672</v>
      </c>
      <c r="E3513" t="s">
        <v>673</v>
      </c>
      <c r="F3513" t="str">
        <f t="shared" si="119"/>
        <v>44520000</v>
      </c>
      <c r="H3513" t="s">
        <v>674</v>
      </c>
      <c r="J3513" s="4">
        <v>10238</v>
      </c>
    </row>
    <row r="3514" spans="1:10" hidden="1" outlineLevel="2" x14ac:dyDescent="0.35">
      <c r="A3514" t="s">
        <v>354</v>
      </c>
      <c r="B3514" s="1">
        <v>45726</v>
      </c>
      <c r="C3514" t="str">
        <f>"539"</f>
        <v>539</v>
      </c>
      <c r="D3514" t="s">
        <v>675</v>
      </c>
      <c r="E3514" t="s">
        <v>676</v>
      </c>
      <c r="F3514" t="str">
        <f t="shared" si="119"/>
        <v>44520000</v>
      </c>
      <c r="H3514" t="s">
        <v>677</v>
      </c>
      <c r="J3514" s="4">
        <v>40843</v>
      </c>
    </row>
    <row r="3515" spans="1:10" hidden="1" outlineLevel="2" x14ac:dyDescent="0.35">
      <c r="A3515" t="s">
        <v>354</v>
      </c>
      <c r="B3515" s="1">
        <v>45726</v>
      </c>
      <c r="C3515" t="str">
        <f>"554"</f>
        <v>554</v>
      </c>
      <c r="D3515" t="s">
        <v>686</v>
      </c>
      <c r="E3515" t="s">
        <v>687</v>
      </c>
      <c r="F3515" t="str">
        <f t="shared" si="119"/>
        <v>44520000</v>
      </c>
      <c r="H3515" t="s">
        <v>688</v>
      </c>
      <c r="J3515" s="4">
        <v>13455</v>
      </c>
    </row>
    <row r="3516" spans="1:10" hidden="1" outlineLevel="2" x14ac:dyDescent="0.35">
      <c r="A3516" t="s">
        <v>354</v>
      </c>
      <c r="B3516" s="1">
        <v>45726</v>
      </c>
      <c r="C3516" t="str">
        <f>"555"</f>
        <v>555</v>
      </c>
      <c r="D3516" t="s">
        <v>689</v>
      </c>
      <c r="E3516" t="s">
        <v>690</v>
      </c>
      <c r="F3516" t="str">
        <f t="shared" si="119"/>
        <v>44520000</v>
      </c>
      <c r="H3516" t="s">
        <v>691</v>
      </c>
      <c r="J3516" s="4">
        <v>88932</v>
      </c>
    </row>
    <row r="3517" spans="1:10" hidden="1" outlineLevel="2" x14ac:dyDescent="0.35">
      <c r="A3517" t="s">
        <v>354</v>
      </c>
      <c r="B3517" s="1">
        <v>45726</v>
      </c>
      <c r="C3517" t="str">
        <f>"556"</f>
        <v>556</v>
      </c>
      <c r="D3517" t="s">
        <v>692</v>
      </c>
      <c r="E3517" t="s">
        <v>693</v>
      </c>
      <c r="F3517" t="str">
        <f t="shared" si="119"/>
        <v>44520000</v>
      </c>
      <c r="H3517" t="s">
        <v>694</v>
      </c>
      <c r="J3517" s="4">
        <v>64350</v>
      </c>
    </row>
    <row r="3518" spans="1:10" hidden="1" outlineLevel="2" x14ac:dyDescent="0.35">
      <c r="A3518" t="s">
        <v>354</v>
      </c>
      <c r="B3518" s="1">
        <v>45726</v>
      </c>
      <c r="C3518" t="str">
        <f>"557"</f>
        <v>557</v>
      </c>
      <c r="D3518" t="s">
        <v>695</v>
      </c>
      <c r="E3518" t="s">
        <v>696</v>
      </c>
      <c r="F3518" t="str">
        <f t="shared" si="119"/>
        <v>44520000</v>
      </c>
      <c r="H3518" t="s">
        <v>697</v>
      </c>
      <c r="J3518" s="4">
        <v>6608</v>
      </c>
    </row>
    <row r="3519" spans="1:10" hidden="1" outlineLevel="2" x14ac:dyDescent="0.35">
      <c r="A3519" t="s">
        <v>354</v>
      </c>
      <c r="B3519" s="1">
        <v>45726</v>
      </c>
      <c r="C3519" t="str">
        <f>"558"</f>
        <v>558</v>
      </c>
      <c r="D3519" t="s">
        <v>698</v>
      </c>
      <c r="E3519" t="s">
        <v>699</v>
      </c>
      <c r="F3519" t="str">
        <f t="shared" si="119"/>
        <v>44520000</v>
      </c>
      <c r="H3519" t="s">
        <v>700</v>
      </c>
      <c r="J3519" s="4">
        <v>10303</v>
      </c>
    </row>
    <row r="3520" spans="1:10" hidden="1" outlineLevel="2" x14ac:dyDescent="0.35">
      <c r="A3520" t="s">
        <v>354</v>
      </c>
      <c r="B3520" s="1">
        <v>45726</v>
      </c>
      <c r="C3520" t="str">
        <f>"559"</f>
        <v>559</v>
      </c>
      <c r="D3520" t="s">
        <v>701</v>
      </c>
      <c r="E3520" t="s">
        <v>702</v>
      </c>
      <c r="F3520" t="str">
        <f t="shared" si="119"/>
        <v>44520000</v>
      </c>
      <c r="H3520" t="s">
        <v>703</v>
      </c>
      <c r="J3520" s="4">
        <v>5350</v>
      </c>
    </row>
    <row r="3521" spans="1:10" hidden="1" outlineLevel="2" x14ac:dyDescent="0.35">
      <c r="A3521" t="s">
        <v>354</v>
      </c>
      <c r="B3521" s="1">
        <v>45726</v>
      </c>
      <c r="C3521" t="str">
        <f>"564"</f>
        <v>564</v>
      </c>
      <c r="D3521" t="s">
        <v>704</v>
      </c>
      <c r="E3521" t="s">
        <v>705</v>
      </c>
      <c r="F3521" t="str">
        <f t="shared" si="119"/>
        <v>44520000</v>
      </c>
      <c r="H3521" t="s">
        <v>706</v>
      </c>
      <c r="J3521" s="4">
        <v>91260</v>
      </c>
    </row>
    <row r="3522" spans="1:10" hidden="1" outlineLevel="2" x14ac:dyDescent="0.35">
      <c r="A3522" t="s">
        <v>354</v>
      </c>
      <c r="B3522" s="1">
        <v>45726</v>
      </c>
      <c r="C3522" t="str">
        <f>"676"</f>
        <v>676</v>
      </c>
      <c r="D3522" t="s">
        <v>743</v>
      </c>
      <c r="E3522" t="s">
        <v>744</v>
      </c>
      <c r="F3522" t="str">
        <f t="shared" si="119"/>
        <v>44520000</v>
      </c>
      <c r="H3522" t="s">
        <v>745</v>
      </c>
      <c r="J3522" s="4">
        <v>37351</v>
      </c>
    </row>
    <row r="3523" spans="1:10" hidden="1" outlineLevel="2" x14ac:dyDescent="0.35">
      <c r="A3523" t="s">
        <v>354</v>
      </c>
      <c r="B3523" s="1">
        <v>45728</v>
      </c>
      <c r="C3523" t="str">
        <f>"658"</f>
        <v>658</v>
      </c>
      <c r="D3523" t="s">
        <v>748</v>
      </c>
      <c r="E3523" t="s">
        <v>749</v>
      </c>
      <c r="F3523" t="str">
        <f t="shared" si="119"/>
        <v>44520000</v>
      </c>
      <c r="H3523" t="s">
        <v>750</v>
      </c>
      <c r="J3523" s="4">
        <v>2610</v>
      </c>
    </row>
    <row r="3524" spans="1:10" hidden="1" outlineLevel="2" x14ac:dyDescent="0.35">
      <c r="A3524" t="s">
        <v>354</v>
      </c>
      <c r="B3524" s="1">
        <v>45728</v>
      </c>
      <c r="C3524" t="str">
        <f>"659"</f>
        <v>659</v>
      </c>
      <c r="D3524" t="s">
        <v>751</v>
      </c>
      <c r="E3524" t="s">
        <v>752</v>
      </c>
      <c r="F3524" t="str">
        <f t="shared" si="119"/>
        <v>44520000</v>
      </c>
      <c r="H3524" t="s">
        <v>753</v>
      </c>
      <c r="J3524" s="4">
        <v>22500</v>
      </c>
    </row>
    <row r="3525" spans="1:10" hidden="1" outlineLevel="2" x14ac:dyDescent="0.35">
      <c r="A3525" t="s">
        <v>354</v>
      </c>
      <c r="B3525" s="1">
        <v>45728</v>
      </c>
      <c r="C3525" t="str">
        <f>"660"</f>
        <v>660</v>
      </c>
      <c r="D3525" t="s">
        <v>754</v>
      </c>
      <c r="E3525" t="s">
        <v>755</v>
      </c>
      <c r="F3525" t="str">
        <f t="shared" si="119"/>
        <v>44520000</v>
      </c>
      <c r="H3525" t="s">
        <v>756</v>
      </c>
      <c r="J3525" s="4">
        <v>1296</v>
      </c>
    </row>
    <row r="3526" spans="1:10" hidden="1" outlineLevel="2" x14ac:dyDescent="0.35">
      <c r="A3526" t="s">
        <v>354</v>
      </c>
      <c r="B3526" s="1">
        <v>45728</v>
      </c>
      <c r="C3526" t="str">
        <f>"661"</f>
        <v>661</v>
      </c>
      <c r="D3526" t="s">
        <v>757</v>
      </c>
      <c r="E3526" t="s">
        <v>758</v>
      </c>
      <c r="F3526" t="str">
        <f t="shared" si="119"/>
        <v>44520000</v>
      </c>
      <c r="H3526" t="s">
        <v>759</v>
      </c>
      <c r="J3526" s="4">
        <v>26892</v>
      </c>
    </row>
    <row r="3527" spans="1:10" hidden="1" outlineLevel="2" x14ac:dyDescent="0.35">
      <c r="A3527" t="s">
        <v>354</v>
      </c>
      <c r="B3527" s="1">
        <v>45728</v>
      </c>
      <c r="C3527" t="str">
        <f>"662"</f>
        <v>662</v>
      </c>
      <c r="D3527" t="s">
        <v>760</v>
      </c>
      <c r="E3527" t="s">
        <v>761</v>
      </c>
      <c r="F3527" t="str">
        <f t="shared" ref="F3527:F3558" si="120">"44520000"</f>
        <v>44520000</v>
      </c>
      <c r="H3527" t="s">
        <v>762</v>
      </c>
      <c r="J3527" s="4">
        <v>32843</v>
      </c>
    </row>
    <row r="3528" spans="1:10" hidden="1" outlineLevel="2" x14ac:dyDescent="0.35">
      <c r="A3528" t="s">
        <v>354</v>
      </c>
      <c r="B3528" s="1">
        <v>45728</v>
      </c>
      <c r="C3528" t="str">
        <f>"807"</f>
        <v>807</v>
      </c>
      <c r="D3528" t="s">
        <v>763</v>
      </c>
      <c r="E3528" t="s">
        <v>764</v>
      </c>
      <c r="F3528" t="str">
        <f t="shared" si="120"/>
        <v>44520000</v>
      </c>
      <c r="H3528" t="s">
        <v>765</v>
      </c>
      <c r="J3528" s="4">
        <v>16200</v>
      </c>
    </row>
    <row r="3529" spans="1:10" hidden="1" outlineLevel="2" x14ac:dyDescent="0.35">
      <c r="A3529" t="s">
        <v>354</v>
      </c>
      <c r="B3529" s="1">
        <v>45730</v>
      </c>
      <c r="C3529" t="str">
        <f>"663"</f>
        <v>663</v>
      </c>
      <c r="D3529" t="s">
        <v>817</v>
      </c>
      <c r="E3529" t="s">
        <v>818</v>
      </c>
      <c r="F3529" t="str">
        <f t="shared" si="120"/>
        <v>44520000</v>
      </c>
      <c r="H3529" t="s">
        <v>819</v>
      </c>
      <c r="J3529" s="4">
        <v>73080</v>
      </c>
    </row>
    <row r="3530" spans="1:10" hidden="1" outlineLevel="2" x14ac:dyDescent="0.35">
      <c r="A3530" t="s">
        <v>354</v>
      </c>
      <c r="B3530" s="1">
        <v>45730</v>
      </c>
      <c r="C3530" t="str">
        <f>"664"</f>
        <v>664</v>
      </c>
      <c r="D3530" t="s">
        <v>820</v>
      </c>
      <c r="E3530" t="s">
        <v>821</v>
      </c>
      <c r="F3530" t="str">
        <f t="shared" si="120"/>
        <v>44520000</v>
      </c>
      <c r="H3530" t="s">
        <v>822</v>
      </c>
      <c r="J3530" s="4">
        <v>-28417</v>
      </c>
    </row>
    <row r="3531" spans="1:10" hidden="1" outlineLevel="2" x14ac:dyDescent="0.35">
      <c r="A3531" t="s">
        <v>354</v>
      </c>
      <c r="B3531" s="1">
        <v>45730</v>
      </c>
      <c r="C3531" t="str">
        <f>"665"</f>
        <v>665</v>
      </c>
      <c r="D3531" t="s">
        <v>823</v>
      </c>
      <c r="E3531" t="s">
        <v>824</v>
      </c>
      <c r="F3531" t="str">
        <f t="shared" si="120"/>
        <v>44520000</v>
      </c>
      <c r="H3531" t="s">
        <v>825</v>
      </c>
      <c r="J3531" s="4">
        <v>2048</v>
      </c>
    </row>
    <row r="3532" spans="1:10" hidden="1" outlineLevel="2" x14ac:dyDescent="0.35">
      <c r="A3532" t="s">
        <v>354</v>
      </c>
      <c r="B3532" s="1">
        <v>45733</v>
      </c>
      <c r="C3532" t="str">
        <f>"656"</f>
        <v>656</v>
      </c>
      <c r="D3532" t="s">
        <v>826</v>
      </c>
      <c r="E3532" t="s">
        <v>827</v>
      </c>
      <c r="F3532" t="str">
        <f t="shared" si="120"/>
        <v>44520000</v>
      </c>
      <c r="H3532" t="s">
        <v>828</v>
      </c>
      <c r="J3532" s="4">
        <v>19124</v>
      </c>
    </row>
    <row r="3533" spans="1:10" hidden="1" outlineLevel="2" x14ac:dyDescent="0.35">
      <c r="A3533" t="s">
        <v>354</v>
      </c>
      <c r="B3533" s="1">
        <v>45734</v>
      </c>
      <c r="C3533" t="str">
        <f>"691"</f>
        <v>691</v>
      </c>
      <c r="D3533" t="s">
        <v>829</v>
      </c>
      <c r="E3533" t="s">
        <v>830</v>
      </c>
      <c r="F3533" t="str">
        <f t="shared" si="120"/>
        <v>44520000</v>
      </c>
      <c r="H3533" t="s">
        <v>831</v>
      </c>
      <c r="J3533" s="4">
        <v>1174</v>
      </c>
    </row>
    <row r="3534" spans="1:10" hidden="1" outlineLevel="2" x14ac:dyDescent="0.35">
      <c r="A3534" t="s">
        <v>354</v>
      </c>
      <c r="B3534" s="1">
        <v>45734</v>
      </c>
      <c r="C3534" t="str">
        <f>"692"</f>
        <v>692</v>
      </c>
      <c r="D3534" t="s">
        <v>832</v>
      </c>
      <c r="E3534" t="s">
        <v>833</v>
      </c>
      <c r="F3534" t="str">
        <f t="shared" si="120"/>
        <v>44520000</v>
      </c>
      <c r="H3534" t="s">
        <v>834</v>
      </c>
      <c r="J3534" s="4">
        <v>5868</v>
      </c>
    </row>
    <row r="3535" spans="1:10" hidden="1" outlineLevel="2" x14ac:dyDescent="0.35">
      <c r="A3535" t="s">
        <v>354</v>
      </c>
      <c r="B3535" s="1">
        <v>45734</v>
      </c>
      <c r="C3535" t="str">
        <f>"693"</f>
        <v>693</v>
      </c>
      <c r="D3535" t="s">
        <v>835</v>
      </c>
      <c r="E3535" t="s">
        <v>836</v>
      </c>
      <c r="F3535" t="str">
        <f t="shared" si="120"/>
        <v>44520000</v>
      </c>
      <c r="H3535" t="s">
        <v>837</v>
      </c>
      <c r="J3535" s="4">
        <v>90961</v>
      </c>
    </row>
    <row r="3536" spans="1:10" hidden="1" outlineLevel="2" x14ac:dyDescent="0.35">
      <c r="A3536" t="s">
        <v>354</v>
      </c>
      <c r="B3536" s="1">
        <v>45734</v>
      </c>
      <c r="C3536" t="str">
        <f>"694"</f>
        <v>694</v>
      </c>
      <c r="D3536" t="s">
        <v>838</v>
      </c>
      <c r="E3536" t="s">
        <v>839</v>
      </c>
      <c r="F3536" t="str">
        <f t="shared" si="120"/>
        <v>44520000</v>
      </c>
      <c r="H3536" t="s">
        <v>840</v>
      </c>
      <c r="J3536" s="4">
        <v>19081</v>
      </c>
    </row>
    <row r="3537" spans="1:10" hidden="1" outlineLevel="2" x14ac:dyDescent="0.35">
      <c r="A3537" t="s">
        <v>354</v>
      </c>
      <c r="B3537" s="1">
        <v>45734</v>
      </c>
      <c r="C3537" t="str">
        <f>"695"</f>
        <v>695</v>
      </c>
      <c r="D3537" t="s">
        <v>841</v>
      </c>
      <c r="E3537" t="s">
        <v>842</v>
      </c>
      <c r="F3537" t="str">
        <f t="shared" si="120"/>
        <v>44520000</v>
      </c>
      <c r="H3537" t="s">
        <v>843</v>
      </c>
      <c r="J3537" s="4">
        <v>43290</v>
      </c>
    </row>
    <row r="3538" spans="1:10" hidden="1" outlineLevel="2" x14ac:dyDescent="0.35">
      <c r="A3538" t="s">
        <v>354</v>
      </c>
      <c r="B3538" s="1">
        <v>45734</v>
      </c>
      <c r="C3538" t="str">
        <f>"696"</f>
        <v>696</v>
      </c>
      <c r="D3538" t="s">
        <v>844</v>
      </c>
      <c r="E3538" t="s">
        <v>845</v>
      </c>
      <c r="F3538" t="str">
        <f t="shared" si="120"/>
        <v>44520000</v>
      </c>
      <c r="H3538" t="s">
        <v>846</v>
      </c>
      <c r="J3538" s="4">
        <v>25740</v>
      </c>
    </row>
    <row r="3539" spans="1:10" hidden="1" outlineLevel="2" x14ac:dyDescent="0.35">
      <c r="A3539" t="s">
        <v>354</v>
      </c>
      <c r="B3539" s="1">
        <v>45734</v>
      </c>
      <c r="C3539" t="str">
        <f>"699"</f>
        <v>699</v>
      </c>
      <c r="D3539" t="s">
        <v>847</v>
      </c>
      <c r="E3539" t="s">
        <v>848</v>
      </c>
      <c r="F3539" t="str">
        <f t="shared" si="120"/>
        <v>44520000</v>
      </c>
      <c r="H3539" t="s">
        <v>849</v>
      </c>
      <c r="J3539" s="4">
        <v>76284</v>
      </c>
    </row>
    <row r="3540" spans="1:10" hidden="1" outlineLevel="2" x14ac:dyDescent="0.35">
      <c r="A3540" t="s">
        <v>354</v>
      </c>
      <c r="B3540" s="1">
        <v>45734</v>
      </c>
      <c r="C3540" t="str">
        <f>"700"</f>
        <v>700</v>
      </c>
      <c r="D3540" t="s">
        <v>850</v>
      </c>
      <c r="E3540" t="s">
        <v>851</v>
      </c>
      <c r="F3540" t="str">
        <f t="shared" si="120"/>
        <v>44520000</v>
      </c>
      <c r="H3540" t="s">
        <v>852</v>
      </c>
      <c r="J3540" s="4">
        <v>3814</v>
      </c>
    </row>
    <row r="3541" spans="1:10" hidden="1" outlineLevel="2" x14ac:dyDescent="0.35">
      <c r="A3541" t="s">
        <v>354</v>
      </c>
      <c r="B3541" s="1">
        <v>45734</v>
      </c>
      <c r="C3541" t="str">
        <f>"701"</f>
        <v>701</v>
      </c>
      <c r="D3541" t="s">
        <v>853</v>
      </c>
      <c r="E3541" t="s">
        <v>854</v>
      </c>
      <c r="F3541" t="str">
        <f t="shared" si="120"/>
        <v>44520000</v>
      </c>
      <c r="H3541" t="s">
        <v>855</v>
      </c>
      <c r="J3541" s="4">
        <v>21600</v>
      </c>
    </row>
    <row r="3542" spans="1:10" hidden="1" outlineLevel="2" x14ac:dyDescent="0.35">
      <c r="A3542" t="s">
        <v>354</v>
      </c>
      <c r="B3542" s="1">
        <v>45734</v>
      </c>
      <c r="C3542" t="str">
        <f>"702"</f>
        <v>702</v>
      </c>
      <c r="D3542" t="s">
        <v>856</v>
      </c>
      <c r="E3542" t="s">
        <v>857</v>
      </c>
      <c r="F3542" t="str">
        <f t="shared" si="120"/>
        <v>44520000</v>
      </c>
      <c r="H3542" t="s">
        <v>858</v>
      </c>
      <c r="J3542" s="4">
        <v>5400</v>
      </c>
    </row>
    <row r="3543" spans="1:10" hidden="1" outlineLevel="2" x14ac:dyDescent="0.35">
      <c r="A3543" t="s">
        <v>354</v>
      </c>
      <c r="B3543" s="1">
        <v>45734</v>
      </c>
      <c r="C3543" t="str">
        <f>"725"</f>
        <v>725</v>
      </c>
      <c r="D3543" t="s">
        <v>859</v>
      </c>
      <c r="E3543" t="s">
        <v>860</v>
      </c>
      <c r="F3543" t="str">
        <f t="shared" si="120"/>
        <v>44520000</v>
      </c>
      <c r="H3543" t="s">
        <v>861</v>
      </c>
      <c r="J3543" s="4">
        <v>12600</v>
      </c>
    </row>
    <row r="3544" spans="1:10" hidden="1" outlineLevel="2" x14ac:dyDescent="0.35">
      <c r="A3544" t="s">
        <v>354</v>
      </c>
      <c r="B3544" s="1">
        <v>45734</v>
      </c>
      <c r="C3544" t="str">
        <f>"726"</f>
        <v>726</v>
      </c>
      <c r="D3544" t="s">
        <v>862</v>
      </c>
      <c r="E3544" t="s">
        <v>863</v>
      </c>
      <c r="F3544" t="str">
        <f t="shared" si="120"/>
        <v>44520000</v>
      </c>
      <c r="H3544" t="s">
        <v>864</v>
      </c>
      <c r="J3544" s="4">
        <v>8064</v>
      </c>
    </row>
    <row r="3545" spans="1:10" hidden="1" outlineLevel="2" x14ac:dyDescent="0.35">
      <c r="A3545" t="s">
        <v>354</v>
      </c>
      <c r="B3545" s="1">
        <v>45734</v>
      </c>
      <c r="C3545" t="str">
        <f>"727"</f>
        <v>727</v>
      </c>
      <c r="D3545" t="s">
        <v>865</v>
      </c>
      <c r="E3545" t="s">
        <v>866</v>
      </c>
      <c r="F3545" t="str">
        <f t="shared" si="120"/>
        <v>44520000</v>
      </c>
      <c r="H3545" t="s">
        <v>867</v>
      </c>
      <c r="J3545" s="4">
        <v>19429</v>
      </c>
    </row>
    <row r="3546" spans="1:10" hidden="1" outlineLevel="2" x14ac:dyDescent="0.35">
      <c r="A3546" t="s">
        <v>354</v>
      </c>
      <c r="B3546" s="1">
        <v>45734</v>
      </c>
      <c r="C3546" t="str">
        <f>"728"</f>
        <v>728</v>
      </c>
      <c r="D3546" t="s">
        <v>868</v>
      </c>
      <c r="E3546" t="s">
        <v>869</v>
      </c>
      <c r="F3546" t="str">
        <f t="shared" si="120"/>
        <v>44520000</v>
      </c>
      <c r="H3546" t="s">
        <v>870</v>
      </c>
      <c r="J3546" s="4">
        <v>6804</v>
      </c>
    </row>
    <row r="3547" spans="1:10" hidden="1" outlineLevel="2" x14ac:dyDescent="0.35">
      <c r="A3547" t="s">
        <v>354</v>
      </c>
      <c r="B3547" s="1">
        <v>45734</v>
      </c>
      <c r="C3547" t="str">
        <f>"729"</f>
        <v>729</v>
      </c>
      <c r="D3547" t="s">
        <v>871</v>
      </c>
      <c r="E3547" t="s">
        <v>872</v>
      </c>
      <c r="F3547" t="str">
        <f t="shared" si="120"/>
        <v>44520000</v>
      </c>
      <c r="H3547" t="s">
        <v>873</v>
      </c>
      <c r="J3547" s="4">
        <v>19163</v>
      </c>
    </row>
    <row r="3548" spans="1:10" hidden="1" outlineLevel="2" x14ac:dyDescent="0.35">
      <c r="A3548" t="s">
        <v>354</v>
      </c>
      <c r="B3548" s="1">
        <v>45734</v>
      </c>
      <c r="C3548" t="str">
        <f>"730"</f>
        <v>730</v>
      </c>
      <c r="D3548" t="s">
        <v>874</v>
      </c>
      <c r="E3548" t="s">
        <v>875</v>
      </c>
      <c r="F3548" t="str">
        <f t="shared" si="120"/>
        <v>44520000</v>
      </c>
      <c r="H3548" t="s">
        <v>876</v>
      </c>
      <c r="J3548" s="4">
        <v>29363</v>
      </c>
    </row>
    <row r="3549" spans="1:10" hidden="1" outlineLevel="2" x14ac:dyDescent="0.35">
      <c r="A3549" t="s">
        <v>354</v>
      </c>
      <c r="B3549" s="1">
        <v>45734</v>
      </c>
      <c r="C3549" t="str">
        <f>"731"</f>
        <v>731</v>
      </c>
      <c r="D3549" t="s">
        <v>877</v>
      </c>
      <c r="E3549" t="s">
        <v>878</v>
      </c>
      <c r="F3549" t="str">
        <f t="shared" si="120"/>
        <v>44520000</v>
      </c>
      <c r="H3549" t="s">
        <v>879</v>
      </c>
      <c r="J3549" s="4">
        <v>15513</v>
      </c>
    </row>
    <row r="3550" spans="1:10" hidden="1" outlineLevel="2" x14ac:dyDescent="0.35">
      <c r="A3550" t="s">
        <v>354</v>
      </c>
      <c r="B3550" s="1">
        <v>45734</v>
      </c>
      <c r="C3550" t="str">
        <f>"732"</f>
        <v>732</v>
      </c>
      <c r="D3550" t="s">
        <v>880</v>
      </c>
      <c r="E3550" t="s">
        <v>881</v>
      </c>
      <c r="F3550" t="str">
        <f t="shared" si="120"/>
        <v>44520000</v>
      </c>
      <c r="H3550" t="s">
        <v>882</v>
      </c>
      <c r="J3550" s="4">
        <v>19987</v>
      </c>
    </row>
    <row r="3551" spans="1:10" hidden="1" outlineLevel="2" x14ac:dyDescent="0.35">
      <c r="A3551" t="s">
        <v>354</v>
      </c>
      <c r="B3551" s="1">
        <v>45734</v>
      </c>
      <c r="C3551" t="str">
        <f>"733"</f>
        <v>733</v>
      </c>
      <c r="D3551" t="s">
        <v>883</v>
      </c>
      <c r="E3551" t="s">
        <v>884</v>
      </c>
      <c r="F3551" t="str">
        <f t="shared" si="120"/>
        <v>44520000</v>
      </c>
      <c r="H3551" t="s">
        <v>885</v>
      </c>
      <c r="J3551" s="4">
        <v>7434</v>
      </c>
    </row>
    <row r="3552" spans="1:10" hidden="1" outlineLevel="2" x14ac:dyDescent="0.35">
      <c r="A3552" t="s">
        <v>354</v>
      </c>
      <c r="B3552" s="1">
        <v>45734</v>
      </c>
      <c r="C3552" t="str">
        <f>"734"</f>
        <v>734</v>
      </c>
      <c r="D3552" t="s">
        <v>886</v>
      </c>
      <c r="E3552" t="s">
        <v>887</v>
      </c>
      <c r="F3552" t="str">
        <f t="shared" si="120"/>
        <v>44520000</v>
      </c>
      <c r="H3552" t="s">
        <v>888</v>
      </c>
      <c r="J3552" s="4">
        <v>12600</v>
      </c>
    </row>
    <row r="3553" spans="1:10" hidden="1" outlineLevel="2" x14ac:dyDescent="0.35">
      <c r="A3553" t="s">
        <v>354</v>
      </c>
      <c r="B3553" s="1">
        <v>45734</v>
      </c>
      <c r="C3553" t="str">
        <f>"735"</f>
        <v>735</v>
      </c>
      <c r="D3553" t="s">
        <v>889</v>
      </c>
      <c r="E3553" t="s">
        <v>890</v>
      </c>
      <c r="F3553" t="str">
        <f t="shared" si="120"/>
        <v>44520000</v>
      </c>
      <c r="H3553" t="s">
        <v>891</v>
      </c>
      <c r="J3553" s="4">
        <v>6517</v>
      </c>
    </row>
    <row r="3554" spans="1:10" hidden="1" outlineLevel="2" x14ac:dyDescent="0.35">
      <c r="A3554" t="s">
        <v>354</v>
      </c>
      <c r="B3554" s="1">
        <v>45734</v>
      </c>
      <c r="C3554" t="str">
        <f>"736"</f>
        <v>736</v>
      </c>
      <c r="D3554" t="s">
        <v>892</v>
      </c>
      <c r="E3554" t="s">
        <v>893</v>
      </c>
      <c r="F3554" t="str">
        <f t="shared" si="120"/>
        <v>44520000</v>
      </c>
      <c r="H3554" t="s">
        <v>894</v>
      </c>
      <c r="J3554" s="4">
        <v>19163</v>
      </c>
    </row>
    <row r="3555" spans="1:10" hidden="1" outlineLevel="2" x14ac:dyDescent="0.35">
      <c r="A3555" t="s">
        <v>354</v>
      </c>
      <c r="B3555" s="1">
        <v>45734</v>
      </c>
      <c r="C3555" t="str">
        <f>"737"</f>
        <v>737</v>
      </c>
      <c r="D3555" t="s">
        <v>895</v>
      </c>
      <c r="E3555" t="s">
        <v>896</v>
      </c>
      <c r="F3555" t="str">
        <f t="shared" si="120"/>
        <v>44520000</v>
      </c>
      <c r="H3555" t="s">
        <v>897</v>
      </c>
      <c r="J3555" s="4">
        <v>12222</v>
      </c>
    </row>
    <row r="3556" spans="1:10" hidden="1" outlineLevel="2" x14ac:dyDescent="0.35">
      <c r="A3556" t="s">
        <v>354</v>
      </c>
      <c r="B3556" s="1">
        <v>45734</v>
      </c>
      <c r="C3556" t="str">
        <f>"738"</f>
        <v>738</v>
      </c>
      <c r="D3556" t="s">
        <v>898</v>
      </c>
      <c r="E3556" t="s">
        <v>899</v>
      </c>
      <c r="F3556" t="str">
        <f t="shared" si="120"/>
        <v>44520000</v>
      </c>
      <c r="H3556" t="s">
        <v>900</v>
      </c>
      <c r="J3556" s="4">
        <v>13608</v>
      </c>
    </row>
    <row r="3557" spans="1:10" hidden="1" outlineLevel="2" x14ac:dyDescent="0.35">
      <c r="A3557" t="s">
        <v>354</v>
      </c>
      <c r="B3557" s="1">
        <v>45734</v>
      </c>
      <c r="C3557" t="str">
        <f>"740"</f>
        <v>740</v>
      </c>
      <c r="D3557" t="s">
        <v>901</v>
      </c>
      <c r="E3557" t="s">
        <v>902</v>
      </c>
      <c r="F3557" t="str">
        <f t="shared" si="120"/>
        <v>44520000</v>
      </c>
      <c r="H3557" t="s">
        <v>903</v>
      </c>
      <c r="J3557" s="4">
        <v>13608</v>
      </c>
    </row>
    <row r="3558" spans="1:10" hidden="1" outlineLevel="2" x14ac:dyDescent="0.35">
      <c r="A3558" t="s">
        <v>354</v>
      </c>
      <c r="B3558" s="1">
        <v>45734</v>
      </c>
      <c r="C3558" t="str">
        <f>"741"</f>
        <v>741</v>
      </c>
      <c r="D3558" t="s">
        <v>904</v>
      </c>
      <c r="E3558" t="s">
        <v>905</v>
      </c>
      <c r="F3558" t="str">
        <f t="shared" si="120"/>
        <v>44520000</v>
      </c>
      <c r="H3558" t="s">
        <v>906</v>
      </c>
      <c r="J3558" s="4">
        <v>9032</v>
      </c>
    </row>
    <row r="3559" spans="1:10" hidden="1" outlineLevel="2" x14ac:dyDescent="0.35">
      <c r="A3559" t="s">
        <v>354</v>
      </c>
      <c r="B3559" s="1">
        <v>45735</v>
      </c>
      <c r="C3559" t="str">
        <f>"671"</f>
        <v>671</v>
      </c>
      <c r="D3559" t="s">
        <v>907</v>
      </c>
      <c r="E3559" t="str">
        <f>"0005575"</f>
        <v>0005575</v>
      </c>
      <c r="F3559" t="str">
        <f t="shared" ref="F3559:F3590" si="121">"44520000"</f>
        <v>44520000</v>
      </c>
      <c r="H3559" t="s">
        <v>908</v>
      </c>
      <c r="J3559" s="4">
        <v>64800</v>
      </c>
    </row>
    <row r="3560" spans="1:10" hidden="1" outlineLevel="2" x14ac:dyDescent="0.35">
      <c r="A3560" t="s">
        <v>354</v>
      </c>
      <c r="B3560" s="1">
        <v>45736</v>
      </c>
      <c r="C3560" t="str">
        <f>"667"</f>
        <v>667</v>
      </c>
      <c r="D3560" t="s">
        <v>917</v>
      </c>
      <c r="E3560" t="s">
        <v>918</v>
      </c>
      <c r="F3560" t="str">
        <f t="shared" si="121"/>
        <v>44520000</v>
      </c>
      <c r="H3560" t="s">
        <v>919</v>
      </c>
      <c r="J3560" s="4">
        <v>8009</v>
      </c>
    </row>
    <row r="3561" spans="1:10" hidden="1" outlineLevel="2" x14ac:dyDescent="0.35">
      <c r="A3561" t="s">
        <v>354</v>
      </c>
      <c r="B3561" s="1">
        <v>45736</v>
      </c>
      <c r="C3561" t="str">
        <f>"678"</f>
        <v>678</v>
      </c>
      <c r="D3561" t="s">
        <v>924</v>
      </c>
      <c r="E3561" t="s">
        <v>925</v>
      </c>
      <c r="F3561" t="str">
        <f t="shared" si="121"/>
        <v>44520000</v>
      </c>
      <c r="H3561" t="s">
        <v>926</v>
      </c>
      <c r="J3561" s="4">
        <v>9491</v>
      </c>
    </row>
    <row r="3562" spans="1:10" hidden="1" outlineLevel="2" x14ac:dyDescent="0.35">
      <c r="A3562" t="s">
        <v>354</v>
      </c>
      <c r="B3562" s="1">
        <v>45736</v>
      </c>
      <c r="C3562" t="str">
        <f>"679"</f>
        <v>679</v>
      </c>
      <c r="D3562" t="s">
        <v>927</v>
      </c>
      <c r="E3562" t="s">
        <v>928</v>
      </c>
      <c r="F3562" t="str">
        <f t="shared" si="121"/>
        <v>44520000</v>
      </c>
      <c r="H3562" t="s">
        <v>929</v>
      </c>
      <c r="J3562" s="4">
        <v>13875</v>
      </c>
    </row>
    <row r="3563" spans="1:10" hidden="1" outlineLevel="2" x14ac:dyDescent="0.35">
      <c r="A3563" t="s">
        <v>354</v>
      </c>
      <c r="B3563" s="1">
        <v>45736</v>
      </c>
      <c r="C3563" t="str">
        <f>"680"</f>
        <v>680</v>
      </c>
      <c r="D3563" t="s">
        <v>930</v>
      </c>
      <c r="E3563" t="s">
        <v>931</v>
      </c>
      <c r="F3563" t="str">
        <f t="shared" si="121"/>
        <v>44520000</v>
      </c>
      <c r="H3563" t="s">
        <v>932</v>
      </c>
      <c r="J3563" s="4">
        <v>5751</v>
      </c>
    </row>
    <row r="3564" spans="1:10" hidden="1" outlineLevel="2" x14ac:dyDescent="0.35">
      <c r="A3564" t="s">
        <v>354</v>
      </c>
      <c r="B3564" s="1">
        <v>45736</v>
      </c>
      <c r="C3564" t="str">
        <f>"681"</f>
        <v>681</v>
      </c>
      <c r="D3564" t="s">
        <v>933</v>
      </c>
      <c r="E3564" t="str">
        <f>"0001888"</f>
        <v>0001888</v>
      </c>
      <c r="F3564" t="str">
        <f t="shared" si="121"/>
        <v>44520000</v>
      </c>
      <c r="H3564" t="s">
        <v>934</v>
      </c>
      <c r="J3564" s="4">
        <v>7308</v>
      </c>
    </row>
    <row r="3565" spans="1:10" hidden="1" outlineLevel="2" x14ac:dyDescent="0.35">
      <c r="A3565" t="s">
        <v>354</v>
      </c>
      <c r="B3565" s="1">
        <v>45737</v>
      </c>
      <c r="C3565" t="str">
        <f>"739"</f>
        <v>739</v>
      </c>
      <c r="D3565" t="s">
        <v>939</v>
      </c>
      <c r="E3565" t="s">
        <v>940</v>
      </c>
      <c r="F3565" t="str">
        <f t="shared" si="121"/>
        <v>44520000</v>
      </c>
      <c r="H3565" t="s">
        <v>941</v>
      </c>
      <c r="J3565" s="4">
        <v>57600</v>
      </c>
    </row>
    <row r="3566" spans="1:10" hidden="1" outlineLevel="2" x14ac:dyDescent="0.35">
      <c r="A3566" t="s">
        <v>354</v>
      </c>
      <c r="B3566" s="1">
        <v>45737</v>
      </c>
      <c r="C3566" t="str">
        <f>"742"</f>
        <v>742</v>
      </c>
      <c r="D3566" t="s">
        <v>942</v>
      </c>
      <c r="E3566" t="s">
        <v>943</v>
      </c>
      <c r="F3566" t="str">
        <f t="shared" si="121"/>
        <v>44520000</v>
      </c>
      <c r="H3566" t="s">
        <v>944</v>
      </c>
      <c r="J3566" s="4">
        <v>6300</v>
      </c>
    </row>
    <row r="3567" spans="1:10" hidden="1" outlineLevel="2" x14ac:dyDescent="0.35">
      <c r="A3567" t="s">
        <v>354</v>
      </c>
      <c r="B3567" s="1">
        <v>45737</v>
      </c>
      <c r="C3567" t="str">
        <f>"743"</f>
        <v>743</v>
      </c>
      <c r="D3567" t="s">
        <v>945</v>
      </c>
      <c r="E3567" t="s">
        <v>946</v>
      </c>
      <c r="F3567" t="str">
        <f t="shared" si="121"/>
        <v>44520000</v>
      </c>
      <c r="H3567" t="s">
        <v>947</v>
      </c>
      <c r="J3567" s="4">
        <v>9032</v>
      </c>
    </row>
    <row r="3568" spans="1:10" hidden="1" outlineLevel="2" x14ac:dyDescent="0.35">
      <c r="A3568" t="s">
        <v>354</v>
      </c>
      <c r="B3568" s="1">
        <v>45737</v>
      </c>
      <c r="C3568" t="str">
        <f>"744"</f>
        <v>744</v>
      </c>
      <c r="D3568" t="s">
        <v>948</v>
      </c>
      <c r="E3568" t="s">
        <v>949</v>
      </c>
      <c r="F3568" t="str">
        <f t="shared" si="121"/>
        <v>44520000</v>
      </c>
      <c r="H3568" t="s">
        <v>950</v>
      </c>
      <c r="J3568" s="4">
        <v>3670</v>
      </c>
    </row>
    <row r="3569" spans="1:10" hidden="1" outlineLevel="2" x14ac:dyDescent="0.35">
      <c r="A3569" t="s">
        <v>354</v>
      </c>
      <c r="B3569" s="1">
        <v>45737</v>
      </c>
      <c r="C3569" t="str">
        <f>"745"</f>
        <v>745</v>
      </c>
      <c r="D3569" t="s">
        <v>951</v>
      </c>
      <c r="E3569" t="s">
        <v>952</v>
      </c>
      <c r="F3569" t="str">
        <f t="shared" si="121"/>
        <v>44520000</v>
      </c>
      <c r="H3569" t="s">
        <v>953</v>
      </c>
      <c r="J3569" s="4">
        <v>22022</v>
      </c>
    </row>
    <row r="3570" spans="1:10" hidden="1" outlineLevel="2" x14ac:dyDescent="0.35">
      <c r="A3570" t="s">
        <v>354</v>
      </c>
      <c r="B3570" s="1">
        <v>45737</v>
      </c>
      <c r="C3570" t="str">
        <f>"746"</f>
        <v>746</v>
      </c>
      <c r="D3570" t="s">
        <v>954</v>
      </c>
      <c r="E3570" t="s">
        <v>955</v>
      </c>
      <c r="F3570" t="str">
        <f t="shared" si="121"/>
        <v>44520000</v>
      </c>
      <c r="H3570" t="s">
        <v>956</v>
      </c>
      <c r="J3570" s="4">
        <v>17798</v>
      </c>
    </row>
    <row r="3571" spans="1:10" hidden="1" outlineLevel="2" x14ac:dyDescent="0.35">
      <c r="A3571" t="s">
        <v>354</v>
      </c>
      <c r="B3571" s="1">
        <v>45737</v>
      </c>
      <c r="C3571" t="str">
        <f>"747"</f>
        <v>747</v>
      </c>
      <c r="D3571" t="s">
        <v>957</v>
      </c>
      <c r="E3571" t="s">
        <v>958</v>
      </c>
      <c r="F3571" t="str">
        <f t="shared" si="121"/>
        <v>44520000</v>
      </c>
      <c r="H3571" t="s">
        <v>959</v>
      </c>
      <c r="J3571" s="4">
        <v>26145</v>
      </c>
    </row>
    <row r="3572" spans="1:10" hidden="1" outlineLevel="2" x14ac:dyDescent="0.35">
      <c r="A3572" t="s">
        <v>354</v>
      </c>
      <c r="B3572" s="1">
        <v>45737</v>
      </c>
      <c r="C3572" t="str">
        <f>"748"</f>
        <v>748</v>
      </c>
      <c r="D3572" t="s">
        <v>960</v>
      </c>
      <c r="E3572" t="s">
        <v>961</v>
      </c>
      <c r="F3572" t="str">
        <f t="shared" si="121"/>
        <v>44520000</v>
      </c>
      <c r="H3572" t="s">
        <v>962</v>
      </c>
      <c r="J3572" s="4">
        <v>14682</v>
      </c>
    </row>
    <row r="3573" spans="1:10" hidden="1" outlineLevel="2" x14ac:dyDescent="0.35">
      <c r="A3573" t="s">
        <v>354</v>
      </c>
      <c r="B3573" s="1">
        <v>45737</v>
      </c>
      <c r="C3573" t="str">
        <f>"749"</f>
        <v>749</v>
      </c>
      <c r="D3573" t="s">
        <v>963</v>
      </c>
      <c r="E3573" t="s">
        <v>964</v>
      </c>
      <c r="F3573" t="str">
        <f t="shared" si="121"/>
        <v>44520000</v>
      </c>
      <c r="H3573" t="s">
        <v>965</v>
      </c>
      <c r="J3573" s="4">
        <v>6300</v>
      </c>
    </row>
    <row r="3574" spans="1:10" hidden="1" outlineLevel="2" x14ac:dyDescent="0.35">
      <c r="A3574" t="s">
        <v>354</v>
      </c>
      <c r="B3574" s="1">
        <v>45737</v>
      </c>
      <c r="C3574" t="str">
        <f>"750"</f>
        <v>750</v>
      </c>
      <c r="D3574" t="s">
        <v>966</v>
      </c>
      <c r="E3574" t="s">
        <v>967</v>
      </c>
      <c r="F3574" t="str">
        <f t="shared" si="121"/>
        <v>44520000</v>
      </c>
      <c r="H3574" t="s">
        <v>968</v>
      </c>
      <c r="J3574" s="4">
        <v>16200</v>
      </c>
    </row>
    <row r="3575" spans="1:10" hidden="1" outlineLevel="2" x14ac:dyDescent="0.35">
      <c r="A3575" t="s">
        <v>354</v>
      </c>
      <c r="B3575" s="1">
        <v>45740</v>
      </c>
      <c r="C3575" t="str">
        <f>"669"</f>
        <v>669</v>
      </c>
      <c r="D3575" t="s">
        <v>973</v>
      </c>
      <c r="E3575" t="str">
        <f>"27"</f>
        <v>27</v>
      </c>
      <c r="F3575" t="str">
        <f t="shared" si="121"/>
        <v>44520000</v>
      </c>
      <c r="H3575" t="s">
        <v>974</v>
      </c>
      <c r="J3575" s="4">
        <v>162540</v>
      </c>
    </row>
    <row r="3576" spans="1:10" hidden="1" outlineLevel="2" x14ac:dyDescent="0.35">
      <c r="A3576" t="s">
        <v>354</v>
      </c>
      <c r="B3576" s="1">
        <v>45740</v>
      </c>
      <c r="C3576" t="str">
        <f>"672"</f>
        <v>672</v>
      </c>
      <c r="D3576" t="s">
        <v>975</v>
      </c>
      <c r="E3576" t="str">
        <f>"0000338"</f>
        <v>0000338</v>
      </c>
      <c r="F3576" t="str">
        <f t="shared" si="121"/>
        <v>44520000</v>
      </c>
      <c r="H3576" t="s">
        <v>976</v>
      </c>
      <c r="J3576" s="4">
        <v>121500</v>
      </c>
    </row>
    <row r="3577" spans="1:10" hidden="1" outlineLevel="2" x14ac:dyDescent="0.35">
      <c r="A3577" t="s">
        <v>354</v>
      </c>
      <c r="B3577" s="1">
        <v>45740</v>
      </c>
      <c r="C3577" t="str">
        <f>"673"</f>
        <v>673</v>
      </c>
      <c r="D3577" t="s">
        <v>977</v>
      </c>
      <c r="E3577" t="str">
        <f>"0000339"</f>
        <v>0000339</v>
      </c>
      <c r="F3577" t="str">
        <f t="shared" si="121"/>
        <v>44520000</v>
      </c>
      <c r="H3577" t="s">
        <v>978</v>
      </c>
      <c r="J3577" s="4">
        <v>114660</v>
      </c>
    </row>
    <row r="3578" spans="1:10" hidden="1" outlineLevel="2" x14ac:dyDescent="0.35">
      <c r="A3578" t="s">
        <v>354</v>
      </c>
      <c r="B3578" s="1">
        <v>45740</v>
      </c>
      <c r="C3578" t="str">
        <f>"682"</f>
        <v>682</v>
      </c>
      <c r="D3578" t="s">
        <v>979</v>
      </c>
      <c r="E3578" t="str">
        <f>"0001909"</f>
        <v>0001909</v>
      </c>
      <c r="F3578" t="str">
        <f t="shared" si="121"/>
        <v>44520000</v>
      </c>
      <c r="H3578" t="s">
        <v>980</v>
      </c>
      <c r="J3578" s="4">
        <v>10584</v>
      </c>
    </row>
    <row r="3579" spans="1:10" hidden="1" outlineLevel="2" x14ac:dyDescent="0.35">
      <c r="A3579" t="s">
        <v>354</v>
      </c>
      <c r="B3579" s="1">
        <v>45740</v>
      </c>
      <c r="C3579" t="str">
        <f>"683"</f>
        <v>683</v>
      </c>
      <c r="D3579" t="s">
        <v>981</v>
      </c>
      <c r="E3579" t="str">
        <f>"0001910"</f>
        <v>0001910</v>
      </c>
      <c r="F3579" t="str">
        <f t="shared" si="121"/>
        <v>44520000</v>
      </c>
      <c r="H3579" t="s">
        <v>982</v>
      </c>
      <c r="J3579" s="4">
        <v>15120</v>
      </c>
    </row>
    <row r="3580" spans="1:10" hidden="1" outlineLevel="2" x14ac:dyDescent="0.35">
      <c r="A3580" t="s">
        <v>354</v>
      </c>
      <c r="B3580" s="1">
        <v>45740</v>
      </c>
      <c r="C3580" t="str">
        <f>"685"</f>
        <v>685</v>
      </c>
      <c r="D3580" t="s">
        <v>983</v>
      </c>
      <c r="E3580" t="s">
        <v>984</v>
      </c>
      <c r="F3580" t="str">
        <f t="shared" si="121"/>
        <v>44520000</v>
      </c>
      <c r="H3580" t="s">
        <v>985</v>
      </c>
      <c r="J3580" s="4">
        <v>19997</v>
      </c>
    </row>
    <row r="3581" spans="1:10" hidden="1" outlineLevel="2" x14ac:dyDescent="0.35">
      <c r="A3581" t="s">
        <v>354</v>
      </c>
      <c r="B3581" s="1">
        <v>45740</v>
      </c>
      <c r="C3581" t="str">
        <f>"686"</f>
        <v>686</v>
      </c>
      <c r="D3581" t="s">
        <v>986</v>
      </c>
      <c r="E3581" t="s">
        <v>987</v>
      </c>
      <c r="F3581" t="str">
        <f t="shared" si="121"/>
        <v>44520000</v>
      </c>
      <c r="H3581" t="s">
        <v>988</v>
      </c>
      <c r="J3581" s="4">
        <v>54794</v>
      </c>
    </row>
    <row r="3582" spans="1:10" hidden="1" outlineLevel="2" x14ac:dyDescent="0.35">
      <c r="A3582" t="s">
        <v>354</v>
      </c>
      <c r="B3582" s="1">
        <v>45740</v>
      </c>
      <c r="C3582" t="str">
        <f>"687"</f>
        <v>687</v>
      </c>
      <c r="D3582" t="s">
        <v>989</v>
      </c>
      <c r="E3582" t="s">
        <v>990</v>
      </c>
      <c r="F3582" t="str">
        <f t="shared" si="121"/>
        <v>44520000</v>
      </c>
      <c r="H3582" t="s">
        <v>991</v>
      </c>
      <c r="J3582" s="4">
        <v>9320</v>
      </c>
    </row>
    <row r="3583" spans="1:10" hidden="1" outlineLevel="2" x14ac:dyDescent="0.35">
      <c r="A3583" t="s">
        <v>354</v>
      </c>
      <c r="B3583" s="1">
        <v>45740</v>
      </c>
      <c r="C3583" t="str">
        <f>"688"</f>
        <v>688</v>
      </c>
      <c r="D3583" t="s">
        <v>992</v>
      </c>
      <c r="E3583" t="s">
        <v>993</v>
      </c>
      <c r="F3583" t="str">
        <f t="shared" si="121"/>
        <v>44520000</v>
      </c>
      <c r="H3583" t="s">
        <v>994</v>
      </c>
      <c r="J3583" s="4">
        <v>117000</v>
      </c>
    </row>
    <row r="3584" spans="1:10" hidden="1" outlineLevel="2" x14ac:dyDescent="0.35">
      <c r="A3584" t="s">
        <v>354</v>
      </c>
      <c r="B3584" s="1">
        <v>45740</v>
      </c>
      <c r="C3584" t="str">
        <f>"689"</f>
        <v>689</v>
      </c>
      <c r="D3584" t="s">
        <v>995</v>
      </c>
      <c r="E3584" t="s">
        <v>996</v>
      </c>
      <c r="F3584" t="str">
        <f t="shared" si="121"/>
        <v>44520000</v>
      </c>
      <c r="H3584" t="s">
        <v>997</v>
      </c>
      <c r="J3584" s="4">
        <v>35740</v>
      </c>
    </row>
    <row r="3585" spans="1:10" hidden="1" outlineLevel="2" x14ac:dyDescent="0.35">
      <c r="A3585" t="s">
        <v>354</v>
      </c>
      <c r="B3585" s="1">
        <v>45740</v>
      </c>
      <c r="C3585" t="str">
        <f>"690"</f>
        <v>690</v>
      </c>
      <c r="D3585" t="s">
        <v>998</v>
      </c>
      <c r="E3585" t="s">
        <v>999</v>
      </c>
      <c r="F3585" t="str">
        <f t="shared" si="121"/>
        <v>44520000</v>
      </c>
      <c r="H3585" t="s">
        <v>1000</v>
      </c>
      <c r="J3585" s="4">
        <v>108360</v>
      </c>
    </row>
    <row r="3586" spans="1:10" hidden="1" outlineLevel="2" x14ac:dyDescent="0.35">
      <c r="A3586" t="s">
        <v>354</v>
      </c>
      <c r="B3586" s="1">
        <v>45741</v>
      </c>
      <c r="C3586" t="str">
        <f>"684"</f>
        <v>684</v>
      </c>
      <c r="D3586" t="s">
        <v>1007</v>
      </c>
      <c r="E3586" t="str">
        <f>"0001922"</f>
        <v>0001922</v>
      </c>
      <c r="F3586" t="str">
        <f t="shared" si="121"/>
        <v>44520000</v>
      </c>
      <c r="H3586" t="s">
        <v>1008</v>
      </c>
      <c r="J3586" s="4">
        <v>6048</v>
      </c>
    </row>
    <row r="3587" spans="1:10" hidden="1" outlineLevel="2" x14ac:dyDescent="0.35">
      <c r="A3587" t="s">
        <v>354</v>
      </c>
      <c r="B3587" s="1">
        <v>45741</v>
      </c>
      <c r="C3587" t="str">
        <f>"708"</f>
        <v>708</v>
      </c>
      <c r="D3587" t="s">
        <v>1009</v>
      </c>
      <c r="E3587" t="s">
        <v>1010</v>
      </c>
      <c r="F3587" t="str">
        <f t="shared" si="121"/>
        <v>44520000</v>
      </c>
      <c r="H3587" t="s">
        <v>1011</v>
      </c>
      <c r="J3587" s="4">
        <v>450</v>
      </c>
    </row>
    <row r="3588" spans="1:10" hidden="1" outlineLevel="2" x14ac:dyDescent="0.35">
      <c r="A3588" t="s">
        <v>354</v>
      </c>
      <c r="B3588" s="1">
        <v>45741</v>
      </c>
      <c r="C3588" t="str">
        <f>"709"</f>
        <v>709</v>
      </c>
      <c r="D3588" t="s">
        <v>1012</v>
      </c>
      <c r="E3588" t="s">
        <v>1013</v>
      </c>
      <c r="F3588" t="str">
        <f t="shared" si="121"/>
        <v>44520000</v>
      </c>
      <c r="H3588" t="s">
        <v>1014</v>
      </c>
      <c r="J3588" s="4">
        <v>6030</v>
      </c>
    </row>
    <row r="3589" spans="1:10" hidden="1" outlineLevel="2" x14ac:dyDescent="0.35">
      <c r="A3589" t="s">
        <v>354</v>
      </c>
      <c r="B3589" s="1">
        <v>45741</v>
      </c>
      <c r="C3589" t="str">
        <f>"710"</f>
        <v>710</v>
      </c>
      <c r="D3589" t="s">
        <v>1015</v>
      </c>
      <c r="E3589" t="s">
        <v>1016</v>
      </c>
      <c r="F3589" t="str">
        <f t="shared" si="121"/>
        <v>44520000</v>
      </c>
      <c r="H3589" t="s">
        <v>1017</v>
      </c>
      <c r="J3589" s="4">
        <v>11826</v>
      </c>
    </row>
    <row r="3590" spans="1:10" hidden="1" outlineLevel="2" x14ac:dyDescent="0.35">
      <c r="A3590" t="s">
        <v>354</v>
      </c>
      <c r="B3590" s="1">
        <v>45741</v>
      </c>
      <c r="C3590" t="str">
        <f>"711"</f>
        <v>711</v>
      </c>
      <c r="D3590" t="s">
        <v>1018</v>
      </c>
      <c r="E3590" t="s">
        <v>1019</v>
      </c>
      <c r="F3590" t="str">
        <f t="shared" si="121"/>
        <v>44520000</v>
      </c>
      <c r="H3590" t="s">
        <v>1020</v>
      </c>
      <c r="J3590" s="4">
        <v>7452</v>
      </c>
    </row>
    <row r="3591" spans="1:10" hidden="1" outlineLevel="2" x14ac:dyDescent="0.35">
      <c r="A3591" t="s">
        <v>354</v>
      </c>
      <c r="B3591" s="1">
        <v>45741</v>
      </c>
      <c r="C3591" t="str">
        <f>"712"</f>
        <v>712</v>
      </c>
      <c r="D3591" t="s">
        <v>1021</v>
      </c>
      <c r="E3591" t="s">
        <v>1022</v>
      </c>
      <c r="F3591" t="str">
        <f t="shared" ref="F3591:F3624" si="122">"44520000"</f>
        <v>44520000</v>
      </c>
      <c r="H3591" t="s">
        <v>1023</v>
      </c>
      <c r="J3591" s="4">
        <v>17460</v>
      </c>
    </row>
    <row r="3592" spans="1:10" hidden="1" outlineLevel="2" x14ac:dyDescent="0.35">
      <c r="A3592" t="s">
        <v>354</v>
      </c>
      <c r="B3592" s="1">
        <v>45741</v>
      </c>
      <c r="C3592" t="str">
        <f>"713"</f>
        <v>713</v>
      </c>
      <c r="D3592" t="s">
        <v>1024</v>
      </c>
      <c r="E3592" t="s">
        <v>1025</v>
      </c>
      <c r="F3592" t="str">
        <f t="shared" si="122"/>
        <v>44520000</v>
      </c>
      <c r="H3592" t="s">
        <v>1026</v>
      </c>
      <c r="J3592" s="4">
        <v>15840</v>
      </c>
    </row>
    <row r="3593" spans="1:10" hidden="1" outlineLevel="2" x14ac:dyDescent="0.35">
      <c r="A3593" t="s">
        <v>354</v>
      </c>
      <c r="B3593" s="1">
        <v>45741</v>
      </c>
      <c r="C3593" t="str">
        <f>"714"</f>
        <v>714</v>
      </c>
      <c r="D3593" t="s">
        <v>1027</v>
      </c>
      <c r="E3593" t="s">
        <v>1028</v>
      </c>
      <c r="F3593" t="str">
        <f t="shared" si="122"/>
        <v>44520000</v>
      </c>
      <c r="H3593" t="s">
        <v>1029</v>
      </c>
      <c r="J3593" s="4">
        <v>82224</v>
      </c>
    </row>
    <row r="3594" spans="1:10" hidden="1" outlineLevel="2" x14ac:dyDescent="0.35">
      <c r="A3594" t="s">
        <v>354</v>
      </c>
      <c r="B3594" s="1">
        <v>45741</v>
      </c>
      <c r="C3594" t="str">
        <f>"715"</f>
        <v>715</v>
      </c>
      <c r="D3594" t="s">
        <v>1030</v>
      </c>
      <c r="E3594" t="s">
        <v>1031</v>
      </c>
      <c r="F3594" t="str">
        <f t="shared" si="122"/>
        <v>44520000</v>
      </c>
      <c r="H3594" t="s">
        <v>1032</v>
      </c>
      <c r="J3594" s="4">
        <v>61362</v>
      </c>
    </row>
    <row r="3595" spans="1:10" hidden="1" outlineLevel="2" x14ac:dyDescent="0.35">
      <c r="A3595" t="s">
        <v>354</v>
      </c>
      <c r="B3595" s="1">
        <v>45742</v>
      </c>
      <c r="C3595" t="str">
        <f>"677"</f>
        <v>677</v>
      </c>
      <c r="D3595" t="s">
        <v>1095</v>
      </c>
      <c r="E3595" t="s">
        <v>1096</v>
      </c>
      <c r="F3595" t="str">
        <f t="shared" si="122"/>
        <v>44520000</v>
      </c>
      <c r="H3595" t="s">
        <v>1097</v>
      </c>
      <c r="J3595" s="4">
        <v>28229</v>
      </c>
    </row>
    <row r="3596" spans="1:10" hidden="1" outlineLevel="2" x14ac:dyDescent="0.35">
      <c r="A3596" t="s">
        <v>354</v>
      </c>
      <c r="B3596" s="1">
        <v>45742</v>
      </c>
      <c r="C3596" t="str">
        <f>"697"</f>
        <v>697</v>
      </c>
      <c r="D3596" t="s">
        <v>1098</v>
      </c>
      <c r="E3596" t="s">
        <v>1099</v>
      </c>
      <c r="F3596" t="str">
        <f t="shared" si="122"/>
        <v>44520000</v>
      </c>
      <c r="H3596" t="s">
        <v>1100</v>
      </c>
      <c r="J3596" s="4">
        <v>5570</v>
      </c>
    </row>
    <row r="3597" spans="1:10" hidden="1" outlineLevel="2" x14ac:dyDescent="0.35">
      <c r="A3597" t="s">
        <v>354</v>
      </c>
      <c r="B3597" s="1">
        <v>45742</v>
      </c>
      <c r="C3597" t="str">
        <f>"698"</f>
        <v>698</v>
      </c>
      <c r="D3597" t="s">
        <v>1101</v>
      </c>
      <c r="E3597" t="s">
        <v>1102</v>
      </c>
      <c r="F3597" t="str">
        <f t="shared" si="122"/>
        <v>44520000</v>
      </c>
      <c r="H3597" t="s">
        <v>1103</v>
      </c>
      <c r="J3597" s="4">
        <v>8864</v>
      </c>
    </row>
    <row r="3598" spans="1:10" hidden="1" outlineLevel="2" x14ac:dyDescent="0.35">
      <c r="A3598" t="s">
        <v>354</v>
      </c>
      <c r="B3598" s="1">
        <v>45742</v>
      </c>
      <c r="C3598" t="str">
        <f>"703"</f>
        <v>703</v>
      </c>
      <c r="D3598" t="s">
        <v>1104</v>
      </c>
      <c r="E3598" t="s">
        <v>1105</v>
      </c>
      <c r="F3598" t="str">
        <f t="shared" si="122"/>
        <v>44520000</v>
      </c>
      <c r="H3598" t="s">
        <v>1106</v>
      </c>
      <c r="J3598" s="4">
        <v>10530</v>
      </c>
    </row>
    <row r="3599" spans="1:10" hidden="1" outlineLevel="2" x14ac:dyDescent="0.35">
      <c r="A3599" t="s">
        <v>354</v>
      </c>
      <c r="B3599" s="1">
        <v>45742</v>
      </c>
      <c r="C3599" t="str">
        <f>"704"</f>
        <v>704</v>
      </c>
      <c r="D3599" t="s">
        <v>1107</v>
      </c>
      <c r="E3599" t="s">
        <v>1108</v>
      </c>
      <c r="F3599" t="str">
        <f t="shared" si="122"/>
        <v>44520000</v>
      </c>
      <c r="H3599" t="s">
        <v>1109</v>
      </c>
      <c r="J3599" s="4">
        <v>2700</v>
      </c>
    </row>
    <row r="3600" spans="1:10" hidden="1" outlineLevel="2" x14ac:dyDescent="0.35">
      <c r="A3600" t="s">
        <v>354</v>
      </c>
      <c r="B3600" s="1">
        <v>45742</v>
      </c>
      <c r="C3600" t="str">
        <f>"705"</f>
        <v>705</v>
      </c>
      <c r="D3600" t="s">
        <v>1110</v>
      </c>
      <c r="E3600" t="s">
        <v>1111</v>
      </c>
      <c r="F3600" t="str">
        <f t="shared" si="122"/>
        <v>44520000</v>
      </c>
      <c r="H3600" t="s">
        <v>1112</v>
      </c>
      <c r="J3600" s="4">
        <v>8100</v>
      </c>
    </row>
    <row r="3601" spans="1:10" hidden="1" outlineLevel="2" x14ac:dyDescent="0.35">
      <c r="A3601" t="s">
        <v>354</v>
      </c>
      <c r="B3601" s="1">
        <v>45742</v>
      </c>
      <c r="C3601" t="str">
        <f>"706"</f>
        <v>706</v>
      </c>
      <c r="D3601" t="s">
        <v>1113</v>
      </c>
      <c r="E3601" t="s">
        <v>1114</v>
      </c>
      <c r="F3601" t="str">
        <f t="shared" si="122"/>
        <v>44520000</v>
      </c>
      <c r="H3601" t="s">
        <v>1115</v>
      </c>
      <c r="J3601" s="4">
        <v>113585</v>
      </c>
    </row>
    <row r="3602" spans="1:10" hidden="1" outlineLevel="2" x14ac:dyDescent="0.35">
      <c r="A3602" t="s">
        <v>354</v>
      </c>
      <c r="B3602" s="1">
        <v>45744</v>
      </c>
      <c r="C3602" t="str">
        <f>"666"</f>
        <v>666</v>
      </c>
      <c r="D3602" t="s">
        <v>1116</v>
      </c>
      <c r="E3602" t="s">
        <v>1117</v>
      </c>
      <c r="F3602" t="str">
        <f t="shared" si="122"/>
        <v>44520000</v>
      </c>
      <c r="H3602" t="s">
        <v>1118</v>
      </c>
      <c r="J3602" s="4">
        <v>21107</v>
      </c>
    </row>
    <row r="3603" spans="1:10" hidden="1" outlineLevel="2" x14ac:dyDescent="0.35">
      <c r="A3603" t="s">
        <v>354</v>
      </c>
      <c r="B3603" s="1">
        <v>45744</v>
      </c>
      <c r="C3603" t="str">
        <f>"668"</f>
        <v>668</v>
      </c>
      <c r="D3603" t="s">
        <v>1119</v>
      </c>
      <c r="E3603" t="s">
        <v>1120</v>
      </c>
      <c r="F3603" t="str">
        <f t="shared" si="122"/>
        <v>44520000</v>
      </c>
      <c r="H3603" t="s">
        <v>1121</v>
      </c>
      <c r="J3603" s="4">
        <v>6210</v>
      </c>
    </row>
    <row r="3604" spans="1:10" hidden="1" outlineLevel="2" x14ac:dyDescent="0.35">
      <c r="A3604" t="s">
        <v>354</v>
      </c>
      <c r="B3604" s="1">
        <v>45744</v>
      </c>
      <c r="C3604" t="str">
        <f>"670"</f>
        <v>670</v>
      </c>
      <c r="D3604" t="s">
        <v>1122</v>
      </c>
      <c r="E3604" t="s">
        <v>1123</v>
      </c>
      <c r="F3604" t="str">
        <f t="shared" si="122"/>
        <v>44520000</v>
      </c>
      <c r="H3604" t="s">
        <v>1124</v>
      </c>
      <c r="J3604" s="4">
        <v>13947</v>
      </c>
    </row>
    <row r="3605" spans="1:10" hidden="1" outlineLevel="2" x14ac:dyDescent="0.35">
      <c r="A3605" t="s">
        <v>354</v>
      </c>
      <c r="B3605" s="1">
        <v>45744</v>
      </c>
      <c r="C3605" t="str">
        <f>"716"</f>
        <v>716</v>
      </c>
      <c r="D3605" t="s">
        <v>1125</v>
      </c>
      <c r="E3605" t="s">
        <v>1126</v>
      </c>
      <c r="F3605" t="str">
        <f t="shared" si="122"/>
        <v>44520000</v>
      </c>
      <c r="H3605" t="s">
        <v>1127</v>
      </c>
      <c r="J3605" s="4">
        <v>103562</v>
      </c>
    </row>
    <row r="3606" spans="1:10" hidden="1" outlineLevel="2" x14ac:dyDescent="0.35">
      <c r="A3606" t="s">
        <v>354</v>
      </c>
      <c r="B3606" s="1">
        <v>45744</v>
      </c>
      <c r="C3606" t="str">
        <f>"717"</f>
        <v>717</v>
      </c>
      <c r="D3606" t="s">
        <v>1128</v>
      </c>
      <c r="E3606" t="s">
        <v>1129</v>
      </c>
      <c r="F3606" t="str">
        <f t="shared" si="122"/>
        <v>44520000</v>
      </c>
      <c r="H3606" t="s">
        <v>1130</v>
      </c>
      <c r="J3606" s="4">
        <v>27402</v>
      </c>
    </row>
    <row r="3607" spans="1:10" hidden="1" outlineLevel="2" x14ac:dyDescent="0.35">
      <c r="A3607" t="s">
        <v>354</v>
      </c>
      <c r="B3607" s="1">
        <v>45744</v>
      </c>
      <c r="C3607" t="str">
        <f>"718"</f>
        <v>718</v>
      </c>
      <c r="D3607" t="s">
        <v>1131</v>
      </c>
      <c r="E3607" t="s">
        <v>1132</v>
      </c>
      <c r="F3607" t="str">
        <f t="shared" si="122"/>
        <v>44520000</v>
      </c>
      <c r="H3607" t="s">
        <v>1133</v>
      </c>
      <c r="J3607" s="4">
        <v>4320</v>
      </c>
    </row>
    <row r="3608" spans="1:10" hidden="1" outlineLevel="2" x14ac:dyDescent="0.35">
      <c r="A3608" t="s">
        <v>354</v>
      </c>
      <c r="B3608" s="1">
        <v>45744</v>
      </c>
      <c r="C3608" t="str">
        <f>"719"</f>
        <v>719</v>
      </c>
      <c r="D3608" t="s">
        <v>1134</v>
      </c>
      <c r="E3608" t="s">
        <v>1135</v>
      </c>
      <c r="F3608" t="str">
        <f t="shared" si="122"/>
        <v>44520000</v>
      </c>
      <c r="H3608" t="s">
        <v>1136</v>
      </c>
      <c r="J3608" s="4">
        <v>164211</v>
      </c>
    </row>
    <row r="3609" spans="1:10" hidden="1" outlineLevel="2" x14ac:dyDescent="0.35">
      <c r="A3609" t="s">
        <v>354</v>
      </c>
      <c r="B3609" s="1">
        <v>45744</v>
      </c>
      <c r="C3609" t="str">
        <f>"720"</f>
        <v>720</v>
      </c>
      <c r="D3609" t="s">
        <v>1137</v>
      </c>
      <c r="E3609" t="s">
        <v>1138</v>
      </c>
      <c r="F3609" t="str">
        <f t="shared" si="122"/>
        <v>44520000</v>
      </c>
      <c r="H3609" t="s">
        <v>1139</v>
      </c>
      <c r="J3609" s="4">
        <v>78459</v>
      </c>
    </row>
    <row r="3610" spans="1:10" hidden="1" outlineLevel="2" x14ac:dyDescent="0.35">
      <c r="A3610" t="s">
        <v>26</v>
      </c>
      <c r="B3610" s="1">
        <v>45717</v>
      </c>
      <c r="C3610" t="str">
        <f>"149"</f>
        <v>149</v>
      </c>
      <c r="D3610" t="s">
        <v>1406</v>
      </c>
      <c r="E3610" t="s">
        <v>1407</v>
      </c>
      <c r="F3610" t="str">
        <f t="shared" si="122"/>
        <v>44520000</v>
      </c>
      <c r="H3610" t="s">
        <v>1408</v>
      </c>
      <c r="J3610" s="4">
        <v>91800</v>
      </c>
    </row>
    <row r="3611" spans="1:10" hidden="1" outlineLevel="2" x14ac:dyDescent="0.35">
      <c r="A3611" t="s">
        <v>26</v>
      </c>
      <c r="B3611" s="1">
        <v>45719</v>
      </c>
      <c r="C3611" t="str">
        <f>"10"</f>
        <v>10</v>
      </c>
      <c r="D3611" t="s">
        <v>1443</v>
      </c>
      <c r="E3611" t="s">
        <v>1444</v>
      </c>
      <c r="F3611" t="str">
        <f t="shared" si="122"/>
        <v>44520000</v>
      </c>
      <c r="H3611" t="s">
        <v>1445</v>
      </c>
      <c r="J3611" s="4">
        <v>1820006</v>
      </c>
    </row>
    <row r="3612" spans="1:10" hidden="1" outlineLevel="2" x14ac:dyDescent="0.35">
      <c r="A3612" t="s">
        <v>26</v>
      </c>
      <c r="B3612" s="1">
        <v>45722</v>
      </c>
      <c r="C3612" t="str">
        <f>"27"</f>
        <v>27</v>
      </c>
      <c r="D3612" t="s">
        <v>1511</v>
      </c>
      <c r="E3612" t="s">
        <v>1512</v>
      </c>
      <c r="F3612" t="str">
        <f t="shared" si="122"/>
        <v>44520000</v>
      </c>
      <c r="H3612" t="s">
        <v>1513</v>
      </c>
      <c r="J3612" s="4">
        <v>48762</v>
      </c>
    </row>
    <row r="3613" spans="1:10" hidden="1" outlineLevel="2" x14ac:dyDescent="0.35">
      <c r="A3613" t="s">
        <v>26</v>
      </c>
      <c r="B3613" s="1">
        <v>45727</v>
      </c>
      <c r="C3613" t="str">
        <f>"65"</f>
        <v>65</v>
      </c>
      <c r="D3613" t="s">
        <v>1590</v>
      </c>
      <c r="E3613" t="s">
        <v>1591</v>
      </c>
      <c r="F3613" t="str">
        <f t="shared" si="122"/>
        <v>44520000</v>
      </c>
      <c r="H3613" t="s">
        <v>1592</v>
      </c>
      <c r="J3613" s="4">
        <v>16841</v>
      </c>
    </row>
    <row r="3614" spans="1:10" hidden="1" outlineLevel="2" x14ac:dyDescent="0.35">
      <c r="A3614" t="s">
        <v>26</v>
      </c>
      <c r="B3614" s="1">
        <v>45727</v>
      </c>
      <c r="C3614" t="str">
        <f>"67"</f>
        <v>67</v>
      </c>
      <c r="D3614" t="s">
        <v>1595</v>
      </c>
      <c r="E3614" t="s">
        <v>1596</v>
      </c>
      <c r="F3614" t="str">
        <f t="shared" si="122"/>
        <v>44520000</v>
      </c>
      <c r="H3614" t="s">
        <v>1597</v>
      </c>
      <c r="J3614" s="4">
        <v>136958</v>
      </c>
    </row>
    <row r="3615" spans="1:10" hidden="1" outlineLevel="2" x14ac:dyDescent="0.35">
      <c r="A3615" t="s">
        <v>26</v>
      </c>
      <c r="B3615" s="1">
        <v>45727</v>
      </c>
      <c r="C3615" t="str">
        <f>"70"</f>
        <v>70</v>
      </c>
      <c r="D3615" t="s">
        <v>1598</v>
      </c>
      <c r="E3615" t="s">
        <v>1599</v>
      </c>
      <c r="F3615" t="str">
        <f t="shared" si="122"/>
        <v>44520000</v>
      </c>
      <c r="H3615" t="s">
        <v>1600</v>
      </c>
      <c r="J3615" s="4">
        <v>1820006</v>
      </c>
    </row>
    <row r="3616" spans="1:10" hidden="1" outlineLevel="2" x14ac:dyDescent="0.35">
      <c r="A3616" t="s">
        <v>26</v>
      </c>
      <c r="B3616" s="1">
        <v>45727</v>
      </c>
      <c r="C3616" t="str">
        <f>"136"</f>
        <v>136</v>
      </c>
      <c r="D3616" t="s">
        <v>1603</v>
      </c>
      <c r="E3616" t="str">
        <f>"4166711"</f>
        <v>4166711</v>
      </c>
      <c r="F3616" t="str">
        <f t="shared" si="122"/>
        <v>44520000</v>
      </c>
      <c r="H3616" t="s">
        <v>1604</v>
      </c>
      <c r="J3616" s="4">
        <v>454347</v>
      </c>
    </row>
    <row r="3617" spans="1:11" hidden="1" outlineLevel="2" x14ac:dyDescent="0.35">
      <c r="A3617" t="s">
        <v>26</v>
      </c>
      <c r="B3617" s="1">
        <v>45728</v>
      </c>
      <c r="C3617" t="str">
        <f>"135"</f>
        <v>135</v>
      </c>
      <c r="D3617" t="s">
        <v>1616</v>
      </c>
      <c r="E3617" t="s">
        <v>1617</v>
      </c>
      <c r="F3617" t="str">
        <f t="shared" si="122"/>
        <v>44520000</v>
      </c>
      <c r="H3617" t="s">
        <v>1618</v>
      </c>
      <c r="J3617" s="4">
        <v>1323</v>
      </c>
    </row>
    <row r="3618" spans="1:11" hidden="1" outlineLevel="2" x14ac:dyDescent="0.35">
      <c r="A3618" t="s">
        <v>26</v>
      </c>
      <c r="B3618" s="1">
        <v>45735</v>
      </c>
      <c r="C3618" t="str">
        <f>"82"</f>
        <v>82</v>
      </c>
      <c r="D3618" t="s">
        <v>1682</v>
      </c>
      <c r="E3618" t="s">
        <v>1683</v>
      </c>
      <c r="F3618" t="str">
        <f t="shared" si="122"/>
        <v>44520000</v>
      </c>
      <c r="H3618" t="s">
        <v>1684</v>
      </c>
      <c r="J3618" s="4">
        <v>12960</v>
      </c>
    </row>
    <row r="3619" spans="1:11" hidden="1" outlineLevel="2" x14ac:dyDescent="0.35">
      <c r="A3619" t="s">
        <v>26</v>
      </c>
      <c r="B3619" s="1">
        <v>45735</v>
      </c>
      <c r="C3619" t="str">
        <f>"84"</f>
        <v>84</v>
      </c>
      <c r="D3619" t="s">
        <v>1685</v>
      </c>
      <c r="E3619" t="s">
        <v>1686</v>
      </c>
      <c r="F3619" t="str">
        <f t="shared" si="122"/>
        <v>44520000</v>
      </c>
      <c r="H3619" t="s">
        <v>1687</v>
      </c>
      <c r="J3619" s="4">
        <v>163800</v>
      </c>
    </row>
    <row r="3620" spans="1:11" hidden="1" outlineLevel="2" x14ac:dyDescent="0.35">
      <c r="A3620" t="s">
        <v>26</v>
      </c>
      <c r="B3620" s="1">
        <v>45736</v>
      </c>
      <c r="C3620" t="str">
        <f>"98"</f>
        <v>98</v>
      </c>
      <c r="D3620" t="s">
        <v>1701</v>
      </c>
      <c r="E3620" t="s">
        <v>1702</v>
      </c>
      <c r="F3620" t="str">
        <f t="shared" si="122"/>
        <v>44520000</v>
      </c>
      <c r="H3620" t="s">
        <v>1703</v>
      </c>
      <c r="J3620" s="4">
        <v>1820006</v>
      </c>
    </row>
    <row r="3621" spans="1:11" hidden="1" outlineLevel="2" x14ac:dyDescent="0.35">
      <c r="A3621" t="s">
        <v>26</v>
      </c>
      <c r="B3621" s="1">
        <v>45740</v>
      </c>
      <c r="C3621" t="str">
        <f>"131"</f>
        <v>131</v>
      </c>
      <c r="D3621" t="s">
        <v>1725</v>
      </c>
      <c r="E3621" t="str">
        <f>"0000322"</f>
        <v>0000322</v>
      </c>
      <c r="F3621" t="str">
        <f t="shared" si="122"/>
        <v>44520000</v>
      </c>
      <c r="H3621" t="s">
        <v>1726</v>
      </c>
      <c r="J3621" s="4">
        <v>100678</v>
      </c>
    </row>
    <row r="3622" spans="1:11" hidden="1" outlineLevel="2" x14ac:dyDescent="0.35">
      <c r="A3622" t="s">
        <v>101</v>
      </c>
      <c r="B3622" s="1">
        <v>45717</v>
      </c>
      <c r="C3622" t="str">
        <f>"18"</f>
        <v>18</v>
      </c>
      <c r="F3622" t="str">
        <f t="shared" si="122"/>
        <v>44520000</v>
      </c>
      <c r="H3622" t="s">
        <v>2749</v>
      </c>
      <c r="K3622" s="4">
        <v>-10314614</v>
      </c>
    </row>
    <row r="3623" spans="1:11" hidden="1" outlineLevel="2" x14ac:dyDescent="0.35">
      <c r="A3623" t="s">
        <v>101</v>
      </c>
      <c r="B3623" s="1">
        <v>45717</v>
      </c>
      <c r="C3623" t="str">
        <f>"20"</f>
        <v>20</v>
      </c>
      <c r="F3623" t="str">
        <f t="shared" si="122"/>
        <v>44520000</v>
      </c>
      <c r="H3623" t="s">
        <v>2750</v>
      </c>
      <c r="K3623" s="4">
        <v>10314614</v>
      </c>
    </row>
    <row r="3624" spans="1:11" hidden="1" outlineLevel="2" x14ac:dyDescent="0.35">
      <c r="A3624" t="s">
        <v>101</v>
      </c>
      <c r="B3624" s="1">
        <v>45747</v>
      </c>
      <c r="C3624" t="str">
        <f>"68"</f>
        <v>68</v>
      </c>
      <c r="F3624" t="str">
        <f t="shared" si="122"/>
        <v>44520000</v>
      </c>
      <c r="H3624" t="s">
        <v>120</v>
      </c>
      <c r="K3624" s="4">
        <v>19997212</v>
      </c>
    </row>
    <row r="3625" spans="1:11" outlineLevel="1" collapsed="1" x14ac:dyDescent="0.35">
      <c r="B3625" s="1"/>
      <c r="F3625" s="3" t="s">
        <v>6559</v>
      </c>
      <c r="J3625" s="4">
        <f>SUBTOTAL(9,J3431:J3624)</f>
        <v>19997212</v>
      </c>
      <c r="K3625" s="4">
        <f>SUBTOTAL(9,K3431:K3624)</f>
        <v>19997212</v>
      </c>
    </row>
    <row r="3626" spans="1:11" hidden="1" outlineLevel="2" x14ac:dyDescent="0.35">
      <c r="A3626" t="s">
        <v>354</v>
      </c>
      <c r="B3626" s="1">
        <v>45719</v>
      </c>
      <c r="C3626" t="str">
        <f>"489"</f>
        <v>489</v>
      </c>
      <c r="D3626" t="s">
        <v>368</v>
      </c>
      <c r="E3626" t="str">
        <f>"0001560"</f>
        <v>0001560</v>
      </c>
      <c r="F3626" t="str">
        <f t="shared" ref="F3626:F3657" si="123">"44540000"</f>
        <v>44540000</v>
      </c>
      <c r="H3626" t="s">
        <v>369</v>
      </c>
      <c r="J3626" s="4">
        <v>2722</v>
      </c>
    </row>
    <row r="3627" spans="1:11" hidden="1" outlineLevel="2" x14ac:dyDescent="0.35">
      <c r="A3627" t="s">
        <v>354</v>
      </c>
      <c r="B3627" s="1">
        <v>45722</v>
      </c>
      <c r="C3627" t="str">
        <f>"544"</f>
        <v>544</v>
      </c>
      <c r="D3627" t="s">
        <v>543</v>
      </c>
      <c r="E3627" t="s">
        <v>544</v>
      </c>
      <c r="F3627" t="str">
        <f t="shared" si="123"/>
        <v>44540000</v>
      </c>
      <c r="H3627" t="s">
        <v>545</v>
      </c>
      <c r="J3627" s="4">
        <v>31482</v>
      </c>
    </row>
    <row r="3628" spans="1:11" hidden="1" outlineLevel="2" x14ac:dyDescent="0.35">
      <c r="A3628" t="s">
        <v>354</v>
      </c>
      <c r="B3628" s="1">
        <v>45726</v>
      </c>
      <c r="C3628" t="str">
        <f>"540"</f>
        <v>540</v>
      </c>
      <c r="D3628" t="s">
        <v>678</v>
      </c>
      <c r="E3628" t="str">
        <f>"0000256"</f>
        <v>0000256</v>
      </c>
      <c r="F3628" t="str">
        <f t="shared" si="123"/>
        <v>44540000</v>
      </c>
      <c r="H3628" t="s">
        <v>679</v>
      </c>
      <c r="J3628" s="4">
        <v>18669</v>
      </c>
    </row>
    <row r="3629" spans="1:11" hidden="1" outlineLevel="2" x14ac:dyDescent="0.35">
      <c r="A3629" t="s">
        <v>354</v>
      </c>
      <c r="B3629" s="1">
        <v>45726</v>
      </c>
      <c r="C3629" t="str">
        <f>"541"</f>
        <v>541</v>
      </c>
      <c r="D3629" t="s">
        <v>680</v>
      </c>
      <c r="E3629" t="str">
        <f>"0000267"</f>
        <v>0000267</v>
      </c>
      <c r="F3629" t="str">
        <f t="shared" si="123"/>
        <v>44540000</v>
      </c>
      <c r="H3629" t="s">
        <v>681</v>
      </c>
      <c r="J3629" s="4">
        <v>22881</v>
      </c>
    </row>
    <row r="3630" spans="1:11" hidden="1" outlineLevel="2" x14ac:dyDescent="0.35">
      <c r="A3630" t="s">
        <v>354</v>
      </c>
      <c r="B3630" s="1">
        <v>45726</v>
      </c>
      <c r="C3630" t="str">
        <f>"542"</f>
        <v>542</v>
      </c>
      <c r="D3630" t="s">
        <v>682</v>
      </c>
      <c r="E3630" t="str">
        <f>"0000304"</f>
        <v>0000304</v>
      </c>
      <c r="F3630" t="str">
        <f t="shared" si="123"/>
        <v>44540000</v>
      </c>
      <c r="H3630" t="s">
        <v>683</v>
      </c>
      <c r="J3630" s="4">
        <v>118158</v>
      </c>
    </row>
    <row r="3631" spans="1:11" hidden="1" outlineLevel="2" x14ac:dyDescent="0.35">
      <c r="A3631" t="s">
        <v>354</v>
      </c>
      <c r="B3631" s="1">
        <v>45726</v>
      </c>
      <c r="C3631" t="str">
        <f>"543"</f>
        <v>543</v>
      </c>
      <c r="D3631" t="s">
        <v>684</v>
      </c>
      <c r="E3631" t="str">
        <f>"0000305"</f>
        <v>0000305</v>
      </c>
      <c r="F3631" t="str">
        <f t="shared" si="123"/>
        <v>44540000</v>
      </c>
      <c r="H3631" t="s">
        <v>685</v>
      </c>
      <c r="J3631" s="4">
        <v>27070</v>
      </c>
    </row>
    <row r="3632" spans="1:11" hidden="1" outlineLevel="2" x14ac:dyDescent="0.35">
      <c r="A3632" t="s">
        <v>354</v>
      </c>
      <c r="B3632" s="1">
        <v>45736</v>
      </c>
      <c r="C3632" t="str">
        <f>"674"</f>
        <v>674</v>
      </c>
      <c r="D3632" t="s">
        <v>920</v>
      </c>
      <c r="E3632" t="str">
        <f>"0000318"</f>
        <v>0000318</v>
      </c>
      <c r="F3632" t="str">
        <f t="shared" si="123"/>
        <v>44540000</v>
      </c>
      <c r="H3632" t="s">
        <v>921</v>
      </c>
      <c r="J3632" s="4">
        <v>37536</v>
      </c>
    </row>
    <row r="3633" spans="1:10" hidden="1" outlineLevel="2" x14ac:dyDescent="0.35">
      <c r="A3633" t="s">
        <v>354</v>
      </c>
      <c r="B3633" s="1">
        <v>45736</v>
      </c>
      <c r="C3633" t="str">
        <f>"675"</f>
        <v>675</v>
      </c>
      <c r="D3633" t="s">
        <v>922</v>
      </c>
      <c r="E3633" t="str">
        <f>"0000319"</f>
        <v>0000319</v>
      </c>
      <c r="F3633" t="str">
        <f t="shared" si="123"/>
        <v>44540000</v>
      </c>
      <c r="H3633" t="s">
        <v>923</v>
      </c>
      <c r="J3633" s="4">
        <v>133345</v>
      </c>
    </row>
    <row r="3634" spans="1:10" hidden="1" outlineLevel="2" x14ac:dyDescent="0.35">
      <c r="A3634" t="s">
        <v>354</v>
      </c>
      <c r="B3634" s="1">
        <v>45741</v>
      </c>
      <c r="C3634" t="str">
        <f>"721"</f>
        <v>721</v>
      </c>
      <c r="D3634" t="s">
        <v>1033</v>
      </c>
      <c r="E3634" t="s">
        <v>1034</v>
      </c>
      <c r="F3634" t="str">
        <f t="shared" si="123"/>
        <v>44540000</v>
      </c>
      <c r="H3634" t="s">
        <v>1035</v>
      </c>
      <c r="J3634" s="4">
        <v>36000</v>
      </c>
    </row>
    <row r="3635" spans="1:10" hidden="1" outlineLevel="2" x14ac:dyDescent="0.35">
      <c r="A3635" t="s">
        <v>354</v>
      </c>
      <c r="B3635" s="1">
        <v>45741</v>
      </c>
      <c r="C3635" t="str">
        <f>"722"</f>
        <v>722</v>
      </c>
      <c r="D3635" t="s">
        <v>1036</v>
      </c>
      <c r="E3635" t="s">
        <v>1037</v>
      </c>
      <c r="F3635" t="str">
        <f t="shared" si="123"/>
        <v>44540000</v>
      </c>
      <c r="H3635" t="s">
        <v>1038</v>
      </c>
      <c r="J3635" s="4">
        <v>122549</v>
      </c>
    </row>
    <row r="3636" spans="1:10" hidden="1" outlineLevel="2" x14ac:dyDescent="0.35">
      <c r="A3636" t="s">
        <v>354</v>
      </c>
      <c r="B3636" s="1">
        <v>45741</v>
      </c>
      <c r="C3636" t="str">
        <f>"723"</f>
        <v>723</v>
      </c>
      <c r="D3636" t="s">
        <v>1039</v>
      </c>
      <c r="E3636" t="s">
        <v>1040</v>
      </c>
      <c r="F3636" t="str">
        <f t="shared" si="123"/>
        <v>44540000</v>
      </c>
      <c r="H3636" t="s">
        <v>1041</v>
      </c>
      <c r="J3636" s="4">
        <v>36000</v>
      </c>
    </row>
    <row r="3637" spans="1:10" hidden="1" outlineLevel="2" x14ac:dyDescent="0.35">
      <c r="A3637" t="s">
        <v>354</v>
      </c>
      <c r="B3637" s="1">
        <v>45741</v>
      </c>
      <c r="C3637" t="str">
        <f>"724"</f>
        <v>724</v>
      </c>
      <c r="D3637" t="s">
        <v>1042</v>
      </c>
      <c r="E3637" t="s">
        <v>1043</v>
      </c>
      <c r="F3637" t="str">
        <f t="shared" si="123"/>
        <v>44540000</v>
      </c>
      <c r="H3637" t="s">
        <v>1044</v>
      </c>
      <c r="J3637" s="4">
        <v>122549</v>
      </c>
    </row>
    <row r="3638" spans="1:10" hidden="1" outlineLevel="2" x14ac:dyDescent="0.35">
      <c r="A3638" t="s">
        <v>26</v>
      </c>
      <c r="B3638" s="1">
        <v>45717</v>
      </c>
      <c r="C3638" t="str">
        <f>"95"</f>
        <v>95</v>
      </c>
      <c r="D3638" t="s">
        <v>1392</v>
      </c>
      <c r="E3638" t="str">
        <f>"0000795"</f>
        <v>0000795</v>
      </c>
      <c r="F3638" t="str">
        <f t="shared" si="123"/>
        <v>44540000</v>
      </c>
      <c r="H3638" t="s">
        <v>1393</v>
      </c>
      <c r="J3638" s="4">
        <v>399330</v>
      </c>
    </row>
    <row r="3639" spans="1:10" hidden="1" outlineLevel="2" x14ac:dyDescent="0.35">
      <c r="A3639" t="s">
        <v>26</v>
      </c>
      <c r="B3639" s="1">
        <v>45717</v>
      </c>
      <c r="C3639" t="str">
        <f>"150"</f>
        <v>150</v>
      </c>
      <c r="D3639" t="s">
        <v>1410</v>
      </c>
      <c r="E3639" t="s">
        <v>1411</v>
      </c>
      <c r="F3639" t="str">
        <f t="shared" si="123"/>
        <v>44540000</v>
      </c>
      <c r="H3639" t="s">
        <v>1412</v>
      </c>
      <c r="J3639" s="4">
        <v>99840</v>
      </c>
    </row>
    <row r="3640" spans="1:10" hidden="1" outlineLevel="2" x14ac:dyDescent="0.35">
      <c r="A3640" t="s">
        <v>26</v>
      </c>
      <c r="B3640" s="1">
        <v>45717</v>
      </c>
      <c r="C3640" t="str">
        <f>"151"</f>
        <v>151</v>
      </c>
      <c r="D3640" t="s">
        <v>1413</v>
      </c>
      <c r="E3640" t="s">
        <v>1414</v>
      </c>
      <c r="F3640" t="str">
        <f t="shared" si="123"/>
        <v>44540000</v>
      </c>
      <c r="H3640" t="s">
        <v>1415</v>
      </c>
      <c r="J3640" s="4">
        <v>46800</v>
      </c>
    </row>
    <row r="3641" spans="1:10" hidden="1" outlineLevel="2" x14ac:dyDescent="0.35">
      <c r="A3641" t="s">
        <v>26</v>
      </c>
      <c r="B3641" s="1">
        <v>45717</v>
      </c>
      <c r="C3641" t="str">
        <f>"152"</f>
        <v>152</v>
      </c>
      <c r="D3641" t="s">
        <v>1416</v>
      </c>
      <c r="E3641" t="s">
        <v>1417</v>
      </c>
      <c r="F3641" t="str">
        <f t="shared" si="123"/>
        <v>44540000</v>
      </c>
      <c r="H3641" t="s">
        <v>1418</v>
      </c>
      <c r="J3641" s="4">
        <v>54000</v>
      </c>
    </row>
    <row r="3642" spans="1:10" hidden="1" outlineLevel="2" x14ac:dyDescent="0.35">
      <c r="A3642" t="s">
        <v>26</v>
      </c>
      <c r="B3642" s="1">
        <v>45717</v>
      </c>
      <c r="C3642" t="str">
        <f>"153"</f>
        <v>153</v>
      </c>
      <c r="D3642" t="s">
        <v>1419</v>
      </c>
      <c r="E3642" t="s">
        <v>1420</v>
      </c>
      <c r="F3642" t="str">
        <f t="shared" si="123"/>
        <v>44540000</v>
      </c>
      <c r="H3642" t="s">
        <v>1421</v>
      </c>
      <c r="J3642" s="4">
        <v>104400</v>
      </c>
    </row>
    <row r="3643" spans="1:10" hidden="1" outlineLevel="2" x14ac:dyDescent="0.35">
      <c r="A3643" t="s">
        <v>26</v>
      </c>
      <c r="B3643" s="1">
        <v>45717</v>
      </c>
      <c r="C3643" t="str">
        <f>"154"</f>
        <v>154</v>
      </c>
      <c r="D3643" t="s">
        <v>1422</v>
      </c>
      <c r="E3643" t="s">
        <v>1423</v>
      </c>
      <c r="F3643" t="str">
        <f t="shared" si="123"/>
        <v>44540000</v>
      </c>
      <c r="H3643" t="s">
        <v>1424</v>
      </c>
      <c r="J3643" s="4">
        <v>63918</v>
      </c>
    </row>
    <row r="3644" spans="1:10" hidden="1" outlineLevel="2" x14ac:dyDescent="0.35">
      <c r="A3644" t="s">
        <v>26</v>
      </c>
      <c r="B3644" s="1">
        <v>45717</v>
      </c>
      <c r="C3644" t="str">
        <f>"155"</f>
        <v>155</v>
      </c>
      <c r="D3644" t="s">
        <v>1425</v>
      </c>
      <c r="E3644" t="s">
        <v>1426</v>
      </c>
      <c r="F3644" t="str">
        <f t="shared" si="123"/>
        <v>44540000</v>
      </c>
      <c r="H3644" t="s">
        <v>1427</v>
      </c>
      <c r="J3644" s="4">
        <v>30420</v>
      </c>
    </row>
    <row r="3645" spans="1:10" hidden="1" outlineLevel="2" x14ac:dyDescent="0.35">
      <c r="A3645" t="s">
        <v>26</v>
      </c>
      <c r="B3645" s="1">
        <v>45717</v>
      </c>
      <c r="C3645" t="str">
        <f>"156"</f>
        <v>156</v>
      </c>
      <c r="D3645" t="s">
        <v>1428</v>
      </c>
      <c r="E3645" t="s">
        <v>1429</v>
      </c>
      <c r="F3645" t="str">
        <f t="shared" si="123"/>
        <v>44540000</v>
      </c>
      <c r="H3645" t="s">
        <v>1430</v>
      </c>
      <c r="J3645" s="4">
        <v>-11167</v>
      </c>
    </row>
    <row r="3646" spans="1:10" hidden="1" outlineLevel="2" x14ac:dyDescent="0.35">
      <c r="A3646" t="s">
        <v>26</v>
      </c>
      <c r="B3646" s="1">
        <v>45719</v>
      </c>
      <c r="C3646" t="str">
        <f>"15"</f>
        <v>15</v>
      </c>
      <c r="D3646" t="s">
        <v>1446</v>
      </c>
      <c r="E3646" t="str">
        <f>"1469"</f>
        <v>1469</v>
      </c>
      <c r="F3646" t="str">
        <f t="shared" si="123"/>
        <v>44540000</v>
      </c>
      <c r="H3646" t="s">
        <v>1448</v>
      </c>
      <c r="J3646" s="4">
        <v>1025438</v>
      </c>
    </row>
    <row r="3647" spans="1:10" hidden="1" outlineLevel="2" x14ac:dyDescent="0.35">
      <c r="A3647" t="s">
        <v>26</v>
      </c>
      <c r="B3647" s="1">
        <v>45719</v>
      </c>
      <c r="C3647" t="str">
        <f>"34"</f>
        <v>34</v>
      </c>
      <c r="D3647" t="s">
        <v>1449</v>
      </c>
      <c r="E3647" t="s">
        <v>1450</v>
      </c>
      <c r="F3647" t="str">
        <f t="shared" si="123"/>
        <v>44540000</v>
      </c>
      <c r="H3647" t="s">
        <v>1451</v>
      </c>
      <c r="J3647" s="4">
        <v>224258</v>
      </c>
    </row>
    <row r="3648" spans="1:10" hidden="1" outlineLevel="2" x14ac:dyDescent="0.35">
      <c r="A3648" t="s">
        <v>26</v>
      </c>
      <c r="B3648" s="1">
        <v>45719</v>
      </c>
      <c r="C3648" t="str">
        <f>"69"</f>
        <v>69</v>
      </c>
      <c r="D3648" t="s">
        <v>1452</v>
      </c>
      <c r="E3648" t="str">
        <f>"000102"</f>
        <v>000102</v>
      </c>
      <c r="F3648" t="str">
        <f t="shared" si="123"/>
        <v>44540000</v>
      </c>
      <c r="H3648" t="s">
        <v>1453</v>
      </c>
      <c r="J3648" s="4">
        <v>316800</v>
      </c>
    </row>
    <row r="3649" spans="1:10" hidden="1" outlineLevel="2" x14ac:dyDescent="0.35">
      <c r="A3649" t="s">
        <v>26</v>
      </c>
      <c r="B3649" s="1">
        <v>45720</v>
      </c>
      <c r="C3649" t="str">
        <f>"20"</f>
        <v>20</v>
      </c>
      <c r="D3649" t="s">
        <v>1464</v>
      </c>
      <c r="E3649" t="s">
        <v>1465</v>
      </c>
      <c r="F3649" t="str">
        <f t="shared" si="123"/>
        <v>44540000</v>
      </c>
      <c r="H3649" t="s">
        <v>1466</v>
      </c>
      <c r="J3649" s="4">
        <v>16254</v>
      </c>
    </row>
    <row r="3650" spans="1:10" hidden="1" outlineLevel="2" x14ac:dyDescent="0.35">
      <c r="A3650" t="s">
        <v>26</v>
      </c>
      <c r="B3650" s="1">
        <v>45720</v>
      </c>
      <c r="C3650" t="str">
        <f>"23"</f>
        <v>23</v>
      </c>
      <c r="D3650" t="s">
        <v>1472</v>
      </c>
      <c r="E3650" t="s">
        <v>1473</v>
      </c>
      <c r="F3650" t="str">
        <f t="shared" si="123"/>
        <v>44540000</v>
      </c>
      <c r="H3650" t="s">
        <v>1474</v>
      </c>
      <c r="J3650" s="4">
        <v>70200</v>
      </c>
    </row>
    <row r="3651" spans="1:10" hidden="1" outlineLevel="2" x14ac:dyDescent="0.35">
      <c r="A3651" t="s">
        <v>26</v>
      </c>
      <c r="B3651" s="1">
        <v>45720</v>
      </c>
      <c r="C3651" t="str">
        <f>"24"</f>
        <v>24</v>
      </c>
      <c r="D3651" t="s">
        <v>1475</v>
      </c>
      <c r="E3651" t="s">
        <v>1476</v>
      </c>
      <c r="F3651" t="str">
        <f t="shared" si="123"/>
        <v>44540000</v>
      </c>
      <c r="H3651" t="s">
        <v>1477</v>
      </c>
      <c r="J3651" s="4">
        <v>108000</v>
      </c>
    </row>
    <row r="3652" spans="1:10" hidden="1" outlineLevel="2" x14ac:dyDescent="0.35">
      <c r="A3652" t="s">
        <v>26</v>
      </c>
      <c r="B3652" s="1">
        <v>45720</v>
      </c>
      <c r="C3652" t="str">
        <f>"25"</f>
        <v>25</v>
      </c>
      <c r="D3652" t="s">
        <v>1478</v>
      </c>
      <c r="E3652" t="s">
        <v>1479</v>
      </c>
      <c r="F3652" t="str">
        <f t="shared" si="123"/>
        <v>44540000</v>
      </c>
      <c r="H3652" t="s">
        <v>1480</v>
      </c>
      <c r="J3652" s="4">
        <v>108000</v>
      </c>
    </row>
    <row r="3653" spans="1:10" hidden="1" outlineLevel="2" x14ac:dyDescent="0.35">
      <c r="A3653" t="s">
        <v>26</v>
      </c>
      <c r="B3653" s="1">
        <v>45720</v>
      </c>
      <c r="C3653" t="str">
        <f>"68"</f>
        <v>68</v>
      </c>
      <c r="D3653" t="s">
        <v>1481</v>
      </c>
      <c r="E3653" t="str">
        <f>"0001677"</f>
        <v>0001677</v>
      </c>
      <c r="F3653" t="str">
        <f t="shared" si="123"/>
        <v>44540000</v>
      </c>
      <c r="H3653" t="s">
        <v>1482</v>
      </c>
      <c r="J3653" s="4">
        <v>152542</v>
      </c>
    </row>
    <row r="3654" spans="1:10" hidden="1" outlineLevel="2" x14ac:dyDescent="0.35">
      <c r="A3654" t="s">
        <v>26</v>
      </c>
      <c r="B3654" s="1">
        <v>45720</v>
      </c>
      <c r="C3654" t="str">
        <f>"96"</f>
        <v>96</v>
      </c>
      <c r="D3654" t="s">
        <v>1483</v>
      </c>
      <c r="E3654" t="s">
        <v>1484</v>
      </c>
      <c r="F3654" t="str">
        <f t="shared" si="123"/>
        <v>44540000</v>
      </c>
      <c r="H3654" t="s">
        <v>1485</v>
      </c>
      <c r="J3654" s="4">
        <v>1899000</v>
      </c>
    </row>
    <row r="3655" spans="1:10" hidden="1" outlineLevel="2" x14ac:dyDescent="0.35">
      <c r="A3655" t="s">
        <v>26</v>
      </c>
      <c r="B3655" s="1">
        <v>45722</v>
      </c>
      <c r="C3655" t="str">
        <f>"3"</f>
        <v>3</v>
      </c>
      <c r="D3655" t="s">
        <v>1495</v>
      </c>
      <c r="E3655" t="str">
        <f>"229"</f>
        <v>229</v>
      </c>
      <c r="F3655" t="str">
        <f t="shared" si="123"/>
        <v>44540000</v>
      </c>
      <c r="H3655" t="s">
        <v>1496</v>
      </c>
      <c r="J3655" s="4">
        <v>16570</v>
      </c>
    </row>
    <row r="3656" spans="1:10" hidden="1" outlineLevel="2" x14ac:dyDescent="0.35">
      <c r="A3656" t="s">
        <v>26</v>
      </c>
      <c r="B3656" s="1">
        <v>45722</v>
      </c>
      <c r="C3656" t="str">
        <f>"6"</f>
        <v>6</v>
      </c>
      <c r="D3656" t="s">
        <v>1501</v>
      </c>
      <c r="E3656" t="str">
        <f>"246"</f>
        <v>246</v>
      </c>
      <c r="F3656" t="str">
        <f t="shared" si="123"/>
        <v>44540000</v>
      </c>
      <c r="H3656" t="s">
        <v>1502</v>
      </c>
      <c r="J3656" s="4">
        <v>122270</v>
      </c>
    </row>
    <row r="3657" spans="1:10" hidden="1" outlineLevel="2" x14ac:dyDescent="0.35">
      <c r="A3657" t="s">
        <v>26</v>
      </c>
      <c r="B3657" s="1">
        <v>45722</v>
      </c>
      <c r="C3657" t="str">
        <f>"7"</f>
        <v>7</v>
      </c>
      <c r="D3657" t="s">
        <v>1503</v>
      </c>
      <c r="E3657" t="str">
        <f>"313"</f>
        <v>313</v>
      </c>
      <c r="F3657" t="str">
        <f t="shared" si="123"/>
        <v>44540000</v>
      </c>
      <c r="H3657" t="s">
        <v>1504</v>
      </c>
      <c r="J3657" s="4">
        <v>128610</v>
      </c>
    </row>
    <row r="3658" spans="1:10" hidden="1" outlineLevel="2" x14ac:dyDescent="0.35">
      <c r="A3658" t="s">
        <v>26</v>
      </c>
      <c r="B3658" s="1">
        <v>45722</v>
      </c>
      <c r="C3658" t="str">
        <f>"8"</f>
        <v>8</v>
      </c>
      <c r="D3658" t="s">
        <v>1505</v>
      </c>
      <c r="E3658" t="str">
        <f>"317"</f>
        <v>317</v>
      </c>
      <c r="F3658" t="str">
        <f t="shared" ref="F3658:F3689" si="124">"44540000"</f>
        <v>44540000</v>
      </c>
      <c r="H3658" t="s">
        <v>1506</v>
      </c>
      <c r="J3658" s="4">
        <v>116995</v>
      </c>
    </row>
    <row r="3659" spans="1:10" hidden="1" outlineLevel="2" x14ac:dyDescent="0.35">
      <c r="A3659" t="s">
        <v>26</v>
      </c>
      <c r="B3659" s="1">
        <v>45722</v>
      </c>
      <c r="C3659" t="str">
        <f>"9"</f>
        <v>9</v>
      </c>
      <c r="D3659" t="s">
        <v>1507</v>
      </c>
      <c r="E3659" t="str">
        <f>"9741110212202401"</f>
        <v>9741110212202401</v>
      </c>
      <c r="F3659" t="str">
        <f t="shared" si="124"/>
        <v>44540000</v>
      </c>
      <c r="H3659" t="s">
        <v>1508</v>
      </c>
      <c r="J3659" s="4">
        <v>31631</v>
      </c>
    </row>
    <row r="3660" spans="1:10" hidden="1" outlineLevel="2" x14ac:dyDescent="0.35">
      <c r="A3660" t="s">
        <v>26</v>
      </c>
      <c r="B3660" s="1">
        <v>45723</v>
      </c>
      <c r="C3660" t="str">
        <f>"28"</f>
        <v>28</v>
      </c>
      <c r="D3660" t="s">
        <v>1516</v>
      </c>
      <c r="E3660" t="s">
        <v>1517</v>
      </c>
      <c r="F3660" t="str">
        <f t="shared" si="124"/>
        <v>44540000</v>
      </c>
      <c r="H3660" t="s">
        <v>1518</v>
      </c>
      <c r="J3660" s="4">
        <v>252307</v>
      </c>
    </row>
    <row r="3661" spans="1:10" hidden="1" outlineLevel="2" x14ac:dyDescent="0.35">
      <c r="A3661" t="s">
        <v>26</v>
      </c>
      <c r="B3661" s="1">
        <v>45723</v>
      </c>
      <c r="C3661" t="str">
        <f>"29"</f>
        <v>29</v>
      </c>
      <c r="D3661" t="s">
        <v>1519</v>
      </c>
      <c r="E3661" t="str">
        <f>"257"</f>
        <v>257</v>
      </c>
      <c r="F3661" t="str">
        <f t="shared" si="124"/>
        <v>44540000</v>
      </c>
      <c r="H3661" t="s">
        <v>1520</v>
      </c>
      <c r="J3661" s="4">
        <v>935324</v>
      </c>
    </row>
    <row r="3662" spans="1:10" hidden="1" outlineLevel="2" x14ac:dyDescent="0.35">
      <c r="A3662" t="s">
        <v>26</v>
      </c>
      <c r="B3662" s="1">
        <v>45723</v>
      </c>
      <c r="C3662" t="str">
        <f>"30"</f>
        <v>30</v>
      </c>
      <c r="D3662" t="s">
        <v>1521</v>
      </c>
      <c r="E3662" t="s">
        <v>1522</v>
      </c>
      <c r="F3662" t="str">
        <f t="shared" si="124"/>
        <v>44540000</v>
      </c>
      <c r="H3662" t="s">
        <v>1523</v>
      </c>
      <c r="J3662" s="4">
        <v>99657</v>
      </c>
    </row>
    <row r="3663" spans="1:10" hidden="1" outlineLevel="2" x14ac:dyDescent="0.35">
      <c r="A3663" t="s">
        <v>26</v>
      </c>
      <c r="B3663" s="1">
        <v>45723</v>
      </c>
      <c r="C3663" t="str">
        <f>"31"</f>
        <v>31</v>
      </c>
      <c r="D3663" t="s">
        <v>1524</v>
      </c>
      <c r="E3663" t="s">
        <v>1525</v>
      </c>
      <c r="F3663" t="str">
        <f t="shared" si="124"/>
        <v>44540000</v>
      </c>
      <c r="H3663" t="s">
        <v>1526</v>
      </c>
      <c r="J3663" s="4">
        <v>12600</v>
      </c>
    </row>
    <row r="3664" spans="1:10" hidden="1" outlineLevel="2" x14ac:dyDescent="0.35">
      <c r="A3664" t="s">
        <v>26</v>
      </c>
      <c r="B3664" s="1">
        <v>45726</v>
      </c>
      <c r="C3664" t="str">
        <f>"35"</f>
        <v>35</v>
      </c>
      <c r="D3664" t="s">
        <v>1530</v>
      </c>
      <c r="E3664" t="str">
        <f>"5100970101202501"</f>
        <v>5100970101202501</v>
      </c>
      <c r="F3664" t="str">
        <f t="shared" si="124"/>
        <v>44540000</v>
      </c>
      <c r="H3664" t="s">
        <v>1531</v>
      </c>
      <c r="J3664" s="4">
        <v>438</v>
      </c>
    </row>
    <row r="3665" spans="1:10" hidden="1" outlineLevel="2" x14ac:dyDescent="0.35">
      <c r="A3665" t="s">
        <v>26</v>
      </c>
      <c r="B3665" s="1">
        <v>45726</v>
      </c>
      <c r="C3665" t="str">
        <f>"36"</f>
        <v>36</v>
      </c>
      <c r="D3665" t="s">
        <v>1532</v>
      </c>
      <c r="E3665" t="str">
        <f>"5292900111202401"</f>
        <v>5292900111202401</v>
      </c>
      <c r="F3665" t="str">
        <f t="shared" si="124"/>
        <v>44540000</v>
      </c>
      <c r="H3665" t="s">
        <v>1533</v>
      </c>
      <c r="J3665" s="4">
        <v>181</v>
      </c>
    </row>
    <row r="3666" spans="1:10" hidden="1" outlineLevel="2" x14ac:dyDescent="0.35">
      <c r="A3666" t="s">
        <v>26</v>
      </c>
      <c r="B3666" s="1">
        <v>45726</v>
      </c>
      <c r="C3666" t="str">
        <f>"39"</f>
        <v>39</v>
      </c>
      <c r="D3666" t="s">
        <v>1538</v>
      </c>
      <c r="E3666" t="s">
        <v>1539</v>
      </c>
      <c r="F3666" t="str">
        <f t="shared" si="124"/>
        <v>44540000</v>
      </c>
      <c r="H3666" t="s">
        <v>1540</v>
      </c>
      <c r="J3666" s="4">
        <v>6693</v>
      </c>
    </row>
    <row r="3667" spans="1:10" hidden="1" outlineLevel="2" x14ac:dyDescent="0.35">
      <c r="A3667" t="s">
        <v>26</v>
      </c>
      <c r="B3667" s="1">
        <v>45726</v>
      </c>
      <c r="C3667" t="str">
        <f>"40"</f>
        <v>40</v>
      </c>
      <c r="D3667" t="s">
        <v>1541</v>
      </c>
      <c r="E3667" t="s">
        <v>1542</v>
      </c>
      <c r="F3667" t="str">
        <f t="shared" si="124"/>
        <v>44540000</v>
      </c>
      <c r="H3667" t="s">
        <v>1540</v>
      </c>
      <c r="J3667" s="4">
        <v>2826</v>
      </c>
    </row>
    <row r="3668" spans="1:10" hidden="1" outlineLevel="2" x14ac:dyDescent="0.35">
      <c r="A3668" t="s">
        <v>26</v>
      </c>
      <c r="B3668" s="1">
        <v>45726</v>
      </c>
      <c r="C3668" t="str">
        <f>"41"</f>
        <v>41</v>
      </c>
      <c r="D3668" t="s">
        <v>1543</v>
      </c>
      <c r="E3668" t="s">
        <v>1544</v>
      </c>
      <c r="F3668" t="str">
        <f t="shared" si="124"/>
        <v>44540000</v>
      </c>
      <c r="H3668" t="s">
        <v>1545</v>
      </c>
      <c r="J3668" s="4">
        <v>323668</v>
      </c>
    </row>
    <row r="3669" spans="1:10" hidden="1" outlineLevel="2" x14ac:dyDescent="0.35">
      <c r="A3669" t="s">
        <v>26</v>
      </c>
      <c r="B3669" s="1">
        <v>45726</v>
      </c>
      <c r="C3669" t="str">
        <f>"42"</f>
        <v>42</v>
      </c>
      <c r="D3669" t="s">
        <v>1546</v>
      </c>
      <c r="E3669" t="str">
        <f>"8890732032025"</f>
        <v>8890732032025</v>
      </c>
      <c r="F3669" t="str">
        <f t="shared" si="124"/>
        <v>44540000</v>
      </c>
      <c r="H3669" t="s">
        <v>1547</v>
      </c>
      <c r="J3669" s="4">
        <v>55965</v>
      </c>
    </row>
    <row r="3670" spans="1:10" hidden="1" outlineLevel="2" x14ac:dyDescent="0.35">
      <c r="A3670" t="s">
        <v>26</v>
      </c>
      <c r="B3670" s="1">
        <v>45726</v>
      </c>
      <c r="C3670" t="str">
        <f>"43"</f>
        <v>43</v>
      </c>
      <c r="D3670" t="s">
        <v>1548</v>
      </c>
      <c r="E3670" t="str">
        <f>"8892042032025"</f>
        <v>8892042032025</v>
      </c>
      <c r="F3670" t="str">
        <f t="shared" si="124"/>
        <v>44540000</v>
      </c>
      <c r="H3670" t="s">
        <v>1549</v>
      </c>
      <c r="J3670" s="4">
        <v>743459</v>
      </c>
    </row>
    <row r="3671" spans="1:10" hidden="1" outlineLevel="2" x14ac:dyDescent="0.35">
      <c r="A3671" t="s">
        <v>26</v>
      </c>
      <c r="B3671" s="1">
        <v>45726</v>
      </c>
      <c r="C3671" t="str">
        <f>"44"</f>
        <v>44</v>
      </c>
      <c r="D3671" t="s">
        <v>1550</v>
      </c>
      <c r="E3671" t="str">
        <f>"8991929032025"</f>
        <v>8991929032025</v>
      </c>
      <c r="F3671" t="str">
        <f t="shared" si="124"/>
        <v>44540000</v>
      </c>
      <c r="H3671" t="s">
        <v>1551</v>
      </c>
      <c r="J3671" s="4">
        <v>73981</v>
      </c>
    </row>
    <row r="3672" spans="1:10" hidden="1" outlineLevel="2" x14ac:dyDescent="0.35">
      <c r="A3672" t="s">
        <v>26</v>
      </c>
      <c r="B3672" s="1">
        <v>45726</v>
      </c>
      <c r="C3672" t="str">
        <f>"45"</f>
        <v>45</v>
      </c>
      <c r="D3672" t="s">
        <v>1552</v>
      </c>
      <c r="E3672" t="str">
        <f>"8991930032025"</f>
        <v>8991930032025</v>
      </c>
      <c r="F3672" t="str">
        <f t="shared" si="124"/>
        <v>44540000</v>
      </c>
      <c r="H3672" t="s">
        <v>1553</v>
      </c>
      <c r="J3672" s="4">
        <v>11396</v>
      </c>
    </row>
    <row r="3673" spans="1:10" hidden="1" outlineLevel="2" x14ac:dyDescent="0.35">
      <c r="A3673" t="s">
        <v>26</v>
      </c>
      <c r="B3673" s="1">
        <v>45726</v>
      </c>
      <c r="C3673" t="str">
        <f>"46"</f>
        <v>46</v>
      </c>
      <c r="D3673" t="s">
        <v>1554</v>
      </c>
      <c r="E3673" t="str">
        <f>"8998068032025"</f>
        <v>8998068032025</v>
      </c>
      <c r="F3673" t="str">
        <f t="shared" si="124"/>
        <v>44540000</v>
      </c>
      <c r="H3673" t="s">
        <v>1555</v>
      </c>
      <c r="J3673" s="4">
        <v>615832</v>
      </c>
    </row>
    <row r="3674" spans="1:10" hidden="1" outlineLevel="2" x14ac:dyDescent="0.35">
      <c r="A3674" t="s">
        <v>26</v>
      </c>
      <c r="B3674" s="1">
        <v>45726</v>
      </c>
      <c r="C3674" t="str">
        <f>"52"</f>
        <v>52</v>
      </c>
      <c r="D3674" t="s">
        <v>1556</v>
      </c>
      <c r="E3674" t="str">
        <f>"0001919"</f>
        <v>0001919</v>
      </c>
      <c r="F3674" t="str">
        <f t="shared" si="124"/>
        <v>44540000</v>
      </c>
      <c r="H3674" t="s">
        <v>1557</v>
      </c>
      <c r="J3674" s="4">
        <v>332100</v>
      </c>
    </row>
    <row r="3675" spans="1:10" hidden="1" outlineLevel="2" x14ac:dyDescent="0.35">
      <c r="A3675" t="s">
        <v>26</v>
      </c>
      <c r="B3675" s="1">
        <v>45726</v>
      </c>
      <c r="C3675" t="str">
        <f>"53"</f>
        <v>53</v>
      </c>
      <c r="D3675" t="s">
        <v>1558</v>
      </c>
      <c r="E3675" t="str">
        <f>"0001920"</f>
        <v>0001920</v>
      </c>
      <c r="F3675" t="str">
        <f t="shared" si="124"/>
        <v>44540000</v>
      </c>
      <c r="H3675" t="s">
        <v>1559</v>
      </c>
      <c r="J3675" s="4">
        <v>49680</v>
      </c>
    </row>
    <row r="3676" spans="1:10" hidden="1" outlineLevel="2" x14ac:dyDescent="0.35">
      <c r="A3676" t="s">
        <v>26</v>
      </c>
      <c r="B3676" s="1">
        <v>45726</v>
      </c>
      <c r="C3676" t="str">
        <f>"54"</f>
        <v>54</v>
      </c>
      <c r="D3676" t="s">
        <v>1560</v>
      </c>
      <c r="E3676" t="str">
        <f>"0001921"</f>
        <v>0001921</v>
      </c>
      <c r="F3676" t="str">
        <f t="shared" si="124"/>
        <v>44540000</v>
      </c>
      <c r="H3676" t="s">
        <v>1561</v>
      </c>
      <c r="J3676" s="4">
        <v>90720</v>
      </c>
    </row>
    <row r="3677" spans="1:10" hidden="1" outlineLevel="2" x14ac:dyDescent="0.35">
      <c r="A3677" t="s">
        <v>26</v>
      </c>
      <c r="B3677" s="1">
        <v>45726</v>
      </c>
      <c r="C3677" t="str">
        <f>"55"</f>
        <v>55</v>
      </c>
      <c r="D3677" t="s">
        <v>1562</v>
      </c>
      <c r="E3677" t="str">
        <f>"001922"</f>
        <v>001922</v>
      </c>
      <c r="F3677" t="str">
        <f t="shared" si="124"/>
        <v>44540000</v>
      </c>
      <c r="H3677" t="s">
        <v>1563</v>
      </c>
      <c r="J3677" s="4">
        <v>61200</v>
      </c>
    </row>
    <row r="3678" spans="1:10" hidden="1" outlineLevel="2" x14ac:dyDescent="0.35">
      <c r="A3678" t="s">
        <v>26</v>
      </c>
      <c r="B3678" s="1">
        <v>45726</v>
      </c>
      <c r="C3678" t="str">
        <f>"56"</f>
        <v>56</v>
      </c>
      <c r="D3678" t="s">
        <v>1564</v>
      </c>
      <c r="E3678" t="str">
        <f>"0001923"</f>
        <v>0001923</v>
      </c>
      <c r="F3678" t="str">
        <f t="shared" si="124"/>
        <v>44540000</v>
      </c>
      <c r="H3678" t="s">
        <v>1565</v>
      </c>
      <c r="J3678" s="4">
        <v>257040</v>
      </c>
    </row>
    <row r="3679" spans="1:10" hidden="1" outlineLevel="2" x14ac:dyDescent="0.35">
      <c r="A3679" t="s">
        <v>26</v>
      </c>
      <c r="B3679" s="1">
        <v>45726</v>
      </c>
      <c r="C3679" t="str">
        <f>"57"</f>
        <v>57</v>
      </c>
      <c r="D3679" t="s">
        <v>1566</v>
      </c>
      <c r="E3679" t="str">
        <f>"0001962"</f>
        <v>0001962</v>
      </c>
      <c r="F3679" t="str">
        <f t="shared" si="124"/>
        <v>44540000</v>
      </c>
      <c r="H3679" t="s">
        <v>1567</v>
      </c>
      <c r="J3679" s="4">
        <v>1800</v>
      </c>
    </row>
    <row r="3680" spans="1:10" hidden="1" outlineLevel="2" x14ac:dyDescent="0.35">
      <c r="A3680" t="s">
        <v>26</v>
      </c>
      <c r="B3680" s="1">
        <v>45726</v>
      </c>
      <c r="C3680" t="str">
        <f>"62"</f>
        <v>62</v>
      </c>
      <c r="D3680" t="s">
        <v>1568</v>
      </c>
      <c r="E3680" t="str">
        <f>"0000064"</f>
        <v>0000064</v>
      </c>
      <c r="F3680" t="str">
        <f t="shared" si="124"/>
        <v>44540000</v>
      </c>
      <c r="H3680" t="s">
        <v>1569</v>
      </c>
      <c r="J3680" s="4">
        <v>9000</v>
      </c>
    </row>
    <row r="3681" spans="1:10" hidden="1" outlineLevel="2" x14ac:dyDescent="0.35">
      <c r="A3681" t="s">
        <v>26</v>
      </c>
      <c r="B3681" s="1">
        <v>45726</v>
      </c>
      <c r="C3681" t="str">
        <f>"63"</f>
        <v>63</v>
      </c>
      <c r="D3681" t="s">
        <v>1570</v>
      </c>
      <c r="E3681" t="str">
        <f>"0001867"</f>
        <v>0001867</v>
      </c>
      <c r="F3681" t="str">
        <f t="shared" si="124"/>
        <v>44540000</v>
      </c>
      <c r="H3681" t="s">
        <v>1571</v>
      </c>
      <c r="J3681" s="4">
        <v>6840</v>
      </c>
    </row>
    <row r="3682" spans="1:10" hidden="1" outlineLevel="2" x14ac:dyDescent="0.35">
      <c r="A3682" t="s">
        <v>26</v>
      </c>
      <c r="B3682" s="1">
        <v>45726</v>
      </c>
      <c r="C3682" t="str">
        <f>"125"</f>
        <v>125</v>
      </c>
      <c r="D3682" t="s">
        <v>1580</v>
      </c>
      <c r="E3682" t="str">
        <f>"0000048"</f>
        <v>0000048</v>
      </c>
      <c r="F3682" t="str">
        <f t="shared" si="124"/>
        <v>44540000</v>
      </c>
      <c r="H3682" t="s">
        <v>1581</v>
      </c>
      <c r="J3682" s="4">
        <v>27720</v>
      </c>
    </row>
    <row r="3683" spans="1:10" hidden="1" outlineLevel="2" x14ac:dyDescent="0.35">
      <c r="A3683" t="s">
        <v>26</v>
      </c>
      <c r="B3683" s="1">
        <v>45726</v>
      </c>
      <c r="C3683" t="str">
        <f>"157"</f>
        <v>157</v>
      </c>
      <c r="D3683" t="s">
        <v>1568</v>
      </c>
      <c r="E3683" t="str">
        <f>"0000064"</f>
        <v>0000064</v>
      </c>
      <c r="F3683" t="str">
        <f t="shared" si="124"/>
        <v>44540000</v>
      </c>
      <c r="H3683" t="s">
        <v>1582</v>
      </c>
      <c r="J3683" s="4">
        <v>9000</v>
      </c>
    </row>
    <row r="3684" spans="1:10" hidden="1" outlineLevel="2" x14ac:dyDescent="0.35">
      <c r="A3684" t="s">
        <v>26</v>
      </c>
      <c r="B3684" s="1">
        <v>45727</v>
      </c>
      <c r="C3684" t="str">
        <f>"64"</f>
        <v>64</v>
      </c>
      <c r="D3684" t="s">
        <v>1586</v>
      </c>
      <c r="E3684" t="s">
        <v>1587</v>
      </c>
      <c r="F3684" t="str">
        <f t="shared" si="124"/>
        <v>44540000</v>
      </c>
      <c r="H3684" t="s">
        <v>1589</v>
      </c>
      <c r="J3684" s="4">
        <v>41751</v>
      </c>
    </row>
    <row r="3685" spans="1:10" hidden="1" outlineLevel="2" x14ac:dyDescent="0.35">
      <c r="A3685" t="s">
        <v>26</v>
      </c>
      <c r="B3685" s="1">
        <v>45727</v>
      </c>
      <c r="C3685" t="str">
        <f>"169"</f>
        <v>169</v>
      </c>
      <c r="D3685" t="s">
        <v>1605</v>
      </c>
      <c r="E3685" t="s">
        <v>1606</v>
      </c>
      <c r="F3685" t="str">
        <f t="shared" si="124"/>
        <v>44540000</v>
      </c>
      <c r="H3685" t="s">
        <v>1607</v>
      </c>
      <c r="J3685" s="4">
        <v>232510</v>
      </c>
    </row>
    <row r="3686" spans="1:10" hidden="1" outlineLevel="2" x14ac:dyDescent="0.35">
      <c r="A3686" t="s">
        <v>26</v>
      </c>
      <c r="B3686" s="1">
        <v>45728</v>
      </c>
      <c r="C3686" t="str">
        <f>"74"</f>
        <v>74</v>
      </c>
      <c r="D3686" t="s">
        <v>1613</v>
      </c>
      <c r="E3686" t="s">
        <v>1614</v>
      </c>
      <c r="F3686" t="str">
        <f t="shared" si="124"/>
        <v>44540000</v>
      </c>
      <c r="H3686" t="s">
        <v>1615</v>
      </c>
      <c r="J3686" s="4">
        <v>126983</v>
      </c>
    </row>
    <row r="3687" spans="1:10" hidden="1" outlineLevel="2" x14ac:dyDescent="0.35">
      <c r="A3687" t="s">
        <v>26</v>
      </c>
      <c r="B3687" s="1">
        <v>45734</v>
      </c>
      <c r="C3687" t="str">
        <f>"83"</f>
        <v>83</v>
      </c>
      <c r="D3687" t="s">
        <v>1678</v>
      </c>
      <c r="E3687" t="str">
        <f>"001385"</f>
        <v>001385</v>
      </c>
      <c r="F3687" t="str">
        <f t="shared" si="124"/>
        <v>44540000</v>
      </c>
      <c r="H3687" t="s">
        <v>1679</v>
      </c>
      <c r="J3687" s="4">
        <v>162000</v>
      </c>
    </row>
    <row r="3688" spans="1:10" hidden="1" outlineLevel="2" x14ac:dyDescent="0.35">
      <c r="A3688" t="s">
        <v>26</v>
      </c>
      <c r="B3688" s="1">
        <v>45734</v>
      </c>
      <c r="C3688" t="str">
        <f>"123"</f>
        <v>123</v>
      </c>
      <c r="D3688" t="s">
        <v>1680</v>
      </c>
      <c r="E3688" t="str">
        <f>"0953"</f>
        <v>0953</v>
      </c>
      <c r="F3688" t="str">
        <f t="shared" si="124"/>
        <v>44540000</v>
      </c>
      <c r="H3688" t="s">
        <v>1681</v>
      </c>
      <c r="J3688" s="4">
        <v>52650</v>
      </c>
    </row>
    <row r="3689" spans="1:10" hidden="1" outlineLevel="2" x14ac:dyDescent="0.35">
      <c r="A3689" t="s">
        <v>26</v>
      </c>
      <c r="B3689" s="1">
        <v>45736</v>
      </c>
      <c r="C3689" t="str">
        <f>"90"</f>
        <v>90</v>
      </c>
      <c r="D3689" t="s">
        <v>1694</v>
      </c>
      <c r="E3689" t="s">
        <v>1695</v>
      </c>
      <c r="F3689" t="str">
        <f t="shared" si="124"/>
        <v>44540000</v>
      </c>
      <c r="H3689" t="s">
        <v>1696</v>
      </c>
      <c r="J3689" s="4">
        <v>6533</v>
      </c>
    </row>
    <row r="3690" spans="1:10" hidden="1" outlineLevel="2" x14ac:dyDescent="0.35">
      <c r="A3690" t="s">
        <v>26</v>
      </c>
      <c r="B3690" s="1">
        <v>45736</v>
      </c>
      <c r="C3690" t="str">
        <f>"91"</f>
        <v>91</v>
      </c>
      <c r="D3690" t="s">
        <v>1697</v>
      </c>
      <c r="E3690" t="s">
        <v>1698</v>
      </c>
      <c r="F3690" t="str">
        <f t="shared" ref="F3690:F3714" si="125">"44540000"</f>
        <v>44540000</v>
      </c>
      <c r="H3690" t="s">
        <v>1696</v>
      </c>
      <c r="J3690" s="4">
        <v>6420</v>
      </c>
    </row>
    <row r="3691" spans="1:10" hidden="1" outlineLevel="2" x14ac:dyDescent="0.35">
      <c r="A3691" t="s">
        <v>26</v>
      </c>
      <c r="B3691" s="1">
        <v>45736</v>
      </c>
      <c r="C3691" t="str">
        <f>"92"</f>
        <v>92</v>
      </c>
      <c r="D3691" t="s">
        <v>1699</v>
      </c>
      <c r="E3691" t="str">
        <f>"0000103"</f>
        <v>0000103</v>
      </c>
      <c r="F3691" t="str">
        <f t="shared" si="125"/>
        <v>44540000</v>
      </c>
      <c r="H3691" t="s">
        <v>1700</v>
      </c>
      <c r="J3691" s="4">
        <v>6840</v>
      </c>
    </row>
    <row r="3692" spans="1:10" hidden="1" outlineLevel="2" x14ac:dyDescent="0.35">
      <c r="A3692" t="s">
        <v>26</v>
      </c>
      <c r="B3692" s="1">
        <v>45737</v>
      </c>
      <c r="C3692" t="str">
        <f>"158"</f>
        <v>158</v>
      </c>
      <c r="D3692" t="s">
        <v>1713</v>
      </c>
      <c r="E3692" t="s">
        <v>1714</v>
      </c>
      <c r="F3692" t="str">
        <f t="shared" si="125"/>
        <v>44540000</v>
      </c>
      <c r="H3692" t="s">
        <v>1715</v>
      </c>
      <c r="J3692" s="4">
        <v>13680</v>
      </c>
    </row>
    <row r="3693" spans="1:10" hidden="1" outlineLevel="2" x14ac:dyDescent="0.35">
      <c r="A3693" t="s">
        <v>26</v>
      </c>
      <c r="B3693" s="1">
        <v>45737</v>
      </c>
      <c r="C3693" t="str">
        <f>"168"</f>
        <v>168</v>
      </c>
      <c r="D3693" t="s">
        <v>1716</v>
      </c>
      <c r="E3693" t="s">
        <v>1717</v>
      </c>
      <c r="F3693" t="str">
        <f t="shared" si="125"/>
        <v>44540000</v>
      </c>
      <c r="H3693" t="s">
        <v>1718</v>
      </c>
      <c r="J3693" s="4">
        <v>338724</v>
      </c>
    </row>
    <row r="3694" spans="1:10" hidden="1" outlineLevel="2" x14ac:dyDescent="0.35">
      <c r="A3694" t="s">
        <v>26</v>
      </c>
      <c r="B3694" s="1">
        <v>45740</v>
      </c>
      <c r="C3694" t="str">
        <f>"130"</f>
        <v>130</v>
      </c>
      <c r="D3694" t="s">
        <v>1723</v>
      </c>
      <c r="E3694" t="str">
        <f>"001181"</f>
        <v>001181</v>
      </c>
      <c r="F3694" t="str">
        <f t="shared" si="125"/>
        <v>44540000</v>
      </c>
      <c r="H3694" t="s">
        <v>1724</v>
      </c>
      <c r="J3694" s="4">
        <v>62100</v>
      </c>
    </row>
    <row r="3695" spans="1:10" hidden="1" outlineLevel="2" x14ac:dyDescent="0.35">
      <c r="A3695" t="s">
        <v>26</v>
      </c>
      <c r="B3695" s="1">
        <v>45740</v>
      </c>
      <c r="C3695" t="str">
        <f>"133"</f>
        <v>133</v>
      </c>
      <c r="D3695" t="s">
        <v>1730</v>
      </c>
      <c r="E3695" t="str">
        <f>"0000450"</f>
        <v>0000450</v>
      </c>
      <c r="F3695" t="str">
        <f t="shared" si="125"/>
        <v>44540000</v>
      </c>
      <c r="H3695" t="s">
        <v>1732</v>
      </c>
      <c r="J3695" s="4">
        <v>190800</v>
      </c>
    </row>
    <row r="3696" spans="1:10" hidden="1" outlineLevel="2" x14ac:dyDescent="0.35">
      <c r="A3696" t="s">
        <v>26</v>
      </c>
      <c r="B3696" s="1">
        <v>45740</v>
      </c>
      <c r="C3696" t="str">
        <f>"134"</f>
        <v>134</v>
      </c>
      <c r="D3696" t="s">
        <v>1733</v>
      </c>
      <c r="E3696" t="str">
        <f>"0000502"</f>
        <v>0000502</v>
      </c>
      <c r="F3696" t="str">
        <f t="shared" si="125"/>
        <v>44540000</v>
      </c>
      <c r="H3696" t="s">
        <v>1734</v>
      </c>
      <c r="J3696" s="4">
        <v>190800</v>
      </c>
    </row>
    <row r="3697" spans="1:11" hidden="1" outlineLevel="2" x14ac:dyDescent="0.35">
      <c r="A3697" t="s">
        <v>1790</v>
      </c>
      <c r="B3697" s="1">
        <v>45731</v>
      </c>
      <c r="C3697" t="str">
        <f>"160"</f>
        <v>160</v>
      </c>
      <c r="F3697" t="str">
        <f t="shared" si="125"/>
        <v>44540000</v>
      </c>
      <c r="H3697" t="s">
        <v>1809</v>
      </c>
      <c r="J3697" s="4">
        <v>146858</v>
      </c>
    </row>
    <row r="3698" spans="1:11" hidden="1" outlineLevel="2" x14ac:dyDescent="0.35">
      <c r="A3698" t="s">
        <v>1873</v>
      </c>
      <c r="B3698" s="1">
        <v>45747</v>
      </c>
      <c r="C3698" t="str">
        <f>"70"</f>
        <v>70</v>
      </c>
      <c r="F3698" t="str">
        <f t="shared" si="125"/>
        <v>44540000</v>
      </c>
      <c r="H3698" t="s">
        <v>58</v>
      </c>
      <c r="J3698" s="4">
        <v>4635</v>
      </c>
    </row>
    <row r="3699" spans="1:11" hidden="1" outlineLevel="2" x14ac:dyDescent="0.35">
      <c r="A3699" t="s">
        <v>1892</v>
      </c>
      <c r="B3699" s="1">
        <v>45726</v>
      </c>
      <c r="C3699" t="str">
        <f>"70"</f>
        <v>70</v>
      </c>
      <c r="F3699" t="str">
        <f t="shared" si="125"/>
        <v>44540000</v>
      </c>
      <c r="H3699" t="s">
        <v>1900</v>
      </c>
      <c r="J3699" s="4">
        <v>513275</v>
      </c>
    </row>
    <row r="3700" spans="1:11" hidden="1" outlineLevel="2" x14ac:dyDescent="0.35">
      <c r="A3700" t="s">
        <v>1892</v>
      </c>
      <c r="B3700" s="1">
        <v>45727</v>
      </c>
      <c r="C3700" t="str">
        <f>"56"</f>
        <v>56</v>
      </c>
      <c r="F3700" t="str">
        <f t="shared" si="125"/>
        <v>44540000</v>
      </c>
      <c r="H3700" t="s">
        <v>58</v>
      </c>
      <c r="J3700" s="4">
        <v>2492</v>
      </c>
    </row>
    <row r="3701" spans="1:11" hidden="1" outlineLevel="2" x14ac:dyDescent="0.35">
      <c r="A3701" t="s">
        <v>1892</v>
      </c>
      <c r="B3701" s="1">
        <v>45733</v>
      </c>
      <c r="C3701" t="str">
        <f>"62"</f>
        <v>62</v>
      </c>
      <c r="F3701" t="str">
        <f t="shared" si="125"/>
        <v>44540000</v>
      </c>
      <c r="H3701" t="s">
        <v>58</v>
      </c>
      <c r="J3701" s="4">
        <v>2500</v>
      </c>
    </row>
    <row r="3702" spans="1:11" hidden="1" outlineLevel="2" x14ac:dyDescent="0.35">
      <c r="A3702" t="s">
        <v>1892</v>
      </c>
      <c r="B3702" s="1">
        <v>45744</v>
      </c>
      <c r="C3702" t="str">
        <f>"66"</f>
        <v>66</v>
      </c>
      <c r="F3702" t="str">
        <f t="shared" si="125"/>
        <v>44540000</v>
      </c>
      <c r="H3702" t="s">
        <v>58</v>
      </c>
      <c r="J3702" s="4">
        <v>23401</v>
      </c>
    </row>
    <row r="3703" spans="1:11" hidden="1" outlineLevel="2" x14ac:dyDescent="0.35">
      <c r="A3703" t="s">
        <v>1892</v>
      </c>
      <c r="B3703" s="1">
        <v>45744</v>
      </c>
      <c r="C3703" t="str">
        <f>"67"</f>
        <v>67</v>
      </c>
      <c r="F3703" t="str">
        <f t="shared" si="125"/>
        <v>44540000</v>
      </c>
      <c r="H3703" t="s">
        <v>58</v>
      </c>
      <c r="J3703" s="4">
        <v>3963</v>
      </c>
    </row>
    <row r="3704" spans="1:11" hidden="1" outlineLevel="2" x14ac:dyDescent="0.35">
      <c r="A3704" t="s">
        <v>1892</v>
      </c>
      <c r="B3704" s="1">
        <v>45744</v>
      </c>
      <c r="C3704" t="str">
        <f>"68"</f>
        <v>68</v>
      </c>
      <c r="F3704" t="str">
        <f t="shared" si="125"/>
        <v>44540000</v>
      </c>
      <c r="H3704" t="s">
        <v>58</v>
      </c>
      <c r="J3704" s="4">
        <v>2000</v>
      </c>
    </row>
    <row r="3705" spans="1:11" hidden="1" outlineLevel="2" x14ac:dyDescent="0.35">
      <c r="A3705" t="s">
        <v>1892</v>
      </c>
      <c r="B3705" s="1">
        <v>45744</v>
      </c>
      <c r="C3705" t="str">
        <f>"69"</f>
        <v>69</v>
      </c>
      <c r="F3705" t="str">
        <f t="shared" si="125"/>
        <v>44540000</v>
      </c>
      <c r="H3705" t="s">
        <v>58</v>
      </c>
      <c r="J3705" s="4">
        <v>2126</v>
      </c>
    </row>
    <row r="3706" spans="1:11" hidden="1" outlineLevel="2" x14ac:dyDescent="0.35">
      <c r="A3706" t="s">
        <v>1911</v>
      </c>
      <c r="B3706" s="1">
        <v>45739</v>
      </c>
      <c r="C3706" t="str">
        <f>"188"</f>
        <v>188</v>
      </c>
      <c r="F3706" t="str">
        <f t="shared" si="125"/>
        <v>44540000</v>
      </c>
      <c r="H3706" t="s">
        <v>1942</v>
      </c>
      <c r="J3706" s="4">
        <v>1044217</v>
      </c>
    </row>
    <row r="3707" spans="1:11" hidden="1" outlineLevel="2" x14ac:dyDescent="0.35">
      <c r="A3707" t="s">
        <v>1911</v>
      </c>
      <c r="B3707" s="1">
        <v>45744</v>
      </c>
      <c r="C3707" t="str">
        <f>"189"</f>
        <v>189</v>
      </c>
      <c r="F3707" t="str">
        <f t="shared" si="125"/>
        <v>44540000</v>
      </c>
      <c r="H3707" t="s">
        <v>1976</v>
      </c>
      <c r="J3707" s="4">
        <v>738332</v>
      </c>
    </row>
    <row r="3708" spans="1:11" hidden="1" outlineLevel="2" x14ac:dyDescent="0.35">
      <c r="A3708" t="s">
        <v>1911</v>
      </c>
      <c r="B3708" s="1">
        <v>45747</v>
      </c>
      <c r="C3708" t="str">
        <f>"237"</f>
        <v>237</v>
      </c>
      <c r="F3708" t="str">
        <f t="shared" si="125"/>
        <v>44540000</v>
      </c>
      <c r="H3708" t="s">
        <v>58</v>
      </c>
      <c r="J3708" s="4">
        <v>22118</v>
      </c>
    </row>
    <row r="3709" spans="1:11" hidden="1" outlineLevel="2" x14ac:dyDescent="0.35">
      <c r="A3709" t="s">
        <v>1911</v>
      </c>
      <c r="B3709" s="1">
        <v>45747</v>
      </c>
      <c r="C3709" t="str">
        <f>"239"</f>
        <v>239</v>
      </c>
      <c r="F3709" t="str">
        <f t="shared" si="125"/>
        <v>44540000</v>
      </c>
      <c r="H3709" t="s">
        <v>58</v>
      </c>
      <c r="J3709" s="4">
        <v>1500</v>
      </c>
    </row>
    <row r="3710" spans="1:11" hidden="1" outlineLevel="2" x14ac:dyDescent="0.35">
      <c r="A3710" t="s">
        <v>1986</v>
      </c>
      <c r="B3710" s="1">
        <v>45738</v>
      </c>
      <c r="C3710" t="str">
        <f>"73"</f>
        <v>73</v>
      </c>
      <c r="F3710" t="str">
        <f t="shared" si="125"/>
        <v>44540000</v>
      </c>
      <c r="H3710" t="s">
        <v>2011</v>
      </c>
      <c r="J3710" s="4">
        <v>265727</v>
      </c>
    </row>
    <row r="3711" spans="1:11" hidden="1" outlineLevel="2" x14ac:dyDescent="0.35">
      <c r="A3711" t="s">
        <v>72</v>
      </c>
      <c r="B3711" s="1">
        <v>45727</v>
      </c>
      <c r="C3711" t="str">
        <f>"7"</f>
        <v>7</v>
      </c>
      <c r="D3711" t="str">
        <f>"103148"</f>
        <v>103148</v>
      </c>
      <c r="E3711" t="s">
        <v>2681</v>
      </c>
      <c r="F3711" t="str">
        <f t="shared" si="125"/>
        <v>44540000</v>
      </c>
      <c r="H3711" t="s">
        <v>2684</v>
      </c>
      <c r="J3711" s="4">
        <v>13680</v>
      </c>
    </row>
    <row r="3712" spans="1:11" hidden="1" outlineLevel="2" x14ac:dyDescent="0.35">
      <c r="A3712" t="s">
        <v>101</v>
      </c>
      <c r="B3712" s="1">
        <v>45717</v>
      </c>
      <c r="C3712" t="str">
        <f>"18"</f>
        <v>18</v>
      </c>
      <c r="F3712" t="str">
        <f t="shared" si="125"/>
        <v>44540000</v>
      </c>
      <c r="H3712" t="s">
        <v>2749</v>
      </c>
      <c r="K3712" s="4">
        <v>-10776625</v>
      </c>
    </row>
    <row r="3713" spans="1:11" hidden="1" outlineLevel="2" x14ac:dyDescent="0.35">
      <c r="A3713" t="s">
        <v>101</v>
      </c>
      <c r="B3713" s="1">
        <v>45717</v>
      </c>
      <c r="C3713" t="str">
        <f>"20"</f>
        <v>20</v>
      </c>
      <c r="F3713" t="str">
        <f t="shared" si="125"/>
        <v>44540000</v>
      </c>
      <c r="H3713" t="s">
        <v>2750</v>
      </c>
      <c r="K3713" s="4">
        <v>10776625</v>
      </c>
    </row>
    <row r="3714" spans="1:11" hidden="1" outlineLevel="2" x14ac:dyDescent="0.35">
      <c r="A3714" t="s">
        <v>101</v>
      </c>
      <c r="B3714" s="1">
        <v>45747</v>
      </c>
      <c r="C3714" t="str">
        <f>"68"</f>
        <v>68</v>
      </c>
      <c r="F3714" t="str">
        <f t="shared" si="125"/>
        <v>44540000</v>
      </c>
      <c r="H3714" t="s">
        <v>120</v>
      </c>
      <c r="K3714" s="4">
        <v>13631782</v>
      </c>
    </row>
    <row r="3715" spans="1:11" outlineLevel="1" collapsed="1" x14ac:dyDescent="0.35">
      <c r="B3715" s="1"/>
      <c r="F3715" s="3" t="s">
        <v>6560</v>
      </c>
      <c r="J3715" s="4">
        <f>SUBTOTAL(9,J3626:J3714)</f>
        <v>14031112</v>
      </c>
      <c r="K3715" s="4">
        <f>SUBTOTAL(9,K3626:K3714)</f>
        <v>13631782</v>
      </c>
    </row>
    <row r="3716" spans="1:11" hidden="1" outlineLevel="2" x14ac:dyDescent="0.35">
      <c r="A3716" t="s">
        <v>101</v>
      </c>
      <c r="B3716" s="1">
        <v>45746</v>
      </c>
      <c r="C3716" t="str">
        <f>"14"</f>
        <v>14</v>
      </c>
      <c r="F3716" t="str">
        <f>"44601000"</f>
        <v>44601000</v>
      </c>
      <c r="H3716" t="s">
        <v>114</v>
      </c>
      <c r="K3716" s="4">
        <v>1411490</v>
      </c>
    </row>
    <row r="3717" spans="1:11" outlineLevel="1" collapsed="1" x14ac:dyDescent="0.35">
      <c r="B3717" s="1"/>
      <c r="F3717" s="3" t="s">
        <v>6561</v>
      </c>
      <c r="J3717" s="4">
        <f>SUBTOTAL(9,J3716:J3716)</f>
        <v>0</v>
      </c>
      <c r="K3717" s="4">
        <f>SUBTOTAL(9,K3716:K3716)</f>
        <v>1411490</v>
      </c>
    </row>
    <row r="3718" spans="1:11" hidden="1" outlineLevel="2" x14ac:dyDescent="0.35">
      <c r="A3718" t="s">
        <v>2964</v>
      </c>
      <c r="B3718" s="1">
        <v>45747</v>
      </c>
      <c r="C3718" t="s">
        <v>2965</v>
      </c>
      <c r="D3718" t="s">
        <v>2966</v>
      </c>
      <c r="F3718" t="str">
        <f>"44720000"</f>
        <v>44720000</v>
      </c>
      <c r="H3718" t="s">
        <v>2978</v>
      </c>
      <c r="K3718" s="4">
        <v>21547220</v>
      </c>
    </row>
    <row r="3719" spans="1:11" hidden="1" outlineLevel="2" x14ac:dyDescent="0.35">
      <c r="A3719" t="s">
        <v>2964</v>
      </c>
      <c r="B3719" s="1">
        <v>45747</v>
      </c>
      <c r="C3719" t="s">
        <v>2965</v>
      </c>
      <c r="D3719" t="s">
        <v>2966</v>
      </c>
      <c r="F3719" t="str">
        <f>"44720000"</f>
        <v>44720000</v>
      </c>
      <c r="H3719" t="s">
        <v>2979</v>
      </c>
      <c r="K3719" s="4">
        <v>4031932</v>
      </c>
    </row>
    <row r="3720" spans="1:11" hidden="1" outlineLevel="2" x14ac:dyDescent="0.35">
      <c r="A3720" t="s">
        <v>2964</v>
      </c>
      <c r="B3720" s="1">
        <v>45747</v>
      </c>
      <c r="C3720" t="s">
        <v>2965</v>
      </c>
      <c r="D3720" t="s">
        <v>2966</v>
      </c>
      <c r="F3720" t="str">
        <f>"44720000"</f>
        <v>44720000</v>
      </c>
      <c r="H3720" t="s">
        <v>2980</v>
      </c>
      <c r="K3720" s="4">
        <v>2733112</v>
      </c>
    </row>
    <row r="3721" spans="1:11" hidden="1" outlineLevel="2" x14ac:dyDescent="0.35">
      <c r="A3721" t="s">
        <v>2964</v>
      </c>
      <c r="B3721" s="1">
        <v>45747</v>
      </c>
      <c r="C3721" t="s">
        <v>2965</v>
      </c>
      <c r="D3721" t="s">
        <v>2966</v>
      </c>
      <c r="F3721" t="str">
        <f>"44720000"</f>
        <v>44720000</v>
      </c>
      <c r="H3721" t="s">
        <v>2981</v>
      </c>
      <c r="K3721" s="4">
        <v>328831</v>
      </c>
    </row>
    <row r="3722" spans="1:11" outlineLevel="1" collapsed="1" x14ac:dyDescent="0.35">
      <c r="B3722" s="1"/>
      <c r="F3722" s="3" t="s">
        <v>6562</v>
      </c>
      <c r="J3722" s="4">
        <f>SUBTOTAL(9,J3718:J3721)</f>
        <v>0</v>
      </c>
      <c r="K3722" s="4">
        <f>SUBTOTAL(9,K3718:K3721)</f>
        <v>28641095</v>
      </c>
    </row>
    <row r="3723" spans="1:11" hidden="1" outlineLevel="2" x14ac:dyDescent="0.35">
      <c r="A3723" t="s">
        <v>11</v>
      </c>
      <c r="B3723" s="1">
        <v>45717</v>
      </c>
      <c r="C3723" t="str">
        <f>"226"</f>
        <v>226</v>
      </c>
      <c r="E3723" t="s">
        <v>1224</v>
      </c>
      <c r="F3723" t="str">
        <f>"44720100"</f>
        <v>44720100</v>
      </c>
      <c r="H3723" t="s">
        <v>1225</v>
      </c>
      <c r="K3723" s="4">
        <v>2830381</v>
      </c>
    </row>
    <row r="3724" spans="1:11" outlineLevel="1" collapsed="1" x14ac:dyDescent="0.35">
      <c r="B3724" s="1"/>
      <c r="F3724" s="3" t="s">
        <v>6563</v>
      </c>
      <c r="J3724" s="4">
        <f>SUBTOTAL(9,J3723:J3723)</f>
        <v>0</v>
      </c>
      <c r="K3724" s="4">
        <f>SUBTOTAL(9,K3723:K3723)</f>
        <v>2830381</v>
      </c>
    </row>
    <row r="3725" spans="1:11" hidden="1" outlineLevel="2" x14ac:dyDescent="0.35">
      <c r="A3725" t="s">
        <v>2964</v>
      </c>
      <c r="B3725" s="1">
        <v>45747</v>
      </c>
      <c r="C3725" t="s">
        <v>2965</v>
      </c>
      <c r="D3725" t="s">
        <v>2966</v>
      </c>
      <c r="F3725" t="str">
        <f>"44721000"</f>
        <v>44721000</v>
      </c>
      <c r="H3725" t="s">
        <v>2982</v>
      </c>
      <c r="K3725" s="4">
        <v>1819598</v>
      </c>
    </row>
    <row r="3726" spans="1:11" hidden="1" outlineLevel="2" x14ac:dyDescent="0.35">
      <c r="A3726" t="s">
        <v>2964</v>
      </c>
      <c r="B3726" s="1">
        <v>45747</v>
      </c>
      <c r="C3726" t="s">
        <v>2965</v>
      </c>
      <c r="D3726" t="s">
        <v>2966</v>
      </c>
      <c r="F3726" t="str">
        <f>"44721000"</f>
        <v>44721000</v>
      </c>
      <c r="H3726" t="s">
        <v>2983</v>
      </c>
      <c r="K3726" s="4">
        <v>274014</v>
      </c>
    </row>
    <row r="3727" spans="1:11" outlineLevel="1" collapsed="1" x14ac:dyDescent="0.35">
      <c r="B3727" s="1"/>
      <c r="F3727" s="3" t="s">
        <v>6564</v>
      </c>
      <c r="J3727" s="4">
        <f>SUBTOTAL(9,J3725:J3726)</f>
        <v>0</v>
      </c>
      <c r="K3727" s="4">
        <f>SUBTOTAL(9,K3725:K3726)</f>
        <v>2093612</v>
      </c>
    </row>
    <row r="3728" spans="1:11" hidden="1" outlineLevel="2" x14ac:dyDescent="0.35">
      <c r="A3728" t="s">
        <v>2964</v>
      </c>
      <c r="B3728" s="1">
        <v>45747</v>
      </c>
      <c r="C3728" t="s">
        <v>2965</v>
      </c>
      <c r="D3728" t="s">
        <v>2966</v>
      </c>
      <c r="F3728" t="str">
        <f>"44721200"</f>
        <v>44721200</v>
      </c>
      <c r="H3728" t="s">
        <v>2984</v>
      </c>
      <c r="K3728" s="4">
        <v>1091767</v>
      </c>
    </row>
    <row r="3729" spans="1:11" hidden="1" outlineLevel="2" x14ac:dyDescent="0.35">
      <c r="A3729" t="s">
        <v>2964</v>
      </c>
      <c r="B3729" s="1">
        <v>45747</v>
      </c>
      <c r="C3729" t="s">
        <v>2965</v>
      </c>
      <c r="D3729" t="s">
        <v>2966</v>
      </c>
      <c r="F3729" t="str">
        <f>"44721200"</f>
        <v>44721200</v>
      </c>
      <c r="H3729" t="s">
        <v>2985</v>
      </c>
      <c r="K3729" s="4">
        <v>164409</v>
      </c>
    </row>
    <row r="3730" spans="1:11" outlineLevel="1" collapsed="1" x14ac:dyDescent="0.35">
      <c r="B3730" s="1"/>
      <c r="F3730" s="3" t="s">
        <v>6565</v>
      </c>
      <c r="J3730" s="4">
        <f>SUBTOTAL(9,J3728:J3729)</f>
        <v>0</v>
      </c>
      <c r="K3730" s="4">
        <f>SUBTOTAL(9,K3728:K3729)</f>
        <v>1256176</v>
      </c>
    </row>
    <row r="3731" spans="1:11" hidden="1" outlineLevel="2" x14ac:dyDescent="0.35">
      <c r="A3731" t="s">
        <v>26</v>
      </c>
      <c r="B3731" s="1">
        <v>45720</v>
      </c>
      <c r="C3731" t="str">
        <f>"16"</f>
        <v>16</v>
      </c>
      <c r="D3731" t="s">
        <v>1454</v>
      </c>
      <c r="E3731" t="s">
        <v>1455</v>
      </c>
      <c r="F3731" t="str">
        <f>"44780100"</f>
        <v>44780100</v>
      </c>
      <c r="H3731" t="s">
        <v>1456</v>
      </c>
      <c r="K3731" s="4">
        <v>28800</v>
      </c>
    </row>
    <row r="3732" spans="1:11" hidden="1" outlineLevel="2" x14ac:dyDescent="0.35">
      <c r="A3732" t="s">
        <v>26</v>
      </c>
      <c r="B3732" s="1">
        <v>45730</v>
      </c>
      <c r="C3732" t="str">
        <f>"79"</f>
        <v>79</v>
      </c>
      <c r="D3732" t="s">
        <v>1658</v>
      </c>
      <c r="E3732" t="str">
        <f>"21"</f>
        <v>21</v>
      </c>
      <c r="F3732" t="str">
        <f>"44780100"</f>
        <v>44780100</v>
      </c>
      <c r="H3732" t="s">
        <v>1659</v>
      </c>
      <c r="K3732" s="4">
        <v>648000</v>
      </c>
    </row>
    <row r="3733" spans="1:11" outlineLevel="1" collapsed="1" x14ac:dyDescent="0.35">
      <c r="B3733" s="1"/>
      <c r="F3733" s="3" t="s">
        <v>6566</v>
      </c>
      <c r="J3733" s="4">
        <f>SUBTOTAL(9,J3731:J3732)</f>
        <v>0</v>
      </c>
      <c r="K3733" s="4">
        <f>SUBTOTAL(9,K3731:K3732)</f>
        <v>676800</v>
      </c>
    </row>
    <row r="3734" spans="1:11" hidden="1" outlineLevel="2" x14ac:dyDescent="0.35">
      <c r="A3734" t="s">
        <v>1873</v>
      </c>
      <c r="B3734" s="1">
        <v>45720</v>
      </c>
      <c r="C3734" t="str">
        <f>"48"</f>
        <v>48</v>
      </c>
      <c r="F3734" t="str">
        <f t="shared" ref="F3734:F3744" si="126">"44920100"</f>
        <v>44920100</v>
      </c>
      <c r="H3734" t="s">
        <v>1879</v>
      </c>
      <c r="K3734" s="4">
        <v>47180</v>
      </c>
    </row>
    <row r="3735" spans="1:11" hidden="1" outlineLevel="2" x14ac:dyDescent="0.35">
      <c r="A3735" t="s">
        <v>1892</v>
      </c>
      <c r="B3735" s="1">
        <v>45736</v>
      </c>
      <c r="C3735" t="str">
        <f>"50"</f>
        <v>50</v>
      </c>
      <c r="F3735" t="str">
        <f t="shared" si="126"/>
        <v>44920100</v>
      </c>
      <c r="H3735" t="s">
        <v>1906</v>
      </c>
      <c r="K3735" s="4">
        <v>20000</v>
      </c>
    </row>
    <row r="3736" spans="1:11" hidden="1" outlineLevel="2" x14ac:dyDescent="0.35">
      <c r="A3736" t="s">
        <v>1911</v>
      </c>
      <c r="B3736" s="1">
        <v>45727</v>
      </c>
      <c r="C3736" t="str">
        <f>"170"</f>
        <v>170</v>
      </c>
      <c r="F3736" t="str">
        <f t="shared" si="126"/>
        <v>44920100</v>
      </c>
      <c r="H3736" t="s">
        <v>1926</v>
      </c>
      <c r="K3736" s="4">
        <v>11500</v>
      </c>
    </row>
    <row r="3737" spans="1:11" hidden="1" outlineLevel="2" x14ac:dyDescent="0.35">
      <c r="A3737" t="s">
        <v>1986</v>
      </c>
      <c r="B3737" s="1">
        <v>45728</v>
      </c>
      <c r="C3737" t="str">
        <f>"61"</f>
        <v>61</v>
      </c>
      <c r="F3737" t="str">
        <f t="shared" si="126"/>
        <v>44920100</v>
      </c>
      <c r="H3737" t="s">
        <v>1997</v>
      </c>
      <c r="K3737" s="4">
        <v>6704</v>
      </c>
    </row>
    <row r="3738" spans="1:11" hidden="1" outlineLevel="2" x14ac:dyDescent="0.35">
      <c r="A3738" t="s">
        <v>2337</v>
      </c>
      <c r="B3738" s="1">
        <v>45720</v>
      </c>
      <c r="C3738" t="str">
        <f>"656"</f>
        <v>656</v>
      </c>
      <c r="E3738" t="str">
        <f>"17275"</f>
        <v>17275</v>
      </c>
      <c r="F3738" t="str">
        <f t="shared" si="126"/>
        <v>44920100</v>
      </c>
      <c r="H3738" t="s">
        <v>2353</v>
      </c>
      <c r="K3738" s="4">
        <v>1920</v>
      </c>
    </row>
    <row r="3739" spans="1:11" hidden="1" outlineLevel="2" x14ac:dyDescent="0.35">
      <c r="A3739" t="s">
        <v>2337</v>
      </c>
      <c r="B3739" s="1">
        <v>45721</v>
      </c>
      <c r="C3739" t="str">
        <f>"670"</f>
        <v>670</v>
      </c>
      <c r="E3739" t="str">
        <f>"17290"</f>
        <v>17290</v>
      </c>
      <c r="F3739" t="str">
        <f t="shared" si="126"/>
        <v>44920100</v>
      </c>
      <c r="H3739" t="s">
        <v>2374</v>
      </c>
      <c r="K3739" s="4">
        <v>15600</v>
      </c>
    </row>
    <row r="3740" spans="1:11" hidden="1" outlineLevel="2" x14ac:dyDescent="0.35">
      <c r="A3740" t="s">
        <v>2337</v>
      </c>
      <c r="B3740" s="1">
        <v>45735</v>
      </c>
      <c r="C3740" t="str">
        <f>"804"</f>
        <v>804</v>
      </c>
      <c r="E3740" t="str">
        <f>"17460"</f>
        <v>17460</v>
      </c>
      <c r="F3740" t="str">
        <f t="shared" si="126"/>
        <v>44920100</v>
      </c>
      <c r="H3740" t="s">
        <v>2546</v>
      </c>
      <c r="K3740" s="4">
        <v>1920</v>
      </c>
    </row>
    <row r="3741" spans="1:11" hidden="1" outlineLevel="2" x14ac:dyDescent="0.35">
      <c r="A3741" t="s">
        <v>2337</v>
      </c>
      <c r="B3741" s="1">
        <v>45735</v>
      </c>
      <c r="C3741" t="str">
        <f>"805"</f>
        <v>805</v>
      </c>
      <c r="E3741" t="str">
        <f>"17461"</f>
        <v>17461</v>
      </c>
      <c r="F3741" t="str">
        <f t="shared" si="126"/>
        <v>44920100</v>
      </c>
      <c r="H3741" t="s">
        <v>2547</v>
      </c>
      <c r="K3741" s="4">
        <v>960</v>
      </c>
    </row>
    <row r="3742" spans="1:11" hidden="1" outlineLevel="2" x14ac:dyDescent="0.35">
      <c r="A3742" t="s">
        <v>2337</v>
      </c>
      <c r="B3742" s="1">
        <v>45740</v>
      </c>
      <c r="C3742" t="str">
        <f>"839"</f>
        <v>839</v>
      </c>
      <c r="E3742" t="str">
        <f>"17495"</f>
        <v>17495</v>
      </c>
      <c r="F3742" t="str">
        <f t="shared" si="126"/>
        <v>44920100</v>
      </c>
      <c r="H3742" t="s">
        <v>2594</v>
      </c>
      <c r="K3742" s="4">
        <v>1080</v>
      </c>
    </row>
    <row r="3743" spans="1:11" hidden="1" outlineLevel="2" x14ac:dyDescent="0.35">
      <c r="A3743" t="s">
        <v>75</v>
      </c>
      <c r="B3743" s="1">
        <v>45736</v>
      </c>
      <c r="C3743" t="str">
        <f>"4"</f>
        <v>4</v>
      </c>
      <c r="D3743" t="s">
        <v>2700</v>
      </c>
      <c r="E3743" t="s">
        <v>2701</v>
      </c>
      <c r="F3743" t="str">
        <f t="shared" si="126"/>
        <v>44920100</v>
      </c>
      <c r="H3743" t="s">
        <v>2705</v>
      </c>
      <c r="K3743" s="4">
        <v>104000</v>
      </c>
    </row>
    <row r="3744" spans="1:11" hidden="1" outlineLevel="2" x14ac:dyDescent="0.35">
      <c r="A3744" t="s">
        <v>75</v>
      </c>
      <c r="B3744" s="1">
        <v>45736</v>
      </c>
      <c r="C3744" t="str">
        <f>"11"</f>
        <v>11</v>
      </c>
      <c r="D3744" t="s">
        <v>2714</v>
      </c>
      <c r="E3744" t="s">
        <v>2715</v>
      </c>
      <c r="F3744" t="str">
        <f t="shared" si="126"/>
        <v>44920100</v>
      </c>
      <c r="H3744" t="s">
        <v>2716</v>
      </c>
      <c r="K3744" s="4">
        <v>29560</v>
      </c>
    </row>
    <row r="3745" spans="1:11" outlineLevel="1" collapsed="1" x14ac:dyDescent="0.35">
      <c r="B3745" s="1"/>
      <c r="F3745" s="3" t="s">
        <v>6567</v>
      </c>
      <c r="J3745" s="4">
        <f>SUBTOTAL(9,J3734:J3744)</f>
        <v>0</v>
      </c>
      <c r="K3745" s="4">
        <f>SUBTOTAL(9,K3734:K3744)</f>
        <v>240424</v>
      </c>
    </row>
    <row r="3746" spans="1:11" hidden="1" outlineLevel="2" x14ac:dyDescent="0.35">
      <c r="A3746" t="s">
        <v>101</v>
      </c>
      <c r="B3746" s="1">
        <v>45747</v>
      </c>
      <c r="C3746" t="str">
        <f>"10"</f>
        <v>10</v>
      </c>
      <c r="F3746" t="str">
        <f>"46212000"</f>
        <v>46212000</v>
      </c>
      <c r="H3746" t="s">
        <v>2846</v>
      </c>
      <c r="K3746" s="4">
        <v>9478356</v>
      </c>
    </row>
    <row r="3747" spans="1:11" outlineLevel="1" collapsed="1" x14ac:dyDescent="0.35">
      <c r="B3747" s="1"/>
      <c r="F3747" s="3" t="s">
        <v>6568</v>
      </c>
      <c r="J3747" s="4">
        <f>SUBTOTAL(9,J3746:J3746)</f>
        <v>0</v>
      </c>
      <c r="K3747" s="4">
        <f>SUBTOTAL(9,K3746:K3746)</f>
        <v>9478356</v>
      </c>
    </row>
    <row r="3748" spans="1:11" hidden="1" outlineLevel="2" x14ac:dyDescent="0.35">
      <c r="A3748" t="s">
        <v>1911</v>
      </c>
      <c r="B3748" s="1">
        <v>45719</v>
      </c>
      <c r="C3748" t="str">
        <f>"174"</f>
        <v>174</v>
      </c>
      <c r="F3748" t="str">
        <f t="shared" ref="F3748:F3755" si="127">"47100000"</f>
        <v>47100000</v>
      </c>
      <c r="H3748" t="s">
        <v>1913</v>
      </c>
      <c r="J3748" s="4">
        <v>60000000</v>
      </c>
    </row>
    <row r="3749" spans="1:11" hidden="1" outlineLevel="2" x14ac:dyDescent="0.35">
      <c r="A3749" t="s">
        <v>101</v>
      </c>
      <c r="B3749" s="1">
        <v>45717</v>
      </c>
      <c r="C3749" t="str">
        <f>"18"</f>
        <v>18</v>
      </c>
      <c r="F3749" t="str">
        <f t="shared" si="127"/>
        <v>47100000</v>
      </c>
      <c r="H3749" t="s">
        <v>2749</v>
      </c>
      <c r="K3749" s="4">
        <v>-208004520</v>
      </c>
    </row>
    <row r="3750" spans="1:11" hidden="1" outlineLevel="2" x14ac:dyDescent="0.35">
      <c r="A3750" t="s">
        <v>101</v>
      </c>
      <c r="B3750" s="1">
        <v>45717</v>
      </c>
      <c r="C3750" t="str">
        <f>"20"</f>
        <v>20</v>
      </c>
      <c r="F3750" t="str">
        <f t="shared" si="127"/>
        <v>47100000</v>
      </c>
      <c r="H3750" t="s">
        <v>2750</v>
      </c>
      <c r="K3750" s="4">
        <v>208004520</v>
      </c>
    </row>
    <row r="3751" spans="1:11" hidden="1" outlineLevel="2" x14ac:dyDescent="0.35">
      <c r="A3751" t="s">
        <v>101</v>
      </c>
      <c r="B3751" s="1">
        <v>45747</v>
      </c>
      <c r="C3751" t="str">
        <f>"17"</f>
        <v>17</v>
      </c>
      <c r="F3751" t="str">
        <f t="shared" si="127"/>
        <v>47100000</v>
      </c>
      <c r="H3751" t="s">
        <v>2854</v>
      </c>
      <c r="K3751" s="4">
        <v>-1</v>
      </c>
    </row>
    <row r="3752" spans="1:11" hidden="1" outlineLevel="2" x14ac:dyDescent="0.35">
      <c r="A3752" t="s">
        <v>101</v>
      </c>
      <c r="B3752" s="1">
        <v>45747</v>
      </c>
      <c r="C3752" t="str">
        <f>"17"</f>
        <v>17</v>
      </c>
      <c r="F3752" t="str">
        <f t="shared" si="127"/>
        <v>47100000</v>
      </c>
      <c r="H3752" t="s">
        <v>2855</v>
      </c>
      <c r="K3752" s="4">
        <v>1</v>
      </c>
    </row>
    <row r="3753" spans="1:11" hidden="1" outlineLevel="2" x14ac:dyDescent="0.35">
      <c r="A3753" t="s">
        <v>101</v>
      </c>
      <c r="B3753" s="1">
        <v>45747</v>
      </c>
      <c r="C3753" t="str">
        <f>"17"</f>
        <v>17</v>
      </c>
      <c r="F3753" t="str">
        <f t="shared" si="127"/>
        <v>47100000</v>
      </c>
      <c r="H3753" t="s">
        <v>2855</v>
      </c>
      <c r="K3753" s="4">
        <v>1</v>
      </c>
    </row>
    <row r="3754" spans="1:11" hidden="1" outlineLevel="2" x14ac:dyDescent="0.35">
      <c r="A3754" t="s">
        <v>101</v>
      </c>
      <c r="B3754" s="1">
        <v>45747</v>
      </c>
      <c r="C3754" t="str">
        <f>"17"</f>
        <v>17</v>
      </c>
      <c r="F3754" t="str">
        <f t="shared" si="127"/>
        <v>47100000</v>
      </c>
      <c r="H3754" t="s">
        <v>2855</v>
      </c>
      <c r="K3754" s="4">
        <v>-1</v>
      </c>
    </row>
    <row r="3755" spans="1:11" hidden="1" outlineLevel="2" x14ac:dyDescent="0.35">
      <c r="A3755" t="s">
        <v>101</v>
      </c>
      <c r="B3755" s="1">
        <v>45747</v>
      </c>
      <c r="C3755" t="str">
        <f>"68"</f>
        <v>68</v>
      </c>
      <c r="F3755" t="str">
        <f t="shared" si="127"/>
        <v>47100000</v>
      </c>
      <c r="H3755" t="s">
        <v>120</v>
      </c>
      <c r="K3755" s="4">
        <v>156934672</v>
      </c>
    </row>
    <row r="3756" spans="1:11" outlineLevel="1" collapsed="1" x14ac:dyDescent="0.35">
      <c r="B3756" s="1"/>
      <c r="F3756" s="3" t="s">
        <v>6569</v>
      </c>
      <c r="J3756" s="4">
        <f>SUBTOTAL(9,J3748:J3755)</f>
        <v>60000000</v>
      </c>
      <c r="K3756" s="4">
        <f>SUBTOTAL(9,K3748:K3755)</f>
        <v>156934672</v>
      </c>
    </row>
    <row r="3757" spans="1:11" hidden="1" outlineLevel="2" x14ac:dyDescent="0.35">
      <c r="A3757" t="s">
        <v>26</v>
      </c>
      <c r="B3757" s="1">
        <v>45717</v>
      </c>
      <c r="C3757" t="str">
        <f>"99"</f>
        <v>99</v>
      </c>
      <c r="D3757" t="s">
        <v>1394</v>
      </c>
      <c r="E3757" t="s">
        <v>1395</v>
      </c>
      <c r="F3757" t="str">
        <f t="shared" ref="F3757:F3788" si="128">"47110000"</f>
        <v>47110000</v>
      </c>
      <c r="G3757" t="str">
        <f>"41111486"</f>
        <v>41111486</v>
      </c>
      <c r="H3757" t="s">
        <v>1396</v>
      </c>
      <c r="K3757" s="4">
        <v>285788</v>
      </c>
    </row>
    <row r="3758" spans="1:11" hidden="1" outlineLevel="2" x14ac:dyDescent="0.35">
      <c r="A3758" t="s">
        <v>26</v>
      </c>
      <c r="B3758" s="1">
        <v>45717</v>
      </c>
      <c r="C3758" t="str">
        <f>"100"</f>
        <v>100</v>
      </c>
      <c r="D3758" t="s">
        <v>1397</v>
      </c>
      <c r="E3758" t="s">
        <v>1398</v>
      </c>
      <c r="F3758" t="str">
        <f t="shared" si="128"/>
        <v>47110000</v>
      </c>
      <c r="G3758" t="str">
        <f>"41111486"</f>
        <v>41111486</v>
      </c>
      <c r="H3758" t="s">
        <v>1396</v>
      </c>
      <c r="K3758" s="4">
        <v>1397680</v>
      </c>
    </row>
    <row r="3759" spans="1:11" hidden="1" outlineLevel="2" x14ac:dyDescent="0.35">
      <c r="A3759" t="s">
        <v>26</v>
      </c>
      <c r="B3759" s="1">
        <v>45717</v>
      </c>
      <c r="C3759" t="str">
        <f>"101"</f>
        <v>101</v>
      </c>
      <c r="D3759" t="s">
        <v>1399</v>
      </c>
      <c r="E3759" t="s">
        <v>1400</v>
      </c>
      <c r="F3759" t="str">
        <f t="shared" si="128"/>
        <v>47110000</v>
      </c>
      <c r="G3759" t="str">
        <f>"41111486"</f>
        <v>41111486</v>
      </c>
      <c r="H3759" t="s">
        <v>1396</v>
      </c>
      <c r="K3759" s="4">
        <v>28320</v>
      </c>
    </row>
    <row r="3760" spans="1:11" hidden="1" outlineLevel="2" x14ac:dyDescent="0.35">
      <c r="A3760" t="s">
        <v>26</v>
      </c>
      <c r="B3760" s="1">
        <v>45717</v>
      </c>
      <c r="C3760" t="str">
        <f>"102"</f>
        <v>102</v>
      </c>
      <c r="D3760" t="s">
        <v>1401</v>
      </c>
      <c r="E3760" t="s">
        <v>1402</v>
      </c>
      <c r="F3760" t="str">
        <f t="shared" si="128"/>
        <v>47110000</v>
      </c>
      <c r="G3760" t="str">
        <f>"41111486"</f>
        <v>41111486</v>
      </c>
      <c r="H3760" t="s">
        <v>1396</v>
      </c>
      <c r="K3760" s="4">
        <v>56640</v>
      </c>
    </row>
    <row r="3761" spans="1:11" hidden="1" outlineLevel="2" x14ac:dyDescent="0.35">
      <c r="A3761" t="s">
        <v>26</v>
      </c>
      <c r="B3761" s="1">
        <v>45717</v>
      </c>
      <c r="C3761" t="str">
        <f>"103"</f>
        <v>103</v>
      </c>
      <c r="D3761" t="s">
        <v>1403</v>
      </c>
      <c r="E3761" t="s">
        <v>1404</v>
      </c>
      <c r="F3761" t="str">
        <f t="shared" si="128"/>
        <v>47110000</v>
      </c>
      <c r="G3761" t="str">
        <f>"41111478"</f>
        <v>41111478</v>
      </c>
      <c r="H3761" t="s">
        <v>1405</v>
      </c>
      <c r="K3761" s="4">
        <v>57943</v>
      </c>
    </row>
    <row r="3762" spans="1:11" hidden="1" outlineLevel="2" x14ac:dyDescent="0.35">
      <c r="A3762" t="s">
        <v>26</v>
      </c>
      <c r="B3762" s="1">
        <v>45717</v>
      </c>
      <c r="C3762" t="str">
        <f>"165"</f>
        <v>165</v>
      </c>
      <c r="D3762" t="s">
        <v>1431</v>
      </c>
      <c r="E3762" t="s">
        <v>1432</v>
      </c>
      <c r="F3762" t="str">
        <f t="shared" si="128"/>
        <v>47110000</v>
      </c>
      <c r="G3762" t="str">
        <f>"41111478"</f>
        <v>41111478</v>
      </c>
      <c r="H3762" t="s">
        <v>1405</v>
      </c>
      <c r="K3762" s="4">
        <v>86915</v>
      </c>
    </row>
    <row r="3763" spans="1:11" hidden="1" outlineLevel="2" x14ac:dyDescent="0.35">
      <c r="A3763" t="s">
        <v>26</v>
      </c>
      <c r="B3763" s="1">
        <v>45717</v>
      </c>
      <c r="C3763" t="str">
        <f>"166"</f>
        <v>166</v>
      </c>
      <c r="D3763" t="s">
        <v>1433</v>
      </c>
      <c r="E3763" t="s">
        <v>1434</v>
      </c>
      <c r="F3763" t="str">
        <f t="shared" si="128"/>
        <v>47110000</v>
      </c>
      <c r="G3763" t="str">
        <f>"41111478"</f>
        <v>41111478</v>
      </c>
      <c r="H3763" t="s">
        <v>1405</v>
      </c>
      <c r="K3763" s="4">
        <v>86915</v>
      </c>
    </row>
    <row r="3764" spans="1:11" hidden="1" outlineLevel="2" x14ac:dyDescent="0.35">
      <c r="A3764" t="s">
        <v>26</v>
      </c>
      <c r="B3764" s="1">
        <v>45720</v>
      </c>
      <c r="C3764" t="str">
        <f>"104"</f>
        <v>104</v>
      </c>
      <c r="D3764" t="s">
        <v>1486</v>
      </c>
      <c r="E3764" t="s">
        <v>1487</v>
      </c>
      <c r="F3764" t="str">
        <f t="shared" si="128"/>
        <v>47110000</v>
      </c>
      <c r="G3764" t="str">
        <f>"41111478"</f>
        <v>41111478</v>
      </c>
      <c r="H3764" t="s">
        <v>1405</v>
      </c>
      <c r="K3764" s="4">
        <v>28971</v>
      </c>
    </row>
    <row r="3765" spans="1:11" hidden="1" outlineLevel="2" x14ac:dyDescent="0.35">
      <c r="A3765" t="s">
        <v>26</v>
      </c>
      <c r="B3765" s="1">
        <v>45720</v>
      </c>
      <c r="C3765" t="str">
        <f>"105"</f>
        <v>105</v>
      </c>
      <c r="D3765" t="s">
        <v>1488</v>
      </c>
      <c r="E3765" t="s">
        <v>1489</v>
      </c>
      <c r="F3765" t="str">
        <f t="shared" si="128"/>
        <v>47110000</v>
      </c>
      <c r="G3765" t="str">
        <f>"41111478"</f>
        <v>41111478</v>
      </c>
      <c r="H3765" t="s">
        <v>1405</v>
      </c>
      <c r="K3765" s="4">
        <v>342831</v>
      </c>
    </row>
    <row r="3766" spans="1:11" hidden="1" outlineLevel="2" x14ac:dyDescent="0.35">
      <c r="A3766" t="s">
        <v>26</v>
      </c>
      <c r="B3766" s="1">
        <v>45721</v>
      </c>
      <c r="C3766" t="str">
        <f>"115"</f>
        <v>115</v>
      </c>
      <c r="D3766" t="s">
        <v>1490</v>
      </c>
      <c r="E3766" t="str">
        <f>"86462"</f>
        <v>86462</v>
      </c>
      <c r="F3766" t="str">
        <f t="shared" si="128"/>
        <v>47110000</v>
      </c>
      <c r="G3766" t="str">
        <f>"41111375"</f>
        <v>41111375</v>
      </c>
      <c r="H3766" t="s">
        <v>1491</v>
      </c>
      <c r="K3766" s="4">
        <v>171099</v>
      </c>
    </row>
    <row r="3767" spans="1:11" hidden="1" outlineLevel="2" x14ac:dyDescent="0.35">
      <c r="A3767" t="s">
        <v>26</v>
      </c>
      <c r="B3767" s="1">
        <v>45721</v>
      </c>
      <c r="C3767" t="str">
        <f>"116"</f>
        <v>116</v>
      </c>
      <c r="D3767" t="s">
        <v>1492</v>
      </c>
      <c r="E3767" t="str">
        <f>"86476"</f>
        <v>86476</v>
      </c>
      <c r="F3767" t="str">
        <f t="shared" si="128"/>
        <v>47110000</v>
      </c>
      <c r="G3767" t="str">
        <f>"41111375"</f>
        <v>41111375</v>
      </c>
      <c r="H3767" t="s">
        <v>1491</v>
      </c>
      <c r="K3767" s="4">
        <v>1709722</v>
      </c>
    </row>
    <row r="3768" spans="1:11" hidden="1" outlineLevel="2" x14ac:dyDescent="0.35">
      <c r="A3768" t="s">
        <v>26</v>
      </c>
      <c r="B3768" s="1">
        <v>45721</v>
      </c>
      <c r="C3768" t="str">
        <f>"117"</f>
        <v>117</v>
      </c>
      <c r="D3768" t="s">
        <v>1493</v>
      </c>
      <c r="E3768" t="str">
        <f>"86477"</f>
        <v>86477</v>
      </c>
      <c r="F3768" t="str">
        <f t="shared" si="128"/>
        <v>47110000</v>
      </c>
      <c r="G3768" t="str">
        <f>"41111375"</f>
        <v>41111375</v>
      </c>
      <c r="H3768" t="s">
        <v>1491</v>
      </c>
      <c r="K3768" s="4">
        <v>372880</v>
      </c>
    </row>
    <row r="3769" spans="1:11" hidden="1" outlineLevel="2" x14ac:dyDescent="0.35">
      <c r="A3769" t="s">
        <v>26</v>
      </c>
      <c r="B3769" s="1">
        <v>45721</v>
      </c>
      <c r="C3769" t="str">
        <f>"118"</f>
        <v>118</v>
      </c>
      <c r="D3769" t="s">
        <v>1494</v>
      </c>
      <c r="E3769" t="str">
        <f>"86840"</f>
        <v>86840</v>
      </c>
      <c r="F3769" t="str">
        <f t="shared" si="128"/>
        <v>47110000</v>
      </c>
      <c r="G3769" t="str">
        <f>"41111375"</f>
        <v>41111375</v>
      </c>
      <c r="H3769" t="s">
        <v>1491</v>
      </c>
      <c r="K3769" s="4">
        <v>1762827</v>
      </c>
    </row>
    <row r="3770" spans="1:11" hidden="1" outlineLevel="2" x14ac:dyDescent="0.35">
      <c r="A3770" t="s">
        <v>26</v>
      </c>
      <c r="B3770" s="1">
        <v>45722</v>
      </c>
      <c r="C3770" t="str">
        <f>"106"</f>
        <v>106</v>
      </c>
      <c r="D3770" t="s">
        <v>1514</v>
      </c>
      <c r="E3770" t="s">
        <v>1515</v>
      </c>
      <c r="F3770" t="str">
        <f t="shared" si="128"/>
        <v>47110000</v>
      </c>
      <c r="G3770" t="str">
        <f>"41111478"</f>
        <v>41111478</v>
      </c>
      <c r="H3770" t="s">
        <v>1405</v>
      </c>
      <c r="K3770" s="4">
        <v>173829</v>
      </c>
    </row>
    <row r="3771" spans="1:11" hidden="1" outlineLevel="2" x14ac:dyDescent="0.35">
      <c r="A3771" t="s">
        <v>26</v>
      </c>
      <c r="B3771" s="1">
        <v>45726</v>
      </c>
      <c r="C3771" t="str">
        <f>"62"</f>
        <v>62</v>
      </c>
      <c r="D3771" t="s">
        <v>1568</v>
      </c>
      <c r="E3771" t="str">
        <f>"0000064"</f>
        <v>0000064</v>
      </c>
      <c r="F3771" t="str">
        <f t="shared" si="128"/>
        <v>47110000</v>
      </c>
      <c r="G3771" t="str">
        <f>"41111871"</f>
        <v>41111871</v>
      </c>
      <c r="H3771" t="s">
        <v>1569</v>
      </c>
      <c r="J3771" s="4">
        <v>154400</v>
      </c>
    </row>
    <row r="3772" spans="1:11" hidden="1" outlineLevel="2" x14ac:dyDescent="0.35">
      <c r="A3772" t="s">
        <v>26</v>
      </c>
      <c r="B3772" s="1">
        <v>45726</v>
      </c>
      <c r="C3772" t="str">
        <f>"107"</f>
        <v>107</v>
      </c>
      <c r="D3772" t="s">
        <v>1572</v>
      </c>
      <c r="E3772" t="s">
        <v>1573</v>
      </c>
      <c r="F3772" t="str">
        <f t="shared" si="128"/>
        <v>47110000</v>
      </c>
      <c r="G3772" t="str">
        <f>"41111486"</f>
        <v>41111486</v>
      </c>
      <c r="H3772" t="s">
        <v>1396</v>
      </c>
      <c r="K3772" s="4">
        <v>50858</v>
      </c>
    </row>
    <row r="3773" spans="1:11" hidden="1" outlineLevel="2" x14ac:dyDescent="0.35">
      <c r="A3773" t="s">
        <v>26</v>
      </c>
      <c r="B3773" s="1">
        <v>45726</v>
      </c>
      <c r="C3773" t="str">
        <f>"108"</f>
        <v>108</v>
      </c>
      <c r="D3773" t="s">
        <v>1574</v>
      </c>
      <c r="E3773" t="s">
        <v>1575</v>
      </c>
      <c r="F3773" t="str">
        <f t="shared" si="128"/>
        <v>47110000</v>
      </c>
      <c r="G3773" t="str">
        <f>"41111486"</f>
        <v>41111486</v>
      </c>
      <c r="H3773" t="s">
        <v>1396</v>
      </c>
      <c r="K3773" s="4">
        <v>51273</v>
      </c>
    </row>
    <row r="3774" spans="1:11" hidden="1" outlineLevel="2" x14ac:dyDescent="0.35">
      <c r="A3774" t="s">
        <v>26</v>
      </c>
      <c r="B3774" s="1">
        <v>45726</v>
      </c>
      <c r="C3774" t="str">
        <f>"109"</f>
        <v>109</v>
      </c>
      <c r="D3774" t="s">
        <v>1576</v>
      </c>
      <c r="E3774" t="s">
        <v>1577</v>
      </c>
      <c r="F3774" t="str">
        <f t="shared" si="128"/>
        <v>47110000</v>
      </c>
      <c r="G3774" t="str">
        <f>"41111486"</f>
        <v>41111486</v>
      </c>
      <c r="H3774" t="s">
        <v>1396</v>
      </c>
      <c r="K3774" s="4">
        <v>27672</v>
      </c>
    </row>
    <row r="3775" spans="1:11" hidden="1" outlineLevel="2" x14ac:dyDescent="0.35">
      <c r="A3775" t="s">
        <v>26</v>
      </c>
      <c r="B3775" s="1">
        <v>45726</v>
      </c>
      <c r="C3775" t="str">
        <f>"110"</f>
        <v>110</v>
      </c>
      <c r="D3775" t="s">
        <v>1578</v>
      </c>
      <c r="E3775" t="s">
        <v>1579</v>
      </c>
      <c r="F3775" t="str">
        <f t="shared" si="128"/>
        <v>47110000</v>
      </c>
      <c r="G3775" t="str">
        <f>"41111486"</f>
        <v>41111486</v>
      </c>
      <c r="H3775" t="s">
        <v>1396</v>
      </c>
      <c r="K3775" s="4">
        <v>59000</v>
      </c>
    </row>
    <row r="3776" spans="1:11" hidden="1" outlineLevel="2" x14ac:dyDescent="0.35">
      <c r="A3776" t="s">
        <v>26</v>
      </c>
      <c r="B3776" s="1">
        <v>45727</v>
      </c>
      <c r="C3776" t="str">
        <f>"66"</f>
        <v>66</v>
      </c>
      <c r="D3776" t="s">
        <v>1593</v>
      </c>
      <c r="E3776" t="str">
        <f>"4031752646"</f>
        <v>4031752646</v>
      </c>
      <c r="F3776" t="str">
        <f t="shared" si="128"/>
        <v>47110000</v>
      </c>
      <c r="G3776" t="str">
        <f>"41111871"</f>
        <v>41111871</v>
      </c>
      <c r="H3776" t="s">
        <v>1594</v>
      </c>
      <c r="J3776" s="4">
        <v>518636</v>
      </c>
    </row>
    <row r="3777" spans="1:11" hidden="1" outlineLevel="2" x14ac:dyDescent="0.35">
      <c r="A3777" t="s">
        <v>26</v>
      </c>
      <c r="B3777" s="1">
        <v>45727</v>
      </c>
      <c r="C3777" t="str">
        <f>"111"</f>
        <v>111</v>
      </c>
      <c r="D3777" t="s">
        <v>1601</v>
      </c>
      <c r="E3777" t="s">
        <v>1602</v>
      </c>
      <c r="F3777" t="str">
        <f t="shared" si="128"/>
        <v>47110000</v>
      </c>
      <c r="G3777" t="str">
        <f>"41111486"</f>
        <v>41111486</v>
      </c>
      <c r="H3777" t="s">
        <v>1396</v>
      </c>
      <c r="K3777" s="4">
        <v>14160</v>
      </c>
    </row>
    <row r="3778" spans="1:11" hidden="1" outlineLevel="2" x14ac:dyDescent="0.35">
      <c r="A3778" t="s">
        <v>26</v>
      </c>
      <c r="B3778" s="1">
        <v>45733</v>
      </c>
      <c r="C3778" t="str">
        <f>"146"</f>
        <v>146</v>
      </c>
      <c r="D3778" t="s">
        <v>1670</v>
      </c>
      <c r="E3778" t="s">
        <v>1671</v>
      </c>
      <c r="F3778" t="str">
        <f t="shared" si="128"/>
        <v>47110000</v>
      </c>
      <c r="G3778" t="str">
        <f>"41111478"</f>
        <v>41111478</v>
      </c>
      <c r="H3778" t="s">
        <v>1405</v>
      </c>
      <c r="K3778" s="4">
        <v>60358</v>
      </c>
    </row>
    <row r="3779" spans="1:11" hidden="1" outlineLevel="2" x14ac:dyDescent="0.35">
      <c r="A3779" t="s">
        <v>26</v>
      </c>
      <c r="B3779" s="1">
        <v>45733</v>
      </c>
      <c r="C3779" t="str">
        <f>"147"</f>
        <v>147</v>
      </c>
      <c r="D3779" t="s">
        <v>1672</v>
      </c>
      <c r="E3779" t="s">
        <v>1673</v>
      </c>
      <c r="F3779" t="str">
        <f t="shared" si="128"/>
        <v>47110000</v>
      </c>
      <c r="G3779" t="str">
        <f>"41111478"</f>
        <v>41111478</v>
      </c>
      <c r="H3779" t="s">
        <v>1405</v>
      </c>
      <c r="K3779" s="4">
        <v>144858</v>
      </c>
    </row>
    <row r="3780" spans="1:11" hidden="1" outlineLevel="2" x14ac:dyDescent="0.35">
      <c r="A3780" t="s">
        <v>26</v>
      </c>
      <c r="B3780" s="1">
        <v>45733</v>
      </c>
      <c r="C3780" t="str">
        <f>"148"</f>
        <v>148</v>
      </c>
      <c r="D3780" t="s">
        <v>1674</v>
      </c>
      <c r="E3780" t="s">
        <v>1675</v>
      </c>
      <c r="F3780" t="str">
        <f t="shared" si="128"/>
        <v>47110000</v>
      </c>
      <c r="G3780" t="str">
        <f>"41111478"</f>
        <v>41111478</v>
      </c>
      <c r="H3780" t="s">
        <v>1405</v>
      </c>
      <c r="K3780" s="4">
        <v>181063</v>
      </c>
    </row>
    <row r="3781" spans="1:11" hidden="1" outlineLevel="2" x14ac:dyDescent="0.35">
      <c r="A3781" t="s">
        <v>26</v>
      </c>
      <c r="B3781" s="1">
        <v>45740</v>
      </c>
      <c r="C3781" t="str">
        <f>"119"</f>
        <v>119</v>
      </c>
      <c r="D3781" t="s">
        <v>1719</v>
      </c>
      <c r="E3781" t="str">
        <f>"87269"</f>
        <v>87269</v>
      </c>
      <c r="F3781" t="str">
        <f t="shared" si="128"/>
        <v>47110000</v>
      </c>
      <c r="G3781" t="str">
        <f>"41111375"</f>
        <v>41111375</v>
      </c>
      <c r="H3781" t="s">
        <v>1491</v>
      </c>
      <c r="K3781" s="4">
        <v>56640</v>
      </c>
    </row>
    <row r="3782" spans="1:11" hidden="1" outlineLevel="2" x14ac:dyDescent="0.35">
      <c r="A3782" t="s">
        <v>26</v>
      </c>
      <c r="B3782" s="1">
        <v>45740</v>
      </c>
      <c r="C3782" t="str">
        <f>"120"</f>
        <v>120</v>
      </c>
      <c r="D3782" t="s">
        <v>1720</v>
      </c>
      <c r="E3782" t="str">
        <f>"87323"</f>
        <v>87323</v>
      </c>
      <c r="F3782" t="str">
        <f t="shared" si="128"/>
        <v>47110000</v>
      </c>
      <c r="G3782" t="str">
        <f>"41111375"</f>
        <v>41111375</v>
      </c>
      <c r="H3782" t="s">
        <v>1491</v>
      </c>
      <c r="K3782" s="4">
        <v>396480</v>
      </c>
    </row>
    <row r="3783" spans="1:11" hidden="1" outlineLevel="2" x14ac:dyDescent="0.35">
      <c r="A3783" t="s">
        <v>26</v>
      </c>
      <c r="B3783" s="1">
        <v>45742</v>
      </c>
      <c r="C3783" t="str">
        <f>"121"</f>
        <v>121</v>
      </c>
      <c r="D3783" t="s">
        <v>1740</v>
      </c>
      <c r="E3783" t="s">
        <v>1741</v>
      </c>
      <c r="F3783" t="str">
        <f t="shared" si="128"/>
        <v>47110000</v>
      </c>
      <c r="G3783" t="str">
        <f>"41111486"</f>
        <v>41111486</v>
      </c>
      <c r="H3783" t="s">
        <v>1396</v>
      </c>
      <c r="K3783" s="4">
        <v>236000</v>
      </c>
    </row>
    <row r="3784" spans="1:11" hidden="1" outlineLevel="2" x14ac:dyDescent="0.35">
      <c r="A3784" t="s">
        <v>26</v>
      </c>
      <c r="B3784" s="1">
        <v>45744</v>
      </c>
      <c r="C3784" t="str">
        <f>"142"</f>
        <v>142</v>
      </c>
      <c r="D3784" t="s">
        <v>1753</v>
      </c>
      <c r="E3784" t="s">
        <v>1754</v>
      </c>
      <c r="F3784" t="str">
        <f t="shared" si="128"/>
        <v>47110000</v>
      </c>
      <c r="G3784" t="str">
        <f>"41111478"</f>
        <v>41111478</v>
      </c>
      <c r="H3784" t="s">
        <v>1405</v>
      </c>
      <c r="K3784" s="4">
        <v>57943</v>
      </c>
    </row>
    <row r="3785" spans="1:11" hidden="1" outlineLevel="2" x14ac:dyDescent="0.35">
      <c r="A3785" t="s">
        <v>26</v>
      </c>
      <c r="B3785" s="1">
        <v>45744</v>
      </c>
      <c r="C3785" t="str">
        <f>"143"</f>
        <v>143</v>
      </c>
      <c r="D3785" t="s">
        <v>1755</v>
      </c>
      <c r="E3785" t="s">
        <v>1756</v>
      </c>
      <c r="F3785" t="str">
        <f t="shared" si="128"/>
        <v>47110000</v>
      </c>
      <c r="G3785" t="str">
        <f>"41111478"</f>
        <v>41111478</v>
      </c>
      <c r="H3785" t="s">
        <v>1405</v>
      </c>
      <c r="K3785" s="4">
        <v>14486</v>
      </c>
    </row>
    <row r="3786" spans="1:11" hidden="1" outlineLevel="2" x14ac:dyDescent="0.35">
      <c r="A3786" t="s">
        <v>26</v>
      </c>
      <c r="B3786" s="1">
        <v>45744</v>
      </c>
      <c r="C3786" t="str">
        <f>"144"</f>
        <v>144</v>
      </c>
      <c r="D3786" t="s">
        <v>1757</v>
      </c>
      <c r="E3786" t="s">
        <v>1758</v>
      </c>
      <c r="F3786" t="str">
        <f t="shared" si="128"/>
        <v>47110000</v>
      </c>
      <c r="G3786" t="str">
        <f>"41111478"</f>
        <v>41111478</v>
      </c>
      <c r="H3786" t="s">
        <v>1405</v>
      </c>
      <c r="K3786" s="4">
        <v>57943</v>
      </c>
    </row>
    <row r="3787" spans="1:11" hidden="1" outlineLevel="2" x14ac:dyDescent="0.35">
      <c r="A3787" t="s">
        <v>26</v>
      </c>
      <c r="B3787" s="1">
        <v>45744</v>
      </c>
      <c r="C3787" t="str">
        <f>"145"</f>
        <v>145</v>
      </c>
      <c r="D3787" t="s">
        <v>1759</v>
      </c>
      <c r="E3787" t="s">
        <v>1760</v>
      </c>
      <c r="F3787" t="str">
        <f t="shared" si="128"/>
        <v>47110000</v>
      </c>
      <c r="G3787" t="str">
        <f>"41111478"</f>
        <v>41111478</v>
      </c>
      <c r="H3787" t="s">
        <v>1405</v>
      </c>
      <c r="K3787" s="4">
        <v>173829</v>
      </c>
    </row>
    <row r="3788" spans="1:11" hidden="1" outlineLevel="2" x14ac:dyDescent="0.35">
      <c r="A3788" t="s">
        <v>1790</v>
      </c>
      <c r="B3788" s="1">
        <v>45720</v>
      </c>
      <c r="C3788" t="str">
        <f>"147"</f>
        <v>147</v>
      </c>
      <c r="F3788" t="str">
        <f t="shared" si="128"/>
        <v>47110000</v>
      </c>
      <c r="G3788" t="str">
        <f>"41111871"</f>
        <v>41111871</v>
      </c>
      <c r="H3788" t="s">
        <v>1793</v>
      </c>
      <c r="J3788" s="4">
        <v>3009472</v>
      </c>
    </row>
    <row r="3789" spans="1:11" hidden="1" outlineLevel="2" x14ac:dyDescent="0.35">
      <c r="A3789" t="s">
        <v>1790</v>
      </c>
      <c r="B3789" s="1">
        <v>45723</v>
      </c>
      <c r="C3789" t="str">
        <f>"156"</f>
        <v>156</v>
      </c>
      <c r="F3789" t="str">
        <f t="shared" ref="F3789:F3813" si="129">"47110000"</f>
        <v>47110000</v>
      </c>
      <c r="G3789" t="str">
        <f>"41111871"</f>
        <v>41111871</v>
      </c>
      <c r="H3789" t="s">
        <v>1800</v>
      </c>
      <c r="K3789" s="4">
        <v>36872640</v>
      </c>
    </row>
    <row r="3790" spans="1:11" hidden="1" outlineLevel="2" x14ac:dyDescent="0.35">
      <c r="A3790" t="s">
        <v>1790</v>
      </c>
      <c r="B3790" s="1">
        <v>45726</v>
      </c>
      <c r="C3790" t="str">
        <f>"157"</f>
        <v>157</v>
      </c>
      <c r="F3790" t="str">
        <f t="shared" si="129"/>
        <v>47110000</v>
      </c>
      <c r="G3790" t="str">
        <f>"41111871"</f>
        <v>41111871</v>
      </c>
      <c r="H3790" t="s">
        <v>1803</v>
      </c>
      <c r="J3790" s="4">
        <v>36872640</v>
      </c>
    </row>
    <row r="3791" spans="1:11" hidden="1" outlineLevel="2" x14ac:dyDescent="0.35">
      <c r="A3791" t="s">
        <v>1790</v>
      </c>
      <c r="B3791" s="1">
        <v>45734</v>
      </c>
      <c r="C3791" t="str">
        <f>"173"</f>
        <v>173</v>
      </c>
      <c r="F3791" t="str">
        <f t="shared" si="129"/>
        <v>47110000</v>
      </c>
      <c r="G3791" t="str">
        <f>"41111871"</f>
        <v>41111871</v>
      </c>
      <c r="H3791" t="s">
        <v>1821</v>
      </c>
      <c r="J3791" s="4">
        <v>10000000</v>
      </c>
    </row>
    <row r="3792" spans="1:11" hidden="1" outlineLevel="2" x14ac:dyDescent="0.35">
      <c r="A3792" t="s">
        <v>1892</v>
      </c>
      <c r="B3792" s="1">
        <v>45719</v>
      </c>
      <c r="C3792" t="str">
        <f>"48"</f>
        <v>48</v>
      </c>
      <c r="F3792" t="str">
        <f t="shared" si="129"/>
        <v>47110000</v>
      </c>
      <c r="G3792" t="str">
        <f>"41111833"</f>
        <v>41111833</v>
      </c>
      <c r="H3792" t="s">
        <v>1894</v>
      </c>
      <c r="J3792" s="4">
        <v>54112058</v>
      </c>
    </row>
    <row r="3793" spans="1:11" hidden="1" outlineLevel="2" x14ac:dyDescent="0.35">
      <c r="A3793" t="s">
        <v>1911</v>
      </c>
      <c r="B3793" s="1">
        <v>45728</v>
      </c>
      <c r="C3793" t="str">
        <f>"169"</f>
        <v>169</v>
      </c>
      <c r="F3793" t="str">
        <f t="shared" si="129"/>
        <v>47110000</v>
      </c>
      <c r="G3793" t="str">
        <f>"41111375"</f>
        <v>41111375</v>
      </c>
      <c r="H3793" t="s">
        <v>1928</v>
      </c>
      <c r="J3793" s="4">
        <v>3319666</v>
      </c>
    </row>
    <row r="3794" spans="1:11" hidden="1" outlineLevel="2" x14ac:dyDescent="0.35">
      <c r="A3794" t="s">
        <v>1911</v>
      </c>
      <c r="B3794" s="1">
        <v>45742</v>
      </c>
      <c r="C3794" t="str">
        <f>"196"</f>
        <v>196</v>
      </c>
      <c r="F3794" t="str">
        <f t="shared" si="129"/>
        <v>47110000</v>
      </c>
      <c r="G3794" t="str">
        <f>"41111871"</f>
        <v>41111871</v>
      </c>
      <c r="H3794" t="s">
        <v>1934</v>
      </c>
      <c r="K3794" s="4">
        <v>7670000</v>
      </c>
    </row>
    <row r="3795" spans="1:11" hidden="1" outlineLevel="2" x14ac:dyDescent="0.35">
      <c r="A3795" t="s">
        <v>2337</v>
      </c>
      <c r="B3795" s="1">
        <v>45734</v>
      </c>
      <c r="C3795" t="str">
        <f>"788"</f>
        <v>788</v>
      </c>
      <c r="E3795" t="str">
        <f>"17395"</f>
        <v>17395</v>
      </c>
      <c r="F3795" t="str">
        <f t="shared" si="129"/>
        <v>47110000</v>
      </c>
      <c r="G3795" t="str">
        <f>"41111871"</f>
        <v>41111871</v>
      </c>
      <c r="H3795" t="s">
        <v>2525</v>
      </c>
      <c r="J3795" s="4">
        <v>45000</v>
      </c>
    </row>
    <row r="3796" spans="1:11" hidden="1" outlineLevel="2" x14ac:dyDescent="0.35">
      <c r="A3796" t="s">
        <v>2337</v>
      </c>
      <c r="B3796" s="1">
        <v>45740</v>
      </c>
      <c r="C3796" t="str">
        <f>"837"</f>
        <v>837</v>
      </c>
      <c r="E3796" t="str">
        <f>"17493"</f>
        <v>17493</v>
      </c>
      <c r="F3796" t="str">
        <f t="shared" si="129"/>
        <v>47110000</v>
      </c>
      <c r="G3796" t="str">
        <f>"41111871"</f>
        <v>41111871</v>
      </c>
      <c r="H3796" t="s">
        <v>2592</v>
      </c>
      <c r="J3796" s="4">
        <v>49000</v>
      </c>
    </row>
    <row r="3797" spans="1:11" hidden="1" outlineLevel="2" x14ac:dyDescent="0.35">
      <c r="A3797" t="s">
        <v>2337</v>
      </c>
      <c r="B3797" s="1">
        <v>45742</v>
      </c>
      <c r="C3797" t="str">
        <f>"862"</f>
        <v>862</v>
      </c>
      <c r="E3797" t="str">
        <f>"15869"</f>
        <v>15869</v>
      </c>
      <c r="F3797" t="str">
        <f t="shared" si="129"/>
        <v>47110000</v>
      </c>
      <c r="G3797" t="str">
        <f>"41111871"</f>
        <v>41111871</v>
      </c>
      <c r="H3797" t="s">
        <v>2618</v>
      </c>
      <c r="J3797" s="4">
        <v>15000</v>
      </c>
    </row>
    <row r="3798" spans="1:11" hidden="1" outlineLevel="2" x14ac:dyDescent="0.35">
      <c r="A3798" t="s">
        <v>75</v>
      </c>
      <c r="B3798" s="1">
        <v>45736</v>
      </c>
      <c r="C3798" t="str">
        <f>"10"</f>
        <v>10</v>
      </c>
      <c r="D3798" t="s">
        <v>2711</v>
      </c>
      <c r="E3798" t="s">
        <v>2711</v>
      </c>
      <c r="F3798" t="str">
        <f t="shared" si="129"/>
        <v>47110000</v>
      </c>
      <c r="G3798" t="str">
        <f>"41111871"</f>
        <v>41111871</v>
      </c>
      <c r="H3798" t="s">
        <v>2712</v>
      </c>
      <c r="J3798" s="4">
        <v>69639883</v>
      </c>
    </row>
    <row r="3799" spans="1:11" hidden="1" outlineLevel="2" x14ac:dyDescent="0.35">
      <c r="A3799" t="s">
        <v>75</v>
      </c>
      <c r="B3799" s="1">
        <v>45736</v>
      </c>
      <c r="C3799" t="str">
        <f>"10"</f>
        <v>10</v>
      </c>
      <c r="D3799" t="s">
        <v>2711</v>
      </c>
      <c r="E3799" t="s">
        <v>2711</v>
      </c>
      <c r="F3799" t="str">
        <f t="shared" si="129"/>
        <v>47110000</v>
      </c>
      <c r="G3799" t="s">
        <v>2713</v>
      </c>
      <c r="H3799" t="s">
        <v>2712</v>
      </c>
      <c r="K3799" s="4">
        <v>69639883</v>
      </c>
    </row>
    <row r="3800" spans="1:11" hidden="1" outlineLevel="2" x14ac:dyDescent="0.35">
      <c r="A3800" t="s">
        <v>75</v>
      </c>
      <c r="B3800" s="1">
        <v>45742</v>
      </c>
      <c r="C3800" t="str">
        <f>"13"</f>
        <v>13</v>
      </c>
      <c r="D3800" t="s">
        <v>2720</v>
      </c>
      <c r="E3800" t="s">
        <v>2711</v>
      </c>
      <c r="F3800" t="str">
        <f t="shared" si="129"/>
        <v>47110000</v>
      </c>
      <c r="G3800" t="str">
        <f>"41111871"</f>
        <v>41111871</v>
      </c>
      <c r="H3800" t="s">
        <v>2721</v>
      </c>
      <c r="K3800" s="4">
        <v>158180181</v>
      </c>
    </row>
    <row r="3801" spans="1:11" hidden="1" outlineLevel="2" x14ac:dyDescent="0.35">
      <c r="A3801" t="s">
        <v>101</v>
      </c>
      <c r="B3801" s="1">
        <v>45717</v>
      </c>
      <c r="C3801" t="str">
        <f>"75"</f>
        <v>75</v>
      </c>
      <c r="F3801" t="str">
        <f t="shared" si="129"/>
        <v>47110000</v>
      </c>
      <c r="G3801" t="str">
        <f>"41111871"</f>
        <v>41111871</v>
      </c>
      <c r="H3801" t="s">
        <v>2767</v>
      </c>
      <c r="J3801" s="4">
        <v>-5003200</v>
      </c>
    </row>
    <row r="3802" spans="1:11" hidden="1" outlineLevel="2" x14ac:dyDescent="0.35">
      <c r="A3802" t="s">
        <v>101</v>
      </c>
      <c r="B3802" s="1">
        <v>45730</v>
      </c>
      <c r="C3802" t="str">
        <f>"12"</f>
        <v>12</v>
      </c>
      <c r="F3802" t="str">
        <f t="shared" si="129"/>
        <v>47110000</v>
      </c>
      <c r="G3802" t="str">
        <f>"41111833"</f>
        <v>41111833</v>
      </c>
      <c r="H3802" t="s">
        <v>2768</v>
      </c>
      <c r="K3802" s="4">
        <v>54112058</v>
      </c>
    </row>
    <row r="3803" spans="1:11" hidden="1" outlineLevel="2" x14ac:dyDescent="0.35">
      <c r="A3803" t="s">
        <v>101</v>
      </c>
      <c r="B3803" s="1">
        <v>45730</v>
      </c>
      <c r="C3803" t="str">
        <f>"63"</f>
        <v>63</v>
      </c>
      <c r="F3803" t="str">
        <f t="shared" si="129"/>
        <v>47110000</v>
      </c>
      <c r="G3803" t="str">
        <f>"41111833"</f>
        <v>41111833</v>
      </c>
      <c r="H3803" t="s">
        <v>2769</v>
      </c>
      <c r="K3803" s="4">
        <v>-54112058</v>
      </c>
    </row>
    <row r="3804" spans="1:11" hidden="1" outlineLevel="2" x14ac:dyDescent="0.35">
      <c r="A3804" t="s">
        <v>101</v>
      </c>
      <c r="B3804" s="1">
        <v>45747</v>
      </c>
      <c r="C3804" t="str">
        <f>"17"</f>
        <v>17</v>
      </c>
      <c r="F3804" t="str">
        <f t="shared" si="129"/>
        <v>47110000</v>
      </c>
      <c r="G3804" t="str">
        <f t="shared" ref="G3804:G3813" si="130">"41111871"</f>
        <v>41111871</v>
      </c>
      <c r="H3804" t="s">
        <v>2856</v>
      </c>
      <c r="J3804" s="4">
        <v>1022673</v>
      </c>
    </row>
    <row r="3805" spans="1:11" hidden="1" outlineLevel="2" x14ac:dyDescent="0.35">
      <c r="A3805" t="s">
        <v>101</v>
      </c>
      <c r="B3805" s="1">
        <v>45747</v>
      </c>
      <c r="C3805" t="str">
        <f>"69"</f>
        <v>69</v>
      </c>
      <c r="F3805" t="str">
        <f t="shared" si="129"/>
        <v>47110000</v>
      </c>
      <c r="G3805" t="str">
        <f t="shared" si="130"/>
        <v>41111871</v>
      </c>
      <c r="H3805" t="s">
        <v>2916</v>
      </c>
      <c r="J3805" s="4">
        <v>817475</v>
      </c>
    </row>
    <row r="3806" spans="1:11" hidden="1" outlineLevel="2" x14ac:dyDescent="0.35">
      <c r="A3806" t="s">
        <v>101</v>
      </c>
      <c r="B3806" s="1">
        <v>45747</v>
      </c>
      <c r="C3806" t="str">
        <f>"70"</f>
        <v>70</v>
      </c>
      <c r="F3806" t="str">
        <f t="shared" si="129"/>
        <v>47110000</v>
      </c>
      <c r="G3806" t="str">
        <f t="shared" si="130"/>
        <v>41111871</v>
      </c>
      <c r="H3806" t="s">
        <v>2917</v>
      </c>
      <c r="J3806" s="4">
        <v>875620</v>
      </c>
    </row>
    <row r="3807" spans="1:11" hidden="1" outlineLevel="2" x14ac:dyDescent="0.35">
      <c r="A3807" t="s">
        <v>101</v>
      </c>
      <c r="B3807" s="1">
        <v>45747</v>
      </c>
      <c r="C3807" t="str">
        <f>"71"</f>
        <v>71</v>
      </c>
      <c r="F3807" t="str">
        <f t="shared" si="129"/>
        <v>47110000</v>
      </c>
      <c r="G3807" t="str">
        <f t="shared" si="130"/>
        <v>41111871</v>
      </c>
      <c r="H3807" t="s">
        <v>2918</v>
      </c>
      <c r="J3807" s="4">
        <v>4784</v>
      </c>
    </row>
    <row r="3808" spans="1:11" hidden="1" outlineLevel="2" x14ac:dyDescent="0.35">
      <c r="A3808" t="s">
        <v>101</v>
      </c>
      <c r="B3808" s="1">
        <v>45747</v>
      </c>
      <c r="C3808" t="str">
        <f>"72"</f>
        <v>72</v>
      </c>
      <c r="F3808" t="str">
        <f t="shared" si="129"/>
        <v>47110000</v>
      </c>
      <c r="G3808" t="str">
        <f t="shared" si="130"/>
        <v>41111871</v>
      </c>
      <c r="H3808" t="s">
        <v>2919</v>
      </c>
      <c r="J3808" s="4">
        <v>1250800</v>
      </c>
    </row>
    <row r="3809" spans="1:11" hidden="1" outlineLevel="2" x14ac:dyDescent="0.35">
      <c r="A3809" t="s">
        <v>101</v>
      </c>
      <c r="B3809" s="1">
        <v>45747</v>
      </c>
      <c r="C3809" t="str">
        <f>"73"</f>
        <v>73</v>
      </c>
      <c r="F3809" t="str">
        <f t="shared" si="129"/>
        <v>47110000</v>
      </c>
      <c r="G3809" t="str">
        <f t="shared" si="130"/>
        <v>41111871</v>
      </c>
      <c r="H3809" t="s">
        <v>2920</v>
      </c>
      <c r="J3809" s="4">
        <v>1250800</v>
      </c>
    </row>
    <row r="3810" spans="1:11" hidden="1" outlineLevel="2" x14ac:dyDescent="0.35">
      <c r="A3810" t="s">
        <v>101</v>
      </c>
      <c r="B3810" s="1">
        <v>45747</v>
      </c>
      <c r="C3810" t="str">
        <f>"74"</f>
        <v>74</v>
      </c>
      <c r="F3810" t="str">
        <f t="shared" si="129"/>
        <v>47110000</v>
      </c>
      <c r="G3810" t="str">
        <f t="shared" si="130"/>
        <v>41111871</v>
      </c>
      <c r="H3810" t="s">
        <v>2921</v>
      </c>
      <c r="J3810" s="4">
        <v>797720</v>
      </c>
    </row>
    <row r="3811" spans="1:11" hidden="1" outlineLevel="2" x14ac:dyDescent="0.35">
      <c r="A3811" t="s">
        <v>101</v>
      </c>
      <c r="B3811" s="1">
        <v>45747</v>
      </c>
      <c r="C3811" t="str">
        <f>"75"</f>
        <v>75</v>
      </c>
      <c r="F3811" t="str">
        <f t="shared" si="129"/>
        <v>47110000</v>
      </c>
      <c r="G3811" t="str">
        <f t="shared" si="130"/>
        <v>41111871</v>
      </c>
      <c r="H3811" t="s">
        <v>2922</v>
      </c>
      <c r="J3811" s="4">
        <v>163400</v>
      </c>
    </row>
    <row r="3812" spans="1:11" hidden="1" outlineLevel="2" x14ac:dyDescent="0.35">
      <c r="A3812" t="s">
        <v>3056</v>
      </c>
      <c r="B3812" s="1">
        <v>45723</v>
      </c>
      <c r="C3812" t="str">
        <f>"156"</f>
        <v>156</v>
      </c>
      <c r="F3812" t="str">
        <f t="shared" si="129"/>
        <v>47110000</v>
      </c>
      <c r="G3812" t="str">
        <f t="shared" si="130"/>
        <v>41111871</v>
      </c>
      <c r="H3812" t="s">
        <v>3069</v>
      </c>
      <c r="J3812" s="4">
        <v>205682</v>
      </c>
    </row>
    <row r="3813" spans="1:11" hidden="1" outlineLevel="2" x14ac:dyDescent="0.35">
      <c r="A3813" t="s">
        <v>3056</v>
      </c>
      <c r="B3813" s="1">
        <v>45744</v>
      </c>
      <c r="C3813" t="str">
        <f>"203"</f>
        <v>203</v>
      </c>
      <c r="F3813" t="str">
        <f t="shared" si="129"/>
        <v>47110000</v>
      </c>
      <c r="G3813" t="str">
        <f t="shared" si="130"/>
        <v>41111871</v>
      </c>
      <c r="H3813" t="s">
        <v>3114</v>
      </c>
      <c r="J3813" s="4">
        <v>201700</v>
      </c>
    </row>
    <row r="3814" spans="1:11" outlineLevel="1" collapsed="1" x14ac:dyDescent="0.35">
      <c r="B3814" s="1"/>
      <c r="F3814" s="3" t="s">
        <v>6570</v>
      </c>
      <c r="J3814" s="4">
        <f>SUBTOTAL(9,J3757:J3813)</f>
        <v>179323209</v>
      </c>
      <c r="K3814" s="4">
        <f>SUBTOTAL(9,K3757:K3813)</f>
        <v>280507627</v>
      </c>
    </row>
    <row r="3815" spans="1:11" hidden="1" outlineLevel="2" x14ac:dyDescent="0.35">
      <c r="A3815" t="s">
        <v>26</v>
      </c>
      <c r="B3815" s="1">
        <v>45730</v>
      </c>
      <c r="C3815" t="str">
        <f>"80"</f>
        <v>80</v>
      </c>
      <c r="D3815" t="s">
        <v>1660</v>
      </c>
      <c r="E3815" t="str">
        <f>"00011"</f>
        <v>00011</v>
      </c>
      <c r="F3815" t="str">
        <f>"47110120"</f>
        <v>47110120</v>
      </c>
      <c r="H3815" t="s">
        <v>1661</v>
      </c>
      <c r="J3815" s="4">
        <v>3600000</v>
      </c>
    </row>
    <row r="3816" spans="1:11" outlineLevel="1" collapsed="1" x14ac:dyDescent="0.35">
      <c r="B3816" s="1"/>
      <c r="F3816" s="3" t="s">
        <v>6571</v>
      </c>
      <c r="J3816" s="4">
        <f>SUBTOTAL(9,J3815:J3815)</f>
        <v>3600000</v>
      </c>
      <c r="K3816" s="4">
        <f>SUBTOTAL(9,K3815:K3815)</f>
        <v>0</v>
      </c>
    </row>
    <row r="3817" spans="1:11" hidden="1" outlineLevel="2" x14ac:dyDescent="0.35">
      <c r="A3817" t="s">
        <v>101</v>
      </c>
      <c r="B3817" s="1">
        <v>45730</v>
      </c>
      <c r="C3817" t="str">
        <f>"12"</f>
        <v>12</v>
      </c>
      <c r="F3817" t="str">
        <f>"47110130"</f>
        <v>47110130</v>
      </c>
      <c r="H3817" t="s">
        <v>2768</v>
      </c>
      <c r="J3817" s="4">
        <v>48700853</v>
      </c>
    </row>
    <row r="3818" spans="1:11" hidden="1" outlineLevel="2" x14ac:dyDescent="0.35">
      <c r="A3818" t="s">
        <v>101</v>
      </c>
      <c r="B3818" s="1">
        <v>45730</v>
      </c>
      <c r="C3818" t="str">
        <f>"63"</f>
        <v>63</v>
      </c>
      <c r="F3818" t="str">
        <f>"47110130"</f>
        <v>47110130</v>
      </c>
      <c r="H3818" t="s">
        <v>2769</v>
      </c>
      <c r="J3818" s="4">
        <v>-48700853</v>
      </c>
    </row>
    <row r="3819" spans="1:11" outlineLevel="1" collapsed="1" x14ac:dyDescent="0.35">
      <c r="B3819" s="1"/>
      <c r="F3819" s="3" t="s">
        <v>6572</v>
      </c>
      <c r="J3819" s="4">
        <f>SUBTOTAL(9,J3817:J3818)</f>
        <v>0</v>
      </c>
      <c r="K3819" s="4">
        <f>SUBTOTAL(9,K3817:K3818)</f>
        <v>0</v>
      </c>
    </row>
    <row r="3820" spans="1:11" hidden="1" outlineLevel="2" x14ac:dyDescent="0.35">
      <c r="A3820" t="s">
        <v>26</v>
      </c>
      <c r="B3820" s="1">
        <v>45726</v>
      </c>
      <c r="C3820" t="str">
        <f>"188"</f>
        <v>188</v>
      </c>
      <c r="D3820" t="s">
        <v>1583</v>
      </c>
      <c r="E3820" t="str">
        <f>"0006456"</f>
        <v>0006456</v>
      </c>
      <c r="F3820" t="str">
        <f>"47110150"</f>
        <v>47110150</v>
      </c>
      <c r="H3820" t="s">
        <v>1585</v>
      </c>
      <c r="J3820" s="4">
        <v>2000000</v>
      </c>
    </row>
    <row r="3821" spans="1:11" hidden="1" outlineLevel="2" x14ac:dyDescent="0.35">
      <c r="A3821" t="s">
        <v>26</v>
      </c>
      <c r="B3821" s="1">
        <v>45741</v>
      </c>
      <c r="C3821" t="str">
        <f>"189"</f>
        <v>189</v>
      </c>
      <c r="D3821" t="s">
        <v>1738</v>
      </c>
      <c r="E3821" t="s">
        <v>1739</v>
      </c>
      <c r="F3821" t="str">
        <f>"47110150"</f>
        <v>47110150</v>
      </c>
      <c r="H3821" t="s">
        <v>1585</v>
      </c>
      <c r="J3821" s="4">
        <v>2000000</v>
      </c>
    </row>
    <row r="3822" spans="1:11" hidden="1" outlineLevel="2" x14ac:dyDescent="0.35">
      <c r="A3822" t="s">
        <v>1986</v>
      </c>
      <c r="B3822" s="1">
        <v>45729</v>
      </c>
      <c r="C3822" t="str">
        <f>"58"</f>
        <v>58</v>
      </c>
      <c r="F3822" t="str">
        <f>"47110150"</f>
        <v>47110150</v>
      </c>
      <c r="H3822" t="s">
        <v>2000</v>
      </c>
      <c r="J3822" s="4">
        <v>2000000</v>
      </c>
    </row>
    <row r="3823" spans="1:11" hidden="1" outlineLevel="2" x14ac:dyDescent="0.35">
      <c r="A3823" t="s">
        <v>1986</v>
      </c>
      <c r="B3823" s="1">
        <v>45729</v>
      </c>
      <c r="C3823" t="str">
        <f>"62"</f>
        <v>62</v>
      </c>
      <c r="F3823" t="str">
        <f>"47110150"</f>
        <v>47110150</v>
      </c>
      <c r="H3823" t="s">
        <v>2002</v>
      </c>
      <c r="J3823" s="4">
        <v>-2000000</v>
      </c>
    </row>
    <row r="3824" spans="1:11" hidden="1" outlineLevel="2" x14ac:dyDescent="0.35">
      <c r="A3824" t="s">
        <v>101</v>
      </c>
      <c r="B3824" s="1">
        <v>45747</v>
      </c>
      <c r="C3824" t="str">
        <f>"80"</f>
        <v>80</v>
      </c>
      <c r="E3824" t="s">
        <v>2962</v>
      </c>
      <c r="F3824" t="str">
        <f>"47110150"</f>
        <v>47110150</v>
      </c>
      <c r="G3824" t="s">
        <v>1584</v>
      </c>
      <c r="H3824" t="s">
        <v>2963</v>
      </c>
      <c r="K3824" s="4">
        <v>7811000</v>
      </c>
    </row>
    <row r="3825" spans="1:11" outlineLevel="1" collapsed="1" x14ac:dyDescent="0.35">
      <c r="B3825" s="1"/>
      <c r="F3825" s="3" t="s">
        <v>6573</v>
      </c>
      <c r="J3825" s="4">
        <f>SUBTOTAL(9,J3820:J3824)</f>
        <v>4000000</v>
      </c>
      <c r="K3825" s="4">
        <f>SUBTOTAL(9,K3820:K3824)</f>
        <v>7811000</v>
      </c>
    </row>
    <row r="3826" spans="1:11" hidden="1" outlineLevel="2" x14ac:dyDescent="0.35">
      <c r="A3826" t="s">
        <v>2337</v>
      </c>
      <c r="B3826" s="1">
        <v>45722</v>
      </c>
      <c r="C3826" t="str">
        <f>"684"</f>
        <v>684</v>
      </c>
      <c r="E3826" t="str">
        <f>"1307"</f>
        <v>1307</v>
      </c>
      <c r="F3826" t="str">
        <f t="shared" ref="F3826:F3864" si="131">"47112600"</f>
        <v>47112600</v>
      </c>
      <c r="H3826" t="s">
        <v>2399</v>
      </c>
      <c r="K3826" s="4">
        <v>527280</v>
      </c>
    </row>
    <row r="3827" spans="1:11" hidden="1" outlineLevel="2" x14ac:dyDescent="0.35">
      <c r="A3827" t="s">
        <v>2337</v>
      </c>
      <c r="B3827" s="1">
        <v>45734</v>
      </c>
      <c r="C3827" t="str">
        <f>"775"</f>
        <v>775</v>
      </c>
      <c r="E3827" t="str">
        <f>"1308"</f>
        <v>1308</v>
      </c>
      <c r="F3827" t="str">
        <f t="shared" si="131"/>
        <v>47112600</v>
      </c>
      <c r="H3827" t="s">
        <v>65</v>
      </c>
      <c r="K3827" s="4">
        <v>1825100</v>
      </c>
    </row>
    <row r="3828" spans="1:11" hidden="1" outlineLevel="2" x14ac:dyDescent="0.35">
      <c r="A3828" t="s">
        <v>2337</v>
      </c>
      <c r="B3828" s="1">
        <v>45734</v>
      </c>
      <c r="C3828" t="str">
        <f>"776"</f>
        <v>776</v>
      </c>
      <c r="E3828" t="str">
        <f>"1309"</f>
        <v>1309</v>
      </c>
      <c r="F3828" t="str">
        <f t="shared" si="131"/>
        <v>47112600</v>
      </c>
      <c r="H3828" t="s">
        <v>66</v>
      </c>
      <c r="K3828" s="4">
        <v>354500</v>
      </c>
    </row>
    <row r="3829" spans="1:11" hidden="1" outlineLevel="2" x14ac:dyDescent="0.35">
      <c r="A3829" t="s">
        <v>2337</v>
      </c>
      <c r="B3829" s="1">
        <v>45734</v>
      </c>
      <c r="C3829" t="str">
        <f>"777"</f>
        <v>777</v>
      </c>
      <c r="E3829" t="str">
        <f>"1310"</f>
        <v>1310</v>
      </c>
      <c r="F3829" t="str">
        <f t="shared" si="131"/>
        <v>47112600</v>
      </c>
      <c r="H3829" t="s">
        <v>66</v>
      </c>
      <c r="K3829" s="4">
        <v>2954360</v>
      </c>
    </row>
    <row r="3830" spans="1:11" hidden="1" outlineLevel="2" x14ac:dyDescent="0.35">
      <c r="A3830" t="s">
        <v>2337</v>
      </c>
      <c r="B3830" s="1">
        <v>45734</v>
      </c>
      <c r="C3830" t="str">
        <f>"778"</f>
        <v>778</v>
      </c>
      <c r="E3830" t="str">
        <f>"1311"</f>
        <v>1311</v>
      </c>
      <c r="F3830" t="str">
        <f t="shared" si="131"/>
        <v>47112600</v>
      </c>
      <c r="H3830" t="s">
        <v>2523</v>
      </c>
      <c r="K3830" s="4">
        <v>215260</v>
      </c>
    </row>
    <row r="3831" spans="1:11" hidden="1" outlineLevel="2" x14ac:dyDescent="0.35">
      <c r="A3831" t="s">
        <v>2337</v>
      </c>
      <c r="B3831" s="1">
        <v>45734</v>
      </c>
      <c r="C3831" t="str">
        <f>"779"</f>
        <v>779</v>
      </c>
      <c r="E3831" t="str">
        <f>"1312"</f>
        <v>1312</v>
      </c>
      <c r="F3831" t="str">
        <f t="shared" si="131"/>
        <v>47112600</v>
      </c>
      <c r="H3831" t="s">
        <v>68</v>
      </c>
      <c r="K3831" s="4">
        <v>1075800</v>
      </c>
    </row>
    <row r="3832" spans="1:11" hidden="1" outlineLevel="2" x14ac:dyDescent="0.35">
      <c r="A3832" t="s">
        <v>2337</v>
      </c>
      <c r="B3832" s="1">
        <v>45734</v>
      </c>
      <c r="C3832" t="str">
        <f>"780"</f>
        <v>780</v>
      </c>
      <c r="E3832" t="str">
        <f>"1313"</f>
        <v>1313</v>
      </c>
      <c r="F3832" t="str">
        <f t="shared" si="131"/>
        <v>47112600</v>
      </c>
      <c r="H3832" t="s">
        <v>69</v>
      </c>
      <c r="K3832" s="4">
        <v>215260</v>
      </c>
    </row>
    <row r="3833" spans="1:11" hidden="1" outlineLevel="2" x14ac:dyDescent="0.35">
      <c r="A3833" t="s">
        <v>2337</v>
      </c>
      <c r="B3833" s="1">
        <v>45734</v>
      </c>
      <c r="C3833" t="str">
        <f>"781"</f>
        <v>781</v>
      </c>
      <c r="E3833" t="str">
        <f>"1314"</f>
        <v>1314</v>
      </c>
      <c r="F3833" t="str">
        <f t="shared" si="131"/>
        <v>47112600</v>
      </c>
      <c r="H3833" t="s">
        <v>69</v>
      </c>
      <c r="K3833" s="4">
        <v>215260</v>
      </c>
    </row>
    <row r="3834" spans="1:11" hidden="1" outlineLevel="2" x14ac:dyDescent="0.35">
      <c r="A3834" t="s">
        <v>2337</v>
      </c>
      <c r="B3834" s="1">
        <v>45734</v>
      </c>
      <c r="C3834" t="str">
        <f>"782"</f>
        <v>782</v>
      </c>
      <c r="E3834" t="str">
        <f>"1315"</f>
        <v>1315</v>
      </c>
      <c r="F3834" t="str">
        <f t="shared" si="131"/>
        <v>47112600</v>
      </c>
      <c r="H3834" t="s">
        <v>69</v>
      </c>
      <c r="K3834" s="4">
        <v>215260</v>
      </c>
    </row>
    <row r="3835" spans="1:11" hidden="1" outlineLevel="2" x14ac:dyDescent="0.35">
      <c r="A3835" t="s">
        <v>2337</v>
      </c>
      <c r="B3835" s="1">
        <v>45734</v>
      </c>
      <c r="C3835" t="str">
        <f>"783"</f>
        <v>783</v>
      </c>
      <c r="E3835" t="str">
        <f>"1316"</f>
        <v>1316</v>
      </c>
      <c r="F3835" t="str">
        <f t="shared" si="131"/>
        <v>47112600</v>
      </c>
      <c r="H3835" t="s">
        <v>69</v>
      </c>
      <c r="K3835" s="4">
        <v>215260</v>
      </c>
    </row>
    <row r="3836" spans="1:11" hidden="1" outlineLevel="2" x14ac:dyDescent="0.35">
      <c r="A3836" t="s">
        <v>2337</v>
      </c>
      <c r="B3836" s="1">
        <v>45734</v>
      </c>
      <c r="C3836" t="str">
        <f>"784"</f>
        <v>784</v>
      </c>
      <c r="E3836" t="str">
        <f>"1317"</f>
        <v>1317</v>
      </c>
      <c r="F3836" t="str">
        <f t="shared" si="131"/>
        <v>47112600</v>
      </c>
      <c r="H3836" t="s">
        <v>70</v>
      </c>
      <c r="K3836" s="4">
        <v>215260</v>
      </c>
    </row>
    <row r="3837" spans="1:11" hidden="1" outlineLevel="2" x14ac:dyDescent="0.35">
      <c r="A3837" t="s">
        <v>2337</v>
      </c>
      <c r="B3837" s="1">
        <v>45734</v>
      </c>
      <c r="C3837" t="str">
        <f>"785"</f>
        <v>785</v>
      </c>
      <c r="E3837" t="str">
        <f>"1318"</f>
        <v>1318</v>
      </c>
      <c r="F3837" t="str">
        <f t="shared" si="131"/>
        <v>47112600</v>
      </c>
      <c r="H3837" t="s">
        <v>70</v>
      </c>
      <c r="K3837" s="4">
        <v>215260</v>
      </c>
    </row>
    <row r="3838" spans="1:11" hidden="1" outlineLevel="2" x14ac:dyDescent="0.35">
      <c r="A3838" t="s">
        <v>2337</v>
      </c>
      <c r="B3838" s="1">
        <v>45734</v>
      </c>
      <c r="C3838" t="str">
        <f>"786"</f>
        <v>786</v>
      </c>
      <c r="E3838" t="str">
        <f>"1319"</f>
        <v>1319</v>
      </c>
      <c r="F3838" t="str">
        <f t="shared" si="131"/>
        <v>47112600</v>
      </c>
      <c r="H3838" t="s">
        <v>70</v>
      </c>
      <c r="K3838" s="4">
        <v>322640</v>
      </c>
    </row>
    <row r="3839" spans="1:11" hidden="1" outlineLevel="2" x14ac:dyDescent="0.35">
      <c r="A3839" t="s">
        <v>2337</v>
      </c>
      <c r="B3839" s="1">
        <v>45735</v>
      </c>
      <c r="C3839" t="str">
        <f>"797"</f>
        <v>797</v>
      </c>
      <c r="E3839" t="str">
        <f>"1320"</f>
        <v>1320</v>
      </c>
      <c r="F3839" t="str">
        <f t="shared" si="131"/>
        <v>47112600</v>
      </c>
      <c r="H3839" t="s">
        <v>71</v>
      </c>
      <c r="K3839" s="4">
        <v>2149600</v>
      </c>
    </row>
    <row r="3840" spans="1:11" hidden="1" outlineLevel="2" x14ac:dyDescent="0.35">
      <c r="A3840" t="s">
        <v>2337</v>
      </c>
      <c r="B3840" s="1">
        <v>45741</v>
      </c>
      <c r="C3840" t="str">
        <f>"849"</f>
        <v>849</v>
      </c>
      <c r="E3840" t="str">
        <f>"1321"</f>
        <v>1321</v>
      </c>
      <c r="F3840" t="str">
        <f t="shared" si="131"/>
        <v>47112600</v>
      </c>
      <c r="H3840" t="s">
        <v>2399</v>
      </c>
      <c r="K3840" s="4">
        <v>1064000</v>
      </c>
    </row>
    <row r="3841" spans="1:11" hidden="1" outlineLevel="2" x14ac:dyDescent="0.35">
      <c r="A3841" t="s">
        <v>2337</v>
      </c>
      <c r="B3841" s="1">
        <v>45742</v>
      </c>
      <c r="C3841" t="str">
        <f>"858"</f>
        <v>858</v>
      </c>
      <c r="F3841" t="str">
        <f t="shared" si="131"/>
        <v>47112600</v>
      </c>
      <c r="H3841" t="s">
        <v>2614</v>
      </c>
      <c r="K3841" s="4">
        <v>10000000</v>
      </c>
    </row>
    <row r="3842" spans="1:11" hidden="1" outlineLevel="2" x14ac:dyDescent="0.35">
      <c r="A3842" t="s">
        <v>2337</v>
      </c>
      <c r="B3842" s="1">
        <v>45744</v>
      </c>
      <c r="C3842" t="str">
        <f>"868"</f>
        <v>868</v>
      </c>
      <c r="E3842" t="str">
        <f>"1322"</f>
        <v>1322</v>
      </c>
      <c r="F3842" t="str">
        <f t="shared" si="131"/>
        <v>47112600</v>
      </c>
      <c r="H3842" t="s">
        <v>2626</v>
      </c>
      <c r="K3842" s="4">
        <v>2149600</v>
      </c>
    </row>
    <row r="3843" spans="1:11" hidden="1" outlineLevel="2" x14ac:dyDescent="0.35">
      <c r="A3843" t="s">
        <v>75</v>
      </c>
      <c r="B3843" s="1">
        <v>45721</v>
      </c>
      <c r="C3843" t="str">
        <f>"1"</f>
        <v>1</v>
      </c>
      <c r="D3843" t="s">
        <v>2697</v>
      </c>
      <c r="E3843" t="s">
        <v>2698</v>
      </c>
      <c r="F3843" t="str">
        <f t="shared" si="131"/>
        <v>47112600</v>
      </c>
      <c r="H3843" t="s">
        <v>2699</v>
      </c>
      <c r="K3843" s="4">
        <v>9001813</v>
      </c>
    </row>
    <row r="3844" spans="1:11" hidden="1" outlineLevel="2" x14ac:dyDescent="0.35">
      <c r="A3844" t="s">
        <v>75</v>
      </c>
      <c r="B3844" s="1">
        <v>45736</v>
      </c>
      <c r="C3844" t="str">
        <f>"2"</f>
        <v>2</v>
      </c>
      <c r="D3844" t="s">
        <v>2700</v>
      </c>
      <c r="E3844" t="s">
        <v>2701</v>
      </c>
      <c r="F3844" t="str">
        <f t="shared" si="131"/>
        <v>47112600</v>
      </c>
      <c r="H3844" t="s">
        <v>2703</v>
      </c>
      <c r="K3844" s="4">
        <v>6195000</v>
      </c>
    </row>
    <row r="3845" spans="1:11" hidden="1" outlineLevel="2" x14ac:dyDescent="0.35">
      <c r="A3845" t="s">
        <v>75</v>
      </c>
      <c r="B3845" s="1">
        <v>45736</v>
      </c>
      <c r="C3845" t="str">
        <f>"3"</f>
        <v>3</v>
      </c>
      <c r="D3845" t="s">
        <v>2700</v>
      </c>
      <c r="E3845" t="s">
        <v>2701</v>
      </c>
      <c r="F3845" t="str">
        <f t="shared" si="131"/>
        <v>47112600</v>
      </c>
      <c r="H3845" t="s">
        <v>2704</v>
      </c>
      <c r="K3845" s="4">
        <v>1089000</v>
      </c>
    </row>
    <row r="3846" spans="1:11" hidden="1" outlineLevel="2" x14ac:dyDescent="0.35">
      <c r="A3846" t="s">
        <v>75</v>
      </c>
      <c r="B3846" s="1">
        <v>45736</v>
      </c>
      <c r="C3846" t="str">
        <f>"4"</f>
        <v>4</v>
      </c>
      <c r="D3846" t="s">
        <v>2700</v>
      </c>
      <c r="E3846" t="s">
        <v>2701</v>
      </c>
      <c r="F3846" t="str">
        <f t="shared" si="131"/>
        <v>47112600</v>
      </c>
      <c r="H3846" t="s">
        <v>2705</v>
      </c>
      <c r="K3846" s="4">
        <v>5096000</v>
      </c>
    </row>
    <row r="3847" spans="1:11" hidden="1" outlineLevel="2" x14ac:dyDescent="0.35">
      <c r="A3847" t="s">
        <v>75</v>
      </c>
      <c r="B3847" s="1">
        <v>45736</v>
      </c>
      <c r="C3847" t="str">
        <f>"5"</f>
        <v>5</v>
      </c>
      <c r="D3847" t="s">
        <v>2700</v>
      </c>
      <c r="E3847" t="s">
        <v>2701</v>
      </c>
      <c r="F3847" t="str">
        <f t="shared" si="131"/>
        <v>47112600</v>
      </c>
      <c r="H3847" t="s">
        <v>2706</v>
      </c>
      <c r="K3847" s="4">
        <v>700000</v>
      </c>
    </row>
    <row r="3848" spans="1:11" hidden="1" outlineLevel="2" x14ac:dyDescent="0.35">
      <c r="A3848" t="s">
        <v>75</v>
      </c>
      <c r="B3848" s="1">
        <v>45736</v>
      </c>
      <c r="C3848" t="str">
        <f>"6"</f>
        <v>6</v>
      </c>
      <c r="D3848" t="s">
        <v>2700</v>
      </c>
      <c r="E3848" t="s">
        <v>2701</v>
      </c>
      <c r="F3848" t="str">
        <f t="shared" si="131"/>
        <v>47112600</v>
      </c>
      <c r="H3848" t="s">
        <v>2707</v>
      </c>
      <c r="K3848" s="4">
        <v>1661980</v>
      </c>
    </row>
    <row r="3849" spans="1:11" hidden="1" outlineLevel="2" x14ac:dyDescent="0.35">
      <c r="A3849" t="s">
        <v>75</v>
      </c>
      <c r="B3849" s="1">
        <v>45736</v>
      </c>
      <c r="C3849" t="str">
        <f>"7"</f>
        <v>7</v>
      </c>
      <c r="D3849" t="s">
        <v>2700</v>
      </c>
      <c r="E3849" t="s">
        <v>2701</v>
      </c>
      <c r="F3849" t="str">
        <f t="shared" si="131"/>
        <v>47112600</v>
      </c>
      <c r="H3849" t="s">
        <v>2708</v>
      </c>
      <c r="K3849" s="4">
        <v>1926815</v>
      </c>
    </row>
    <row r="3850" spans="1:11" hidden="1" outlineLevel="2" x14ac:dyDescent="0.35">
      <c r="A3850" t="s">
        <v>75</v>
      </c>
      <c r="B3850" s="1">
        <v>45736</v>
      </c>
      <c r="C3850" t="str">
        <f>"8"</f>
        <v>8</v>
      </c>
      <c r="D3850" t="s">
        <v>2700</v>
      </c>
      <c r="E3850" t="s">
        <v>2701</v>
      </c>
      <c r="F3850" t="str">
        <f t="shared" si="131"/>
        <v>47112600</v>
      </c>
      <c r="H3850" t="s">
        <v>2709</v>
      </c>
      <c r="K3850" s="4">
        <v>12226851</v>
      </c>
    </row>
    <row r="3851" spans="1:11" hidden="1" outlineLevel="2" x14ac:dyDescent="0.35">
      <c r="A3851" t="s">
        <v>75</v>
      </c>
      <c r="B3851" s="1">
        <v>45736</v>
      </c>
      <c r="C3851" t="str">
        <f>"9"</f>
        <v>9</v>
      </c>
      <c r="D3851" t="s">
        <v>2700</v>
      </c>
      <c r="E3851" t="s">
        <v>2701</v>
      </c>
      <c r="F3851" t="str">
        <f t="shared" si="131"/>
        <v>47112600</v>
      </c>
      <c r="H3851" t="s">
        <v>2710</v>
      </c>
      <c r="K3851" s="4">
        <v>63994</v>
      </c>
    </row>
    <row r="3852" spans="1:11" hidden="1" outlineLevel="2" x14ac:dyDescent="0.35">
      <c r="A3852" t="s">
        <v>75</v>
      </c>
      <c r="B3852" s="1">
        <v>45736</v>
      </c>
      <c r="C3852" t="str">
        <f>"11"</f>
        <v>11</v>
      </c>
      <c r="D3852" t="s">
        <v>2714</v>
      </c>
      <c r="E3852" t="s">
        <v>2715</v>
      </c>
      <c r="F3852" t="str">
        <f t="shared" si="131"/>
        <v>47112600</v>
      </c>
      <c r="H3852" t="s">
        <v>2716</v>
      </c>
      <c r="K3852" s="4">
        <v>1448440</v>
      </c>
    </row>
    <row r="3853" spans="1:11" hidden="1" outlineLevel="2" x14ac:dyDescent="0.35">
      <c r="A3853" t="s">
        <v>75</v>
      </c>
      <c r="B3853" s="1">
        <v>45737</v>
      </c>
      <c r="C3853" t="str">
        <f>"12"</f>
        <v>12</v>
      </c>
      <c r="D3853" t="s">
        <v>2717</v>
      </c>
      <c r="E3853" t="s">
        <v>2718</v>
      </c>
      <c r="F3853" t="str">
        <f t="shared" si="131"/>
        <v>47112600</v>
      </c>
      <c r="H3853" t="s">
        <v>2719</v>
      </c>
      <c r="K3853" s="4">
        <v>10000000</v>
      </c>
    </row>
    <row r="3854" spans="1:11" hidden="1" outlineLevel="2" x14ac:dyDescent="0.35">
      <c r="A3854" t="s">
        <v>3056</v>
      </c>
      <c r="B3854" s="1">
        <v>45720</v>
      </c>
      <c r="C3854" t="str">
        <f>"174"</f>
        <v>174</v>
      </c>
      <c r="E3854" t="str">
        <f>"1283"</f>
        <v>1283</v>
      </c>
      <c r="F3854" t="str">
        <f t="shared" si="131"/>
        <v>47112600</v>
      </c>
      <c r="H3854" t="s">
        <v>127</v>
      </c>
      <c r="K3854" s="4">
        <v>214760</v>
      </c>
    </row>
    <row r="3855" spans="1:11" hidden="1" outlineLevel="2" x14ac:dyDescent="0.35">
      <c r="A3855" t="s">
        <v>3056</v>
      </c>
      <c r="B3855" s="1">
        <v>45722</v>
      </c>
      <c r="C3855" t="str">
        <f>"175"</f>
        <v>175</v>
      </c>
      <c r="E3855" t="str">
        <f>"1284"</f>
        <v>1284</v>
      </c>
      <c r="F3855" t="str">
        <f t="shared" si="131"/>
        <v>47112600</v>
      </c>
      <c r="H3855" t="s">
        <v>128</v>
      </c>
      <c r="K3855" s="4">
        <v>859040</v>
      </c>
    </row>
    <row r="3856" spans="1:11" hidden="1" outlineLevel="2" x14ac:dyDescent="0.35">
      <c r="A3856" t="s">
        <v>3056</v>
      </c>
      <c r="B3856" s="1">
        <v>45722</v>
      </c>
      <c r="C3856" t="str">
        <f>"176"</f>
        <v>176</v>
      </c>
      <c r="E3856" t="str">
        <f>"1285"</f>
        <v>1285</v>
      </c>
      <c r="F3856" t="str">
        <f t="shared" si="131"/>
        <v>47112600</v>
      </c>
      <c r="H3856" t="s">
        <v>127</v>
      </c>
      <c r="K3856" s="4">
        <v>214760</v>
      </c>
    </row>
    <row r="3857" spans="1:11" hidden="1" outlineLevel="2" x14ac:dyDescent="0.35">
      <c r="A3857" t="s">
        <v>3056</v>
      </c>
      <c r="B3857" s="1">
        <v>45726</v>
      </c>
      <c r="C3857" t="str">
        <f>"177"</f>
        <v>177</v>
      </c>
      <c r="E3857" t="str">
        <f>"1286"</f>
        <v>1286</v>
      </c>
      <c r="F3857" t="str">
        <f t="shared" si="131"/>
        <v>47112600</v>
      </c>
      <c r="H3857" t="s">
        <v>127</v>
      </c>
      <c r="K3857" s="4">
        <v>859040</v>
      </c>
    </row>
    <row r="3858" spans="1:11" hidden="1" outlineLevel="2" x14ac:dyDescent="0.35">
      <c r="A3858" t="s">
        <v>3056</v>
      </c>
      <c r="B3858" s="1">
        <v>45729</v>
      </c>
      <c r="C3858" t="str">
        <f>"178"</f>
        <v>178</v>
      </c>
      <c r="E3858" t="str">
        <f>"1287"</f>
        <v>1287</v>
      </c>
      <c r="F3858" t="str">
        <f t="shared" si="131"/>
        <v>47112600</v>
      </c>
      <c r="H3858" t="s">
        <v>3080</v>
      </c>
      <c r="K3858" s="4">
        <v>429520</v>
      </c>
    </row>
    <row r="3859" spans="1:11" hidden="1" outlineLevel="2" x14ac:dyDescent="0.35">
      <c r="A3859" t="s">
        <v>3056</v>
      </c>
      <c r="B3859" s="1">
        <v>45735</v>
      </c>
      <c r="C3859" t="str">
        <f>"179"</f>
        <v>179</v>
      </c>
      <c r="E3859" t="str">
        <f>"1288"</f>
        <v>1288</v>
      </c>
      <c r="F3859" t="str">
        <f t="shared" si="131"/>
        <v>47112600</v>
      </c>
      <c r="H3859" t="s">
        <v>3080</v>
      </c>
      <c r="K3859" s="4">
        <v>429520</v>
      </c>
    </row>
    <row r="3860" spans="1:11" hidden="1" outlineLevel="2" x14ac:dyDescent="0.35">
      <c r="A3860" t="s">
        <v>3056</v>
      </c>
      <c r="B3860" s="1">
        <v>45736</v>
      </c>
      <c r="C3860" t="str">
        <f>"180"</f>
        <v>180</v>
      </c>
      <c r="E3860" t="str">
        <f>"1289"</f>
        <v>1289</v>
      </c>
      <c r="F3860" t="str">
        <f t="shared" si="131"/>
        <v>47112600</v>
      </c>
      <c r="H3860" t="s">
        <v>127</v>
      </c>
      <c r="K3860" s="4">
        <v>644280</v>
      </c>
    </row>
    <row r="3861" spans="1:11" hidden="1" outlineLevel="2" x14ac:dyDescent="0.35">
      <c r="A3861" t="s">
        <v>3056</v>
      </c>
      <c r="B3861" s="1">
        <v>45736</v>
      </c>
      <c r="C3861" t="str">
        <f>"205"</f>
        <v>205</v>
      </c>
      <c r="F3861" t="str">
        <f t="shared" si="131"/>
        <v>47112600</v>
      </c>
      <c r="H3861" t="s">
        <v>3093</v>
      </c>
      <c r="K3861" s="4">
        <v>15000000</v>
      </c>
    </row>
    <row r="3862" spans="1:11" hidden="1" outlineLevel="2" x14ac:dyDescent="0.35">
      <c r="A3862" t="s">
        <v>3056</v>
      </c>
      <c r="B3862" s="1">
        <v>45740</v>
      </c>
      <c r="C3862" t="str">
        <f>"181"</f>
        <v>181</v>
      </c>
      <c r="E3862" t="str">
        <f>"1290"</f>
        <v>1290</v>
      </c>
      <c r="F3862" t="str">
        <f t="shared" si="131"/>
        <v>47112600</v>
      </c>
      <c r="H3862" t="s">
        <v>130</v>
      </c>
      <c r="K3862" s="4">
        <v>214760</v>
      </c>
    </row>
    <row r="3863" spans="1:11" hidden="1" outlineLevel="2" x14ac:dyDescent="0.35">
      <c r="A3863" t="s">
        <v>3056</v>
      </c>
      <c r="B3863" s="1">
        <v>45741</v>
      </c>
      <c r="C3863" t="str">
        <f>"182"</f>
        <v>182</v>
      </c>
      <c r="E3863" t="str">
        <f>"1291"</f>
        <v>1291</v>
      </c>
      <c r="F3863" t="str">
        <f t="shared" si="131"/>
        <v>47112600</v>
      </c>
      <c r="H3863" t="s">
        <v>127</v>
      </c>
      <c r="K3863" s="4">
        <v>472000</v>
      </c>
    </row>
    <row r="3864" spans="1:11" hidden="1" outlineLevel="2" x14ac:dyDescent="0.35">
      <c r="A3864" t="s">
        <v>3056</v>
      </c>
      <c r="B3864" s="1">
        <v>45744</v>
      </c>
      <c r="C3864" t="str">
        <f>"204"</f>
        <v>204</v>
      </c>
      <c r="F3864" t="str">
        <f t="shared" si="131"/>
        <v>47112600</v>
      </c>
      <c r="H3864" t="s">
        <v>3093</v>
      </c>
      <c r="K3864" s="4">
        <v>22000000</v>
      </c>
    </row>
    <row r="3865" spans="1:11" outlineLevel="1" collapsed="1" x14ac:dyDescent="0.35">
      <c r="B3865" s="1"/>
      <c r="F3865" s="3" t="s">
        <v>6574</v>
      </c>
      <c r="J3865" s="4">
        <f>SUBTOTAL(9,J3826:J3864)</f>
        <v>0</v>
      </c>
      <c r="K3865" s="4">
        <f>SUBTOTAL(9,K3826:K3864)</f>
        <v>114677273</v>
      </c>
    </row>
    <row r="3866" spans="1:11" hidden="1" outlineLevel="2" x14ac:dyDescent="0.35">
      <c r="A3866" t="s">
        <v>1911</v>
      </c>
      <c r="B3866" s="1">
        <v>45720</v>
      </c>
      <c r="C3866" t="str">
        <f>"158"</f>
        <v>158</v>
      </c>
      <c r="F3866" t="str">
        <f t="shared" ref="F3866:F3871" si="132">"47112700"</f>
        <v>47112700</v>
      </c>
      <c r="H3866" t="s">
        <v>1918</v>
      </c>
      <c r="J3866" s="4">
        <v>130000</v>
      </c>
    </row>
    <row r="3867" spans="1:11" hidden="1" outlineLevel="2" x14ac:dyDescent="0.35">
      <c r="A3867" t="s">
        <v>1911</v>
      </c>
      <c r="B3867" s="1">
        <v>45727</v>
      </c>
      <c r="C3867" t="str">
        <f>"170"</f>
        <v>170</v>
      </c>
      <c r="F3867" t="str">
        <f t="shared" si="132"/>
        <v>47112700</v>
      </c>
      <c r="H3867" t="s">
        <v>1926</v>
      </c>
      <c r="J3867" s="4">
        <v>63700</v>
      </c>
    </row>
    <row r="3868" spans="1:11" hidden="1" outlineLevel="2" x14ac:dyDescent="0.35">
      <c r="A3868" t="s">
        <v>2337</v>
      </c>
      <c r="B3868" s="1">
        <v>45721</v>
      </c>
      <c r="C3868" t="str">
        <f>"670"</f>
        <v>670</v>
      </c>
      <c r="E3868" t="str">
        <f>"17290"</f>
        <v>17290</v>
      </c>
      <c r="F3868" t="str">
        <f t="shared" si="132"/>
        <v>47112700</v>
      </c>
      <c r="H3868" t="s">
        <v>2374</v>
      </c>
      <c r="K3868" s="4">
        <v>2600</v>
      </c>
    </row>
    <row r="3869" spans="1:11" hidden="1" outlineLevel="2" x14ac:dyDescent="0.35">
      <c r="A3869" t="s">
        <v>2337</v>
      </c>
      <c r="B3869" s="1">
        <v>45727</v>
      </c>
      <c r="C3869" t="str">
        <f>"728"</f>
        <v>728</v>
      </c>
      <c r="E3869" t="str">
        <f>"17347"</f>
        <v>17347</v>
      </c>
      <c r="F3869" t="str">
        <f t="shared" si="132"/>
        <v>47112700</v>
      </c>
      <c r="H3869" t="s">
        <v>2454</v>
      </c>
      <c r="J3869" s="4">
        <v>1500000</v>
      </c>
    </row>
    <row r="3870" spans="1:11" hidden="1" outlineLevel="2" x14ac:dyDescent="0.35">
      <c r="A3870" t="s">
        <v>2337</v>
      </c>
      <c r="B3870" s="1">
        <v>45729</v>
      </c>
      <c r="C3870" t="str">
        <f>"743"</f>
        <v>743</v>
      </c>
      <c r="E3870" t="str">
        <f>"17362"</f>
        <v>17362</v>
      </c>
      <c r="F3870" t="str">
        <f t="shared" si="132"/>
        <v>47112700</v>
      </c>
      <c r="H3870" t="s">
        <v>2479</v>
      </c>
      <c r="K3870" s="4">
        <v>43200</v>
      </c>
    </row>
    <row r="3871" spans="1:11" hidden="1" outlineLevel="2" x14ac:dyDescent="0.35">
      <c r="A3871" t="s">
        <v>2337</v>
      </c>
      <c r="B3871" s="1">
        <v>45742</v>
      </c>
      <c r="C3871" t="str">
        <f>"859"</f>
        <v>859</v>
      </c>
      <c r="E3871" t="str">
        <f>"15866"</f>
        <v>15866</v>
      </c>
      <c r="F3871" t="str">
        <f t="shared" si="132"/>
        <v>47112700</v>
      </c>
      <c r="H3871" t="s">
        <v>2615</v>
      </c>
      <c r="J3871" s="4">
        <v>18900</v>
      </c>
    </row>
    <row r="3872" spans="1:11" outlineLevel="1" collapsed="1" x14ac:dyDescent="0.35">
      <c r="B3872" s="1"/>
      <c r="F3872" s="3" t="s">
        <v>6575</v>
      </c>
      <c r="J3872" s="4">
        <f>SUBTOTAL(9,J3866:J3871)</f>
        <v>1712600</v>
      </c>
      <c r="K3872" s="4">
        <f>SUBTOTAL(9,K3866:K3871)</f>
        <v>45800</v>
      </c>
    </row>
    <row r="3873" spans="1:10" hidden="1" outlineLevel="2" x14ac:dyDescent="0.35">
      <c r="A3873" t="s">
        <v>26</v>
      </c>
      <c r="B3873" s="1">
        <v>45722</v>
      </c>
      <c r="C3873" t="str">
        <f>"4"</f>
        <v>4</v>
      </c>
      <c r="D3873" t="s">
        <v>1497</v>
      </c>
      <c r="E3873" t="str">
        <f>"258"</f>
        <v>258</v>
      </c>
      <c r="F3873" t="str">
        <f t="shared" ref="F3873:F3891" si="133">"47112800"</f>
        <v>47112800</v>
      </c>
      <c r="H3873" t="s">
        <v>1498</v>
      </c>
      <c r="J3873" s="4">
        <v>146635</v>
      </c>
    </row>
    <row r="3874" spans="1:10" hidden="1" outlineLevel="2" x14ac:dyDescent="0.35">
      <c r="A3874" t="s">
        <v>26</v>
      </c>
      <c r="B3874" s="1">
        <v>45722</v>
      </c>
      <c r="C3874" t="str">
        <f>"5"</f>
        <v>5</v>
      </c>
      <c r="D3874" t="s">
        <v>1499</v>
      </c>
      <c r="E3874" t="str">
        <f>"266"</f>
        <v>266</v>
      </c>
      <c r="F3874" t="str">
        <f t="shared" si="133"/>
        <v>47112800</v>
      </c>
      <c r="H3874" t="s">
        <v>1500</v>
      </c>
      <c r="J3874" s="4">
        <v>848585</v>
      </c>
    </row>
    <row r="3875" spans="1:10" hidden="1" outlineLevel="2" x14ac:dyDescent="0.35">
      <c r="A3875" t="s">
        <v>26</v>
      </c>
      <c r="B3875" s="1">
        <v>45726</v>
      </c>
      <c r="C3875" t="str">
        <f>"37"</f>
        <v>37</v>
      </c>
      <c r="D3875" t="s">
        <v>1534</v>
      </c>
      <c r="E3875" t="str">
        <f>"5127760111202401"</f>
        <v>5127760111202401</v>
      </c>
      <c r="F3875" t="str">
        <f t="shared" si="133"/>
        <v>47112800</v>
      </c>
      <c r="H3875" t="s">
        <v>1535</v>
      </c>
      <c r="J3875" s="4">
        <v>72055</v>
      </c>
    </row>
    <row r="3876" spans="1:10" hidden="1" outlineLevel="2" x14ac:dyDescent="0.35">
      <c r="A3876" t="s">
        <v>26</v>
      </c>
      <c r="B3876" s="1">
        <v>45726</v>
      </c>
      <c r="C3876" t="str">
        <f>"38"</f>
        <v>38</v>
      </c>
      <c r="D3876" t="s">
        <v>1536</v>
      </c>
      <c r="E3876" t="str">
        <f>"2090010111202401"</f>
        <v>2090010111202401</v>
      </c>
      <c r="F3876" t="str">
        <f t="shared" si="133"/>
        <v>47112800</v>
      </c>
      <c r="H3876" t="s">
        <v>1537</v>
      </c>
      <c r="J3876" s="4">
        <v>56073</v>
      </c>
    </row>
    <row r="3877" spans="1:10" hidden="1" outlineLevel="2" x14ac:dyDescent="0.35">
      <c r="A3877" t="s">
        <v>1790</v>
      </c>
      <c r="B3877" s="1">
        <v>45720</v>
      </c>
      <c r="C3877" t="str">
        <f>"150"</f>
        <v>150</v>
      </c>
      <c r="F3877" t="str">
        <f t="shared" si="133"/>
        <v>47112800</v>
      </c>
      <c r="H3877" t="s">
        <v>1797</v>
      </c>
      <c r="J3877" s="4">
        <v>9800000</v>
      </c>
    </row>
    <row r="3878" spans="1:10" hidden="1" outlineLevel="2" x14ac:dyDescent="0.35">
      <c r="A3878" t="s">
        <v>1790</v>
      </c>
      <c r="B3878" s="1">
        <v>45729</v>
      </c>
      <c r="C3878" t="str">
        <f>"155"</f>
        <v>155</v>
      </c>
      <c r="F3878" t="str">
        <f t="shared" si="133"/>
        <v>47112800</v>
      </c>
      <c r="H3878" t="s">
        <v>1807</v>
      </c>
      <c r="J3878" s="4">
        <v>1000000</v>
      </c>
    </row>
    <row r="3879" spans="1:10" hidden="1" outlineLevel="2" x14ac:dyDescent="0.35">
      <c r="A3879" t="s">
        <v>1790</v>
      </c>
      <c r="B3879" s="1">
        <v>45734</v>
      </c>
      <c r="C3879" t="str">
        <f>"172"</f>
        <v>172</v>
      </c>
      <c r="F3879" t="str">
        <f t="shared" si="133"/>
        <v>47112800</v>
      </c>
      <c r="H3879" t="s">
        <v>1820</v>
      </c>
      <c r="J3879" s="4">
        <v>6000000</v>
      </c>
    </row>
    <row r="3880" spans="1:10" hidden="1" outlineLevel="2" x14ac:dyDescent="0.35">
      <c r="A3880" t="s">
        <v>1790</v>
      </c>
      <c r="B3880" s="1">
        <v>45734</v>
      </c>
      <c r="C3880" t="str">
        <f>"174"</f>
        <v>174</v>
      </c>
      <c r="F3880" t="str">
        <f t="shared" si="133"/>
        <v>47112800</v>
      </c>
      <c r="H3880" t="s">
        <v>1820</v>
      </c>
      <c r="J3880" s="4">
        <v>44000000</v>
      </c>
    </row>
    <row r="3881" spans="1:10" hidden="1" outlineLevel="2" x14ac:dyDescent="0.35">
      <c r="A3881" t="s">
        <v>1911</v>
      </c>
      <c r="B3881" s="1">
        <v>45741</v>
      </c>
      <c r="C3881" t="str">
        <f>"202"</f>
        <v>202</v>
      </c>
      <c r="F3881" t="str">
        <f t="shared" si="133"/>
        <v>47112800</v>
      </c>
      <c r="H3881" t="s">
        <v>1944</v>
      </c>
      <c r="J3881" s="4">
        <v>7011700</v>
      </c>
    </row>
    <row r="3882" spans="1:10" hidden="1" outlineLevel="2" x14ac:dyDescent="0.35">
      <c r="A3882" t="s">
        <v>2337</v>
      </c>
      <c r="B3882" s="1">
        <v>45722</v>
      </c>
      <c r="C3882" t="str">
        <f>"688"</f>
        <v>688</v>
      </c>
      <c r="E3882" t="str">
        <f>"17307"</f>
        <v>17307</v>
      </c>
      <c r="F3882" t="str">
        <f t="shared" si="133"/>
        <v>47112800</v>
      </c>
      <c r="H3882" t="s">
        <v>2403</v>
      </c>
      <c r="J3882" s="4">
        <v>300000</v>
      </c>
    </row>
    <row r="3883" spans="1:10" hidden="1" outlineLevel="2" x14ac:dyDescent="0.35">
      <c r="A3883" t="s">
        <v>2337</v>
      </c>
      <c r="B3883" s="1">
        <v>45729</v>
      </c>
      <c r="C3883" t="str">
        <f>"750"</f>
        <v>750</v>
      </c>
      <c r="E3883" t="str">
        <f>"17369"</f>
        <v>17369</v>
      </c>
      <c r="F3883" t="str">
        <f t="shared" si="133"/>
        <v>47112800</v>
      </c>
      <c r="H3883" t="s">
        <v>2489</v>
      </c>
      <c r="J3883" s="4">
        <v>-300000</v>
      </c>
    </row>
    <row r="3884" spans="1:10" hidden="1" outlineLevel="2" x14ac:dyDescent="0.35">
      <c r="A3884" t="s">
        <v>2337</v>
      </c>
      <c r="B3884" s="1">
        <v>45729</v>
      </c>
      <c r="C3884" t="str">
        <f>"752"</f>
        <v>752</v>
      </c>
      <c r="E3884" t="str">
        <f>"17371"</f>
        <v>17371</v>
      </c>
      <c r="F3884" t="str">
        <f t="shared" si="133"/>
        <v>47112800</v>
      </c>
      <c r="H3884" t="s">
        <v>2491</v>
      </c>
      <c r="J3884" s="4">
        <v>262000</v>
      </c>
    </row>
    <row r="3885" spans="1:10" hidden="1" outlineLevel="2" x14ac:dyDescent="0.35">
      <c r="A3885" t="s">
        <v>2337</v>
      </c>
      <c r="B3885" s="1">
        <v>45734</v>
      </c>
      <c r="C3885" t="str">
        <f>"789"</f>
        <v>789</v>
      </c>
      <c r="E3885" t="str">
        <f>"17396"</f>
        <v>17396</v>
      </c>
      <c r="F3885" t="str">
        <f t="shared" si="133"/>
        <v>47112800</v>
      </c>
      <c r="H3885" t="s">
        <v>2526</v>
      </c>
      <c r="J3885" s="4">
        <v>85000</v>
      </c>
    </row>
    <row r="3886" spans="1:10" hidden="1" outlineLevel="2" x14ac:dyDescent="0.35">
      <c r="A3886" t="s">
        <v>101</v>
      </c>
      <c r="B3886" s="1">
        <v>45747</v>
      </c>
      <c r="C3886" t="str">
        <f>"16"</f>
        <v>16</v>
      </c>
      <c r="F3886" t="str">
        <f t="shared" si="133"/>
        <v>47112800</v>
      </c>
      <c r="H3886" t="s">
        <v>2850</v>
      </c>
      <c r="J3886" s="4">
        <v>724865</v>
      </c>
    </row>
    <row r="3887" spans="1:10" hidden="1" outlineLevel="2" x14ac:dyDescent="0.35">
      <c r="A3887" t="s">
        <v>101</v>
      </c>
      <c r="B3887" s="1">
        <v>45747</v>
      </c>
      <c r="C3887" t="str">
        <f>"16"</f>
        <v>16</v>
      </c>
      <c r="F3887" t="str">
        <f t="shared" si="133"/>
        <v>47112800</v>
      </c>
      <c r="H3887" t="s">
        <v>2851</v>
      </c>
      <c r="J3887" s="4">
        <v>99999</v>
      </c>
    </row>
    <row r="3888" spans="1:10" hidden="1" outlineLevel="2" x14ac:dyDescent="0.35">
      <c r="A3888" t="s">
        <v>101</v>
      </c>
      <c r="B3888" s="1">
        <v>45747</v>
      </c>
      <c r="C3888" t="str">
        <f>"17"</f>
        <v>17</v>
      </c>
      <c r="F3888" t="str">
        <f t="shared" si="133"/>
        <v>47112800</v>
      </c>
      <c r="H3888" t="s">
        <v>2857</v>
      </c>
      <c r="J3888" s="4">
        <v>793750</v>
      </c>
    </row>
    <row r="3889" spans="1:11" hidden="1" outlineLevel="2" x14ac:dyDescent="0.35">
      <c r="A3889" t="s">
        <v>3056</v>
      </c>
      <c r="B3889" s="1">
        <v>45721</v>
      </c>
      <c r="C3889" t="str">
        <f>"152"</f>
        <v>152</v>
      </c>
      <c r="F3889" t="str">
        <f t="shared" si="133"/>
        <v>47112800</v>
      </c>
      <c r="H3889" t="s">
        <v>3066</v>
      </c>
      <c r="J3889" s="4">
        <v>240000</v>
      </c>
    </row>
    <row r="3890" spans="1:11" hidden="1" outlineLevel="2" x14ac:dyDescent="0.35">
      <c r="A3890" t="s">
        <v>3056</v>
      </c>
      <c r="B3890" s="1">
        <v>45726</v>
      </c>
      <c r="C3890" t="str">
        <f>"159"</f>
        <v>159</v>
      </c>
      <c r="F3890" t="str">
        <f t="shared" si="133"/>
        <v>47112800</v>
      </c>
      <c r="H3890" t="s">
        <v>3073</v>
      </c>
      <c r="J3890" s="4">
        <v>109000</v>
      </c>
    </row>
    <row r="3891" spans="1:11" hidden="1" outlineLevel="2" x14ac:dyDescent="0.35">
      <c r="A3891" t="s">
        <v>3056</v>
      </c>
      <c r="B3891" s="1">
        <v>45740</v>
      </c>
      <c r="C3891" t="str">
        <f>"192"</f>
        <v>192</v>
      </c>
      <c r="F3891" t="str">
        <f t="shared" si="133"/>
        <v>47112800</v>
      </c>
      <c r="H3891" t="s">
        <v>3097</v>
      </c>
      <c r="J3891" s="4">
        <v>118073</v>
      </c>
    </row>
    <row r="3892" spans="1:11" outlineLevel="1" collapsed="1" x14ac:dyDescent="0.35">
      <c r="B3892" s="1"/>
      <c r="F3892" s="3" t="s">
        <v>6576</v>
      </c>
      <c r="J3892" s="4">
        <f>SUBTOTAL(9,J3873:J3891)</f>
        <v>71367735</v>
      </c>
      <c r="K3892" s="4">
        <f>SUBTOTAL(9,K3873:K3891)</f>
        <v>0</v>
      </c>
    </row>
    <row r="3893" spans="1:11" hidden="1" outlineLevel="2" x14ac:dyDescent="0.35">
      <c r="A3893" t="s">
        <v>1986</v>
      </c>
      <c r="B3893" s="1">
        <v>45736</v>
      </c>
      <c r="C3893" t="str">
        <f>"81"</f>
        <v>81</v>
      </c>
      <c r="F3893" t="str">
        <f>"47120200"</f>
        <v>47120200</v>
      </c>
      <c r="H3893" t="s">
        <v>2010</v>
      </c>
      <c r="J3893" s="4">
        <v>2242000</v>
      </c>
    </row>
    <row r="3894" spans="1:11" outlineLevel="1" collapsed="1" x14ac:dyDescent="0.35">
      <c r="B3894" s="1"/>
      <c r="F3894" s="3" t="s">
        <v>6577</v>
      </c>
      <c r="J3894" s="4">
        <f>SUBTOTAL(9,J3893:J3893)</f>
        <v>2242000</v>
      </c>
      <c r="K3894" s="4">
        <f>SUBTOTAL(9,K3893:K3893)</f>
        <v>0</v>
      </c>
    </row>
    <row r="3895" spans="1:11" hidden="1" outlineLevel="2" x14ac:dyDescent="0.35">
      <c r="A3895" t="s">
        <v>26</v>
      </c>
      <c r="B3895" s="1">
        <v>45720</v>
      </c>
      <c r="C3895" t="str">
        <f>"21"</f>
        <v>21</v>
      </c>
      <c r="D3895" t="s">
        <v>1467</v>
      </c>
      <c r="E3895" t="str">
        <f>"2503012"</f>
        <v>2503012</v>
      </c>
      <c r="F3895" t="str">
        <f>"47150000"</f>
        <v>47150000</v>
      </c>
      <c r="G3895" t="s">
        <v>1469</v>
      </c>
      <c r="H3895" t="s">
        <v>1468</v>
      </c>
      <c r="J3895" s="4">
        <v>97940</v>
      </c>
    </row>
    <row r="3896" spans="1:11" hidden="1" outlineLevel="2" x14ac:dyDescent="0.35">
      <c r="A3896" t="s">
        <v>101</v>
      </c>
      <c r="B3896" s="1">
        <v>45717</v>
      </c>
      <c r="C3896" t="str">
        <f>"64"</f>
        <v>64</v>
      </c>
      <c r="F3896" t="str">
        <f>"47150000"</f>
        <v>47150000</v>
      </c>
      <c r="G3896" t="s">
        <v>1469</v>
      </c>
      <c r="H3896" t="s">
        <v>2752</v>
      </c>
      <c r="K3896" s="4">
        <v>24705900</v>
      </c>
    </row>
    <row r="3897" spans="1:11" outlineLevel="1" collapsed="1" x14ac:dyDescent="0.35">
      <c r="B3897" s="1"/>
      <c r="F3897" s="3" t="s">
        <v>6578</v>
      </c>
      <c r="J3897" s="4">
        <f>SUBTOTAL(9,J3895:J3896)</f>
        <v>97940</v>
      </c>
      <c r="K3897" s="4">
        <f>SUBTOTAL(9,K3895:K3896)</f>
        <v>24705900</v>
      </c>
    </row>
    <row r="3898" spans="1:11" hidden="1" outlineLevel="2" x14ac:dyDescent="0.35">
      <c r="A3898" t="s">
        <v>1775</v>
      </c>
      <c r="B3898" s="1">
        <v>45717</v>
      </c>
      <c r="C3898" t="s">
        <v>1776</v>
      </c>
      <c r="D3898" t="s">
        <v>1776</v>
      </c>
      <c r="F3898" t="str">
        <f t="shared" ref="F3898:F3910" si="134">"47160000"</f>
        <v>47160000</v>
      </c>
      <c r="G3898" t="str">
        <f t="shared" ref="G3898:G3910" si="135">"41111181"</f>
        <v>41111181</v>
      </c>
      <c r="H3898" t="s">
        <v>1777</v>
      </c>
      <c r="J3898" s="4">
        <v>61902045</v>
      </c>
    </row>
    <row r="3899" spans="1:11" hidden="1" outlineLevel="2" x14ac:dyDescent="0.35">
      <c r="A3899" t="s">
        <v>1775</v>
      </c>
      <c r="B3899" s="1">
        <v>45717</v>
      </c>
      <c r="C3899" t="s">
        <v>1778</v>
      </c>
      <c r="D3899" t="s">
        <v>1778</v>
      </c>
      <c r="F3899" t="str">
        <f t="shared" si="134"/>
        <v>47160000</v>
      </c>
      <c r="G3899" t="str">
        <f t="shared" si="135"/>
        <v>41111181</v>
      </c>
      <c r="H3899" t="s">
        <v>1779</v>
      </c>
      <c r="J3899" s="4">
        <v>41585147</v>
      </c>
    </row>
    <row r="3900" spans="1:11" hidden="1" outlineLevel="2" x14ac:dyDescent="0.35">
      <c r="A3900" t="s">
        <v>1775</v>
      </c>
      <c r="B3900" s="1">
        <v>45717</v>
      </c>
      <c r="C3900" t="s">
        <v>1780</v>
      </c>
      <c r="D3900" t="s">
        <v>1780</v>
      </c>
      <c r="F3900" t="str">
        <f t="shared" si="134"/>
        <v>47160000</v>
      </c>
      <c r="G3900" t="str">
        <f t="shared" si="135"/>
        <v>41111181</v>
      </c>
      <c r="H3900" t="s">
        <v>1781</v>
      </c>
      <c r="J3900" s="4">
        <v>2950000</v>
      </c>
    </row>
    <row r="3901" spans="1:11" hidden="1" outlineLevel="2" x14ac:dyDescent="0.35">
      <c r="A3901" t="s">
        <v>1775</v>
      </c>
      <c r="B3901" s="1">
        <v>45717</v>
      </c>
      <c r="C3901" t="s">
        <v>1782</v>
      </c>
      <c r="D3901" t="s">
        <v>1782</v>
      </c>
      <c r="F3901" t="str">
        <f t="shared" si="134"/>
        <v>47160000</v>
      </c>
      <c r="G3901" t="str">
        <f t="shared" si="135"/>
        <v>41111181</v>
      </c>
      <c r="H3901" t="s">
        <v>1783</v>
      </c>
      <c r="J3901" s="4">
        <v>1451400</v>
      </c>
    </row>
    <row r="3902" spans="1:11" hidden="1" outlineLevel="2" x14ac:dyDescent="0.35">
      <c r="A3902" t="s">
        <v>1775</v>
      </c>
      <c r="B3902" s="1">
        <v>45717</v>
      </c>
      <c r="C3902" t="s">
        <v>1784</v>
      </c>
      <c r="D3902" t="s">
        <v>1784</v>
      </c>
      <c r="F3902" t="str">
        <f t="shared" si="134"/>
        <v>47160000</v>
      </c>
      <c r="G3902" t="str">
        <f t="shared" si="135"/>
        <v>41111181</v>
      </c>
      <c r="H3902" t="s">
        <v>1785</v>
      </c>
      <c r="J3902" s="4">
        <v>1451400</v>
      </c>
    </row>
    <row r="3903" spans="1:11" hidden="1" outlineLevel="2" x14ac:dyDescent="0.35">
      <c r="A3903" t="s">
        <v>1775</v>
      </c>
      <c r="B3903" s="1">
        <v>45717</v>
      </c>
      <c r="C3903" t="s">
        <v>1786</v>
      </c>
      <c r="D3903" t="s">
        <v>1786</v>
      </c>
      <c r="F3903" t="str">
        <f t="shared" si="134"/>
        <v>47160000</v>
      </c>
      <c r="G3903" t="str">
        <f t="shared" si="135"/>
        <v>41111181</v>
      </c>
      <c r="H3903" t="s">
        <v>1787</v>
      </c>
      <c r="J3903" s="4">
        <v>81354923</v>
      </c>
    </row>
    <row r="3904" spans="1:11" hidden="1" outlineLevel="2" x14ac:dyDescent="0.35">
      <c r="A3904" t="s">
        <v>1775</v>
      </c>
      <c r="B3904" s="1">
        <v>45717</v>
      </c>
      <c r="C3904" t="s">
        <v>1788</v>
      </c>
      <c r="D3904" t="s">
        <v>1788</v>
      </c>
      <c r="F3904" t="str">
        <f t="shared" si="134"/>
        <v>47160000</v>
      </c>
      <c r="G3904" t="str">
        <f t="shared" si="135"/>
        <v>41111181</v>
      </c>
      <c r="H3904" t="s">
        <v>1789</v>
      </c>
      <c r="J3904" s="4">
        <v>47265254</v>
      </c>
    </row>
    <row r="3905" spans="1:11" hidden="1" outlineLevel="2" x14ac:dyDescent="0.35">
      <c r="A3905" t="s">
        <v>2672</v>
      </c>
      <c r="B3905" s="1">
        <v>45717</v>
      </c>
      <c r="C3905" t="str">
        <f>"13"</f>
        <v>13</v>
      </c>
      <c r="F3905" t="str">
        <f t="shared" si="134"/>
        <v>47160000</v>
      </c>
      <c r="G3905" t="str">
        <f t="shared" si="135"/>
        <v>41111181</v>
      </c>
      <c r="H3905" t="s">
        <v>2673</v>
      </c>
      <c r="K3905" s="4">
        <v>7847000</v>
      </c>
    </row>
    <row r="3906" spans="1:11" hidden="1" outlineLevel="2" x14ac:dyDescent="0.35">
      <c r="A3906" t="s">
        <v>2672</v>
      </c>
      <c r="B3906" s="1">
        <v>45717</v>
      </c>
      <c r="C3906" t="str">
        <f>"15"</f>
        <v>15</v>
      </c>
      <c r="F3906" t="str">
        <f t="shared" si="134"/>
        <v>47160000</v>
      </c>
      <c r="G3906" t="str">
        <f t="shared" si="135"/>
        <v>41111181</v>
      </c>
      <c r="H3906" t="s">
        <v>2673</v>
      </c>
      <c r="K3906" s="4">
        <v>293431878</v>
      </c>
    </row>
    <row r="3907" spans="1:11" hidden="1" outlineLevel="2" x14ac:dyDescent="0.35">
      <c r="A3907" t="s">
        <v>2672</v>
      </c>
      <c r="B3907" s="1">
        <v>45741</v>
      </c>
      <c r="C3907" t="str">
        <f>"14"</f>
        <v>14</v>
      </c>
      <c r="F3907" t="str">
        <f t="shared" si="134"/>
        <v>47160000</v>
      </c>
      <c r="G3907" t="str">
        <f t="shared" si="135"/>
        <v>41111181</v>
      </c>
      <c r="H3907" t="s">
        <v>2673</v>
      </c>
      <c r="K3907" s="4">
        <v>498340160</v>
      </c>
    </row>
    <row r="3908" spans="1:11" hidden="1" outlineLevel="2" x14ac:dyDescent="0.35">
      <c r="A3908" t="s">
        <v>101</v>
      </c>
      <c r="B3908" s="1">
        <v>45747</v>
      </c>
      <c r="C3908" t="str">
        <f>"26"</f>
        <v>26</v>
      </c>
      <c r="D3908" t="s">
        <v>2868</v>
      </c>
      <c r="E3908" t="s">
        <v>2868</v>
      </c>
      <c r="F3908" t="str">
        <f t="shared" si="134"/>
        <v>47160000</v>
      </c>
      <c r="G3908" t="str">
        <f t="shared" si="135"/>
        <v>41111181</v>
      </c>
      <c r="H3908" t="s">
        <v>2869</v>
      </c>
      <c r="K3908" s="4">
        <v>5839758</v>
      </c>
    </row>
    <row r="3909" spans="1:11" hidden="1" outlineLevel="2" x14ac:dyDescent="0.35">
      <c r="A3909" t="s">
        <v>101</v>
      </c>
      <c r="B3909" s="1">
        <v>45747</v>
      </c>
      <c r="C3909" t="str">
        <f>"27"</f>
        <v>27</v>
      </c>
      <c r="D3909" t="s">
        <v>2870</v>
      </c>
      <c r="E3909" t="s">
        <v>2870</v>
      </c>
      <c r="F3909" t="str">
        <f t="shared" si="134"/>
        <v>47160000</v>
      </c>
      <c r="G3909" t="str">
        <f t="shared" si="135"/>
        <v>41111181</v>
      </c>
      <c r="H3909" t="s">
        <v>2871</v>
      </c>
      <c r="J3909" s="4">
        <v>8143263</v>
      </c>
    </row>
    <row r="3910" spans="1:11" hidden="1" outlineLevel="2" x14ac:dyDescent="0.35">
      <c r="A3910" t="s">
        <v>101</v>
      </c>
      <c r="B3910" s="1">
        <v>45747</v>
      </c>
      <c r="C3910" t="str">
        <f>"27"</f>
        <v>27</v>
      </c>
      <c r="D3910" t="s">
        <v>2870</v>
      </c>
      <c r="E3910" t="s">
        <v>2870</v>
      </c>
      <c r="F3910" t="str">
        <f t="shared" si="134"/>
        <v>47160000</v>
      </c>
      <c r="G3910" t="str">
        <f t="shared" si="135"/>
        <v>41111181</v>
      </c>
      <c r="H3910" t="s">
        <v>2871</v>
      </c>
      <c r="K3910" s="4">
        <v>8143263</v>
      </c>
    </row>
    <row r="3911" spans="1:11" outlineLevel="1" collapsed="1" x14ac:dyDescent="0.35">
      <c r="B3911" s="1"/>
      <c r="F3911" s="3" t="s">
        <v>6579</v>
      </c>
      <c r="J3911" s="4">
        <f>SUBTOTAL(9,J3898:J3910)</f>
        <v>246103432</v>
      </c>
      <c r="K3911" s="4">
        <f>SUBTOTAL(9,K3898:K3910)</f>
        <v>813602059</v>
      </c>
    </row>
    <row r="3912" spans="1:11" hidden="1" outlineLevel="2" x14ac:dyDescent="0.35">
      <c r="A3912" t="s">
        <v>26</v>
      </c>
      <c r="B3912" s="1">
        <v>45729</v>
      </c>
      <c r="C3912" t="str">
        <f>"112"</f>
        <v>112</v>
      </c>
      <c r="D3912" t="s">
        <v>1624</v>
      </c>
      <c r="E3912" t="str">
        <f>"25100615"</f>
        <v>25100615</v>
      </c>
      <c r="F3912" t="str">
        <f t="shared" ref="F3912:F3943" si="136">"47310100"</f>
        <v>47310100</v>
      </c>
      <c r="H3912" t="s">
        <v>1625</v>
      </c>
      <c r="J3912" s="4">
        <v>2153500</v>
      </c>
    </row>
    <row r="3913" spans="1:11" hidden="1" outlineLevel="2" x14ac:dyDescent="0.35">
      <c r="A3913" t="s">
        <v>26</v>
      </c>
      <c r="B3913" s="1">
        <v>45729</v>
      </c>
      <c r="C3913" t="str">
        <f>"113"</f>
        <v>113</v>
      </c>
      <c r="D3913" t="s">
        <v>1626</v>
      </c>
      <c r="E3913" t="str">
        <f>"25100620"</f>
        <v>25100620</v>
      </c>
      <c r="F3913" t="str">
        <f t="shared" si="136"/>
        <v>47310100</v>
      </c>
      <c r="H3913" t="s">
        <v>1625</v>
      </c>
      <c r="J3913" s="4">
        <v>708000</v>
      </c>
    </row>
    <row r="3914" spans="1:11" hidden="1" outlineLevel="2" x14ac:dyDescent="0.35">
      <c r="A3914" t="s">
        <v>26</v>
      </c>
      <c r="B3914" s="1">
        <v>45729</v>
      </c>
      <c r="C3914" t="str">
        <f>"114"</f>
        <v>114</v>
      </c>
      <c r="D3914" t="s">
        <v>1627</v>
      </c>
      <c r="E3914" t="str">
        <f>"25100628"</f>
        <v>25100628</v>
      </c>
      <c r="F3914" t="str">
        <f t="shared" si="136"/>
        <v>47310100</v>
      </c>
      <c r="H3914" t="s">
        <v>1625</v>
      </c>
      <c r="J3914" s="4">
        <v>3717000</v>
      </c>
    </row>
    <row r="3915" spans="1:11" hidden="1" outlineLevel="2" x14ac:dyDescent="0.35">
      <c r="A3915" t="s">
        <v>26</v>
      </c>
      <c r="B3915" s="1">
        <v>45733</v>
      </c>
      <c r="C3915" t="str">
        <f>"122"</f>
        <v>122</v>
      </c>
      <c r="D3915" t="s">
        <v>1667</v>
      </c>
      <c r="E3915" t="s">
        <v>1668</v>
      </c>
      <c r="F3915" t="str">
        <f t="shared" si="136"/>
        <v>47310100</v>
      </c>
      <c r="H3915" t="s">
        <v>1669</v>
      </c>
      <c r="J3915" s="4">
        <v>29500</v>
      </c>
    </row>
    <row r="3916" spans="1:11" hidden="1" outlineLevel="2" x14ac:dyDescent="0.35">
      <c r="A3916" t="s">
        <v>131</v>
      </c>
      <c r="B3916" s="1">
        <v>45718</v>
      </c>
      <c r="C3916" t="s">
        <v>5511</v>
      </c>
      <c r="D3916" t="s">
        <v>5511</v>
      </c>
      <c r="F3916" t="str">
        <f t="shared" si="136"/>
        <v>47310100</v>
      </c>
      <c r="H3916" t="s">
        <v>5512</v>
      </c>
      <c r="I3916" s="1">
        <v>45749</v>
      </c>
      <c r="K3916" s="4">
        <v>147500</v>
      </c>
    </row>
    <row r="3917" spans="1:11" hidden="1" outlineLevel="2" x14ac:dyDescent="0.35">
      <c r="A3917" t="s">
        <v>131</v>
      </c>
      <c r="B3917" s="1">
        <v>45720</v>
      </c>
      <c r="C3917" t="s">
        <v>5517</v>
      </c>
      <c r="D3917" t="s">
        <v>5517</v>
      </c>
      <c r="F3917" t="str">
        <f t="shared" si="136"/>
        <v>47310100</v>
      </c>
      <c r="H3917" t="s">
        <v>5518</v>
      </c>
      <c r="I3917" s="1">
        <v>45751</v>
      </c>
      <c r="K3917" s="4">
        <v>59000</v>
      </c>
    </row>
    <row r="3918" spans="1:11" hidden="1" outlineLevel="2" x14ac:dyDescent="0.35">
      <c r="A3918" t="s">
        <v>131</v>
      </c>
      <c r="B3918" s="1">
        <v>45720</v>
      </c>
      <c r="C3918" t="s">
        <v>5519</v>
      </c>
      <c r="D3918" t="s">
        <v>5519</v>
      </c>
      <c r="F3918" t="str">
        <f t="shared" si="136"/>
        <v>47310100</v>
      </c>
      <c r="H3918" t="s">
        <v>5518</v>
      </c>
      <c r="I3918" s="1">
        <v>45751</v>
      </c>
      <c r="K3918" s="4">
        <v>59000</v>
      </c>
    </row>
    <row r="3919" spans="1:11" hidden="1" outlineLevel="2" x14ac:dyDescent="0.35">
      <c r="A3919" t="s">
        <v>131</v>
      </c>
      <c r="B3919" s="1">
        <v>45720</v>
      </c>
      <c r="C3919" t="s">
        <v>5520</v>
      </c>
      <c r="D3919" t="s">
        <v>5520</v>
      </c>
      <c r="F3919" t="str">
        <f t="shared" si="136"/>
        <v>47310100</v>
      </c>
      <c r="H3919" t="s">
        <v>5518</v>
      </c>
      <c r="I3919" s="1">
        <v>45751</v>
      </c>
      <c r="K3919" s="4">
        <v>59000</v>
      </c>
    </row>
    <row r="3920" spans="1:11" hidden="1" outlineLevel="2" x14ac:dyDescent="0.35">
      <c r="A3920" t="s">
        <v>131</v>
      </c>
      <c r="B3920" s="1">
        <v>45720</v>
      </c>
      <c r="C3920" t="s">
        <v>5521</v>
      </c>
      <c r="D3920" t="s">
        <v>5521</v>
      </c>
      <c r="F3920" t="str">
        <f t="shared" si="136"/>
        <v>47310100</v>
      </c>
      <c r="H3920" t="s">
        <v>5522</v>
      </c>
      <c r="I3920" s="1">
        <v>45777</v>
      </c>
      <c r="K3920" s="4">
        <v>88500</v>
      </c>
    </row>
    <row r="3921" spans="1:11" hidden="1" outlineLevel="2" x14ac:dyDescent="0.35">
      <c r="A3921" t="s">
        <v>131</v>
      </c>
      <c r="B3921" s="1">
        <v>45721</v>
      </c>
      <c r="C3921" t="s">
        <v>5524</v>
      </c>
      <c r="D3921" t="s">
        <v>5524</v>
      </c>
      <c r="F3921" t="str">
        <f t="shared" si="136"/>
        <v>47310100</v>
      </c>
      <c r="H3921" t="s">
        <v>5518</v>
      </c>
      <c r="I3921" s="1">
        <v>45752</v>
      </c>
      <c r="K3921" s="4">
        <v>59000</v>
      </c>
    </row>
    <row r="3922" spans="1:11" hidden="1" outlineLevel="2" x14ac:dyDescent="0.35">
      <c r="A3922" t="s">
        <v>131</v>
      </c>
      <c r="B3922" s="1">
        <v>45722</v>
      </c>
      <c r="C3922" t="s">
        <v>5528</v>
      </c>
      <c r="D3922" t="s">
        <v>5528</v>
      </c>
      <c r="F3922" t="str">
        <f t="shared" si="136"/>
        <v>47310100</v>
      </c>
      <c r="H3922" t="s">
        <v>5512</v>
      </c>
      <c r="I3922" s="1">
        <v>45753</v>
      </c>
      <c r="K3922" s="4">
        <v>29500</v>
      </c>
    </row>
    <row r="3923" spans="1:11" hidden="1" outlineLevel="2" x14ac:dyDescent="0.35">
      <c r="A3923" t="s">
        <v>131</v>
      </c>
      <c r="B3923" s="1">
        <v>45722</v>
      </c>
      <c r="C3923" t="s">
        <v>5529</v>
      </c>
      <c r="D3923" t="s">
        <v>5529</v>
      </c>
      <c r="F3923" t="str">
        <f t="shared" si="136"/>
        <v>47310100</v>
      </c>
      <c r="H3923" t="s">
        <v>5518</v>
      </c>
      <c r="I3923" s="1">
        <v>45753</v>
      </c>
      <c r="K3923" s="4">
        <v>59000</v>
      </c>
    </row>
    <row r="3924" spans="1:11" hidden="1" outlineLevel="2" x14ac:dyDescent="0.35">
      <c r="A3924" t="s">
        <v>131</v>
      </c>
      <c r="B3924" s="1">
        <v>45722</v>
      </c>
      <c r="C3924" t="s">
        <v>5530</v>
      </c>
      <c r="D3924" t="s">
        <v>5530</v>
      </c>
      <c r="F3924" t="str">
        <f t="shared" si="136"/>
        <v>47310100</v>
      </c>
      <c r="H3924" t="s">
        <v>5518</v>
      </c>
      <c r="I3924" s="1">
        <v>45753</v>
      </c>
      <c r="K3924" s="4">
        <v>59000</v>
      </c>
    </row>
    <row r="3925" spans="1:11" hidden="1" outlineLevel="2" x14ac:dyDescent="0.35">
      <c r="A3925" t="s">
        <v>131</v>
      </c>
      <c r="B3925" s="1">
        <v>45722</v>
      </c>
      <c r="C3925" t="s">
        <v>5531</v>
      </c>
      <c r="D3925" t="s">
        <v>5531</v>
      </c>
      <c r="F3925" t="str">
        <f t="shared" si="136"/>
        <v>47310100</v>
      </c>
      <c r="H3925" t="s">
        <v>5518</v>
      </c>
      <c r="I3925" s="1">
        <v>45753</v>
      </c>
      <c r="K3925" s="4">
        <v>59000</v>
      </c>
    </row>
    <row r="3926" spans="1:11" hidden="1" outlineLevel="2" x14ac:dyDescent="0.35">
      <c r="A3926" t="s">
        <v>131</v>
      </c>
      <c r="B3926" s="1">
        <v>45722</v>
      </c>
      <c r="C3926" t="s">
        <v>5532</v>
      </c>
      <c r="D3926" t="s">
        <v>5532</v>
      </c>
      <c r="F3926" t="str">
        <f t="shared" si="136"/>
        <v>47310100</v>
      </c>
      <c r="H3926" t="s">
        <v>5518</v>
      </c>
      <c r="I3926" s="1">
        <v>45753</v>
      </c>
      <c r="K3926" s="4">
        <v>59000</v>
      </c>
    </row>
    <row r="3927" spans="1:11" hidden="1" outlineLevel="2" x14ac:dyDescent="0.35">
      <c r="A3927" t="s">
        <v>131</v>
      </c>
      <c r="B3927" s="1">
        <v>45722</v>
      </c>
      <c r="C3927" t="s">
        <v>5533</v>
      </c>
      <c r="D3927" t="s">
        <v>5533</v>
      </c>
      <c r="F3927" t="str">
        <f t="shared" si="136"/>
        <v>47310100</v>
      </c>
      <c r="H3927" t="s">
        <v>5518</v>
      </c>
      <c r="I3927" s="1">
        <v>45753</v>
      </c>
      <c r="K3927" s="4">
        <v>59000</v>
      </c>
    </row>
    <row r="3928" spans="1:11" hidden="1" outlineLevel="2" x14ac:dyDescent="0.35">
      <c r="A3928" t="s">
        <v>131</v>
      </c>
      <c r="B3928" s="1">
        <v>45722</v>
      </c>
      <c r="C3928" t="s">
        <v>5534</v>
      </c>
      <c r="D3928" t="s">
        <v>5534</v>
      </c>
      <c r="F3928" t="str">
        <f t="shared" si="136"/>
        <v>47310100</v>
      </c>
      <c r="H3928" t="s">
        <v>5518</v>
      </c>
      <c r="I3928" s="1">
        <v>45753</v>
      </c>
      <c r="K3928" s="4">
        <v>29500</v>
      </c>
    </row>
    <row r="3929" spans="1:11" hidden="1" outlineLevel="2" x14ac:dyDescent="0.35">
      <c r="A3929" t="s">
        <v>131</v>
      </c>
      <c r="B3929" s="1">
        <v>45722</v>
      </c>
      <c r="C3929" t="s">
        <v>5535</v>
      </c>
      <c r="D3929" t="s">
        <v>5535</v>
      </c>
      <c r="F3929" t="str">
        <f t="shared" si="136"/>
        <v>47310100</v>
      </c>
      <c r="H3929" t="s">
        <v>5518</v>
      </c>
      <c r="I3929" s="1">
        <v>45753</v>
      </c>
      <c r="K3929" s="4">
        <v>29500</v>
      </c>
    </row>
    <row r="3930" spans="1:11" hidden="1" outlineLevel="2" x14ac:dyDescent="0.35">
      <c r="A3930" t="s">
        <v>131</v>
      </c>
      <c r="B3930" s="1">
        <v>45722</v>
      </c>
      <c r="C3930" t="s">
        <v>5536</v>
      </c>
      <c r="D3930" t="s">
        <v>5536</v>
      </c>
      <c r="F3930" t="str">
        <f t="shared" si="136"/>
        <v>47310100</v>
      </c>
      <c r="H3930" t="s">
        <v>5518</v>
      </c>
      <c r="I3930" s="1">
        <v>45753</v>
      </c>
      <c r="K3930" s="4">
        <v>29500</v>
      </c>
    </row>
    <row r="3931" spans="1:11" hidden="1" outlineLevel="2" x14ac:dyDescent="0.35">
      <c r="A3931" t="s">
        <v>131</v>
      </c>
      <c r="B3931" s="1">
        <v>45722</v>
      </c>
      <c r="C3931" t="s">
        <v>5537</v>
      </c>
      <c r="D3931" t="s">
        <v>5537</v>
      </c>
      <c r="F3931" t="str">
        <f t="shared" si="136"/>
        <v>47310100</v>
      </c>
      <c r="H3931" t="s">
        <v>5518</v>
      </c>
      <c r="I3931" s="1">
        <v>45753</v>
      </c>
      <c r="K3931" s="4">
        <v>59000</v>
      </c>
    </row>
    <row r="3932" spans="1:11" hidden="1" outlineLevel="2" x14ac:dyDescent="0.35">
      <c r="A3932" t="s">
        <v>131</v>
      </c>
      <c r="B3932" s="1">
        <v>45722</v>
      </c>
      <c r="C3932" t="s">
        <v>5538</v>
      </c>
      <c r="D3932" t="s">
        <v>5538</v>
      </c>
      <c r="F3932" t="str">
        <f t="shared" si="136"/>
        <v>47310100</v>
      </c>
      <c r="H3932" t="s">
        <v>5518</v>
      </c>
      <c r="I3932" s="1">
        <v>45753</v>
      </c>
      <c r="K3932" s="4">
        <v>29500</v>
      </c>
    </row>
    <row r="3933" spans="1:11" hidden="1" outlineLevel="2" x14ac:dyDescent="0.35">
      <c r="A3933" t="s">
        <v>131</v>
      </c>
      <c r="B3933" s="1">
        <v>45722</v>
      </c>
      <c r="C3933" t="s">
        <v>5539</v>
      </c>
      <c r="D3933" t="s">
        <v>5539</v>
      </c>
      <c r="F3933" t="str">
        <f t="shared" si="136"/>
        <v>47310100</v>
      </c>
      <c r="H3933" t="s">
        <v>5518</v>
      </c>
      <c r="I3933" s="1">
        <v>45753</v>
      </c>
      <c r="K3933" s="4">
        <v>118000</v>
      </c>
    </row>
    <row r="3934" spans="1:11" hidden="1" outlineLevel="2" x14ac:dyDescent="0.35">
      <c r="A3934" t="s">
        <v>131</v>
      </c>
      <c r="B3934" s="1">
        <v>45722</v>
      </c>
      <c r="C3934" t="s">
        <v>5540</v>
      </c>
      <c r="D3934" t="s">
        <v>5540</v>
      </c>
      <c r="F3934" t="str">
        <f t="shared" si="136"/>
        <v>47310100</v>
      </c>
      <c r="H3934" t="s">
        <v>5518</v>
      </c>
      <c r="I3934" s="1">
        <v>45753</v>
      </c>
      <c r="K3934" s="4">
        <v>59000</v>
      </c>
    </row>
    <row r="3935" spans="1:11" hidden="1" outlineLevel="2" x14ac:dyDescent="0.35">
      <c r="A3935" t="s">
        <v>131</v>
      </c>
      <c r="B3935" s="1">
        <v>45722</v>
      </c>
      <c r="C3935" t="s">
        <v>5541</v>
      </c>
      <c r="D3935" t="s">
        <v>5541</v>
      </c>
      <c r="F3935" t="str">
        <f t="shared" si="136"/>
        <v>47310100</v>
      </c>
      <c r="H3935" t="s">
        <v>180</v>
      </c>
      <c r="I3935" s="1">
        <v>45777</v>
      </c>
      <c r="K3935" s="4">
        <v>29500</v>
      </c>
    </row>
    <row r="3936" spans="1:11" hidden="1" outlineLevel="2" x14ac:dyDescent="0.35">
      <c r="A3936" t="s">
        <v>131</v>
      </c>
      <c r="B3936" s="1">
        <v>45722</v>
      </c>
      <c r="C3936" t="s">
        <v>5542</v>
      </c>
      <c r="D3936" t="s">
        <v>5542</v>
      </c>
      <c r="F3936" t="str">
        <f t="shared" si="136"/>
        <v>47310100</v>
      </c>
      <c r="H3936" t="s">
        <v>5522</v>
      </c>
      <c r="I3936" s="1">
        <v>45777</v>
      </c>
      <c r="K3936" s="4">
        <v>88500</v>
      </c>
    </row>
    <row r="3937" spans="1:11" hidden="1" outlineLevel="2" x14ac:dyDescent="0.35">
      <c r="A3937" t="s">
        <v>131</v>
      </c>
      <c r="B3937" s="1">
        <v>45722</v>
      </c>
      <c r="C3937" t="s">
        <v>5543</v>
      </c>
      <c r="D3937" t="s">
        <v>5543</v>
      </c>
      <c r="F3937" t="str">
        <f t="shared" si="136"/>
        <v>47310100</v>
      </c>
      <c r="H3937" t="s">
        <v>5522</v>
      </c>
      <c r="I3937" s="1">
        <v>45777</v>
      </c>
      <c r="K3937" s="4">
        <v>29500</v>
      </c>
    </row>
    <row r="3938" spans="1:11" hidden="1" outlineLevel="2" x14ac:dyDescent="0.35">
      <c r="A3938" t="s">
        <v>131</v>
      </c>
      <c r="B3938" s="1">
        <v>45723</v>
      </c>
      <c r="C3938" t="s">
        <v>5544</v>
      </c>
      <c r="D3938" t="s">
        <v>5544</v>
      </c>
      <c r="F3938" t="str">
        <f t="shared" si="136"/>
        <v>47310100</v>
      </c>
      <c r="H3938" t="s">
        <v>5512</v>
      </c>
      <c r="I3938" s="1">
        <v>45754</v>
      </c>
      <c r="K3938" s="4">
        <v>236000</v>
      </c>
    </row>
    <row r="3939" spans="1:11" hidden="1" outlineLevel="2" x14ac:dyDescent="0.35">
      <c r="A3939" t="s">
        <v>131</v>
      </c>
      <c r="B3939" s="1">
        <v>45723</v>
      </c>
      <c r="C3939" t="s">
        <v>5546</v>
      </c>
      <c r="D3939" t="s">
        <v>5546</v>
      </c>
      <c r="F3939" t="str">
        <f t="shared" si="136"/>
        <v>47310100</v>
      </c>
      <c r="H3939" t="s">
        <v>5518</v>
      </c>
      <c r="I3939" s="1">
        <v>45754</v>
      </c>
      <c r="K3939" s="4">
        <v>59000</v>
      </c>
    </row>
    <row r="3940" spans="1:11" hidden="1" outlineLevel="2" x14ac:dyDescent="0.35">
      <c r="A3940" t="s">
        <v>131</v>
      </c>
      <c r="B3940" s="1">
        <v>45723</v>
      </c>
      <c r="C3940" t="s">
        <v>5547</v>
      </c>
      <c r="D3940" t="s">
        <v>5547</v>
      </c>
      <c r="F3940" t="str">
        <f t="shared" si="136"/>
        <v>47310100</v>
      </c>
      <c r="H3940" t="s">
        <v>5518</v>
      </c>
      <c r="I3940" s="1">
        <v>45754</v>
      </c>
      <c r="K3940" s="4">
        <v>59000</v>
      </c>
    </row>
    <row r="3941" spans="1:11" hidden="1" outlineLevel="2" x14ac:dyDescent="0.35">
      <c r="A3941" t="s">
        <v>131</v>
      </c>
      <c r="B3941" s="1">
        <v>45723</v>
      </c>
      <c r="C3941" t="s">
        <v>5548</v>
      </c>
      <c r="D3941" t="s">
        <v>5548</v>
      </c>
      <c r="F3941" t="str">
        <f t="shared" si="136"/>
        <v>47310100</v>
      </c>
      <c r="H3941" t="s">
        <v>5518</v>
      </c>
      <c r="I3941" s="1">
        <v>45754</v>
      </c>
      <c r="K3941" s="4">
        <v>29500</v>
      </c>
    </row>
    <row r="3942" spans="1:11" hidden="1" outlineLevel="2" x14ac:dyDescent="0.35">
      <c r="A3942" t="s">
        <v>131</v>
      </c>
      <c r="B3942" s="1">
        <v>45723</v>
      </c>
      <c r="C3942" t="s">
        <v>5549</v>
      </c>
      <c r="D3942" t="s">
        <v>5549</v>
      </c>
      <c r="F3942" t="str">
        <f t="shared" si="136"/>
        <v>47310100</v>
      </c>
      <c r="H3942" t="s">
        <v>5518</v>
      </c>
      <c r="I3942" s="1">
        <v>45754</v>
      </c>
      <c r="K3942" s="4">
        <v>59000</v>
      </c>
    </row>
    <row r="3943" spans="1:11" hidden="1" outlineLevel="2" x14ac:dyDescent="0.35">
      <c r="A3943" t="s">
        <v>131</v>
      </c>
      <c r="B3943" s="1">
        <v>45723</v>
      </c>
      <c r="C3943" t="s">
        <v>5550</v>
      </c>
      <c r="D3943" t="s">
        <v>5550</v>
      </c>
      <c r="F3943" t="str">
        <f t="shared" si="136"/>
        <v>47310100</v>
      </c>
      <c r="H3943" t="s">
        <v>5551</v>
      </c>
      <c r="I3943" s="1">
        <v>45723</v>
      </c>
      <c r="K3943" s="4">
        <v>59000</v>
      </c>
    </row>
    <row r="3944" spans="1:11" hidden="1" outlineLevel="2" x14ac:dyDescent="0.35">
      <c r="A3944" t="s">
        <v>131</v>
      </c>
      <c r="B3944" s="1">
        <v>45723</v>
      </c>
      <c r="C3944" t="s">
        <v>5553</v>
      </c>
      <c r="D3944" t="s">
        <v>5553</v>
      </c>
      <c r="F3944" t="str">
        <f t="shared" ref="F3944:F3975" si="137">"47310100"</f>
        <v>47310100</v>
      </c>
      <c r="H3944" t="s">
        <v>5522</v>
      </c>
      <c r="I3944" s="1">
        <v>45777</v>
      </c>
      <c r="K3944" s="4">
        <v>295000</v>
      </c>
    </row>
    <row r="3945" spans="1:11" hidden="1" outlineLevel="2" x14ac:dyDescent="0.35">
      <c r="A3945" t="s">
        <v>131</v>
      </c>
      <c r="B3945" s="1">
        <v>45723</v>
      </c>
      <c r="C3945" t="s">
        <v>5554</v>
      </c>
      <c r="D3945" t="s">
        <v>5554</v>
      </c>
      <c r="F3945" t="str">
        <f t="shared" si="137"/>
        <v>47310100</v>
      </c>
      <c r="H3945" t="s">
        <v>5555</v>
      </c>
      <c r="I3945" s="1">
        <v>45723</v>
      </c>
      <c r="K3945" s="4">
        <v>29500</v>
      </c>
    </row>
    <row r="3946" spans="1:11" hidden="1" outlineLevel="2" x14ac:dyDescent="0.35">
      <c r="A3946" t="s">
        <v>131</v>
      </c>
      <c r="B3946" s="1">
        <v>45726</v>
      </c>
      <c r="C3946" t="s">
        <v>5561</v>
      </c>
      <c r="D3946" t="s">
        <v>5561</v>
      </c>
      <c r="F3946" t="str">
        <f t="shared" si="137"/>
        <v>47310100</v>
      </c>
      <c r="H3946" t="s">
        <v>180</v>
      </c>
      <c r="I3946" s="1">
        <v>45777</v>
      </c>
      <c r="K3946" s="4">
        <v>59000</v>
      </c>
    </row>
    <row r="3947" spans="1:11" hidden="1" outlineLevel="2" x14ac:dyDescent="0.35">
      <c r="A3947" t="s">
        <v>131</v>
      </c>
      <c r="B3947" s="1">
        <v>45726</v>
      </c>
      <c r="C3947" t="s">
        <v>5569</v>
      </c>
      <c r="D3947" t="s">
        <v>5569</v>
      </c>
      <c r="F3947" t="str">
        <f t="shared" si="137"/>
        <v>47310100</v>
      </c>
      <c r="H3947" t="s">
        <v>5512</v>
      </c>
      <c r="I3947" s="1">
        <v>45757</v>
      </c>
      <c r="K3947" s="4">
        <v>59000</v>
      </c>
    </row>
    <row r="3948" spans="1:11" hidden="1" outlineLevel="2" x14ac:dyDescent="0.35">
      <c r="A3948" t="s">
        <v>131</v>
      </c>
      <c r="B3948" s="1">
        <v>45726</v>
      </c>
      <c r="C3948" t="s">
        <v>5570</v>
      </c>
      <c r="D3948" t="s">
        <v>5570</v>
      </c>
      <c r="F3948" t="str">
        <f t="shared" si="137"/>
        <v>47310100</v>
      </c>
      <c r="H3948" t="s">
        <v>5518</v>
      </c>
      <c r="I3948" s="1">
        <v>45757</v>
      </c>
      <c r="K3948" s="4">
        <v>59000</v>
      </c>
    </row>
    <row r="3949" spans="1:11" hidden="1" outlineLevel="2" x14ac:dyDescent="0.35">
      <c r="A3949" t="s">
        <v>131</v>
      </c>
      <c r="B3949" s="1">
        <v>45726</v>
      </c>
      <c r="C3949" t="s">
        <v>5571</v>
      </c>
      <c r="D3949" t="s">
        <v>5571</v>
      </c>
      <c r="F3949" t="str">
        <f t="shared" si="137"/>
        <v>47310100</v>
      </c>
      <c r="H3949" t="s">
        <v>5522</v>
      </c>
      <c r="I3949" s="1">
        <v>45757</v>
      </c>
      <c r="K3949" s="4">
        <v>29500</v>
      </c>
    </row>
    <row r="3950" spans="1:11" hidden="1" outlineLevel="2" x14ac:dyDescent="0.35">
      <c r="A3950" t="s">
        <v>131</v>
      </c>
      <c r="B3950" s="1">
        <v>45728</v>
      </c>
      <c r="C3950" t="s">
        <v>5600</v>
      </c>
      <c r="D3950" t="s">
        <v>5600</v>
      </c>
      <c r="F3950" t="str">
        <f t="shared" si="137"/>
        <v>47310100</v>
      </c>
      <c r="H3950" t="s">
        <v>5512</v>
      </c>
      <c r="I3950" s="1">
        <v>45759</v>
      </c>
      <c r="K3950" s="4">
        <v>29500</v>
      </c>
    </row>
    <row r="3951" spans="1:11" hidden="1" outlineLevel="2" x14ac:dyDescent="0.35">
      <c r="A3951" t="s">
        <v>131</v>
      </c>
      <c r="B3951" s="1">
        <v>45728</v>
      </c>
      <c r="C3951" t="s">
        <v>5601</v>
      </c>
      <c r="D3951" t="s">
        <v>5601</v>
      </c>
      <c r="F3951" t="str">
        <f t="shared" si="137"/>
        <v>47310100</v>
      </c>
      <c r="H3951" t="s">
        <v>5602</v>
      </c>
      <c r="I3951" s="1">
        <v>45728</v>
      </c>
      <c r="K3951" s="4">
        <v>177000</v>
      </c>
    </row>
    <row r="3952" spans="1:11" hidden="1" outlineLevel="2" x14ac:dyDescent="0.35">
      <c r="A3952" t="s">
        <v>131</v>
      </c>
      <c r="B3952" s="1">
        <v>45728</v>
      </c>
      <c r="C3952" t="s">
        <v>5603</v>
      </c>
      <c r="D3952" t="s">
        <v>5603</v>
      </c>
      <c r="F3952" t="str">
        <f t="shared" si="137"/>
        <v>47310100</v>
      </c>
      <c r="H3952" t="s">
        <v>180</v>
      </c>
      <c r="I3952" s="1">
        <v>45777</v>
      </c>
      <c r="K3952" s="4">
        <v>29500</v>
      </c>
    </row>
    <row r="3953" spans="1:11" hidden="1" outlineLevel="2" x14ac:dyDescent="0.35">
      <c r="A3953" t="s">
        <v>131</v>
      </c>
      <c r="B3953" s="1">
        <v>45729</v>
      </c>
      <c r="C3953" t="s">
        <v>5608</v>
      </c>
      <c r="D3953" t="s">
        <v>5608</v>
      </c>
      <c r="F3953" t="str">
        <f t="shared" si="137"/>
        <v>47310100</v>
      </c>
      <c r="H3953" t="s">
        <v>5609</v>
      </c>
      <c r="I3953" s="1">
        <v>45777</v>
      </c>
      <c r="J3953" s="4">
        <v>250000</v>
      </c>
    </row>
    <row r="3954" spans="1:11" hidden="1" outlineLevel="2" x14ac:dyDescent="0.35">
      <c r="A3954" t="s">
        <v>131</v>
      </c>
      <c r="B3954" s="1">
        <v>45730</v>
      </c>
      <c r="C3954" t="s">
        <v>5613</v>
      </c>
      <c r="D3954" t="s">
        <v>5613</v>
      </c>
      <c r="F3954" t="str">
        <f t="shared" si="137"/>
        <v>47310100</v>
      </c>
      <c r="H3954" t="s">
        <v>5499</v>
      </c>
      <c r="I3954" s="1">
        <v>45730</v>
      </c>
      <c r="K3954" s="4">
        <v>59000</v>
      </c>
    </row>
    <row r="3955" spans="1:11" hidden="1" outlineLevel="2" x14ac:dyDescent="0.35">
      <c r="A3955" t="s">
        <v>131</v>
      </c>
      <c r="B3955" s="1">
        <v>45730</v>
      </c>
      <c r="C3955" t="s">
        <v>5614</v>
      </c>
      <c r="D3955" t="s">
        <v>5614</v>
      </c>
      <c r="F3955" t="str">
        <f t="shared" si="137"/>
        <v>47310100</v>
      </c>
      <c r="H3955" t="s">
        <v>5499</v>
      </c>
      <c r="I3955" s="1">
        <v>45730</v>
      </c>
      <c r="K3955" s="4">
        <v>88500</v>
      </c>
    </row>
    <row r="3956" spans="1:11" hidden="1" outlineLevel="2" x14ac:dyDescent="0.35">
      <c r="A3956" t="s">
        <v>131</v>
      </c>
      <c r="B3956" s="1">
        <v>45730</v>
      </c>
      <c r="C3956" t="s">
        <v>5615</v>
      </c>
      <c r="D3956" t="s">
        <v>5615</v>
      </c>
      <c r="F3956" t="str">
        <f t="shared" si="137"/>
        <v>47310100</v>
      </c>
      <c r="H3956" t="s">
        <v>5512</v>
      </c>
      <c r="I3956" s="1">
        <v>45761</v>
      </c>
      <c r="K3956" s="4">
        <v>29500</v>
      </c>
    </row>
    <row r="3957" spans="1:11" hidden="1" outlineLevel="2" x14ac:dyDescent="0.35">
      <c r="A3957" t="s">
        <v>131</v>
      </c>
      <c r="B3957" s="1">
        <v>45730</v>
      </c>
      <c r="C3957" t="s">
        <v>5616</v>
      </c>
      <c r="D3957" t="s">
        <v>5616</v>
      </c>
      <c r="F3957" t="str">
        <f t="shared" si="137"/>
        <v>47310100</v>
      </c>
      <c r="H3957" t="s">
        <v>165</v>
      </c>
      <c r="I3957" s="1">
        <v>45730</v>
      </c>
      <c r="K3957" s="4">
        <v>59000</v>
      </c>
    </row>
    <row r="3958" spans="1:11" hidden="1" outlineLevel="2" x14ac:dyDescent="0.35">
      <c r="A3958" t="s">
        <v>131</v>
      </c>
      <c r="B3958" s="1">
        <v>45730</v>
      </c>
      <c r="C3958" t="s">
        <v>5617</v>
      </c>
      <c r="D3958" t="s">
        <v>5617</v>
      </c>
      <c r="F3958" t="str">
        <f t="shared" si="137"/>
        <v>47310100</v>
      </c>
      <c r="H3958" t="s">
        <v>5518</v>
      </c>
      <c r="I3958" s="1">
        <v>45761</v>
      </c>
      <c r="K3958" s="4">
        <v>59000</v>
      </c>
    </row>
    <row r="3959" spans="1:11" hidden="1" outlineLevel="2" x14ac:dyDescent="0.35">
      <c r="A3959" t="s">
        <v>131</v>
      </c>
      <c r="B3959" s="1">
        <v>45730</v>
      </c>
      <c r="C3959" t="s">
        <v>5618</v>
      </c>
      <c r="D3959" t="s">
        <v>5618</v>
      </c>
      <c r="F3959" t="str">
        <f t="shared" si="137"/>
        <v>47310100</v>
      </c>
      <c r="H3959" t="s">
        <v>5518</v>
      </c>
      <c r="I3959" s="1">
        <v>45761</v>
      </c>
      <c r="K3959" s="4">
        <v>59000</v>
      </c>
    </row>
    <row r="3960" spans="1:11" hidden="1" outlineLevel="2" x14ac:dyDescent="0.35">
      <c r="A3960" t="s">
        <v>131</v>
      </c>
      <c r="B3960" s="1">
        <v>45733</v>
      </c>
      <c r="C3960" t="s">
        <v>5640</v>
      </c>
      <c r="D3960" t="s">
        <v>5640</v>
      </c>
      <c r="F3960" t="str">
        <f t="shared" si="137"/>
        <v>47310100</v>
      </c>
      <c r="H3960" t="s">
        <v>5518</v>
      </c>
      <c r="I3960" s="1">
        <v>45764</v>
      </c>
      <c r="K3960" s="4">
        <v>236000</v>
      </c>
    </row>
    <row r="3961" spans="1:11" hidden="1" outlineLevel="2" x14ac:dyDescent="0.35">
      <c r="A3961" t="s">
        <v>131</v>
      </c>
      <c r="B3961" s="1">
        <v>45733</v>
      </c>
      <c r="C3961" t="s">
        <v>5641</v>
      </c>
      <c r="D3961" t="s">
        <v>5641</v>
      </c>
      <c r="F3961" t="str">
        <f t="shared" si="137"/>
        <v>47310100</v>
      </c>
      <c r="H3961" t="s">
        <v>5518</v>
      </c>
      <c r="I3961" s="1">
        <v>45764</v>
      </c>
      <c r="K3961" s="4">
        <v>59000</v>
      </c>
    </row>
    <row r="3962" spans="1:11" hidden="1" outlineLevel="2" x14ac:dyDescent="0.35">
      <c r="A3962" t="s">
        <v>131</v>
      </c>
      <c r="B3962" s="1">
        <v>45733</v>
      </c>
      <c r="C3962" t="s">
        <v>5642</v>
      </c>
      <c r="D3962" t="s">
        <v>5642</v>
      </c>
      <c r="F3962" t="str">
        <f t="shared" si="137"/>
        <v>47310100</v>
      </c>
      <c r="H3962" t="s">
        <v>5518</v>
      </c>
      <c r="I3962" s="1">
        <v>45764</v>
      </c>
      <c r="K3962" s="4">
        <v>59000</v>
      </c>
    </row>
    <row r="3963" spans="1:11" hidden="1" outlineLevel="2" x14ac:dyDescent="0.35">
      <c r="A3963" t="s">
        <v>131</v>
      </c>
      <c r="B3963" s="1">
        <v>45733</v>
      </c>
      <c r="C3963" t="s">
        <v>5643</v>
      </c>
      <c r="D3963" t="s">
        <v>5643</v>
      </c>
      <c r="F3963" t="str">
        <f t="shared" si="137"/>
        <v>47310100</v>
      </c>
      <c r="H3963" t="s">
        <v>5518</v>
      </c>
      <c r="I3963" s="1">
        <v>45764</v>
      </c>
      <c r="K3963" s="4">
        <v>29500</v>
      </c>
    </row>
    <row r="3964" spans="1:11" hidden="1" outlineLevel="2" x14ac:dyDescent="0.35">
      <c r="A3964" t="s">
        <v>131</v>
      </c>
      <c r="B3964" s="1">
        <v>45733</v>
      </c>
      <c r="C3964" t="s">
        <v>5644</v>
      </c>
      <c r="D3964" t="s">
        <v>5644</v>
      </c>
      <c r="F3964" t="str">
        <f t="shared" si="137"/>
        <v>47310100</v>
      </c>
      <c r="H3964" t="s">
        <v>5518</v>
      </c>
      <c r="I3964" s="1">
        <v>45764</v>
      </c>
      <c r="K3964" s="4">
        <v>59000</v>
      </c>
    </row>
    <row r="3965" spans="1:11" hidden="1" outlineLevel="2" x14ac:dyDescent="0.35">
      <c r="A3965" t="s">
        <v>131</v>
      </c>
      <c r="B3965" s="1">
        <v>45733</v>
      </c>
      <c r="C3965" t="s">
        <v>5645</v>
      </c>
      <c r="D3965" t="s">
        <v>5645</v>
      </c>
      <c r="F3965" t="str">
        <f t="shared" si="137"/>
        <v>47310100</v>
      </c>
      <c r="H3965" t="s">
        <v>5518</v>
      </c>
      <c r="I3965" s="1">
        <v>45764</v>
      </c>
      <c r="K3965" s="4">
        <v>29500</v>
      </c>
    </row>
    <row r="3966" spans="1:11" hidden="1" outlineLevel="2" x14ac:dyDescent="0.35">
      <c r="A3966" t="s">
        <v>131</v>
      </c>
      <c r="B3966" s="1">
        <v>45733</v>
      </c>
      <c r="C3966" t="s">
        <v>5646</v>
      </c>
      <c r="D3966" t="s">
        <v>5646</v>
      </c>
      <c r="F3966" t="str">
        <f t="shared" si="137"/>
        <v>47310100</v>
      </c>
      <c r="H3966" t="s">
        <v>5518</v>
      </c>
      <c r="I3966" s="1">
        <v>45764</v>
      </c>
      <c r="K3966" s="4">
        <v>29500</v>
      </c>
    </row>
    <row r="3967" spans="1:11" hidden="1" outlineLevel="2" x14ac:dyDescent="0.35">
      <c r="A3967" t="s">
        <v>131</v>
      </c>
      <c r="B3967" s="1">
        <v>45733</v>
      </c>
      <c r="C3967" t="s">
        <v>5647</v>
      </c>
      <c r="D3967" t="s">
        <v>5647</v>
      </c>
      <c r="F3967" t="str">
        <f t="shared" si="137"/>
        <v>47310100</v>
      </c>
      <c r="H3967" t="s">
        <v>5518</v>
      </c>
      <c r="I3967" s="1">
        <v>45764</v>
      </c>
      <c r="K3967" s="4">
        <v>29500</v>
      </c>
    </row>
    <row r="3968" spans="1:11" hidden="1" outlineLevel="2" x14ac:dyDescent="0.35">
      <c r="A3968" t="s">
        <v>131</v>
      </c>
      <c r="B3968" s="1">
        <v>45733</v>
      </c>
      <c r="C3968" t="s">
        <v>5648</v>
      </c>
      <c r="D3968" t="s">
        <v>5648</v>
      </c>
      <c r="F3968" t="str">
        <f t="shared" si="137"/>
        <v>47310100</v>
      </c>
      <c r="H3968" t="s">
        <v>5518</v>
      </c>
      <c r="I3968" s="1">
        <v>45764</v>
      </c>
      <c r="K3968" s="4">
        <v>59000</v>
      </c>
    </row>
    <row r="3969" spans="1:11" hidden="1" outlineLevel="2" x14ac:dyDescent="0.35">
      <c r="A3969" t="s">
        <v>131</v>
      </c>
      <c r="B3969" s="1">
        <v>45733</v>
      </c>
      <c r="C3969" t="s">
        <v>5649</v>
      </c>
      <c r="D3969" t="s">
        <v>5649</v>
      </c>
      <c r="F3969" t="str">
        <f t="shared" si="137"/>
        <v>47310100</v>
      </c>
      <c r="H3969" t="s">
        <v>5518</v>
      </c>
      <c r="I3969" s="1">
        <v>45764</v>
      </c>
      <c r="K3969" s="4">
        <v>29500</v>
      </c>
    </row>
    <row r="3970" spans="1:11" hidden="1" outlineLevel="2" x14ac:dyDescent="0.35">
      <c r="A3970" t="s">
        <v>131</v>
      </c>
      <c r="B3970" s="1">
        <v>45733</v>
      </c>
      <c r="C3970" t="s">
        <v>5650</v>
      </c>
      <c r="D3970" t="s">
        <v>5650</v>
      </c>
      <c r="F3970" t="str">
        <f t="shared" si="137"/>
        <v>47310100</v>
      </c>
      <c r="H3970" t="s">
        <v>5518</v>
      </c>
      <c r="I3970" s="1">
        <v>45764</v>
      </c>
      <c r="K3970" s="4">
        <v>29500</v>
      </c>
    </row>
    <row r="3971" spans="1:11" hidden="1" outlineLevel="2" x14ac:dyDescent="0.35">
      <c r="A3971" t="s">
        <v>131</v>
      </c>
      <c r="B3971" s="1">
        <v>45733</v>
      </c>
      <c r="C3971" t="s">
        <v>5651</v>
      </c>
      <c r="D3971" t="s">
        <v>5651</v>
      </c>
      <c r="F3971" t="str">
        <f t="shared" si="137"/>
        <v>47310100</v>
      </c>
      <c r="H3971" t="s">
        <v>5518</v>
      </c>
      <c r="I3971" s="1">
        <v>45764</v>
      </c>
      <c r="K3971" s="4">
        <v>29500</v>
      </c>
    </row>
    <row r="3972" spans="1:11" hidden="1" outlineLevel="2" x14ac:dyDescent="0.35">
      <c r="A3972" t="s">
        <v>131</v>
      </c>
      <c r="B3972" s="1">
        <v>45733</v>
      </c>
      <c r="C3972" t="s">
        <v>5652</v>
      </c>
      <c r="D3972" t="s">
        <v>5652</v>
      </c>
      <c r="F3972" t="str">
        <f t="shared" si="137"/>
        <v>47310100</v>
      </c>
      <c r="H3972" t="s">
        <v>5518</v>
      </c>
      <c r="I3972" s="1">
        <v>45764</v>
      </c>
      <c r="K3972" s="4">
        <v>29500</v>
      </c>
    </row>
    <row r="3973" spans="1:11" hidden="1" outlineLevel="2" x14ac:dyDescent="0.35">
      <c r="A3973" t="s">
        <v>131</v>
      </c>
      <c r="B3973" s="1">
        <v>45733</v>
      </c>
      <c r="C3973" t="s">
        <v>5653</v>
      </c>
      <c r="D3973" t="s">
        <v>5653</v>
      </c>
      <c r="F3973" t="str">
        <f t="shared" si="137"/>
        <v>47310100</v>
      </c>
      <c r="H3973" t="s">
        <v>5518</v>
      </c>
      <c r="I3973" s="1">
        <v>45764</v>
      </c>
      <c r="K3973" s="4">
        <v>29500</v>
      </c>
    </row>
    <row r="3974" spans="1:11" hidden="1" outlineLevel="2" x14ac:dyDescent="0.35">
      <c r="A3974" t="s">
        <v>131</v>
      </c>
      <c r="B3974" s="1">
        <v>45733</v>
      </c>
      <c r="C3974" t="s">
        <v>5654</v>
      </c>
      <c r="D3974" t="s">
        <v>5654</v>
      </c>
      <c r="F3974" t="str">
        <f t="shared" si="137"/>
        <v>47310100</v>
      </c>
      <c r="H3974" t="s">
        <v>5518</v>
      </c>
      <c r="I3974" s="1">
        <v>45764</v>
      </c>
      <c r="K3974" s="4">
        <v>29500</v>
      </c>
    </row>
    <row r="3975" spans="1:11" hidden="1" outlineLevel="2" x14ac:dyDescent="0.35">
      <c r="A3975" t="s">
        <v>131</v>
      </c>
      <c r="B3975" s="1">
        <v>45733</v>
      </c>
      <c r="C3975" t="s">
        <v>5655</v>
      </c>
      <c r="D3975" t="s">
        <v>5655</v>
      </c>
      <c r="F3975" t="str">
        <f t="shared" si="137"/>
        <v>47310100</v>
      </c>
      <c r="H3975" t="s">
        <v>5518</v>
      </c>
      <c r="I3975" s="1">
        <v>45764</v>
      </c>
      <c r="K3975" s="4">
        <v>29500</v>
      </c>
    </row>
    <row r="3976" spans="1:11" hidden="1" outlineLevel="2" x14ac:dyDescent="0.35">
      <c r="A3976" t="s">
        <v>131</v>
      </c>
      <c r="B3976" s="1">
        <v>45733</v>
      </c>
      <c r="C3976" t="s">
        <v>5656</v>
      </c>
      <c r="D3976" t="s">
        <v>5656</v>
      </c>
      <c r="F3976" t="str">
        <f t="shared" ref="F3976:F4007" si="138">"47310100"</f>
        <v>47310100</v>
      </c>
      <c r="H3976" t="s">
        <v>5518</v>
      </c>
      <c r="I3976" s="1">
        <v>45764</v>
      </c>
      <c r="K3976" s="4">
        <v>59000</v>
      </c>
    </row>
    <row r="3977" spans="1:11" hidden="1" outlineLevel="2" x14ac:dyDescent="0.35">
      <c r="A3977" t="s">
        <v>131</v>
      </c>
      <c r="B3977" s="1">
        <v>45733</v>
      </c>
      <c r="C3977" t="s">
        <v>5657</v>
      </c>
      <c r="D3977" t="s">
        <v>5657</v>
      </c>
      <c r="F3977" t="str">
        <f t="shared" si="138"/>
        <v>47310100</v>
      </c>
      <c r="H3977" t="s">
        <v>5518</v>
      </c>
      <c r="I3977" s="1">
        <v>45764</v>
      </c>
      <c r="K3977" s="4">
        <v>59000</v>
      </c>
    </row>
    <row r="3978" spans="1:11" hidden="1" outlineLevel="2" x14ac:dyDescent="0.35">
      <c r="A3978" t="s">
        <v>131</v>
      </c>
      <c r="B3978" s="1">
        <v>45733</v>
      </c>
      <c r="C3978" t="s">
        <v>5658</v>
      </c>
      <c r="D3978" t="s">
        <v>5658</v>
      </c>
      <c r="F3978" t="str">
        <f t="shared" si="138"/>
        <v>47310100</v>
      </c>
      <c r="H3978" t="s">
        <v>5518</v>
      </c>
      <c r="I3978" s="1">
        <v>45764</v>
      </c>
      <c r="K3978" s="4">
        <v>59000</v>
      </c>
    </row>
    <row r="3979" spans="1:11" hidden="1" outlineLevel="2" x14ac:dyDescent="0.35">
      <c r="A3979" t="s">
        <v>131</v>
      </c>
      <c r="B3979" s="1">
        <v>45733</v>
      </c>
      <c r="C3979" t="s">
        <v>5659</v>
      </c>
      <c r="D3979" t="s">
        <v>5659</v>
      </c>
      <c r="F3979" t="str">
        <f t="shared" si="138"/>
        <v>47310100</v>
      </c>
      <c r="H3979" t="s">
        <v>5518</v>
      </c>
      <c r="I3979" s="1">
        <v>45764</v>
      </c>
      <c r="K3979" s="4">
        <v>59000</v>
      </c>
    </row>
    <row r="3980" spans="1:11" hidden="1" outlineLevel="2" x14ac:dyDescent="0.35">
      <c r="A3980" t="s">
        <v>131</v>
      </c>
      <c r="B3980" s="1">
        <v>45733</v>
      </c>
      <c r="C3980" t="s">
        <v>5660</v>
      </c>
      <c r="D3980" t="s">
        <v>5660</v>
      </c>
      <c r="F3980" t="str">
        <f t="shared" si="138"/>
        <v>47310100</v>
      </c>
      <c r="H3980" t="s">
        <v>5518</v>
      </c>
      <c r="I3980" s="1">
        <v>45764</v>
      </c>
      <c r="K3980" s="4">
        <v>59000</v>
      </c>
    </row>
    <row r="3981" spans="1:11" hidden="1" outlineLevel="2" x14ac:dyDescent="0.35">
      <c r="A3981" t="s">
        <v>131</v>
      </c>
      <c r="B3981" s="1">
        <v>45733</v>
      </c>
      <c r="C3981" t="s">
        <v>5661</v>
      </c>
      <c r="D3981" t="s">
        <v>5661</v>
      </c>
      <c r="F3981" t="str">
        <f t="shared" si="138"/>
        <v>47310100</v>
      </c>
      <c r="H3981" t="s">
        <v>5518</v>
      </c>
      <c r="I3981" s="1">
        <v>45764</v>
      </c>
      <c r="K3981" s="4">
        <v>59000</v>
      </c>
    </row>
    <row r="3982" spans="1:11" hidden="1" outlineLevel="2" x14ac:dyDescent="0.35">
      <c r="A3982" t="s">
        <v>131</v>
      </c>
      <c r="B3982" s="1">
        <v>45733</v>
      </c>
      <c r="C3982" t="s">
        <v>5662</v>
      </c>
      <c r="D3982" t="s">
        <v>5662</v>
      </c>
      <c r="F3982" t="str">
        <f t="shared" si="138"/>
        <v>47310100</v>
      </c>
      <c r="H3982" t="s">
        <v>5518</v>
      </c>
      <c r="I3982" s="1">
        <v>45764</v>
      </c>
      <c r="K3982" s="4">
        <v>118000</v>
      </c>
    </row>
    <row r="3983" spans="1:11" hidden="1" outlineLevel="2" x14ac:dyDescent="0.35">
      <c r="A3983" t="s">
        <v>131</v>
      </c>
      <c r="B3983" s="1">
        <v>45733</v>
      </c>
      <c r="C3983" t="s">
        <v>5663</v>
      </c>
      <c r="D3983" t="s">
        <v>5663</v>
      </c>
      <c r="F3983" t="str">
        <f t="shared" si="138"/>
        <v>47310100</v>
      </c>
      <c r="H3983" t="s">
        <v>5518</v>
      </c>
      <c r="I3983" s="1">
        <v>45764</v>
      </c>
      <c r="K3983" s="4">
        <v>59000</v>
      </c>
    </row>
    <row r="3984" spans="1:11" hidden="1" outlineLevel="2" x14ac:dyDescent="0.35">
      <c r="A3984" t="s">
        <v>131</v>
      </c>
      <c r="B3984" s="1">
        <v>45733</v>
      </c>
      <c r="C3984" t="s">
        <v>5664</v>
      </c>
      <c r="D3984" t="s">
        <v>5664</v>
      </c>
      <c r="F3984" t="str">
        <f t="shared" si="138"/>
        <v>47310100</v>
      </c>
      <c r="H3984" t="s">
        <v>5518</v>
      </c>
      <c r="I3984" s="1">
        <v>45764</v>
      </c>
      <c r="K3984" s="4">
        <v>59000</v>
      </c>
    </row>
    <row r="3985" spans="1:11" hidden="1" outlineLevel="2" x14ac:dyDescent="0.35">
      <c r="A3985" t="s">
        <v>131</v>
      </c>
      <c r="B3985" s="1">
        <v>45734</v>
      </c>
      <c r="C3985" t="s">
        <v>5675</v>
      </c>
      <c r="D3985" t="s">
        <v>5675</v>
      </c>
      <c r="F3985" t="str">
        <f t="shared" si="138"/>
        <v>47310100</v>
      </c>
      <c r="H3985" t="s">
        <v>5518</v>
      </c>
      <c r="I3985" s="1">
        <v>45765</v>
      </c>
      <c r="K3985" s="4">
        <v>29500</v>
      </c>
    </row>
    <row r="3986" spans="1:11" hidden="1" outlineLevel="2" x14ac:dyDescent="0.35">
      <c r="A3986" t="s">
        <v>131</v>
      </c>
      <c r="B3986" s="1">
        <v>45734</v>
      </c>
      <c r="C3986" t="s">
        <v>5675</v>
      </c>
      <c r="D3986" t="s">
        <v>5675</v>
      </c>
      <c r="F3986" t="str">
        <f t="shared" si="138"/>
        <v>47310100</v>
      </c>
      <c r="H3986" t="s">
        <v>5518</v>
      </c>
      <c r="I3986" s="1">
        <v>45765</v>
      </c>
      <c r="K3986" s="4">
        <v>29500</v>
      </c>
    </row>
    <row r="3987" spans="1:11" hidden="1" outlineLevel="2" x14ac:dyDescent="0.35">
      <c r="A3987" t="s">
        <v>131</v>
      </c>
      <c r="B3987" s="1">
        <v>45734</v>
      </c>
      <c r="C3987" t="s">
        <v>5675</v>
      </c>
      <c r="D3987" t="s">
        <v>5675</v>
      </c>
      <c r="F3987" t="str">
        <f t="shared" si="138"/>
        <v>47310100</v>
      </c>
      <c r="H3987" t="s">
        <v>5676</v>
      </c>
      <c r="I3987" s="1">
        <v>45765</v>
      </c>
      <c r="K3987" s="4">
        <v>-29500</v>
      </c>
    </row>
    <row r="3988" spans="1:11" hidden="1" outlineLevel="2" x14ac:dyDescent="0.35">
      <c r="A3988" t="s">
        <v>131</v>
      </c>
      <c r="B3988" s="1">
        <v>45734</v>
      </c>
      <c r="C3988" t="s">
        <v>5677</v>
      </c>
      <c r="D3988" t="s">
        <v>5677</v>
      </c>
      <c r="F3988" t="str">
        <f t="shared" si="138"/>
        <v>47310100</v>
      </c>
      <c r="H3988" t="s">
        <v>5551</v>
      </c>
      <c r="I3988" s="1">
        <v>45734</v>
      </c>
      <c r="K3988" s="4">
        <v>59000</v>
      </c>
    </row>
    <row r="3989" spans="1:11" hidden="1" outlineLevel="2" x14ac:dyDescent="0.35">
      <c r="A3989" t="s">
        <v>131</v>
      </c>
      <c r="B3989" s="1">
        <v>45734</v>
      </c>
      <c r="C3989" t="s">
        <v>5677</v>
      </c>
      <c r="D3989" t="s">
        <v>5677</v>
      </c>
      <c r="F3989" t="str">
        <f t="shared" si="138"/>
        <v>47310100</v>
      </c>
      <c r="H3989" t="s">
        <v>5551</v>
      </c>
      <c r="I3989" s="1">
        <v>45734</v>
      </c>
      <c r="K3989" s="4">
        <v>59000</v>
      </c>
    </row>
    <row r="3990" spans="1:11" hidden="1" outlineLevel="2" x14ac:dyDescent="0.35">
      <c r="A3990" t="s">
        <v>131</v>
      </c>
      <c r="B3990" s="1">
        <v>45734</v>
      </c>
      <c r="C3990" t="s">
        <v>5677</v>
      </c>
      <c r="D3990" t="s">
        <v>5677</v>
      </c>
      <c r="F3990" t="str">
        <f t="shared" si="138"/>
        <v>47310100</v>
      </c>
      <c r="H3990" t="s">
        <v>5678</v>
      </c>
      <c r="I3990" s="1">
        <v>45734</v>
      </c>
      <c r="K3990" s="4">
        <v>-59000</v>
      </c>
    </row>
    <row r="3991" spans="1:11" hidden="1" outlineLevel="2" x14ac:dyDescent="0.35">
      <c r="A3991" t="s">
        <v>131</v>
      </c>
      <c r="B3991" s="1">
        <v>45734</v>
      </c>
      <c r="C3991" t="s">
        <v>5679</v>
      </c>
      <c r="D3991" t="s">
        <v>5679</v>
      </c>
      <c r="F3991" t="str">
        <f t="shared" si="138"/>
        <v>47310100</v>
      </c>
      <c r="H3991" t="s">
        <v>5522</v>
      </c>
      <c r="I3991" s="1">
        <v>45777</v>
      </c>
      <c r="K3991" s="4">
        <v>59000</v>
      </c>
    </row>
    <row r="3992" spans="1:11" hidden="1" outlineLevel="2" x14ac:dyDescent="0.35">
      <c r="A3992" t="s">
        <v>131</v>
      </c>
      <c r="B3992" s="1">
        <v>45734</v>
      </c>
      <c r="C3992" t="s">
        <v>5679</v>
      </c>
      <c r="D3992" t="s">
        <v>5679</v>
      </c>
      <c r="F3992" t="str">
        <f t="shared" si="138"/>
        <v>47310100</v>
      </c>
      <c r="H3992" t="s">
        <v>5522</v>
      </c>
      <c r="I3992" s="1">
        <v>45777</v>
      </c>
      <c r="K3992" s="4">
        <v>59000</v>
      </c>
    </row>
    <row r="3993" spans="1:11" hidden="1" outlineLevel="2" x14ac:dyDescent="0.35">
      <c r="A3993" t="s">
        <v>131</v>
      </c>
      <c r="B3993" s="1">
        <v>45734</v>
      </c>
      <c r="C3993" t="s">
        <v>5679</v>
      </c>
      <c r="D3993" t="s">
        <v>5679</v>
      </c>
      <c r="F3993" t="str">
        <f t="shared" si="138"/>
        <v>47310100</v>
      </c>
      <c r="H3993" t="s">
        <v>5680</v>
      </c>
      <c r="I3993" s="1">
        <v>45777</v>
      </c>
      <c r="K3993" s="4">
        <v>-59000</v>
      </c>
    </row>
    <row r="3994" spans="1:11" hidden="1" outlineLevel="2" x14ac:dyDescent="0.35">
      <c r="A3994" t="s">
        <v>131</v>
      </c>
      <c r="B3994" s="1">
        <v>45734</v>
      </c>
      <c r="C3994" t="s">
        <v>5681</v>
      </c>
      <c r="D3994" t="s">
        <v>5681</v>
      </c>
      <c r="F3994" t="str">
        <f t="shared" si="138"/>
        <v>47310100</v>
      </c>
      <c r="H3994" t="s">
        <v>5522</v>
      </c>
      <c r="I3994" s="1">
        <v>45777</v>
      </c>
      <c r="K3994" s="4">
        <v>147500</v>
      </c>
    </row>
    <row r="3995" spans="1:11" hidden="1" outlineLevel="2" x14ac:dyDescent="0.35">
      <c r="A3995" t="s">
        <v>131</v>
      </c>
      <c r="B3995" s="1">
        <v>45734</v>
      </c>
      <c r="C3995" t="s">
        <v>5682</v>
      </c>
      <c r="D3995" t="s">
        <v>5682</v>
      </c>
      <c r="F3995" t="str">
        <f t="shared" si="138"/>
        <v>47310100</v>
      </c>
      <c r="H3995" t="s">
        <v>5522</v>
      </c>
      <c r="I3995" s="1">
        <v>45777</v>
      </c>
      <c r="K3995" s="4">
        <v>147500</v>
      </c>
    </row>
    <row r="3996" spans="1:11" hidden="1" outlineLevel="2" x14ac:dyDescent="0.35">
      <c r="A3996" t="s">
        <v>131</v>
      </c>
      <c r="B3996" s="1">
        <v>45734</v>
      </c>
      <c r="C3996" t="s">
        <v>5682</v>
      </c>
      <c r="D3996" t="s">
        <v>5682</v>
      </c>
      <c r="F3996" t="str">
        <f t="shared" si="138"/>
        <v>47310100</v>
      </c>
      <c r="H3996" t="s">
        <v>5522</v>
      </c>
      <c r="I3996" s="1">
        <v>45777</v>
      </c>
      <c r="K3996" s="4">
        <v>147500</v>
      </c>
    </row>
    <row r="3997" spans="1:11" hidden="1" outlineLevel="2" x14ac:dyDescent="0.35">
      <c r="A3997" t="s">
        <v>131</v>
      </c>
      <c r="B3997" s="1">
        <v>45734</v>
      </c>
      <c r="C3997" t="s">
        <v>5682</v>
      </c>
      <c r="D3997" t="s">
        <v>5682</v>
      </c>
      <c r="F3997" t="str">
        <f t="shared" si="138"/>
        <v>47310100</v>
      </c>
      <c r="H3997" t="s">
        <v>5680</v>
      </c>
      <c r="I3997" s="1">
        <v>45777</v>
      </c>
      <c r="K3997" s="4">
        <v>-147500</v>
      </c>
    </row>
    <row r="3998" spans="1:11" hidden="1" outlineLevel="2" x14ac:dyDescent="0.35">
      <c r="A3998" t="s">
        <v>131</v>
      </c>
      <c r="B3998" s="1">
        <v>45734</v>
      </c>
      <c r="C3998" t="s">
        <v>5683</v>
      </c>
      <c r="D3998" t="s">
        <v>5683</v>
      </c>
      <c r="F3998" t="str">
        <f t="shared" si="138"/>
        <v>47310100</v>
      </c>
      <c r="H3998" t="s">
        <v>5522</v>
      </c>
      <c r="I3998" s="1">
        <v>45777</v>
      </c>
      <c r="K3998" s="4">
        <v>59000</v>
      </c>
    </row>
    <row r="3999" spans="1:11" hidden="1" outlineLevel="2" x14ac:dyDescent="0.35">
      <c r="A3999" t="s">
        <v>131</v>
      </c>
      <c r="B3999" s="1">
        <v>45734</v>
      </c>
      <c r="C3999" t="s">
        <v>5683</v>
      </c>
      <c r="D3999" t="s">
        <v>5683</v>
      </c>
      <c r="F3999" t="str">
        <f t="shared" si="138"/>
        <v>47310100</v>
      </c>
      <c r="H3999" t="s">
        <v>5522</v>
      </c>
      <c r="I3999" s="1">
        <v>45777</v>
      </c>
      <c r="K3999" s="4">
        <v>59000</v>
      </c>
    </row>
    <row r="4000" spans="1:11" hidden="1" outlineLevel="2" x14ac:dyDescent="0.35">
      <c r="A4000" t="s">
        <v>131</v>
      </c>
      <c r="B4000" s="1">
        <v>45734</v>
      </c>
      <c r="C4000" t="s">
        <v>5683</v>
      </c>
      <c r="D4000" t="s">
        <v>5683</v>
      </c>
      <c r="F4000" t="str">
        <f t="shared" si="138"/>
        <v>47310100</v>
      </c>
      <c r="H4000" t="s">
        <v>5680</v>
      </c>
      <c r="I4000" s="1">
        <v>45777</v>
      </c>
      <c r="K4000" s="4">
        <v>-59000</v>
      </c>
    </row>
    <row r="4001" spans="1:11" hidden="1" outlineLevel="2" x14ac:dyDescent="0.35">
      <c r="A4001" t="s">
        <v>131</v>
      </c>
      <c r="B4001" s="1">
        <v>45734</v>
      </c>
      <c r="C4001" t="s">
        <v>5684</v>
      </c>
      <c r="D4001" t="s">
        <v>5684</v>
      </c>
      <c r="F4001" t="str">
        <f t="shared" si="138"/>
        <v>47310100</v>
      </c>
      <c r="H4001" t="s">
        <v>5522</v>
      </c>
      <c r="I4001" s="1">
        <v>45777</v>
      </c>
      <c r="K4001" s="4">
        <v>147500</v>
      </c>
    </row>
    <row r="4002" spans="1:11" hidden="1" outlineLevel="2" x14ac:dyDescent="0.35">
      <c r="A4002" t="s">
        <v>131</v>
      </c>
      <c r="B4002" s="1">
        <v>45734</v>
      </c>
      <c r="C4002" t="s">
        <v>5684</v>
      </c>
      <c r="D4002" t="s">
        <v>5684</v>
      </c>
      <c r="F4002" t="str">
        <f t="shared" si="138"/>
        <v>47310100</v>
      </c>
      <c r="H4002" t="s">
        <v>5522</v>
      </c>
      <c r="I4002" s="1">
        <v>45777</v>
      </c>
      <c r="K4002" s="4">
        <v>147500</v>
      </c>
    </row>
    <row r="4003" spans="1:11" hidden="1" outlineLevel="2" x14ac:dyDescent="0.35">
      <c r="A4003" t="s">
        <v>131</v>
      </c>
      <c r="B4003" s="1">
        <v>45734</v>
      </c>
      <c r="C4003" t="s">
        <v>5684</v>
      </c>
      <c r="D4003" t="s">
        <v>5684</v>
      </c>
      <c r="F4003" t="str">
        <f t="shared" si="138"/>
        <v>47310100</v>
      </c>
      <c r="H4003" t="s">
        <v>5680</v>
      </c>
      <c r="I4003" s="1">
        <v>45777</v>
      </c>
      <c r="K4003" s="4">
        <v>-147500</v>
      </c>
    </row>
    <row r="4004" spans="1:11" hidden="1" outlineLevel="2" x14ac:dyDescent="0.35">
      <c r="A4004" t="s">
        <v>131</v>
      </c>
      <c r="B4004" s="1">
        <v>45736</v>
      </c>
      <c r="C4004" t="s">
        <v>5688</v>
      </c>
      <c r="D4004" t="s">
        <v>5688</v>
      </c>
      <c r="F4004" t="str">
        <f t="shared" si="138"/>
        <v>47310100</v>
      </c>
      <c r="H4004" t="s">
        <v>5512</v>
      </c>
      <c r="I4004" s="1">
        <v>45767</v>
      </c>
      <c r="K4004" s="4">
        <v>118000</v>
      </c>
    </row>
    <row r="4005" spans="1:11" hidden="1" outlineLevel="2" x14ac:dyDescent="0.35">
      <c r="A4005" t="s">
        <v>131</v>
      </c>
      <c r="B4005" s="1">
        <v>45736</v>
      </c>
      <c r="C4005" t="s">
        <v>5688</v>
      </c>
      <c r="D4005" t="s">
        <v>5688</v>
      </c>
      <c r="F4005" t="str">
        <f t="shared" si="138"/>
        <v>47310100</v>
      </c>
      <c r="H4005" t="s">
        <v>5512</v>
      </c>
      <c r="I4005" s="1">
        <v>45767</v>
      </c>
      <c r="K4005" s="4">
        <v>118000</v>
      </c>
    </row>
    <row r="4006" spans="1:11" hidden="1" outlineLevel="2" x14ac:dyDescent="0.35">
      <c r="A4006" t="s">
        <v>131</v>
      </c>
      <c r="B4006" s="1">
        <v>45736</v>
      </c>
      <c r="C4006" t="s">
        <v>5688</v>
      </c>
      <c r="D4006" t="s">
        <v>5688</v>
      </c>
      <c r="F4006" t="str">
        <f t="shared" si="138"/>
        <v>47310100</v>
      </c>
      <c r="H4006" t="s">
        <v>5689</v>
      </c>
      <c r="I4006" s="1">
        <v>45767</v>
      </c>
      <c r="K4006" s="4">
        <v>-118000</v>
      </c>
    </row>
    <row r="4007" spans="1:11" hidden="1" outlineLevel="2" x14ac:dyDescent="0.35">
      <c r="A4007" t="s">
        <v>131</v>
      </c>
      <c r="B4007" s="1">
        <v>45736</v>
      </c>
      <c r="C4007" t="s">
        <v>5692</v>
      </c>
      <c r="D4007" t="s">
        <v>5692</v>
      </c>
      <c r="F4007" t="str">
        <f t="shared" si="138"/>
        <v>47310100</v>
      </c>
      <c r="H4007" t="s">
        <v>139</v>
      </c>
      <c r="I4007" s="1">
        <v>45777</v>
      </c>
      <c r="K4007" s="4">
        <v>118000</v>
      </c>
    </row>
    <row r="4008" spans="1:11" hidden="1" outlineLevel="2" x14ac:dyDescent="0.35">
      <c r="A4008" t="s">
        <v>131</v>
      </c>
      <c r="B4008" s="1">
        <v>45736</v>
      </c>
      <c r="C4008" t="s">
        <v>5692</v>
      </c>
      <c r="D4008" t="s">
        <v>5692</v>
      </c>
      <c r="F4008" t="str">
        <f t="shared" ref="F4008:F4039" si="139">"47310100"</f>
        <v>47310100</v>
      </c>
      <c r="H4008" t="s">
        <v>139</v>
      </c>
      <c r="I4008" s="1">
        <v>45777</v>
      </c>
      <c r="K4008" s="4">
        <v>118000</v>
      </c>
    </row>
    <row r="4009" spans="1:11" hidden="1" outlineLevel="2" x14ac:dyDescent="0.35">
      <c r="A4009" t="s">
        <v>131</v>
      </c>
      <c r="B4009" s="1">
        <v>45736</v>
      </c>
      <c r="C4009" t="s">
        <v>5692</v>
      </c>
      <c r="D4009" t="s">
        <v>5692</v>
      </c>
      <c r="F4009" t="str">
        <f t="shared" si="139"/>
        <v>47310100</v>
      </c>
      <c r="H4009" t="s">
        <v>254</v>
      </c>
      <c r="I4009" s="1">
        <v>45777</v>
      </c>
      <c r="K4009" s="4">
        <v>-118000</v>
      </c>
    </row>
    <row r="4010" spans="1:11" hidden="1" outlineLevel="2" x14ac:dyDescent="0.35">
      <c r="A4010" t="s">
        <v>131</v>
      </c>
      <c r="B4010" s="1">
        <v>45736</v>
      </c>
      <c r="C4010" t="s">
        <v>5693</v>
      </c>
      <c r="D4010" t="s">
        <v>5693</v>
      </c>
      <c r="F4010" t="str">
        <f t="shared" si="139"/>
        <v>47310100</v>
      </c>
      <c r="H4010" t="s">
        <v>5518</v>
      </c>
      <c r="I4010" s="1">
        <v>45767</v>
      </c>
      <c r="K4010" s="4">
        <v>59000</v>
      </c>
    </row>
    <row r="4011" spans="1:11" hidden="1" outlineLevel="2" x14ac:dyDescent="0.35">
      <c r="A4011" t="s">
        <v>131</v>
      </c>
      <c r="B4011" s="1">
        <v>45736</v>
      </c>
      <c r="C4011" t="s">
        <v>5693</v>
      </c>
      <c r="D4011" t="s">
        <v>5693</v>
      </c>
      <c r="F4011" t="str">
        <f t="shared" si="139"/>
        <v>47310100</v>
      </c>
      <c r="H4011" t="s">
        <v>5518</v>
      </c>
      <c r="I4011" s="1">
        <v>45767</v>
      </c>
      <c r="K4011" s="4">
        <v>59000</v>
      </c>
    </row>
    <row r="4012" spans="1:11" hidden="1" outlineLevel="2" x14ac:dyDescent="0.35">
      <c r="A4012" t="s">
        <v>131</v>
      </c>
      <c r="B4012" s="1">
        <v>45736</v>
      </c>
      <c r="C4012" t="s">
        <v>5693</v>
      </c>
      <c r="D4012" t="s">
        <v>5693</v>
      </c>
      <c r="F4012" t="str">
        <f t="shared" si="139"/>
        <v>47310100</v>
      </c>
      <c r="H4012" t="s">
        <v>5676</v>
      </c>
      <c r="I4012" s="1">
        <v>45767</v>
      </c>
      <c r="K4012" s="4">
        <v>-59000</v>
      </c>
    </row>
    <row r="4013" spans="1:11" hidden="1" outlineLevel="2" x14ac:dyDescent="0.35">
      <c r="A4013" t="s">
        <v>131</v>
      </c>
      <c r="B4013" s="1">
        <v>45736</v>
      </c>
      <c r="C4013" t="s">
        <v>5694</v>
      </c>
      <c r="D4013" t="s">
        <v>5694</v>
      </c>
      <c r="F4013" t="str">
        <f t="shared" si="139"/>
        <v>47310100</v>
      </c>
      <c r="H4013" t="s">
        <v>180</v>
      </c>
      <c r="I4013" s="1">
        <v>45777</v>
      </c>
      <c r="K4013" s="4">
        <v>59000</v>
      </c>
    </row>
    <row r="4014" spans="1:11" hidden="1" outlineLevel="2" x14ac:dyDescent="0.35">
      <c r="A4014" t="s">
        <v>131</v>
      </c>
      <c r="B4014" s="1">
        <v>45736</v>
      </c>
      <c r="C4014" t="s">
        <v>5694</v>
      </c>
      <c r="D4014" t="s">
        <v>5694</v>
      </c>
      <c r="F4014" t="str">
        <f t="shared" si="139"/>
        <v>47310100</v>
      </c>
      <c r="H4014" t="s">
        <v>180</v>
      </c>
      <c r="I4014" s="1">
        <v>45777</v>
      </c>
      <c r="K4014" s="4">
        <v>59000</v>
      </c>
    </row>
    <row r="4015" spans="1:11" hidden="1" outlineLevel="2" x14ac:dyDescent="0.35">
      <c r="A4015" t="s">
        <v>131</v>
      </c>
      <c r="B4015" s="1">
        <v>45736</v>
      </c>
      <c r="C4015" t="s">
        <v>5694</v>
      </c>
      <c r="D4015" t="s">
        <v>5694</v>
      </c>
      <c r="F4015" t="str">
        <f t="shared" si="139"/>
        <v>47310100</v>
      </c>
      <c r="H4015" t="s">
        <v>257</v>
      </c>
      <c r="I4015" s="1">
        <v>45777</v>
      </c>
      <c r="K4015" s="4">
        <v>-59000</v>
      </c>
    </row>
    <row r="4016" spans="1:11" hidden="1" outlineLevel="2" x14ac:dyDescent="0.35">
      <c r="A4016" t="s">
        <v>131</v>
      </c>
      <c r="B4016" s="1">
        <v>45737</v>
      </c>
      <c r="C4016" t="s">
        <v>5702</v>
      </c>
      <c r="D4016" t="s">
        <v>5702</v>
      </c>
      <c r="F4016" t="str">
        <f t="shared" si="139"/>
        <v>47310100</v>
      </c>
      <c r="H4016" t="s">
        <v>5518</v>
      </c>
      <c r="I4016" s="1">
        <v>45768</v>
      </c>
      <c r="K4016" s="4">
        <v>59000</v>
      </c>
    </row>
    <row r="4017" spans="1:11" hidden="1" outlineLevel="2" x14ac:dyDescent="0.35">
      <c r="A4017" t="s">
        <v>131</v>
      </c>
      <c r="B4017" s="1">
        <v>45737</v>
      </c>
      <c r="C4017" t="s">
        <v>5703</v>
      </c>
      <c r="D4017" t="s">
        <v>5703</v>
      </c>
      <c r="F4017" t="str">
        <f t="shared" si="139"/>
        <v>47310100</v>
      </c>
      <c r="H4017" t="s">
        <v>5518</v>
      </c>
      <c r="I4017" s="1">
        <v>45768</v>
      </c>
      <c r="K4017" s="4">
        <v>59000</v>
      </c>
    </row>
    <row r="4018" spans="1:11" hidden="1" outlineLevel="2" x14ac:dyDescent="0.35">
      <c r="A4018" t="s">
        <v>131</v>
      </c>
      <c r="B4018" s="1">
        <v>45740</v>
      </c>
      <c r="C4018" t="s">
        <v>5711</v>
      </c>
      <c r="D4018" t="s">
        <v>5711</v>
      </c>
      <c r="F4018" t="str">
        <f t="shared" si="139"/>
        <v>47310100</v>
      </c>
      <c r="H4018" t="s">
        <v>139</v>
      </c>
      <c r="I4018" s="1">
        <v>45740</v>
      </c>
      <c r="K4018" s="4">
        <v>118000</v>
      </c>
    </row>
    <row r="4019" spans="1:11" hidden="1" outlineLevel="2" x14ac:dyDescent="0.35">
      <c r="A4019" t="s">
        <v>131</v>
      </c>
      <c r="B4019" s="1">
        <v>45740</v>
      </c>
      <c r="C4019" t="s">
        <v>5712</v>
      </c>
      <c r="D4019" t="s">
        <v>5712</v>
      </c>
      <c r="F4019" t="str">
        <f t="shared" si="139"/>
        <v>47310100</v>
      </c>
      <c r="H4019" t="s">
        <v>5518</v>
      </c>
      <c r="I4019" s="1">
        <v>45771</v>
      </c>
      <c r="K4019" s="4">
        <v>29500</v>
      </c>
    </row>
    <row r="4020" spans="1:11" hidden="1" outlineLevel="2" x14ac:dyDescent="0.35">
      <c r="A4020" t="s">
        <v>131</v>
      </c>
      <c r="B4020" s="1">
        <v>45740</v>
      </c>
      <c r="C4020" t="s">
        <v>5713</v>
      </c>
      <c r="D4020" t="s">
        <v>5713</v>
      </c>
      <c r="F4020" t="str">
        <f t="shared" si="139"/>
        <v>47310100</v>
      </c>
      <c r="H4020" t="s">
        <v>5518</v>
      </c>
      <c r="I4020" s="1">
        <v>45771</v>
      </c>
      <c r="K4020" s="4">
        <v>29500</v>
      </c>
    </row>
    <row r="4021" spans="1:11" hidden="1" outlineLevel="2" x14ac:dyDescent="0.35">
      <c r="A4021" t="s">
        <v>131</v>
      </c>
      <c r="B4021" s="1">
        <v>45740</v>
      </c>
      <c r="C4021" t="s">
        <v>5714</v>
      </c>
      <c r="D4021" t="s">
        <v>5714</v>
      </c>
      <c r="F4021" t="str">
        <f t="shared" si="139"/>
        <v>47310100</v>
      </c>
      <c r="H4021" t="s">
        <v>5518</v>
      </c>
      <c r="I4021" s="1">
        <v>45771</v>
      </c>
      <c r="K4021" s="4">
        <v>29500</v>
      </c>
    </row>
    <row r="4022" spans="1:11" hidden="1" outlineLevel="2" x14ac:dyDescent="0.35">
      <c r="A4022" t="s">
        <v>131</v>
      </c>
      <c r="B4022" s="1">
        <v>45740</v>
      </c>
      <c r="C4022" t="s">
        <v>5715</v>
      </c>
      <c r="D4022" t="s">
        <v>5715</v>
      </c>
      <c r="F4022" t="str">
        <f t="shared" si="139"/>
        <v>47310100</v>
      </c>
      <c r="H4022" t="s">
        <v>5518</v>
      </c>
      <c r="I4022" s="1">
        <v>45771</v>
      </c>
      <c r="K4022" s="4">
        <v>29500</v>
      </c>
    </row>
    <row r="4023" spans="1:11" hidden="1" outlineLevel="2" x14ac:dyDescent="0.35">
      <c r="A4023" t="s">
        <v>131</v>
      </c>
      <c r="B4023" s="1">
        <v>45740</v>
      </c>
      <c r="C4023" t="s">
        <v>5716</v>
      </c>
      <c r="D4023" t="s">
        <v>5716</v>
      </c>
      <c r="F4023" t="str">
        <f t="shared" si="139"/>
        <v>47310100</v>
      </c>
      <c r="H4023" t="s">
        <v>5518</v>
      </c>
      <c r="I4023" s="1">
        <v>45771</v>
      </c>
      <c r="K4023" s="4">
        <v>29500</v>
      </c>
    </row>
    <row r="4024" spans="1:11" hidden="1" outlineLevel="2" x14ac:dyDescent="0.35">
      <c r="A4024" t="s">
        <v>131</v>
      </c>
      <c r="B4024" s="1">
        <v>45740</v>
      </c>
      <c r="C4024" t="s">
        <v>5717</v>
      </c>
      <c r="D4024" t="s">
        <v>5717</v>
      </c>
      <c r="F4024" t="str">
        <f t="shared" si="139"/>
        <v>47310100</v>
      </c>
      <c r="H4024" t="s">
        <v>5518</v>
      </c>
      <c r="I4024" s="1">
        <v>45771</v>
      </c>
      <c r="K4024" s="4">
        <v>29500</v>
      </c>
    </row>
    <row r="4025" spans="1:11" hidden="1" outlineLevel="2" x14ac:dyDescent="0.35">
      <c r="A4025" t="s">
        <v>131</v>
      </c>
      <c r="B4025" s="1">
        <v>45740</v>
      </c>
      <c r="C4025" t="s">
        <v>5718</v>
      </c>
      <c r="D4025" t="s">
        <v>5718</v>
      </c>
      <c r="F4025" t="str">
        <f t="shared" si="139"/>
        <v>47310100</v>
      </c>
      <c r="H4025" t="s">
        <v>5518</v>
      </c>
      <c r="I4025" s="1">
        <v>45771</v>
      </c>
      <c r="K4025" s="4">
        <v>29500</v>
      </c>
    </row>
    <row r="4026" spans="1:11" hidden="1" outlineLevel="2" x14ac:dyDescent="0.35">
      <c r="A4026" t="s">
        <v>131</v>
      </c>
      <c r="B4026" s="1">
        <v>45740</v>
      </c>
      <c r="C4026" t="s">
        <v>5719</v>
      </c>
      <c r="D4026" t="s">
        <v>5719</v>
      </c>
      <c r="F4026" t="str">
        <f t="shared" si="139"/>
        <v>47310100</v>
      </c>
      <c r="H4026" t="s">
        <v>5518</v>
      </c>
      <c r="I4026" s="1">
        <v>45771</v>
      </c>
      <c r="K4026" s="4">
        <v>29500</v>
      </c>
    </row>
    <row r="4027" spans="1:11" hidden="1" outlineLevel="2" x14ac:dyDescent="0.35">
      <c r="A4027" t="s">
        <v>131</v>
      </c>
      <c r="B4027" s="1">
        <v>45740</v>
      </c>
      <c r="C4027" t="s">
        <v>5720</v>
      </c>
      <c r="D4027" t="s">
        <v>5720</v>
      </c>
      <c r="F4027" t="str">
        <f t="shared" si="139"/>
        <v>47310100</v>
      </c>
      <c r="H4027" t="s">
        <v>5518</v>
      </c>
      <c r="I4027" s="1">
        <v>45771</v>
      </c>
      <c r="K4027" s="4">
        <v>59000</v>
      </c>
    </row>
    <row r="4028" spans="1:11" hidden="1" outlineLevel="2" x14ac:dyDescent="0.35">
      <c r="A4028" t="s">
        <v>131</v>
      </c>
      <c r="B4028" s="1">
        <v>45740</v>
      </c>
      <c r="C4028" t="s">
        <v>5721</v>
      </c>
      <c r="D4028" t="s">
        <v>5721</v>
      </c>
      <c r="F4028" t="str">
        <f t="shared" si="139"/>
        <v>47310100</v>
      </c>
      <c r="H4028" t="s">
        <v>5518</v>
      </c>
      <c r="I4028" s="1">
        <v>45771</v>
      </c>
      <c r="K4028" s="4">
        <v>59000</v>
      </c>
    </row>
    <row r="4029" spans="1:11" hidden="1" outlineLevel="2" x14ac:dyDescent="0.35">
      <c r="A4029" t="s">
        <v>131</v>
      </c>
      <c r="B4029" s="1">
        <v>45740</v>
      </c>
      <c r="C4029" t="s">
        <v>5722</v>
      </c>
      <c r="D4029" t="s">
        <v>5722</v>
      </c>
      <c r="F4029" t="str">
        <f t="shared" si="139"/>
        <v>47310100</v>
      </c>
      <c r="H4029" t="s">
        <v>5518</v>
      </c>
      <c r="I4029" s="1">
        <v>45771</v>
      </c>
      <c r="K4029" s="4">
        <v>118000</v>
      </c>
    </row>
    <row r="4030" spans="1:11" hidden="1" outlineLevel="2" x14ac:dyDescent="0.35">
      <c r="A4030" t="s">
        <v>131</v>
      </c>
      <c r="B4030" s="1">
        <v>45740</v>
      </c>
      <c r="C4030" t="s">
        <v>5723</v>
      </c>
      <c r="D4030" t="s">
        <v>5723</v>
      </c>
      <c r="F4030" t="str">
        <f t="shared" si="139"/>
        <v>47310100</v>
      </c>
      <c r="H4030" t="s">
        <v>5518</v>
      </c>
      <c r="I4030" s="1">
        <v>45771</v>
      </c>
      <c r="K4030" s="4">
        <v>59000</v>
      </c>
    </row>
    <row r="4031" spans="1:11" hidden="1" outlineLevel="2" x14ac:dyDescent="0.35">
      <c r="A4031" t="s">
        <v>131</v>
      </c>
      <c r="B4031" s="1">
        <v>45740</v>
      </c>
      <c r="C4031" t="s">
        <v>5724</v>
      </c>
      <c r="D4031" t="s">
        <v>5724</v>
      </c>
      <c r="F4031" t="str">
        <f t="shared" si="139"/>
        <v>47310100</v>
      </c>
      <c r="H4031" t="s">
        <v>5518</v>
      </c>
      <c r="I4031" s="1">
        <v>45771</v>
      </c>
      <c r="K4031" s="4">
        <v>59000</v>
      </c>
    </row>
    <row r="4032" spans="1:11" hidden="1" outlineLevel="2" x14ac:dyDescent="0.35">
      <c r="A4032" t="s">
        <v>131</v>
      </c>
      <c r="B4032" s="1">
        <v>45740</v>
      </c>
      <c r="C4032" t="s">
        <v>5725</v>
      </c>
      <c r="D4032" t="s">
        <v>5725</v>
      </c>
      <c r="F4032" t="str">
        <f t="shared" si="139"/>
        <v>47310100</v>
      </c>
      <c r="H4032" t="s">
        <v>5518</v>
      </c>
      <c r="I4032" s="1">
        <v>45771</v>
      </c>
      <c r="K4032" s="4">
        <v>59000</v>
      </c>
    </row>
    <row r="4033" spans="1:11" hidden="1" outlineLevel="2" x14ac:dyDescent="0.35">
      <c r="A4033" t="s">
        <v>131</v>
      </c>
      <c r="B4033" s="1">
        <v>45740</v>
      </c>
      <c r="C4033" t="s">
        <v>5703</v>
      </c>
      <c r="D4033" t="s">
        <v>5703</v>
      </c>
      <c r="F4033" t="str">
        <f t="shared" si="139"/>
        <v>47310100</v>
      </c>
      <c r="H4033" t="s">
        <v>5518</v>
      </c>
      <c r="I4033" s="1">
        <v>45771</v>
      </c>
      <c r="K4033" s="4">
        <v>59000</v>
      </c>
    </row>
    <row r="4034" spans="1:11" hidden="1" outlineLevel="2" x14ac:dyDescent="0.35">
      <c r="A4034" t="s">
        <v>131</v>
      </c>
      <c r="B4034" s="1">
        <v>45740</v>
      </c>
      <c r="C4034" t="s">
        <v>5703</v>
      </c>
      <c r="D4034" t="s">
        <v>5703</v>
      </c>
      <c r="F4034" t="str">
        <f t="shared" si="139"/>
        <v>47310100</v>
      </c>
      <c r="H4034" t="s">
        <v>5676</v>
      </c>
      <c r="I4034" s="1">
        <v>45771</v>
      </c>
      <c r="K4034" s="4">
        <v>-59000</v>
      </c>
    </row>
    <row r="4035" spans="1:11" hidden="1" outlineLevel="2" x14ac:dyDescent="0.35">
      <c r="A4035" t="s">
        <v>131</v>
      </c>
      <c r="B4035" s="1">
        <v>45740</v>
      </c>
      <c r="C4035" t="s">
        <v>5726</v>
      </c>
      <c r="D4035" t="s">
        <v>5726</v>
      </c>
      <c r="F4035" t="str">
        <f t="shared" si="139"/>
        <v>47310100</v>
      </c>
      <c r="H4035" t="s">
        <v>5518</v>
      </c>
      <c r="I4035" s="1">
        <v>45771</v>
      </c>
      <c r="K4035" s="4">
        <v>118000</v>
      </c>
    </row>
    <row r="4036" spans="1:11" hidden="1" outlineLevel="2" x14ac:dyDescent="0.35">
      <c r="A4036" t="s">
        <v>131</v>
      </c>
      <c r="B4036" s="1">
        <v>45740</v>
      </c>
      <c r="C4036" t="s">
        <v>5727</v>
      </c>
      <c r="D4036" t="s">
        <v>5727</v>
      </c>
      <c r="F4036" t="str">
        <f t="shared" si="139"/>
        <v>47310100</v>
      </c>
      <c r="H4036" t="s">
        <v>180</v>
      </c>
      <c r="I4036" s="1">
        <v>45771</v>
      </c>
      <c r="K4036" s="4">
        <v>118000</v>
      </c>
    </row>
    <row r="4037" spans="1:11" hidden="1" outlineLevel="2" x14ac:dyDescent="0.35">
      <c r="A4037" t="s">
        <v>131</v>
      </c>
      <c r="B4037" s="1">
        <v>45741</v>
      </c>
      <c r="C4037" t="s">
        <v>5731</v>
      </c>
      <c r="D4037" t="s">
        <v>5731</v>
      </c>
      <c r="F4037" t="str">
        <f t="shared" si="139"/>
        <v>47310100</v>
      </c>
      <c r="H4037" t="s">
        <v>5518</v>
      </c>
      <c r="I4037" s="1">
        <v>45772</v>
      </c>
      <c r="K4037" s="4">
        <v>29500</v>
      </c>
    </row>
    <row r="4038" spans="1:11" hidden="1" outlineLevel="2" x14ac:dyDescent="0.35">
      <c r="A4038" t="s">
        <v>131</v>
      </c>
      <c r="B4038" s="1">
        <v>45741</v>
      </c>
      <c r="C4038" t="s">
        <v>5732</v>
      </c>
      <c r="D4038" t="s">
        <v>5732</v>
      </c>
      <c r="F4038" t="str">
        <f t="shared" si="139"/>
        <v>47310100</v>
      </c>
      <c r="H4038" t="s">
        <v>5518</v>
      </c>
      <c r="I4038" s="1">
        <v>45772</v>
      </c>
      <c r="K4038" s="4">
        <v>59000</v>
      </c>
    </row>
    <row r="4039" spans="1:11" hidden="1" outlineLevel="2" x14ac:dyDescent="0.35">
      <c r="A4039" t="s">
        <v>131</v>
      </c>
      <c r="B4039" s="1">
        <v>45741</v>
      </c>
      <c r="C4039" t="s">
        <v>5733</v>
      </c>
      <c r="D4039" t="s">
        <v>5733</v>
      </c>
      <c r="F4039" t="str">
        <f t="shared" si="139"/>
        <v>47310100</v>
      </c>
      <c r="H4039" t="s">
        <v>180</v>
      </c>
      <c r="I4039" s="1">
        <v>45777</v>
      </c>
      <c r="K4039" s="4">
        <v>59000</v>
      </c>
    </row>
    <row r="4040" spans="1:11" hidden="1" outlineLevel="2" x14ac:dyDescent="0.35">
      <c r="A4040" t="s">
        <v>131</v>
      </c>
      <c r="B4040" s="1">
        <v>45741</v>
      </c>
      <c r="C4040" t="s">
        <v>5734</v>
      </c>
      <c r="D4040" t="s">
        <v>5734</v>
      </c>
      <c r="F4040" t="str">
        <f t="shared" ref="F4040:F4071" si="140">"47310100"</f>
        <v>47310100</v>
      </c>
      <c r="H4040" t="s">
        <v>5551</v>
      </c>
      <c r="I4040" s="1">
        <v>45741</v>
      </c>
      <c r="K4040" s="4">
        <v>59000</v>
      </c>
    </row>
    <row r="4041" spans="1:11" hidden="1" outlineLevel="2" x14ac:dyDescent="0.35">
      <c r="A4041" t="s">
        <v>131</v>
      </c>
      <c r="B4041" s="1">
        <v>45741</v>
      </c>
      <c r="C4041" t="s">
        <v>5735</v>
      </c>
      <c r="D4041" t="s">
        <v>5735</v>
      </c>
      <c r="F4041" t="str">
        <f t="shared" si="140"/>
        <v>47310100</v>
      </c>
      <c r="H4041" t="s">
        <v>180</v>
      </c>
      <c r="I4041" s="1">
        <v>45777</v>
      </c>
      <c r="K4041" s="4">
        <v>29500</v>
      </c>
    </row>
    <row r="4042" spans="1:11" hidden="1" outlineLevel="2" x14ac:dyDescent="0.35">
      <c r="A4042" t="s">
        <v>131</v>
      </c>
      <c r="B4042" s="1">
        <v>45741</v>
      </c>
      <c r="C4042" t="s">
        <v>5736</v>
      </c>
      <c r="D4042" t="s">
        <v>5736</v>
      </c>
      <c r="F4042" t="str">
        <f t="shared" si="140"/>
        <v>47310100</v>
      </c>
      <c r="H4042" t="s">
        <v>180</v>
      </c>
      <c r="I4042" s="1">
        <v>45777</v>
      </c>
      <c r="K4042" s="4">
        <v>29500</v>
      </c>
    </row>
    <row r="4043" spans="1:11" hidden="1" outlineLevel="2" x14ac:dyDescent="0.35">
      <c r="A4043" t="s">
        <v>131</v>
      </c>
      <c r="B4043" s="1">
        <v>45741</v>
      </c>
      <c r="C4043" t="s">
        <v>5737</v>
      </c>
      <c r="D4043" t="s">
        <v>5737</v>
      </c>
      <c r="F4043" t="str">
        <f t="shared" si="140"/>
        <v>47310100</v>
      </c>
      <c r="H4043" t="s">
        <v>180</v>
      </c>
      <c r="I4043" s="1">
        <v>45777</v>
      </c>
      <c r="K4043" s="4">
        <v>29500</v>
      </c>
    </row>
    <row r="4044" spans="1:11" hidden="1" outlineLevel="2" x14ac:dyDescent="0.35">
      <c r="A4044" t="s">
        <v>131</v>
      </c>
      <c r="B4044" s="1">
        <v>45741</v>
      </c>
      <c r="C4044" t="s">
        <v>5738</v>
      </c>
      <c r="D4044" t="s">
        <v>5738</v>
      </c>
      <c r="F4044" t="str">
        <f t="shared" si="140"/>
        <v>47310100</v>
      </c>
      <c r="H4044" t="s">
        <v>180</v>
      </c>
      <c r="I4044" s="1">
        <v>45777</v>
      </c>
      <c r="K4044" s="4">
        <v>29500</v>
      </c>
    </row>
    <row r="4045" spans="1:11" hidden="1" outlineLevel="2" x14ac:dyDescent="0.35">
      <c r="A4045" t="s">
        <v>131</v>
      </c>
      <c r="B4045" s="1">
        <v>45741</v>
      </c>
      <c r="C4045" t="s">
        <v>5741</v>
      </c>
      <c r="D4045" t="s">
        <v>5741</v>
      </c>
      <c r="F4045" t="str">
        <f t="shared" si="140"/>
        <v>47310100</v>
      </c>
      <c r="H4045" t="s">
        <v>5512</v>
      </c>
      <c r="I4045" s="1">
        <v>45772</v>
      </c>
      <c r="K4045" s="4">
        <v>29500</v>
      </c>
    </row>
    <row r="4046" spans="1:11" hidden="1" outlineLevel="2" x14ac:dyDescent="0.35">
      <c r="A4046" t="s">
        <v>131</v>
      </c>
      <c r="B4046" s="1">
        <v>45742</v>
      </c>
      <c r="C4046" t="s">
        <v>5747</v>
      </c>
      <c r="D4046" t="s">
        <v>5747</v>
      </c>
      <c r="F4046" t="str">
        <f t="shared" si="140"/>
        <v>47310100</v>
      </c>
      <c r="H4046" t="s">
        <v>5748</v>
      </c>
      <c r="I4046" s="1">
        <v>45777</v>
      </c>
      <c r="K4046" s="4">
        <v>300000</v>
      </c>
    </row>
    <row r="4047" spans="1:11" hidden="1" outlineLevel="2" x14ac:dyDescent="0.35">
      <c r="A4047" t="s">
        <v>131</v>
      </c>
      <c r="B4047" s="1">
        <v>45742</v>
      </c>
      <c r="C4047" t="s">
        <v>5749</v>
      </c>
      <c r="D4047" t="s">
        <v>5749</v>
      </c>
      <c r="F4047" t="str">
        <f t="shared" si="140"/>
        <v>47310100</v>
      </c>
      <c r="H4047" t="s">
        <v>5748</v>
      </c>
      <c r="I4047" s="1">
        <v>45777</v>
      </c>
      <c r="K4047" s="4">
        <v>250000</v>
      </c>
    </row>
    <row r="4048" spans="1:11" hidden="1" outlineLevel="2" x14ac:dyDescent="0.35">
      <c r="A4048" t="s">
        <v>131</v>
      </c>
      <c r="B4048" s="1">
        <v>45742</v>
      </c>
      <c r="C4048" t="s">
        <v>5750</v>
      </c>
      <c r="D4048" t="s">
        <v>5750</v>
      </c>
      <c r="F4048" t="str">
        <f t="shared" si="140"/>
        <v>47310100</v>
      </c>
      <c r="H4048" t="s">
        <v>5748</v>
      </c>
      <c r="I4048" s="1">
        <v>45777</v>
      </c>
      <c r="K4048" s="4">
        <v>600000</v>
      </c>
    </row>
    <row r="4049" spans="1:11" hidden="1" outlineLevel="2" x14ac:dyDescent="0.35">
      <c r="A4049" t="s">
        <v>131</v>
      </c>
      <c r="B4049" s="1">
        <v>45742</v>
      </c>
      <c r="C4049" t="s">
        <v>5751</v>
      </c>
      <c r="D4049" t="s">
        <v>5751</v>
      </c>
      <c r="F4049" t="str">
        <f t="shared" si="140"/>
        <v>47310100</v>
      </c>
      <c r="H4049" t="s">
        <v>5748</v>
      </c>
      <c r="I4049" s="1">
        <v>45777</v>
      </c>
      <c r="K4049" s="4">
        <v>300000</v>
      </c>
    </row>
    <row r="4050" spans="1:11" hidden="1" outlineLevel="2" x14ac:dyDescent="0.35">
      <c r="A4050" t="s">
        <v>131</v>
      </c>
      <c r="B4050" s="1">
        <v>45742</v>
      </c>
      <c r="C4050" t="s">
        <v>5752</v>
      </c>
      <c r="D4050" t="s">
        <v>5752</v>
      </c>
      <c r="F4050" t="str">
        <f t="shared" si="140"/>
        <v>47310100</v>
      </c>
      <c r="H4050" t="s">
        <v>5748</v>
      </c>
      <c r="I4050" s="1">
        <v>45777</v>
      </c>
      <c r="K4050" s="4">
        <v>250000</v>
      </c>
    </row>
    <row r="4051" spans="1:11" hidden="1" outlineLevel="2" x14ac:dyDescent="0.35">
      <c r="A4051" t="s">
        <v>131</v>
      </c>
      <c r="B4051" s="1">
        <v>45742</v>
      </c>
      <c r="C4051" t="s">
        <v>5753</v>
      </c>
      <c r="D4051" t="s">
        <v>5753</v>
      </c>
      <c r="F4051" t="str">
        <f t="shared" si="140"/>
        <v>47310100</v>
      </c>
      <c r="H4051" t="s">
        <v>5748</v>
      </c>
      <c r="I4051" s="1">
        <v>45777</v>
      </c>
      <c r="K4051" s="4">
        <v>250000</v>
      </c>
    </row>
    <row r="4052" spans="1:11" hidden="1" outlineLevel="2" x14ac:dyDescent="0.35">
      <c r="A4052" t="s">
        <v>131</v>
      </c>
      <c r="B4052" s="1">
        <v>45742</v>
      </c>
      <c r="C4052" t="s">
        <v>5754</v>
      </c>
      <c r="D4052" t="s">
        <v>5754</v>
      </c>
      <c r="F4052" t="str">
        <f t="shared" si="140"/>
        <v>47310100</v>
      </c>
      <c r="H4052" t="s">
        <v>5748</v>
      </c>
      <c r="I4052" s="1">
        <v>45777</v>
      </c>
      <c r="K4052" s="4">
        <v>250000</v>
      </c>
    </row>
    <row r="4053" spans="1:11" hidden="1" outlineLevel="2" x14ac:dyDescent="0.35">
      <c r="A4053" t="s">
        <v>131</v>
      </c>
      <c r="B4053" s="1">
        <v>45742</v>
      </c>
      <c r="C4053" t="s">
        <v>5755</v>
      </c>
      <c r="D4053" t="s">
        <v>5755</v>
      </c>
      <c r="F4053" t="str">
        <f t="shared" si="140"/>
        <v>47310100</v>
      </c>
      <c r="H4053" t="s">
        <v>5748</v>
      </c>
      <c r="I4053" s="1">
        <v>45777</v>
      </c>
      <c r="K4053" s="4">
        <v>250000</v>
      </c>
    </row>
    <row r="4054" spans="1:11" hidden="1" outlineLevel="2" x14ac:dyDescent="0.35">
      <c r="A4054" t="s">
        <v>131</v>
      </c>
      <c r="B4054" s="1">
        <v>45742</v>
      </c>
      <c r="C4054" t="s">
        <v>5756</v>
      </c>
      <c r="D4054" t="s">
        <v>5756</v>
      </c>
      <c r="F4054" t="str">
        <f t="shared" si="140"/>
        <v>47310100</v>
      </c>
      <c r="H4054" t="s">
        <v>5748</v>
      </c>
      <c r="I4054" s="1">
        <v>45777</v>
      </c>
      <c r="K4054" s="4">
        <v>100000</v>
      </c>
    </row>
    <row r="4055" spans="1:11" hidden="1" outlineLevel="2" x14ac:dyDescent="0.35">
      <c r="A4055" t="s">
        <v>131</v>
      </c>
      <c r="B4055" s="1">
        <v>45742</v>
      </c>
      <c r="C4055" t="s">
        <v>5757</v>
      </c>
      <c r="D4055" t="s">
        <v>5757</v>
      </c>
      <c r="F4055" t="str">
        <f t="shared" si="140"/>
        <v>47310100</v>
      </c>
      <c r="H4055" t="s">
        <v>5748</v>
      </c>
      <c r="I4055" s="1">
        <v>45777</v>
      </c>
      <c r="K4055" s="4">
        <v>300000</v>
      </c>
    </row>
    <row r="4056" spans="1:11" hidden="1" outlineLevel="2" x14ac:dyDescent="0.35">
      <c r="A4056" t="s">
        <v>131</v>
      </c>
      <c r="B4056" s="1">
        <v>45744</v>
      </c>
      <c r="C4056" t="s">
        <v>5774</v>
      </c>
      <c r="D4056" t="s">
        <v>5774</v>
      </c>
      <c r="F4056" t="str">
        <f t="shared" si="140"/>
        <v>47310100</v>
      </c>
      <c r="H4056" t="s">
        <v>139</v>
      </c>
      <c r="I4056" s="1">
        <v>45744</v>
      </c>
      <c r="K4056" s="4">
        <v>177000</v>
      </c>
    </row>
    <row r="4057" spans="1:11" hidden="1" outlineLevel="2" x14ac:dyDescent="0.35">
      <c r="A4057" t="s">
        <v>131</v>
      </c>
      <c r="B4057" s="1">
        <v>45744</v>
      </c>
      <c r="C4057" t="s">
        <v>5775</v>
      </c>
      <c r="D4057" t="s">
        <v>5775</v>
      </c>
      <c r="F4057" t="str">
        <f t="shared" si="140"/>
        <v>47310100</v>
      </c>
      <c r="H4057" t="s">
        <v>139</v>
      </c>
      <c r="I4057" s="1">
        <v>45744</v>
      </c>
      <c r="K4057" s="4">
        <v>118000</v>
      </c>
    </row>
    <row r="4058" spans="1:11" hidden="1" outlineLevel="2" x14ac:dyDescent="0.35">
      <c r="A4058" t="s">
        <v>131</v>
      </c>
      <c r="B4058" s="1">
        <v>45744</v>
      </c>
      <c r="C4058" t="s">
        <v>5776</v>
      </c>
      <c r="D4058" t="s">
        <v>5776</v>
      </c>
      <c r="F4058" t="str">
        <f t="shared" si="140"/>
        <v>47310100</v>
      </c>
      <c r="H4058" t="s">
        <v>139</v>
      </c>
      <c r="I4058" s="1">
        <v>45744</v>
      </c>
      <c r="K4058" s="4">
        <v>88500</v>
      </c>
    </row>
    <row r="4059" spans="1:11" hidden="1" outlineLevel="2" x14ac:dyDescent="0.35">
      <c r="A4059" t="s">
        <v>131</v>
      </c>
      <c r="B4059" s="1">
        <v>45744</v>
      </c>
      <c r="C4059" t="s">
        <v>5777</v>
      </c>
      <c r="D4059" t="s">
        <v>5777</v>
      </c>
      <c r="F4059" t="str">
        <f t="shared" si="140"/>
        <v>47310100</v>
      </c>
      <c r="H4059" t="s">
        <v>139</v>
      </c>
      <c r="I4059" s="1">
        <v>45744</v>
      </c>
      <c r="K4059" s="4">
        <v>118000</v>
      </c>
    </row>
    <row r="4060" spans="1:11" hidden="1" outlineLevel="2" x14ac:dyDescent="0.35">
      <c r="A4060" t="s">
        <v>131</v>
      </c>
      <c r="B4060" s="1">
        <v>45744</v>
      </c>
      <c r="C4060" t="s">
        <v>5778</v>
      </c>
      <c r="D4060" t="s">
        <v>5778</v>
      </c>
      <c r="F4060" t="str">
        <f t="shared" si="140"/>
        <v>47310100</v>
      </c>
      <c r="H4060" t="s">
        <v>5512</v>
      </c>
      <c r="I4060" s="1">
        <v>45775</v>
      </c>
      <c r="K4060" s="4">
        <v>118000</v>
      </c>
    </row>
    <row r="4061" spans="1:11" hidden="1" outlineLevel="2" x14ac:dyDescent="0.35">
      <c r="A4061" t="s">
        <v>131</v>
      </c>
      <c r="B4061" s="1">
        <v>45744</v>
      </c>
      <c r="C4061" t="s">
        <v>5779</v>
      </c>
      <c r="D4061" t="s">
        <v>5779</v>
      </c>
      <c r="F4061" t="str">
        <f t="shared" si="140"/>
        <v>47310100</v>
      </c>
      <c r="H4061" t="s">
        <v>5512</v>
      </c>
      <c r="I4061" s="1">
        <v>45775</v>
      </c>
      <c r="K4061" s="4">
        <v>59000</v>
      </c>
    </row>
    <row r="4062" spans="1:11" hidden="1" outlineLevel="2" x14ac:dyDescent="0.35">
      <c r="A4062" t="s">
        <v>131</v>
      </c>
      <c r="B4062" s="1">
        <v>45744</v>
      </c>
      <c r="C4062" t="s">
        <v>5780</v>
      </c>
      <c r="D4062" t="s">
        <v>5780</v>
      </c>
      <c r="F4062" t="str">
        <f t="shared" si="140"/>
        <v>47310100</v>
      </c>
      <c r="H4062" t="s">
        <v>5518</v>
      </c>
      <c r="I4062" s="1">
        <v>45775</v>
      </c>
      <c r="K4062" s="4">
        <v>59000</v>
      </c>
    </row>
    <row r="4063" spans="1:11" hidden="1" outlineLevel="2" x14ac:dyDescent="0.35">
      <c r="A4063" t="s">
        <v>131</v>
      </c>
      <c r="B4063" s="1">
        <v>45744</v>
      </c>
      <c r="C4063" t="s">
        <v>5781</v>
      </c>
      <c r="D4063" t="s">
        <v>5781</v>
      </c>
      <c r="F4063" t="str">
        <f t="shared" si="140"/>
        <v>47310100</v>
      </c>
      <c r="H4063" t="s">
        <v>5518</v>
      </c>
      <c r="I4063" s="1">
        <v>45775</v>
      </c>
      <c r="K4063" s="4">
        <v>59000</v>
      </c>
    </row>
    <row r="4064" spans="1:11" hidden="1" outlineLevel="2" x14ac:dyDescent="0.35">
      <c r="A4064" t="s">
        <v>131</v>
      </c>
      <c r="B4064" s="1">
        <v>45744</v>
      </c>
      <c r="C4064" t="s">
        <v>5782</v>
      </c>
      <c r="D4064" t="s">
        <v>5782</v>
      </c>
      <c r="F4064" t="str">
        <f t="shared" si="140"/>
        <v>47310100</v>
      </c>
      <c r="H4064" t="s">
        <v>5518</v>
      </c>
      <c r="I4064" s="1">
        <v>45775</v>
      </c>
      <c r="K4064" s="4">
        <v>59000</v>
      </c>
    </row>
    <row r="4065" spans="1:11" hidden="1" outlineLevel="2" x14ac:dyDescent="0.35">
      <c r="A4065" t="s">
        <v>131</v>
      </c>
      <c r="B4065" s="1">
        <v>45744</v>
      </c>
      <c r="C4065" t="s">
        <v>5783</v>
      </c>
      <c r="D4065" t="s">
        <v>5783</v>
      </c>
      <c r="F4065" t="str">
        <f t="shared" si="140"/>
        <v>47310100</v>
      </c>
      <c r="H4065" t="s">
        <v>5518</v>
      </c>
      <c r="I4065" s="1">
        <v>45775</v>
      </c>
      <c r="K4065" s="4">
        <v>59000</v>
      </c>
    </row>
    <row r="4066" spans="1:11" hidden="1" outlineLevel="2" x14ac:dyDescent="0.35">
      <c r="A4066" t="s">
        <v>131</v>
      </c>
      <c r="B4066" s="1">
        <v>45744</v>
      </c>
      <c r="C4066" t="s">
        <v>5784</v>
      </c>
      <c r="D4066" t="s">
        <v>5784</v>
      </c>
      <c r="F4066" t="str">
        <f t="shared" si="140"/>
        <v>47310100</v>
      </c>
      <c r="H4066" t="s">
        <v>5518</v>
      </c>
      <c r="I4066" s="1">
        <v>45775</v>
      </c>
      <c r="K4066" s="4">
        <v>59000</v>
      </c>
    </row>
    <row r="4067" spans="1:11" hidden="1" outlineLevel="2" x14ac:dyDescent="0.35">
      <c r="A4067" t="s">
        <v>131</v>
      </c>
      <c r="B4067" s="1">
        <v>45744</v>
      </c>
      <c r="C4067" t="s">
        <v>5785</v>
      </c>
      <c r="D4067" t="s">
        <v>5785</v>
      </c>
      <c r="F4067" t="str">
        <f t="shared" si="140"/>
        <v>47310100</v>
      </c>
      <c r="H4067" t="s">
        <v>5518</v>
      </c>
      <c r="I4067" s="1">
        <v>45775</v>
      </c>
      <c r="K4067" s="4">
        <v>59000</v>
      </c>
    </row>
    <row r="4068" spans="1:11" hidden="1" outlineLevel="2" x14ac:dyDescent="0.35">
      <c r="A4068" t="s">
        <v>131</v>
      </c>
      <c r="B4068" s="1">
        <v>45744</v>
      </c>
      <c r="C4068" t="s">
        <v>5786</v>
      </c>
      <c r="D4068" t="s">
        <v>5786</v>
      </c>
      <c r="F4068" t="str">
        <f t="shared" si="140"/>
        <v>47310100</v>
      </c>
      <c r="H4068" t="s">
        <v>180</v>
      </c>
      <c r="I4068" s="1">
        <v>45775</v>
      </c>
      <c r="K4068" s="4">
        <v>29500</v>
      </c>
    </row>
    <row r="4069" spans="1:11" hidden="1" outlineLevel="2" x14ac:dyDescent="0.35">
      <c r="A4069" t="s">
        <v>131</v>
      </c>
      <c r="B4069" s="1">
        <v>45747</v>
      </c>
      <c r="C4069" t="s">
        <v>5818</v>
      </c>
      <c r="D4069" t="s">
        <v>5818</v>
      </c>
      <c r="F4069" t="str">
        <f t="shared" si="140"/>
        <v>47310100</v>
      </c>
      <c r="H4069" t="s">
        <v>5819</v>
      </c>
      <c r="I4069" s="1">
        <v>45747</v>
      </c>
      <c r="J4069" s="4">
        <v>118000</v>
      </c>
    </row>
    <row r="4070" spans="1:11" hidden="1" outlineLevel="2" x14ac:dyDescent="0.35">
      <c r="A4070" t="s">
        <v>131</v>
      </c>
      <c r="B4070" s="1">
        <v>45747</v>
      </c>
      <c r="C4070" t="s">
        <v>5823</v>
      </c>
      <c r="D4070" t="s">
        <v>5823</v>
      </c>
      <c r="F4070" t="str">
        <f t="shared" si="140"/>
        <v>47310100</v>
      </c>
      <c r="H4070" t="s">
        <v>139</v>
      </c>
      <c r="I4070" s="1">
        <v>45777</v>
      </c>
      <c r="K4070" s="4">
        <v>324500</v>
      </c>
    </row>
    <row r="4071" spans="1:11" hidden="1" outlineLevel="2" x14ac:dyDescent="0.35">
      <c r="A4071" t="s">
        <v>131</v>
      </c>
      <c r="B4071" s="1">
        <v>45747</v>
      </c>
      <c r="C4071" t="s">
        <v>5824</v>
      </c>
      <c r="D4071" t="s">
        <v>5824</v>
      </c>
      <c r="F4071" t="str">
        <f t="shared" si="140"/>
        <v>47310100</v>
      </c>
      <c r="H4071" t="s">
        <v>5825</v>
      </c>
      <c r="I4071" s="1">
        <v>45777</v>
      </c>
      <c r="K4071" s="4">
        <v>118000</v>
      </c>
    </row>
    <row r="4072" spans="1:11" hidden="1" outlineLevel="2" x14ac:dyDescent="0.35">
      <c r="A4072" t="s">
        <v>131</v>
      </c>
      <c r="B4072" s="1">
        <v>45747</v>
      </c>
      <c r="C4072" t="s">
        <v>5826</v>
      </c>
      <c r="D4072" t="s">
        <v>5826</v>
      </c>
      <c r="F4072" t="str">
        <f t="shared" ref="F4072:F4091" si="141">"47310100"</f>
        <v>47310100</v>
      </c>
      <c r="H4072" t="s">
        <v>5518</v>
      </c>
      <c r="I4072" s="1">
        <v>45777</v>
      </c>
      <c r="K4072" s="4">
        <v>59000</v>
      </c>
    </row>
    <row r="4073" spans="1:11" hidden="1" outlineLevel="2" x14ac:dyDescent="0.35">
      <c r="A4073" t="s">
        <v>131</v>
      </c>
      <c r="B4073" s="1">
        <v>45747</v>
      </c>
      <c r="C4073" t="s">
        <v>5827</v>
      </c>
      <c r="D4073" t="s">
        <v>5827</v>
      </c>
      <c r="F4073" t="str">
        <f t="shared" si="141"/>
        <v>47310100</v>
      </c>
      <c r="H4073" t="s">
        <v>5518</v>
      </c>
      <c r="I4073" s="1">
        <v>45777</v>
      </c>
      <c r="K4073" s="4">
        <v>59000</v>
      </c>
    </row>
    <row r="4074" spans="1:11" hidden="1" outlineLevel="2" x14ac:dyDescent="0.35">
      <c r="A4074" t="s">
        <v>131</v>
      </c>
      <c r="B4074" s="1">
        <v>45747</v>
      </c>
      <c r="C4074" t="s">
        <v>5828</v>
      </c>
      <c r="D4074" t="s">
        <v>5828</v>
      </c>
      <c r="F4074" t="str">
        <f t="shared" si="141"/>
        <v>47310100</v>
      </c>
      <c r="H4074" t="s">
        <v>5518</v>
      </c>
      <c r="I4074" s="1">
        <v>45777</v>
      </c>
      <c r="K4074" s="4">
        <v>29500</v>
      </c>
    </row>
    <row r="4075" spans="1:11" hidden="1" outlineLevel="2" x14ac:dyDescent="0.35">
      <c r="A4075" t="s">
        <v>131</v>
      </c>
      <c r="B4075" s="1">
        <v>45747</v>
      </c>
      <c r="C4075" t="s">
        <v>5829</v>
      </c>
      <c r="D4075" t="s">
        <v>5829</v>
      </c>
      <c r="F4075" t="str">
        <f t="shared" si="141"/>
        <v>47310100</v>
      </c>
      <c r="H4075" t="s">
        <v>5518</v>
      </c>
      <c r="I4075" s="1">
        <v>45777</v>
      </c>
      <c r="K4075" s="4">
        <v>29500</v>
      </c>
    </row>
    <row r="4076" spans="1:11" hidden="1" outlineLevel="2" x14ac:dyDescent="0.35">
      <c r="A4076" t="s">
        <v>131</v>
      </c>
      <c r="B4076" s="1">
        <v>45747</v>
      </c>
      <c r="C4076" t="s">
        <v>5830</v>
      </c>
      <c r="D4076" t="s">
        <v>5830</v>
      </c>
      <c r="F4076" t="str">
        <f t="shared" si="141"/>
        <v>47310100</v>
      </c>
      <c r="H4076" t="s">
        <v>5518</v>
      </c>
      <c r="I4076" s="1">
        <v>45777</v>
      </c>
      <c r="K4076" s="4">
        <v>59000</v>
      </c>
    </row>
    <row r="4077" spans="1:11" hidden="1" outlineLevel="2" x14ac:dyDescent="0.35">
      <c r="A4077" t="s">
        <v>131</v>
      </c>
      <c r="B4077" s="1">
        <v>45747</v>
      </c>
      <c r="C4077" t="s">
        <v>5831</v>
      </c>
      <c r="D4077" t="s">
        <v>5831</v>
      </c>
      <c r="F4077" t="str">
        <f t="shared" si="141"/>
        <v>47310100</v>
      </c>
      <c r="H4077" t="s">
        <v>5518</v>
      </c>
      <c r="I4077" s="1">
        <v>45777</v>
      </c>
      <c r="K4077" s="4">
        <v>59000</v>
      </c>
    </row>
    <row r="4078" spans="1:11" hidden="1" outlineLevel="2" x14ac:dyDescent="0.35">
      <c r="A4078" t="s">
        <v>131</v>
      </c>
      <c r="B4078" s="1">
        <v>45747</v>
      </c>
      <c r="C4078" t="s">
        <v>5832</v>
      </c>
      <c r="D4078" t="s">
        <v>5832</v>
      </c>
      <c r="F4078" t="str">
        <f t="shared" si="141"/>
        <v>47310100</v>
      </c>
      <c r="H4078" t="s">
        <v>5518</v>
      </c>
      <c r="I4078" s="1">
        <v>45777</v>
      </c>
      <c r="K4078" s="4">
        <v>59000</v>
      </c>
    </row>
    <row r="4079" spans="1:11" hidden="1" outlineLevel="2" x14ac:dyDescent="0.35">
      <c r="A4079" t="s">
        <v>131</v>
      </c>
      <c r="B4079" s="1">
        <v>45747</v>
      </c>
      <c r="C4079" t="s">
        <v>5833</v>
      </c>
      <c r="D4079" t="s">
        <v>5833</v>
      </c>
      <c r="F4079" t="str">
        <f t="shared" si="141"/>
        <v>47310100</v>
      </c>
      <c r="H4079" t="s">
        <v>5518</v>
      </c>
      <c r="I4079" s="1">
        <v>45777</v>
      </c>
      <c r="K4079" s="4">
        <v>29500</v>
      </c>
    </row>
    <row r="4080" spans="1:11" hidden="1" outlineLevel="2" x14ac:dyDescent="0.35">
      <c r="A4080" t="s">
        <v>131</v>
      </c>
      <c r="B4080" s="1">
        <v>45747</v>
      </c>
      <c r="C4080" t="s">
        <v>5834</v>
      </c>
      <c r="D4080" t="s">
        <v>5834</v>
      </c>
      <c r="F4080" t="str">
        <f t="shared" si="141"/>
        <v>47310100</v>
      </c>
      <c r="H4080" t="s">
        <v>5518</v>
      </c>
      <c r="I4080" s="1">
        <v>45777</v>
      </c>
      <c r="K4080" s="4">
        <v>29500</v>
      </c>
    </row>
    <row r="4081" spans="1:11" hidden="1" outlineLevel="2" x14ac:dyDescent="0.35">
      <c r="A4081" t="s">
        <v>131</v>
      </c>
      <c r="B4081" s="1">
        <v>45747</v>
      </c>
      <c r="C4081" t="s">
        <v>5835</v>
      </c>
      <c r="D4081" t="s">
        <v>5835</v>
      </c>
      <c r="F4081" t="str">
        <f t="shared" si="141"/>
        <v>47310100</v>
      </c>
      <c r="H4081" t="s">
        <v>5518</v>
      </c>
      <c r="I4081" s="1">
        <v>45777</v>
      </c>
      <c r="K4081" s="4">
        <v>59000</v>
      </c>
    </row>
    <row r="4082" spans="1:11" hidden="1" outlineLevel="2" x14ac:dyDescent="0.35">
      <c r="A4082" t="s">
        <v>131</v>
      </c>
      <c r="B4082" s="1">
        <v>45747</v>
      </c>
      <c r="C4082" t="s">
        <v>5836</v>
      </c>
      <c r="D4082" t="s">
        <v>5836</v>
      </c>
      <c r="F4082" t="str">
        <f t="shared" si="141"/>
        <v>47310100</v>
      </c>
      <c r="H4082" t="s">
        <v>5518</v>
      </c>
      <c r="I4082" s="1">
        <v>45777</v>
      </c>
      <c r="K4082" s="4">
        <v>59000</v>
      </c>
    </row>
    <row r="4083" spans="1:11" hidden="1" outlineLevel="2" x14ac:dyDescent="0.35">
      <c r="A4083" t="s">
        <v>131</v>
      </c>
      <c r="B4083" s="1">
        <v>45747</v>
      </c>
      <c r="C4083" t="s">
        <v>5837</v>
      </c>
      <c r="D4083" t="s">
        <v>5837</v>
      </c>
      <c r="F4083" t="str">
        <f t="shared" si="141"/>
        <v>47310100</v>
      </c>
      <c r="H4083" t="s">
        <v>5518</v>
      </c>
      <c r="I4083" s="1">
        <v>45777</v>
      </c>
      <c r="K4083" s="4">
        <v>59000</v>
      </c>
    </row>
    <row r="4084" spans="1:11" hidden="1" outlineLevel="2" x14ac:dyDescent="0.35">
      <c r="A4084" t="s">
        <v>131</v>
      </c>
      <c r="B4084" s="1">
        <v>45747</v>
      </c>
      <c r="C4084" t="s">
        <v>5838</v>
      </c>
      <c r="D4084" t="s">
        <v>5838</v>
      </c>
      <c r="F4084" t="str">
        <f t="shared" si="141"/>
        <v>47310100</v>
      </c>
      <c r="H4084" t="s">
        <v>5518</v>
      </c>
      <c r="I4084" s="1">
        <v>45777</v>
      </c>
      <c r="K4084" s="4">
        <v>29500</v>
      </c>
    </row>
    <row r="4085" spans="1:11" hidden="1" outlineLevel="2" x14ac:dyDescent="0.35">
      <c r="A4085" t="s">
        <v>131</v>
      </c>
      <c r="B4085" s="1">
        <v>45747</v>
      </c>
      <c r="C4085" t="s">
        <v>5839</v>
      </c>
      <c r="D4085" t="s">
        <v>5839</v>
      </c>
      <c r="F4085" t="str">
        <f t="shared" si="141"/>
        <v>47310100</v>
      </c>
      <c r="H4085" t="s">
        <v>5518</v>
      </c>
      <c r="I4085" s="1">
        <v>45777</v>
      </c>
      <c r="K4085" s="4">
        <v>118000</v>
      </c>
    </row>
    <row r="4086" spans="1:11" hidden="1" outlineLevel="2" x14ac:dyDescent="0.35">
      <c r="A4086" t="s">
        <v>131</v>
      </c>
      <c r="B4086" s="1">
        <v>45747</v>
      </c>
      <c r="C4086" t="s">
        <v>5840</v>
      </c>
      <c r="D4086" t="s">
        <v>5840</v>
      </c>
      <c r="F4086" t="str">
        <f t="shared" si="141"/>
        <v>47310100</v>
      </c>
      <c r="H4086" t="s">
        <v>5518</v>
      </c>
      <c r="I4086" s="1">
        <v>45777</v>
      </c>
      <c r="K4086" s="4">
        <v>88500</v>
      </c>
    </row>
    <row r="4087" spans="1:11" hidden="1" outlineLevel="2" x14ac:dyDescent="0.35">
      <c r="A4087" t="s">
        <v>131</v>
      </c>
      <c r="B4087" s="1">
        <v>45747</v>
      </c>
      <c r="C4087" t="s">
        <v>5841</v>
      </c>
      <c r="D4087" t="s">
        <v>5841</v>
      </c>
      <c r="F4087" t="str">
        <f t="shared" si="141"/>
        <v>47310100</v>
      </c>
      <c r="H4087" t="s">
        <v>5551</v>
      </c>
      <c r="I4087" s="1">
        <v>45747</v>
      </c>
      <c r="K4087" s="4">
        <v>59000</v>
      </c>
    </row>
    <row r="4088" spans="1:11" hidden="1" outlineLevel="2" x14ac:dyDescent="0.35">
      <c r="A4088" t="s">
        <v>131</v>
      </c>
      <c r="B4088" s="1">
        <v>45747</v>
      </c>
      <c r="C4088" t="s">
        <v>5842</v>
      </c>
      <c r="D4088" t="s">
        <v>5842</v>
      </c>
      <c r="F4088" t="str">
        <f t="shared" si="141"/>
        <v>47310100</v>
      </c>
      <c r="H4088" t="s">
        <v>5551</v>
      </c>
      <c r="I4088" s="1">
        <v>45747</v>
      </c>
      <c r="K4088" s="4">
        <v>59000</v>
      </c>
    </row>
    <row r="4089" spans="1:11" hidden="1" outlineLevel="2" x14ac:dyDescent="0.35">
      <c r="A4089" t="s">
        <v>131</v>
      </c>
      <c r="B4089" s="1">
        <v>45747</v>
      </c>
      <c r="C4089" t="s">
        <v>5843</v>
      </c>
      <c r="D4089" t="s">
        <v>5843</v>
      </c>
      <c r="F4089" t="str">
        <f t="shared" si="141"/>
        <v>47310100</v>
      </c>
      <c r="H4089" t="s">
        <v>180</v>
      </c>
      <c r="I4089" s="1">
        <v>45777</v>
      </c>
      <c r="K4089" s="4">
        <v>59000</v>
      </c>
    </row>
    <row r="4090" spans="1:11" hidden="1" outlineLevel="2" x14ac:dyDescent="0.35">
      <c r="A4090" t="s">
        <v>131</v>
      </c>
      <c r="B4090" s="1">
        <v>45747</v>
      </c>
      <c r="C4090" t="s">
        <v>5844</v>
      </c>
      <c r="D4090" t="s">
        <v>5844</v>
      </c>
      <c r="F4090" t="str">
        <f t="shared" si="141"/>
        <v>47310100</v>
      </c>
      <c r="H4090" t="s">
        <v>180</v>
      </c>
      <c r="I4090" s="1">
        <v>45777</v>
      </c>
      <c r="K4090" s="4">
        <v>29500</v>
      </c>
    </row>
    <row r="4091" spans="1:11" hidden="1" outlineLevel="2" x14ac:dyDescent="0.35">
      <c r="A4091" t="s">
        <v>131</v>
      </c>
      <c r="B4091" s="1">
        <v>45747</v>
      </c>
      <c r="C4091" t="s">
        <v>5845</v>
      </c>
      <c r="D4091" t="s">
        <v>5845</v>
      </c>
      <c r="F4091" t="str">
        <f t="shared" si="141"/>
        <v>47310100</v>
      </c>
      <c r="H4091" t="s">
        <v>5522</v>
      </c>
      <c r="I4091" s="1">
        <v>45777</v>
      </c>
      <c r="K4091" s="4">
        <v>88500</v>
      </c>
    </row>
    <row r="4092" spans="1:11" outlineLevel="1" collapsed="1" x14ac:dyDescent="0.35">
      <c r="B4092" s="1"/>
      <c r="F4092" s="3" t="s">
        <v>6580</v>
      </c>
      <c r="I4092" s="1"/>
      <c r="J4092" s="4">
        <f>SUBTOTAL(9,J3912:J4091)</f>
        <v>6976000</v>
      </c>
      <c r="K4092" s="4">
        <f>SUBTOTAL(9,K3912:K4091)</f>
        <v>12260500</v>
      </c>
    </row>
    <row r="4093" spans="1:11" hidden="1" outlineLevel="2" x14ac:dyDescent="0.35">
      <c r="A4093" t="s">
        <v>11</v>
      </c>
      <c r="B4093" s="1">
        <v>45717</v>
      </c>
      <c r="C4093" t="str">
        <f>"107"</f>
        <v>107</v>
      </c>
      <c r="F4093" t="str">
        <f t="shared" ref="F4093:F4124" si="142">"47460000"</f>
        <v>47460000</v>
      </c>
      <c r="G4093" t="str">
        <f>"40112067"</f>
        <v>40112067</v>
      </c>
      <c r="H4093" t="s">
        <v>1180</v>
      </c>
      <c r="K4093" s="4">
        <v>-17500000</v>
      </c>
    </row>
    <row r="4094" spans="1:11" hidden="1" outlineLevel="2" x14ac:dyDescent="0.35">
      <c r="A4094" t="s">
        <v>11</v>
      </c>
      <c r="B4094" s="1">
        <v>45717</v>
      </c>
      <c r="C4094" t="str">
        <f>"202"</f>
        <v>202</v>
      </c>
      <c r="F4094" t="str">
        <f t="shared" si="142"/>
        <v>47460000</v>
      </c>
      <c r="G4094" t="str">
        <f>"40112067"</f>
        <v>40112067</v>
      </c>
      <c r="H4094" t="s">
        <v>1180</v>
      </c>
      <c r="K4094" s="4">
        <v>-17500000</v>
      </c>
    </row>
    <row r="4095" spans="1:11" hidden="1" outlineLevel="2" x14ac:dyDescent="0.35">
      <c r="A4095" t="s">
        <v>11</v>
      </c>
      <c r="B4095" s="1">
        <v>45717</v>
      </c>
      <c r="C4095" t="str">
        <f>"204"</f>
        <v>204</v>
      </c>
      <c r="E4095" t="s">
        <v>1183</v>
      </c>
      <c r="F4095" t="str">
        <f t="shared" si="142"/>
        <v>47460000</v>
      </c>
      <c r="G4095" t="str">
        <f>"40110340"</f>
        <v>40110340</v>
      </c>
      <c r="H4095" t="s">
        <v>1184</v>
      </c>
      <c r="K4095" s="4">
        <v>208333</v>
      </c>
    </row>
    <row r="4096" spans="1:11" hidden="1" outlineLevel="2" x14ac:dyDescent="0.35">
      <c r="A4096" t="s">
        <v>11</v>
      </c>
      <c r="B4096" s="1">
        <v>45717</v>
      </c>
      <c r="C4096" t="str">
        <f>"205"</f>
        <v>205</v>
      </c>
      <c r="E4096" t="s">
        <v>1185</v>
      </c>
      <c r="F4096" t="str">
        <f t="shared" si="142"/>
        <v>47460000</v>
      </c>
      <c r="G4096" t="s">
        <v>1186</v>
      </c>
      <c r="H4096" t="s">
        <v>1187</v>
      </c>
      <c r="K4096" s="4">
        <v>59225</v>
      </c>
    </row>
    <row r="4097" spans="1:11" hidden="1" outlineLevel="2" x14ac:dyDescent="0.35">
      <c r="A4097" t="s">
        <v>11</v>
      </c>
      <c r="B4097" s="1">
        <v>45717</v>
      </c>
      <c r="C4097" t="str">
        <f>"206"</f>
        <v>206</v>
      </c>
      <c r="F4097" t="str">
        <f t="shared" si="142"/>
        <v>47460000</v>
      </c>
      <c r="G4097" t="str">
        <f>"40112066"</f>
        <v>40112066</v>
      </c>
      <c r="H4097" t="s">
        <v>1188</v>
      </c>
      <c r="K4097" s="4">
        <v>137482</v>
      </c>
    </row>
    <row r="4098" spans="1:11" hidden="1" outlineLevel="2" x14ac:dyDescent="0.35">
      <c r="A4098" t="s">
        <v>11</v>
      </c>
      <c r="B4098" s="1">
        <v>45717</v>
      </c>
      <c r="C4098" t="str">
        <f>"207"</f>
        <v>207</v>
      </c>
      <c r="E4098" t="s">
        <v>1189</v>
      </c>
      <c r="F4098" t="str">
        <f t="shared" si="142"/>
        <v>47460000</v>
      </c>
      <c r="G4098" t="str">
        <f>"40110340"</f>
        <v>40110340</v>
      </c>
      <c r="H4098" t="s">
        <v>1190</v>
      </c>
      <c r="K4098" s="4">
        <v>290670</v>
      </c>
    </row>
    <row r="4099" spans="1:11" hidden="1" outlineLevel="2" x14ac:dyDescent="0.35">
      <c r="A4099" t="s">
        <v>11</v>
      </c>
      <c r="B4099" s="1">
        <v>45717</v>
      </c>
      <c r="C4099" t="str">
        <f>"208"</f>
        <v>208</v>
      </c>
      <c r="E4099" t="s">
        <v>1191</v>
      </c>
      <c r="F4099" t="str">
        <f t="shared" si="142"/>
        <v>47460000</v>
      </c>
      <c r="G4099" t="str">
        <f>"00510"</f>
        <v>00510</v>
      </c>
      <c r="H4099" t="s">
        <v>1192</v>
      </c>
      <c r="K4099" s="4">
        <v>250000</v>
      </c>
    </row>
    <row r="4100" spans="1:11" hidden="1" outlineLevel="2" x14ac:dyDescent="0.35">
      <c r="A4100" t="s">
        <v>11</v>
      </c>
      <c r="B4100" s="1">
        <v>45717</v>
      </c>
      <c r="C4100" t="str">
        <f>"209"</f>
        <v>209</v>
      </c>
      <c r="E4100" t="s">
        <v>1193</v>
      </c>
      <c r="F4100" t="str">
        <f t="shared" si="142"/>
        <v>47460000</v>
      </c>
      <c r="G4100" t="str">
        <f>"40110340"</f>
        <v>40110340</v>
      </c>
      <c r="H4100" t="s">
        <v>1194</v>
      </c>
      <c r="K4100" s="4">
        <v>863677</v>
      </c>
    </row>
    <row r="4101" spans="1:11" hidden="1" outlineLevel="2" x14ac:dyDescent="0.35">
      <c r="A4101" t="s">
        <v>11</v>
      </c>
      <c r="B4101" s="1">
        <v>45717</v>
      </c>
      <c r="C4101" t="str">
        <f>"213"</f>
        <v>213</v>
      </c>
      <c r="D4101" t="s">
        <v>1200</v>
      </c>
      <c r="E4101" t="s">
        <v>1201</v>
      </c>
      <c r="F4101" t="str">
        <f t="shared" si="142"/>
        <v>47460000</v>
      </c>
      <c r="G4101" t="str">
        <f>"40110966"</f>
        <v>40110966</v>
      </c>
      <c r="H4101" t="s">
        <v>1202</v>
      </c>
      <c r="K4101" s="4">
        <v>1105288</v>
      </c>
    </row>
    <row r="4102" spans="1:11" hidden="1" outlineLevel="2" x14ac:dyDescent="0.35">
      <c r="A4102" t="s">
        <v>11</v>
      </c>
      <c r="B4102" s="1">
        <v>45717</v>
      </c>
      <c r="C4102" t="str">
        <f>"215"</f>
        <v>215</v>
      </c>
      <c r="E4102" t="s">
        <v>1205</v>
      </c>
      <c r="F4102" t="str">
        <f t="shared" si="142"/>
        <v>47460000</v>
      </c>
      <c r="G4102" t="str">
        <f>"40120662"</f>
        <v>40120662</v>
      </c>
      <c r="H4102" t="s">
        <v>1206</v>
      </c>
      <c r="K4102" s="4">
        <v>345000</v>
      </c>
    </row>
    <row r="4103" spans="1:11" hidden="1" outlineLevel="2" x14ac:dyDescent="0.35">
      <c r="A4103" t="s">
        <v>11</v>
      </c>
      <c r="B4103" s="1">
        <v>45717</v>
      </c>
      <c r="C4103" t="str">
        <f>"216"</f>
        <v>216</v>
      </c>
      <c r="E4103" t="s">
        <v>1207</v>
      </c>
      <c r="F4103" t="str">
        <f t="shared" si="142"/>
        <v>47460000</v>
      </c>
      <c r="G4103" t="str">
        <f>"40110123"</f>
        <v>40110123</v>
      </c>
      <c r="H4103" t="s">
        <v>1208</v>
      </c>
      <c r="K4103" s="4">
        <v>600000</v>
      </c>
    </row>
    <row r="4104" spans="1:11" hidden="1" outlineLevel="2" x14ac:dyDescent="0.35">
      <c r="A4104" t="s">
        <v>11</v>
      </c>
      <c r="B4104" s="1">
        <v>45717</v>
      </c>
      <c r="C4104" t="str">
        <f>"217"</f>
        <v>217</v>
      </c>
      <c r="E4104" t="s">
        <v>1209</v>
      </c>
      <c r="F4104" t="str">
        <f t="shared" si="142"/>
        <v>47460000</v>
      </c>
      <c r="G4104" t="str">
        <f>"40110123"</f>
        <v>40110123</v>
      </c>
      <c r="H4104" t="s">
        <v>1210</v>
      </c>
      <c r="K4104" s="4">
        <v>400000</v>
      </c>
    </row>
    <row r="4105" spans="1:11" hidden="1" outlineLevel="2" x14ac:dyDescent="0.35">
      <c r="A4105" t="s">
        <v>11</v>
      </c>
      <c r="B4105" s="1">
        <v>45717</v>
      </c>
      <c r="C4105" t="str">
        <f>"218"</f>
        <v>218</v>
      </c>
      <c r="E4105" t="s">
        <v>1211</v>
      </c>
      <c r="F4105" t="str">
        <f t="shared" si="142"/>
        <v>47460000</v>
      </c>
      <c r="G4105" t="str">
        <f>"40110665"</f>
        <v>40110665</v>
      </c>
      <c r="H4105" t="s">
        <v>1212</v>
      </c>
      <c r="K4105" s="4">
        <v>700000</v>
      </c>
    </row>
    <row r="4106" spans="1:11" hidden="1" outlineLevel="2" x14ac:dyDescent="0.35">
      <c r="A4106" t="s">
        <v>11</v>
      </c>
      <c r="B4106" s="1">
        <v>45717</v>
      </c>
      <c r="C4106" t="str">
        <f>"219"</f>
        <v>219</v>
      </c>
      <c r="F4106" t="str">
        <f t="shared" si="142"/>
        <v>47460000</v>
      </c>
      <c r="G4106" t="str">
        <f>"40110102"</f>
        <v>40110102</v>
      </c>
      <c r="H4106" t="s">
        <v>1213</v>
      </c>
      <c r="K4106" s="4">
        <v>86821</v>
      </c>
    </row>
    <row r="4107" spans="1:11" hidden="1" outlineLevel="2" x14ac:dyDescent="0.35">
      <c r="A4107" t="s">
        <v>11</v>
      </c>
      <c r="B4107" s="1">
        <v>45717</v>
      </c>
      <c r="C4107" t="str">
        <f>"220"</f>
        <v>220</v>
      </c>
      <c r="F4107" t="str">
        <f t="shared" si="142"/>
        <v>47460000</v>
      </c>
      <c r="G4107" t="str">
        <f>"40110056"</f>
        <v>40110056</v>
      </c>
      <c r="H4107" t="s">
        <v>1214</v>
      </c>
      <c r="K4107" s="4">
        <v>1430000</v>
      </c>
    </row>
    <row r="4108" spans="1:11" hidden="1" outlineLevel="2" x14ac:dyDescent="0.35">
      <c r="A4108" t="s">
        <v>11</v>
      </c>
      <c r="B4108" s="1">
        <v>45717</v>
      </c>
      <c r="C4108" t="str">
        <f>"221"</f>
        <v>221</v>
      </c>
      <c r="E4108" t="s">
        <v>1215</v>
      </c>
      <c r="F4108" t="str">
        <f t="shared" si="142"/>
        <v>47460000</v>
      </c>
      <c r="G4108" t="s">
        <v>1216</v>
      </c>
      <c r="H4108" t="s">
        <v>1217</v>
      </c>
      <c r="K4108" s="4">
        <v>240000</v>
      </c>
    </row>
    <row r="4109" spans="1:11" hidden="1" outlineLevel="2" x14ac:dyDescent="0.35">
      <c r="A4109" t="s">
        <v>11</v>
      </c>
      <c r="B4109" s="1">
        <v>45717</v>
      </c>
      <c r="C4109" t="str">
        <f>"229"</f>
        <v>229</v>
      </c>
      <c r="F4109" t="str">
        <f t="shared" si="142"/>
        <v>47460000</v>
      </c>
      <c r="G4109" t="str">
        <f>"40112103"</f>
        <v>40112103</v>
      </c>
      <c r="H4109" t="s">
        <v>1229</v>
      </c>
      <c r="K4109" s="4">
        <v>927000</v>
      </c>
    </row>
    <row r="4110" spans="1:11" hidden="1" outlineLevel="2" x14ac:dyDescent="0.35">
      <c r="A4110" t="s">
        <v>11</v>
      </c>
      <c r="B4110" s="1">
        <v>45717</v>
      </c>
      <c r="C4110" t="str">
        <f>"230"</f>
        <v>230</v>
      </c>
      <c r="E4110" t="s">
        <v>1230</v>
      </c>
      <c r="F4110" t="str">
        <f t="shared" si="142"/>
        <v>47460000</v>
      </c>
      <c r="G4110" t="str">
        <f>"40110340"</f>
        <v>40110340</v>
      </c>
      <c r="H4110" t="s">
        <v>1231</v>
      </c>
      <c r="K4110" s="4">
        <v>847458</v>
      </c>
    </row>
    <row r="4111" spans="1:11" hidden="1" outlineLevel="2" x14ac:dyDescent="0.35">
      <c r="A4111" t="s">
        <v>11</v>
      </c>
      <c r="B4111" s="1">
        <v>45717</v>
      </c>
      <c r="C4111" t="str">
        <f>"234"</f>
        <v>234</v>
      </c>
      <c r="E4111" t="s">
        <v>1237</v>
      </c>
      <c r="F4111" t="str">
        <f t="shared" si="142"/>
        <v>47460000</v>
      </c>
      <c r="G4111" t="str">
        <f>"40110056"</f>
        <v>40110056</v>
      </c>
      <c r="H4111" t="s">
        <v>1238</v>
      </c>
      <c r="K4111" s="4">
        <v>300000</v>
      </c>
    </row>
    <row r="4112" spans="1:11" hidden="1" outlineLevel="2" x14ac:dyDescent="0.35">
      <c r="A4112" t="s">
        <v>11</v>
      </c>
      <c r="B4112" s="1">
        <v>45717</v>
      </c>
      <c r="C4112" t="str">
        <f>"235"</f>
        <v>235</v>
      </c>
      <c r="E4112" t="s">
        <v>1239</v>
      </c>
      <c r="F4112" t="str">
        <f t="shared" si="142"/>
        <v>47460000</v>
      </c>
      <c r="G4112" t="str">
        <f>"40110123"</f>
        <v>40110123</v>
      </c>
      <c r="H4112" t="s">
        <v>1240</v>
      </c>
      <c r="K4112" s="4">
        <v>390000</v>
      </c>
    </row>
    <row r="4113" spans="1:11" hidden="1" outlineLevel="2" x14ac:dyDescent="0.35">
      <c r="A4113" t="s">
        <v>11</v>
      </c>
      <c r="B4113" s="1">
        <v>45717</v>
      </c>
      <c r="C4113" t="str">
        <f>"236"</f>
        <v>236</v>
      </c>
      <c r="E4113" t="s">
        <v>1241</v>
      </c>
      <c r="F4113" t="str">
        <f t="shared" si="142"/>
        <v>47460000</v>
      </c>
      <c r="G4113" t="str">
        <f>"40110123"</f>
        <v>40110123</v>
      </c>
      <c r="H4113" t="s">
        <v>1242</v>
      </c>
      <c r="K4113" s="4">
        <v>90300</v>
      </c>
    </row>
    <row r="4114" spans="1:11" hidden="1" outlineLevel="2" x14ac:dyDescent="0.35">
      <c r="A4114" t="s">
        <v>11</v>
      </c>
      <c r="B4114" s="1">
        <v>45717</v>
      </c>
      <c r="C4114" t="str">
        <f>"237"</f>
        <v>237</v>
      </c>
      <c r="E4114" t="s">
        <v>1243</v>
      </c>
      <c r="F4114" t="str">
        <f t="shared" si="142"/>
        <v>47460000</v>
      </c>
      <c r="G4114" t="str">
        <f>"40110123"</f>
        <v>40110123</v>
      </c>
      <c r="H4114" t="s">
        <v>1244</v>
      </c>
      <c r="K4114" s="4">
        <v>264084</v>
      </c>
    </row>
    <row r="4115" spans="1:11" hidden="1" outlineLevel="2" x14ac:dyDescent="0.35">
      <c r="A4115" t="s">
        <v>11</v>
      </c>
      <c r="B4115" s="1">
        <v>45717</v>
      </c>
      <c r="C4115" t="str">
        <f>"238"</f>
        <v>238</v>
      </c>
      <c r="E4115" t="s">
        <v>1245</v>
      </c>
      <c r="F4115" t="str">
        <f t="shared" si="142"/>
        <v>47460000</v>
      </c>
      <c r="G4115" t="str">
        <f>"40110536"</f>
        <v>40110536</v>
      </c>
      <c r="H4115" t="s">
        <v>1246</v>
      </c>
      <c r="K4115" s="4">
        <v>1350000</v>
      </c>
    </row>
    <row r="4116" spans="1:11" hidden="1" outlineLevel="2" x14ac:dyDescent="0.35">
      <c r="A4116" t="s">
        <v>11</v>
      </c>
      <c r="B4116" s="1">
        <v>45717</v>
      </c>
      <c r="C4116" t="str">
        <f>"239"</f>
        <v>239</v>
      </c>
      <c r="E4116" t="s">
        <v>1247</v>
      </c>
      <c r="F4116" t="str">
        <f t="shared" si="142"/>
        <v>47460000</v>
      </c>
      <c r="G4116" t="str">
        <f>"40110056"</f>
        <v>40110056</v>
      </c>
      <c r="H4116" t="s">
        <v>1248</v>
      </c>
      <c r="K4116" s="4">
        <v>56733</v>
      </c>
    </row>
    <row r="4117" spans="1:11" hidden="1" outlineLevel="2" x14ac:dyDescent="0.35">
      <c r="A4117" t="s">
        <v>11</v>
      </c>
      <c r="B4117" s="1">
        <v>45717</v>
      </c>
      <c r="C4117" t="str">
        <f>"240"</f>
        <v>240</v>
      </c>
      <c r="E4117" t="s">
        <v>1247</v>
      </c>
      <c r="F4117" t="str">
        <f t="shared" si="142"/>
        <v>47460000</v>
      </c>
      <c r="G4117" t="str">
        <f>"40110056"</f>
        <v>40110056</v>
      </c>
      <c r="H4117" t="s">
        <v>1249</v>
      </c>
      <c r="K4117" s="4">
        <v>2200000</v>
      </c>
    </row>
    <row r="4118" spans="1:11" hidden="1" outlineLevel="2" x14ac:dyDescent="0.35">
      <c r="A4118" t="s">
        <v>11</v>
      </c>
      <c r="B4118" s="1">
        <v>45717</v>
      </c>
      <c r="C4118" t="str">
        <f>"241"</f>
        <v>241</v>
      </c>
      <c r="E4118" t="s">
        <v>1250</v>
      </c>
      <c r="F4118" t="str">
        <f t="shared" si="142"/>
        <v>47460000</v>
      </c>
      <c r="G4118" t="str">
        <f>"40110700"</f>
        <v>40110700</v>
      </c>
      <c r="H4118" t="s">
        <v>1251</v>
      </c>
      <c r="K4118" s="4">
        <v>100000</v>
      </c>
    </row>
    <row r="4119" spans="1:11" hidden="1" outlineLevel="2" x14ac:dyDescent="0.35">
      <c r="A4119" t="s">
        <v>11</v>
      </c>
      <c r="B4119" s="1">
        <v>45717</v>
      </c>
      <c r="C4119" t="str">
        <f>"242"</f>
        <v>242</v>
      </c>
      <c r="E4119" t="s">
        <v>1252</v>
      </c>
      <c r="F4119" t="str">
        <f t="shared" si="142"/>
        <v>47460000</v>
      </c>
      <c r="G4119" t="str">
        <f>"40110576"</f>
        <v>40110576</v>
      </c>
      <c r="H4119" t="s">
        <v>1253</v>
      </c>
      <c r="K4119" s="4">
        <v>600000</v>
      </c>
    </row>
    <row r="4120" spans="1:11" hidden="1" outlineLevel="2" x14ac:dyDescent="0.35">
      <c r="A4120" t="s">
        <v>11</v>
      </c>
      <c r="B4120" s="1">
        <v>45717</v>
      </c>
      <c r="C4120" t="str">
        <f>"243"</f>
        <v>243</v>
      </c>
      <c r="E4120" t="s">
        <v>1254</v>
      </c>
      <c r="F4120" t="str">
        <f t="shared" si="142"/>
        <v>47460000</v>
      </c>
      <c r="G4120" t="str">
        <f>"40110081"</f>
        <v>40110081</v>
      </c>
      <c r="H4120" t="s">
        <v>1255</v>
      </c>
      <c r="K4120" s="4">
        <v>317672</v>
      </c>
    </row>
    <row r="4121" spans="1:11" hidden="1" outlineLevel="2" x14ac:dyDescent="0.35">
      <c r="A4121" t="s">
        <v>11</v>
      </c>
      <c r="B4121" s="1">
        <v>45717</v>
      </c>
      <c r="C4121" t="str">
        <f>"244"</f>
        <v>244</v>
      </c>
      <c r="F4121" t="str">
        <f t="shared" si="142"/>
        <v>47460000</v>
      </c>
      <c r="G4121" t="str">
        <f>"40112075"</f>
        <v>40112075</v>
      </c>
      <c r="H4121" t="s">
        <v>1256</v>
      </c>
      <c r="K4121" s="4">
        <v>2000000</v>
      </c>
    </row>
    <row r="4122" spans="1:11" hidden="1" outlineLevel="2" x14ac:dyDescent="0.35">
      <c r="A4122" t="s">
        <v>11</v>
      </c>
      <c r="B4122" s="1">
        <v>45717</v>
      </c>
      <c r="C4122" t="str">
        <f>"245"</f>
        <v>245</v>
      </c>
      <c r="E4122" t="s">
        <v>1257</v>
      </c>
      <c r="F4122" t="str">
        <f t="shared" si="142"/>
        <v>47460000</v>
      </c>
      <c r="G4122" t="str">
        <f>"40112087"</f>
        <v>40112087</v>
      </c>
      <c r="H4122" t="s">
        <v>1258</v>
      </c>
      <c r="K4122" s="4">
        <v>1800000</v>
      </c>
    </row>
    <row r="4123" spans="1:11" hidden="1" outlineLevel="2" x14ac:dyDescent="0.35">
      <c r="A4123" t="s">
        <v>11</v>
      </c>
      <c r="B4123" s="1">
        <v>45717</v>
      </c>
      <c r="C4123" t="str">
        <f>"246"</f>
        <v>246</v>
      </c>
      <c r="E4123" t="s">
        <v>1259</v>
      </c>
      <c r="F4123" t="str">
        <f t="shared" si="142"/>
        <v>47460000</v>
      </c>
      <c r="G4123" t="str">
        <f>"40112073"</f>
        <v>40112073</v>
      </c>
      <c r="H4123" t="s">
        <v>1260</v>
      </c>
      <c r="K4123" s="4">
        <v>370500</v>
      </c>
    </row>
    <row r="4124" spans="1:11" hidden="1" outlineLevel="2" x14ac:dyDescent="0.35">
      <c r="A4124" t="s">
        <v>11</v>
      </c>
      <c r="B4124" s="1">
        <v>45717</v>
      </c>
      <c r="C4124" t="str">
        <f>"247"</f>
        <v>247</v>
      </c>
      <c r="E4124" t="s">
        <v>1261</v>
      </c>
      <c r="F4124" t="str">
        <f t="shared" si="142"/>
        <v>47460000</v>
      </c>
      <c r="G4124" t="str">
        <f>"40112077"</f>
        <v>40112077</v>
      </c>
      <c r="H4124" t="s">
        <v>1262</v>
      </c>
      <c r="K4124" s="4">
        <v>935000</v>
      </c>
    </row>
    <row r="4125" spans="1:11" hidden="1" outlineLevel="2" x14ac:dyDescent="0.35">
      <c r="A4125" t="s">
        <v>11</v>
      </c>
      <c r="B4125" s="1">
        <v>45717</v>
      </c>
      <c r="C4125" t="str">
        <f>"249"</f>
        <v>249</v>
      </c>
      <c r="E4125" t="s">
        <v>1265</v>
      </c>
      <c r="F4125" t="str">
        <f t="shared" ref="F4125:F4156" si="143">"47460000"</f>
        <v>47460000</v>
      </c>
      <c r="G4125" t="str">
        <f>"40110720"</f>
        <v>40110720</v>
      </c>
      <c r="H4125" t="s">
        <v>1266</v>
      </c>
      <c r="K4125" s="4">
        <v>2772470</v>
      </c>
    </row>
    <row r="4126" spans="1:11" hidden="1" outlineLevel="2" x14ac:dyDescent="0.35">
      <c r="A4126" t="s">
        <v>11</v>
      </c>
      <c r="B4126" s="1">
        <v>45717</v>
      </c>
      <c r="C4126" t="str">
        <f>"251"</f>
        <v>251</v>
      </c>
      <c r="E4126" t="s">
        <v>1269</v>
      </c>
      <c r="F4126" t="str">
        <f t="shared" si="143"/>
        <v>47460000</v>
      </c>
      <c r="G4126" t="str">
        <f>"40112059"</f>
        <v>40112059</v>
      </c>
      <c r="H4126" t="s">
        <v>1270</v>
      </c>
      <c r="K4126" s="4">
        <v>330000</v>
      </c>
    </row>
    <row r="4127" spans="1:11" hidden="1" outlineLevel="2" x14ac:dyDescent="0.35">
      <c r="A4127" t="s">
        <v>11</v>
      </c>
      <c r="B4127" s="1">
        <v>45717</v>
      </c>
      <c r="C4127" t="str">
        <f>"258"</f>
        <v>258</v>
      </c>
      <c r="E4127" t="s">
        <v>1245</v>
      </c>
      <c r="F4127" t="str">
        <f t="shared" si="143"/>
        <v>47460000</v>
      </c>
      <c r="G4127" t="str">
        <f>"40110536"</f>
        <v>40110536</v>
      </c>
      <c r="H4127" t="s">
        <v>1278</v>
      </c>
      <c r="K4127" s="4">
        <v>1800000</v>
      </c>
    </row>
    <row r="4128" spans="1:11" hidden="1" outlineLevel="2" x14ac:dyDescent="0.35">
      <c r="A4128" t="s">
        <v>11</v>
      </c>
      <c r="B4128" s="1">
        <v>45718</v>
      </c>
      <c r="C4128" t="str">
        <f>"267"</f>
        <v>267</v>
      </c>
      <c r="E4128" t="s">
        <v>24</v>
      </c>
      <c r="F4128" t="str">
        <f t="shared" si="143"/>
        <v>47460000</v>
      </c>
      <c r="G4128" t="str">
        <f>"40111070"</f>
        <v>40111070</v>
      </c>
      <c r="H4128" t="s">
        <v>25</v>
      </c>
      <c r="K4128" s="4">
        <v>1461797</v>
      </c>
    </row>
    <row r="4129" spans="1:11" hidden="1" outlineLevel="2" x14ac:dyDescent="0.35">
      <c r="A4129" t="s">
        <v>11</v>
      </c>
      <c r="B4129" s="1">
        <v>45718</v>
      </c>
      <c r="C4129" t="str">
        <f>"268"</f>
        <v>268</v>
      </c>
      <c r="E4129" t="s">
        <v>1296</v>
      </c>
      <c r="F4129" t="str">
        <f t="shared" si="143"/>
        <v>47460000</v>
      </c>
      <c r="G4129" t="str">
        <f>"40112063"</f>
        <v>40112063</v>
      </c>
      <c r="H4129" t="s">
        <v>1297</v>
      </c>
      <c r="K4129" s="4">
        <v>2691550</v>
      </c>
    </row>
    <row r="4130" spans="1:11" hidden="1" outlineLevel="2" x14ac:dyDescent="0.35">
      <c r="A4130" t="s">
        <v>11</v>
      </c>
      <c r="B4130" s="1">
        <v>45731</v>
      </c>
      <c r="C4130" t="str">
        <f>"270"</f>
        <v>270</v>
      </c>
      <c r="E4130" t="s">
        <v>1301</v>
      </c>
      <c r="F4130" t="str">
        <f t="shared" si="143"/>
        <v>47460000</v>
      </c>
      <c r="G4130" t="str">
        <f t="shared" ref="G4130:G4139" si="144">"40112102"</f>
        <v>40112102</v>
      </c>
      <c r="H4130" t="s">
        <v>1302</v>
      </c>
      <c r="K4130" s="4">
        <v>1604817</v>
      </c>
    </row>
    <row r="4131" spans="1:11" hidden="1" outlineLevel="2" x14ac:dyDescent="0.35">
      <c r="A4131" t="s">
        <v>11</v>
      </c>
      <c r="B4131" s="1">
        <v>45731</v>
      </c>
      <c r="C4131" t="str">
        <f>"271"</f>
        <v>271</v>
      </c>
      <c r="E4131" t="s">
        <v>1303</v>
      </c>
      <c r="F4131" t="str">
        <f t="shared" si="143"/>
        <v>47460000</v>
      </c>
      <c r="G4131" t="str">
        <f t="shared" si="144"/>
        <v>40112102</v>
      </c>
      <c r="H4131" t="s">
        <v>1304</v>
      </c>
      <c r="K4131" s="4">
        <v>363469</v>
      </c>
    </row>
    <row r="4132" spans="1:11" hidden="1" outlineLevel="2" x14ac:dyDescent="0.35">
      <c r="A4132" t="s">
        <v>11</v>
      </c>
      <c r="B4132" s="1">
        <v>45731</v>
      </c>
      <c r="C4132" t="str">
        <f>"272"</f>
        <v>272</v>
      </c>
      <c r="E4132" t="s">
        <v>1305</v>
      </c>
      <c r="F4132" t="str">
        <f t="shared" si="143"/>
        <v>47460000</v>
      </c>
      <c r="G4132" t="str">
        <f t="shared" si="144"/>
        <v>40112102</v>
      </c>
      <c r="H4132" t="s">
        <v>1306</v>
      </c>
      <c r="K4132" s="4">
        <v>1066987</v>
      </c>
    </row>
    <row r="4133" spans="1:11" hidden="1" outlineLevel="2" x14ac:dyDescent="0.35">
      <c r="A4133" t="s">
        <v>11</v>
      </c>
      <c r="B4133" s="1">
        <v>45731</v>
      </c>
      <c r="C4133" t="str">
        <f>"273"</f>
        <v>273</v>
      </c>
      <c r="E4133" t="s">
        <v>1307</v>
      </c>
      <c r="F4133" t="str">
        <f t="shared" si="143"/>
        <v>47460000</v>
      </c>
      <c r="G4133" t="str">
        <f t="shared" si="144"/>
        <v>40112102</v>
      </c>
      <c r="H4133" t="s">
        <v>1308</v>
      </c>
      <c r="K4133" s="4">
        <v>288589</v>
      </c>
    </row>
    <row r="4134" spans="1:11" hidden="1" outlineLevel="2" x14ac:dyDescent="0.35">
      <c r="A4134" t="s">
        <v>11</v>
      </c>
      <c r="B4134" s="1">
        <v>45731</v>
      </c>
      <c r="C4134" t="str">
        <f>"274"</f>
        <v>274</v>
      </c>
      <c r="E4134" t="s">
        <v>1309</v>
      </c>
      <c r="F4134" t="str">
        <f t="shared" si="143"/>
        <v>47460000</v>
      </c>
      <c r="G4134" t="str">
        <f t="shared" si="144"/>
        <v>40112102</v>
      </c>
      <c r="H4134" t="s">
        <v>1310</v>
      </c>
      <c r="K4134" s="4">
        <v>288589</v>
      </c>
    </row>
    <row r="4135" spans="1:11" hidden="1" outlineLevel="2" x14ac:dyDescent="0.35">
      <c r="A4135" t="s">
        <v>11</v>
      </c>
      <c r="B4135" s="1">
        <v>45731</v>
      </c>
      <c r="C4135" t="str">
        <f>"275"</f>
        <v>275</v>
      </c>
      <c r="E4135" t="s">
        <v>1311</v>
      </c>
      <c r="F4135" t="str">
        <f t="shared" si="143"/>
        <v>47460000</v>
      </c>
      <c r="G4135" t="str">
        <f t="shared" si="144"/>
        <v>40112102</v>
      </c>
      <c r="H4135" t="s">
        <v>1312</v>
      </c>
      <c r="K4135" s="4">
        <v>288589</v>
      </c>
    </row>
    <row r="4136" spans="1:11" hidden="1" outlineLevel="2" x14ac:dyDescent="0.35">
      <c r="A4136" t="s">
        <v>11</v>
      </c>
      <c r="B4136" s="1">
        <v>45731</v>
      </c>
      <c r="C4136" t="str">
        <f>"276"</f>
        <v>276</v>
      </c>
      <c r="E4136" t="s">
        <v>1313</v>
      </c>
      <c r="F4136" t="str">
        <f t="shared" si="143"/>
        <v>47460000</v>
      </c>
      <c r="G4136" t="str">
        <f t="shared" si="144"/>
        <v>40112102</v>
      </c>
      <c r="H4136" t="s">
        <v>1314</v>
      </c>
      <c r="K4136" s="4">
        <v>154409</v>
      </c>
    </row>
    <row r="4137" spans="1:11" hidden="1" outlineLevel="2" x14ac:dyDescent="0.35">
      <c r="A4137" t="s">
        <v>11</v>
      </c>
      <c r="B4137" s="1">
        <v>45731</v>
      </c>
      <c r="C4137" t="str">
        <f>"277"</f>
        <v>277</v>
      </c>
      <c r="E4137" t="s">
        <v>1315</v>
      </c>
      <c r="F4137" t="str">
        <f t="shared" si="143"/>
        <v>47460000</v>
      </c>
      <c r="G4137" t="str">
        <f t="shared" si="144"/>
        <v>40112102</v>
      </c>
      <c r="H4137" t="s">
        <v>1316</v>
      </c>
      <c r="K4137" s="4">
        <v>154409</v>
      </c>
    </row>
    <row r="4138" spans="1:11" hidden="1" outlineLevel="2" x14ac:dyDescent="0.35">
      <c r="A4138" t="s">
        <v>11</v>
      </c>
      <c r="B4138" s="1">
        <v>45731</v>
      </c>
      <c r="C4138" t="str">
        <f>"278"</f>
        <v>278</v>
      </c>
      <c r="E4138" t="s">
        <v>1317</v>
      </c>
      <c r="F4138" t="str">
        <f t="shared" si="143"/>
        <v>47460000</v>
      </c>
      <c r="G4138" t="str">
        <f t="shared" si="144"/>
        <v>40112102</v>
      </c>
      <c r="H4138" t="s">
        <v>1318</v>
      </c>
      <c r="K4138" s="4">
        <v>154409</v>
      </c>
    </row>
    <row r="4139" spans="1:11" hidden="1" outlineLevel="2" x14ac:dyDescent="0.35">
      <c r="A4139" t="s">
        <v>11</v>
      </c>
      <c r="B4139" s="1">
        <v>45731</v>
      </c>
      <c r="C4139" t="str">
        <f>"279"</f>
        <v>279</v>
      </c>
      <c r="E4139" t="s">
        <v>1319</v>
      </c>
      <c r="F4139" t="str">
        <f t="shared" si="143"/>
        <v>47460000</v>
      </c>
      <c r="G4139" t="str">
        <f t="shared" si="144"/>
        <v>40112102</v>
      </c>
      <c r="H4139" t="s">
        <v>1320</v>
      </c>
      <c r="K4139" s="4">
        <v>362602</v>
      </c>
    </row>
    <row r="4140" spans="1:11" hidden="1" outlineLevel="2" x14ac:dyDescent="0.35">
      <c r="A4140" t="s">
        <v>11</v>
      </c>
      <c r="B4140" s="1">
        <v>45731</v>
      </c>
      <c r="C4140" t="str">
        <f>"280"</f>
        <v>280</v>
      </c>
      <c r="E4140" t="s">
        <v>1321</v>
      </c>
      <c r="F4140" t="str">
        <f t="shared" si="143"/>
        <v>47460000</v>
      </c>
      <c r="G4140" t="str">
        <f t="shared" ref="G4140:G4155" si="145">"40110220"</f>
        <v>40110220</v>
      </c>
      <c r="H4140" t="s">
        <v>1322</v>
      </c>
      <c r="K4140" s="4">
        <v>1239910</v>
      </c>
    </row>
    <row r="4141" spans="1:11" hidden="1" outlineLevel="2" x14ac:dyDescent="0.35">
      <c r="A4141" t="s">
        <v>11</v>
      </c>
      <c r="B4141" s="1">
        <v>45731</v>
      </c>
      <c r="C4141" t="str">
        <f>"281"</f>
        <v>281</v>
      </c>
      <c r="E4141" t="s">
        <v>1323</v>
      </c>
      <c r="F4141" t="str">
        <f t="shared" si="143"/>
        <v>47460000</v>
      </c>
      <c r="G4141" t="str">
        <f t="shared" si="145"/>
        <v>40110220</v>
      </c>
      <c r="H4141" t="s">
        <v>1324</v>
      </c>
      <c r="K4141" s="4">
        <v>916455</v>
      </c>
    </row>
    <row r="4142" spans="1:11" hidden="1" outlineLevel="2" x14ac:dyDescent="0.35">
      <c r="A4142" t="s">
        <v>11</v>
      </c>
      <c r="B4142" s="1">
        <v>45731</v>
      </c>
      <c r="C4142" t="str">
        <f>"282"</f>
        <v>282</v>
      </c>
      <c r="E4142" t="s">
        <v>1325</v>
      </c>
      <c r="F4142" t="str">
        <f t="shared" si="143"/>
        <v>47460000</v>
      </c>
      <c r="G4142" t="str">
        <f t="shared" si="145"/>
        <v>40110220</v>
      </c>
      <c r="H4142" t="s">
        <v>1326</v>
      </c>
      <c r="K4142" s="4">
        <v>970364</v>
      </c>
    </row>
    <row r="4143" spans="1:11" hidden="1" outlineLevel="2" x14ac:dyDescent="0.35">
      <c r="A4143" t="s">
        <v>11</v>
      </c>
      <c r="B4143" s="1">
        <v>45731</v>
      </c>
      <c r="C4143" t="str">
        <f>"283"</f>
        <v>283</v>
      </c>
      <c r="E4143" t="s">
        <v>1327</v>
      </c>
      <c r="F4143" t="str">
        <f t="shared" si="143"/>
        <v>47460000</v>
      </c>
      <c r="G4143" t="str">
        <f t="shared" si="145"/>
        <v>40110220</v>
      </c>
      <c r="H4143" t="s">
        <v>1328</v>
      </c>
      <c r="K4143" s="4">
        <v>2746670</v>
      </c>
    </row>
    <row r="4144" spans="1:11" hidden="1" outlineLevel="2" x14ac:dyDescent="0.35">
      <c r="A4144" t="s">
        <v>11</v>
      </c>
      <c r="B4144" s="1">
        <v>45731</v>
      </c>
      <c r="C4144" t="str">
        <f>"284"</f>
        <v>284</v>
      </c>
      <c r="E4144" t="s">
        <v>1329</v>
      </c>
      <c r="F4144" t="str">
        <f t="shared" si="143"/>
        <v>47460000</v>
      </c>
      <c r="G4144" t="str">
        <f t="shared" si="145"/>
        <v>40110220</v>
      </c>
      <c r="H4144" t="s">
        <v>1330</v>
      </c>
      <c r="K4144" s="4">
        <v>2071868</v>
      </c>
    </row>
    <row r="4145" spans="1:11" hidden="1" outlineLevel="2" x14ac:dyDescent="0.35">
      <c r="A4145" t="s">
        <v>11</v>
      </c>
      <c r="B4145" s="1">
        <v>45731</v>
      </c>
      <c r="C4145" t="str">
        <f>"285"</f>
        <v>285</v>
      </c>
      <c r="E4145" t="s">
        <v>1331</v>
      </c>
      <c r="F4145" t="str">
        <f t="shared" si="143"/>
        <v>47460000</v>
      </c>
      <c r="G4145" t="str">
        <f t="shared" si="145"/>
        <v>40110220</v>
      </c>
      <c r="H4145" t="s">
        <v>1332</v>
      </c>
      <c r="K4145" s="4">
        <v>4143735</v>
      </c>
    </row>
    <row r="4146" spans="1:11" hidden="1" outlineLevel="2" x14ac:dyDescent="0.35">
      <c r="A4146" t="s">
        <v>11</v>
      </c>
      <c r="B4146" s="1">
        <v>45731</v>
      </c>
      <c r="C4146" t="str">
        <f>"286"</f>
        <v>286</v>
      </c>
      <c r="E4146" t="s">
        <v>1333</v>
      </c>
      <c r="F4146" t="str">
        <f t="shared" si="143"/>
        <v>47460000</v>
      </c>
      <c r="G4146" t="str">
        <f t="shared" si="145"/>
        <v>40110220</v>
      </c>
      <c r="H4146" t="s">
        <v>1334</v>
      </c>
      <c r="K4146" s="4">
        <v>4143735</v>
      </c>
    </row>
    <row r="4147" spans="1:11" hidden="1" outlineLevel="2" x14ac:dyDescent="0.35">
      <c r="A4147" t="s">
        <v>11</v>
      </c>
      <c r="B4147" s="1">
        <v>45731</v>
      </c>
      <c r="C4147" t="str">
        <f>"287"</f>
        <v>287</v>
      </c>
      <c r="E4147" t="s">
        <v>1335</v>
      </c>
      <c r="F4147" t="str">
        <f t="shared" si="143"/>
        <v>47460000</v>
      </c>
      <c r="G4147" t="str">
        <f t="shared" si="145"/>
        <v>40110220</v>
      </c>
      <c r="H4147" t="s">
        <v>1336</v>
      </c>
      <c r="K4147" s="4">
        <v>2071868</v>
      </c>
    </row>
    <row r="4148" spans="1:11" hidden="1" outlineLevel="2" x14ac:dyDescent="0.35">
      <c r="A4148" t="s">
        <v>11</v>
      </c>
      <c r="B4148" s="1">
        <v>45731</v>
      </c>
      <c r="C4148" t="str">
        <f>"288"</f>
        <v>288</v>
      </c>
      <c r="E4148" t="s">
        <v>1337</v>
      </c>
      <c r="F4148" t="str">
        <f t="shared" si="143"/>
        <v>47460000</v>
      </c>
      <c r="G4148" t="str">
        <f t="shared" si="145"/>
        <v>40110220</v>
      </c>
      <c r="H4148" t="s">
        <v>1338</v>
      </c>
      <c r="K4148" s="4">
        <v>1272255</v>
      </c>
    </row>
    <row r="4149" spans="1:11" hidden="1" outlineLevel="2" x14ac:dyDescent="0.35">
      <c r="A4149" t="s">
        <v>11</v>
      </c>
      <c r="B4149" s="1">
        <v>45731</v>
      </c>
      <c r="C4149" t="str">
        <f>"289"</f>
        <v>289</v>
      </c>
      <c r="E4149" t="s">
        <v>1339</v>
      </c>
      <c r="F4149" t="str">
        <f t="shared" si="143"/>
        <v>47460000</v>
      </c>
      <c r="G4149" t="str">
        <f t="shared" si="145"/>
        <v>40110220</v>
      </c>
      <c r="H4149" t="s">
        <v>1340</v>
      </c>
      <c r="K4149" s="4">
        <v>741250</v>
      </c>
    </row>
    <row r="4150" spans="1:11" hidden="1" outlineLevel="2" x14ac:dyDescent="0.35">
      <c r="A4150" t="s">
        <v>11</v>
      </c>
      <c r="B4150" s="1">
        <v>45731</v>
      </c>
      <c r="C4150" t="str">
        <f>"290"</f>
        <v>290</v>
      </c>
      <c r="E4150" t="s">
        <v>1341</v>
      </c>
      <c r="F4150" t="str">
        <f t="shared" si="143"/>
        <v>47460000</v>
      </c>
      <c r="G4150" t="str">
        <f t="shared" si="145"/>
        <v>40110220</v>
      </c>
      <c r="H4150" t="s">
        <v>1342</v>
      </c>
      <c r="K4150" s="4">
        <v>633432</v>
      </c>
    </row>
    <row r="4151" spans="1:11" hidden="1" outlineLevel="2" x14ac:dyDescent="0.35">
      <c r="A4151" t="s">
        <v>11</v>
      </c>
      <c r="B4151" s="1">
        <v>45731</v>
      </c>
      <c r="C4151" t="str">
        <f>"291"</f>
        <v>291</v>
      </c>
      <c r="E4151" t="s">
        <v>1343</v>
      </c>
      <c r="F4151" t="str">
        <f t="shared" si="143"/>
        <v>47460000</v>
      </c>
      <c r="G4151" t="str">
        <f t="shared" si="145"/>
        <v>40110220</v>
      </c>
      <c r="H4151" t="s">
        <v>1344</v>
      </c>
      <c r="K4151" s="4">
        <v>606478</v>
      </c>
    </row>
    <row r="4152" spans="1:11" hidden="1" outlineLevel="2" x14ac:dyDescent="0.35">
      <c r="A4152" t="s">
        <v>11</v>
      </c>
      <c r="B4152" s="1">
        <v>45731</v>
      </c>
      <c r="C4152" t="str">
        <f>"292"</f>
        <v>292</v>
      </c>
      <c r="E4152" t="s">
        <v>1345</v>
      </c>
      <c r="F4152" t="str">
        <f t="shared" si="143"/>
        <v>47460000</v>
      </c>
      <c r="G4152" t="str">
        <f t="shared" si="145"/>
        <v>40110220</v>
      </c>
      <c r="H4152" t="s">
        <v>1346</v>
      </c>
      <c r="K4152" s="4">
        <v>1132091</v>
      </c>
    </row>
    <row r="4153" spans="1:11" hidden="1" outlineLevel="2" x14ac:dyDescent="0.35">
      <c r="A4153" t="s">
        <v>11</v>
      </c>
      <c r="B4153" s="1">
        <v>45731</v>
      </c>
      <c r="C4153" t="str">
        <f>"295"</f>
        <v>295</v>
      </c>
      <c r="E4153" t="s">
        <v>1347</v>
      </c>
      <c r="F4153" t="str">
        <f t="shared" si="143"/>
        <v>47460000</v>
      </c>
      <c r="G4153" t="str">
        <f t="shared" si="145"/>
        <v>40110220</v>
      </c>
      <c r="H4153" t="s">
        <v>1348</v>
      </c>
      <c r="K4153" s="4">
        <v>2946650</v>
      </c>
    </row>
    <row r="4154" spans="1:11" hidden="1" outlineLevel="2" x14ac:dyDescent="0.35">
      <c r="A4154" t="s">
        <v>11</v>
      </c>
      <c r="B4154" s="1">
        <v>45731</v>
      </c>
      <c r="C4154" t="str">
        <f>"296"</f>
        <v>296</v>
      </c>
      <c r="E4154" t="s">
        <v>1349</v>
      </c>
      <c r="F4154" t="str">
        <f t="shared" si="143"/>
        <v>47460000</v>
      </c>
      <c r="G4154" t="str">
        <f t="shared" si="145"/>
        <v>40110220</v>
      </c>
      <c r="H4154" t="s">
        <v>1350</v>
      </c>
      <c r="K4154" s="4">
        <v>2946650</v>
      </c>
    </row>
    <row r="4155" spans="1:11" hidden="1" outlineLevel="2" x14ac:dyDescent="0.35">
      <c r="A4155" t="s">
        <v>11</v>
      </c>
      <c r="B4155" s="1">
        <v>45731</v>
      </c>
      <c r="C4155" t="str">
        <f>"297"</f>
        <v>297</v>
      </c>
      <c r="E4155" t="s">
        <v>1351</v>
      </c>
      <c r="F4155" t="str">
        <f t="shared" si="143"/>
        <v>47460000</v>
      </c>
      <c r="G4155" t="str">
        <f t="shared" si="145"/>
        <v>40110220</v>
      </c>
      <c r="H4155" t="s">
        <v>1352</v>
      </c>
      <c r="K4155" s="4">
        <v>3928866</v>
      </c>
    </row>
    <row r="4156" spans="1:11" hidden="1" outlineLevel="2" x14ac:dyDescent="0.35">
      <c r="A4156" t="s">
        <v>11</v>
      </c>
      <c r="B4156" s="1">
        <v>45746</v>
      </c>
      <c r="C4156" t="str">
        <f>"293"</f>
        <v>293</v>
      </c>
      <c r="E4156" t="s">
        <v>1353</v>
      </c>
      <c r="F4156" t="str">
        <f t="shared" si="143"/>
        <v>47460000</v>
      </c>
      <c r="G4156" t="s">
        <v>1354</v>
      </c>
      <c r="H4156" t="s">
        <v>1355</v>
      </c>
      <c r="K4156" s="4">
        <v>3137491</v>
      </c>
    </row>
    <row r="4157" spans="1:11" hidden="1" outlineLevel="2" x14ac:dyDescent="0.35">
      <c r="A4157" t="s">
        <v>11</v>
      </c>
      <c r="B4157" s="1">
        <v>45746</v>
      </c>
      <c r="C4157" t="str">
        <f>"294"</f>
        <v>294</v>
      </c>
      <c r="E4157" t="s">
        <v>1356</v>
      </c>
      <c r="F4157" t="str">
        <f t="shared" ref="F4157:F4179" si="146">"47460000"</f>
        <v>47460000</v>
      </c>
      <c r="G4157" t="s">
        <v>1354</v>
      </c>
      <c r="H4157" t="s">
        <v>1357</v>
      </c>
      <c r="K4157" s="4">
        <v>844097</v>
      </c>
    </row>
    <row r="4158" spans="1:11" hidden="1" outlineLevel="2" x14ac:dyDescent="0.35">
      <c r="A4158" t="s">
        <v>26</v>
      </c>
      <c r="B4158" s="1">
        <v>45720</v>
      </c>
      <c r="C4158" t="str">
        <f>"16"</f>
        <v>16</v>
      </c>
      <c r="D4158" t="s">
        <v>1454</v>
      </c>
      <c r="E4158" t="s">
        <v>1455</v>
      </c>
      <c r="F4158" t="str">
        <f t="shared" si="146"/>
        <v>47460000</v>
      </c>
      <c r="G4158" t="s">
        <v>1216</v>
      </c>
      <c r="H4158" t="s">
        <v>1456</v>
      </c>
      <c r="J4158" s="4">
        <v>240000</v>
      </c>
    </row>
    <row r="4159" spans="1:11" hidden="1" outlineLevel="2" x14ac:dyDescent="0.35">
      <c r="A4159" t="s">
        <v>26</v>
      </c>
      <c r="B4159" s="1">
        <v>45720</v>
      </c>
      <c r="C4159" t="str">
        <f>"20"</f>
        <v>20</v>
      </c>
      <c r="D4159" t="s">
        <v>1464</v>
      </c>
      <c r="E4159" t="s">
        <v>1465</v>
      </c>
      <c r="F4159" t="str">
        <f t="shared" si="146"/>
        <v>47460000</v>
      </c>
      <c r="G4159" t="str">
        <f>"40110123"</f>
        <v>40110123</v>
      </c>
      <c r="H4159" t="s">
        <v>1466</v>
      </c>
      <c r="J4159" s="4">
        <v>90300</v>
      </c>
    </row>
    <row r="4160" spans="1:11" hidden="1" outlineLevel="2" x14ac:dyDescent="0.35">
      <c r="A4160" t="s">
        <v>26</v>
      </c>
      <c r="B4160" s="1">
        <v>45720</v>
      </c>
      <c r="C4160" t="str">
        <f>"22"</f>
        <v>22</v>
      </c>
      <c r="D4160" t="s">
        <v>1470</v>
      </c>
      <c r="E4160" t="str">
        <f>"2503013"</f>
        <v>2503013</v>
      </c>
      <c r="F4160" t="str">
        <f t="shared" si="146"/>
        <v>47460000</v>
      </c>
      <c r="G4160" t="str">
        <f>"40110123"</f>
        <v>40110123</v>
      </c>
      <c r="H4160" t="s">
        <v>1471</v>
      </c>
      <c r="J4160" s="4">
        <v>264084</v>
      </c>
    </row>
    <row r="4161" spans="1:10" hidden="1" outlineLevel="2" x14ac:dyDescent="0.35">
      <c r="A4161" t="s">
        <v>26</v>
      </c>
      <c r="B4161" s="1">
        <v>45720</v>
      </c>
      <c r="C4161" t="str">
        <f>"23"</f>
        <v>23</v>
      </c>
      <c r="D4161" t="s">
        <v>1472</v>
      </c>
      <c r="E4161" t="s">
        <v>1473</v>
      </c>
      <c r="F4161" t="str">
        <f t="shared" si="146"/>
        <v>47460000</v>
      </c>
      <c r="G4161" t="str">
        <f>"40110123"</f>
        <v>40110123</v>
      </c>
      <c r="H4161" t="s">
        <v>1474</v>
      </c>
      <c r="J4161" s="4">
        <v>390000</v>
      </c>
    </row>
    <row r="4162" spans="1:10" hidden="1" outlineLevel="2" x14ac:dyDescent="0.35">
      <c r="A4162" t="s">
        <v>26</v>
      </c>
      <c r="B4162" s="1">
        <v>45720</v>
      </c>
      <c r="C4162" t="str">
        <f>"24"</f>
        <v>24</v>
      </c>
      <c r="D4162" t="s">
        <v>1475</v>
      </c>
      <c r="E4162" t="s">
        <v>1476</v>
      </c>
      <c r="F4162" t="str">
        <f t="shared" si="146"/>
        <v>47460000</v>
      </c>
      <c r="G4162" t="str">
        <f>"40110123"</f>
        <v>40110123</v>
      </c>
      <c r="H4162" t="s">
        <v>1477</v>
      </c>
      <c r="J4162" s="4">
        <v>600000</v>
      </c>
    </row>
    <row r="4163" spans="1:10" hidden="1" outlineLevel="2" x14ac:dyDescent="0.35">
      <c r="A4163" t="s">
        <v>26</v>
      </c>
      <c r="B4163" s="1">
        <v>45720</v>
      </c>
      <c r="C4163" t="str">
        <f>"25"</f>
        <v>25</v>
      </c>
      <c r="D4163" t="s">
        <v>1478</v>
      </c>
      <c r="E4163" t="s">
        <v>1479</v>
      </c>
      <c r="F4163" t="str">
        <f t="shared" si="146"/>
        <v>47460000</v>
      </c>
      <c r="G4163" t="str">
        <f>"40110123"</f>
        <v>40110123</v>
      </c>
      <c r="H4163" t="s">
        <v>1480</v>
      </c>
      <c r="J4163" s="4">
        <v>600000</v>
      </c>
    </row>
    <row r="4164" spans="1:10" hidden="1" outlineLevel="2" x14ac:dyDescent="0.35">
      <c r="A4164" t="s">
        <v>26</v>
      </c>
      <c r="B4164" s="1">
        <v>45720</v>
      </c>
      <c r="C4164" t="str">
        <f>"68"</f>
        <v>68</v>
      </c>
      <c r="D4164" t="s">
        <v>1481</v>
      </c>
      <c r="E4164" t="str">
        <f>"0001677"</f>
        <v>0001677</v>
      </c>
      <c r="F4164" t="str">
        <f t="shared" si="146"/>
        <v>47460000</v>
      </c>
      <c r="G4164" t="str">
        <f>"40110340"</f>
        <v>40110340</v>
      </c>
      <c r="H4164" t="s">
        <v>1482</v>
      </c>
      <c r="J4164" s="4">
        <v>847458</v>
      </c>
    </row>
    <row r="4165" spans="1:10" hidden="1" outlineLevel="2" x14ac:dyDescent="0.35">
      <c r="A4165" t="s">
        <v>26</v>
      </c>
      <c r="B4165" s="1">
        <v>45726</v>
      </c>
      <c r="C4165" t="str">
        <f>"39"</f>
        <v>39</v>
      </c>
      <c r="D4165" t="s">
        <v>1538</v>
      </c>
      <c r="E4165" t="s">
        <v>1539</v>
      </c>
      <c r="F4165" t="str">
        <f t="shared" si="146"/>
        <v>47460000</v>
      </c>
      <c r="G4165" t="str">
        <f>"40110102"</f>
        <v>40110102</v>
      </c>
      <c r="H4165" t="s">
        <v>1540</v>
      </c>
      <c r="J4165" s="4">
        <v>38302</v>
      </c>
    </row>
    <row r="4166" spans="1:10" hidden="1" outlineLevel="2" x14ac:dyDescent="0.35">
      <c r="A4166" t="s">
        <v>26</v>
      </c>
      <c r="B4166" s="1">
        <v>45726</v>
      </c>
      <c r="C4166" t="str">
        <f>"40"</f>
        <v>40</v>
      </c>
      <c r="D4166" t="s">
        <v>1541</v>
      </c>
      <c r="E4166" t="s">
        <v>1542</v>
      </c>
      <c r="F4166" t="str">
        <f t="shared" si="146"/>
        <v>47460000</v>
      </c>
      <c r="G4166" t="str">
        <f>"40110102"</f>
        <v>40110102</v>
      </c>
      <c r="H4166" t="s">
        <v>1540</v>
      </c>
      <c r="J4166" s="4">
        <v>48519</v>
      </c>
    </row>
    <row r="4167" spans="1:10" hidden="1" outlineLevel="2" x14ac:dyDescent="0.35">
      <c r="A4167" t="s">
        <v>26</v>
      </c>
      <c r="B4167" s="1">
        <v>45726</v>
      </c>
      <c r="C4167" t="str">
        <f>"41"</f>
        <v>41</v>
      </c>
      <c r="D4167" t="s">
        <v>1543</v>
      </c>
      <c r="E4167" t="s">
        <v>1544</v>
      </c>
      <c r="F4167" t="str">
        <f t="shared" si="146"/>
        <v>47460000</v>
      </c>
      <c r="G4167" t="str">
        <f>"40110056"</f>
        <v>40110056</v>
      </c>
      <c r="H4167" t="s">
        <v>1545</v>
      </c>
      <c r="J4167" s="4">
        <v>1430000</v>
      </c>
    </row>
    <row r="4168" spans="1:10" hidden="1" outlineLevel="2" x14ac:dyDescent="0.35">
      <c r="A4168" t="s">
        <v>26</v>
      </c>
      <c r="B4168" s="1">
        <v>45726</v>
      </c>
      <c r="C4168" t="str">
        <f>"42"</f>
        <v>42</v>
      </c>
      <c r="D4168" t="s">
        <v>1546</v>
      </c>
      <c r="E4168" t="str">
        <f>"8890732032025"</f>
        <v>8890732032025</v>
      </c>
      <c r="F4168" t="str">
        <f t="shared" si="146"/>
        <v>47460000</v>
      </c>
      <c r="G4168" t="str">
        <f>"40110056"</f>
        <v>40110056</v>
      </c>
      <c r="H4168" t="s">
        <v>1547</v>
      </c>
      <c r="J4168" s="4">
        <v>300000</v>
      </c>
    </row>
    <row r="4169" spans="1:10" hidden="1" outlineLevel="2" x14ac:dyDescent="0.35">
      <c r="A4169" t="s">
        <v>26</v>
      </c>
      <c r="B4169" s="1">
        <v>45726</v>
      </c>
      <c r="C4169" t="str">
        <f>"43"</f>
        <v>43</v>
      </c>
      <c r="D4169" t="s">
        <v>1548</v>
      </c>
      <c r="E4169" t="str">
        <f>"8892042032025"</f>
        <v>8892042032025</v>
      </c>
      <c r="F4169" t="str">
        <f t="shared" si="146"/>
        <v>47460000</v>
      </c>
      <c r="G4169" t="str">
        <f>"40110056"</f>
        <v>40110056</v>
      </c>
      <c r="H4169" t="s">
        <v>1549</v>
      </c>
      <c r="J4169" s="4">
        <v>2200000</v>
      </c>
    </row>
    <row r="4170" spans="1:10" hidden="1" outlineLevel="2" x14ac:dyDescent="0.35">
      <c r="A4170" t="s">
        <v>26</v>
      </c>
      <c r="B4170" s="1">
        <v>45726</v>
      </c>
      <c r="C4170" t="str">
        <f>"45"</f>
        <v>45</v>
      </c>
      <c r="D4170" t="s">
        <v>1552</v>
      </c>
      <c r="E4170" t="str">
        <f>"8991930032025"</f>
        <v>8991930032025</v>
      </c>
      <c r="F4170" t="str">
        <f t="shared" si="146"/>
        <v>47460000</v>
      </c>
      <c r="G4170" t="str">
        <f>"40110056"</f>
        <v>40110056</v>
      </c>
      <c r="H4170" t="s">
        <v>1553</v>
      </c>
      <c r="J4170" s="4">
        <v>56333</v>
      </c>
    </row>
    <row r="4171" spans="1:10" hidden="1" outlineLevel="2" x14ac:dyDescent="0.35">
      <c r="A4171" t="s">
        <v>26</v>
      </c>
      <c r="B4171" s="1">
        <v>45726</v>
      </c>
      <c r="C4171" t="str">
        <f>"52"</f>
        <v>52</v>
      </c>
      <c r="D4171" t="s">
        <v>1556</v>
      </c>
      <c r="E4171" t="str">
        <f>"0001919"</f>
        <v>0001919</v>
      </c>
      <c r="F4171" t="str">
        <f t="shared" si="146"/>
        <v>47460000</v>
      </c>
      <c r="G4171" t="str">
        <f>"40110536"</f>
        <v>40110536</v>
      </c>
      <c r="H4171" t="s">
        <v>1557</v>
      </c>
      <c r="J4171" s="4">
        <v>1800000</v>
      </c>
    </row>
    <row r="4172" spans="1:10" hidden="1" outlineLevel="2" x14ac:dyDescent="0.35">
      <c r="A4172" t="s">
        <v>26</v>
      </c>
      <c r="B4172" s="1">
        <v>45726</v>
      </c>
      <c r="C4172" t="str">
        <f>"56"</f>
        <v>56</v>
      </c>
      <c r="D4172" t="s">
        <v>1564</v>
      </c>
      <c r="E4172" t="str">
        <f>"0001923"</f>
        <v>0001923</v>
      </c>
      <c r="F4172" t="str">
        <f t="shared" si="146"/>
        <v>47460000</v>
      </c>
      <c r="G4172" t="str">
        <f>"40110536"</f>
        <v>40110536</v>
      </c>
      <c r="H4172" t="s">
        <v>1565</v>
      </c>
      <c r="J4172" s="4">
        <v>1350000</v>
      </c>
    </row>
    <row r="4173" spans="1:10" hidden="1" outlineLevel="2" x14ac:dyDescent="0.35">
      <c r="A4173" t="s">
        <v>26</v>
      </c>
      <c r="B4173" s="1">
        <v>45728</v>
      </c>
      <c r="C4173" t="str">
        <f>"74"</f>
        <v>74</v>
      </c>
      <c r="D4173" t="s">
        <v>1613</v>
      </c>
      <c r="E4173" t="s">
        <v>1614</v>
      </c>
      <c r="F4173" t="str">
        <f t="shared" si="146"/>
        <v>47460000</v>
      </c>
      <c r="G4173" t="str">
        <f>"40110576"</f>
        <v>40110576</v>
      </c>
      <c r="H4173" t="s">
        <v>1615</v>
      </c>
      <c r="J4173" s="4">
        <v>600000</v>
      </c>
    </row>
    <row r="4174" spans="1:10" hidden="1" outlineLevel="2" x14ac:dyDescent="0.35">
      <c r="A4174" t="s">
        <v>26</v>
      </c>
      <c r="B4174" s="1">
        <v>45730</v>
      </c>
      <c r="C4174" t="str">
        <f>"79"</f>
        <v>79</v>
      </c>
      <c r="D4174" t="s">
        <v>1658</v>
      </c>
      <c r="E4174" t="str">
        <f>"21"</f>
        <v>21</v>
      </c>
      <c r="F4174" t="str">
        <f t="shared" si="146"/>
        <v>47460000</v>
      </c>
      <c r="G4174" t="str">
        <f>"40112087"</f>
        <v>40112087</v>
      </c>
      <c r="H4174" t="s">
        <v>1659</v>
      </c>
      <c r="J4174" s="4">
        <v>5400000</v>
      </c>
    </row>
    <row r="4175" spans="1:10" hidden="1" outlineLevel="2" x14ac:dyDescent="0.35">
      <c r="A4175" t="s">
        <v>26</v>
      </c>
      <c r="B4175" s="1">
        <v>45734</v>
      </c>
      <c r="C4175" t="str">
        <f>"83"</f>
        <v>83</v>
      </c>
      <c r="D4175" t="s">
        <v>1678</v>
      </c>
      <c r="E4175" t="str">
        <f>"001385"</f>
        <v>001385</v>
      </c>
      <c r="F4175" t="str">
        <f t="shared" si="146"/>
        <v>47460000</v>
      </c>
      <c r="G4175" t="str">
        <f>"40112103"</f>
        <v>40112103</v>
      </c>
      <c r="H4175" t="s">
        <v>1679</v>
      </c>
      <c r="J4175" s="4">
        <v>927000</v>
      </c>
    </row>
    <row r="4176" spans="1:10" hidden="1" outlineLevel="2" x14ac:dyDescent="0.35">
      <c r="A4176" t="s">
        <v>26</v>
      </c>
      <c r="B4176" s="1">
        <v>45734</v>
      </c>
      <c r="C4176" t="str">
        <f>"123"</f>
        <v>123</v>
      </c>
      <c r="D4176" t="s">
        <v>1680</v>
      </c>
      <c r="E4176" t="str">
        <f>"0953"</f>
        <v>0953</v>
      </c>
      <c r="F4176" t="str">
        <f t="shared" si="146"/>
        <v>47460000</v>
      </c>
      <c r="G4176" t="str">
        <f>"40112059"</f>
        <v>40112059</v>
      </c>
      <c r="H4176" t="s">
        <v>1681</v>
      </c>
      <c r="J4176" s="4">
        <v>330000</v>
      </c>
    </row>
    <row r="4177" spans="1:11" hidden="1" outlineLevel="2" x14ac:dyDescent="0.35">
      <c r="A4177" t="s">
        <v>26</v>
      </c>
      <c r="B4177" s="1">
        <v>45740</v>
      </c>
      <c r="C4177" t="str">
        <f>"130"</f>
        <v>130</v>
      </c>
      <c r="D4177" t="s">
        <v>1723</v>
      </c>
      <c r="E4177" t="str">
        <f>"001181"</f>
        <v>001181</v>
      </c>
      <c r="F4177" t="str">
        <f t="shared" si="146"/>
        <v>47460000</v>
      </c>
      <c r="G4177" t="str">
        <f>"40120662"</f>
        <v>40120662</v>
      </c>
      <c r="H4177" t="s">
        <v>1724</v>
      </c>
      <c r="J4177" s="4">
        <v>345000</v>
      </c>
    </row>
    <row r="4178" spans="1:11" hidden="1" outlineLevel="2" x14ac:dyDescent="0.35">
      <c r="A4178" t="s">
        <v>26</v>
      </c>
      <c r="B4178" s="1">
        <v>45740</v>
      </c>
      <c r="C4178" t="str">
        <f>"132"</f>
        <v>132</v>
      </c>
      <c r="D4178" t="s">
        <v>1727</v>
      </c>
      <c r="E4178" t="s">
        <v>1728</v>
      </c>
      <c r="F4178" t="str">
        <f t="shared" si="146"/>
        <v>47460000</v>
      </c>
      <c r="G4178" t="str">
        <f>"40112075"</f>
        <v>40112075</v>
      </c>
      <c r="H4178" t="s">
        <v>1729</v>
      </c>
      <c r="J4178" s="4">
        <v>6000000</v>
      </c>
    </row>
    <row r="4179" spans="1:11" hidden="1" outlineLevel="2" x14ac:dyDescent="0.35">
      <c r="A4179" t="s">
        <v>101</v>
      </c>
      <c r="B4179" s="1">
        <v>45717</v>
      </c>
      <c r="C4179" t="str">
        <f>"57"</f>
        <v>57</v>
      </c>
      <c r="F4179" t="str">
        <f t="shared" si="146"/>
        <v>47460000</v>
      </c>
      <c r="G4179" t="str">
        <f>"40112087"</f>
        <v>40112087</v>
      </c>
      <c r="H4179" t="s">
        <v>2751</v>
      </c>
      <c r="J4179" s="4">
        <v>5400000</v>
      </c>
    </row>
    <row r="4180" spans="1:11" outlineLevel="1" collapsed="1" x14ac:dyDescent="0.35">
      <c r="B4180" s="1"/>
      <c r="F4180" s="3" t="s">
        <v>6581</v>
      </c>
      <c r="J4180" s="4">
        <f>SUBTOTAL(9,J4093:J4179)</f>
        <v>29256996</v>
      </c>
      <c r="K4180" s="4">
        <f>SUBTOTAL(9,K4093:K4179)</f>
        <v>34541794</v>
      </c>
    </row>
    <row r="4181" spans="1:11" hidden="1" outlineLevel="2" x14ac:dyDescent="0.35">
      <c r="A4181" t="s">
        <v>26</v>
      </c>
      <c r="B4181" s="1">
        <v>45726</v>
      </c>
      <c r="C4181" t="str">
        <f>"44"</f>
        <v>44</v>
      </c>
      <c r="D4181" t="s">
        <v>1550</v>
      </c>
      <c r="E4181" t="str">
        <f>"8991929032025"</f>
        <v>8991929032025</v>
      </c>
      <c r="F4181" t="str">
        <f t="shared" ref="F4181:F4190" si="147">"47467000"</f>
        <v>47467000</v>
      </c>
      <c r="G4181" t="str">
        <f>"40110056"</f>
        <v>40110056</v>
      </c>
      <c r="H4181" t="s">
        <v>1551</v>
      </c>
      <c r="J4181" s="4">
        <v>423336</v>
      </c>
    </row>
    <row r="4182" spans="1:11" hidden="1" outlineLevel="2" x14ac:dyDescent="0.35">
      <c r="A4182" t="s">
        <v>26</v>
      </c>
      <c r="B4182" s="1">
        <v>45726</v>
      </c>
      <c r="C4182" t="str">
        <f>"46"</f>
        <v>46</v>
      </c>
      <c r="D4182" t="s">
        <v>1554</v>
      </c>
      <c r="E4182" t="str">
        <f>"8998068032025"</f>
        <v>8998068032025</v>
      </c>
      <c r="F4182" t="str">
        <f t="shared" si="147"/>
        <v>47467000</v>
      </c>
      <c r="G4182" t="str">
        <f>"40110056"</f>
        <v>40110056</v>
      </c>
      <c r="H4182" t="s">
        <v>1555</v>
      </c>
      <c r="J4182" s="4">
        <v>3523929</v>
      </c>
    </row>
    <row r="4183" spans="1:11" hidden="1" outlineLevel="2" x14ac:dyDescent="0.35">
      <c r="A4183" t="s">
        <v>26</v>
      </c>
      <c r="B4183" s="1">
        <v>45727</v>
      </c>
      <c r="C4183" t="str">
        <f>"67"</f>
        <v>67</v>
      </c>
      <c r="D4183" t="s">
        <v>1595</v>
      </c>
      <c r="E4183" t="s">
        <v>1596</v>
      </c>
      <c r="F4183" t="str">
        <f t="shared" si="147"/>
        <v>47467000</v>
      </c>
      <c r="G4183" t="str">
        <f>"40110143"</f>
        <v>40110143</v>
      </c>
      <c r="H4183" t="s">
        <v>1597</v>
      </c>
      <c r="J4183" s="4">
        <v>88681248</v>
      </c>
    </row>
    <row r="4184" spans="1:11" hidden="1" outlineLevel="2" x14ac:dyDescent="0.35">
      <c r="A4184" t="s">
        <v>101</v>
      </c>
      <c r="B4184" s="1">
        <v>45747</v>
      </c>
      <c r="C4184" t="str">
        <f>"16"</f>
        <v>16</v>
      </c>
      <c r="F4184" t="str">
        <f t="shared" si="147"/>
        <v>47467000</v>
      </c>
      <c r="G4184" t="str">
        <f>"40110056"</f>
        <v>40110056</v>
      </c>
      <c r="H4184" t="s">
        <v>2852</v>
      </c>
      <c r="K4184" s="4">
        <v>4706612</v>
      </c>
    </row>
    <row r="4185" spans="1:11" hidden="1" outlineLevel="2" x14ac:dyDescent="0.35">
      <c r="A4185" t="s">
        <v>101</v>
      </c>
      <c r="B4185" s="1">
        <v>45747</v>
      </c>
      <c r="C4185" t="str">
        <f t="shared" ref="C4185:C4190" si="148">"17"</f>
        <v>17</v>
      </c>
      <c r="F4185" t="str">
        <f t="shared" si="147"/>
        <v>47467000</v>
      </c>
      <c r="G4185" t="str">
        <f>"40110143"</f>
        <v>40110143</v>
      </c>
      <c r="H4185" t="s">
        <v>2858</v>
      </c>
      <c r="K4185" s="4">
        <v>24273900</v>
      </c>
    </row>
    <row r="4186" spans="1:11" hidden="1" outlineLevel="2" x14ac:dyDescent="0.35">
      <c r="A4186" t="s">
        <v>101</v>
      </c>
      <c r="B4186" s="1">
        <v>45747</v>
      </c>
      <c r="C4186" t="str">
        <f t="shared" si="148"/>
        <v>17</v>
      </c>
      <c r="F4186" t="str">
        <f t="shared" si="147"/>
        <v>47467000</v>
      </c>
      <c r="G4186" t="str">
        <f>"40110143"</f>
        <v>40110143</v>
      </c>
      <c r="H4186" t="s">
        <v>2859</v>
      </c>
      <c r="K4186" s="4">
        <v>26859259</v>
      </c>
    </row>
    <row r="4187" spans="1:11" hidden="1" outlineLevel="2" x14ac:dyDescent="0.35">
      <c r="A4187" t="s">
        <v>101</v>
      </c>
      <c r="B4187" s="1">
        <v>45747</v>
      </c>
      <c r="C4187" t="str">
        <f t="shared" si="148"/>
        <v>17</v>
      </c>
      <c r="F4187" t="str">
        <f t="shared" si="147"/>
        <v>47467000</v>
      </c>
      <c r="G4187" t="str">
        <f>"40110143"</f>
        <v>40110143</v>
      </c>
      <c r="H4187" t="s">
        <v>2860</v>
      </c>
      <c r="K4187" s="4">
        <v>18832236</v>
      </c>
    </row>
    <row r="4188" spans="1:11" hidden="1" outlineLevel="2" x14ac:dyDescent="0.35">
      <c r="A4188" t="s">
        <v>101</v>
      </c>
      <c r="B4188" s="1">
        <v>45747</v>
      </c>
      <c r="C4188" t="str">
        <f t="shared" si="148"/>
        <v>17</v>
      </c>
      <c r="F4188" t="str">
        <f t="shared" si="147"/>
        <v>47467000</v>
      </c>
      <c r="G4188" t="str">
        <f>"40110143"</f>
        <v>40110143</v>
      </c>
      <c r="H4188" t="s">
        <v>2861</v>
      </c>
      <c r="K4188" s="4">
        <v>7920760</v>
      </c>
    </row>
    <row r="4189" spans="1:11" hidden="1" outlineLevel="2" x14ac:dyDescent="0.35">
      <c r="A4189" t="s">
        <v>101</v>
      </c>
      <c r="B4189" s="1">
        <v>45747</v>
      </c>
      <c r="C4189" t="str">
        <f t="shared" si="148"/>
        <v>17</v>
      </c>
      <c r="F4189" t="str">
        <f t="shared" si="147"/>
        <v>47467000</v>
      </c>
      <c r="G4189" t="s">
        <v>2862</v>
      </c>
      <c r="H4189" t="s">
        <v>2863</v>
      </c>
      <c r="K4189" s="4">
        <v>36995561</v>
      </c>
    </row>
    <row r="4190" spans="1:11" hidden="1" outlineLevel="2" x14ac:dyDescent="0.35">
      <c r="A4190" t="s">
        <v>101</v>
      </c>
      <c r="B4190" s="1">
        <v>45747</v>
      </c>
      <c r="C4190" t="str">
        <f t="shared" si="148"/>
        <v>17</v>
      </c>
      <c r="F4190" t="str">
        <f t="shared" si="147"/>
        <v>47467000</v>
      </c>
      <c r="G4190" t="s">
        <v>2862</v>
      </c>
      <c r="H4190" t="s">
        <v>2855</v>
      </c>
      <c r="K4190" s="4">
        <v>3</v>
      </c>
    </row>
    <row r="4191" spans="1:11" outlineLevel="1" collapsed="1" x14ac:dyDescent="0.35">
      <c r="B4191" s="1"/>
      <c r="F4191" s="3" t="s">
        <v>6582</v>
      </c>
      <c r="J4191" s="4">
        <f>SUBTOTAL(9,J4181:J4190)</f>
        <v>92628513</v>
      </c>
      <c r="K4191" s="4">
        <f>SUBTOTAL(9,K4181:K4190)</f>
        <v>119588331</v>
      </c>
    </row>
    <row r="4192" spans="1:11" hidden="1" outlineLevel="2" x14ac:dyDescent="0.35">
      <c r="A4192" t="s">
        <v>11</v>
      </c>
      <c r="B4192" s="1">
        <v>45717</v>
      </c>
      <c r="C4192" t="str">
        <f>"210"</f>
        <v>210</v>
      </c>
      <c r="E4192" t="s">
        <v>1195</v>
      </c>
      <c r="F4192" t="str">
        <f t="shared" ref="F4192:F4223" si="149">"47600000"</f>
        <v>47600000</v>
      </c>
      <c r="H4192" t="s">
        <v>1196</v>
      </c>
      <c r="K4192" s="4">
        <v>1026000</v>
      </c>
    </row>
    <row r="4193" spans="1:11" hidden="1" outlineLevel="2" x14ac:dyDescent="0.35">
      <c r="A4193" t="s">
        <v>11</v>
      </c>
      <c r="B4193" s="1">
        <v>45717</v>
      </c>
      <c r="C4193" t="str">
        <f>"211"</f>
        <v>211</v>
      </c>
      <c r="E4193" t="s">
        <v>1197</v>
      </c>
      <c r="F4193" t="str">
        <f t="shared" si="149"/>
        <v>47600000</v>
      </c>
      <c r="H4193" t="s">
        <v>1198</v>
      </c>
      <c r="K4193" s="4">
        <v>52708</v>
      </c>
    </row>
    <row r="4194" spans="1:11" hidden="1" outlineLevel="2" x14ac:dyDescent="0.35">
      <c r="A4194" t="s">
        <v>11</v>
      </c>
      <c r="B4194" s="1">
        <v>45717</v>
      </c>
      <c r="C4194" t="str">
        <f>"212"</f>
        <v>212</v>
      </c>
      <c r="F4194" t="str">
        <f t="shared" si="149"/>
        <v>47600000</v>
      </c>
      <c r="H4194" t="s">
        <v>1199</v>
      </c>
      <c r="K4194" s="4">
        <v>130333</v>
      </c>
    </row>
    <row r="4195" spans="1:11" hidden="1" outlineLevel="2" x14ac:dyDescent="0.35">
      <c r="A4195" t="s">
        <v>11</v>
      </c>
      <c r="B4195" s="1">
        <v>45717</v>
      </c>
      <c r="C4195" t="str">
        <f>"214"</f>
        <v>214</v>
      </c>
      <c r="E4195" t="s">
        <v>1203</v>
      </c>
      <c r="F4195" t="str">
        <f t="shared" si="149"/>
        <v>47600000</v>
      </c>
      <c r="H4195" t="s">
        <v>1204</v>
      </c>
      <c r="K4195" s="4">
        <v>6000000</v>
      </c>
    </row>
    <row r="4196" spans="1:11" hidden="1" outlineLevel="2" x14ac:dyDescent="0.35">
      <c r="A4196" t="s">
        <v>11</v>
      </c>
      <c r="B4196" s="1">
        <v>45717</v>
      </c>
      <c r="C4196" t="str">
        <f>"222"</f>
        <v>222</v>
      </c>
      <c r="E4196" t="s">
        <v>1218</v>
      </c>
      <c r="F4196" t="str">
        <f t="shared" si="149"/>
        <v>47600000</v>
      </c>
      <c r="H4196" t="s">
        <v>1219</v>
      </c>
      <c r="K4196" s="4">
        <v>24650</v>
      </c>
    </row>
    <row r="4197" spans="1:11" hidden="1" outlineLevel="2" x14ac:dyDescent="0.35">
      <c r="A4197" t="s">
        <v>11</v>
      </c>
      <c r="B4197" s="1">
        <v>45717</v>
      </c>
      <c r="C4197" t="str">
        <f>"223"</f>
        <v>223</v>
      </c>
      <c r="E4197" t="s">
        <v>1218</v>
      </c>
      <c r="F4197" t="str">
        <f t="shared" si="149"/>
        <v>47600000</v>
      </c>
      <c r="H4197" t="s">
        <v>1220</v>
      </c>
      <c r="K4197" s="4">
        <v>176942</v>
      </c>
    </row>
    <row r="4198" spans="1:11" hidden="1" outlineLevel="2" x14ac:dyDescent="0.35">
      <c r="A4198" t="s">
        <v>11</v>
      </c>
      <c r="B4198" s="1">
        <v>45717</v>
      </c>
      <c r="C4198" t="str">
        <f>"224"</f>
        <v>224</v>
      </c>
      <c r="E4198" t="s">
        <v>1221</v>
      </c>
      <c r="F4198" t="str">
        <f t="shared" si="149"/>
        <v>47600000</v>
      </c>
      <c r="H4198" t="s">
        <v>1222</v>
      </c>
      <c r="K4198" s="4">
        <v>15589</v>
      </c>
    </row>
    <row r="4199" spans="1:11" hidden="1" outlineLevel="2" x14ac:dyDescent="0.35">
      <c r="A4199" t="s">
        <v>11</v>
      </c>
      <c r="B4199" s="1">
        <v>45717</v>
      </c>
      <c r="C4199" t="str">
        <f>"225"</f>
        <v>225</v>
      </c>
      <c r="F4199" t="str">
        <f t="shared" si="149"/>
        <v>47600000</v>
      </c>
      <c r="H4199" t="s">
        <v>1223</v>
      </c>
      <c r="K4199" s="4">
        <v>3413578</v>
      </c>
    </row>
    <row r="4200" spans="1:11" hidden="1" outlineLevel="2" x14ac:dyDescent="0.35">
      <c r="A4200" t="s">
        <v>11</v>
      </c>
      <c r="B4200" s="1">
        <v>45717</v>
      </c>
      <c r="C4200" t="str">
        <f>"227"</f>
        <v>227</v>
      </c>
      <c r="E4200" t="s">
        <v>1226</v>
      </c>
      <c r="F4200" t="str">
        <f t="shared" si="149"/>
        <v>47600000</v>
      </c>
      <c r="H4200" t="s">
        <v>1227</v>
      </c>
      <c r="K4200" s="4">
        <v>45000</v>
      </c>
    </row>
    <row r="4201" spans="1:11" hidden="1" outlineLevel="2" x14ac:dyDescent="0.35">
      <c r="A4201" t="s">
        <v>11</v>
      </c>
      <c r="B4201" s="1">
        <v>45717</v>
      </c>
      <c r="C4201" t="str">
        <f>"228"</f>
        <v>228</v>
      </c>
      <c r="F4201" t="str">
        <f t="shared" si="149"/>
        <v>47600000</v>
      </c>
      <c r="H4201" t="s">
        <v>1228</v>
      </c>
      <c r="K4201" s="4">
        <v>2058825</v>
      </c>
    </row>
    <row r="4202" spans="1:11" hidden="1" outlineLevel="2" x14ac:dyDescent="0.35">
      <c r="A4202" t="s">
        <v>11</v>
      </c>
      <c r="B4202" s="1">
        <v>45717</v>
      </c>
      <c r="C4202" t="str">
        <f>"231"</f>
        <v>231</v>
      </c>
      <c r="E4202" t="s">
        <v>1232</v>
      </c>
      <c r="F4202" t="str">
        <f t="shared" si="149"/>
        <v>47600000</v>
      </c>
      <c r="H4202" t="s">
        <v>1233</v>
      </c>
      <c r="K4202" s="4">
        <v>11078181</v>
      </c>
    </row>
    <row r="4203" spans="1:11" hidden="1" outlineLevel="2" x14ac:dyDescent="0.35">
      <c r="A4203" t="s">
        <v>11</v>
      </c>
      <c r="B4203" s="1">
        <v>45717</v>
      </c>
      <c r="C4203" t="str">
        <f>"232"</f>
        <v>232</v>
      </c>
      <c r="E4203" t="s">
        <v>1234</v>
      </c>
      <c r="F4203" t="str">
        <f t="shared" si="149"/>
        <v>47600000</v>
      </c>
      <c r="H4203" t="s">
        <v>1235</v>
      </c>
      <c r="K4203" s="4">
        <v>399458</v>
      </c>
    </row>
    <row r="4204" spans="1:11" hidden="1" outlineLevel="2" x14ac:dyDescent="0.35">
      <c r="A4204" t="s">
        <v>11</v>
      </c>
      <c r="B4204" s="1">
        <v>45717</v>
      </c>
      <c r="C4204" t="str">
        <f>"233"</f>
        <v>233</v>
      </c>
      <c r="F4204" t="str">
        <f t="shared" si="149"/>
        <v>47600000</v>
      </c>
      <c r="H4204" t="s">
        <v>1236</v>
      </c>
      <c r="K4204" s="4">
        <v>4188043</v>
      </c>
    </row>
    <row r="4205" spans="1:11" hidden="1" outlineLevel="2" x14ac:dyDescent="0.35">
      <c r="A4205" t="s">
        <v>11</v>
      </c>
      <c r="B4205" s="1">
        <v>45717</v>
      </c>
      <c r="C4205" t="str">
        <f>"248"</f>
        <v>248</v>
      </c>
      <c r="E4205" t="s">
        <v>1263</v>
      </c>
      <c r="F4205" t="str">
        <f t="shared" si="149"/>
        <v>47600000</v>
      </c>
      <c r="H4205" t="s">
        <v>1264</v>
      </c>
      <c r="K4205" s="4">
        <v>1032703</v>
      </c>
    </row>
    <row r="4206" spans="1:11" hidden="1" outlineLevel="2" x14ac:dyDescent="0.35">
      <c r="A4206" t="s">
        <v>11</v>
      </c>
      <c r="B4206" s="1">
        <v>45717</v>
      </c>
      <c r="C4206" t="str">
        <f>"250"</f>
        <v>250</v>
      </c>
      <c r="E4206" t="s">
        <v>1267</v>
      </c>
      <c r="F4206" t="str">
        <f t="shared" si="149"/>
        <v>47600000</v>
      </c>
      <c r="H4206" t="s">
        <v>1268</v>
      </c>
      <c r="K4206" s="4">
        <v>668083</v>
      </c>
    </row>
    <row r="4207" spans="1:11" hidden="1" outlineLevel="2" x14ac:dyDescent="0.35">
      <c r="A4207" t="s">
        <v>11</v>
      </c>
      <c r="B4207" s="1">
        <v>45717</v>
      </c>
      <c r="C4207" t="str">
        <f>"252"</f>
        <v>252</v>
      </c>
      <c r="F4207" t="str">
        <f t="shared" si="149"/>
        <v>47600000</v>
      </c>
      <c r="H4207" t="s">
        <v>1271</v>
      </c>
      <c r="K4207" s="4">
        <v>49091</v>
      </c>
    </row>
    <row r="4208" spans="1:11" hidden="1" outlineLevel="2" x14ac:dyDescent="0.35">
      <c r="A4208" t="s">
        <v>11</v>
      </c>
      <c r="B4208" s="1">
        <v>45717</v>
      </c>
      <c r="C4208" t="str">
        <f>"253"</f>
        <v>253</v>
      </c>
      <c r="F4208" t="str">
        <f t="shared" si="149"/>
        <v>47600000</v>
      </c>
      <c r="H4208" t="s">
        <v>1272</v>
      </c>
      <c r="K4208" s="4">
        <v>9263</v>
      </c>
    </row>
    <row r="4209" spans="1:11" hidden="1" outlineLevel="2" x14ac:dyDescent="0.35">
      <c r="A4209" t="s">
        <v>11</v>
      </c>
      <c r="B4209" s="1">
        <v>45717</v>
      </c>
      <c r="C4209" t="str">
        <f>"254"</f>
        <v>254</v>
      </c>
      <c r="F4209" t="str">
        <f t="shared" si="149"/>
        <v>47600000</v>
      </c>
      <c r="H4209" t="s">
        <v>1273</v>
      </c>
      <c r="K4209" s="4">
        <v>23375</v>
      </c>
    </row>
    <row r="4210" spans="1:11" hidden="1" outlineLevel="2" x14ac:dyDescent="0.35">
      <c r="A4210" t="s">
        <v>11</v>
      </c>
      <c r="B4210" s="1">
        <v>45717</v>
      </c>
      <c r="C4210" t="str">
        <f>"255"</f>
        <v>255</v>
      </c>
      <c r="E4210" t="s">
        <v>1274</v>
      </c>
      <c r="F4210" t="str">
        <f t="shared" si="149"/>
        <v>47600000</v>
      </c>
      <c r="H4210" t="s">
        <v>1275</v>
      </c>
      <c r="K4210" s="4">
        <v>3412000</v>
      </c>
    </row>
    <row r="4211" spans="1:11" hidden="1" outlineLevel="2" x14ac:dyDescent="0.35">
      <c r="A4211" t="s">
        <v>11</v>
      </c>
      <c r="B4211" s="1">
        <v>45717</v>
      </c>
      <c r="C4211" t="str">
        <f>"256"</f>
        <v>256</v>
      </c>
      <c r="F4211" t="str">
        <f t="shared" si="149"/>
        <v>47600000</v>
      </c>
      <c r="H4211" t="s">
        <v>1276</v>
      </c>
      <c r="K4211" s="4">
        <v>2821694</v>
      </c>
    </row>
    <row r="4212" spans="1:11" hidden="1" outlineLevel="2" x14ac:dyDescent="0.35">
      <c r="A4212" t="s">
        <v>11</v>
      </c>
      <c r="B4212" s="1">
        <v>45717</v>
      </c>
      <c r="C4212" t="str">
        <f>"257"</f>
        <v>257</v>
      </c>
      <c r="E4212" t="s">
        <v>1232</v>
      </c>
      <c r="F4212" t="str">
        <f t="shared" si="149"/>
        <v>47600000</v>
      </c>
      <c r="H4212" t="s">
        <v>1277</v>
      </c>
      <c r="K4212" s="4">
        <v>21891568</v>
      </c>
    </row>
    <row r="4213" spans="1:11" hidden="1" outlineLevel="2" x14ac:dyDescent="0.35">
      <c r="A4213" t="s">
        <v>11</v>
      </c>
      <c r="B4213" s="1">
        <v>45717</v>
      </c>
      <c r="C4213" t="str">
        <f>"259"</f>
        <v>259</v>
      </c>
      <c r="F4213" t="str">
        <f t="shared" si="149"/>
        <v>47600000</v>
      </c>
      <c r="H4213" t="s">
        <v>1279</v>
      </c>
      <c r="K4213" s="4">
        <v>2417280</v>
      </c>
    </row>
    <row r="4214" spans="1:11" hidden="1" outlineLevel="2" x14ac:dyDescent="0.35">
      <c r="A4214" t="s">
        <v>11</v>
      </c>
      <c r="B4214" s="1">
        <v>45717</v>
      </c>
      <c r="C4214" t="str">
        <f>"260"</f>
        <v>260</v>
      </c>
      <c r="E4214" t="s">
        <v>1280</v>
      </c>
      <c r="F4214" t="str">
        <f t="shared" si="149"/>
        <v>47600000</v>
      </c>
      <c r="H4214" t="s">
        <v>1281</v>
      </c>
      <c r="K4214" s="4">
        <v>521163</v>
      </c>
    </row>
    <row r="4215" spans="1:11" hidden="1" outlineLevel="2" x14ac:dyDescent="0.35">
      <c r="A4215" t="s">
        <v>11</v>
      </c>
      <c r="B4215" s="1">
        <v>45717</v>
      </c>
      <c r="C4215" t="str">
        <f>"261"</f>
        <v>261</v>
      </c>
      <c r="E4215" t="s">
        <v>1280</v>
      </c>
      <c r="F4215" t="str">
        <f t="shared" si="149"/>
        <v>47600000</v>
      </c>
      <c r="H4215" t="s">
        <v>1282</v>
      </c>
      <c r="K4215" s="4">
        <v>1100</v>
      </c>
    </row>
    <row r="4216" spans="1:11" hidden="1" outlineLevel="2" x14ac:dyDescent="0.35">
      <c r="A4216" t="s">
        <v>11</v>
      </c>
      <c r="B4216" s="1">
        <v>45717</v>
      </c>
      <c r="C4216" t="str">
        <f>"262"</f>
        <v>262</v>
      </c>
      <c r="E4216" t="s">
        <v>1283</v>
      </c>
      <c r="F4216" t="str">
        <f t="shared" si="149"/>
        <v>47600000</v>
      </c>
      <c r="H4216" t="s">
        <v>1284</v>
      </c>
      <c r="K4216" s="4">
        <v>11613443</v>
      </c>
    </row>
    <row r="4217" spans="1:11" hidden="1" outlineLevel="2" x14ac:dyDescent="0.35">
      <c r="A4217" t="s">
        <v>11</v>
      </c>
      <c r="B4217" s="1">
        <v>45717</v>
      </c>
      <c r="C4217" t="str">
        <f>"263"</f>
        <v>263</v>
      </c>
      <c r="F4217" t="str">
        <f t="shared" si="149"/>
        <v>47600000</v>
      </c>
      <c r="H4217" t="s">
        <v>1285</v>
      </c>
      <c r="K4217" s="4">
        <v>454546</v>
      </c>
    </row>
    <row r="4218" spans="1:11" hidden="1" outlineLevel="2" x14ac:dyDescent="0.35">
      <c r="A4218" t="s">
        <v>11</v>
      </c>
      <c r="B4218" s="1">
        <v>45717</v>
      </c>
      <c r="C4218" t="str">
        <f>"264"</f>
        <v>264</v>
      </c>
      <c r="E4218" t="s">
        <v>1286</v>
      </c>
      <c r="F4218" t="str">
        <f t="shared" si="149"/>
        <v>47600000</v>
      </c>
      <c r="H4218" t="s">
        <v>1287</v>
      </c>
      <c r="K4218" s="4">
        <v>1055000</v>
      </c>
    </row>
    <row r="4219" spans="1:11" hidden="1" outlineLevel="2" x14ac:dyDescent="0.35">
      <c r="A4219" t="s">
        <v>11</v>
      </c>
      <c r="B4219" s="1">
        <v>45717</v>
      </c>
      <c r="C4219" t="str">
        <f>"265"</f>
        <v>265</v>
      </c>
      <c r="E4219" t="s">
        <v>1280</v>
      </c>
      <c r="F4219" t="str">
        <f t="shared" si="149"/>
        <v>47600000</v>
      </c>
      <c r="H4219" t="s">
        <v>1288</v>
      </c>
      <c r="K4219" s="4">
        <v>483034</v>
      </c>
    </row>
    <row r="4220" spans="1:11" hidden="1" outlineLevel="2" x14ac:dyDescent="0.35">
      <c r="A4220" t="s">
        <v>11</v>
      </c>
      <c r="B4220" s="1">
        <v>45717</v>
      </c>
      <c r="C4220" t="str">
        <f>"266"</f>
        <v>266</v>
      </c>
      <c r="E4220" t="s">
        <v>1289</v>
      </c>
      <c r="F4220" t="str">
        <f t="shared" si="149"/>
        <v>47600000</v>
      </c>
      <c r="H4220" t="s">
        <v>1290</v>
      </c>
      <c r="K4220" s="4">
        <v>101118</v>
      </c>
    </row>
    <row r="4221" spans="1:11" hidden="1" outlineLevel="2" x14ac:dyDescent="0.35">
      <c r="A4221" t="s">
        <v>11</v>
      </c>
      <c r="B4221" s="1">
        <v>45717</v>
      </c>
      <c r="C4221" t="str">
        <f>"298"</f>
        <v>298</v>
      </c>
      <c r="F4221" t="str">
        <f t="shared" si="149"/>
        <v>47600000</v>
      </c>
      <c r="H4221" t="s">
        <v>1291</v>
      </c>
      <c r="J4221" s="4">
        <v>304719</v>
      </c>
    </row>
    <row r="4222" spans="1:11" hidden="1" outlineLevel="2" x14ac:dyDescent="0.35">
      <c r="A4222" t="s">
        <v>11</v>
      </c>
      <c r="B4222" s="1">
        <v>45717</v>
      </c>
      <c r="C4222" t="str">
        <f>"299"</f>
        <v>299</v>
      </c>
      <c r="F4222" t="str">
        <f t="shared" si="149"/>
        <v>47600000</v>
      </c>
      <c r="H4222" t="s">
        <v>1292</v>
      </c>
      <c r="J4222" s="4">
        <v>542066</v>
      </c>
    </row>
    <row r="4223" spans="1:11" hidden="1" outlineLevel="2" x14ac:dyDescent="0.35">
      <c r="A4223" t="s">
        <v>11</v>
      </c>
      <c r="B4223" s="1">
        <v>45717</v>
      </c>
      <c r="C4223" t="str">
        <f>"300"</f>
        <v>300</v>
      </c>
      <c r="F4223" t="str">
        <f t="shared" si="149"/>
        <v>47600000</v>
      </c>
      <c r="H4223" t="s">
        <v>1293</v>
      </c>
      <c r="J4223" s="4">
        <v>271147</v>
      </c>
    </row>
    <row r="4224" spans="1:11" hidden="1" outlineLevel="2" x14ac:dyDescent="0.35">
      <c r="A4224" t="s">
        <v>11</v>
      </c>
      <c r="B4224" s="1">
        <v>45717</v>
      </c>
      <c r="C4224" t="str">
        <f>"301"</f>
        <v>301</v>
      </c>
      <c r="F4224" t="str">
        <f t="shared" ref="F4224:F4242" si="150">"47600000"</f>
        <v>47600000</v>
      </c>
      <c r="H4224" t="s">
        <v>1294</v>
      </c>
      <c r="J4224" s="4">
        <v>259330</v>
      </c>
    </row>
    <row r="4225" spans="1:11" hidden="1" outlineLevel="2" x14ac:dyDescent="0.35">
      <c r="A4225" t="s">
        <v>11</v>
      </c>
      <c r="B4225" s="1">
        <v>45717</v>
      </c>
      <c r="C4225" t="str">
        <f>"302"</f>
        <v>302</v>
      </c>
      <c r="F4225" t="str">
        <f t="shared" si="150"/>
        <v>47600000</v>
      </c>
      <c r="H4225" t="s">
        <v>1295</v>
      </c>
      <c r="J4225" s="4">
        <v>132764</v>
      </c>
    </row>
    <row r="4226" spans="1:11" hidden="1" outlineLevel="2" x14ac:dyDescent="0.35">
      <c r="A4226" t="s">
        <v>26</v>
      </c>
      <c r="B4226" s="1">
        <v>45720</v>
      </c>
      <c r="C4226" t="str">
        <f>"96"</f>
        <v>96</v>
      </c>
      <c r="D4226" t="s">
        <v>1483</v>
      </c>
      <c r="E4226" t="s">
        <v>1484</v>
      </c>
      <c r="F4226" t="str">
        <f t="shared" si="150"/>
        <v>47600000</v>
      </c>
      <c r="H4226" t="s">
        <v>1485</v>
      </c>
      <c r="J4226" s="4">
        <v>10550000</v>
      </c>
    </row>
    <row r="4227" spans="1:11" hidden="1" outlineLevel="2" x14ac:dyDescent="0.35">
      <c r="A4227" t="s">
        <v>26</v>
      </c>
      <c r="B4227" s="1">
        <v>45728</v>
      </c>
      <c r="C4227" t="str">
        <f>"71"</f>
        <v>71</v>
      </c>
      <c r="D4227" t="s">
        <v>1608</v>
      </c>
      <c r="E4227" t="s">
        <v>1609</v>
      </c>
      <c r="F4227" t="str">
        <f t="shared" si="150"/>
        <v>47600000</v>
      </c>
      <c r="H4227" t="s">
        <v>1610</v>
      </c>
      <c r="J4227" s="4">
        <v>5211630</v>
      </c>
    </row>
    <row r="4228" spans="1:11" hidden="1" outlineLevel="2" x14ac:dyDescent="0.35">
      <c r="A4228" t="s">
        <v>26</v>
      </c>
      <c r="B4228" s="1">
        <v>45728</v>
      </c>
      <c r="C4228" t="str">
        <f>"72"</f>
        <v>72</v>
      </c>
      <c r="D4228" t="s">
        <v>1611</v>
      </c>
      <c r="E4228" t="s">
        <v>1612</v>
      </c>
      <c r="F4228" t="str">
        <f t="shared" si="150"/>
        <v>47600000</v>
      </c>
      <c r="H4228" t="s">
        <v>1610</v>
      </c>
      <c r="J4228" s="4">
        <v>11000</v>
      </c>
    </row>
    <row r="4229" spans="1:11" hidden="1" outlineLevel="2" x14ac:dyDescent="0.35">
      <c r="A4229" t="s">
        <v>26</v>
      </c>
      <c r="B4229" s="1">
        <v>45729</v>
      </c>
      <c r="C4229" t="str">
        <f>"73"</f>
        <v>73</v>
      </c>
      <c r="D4229" t="s">
        <v>1619</v>
      </c>
      <c r="E4229" t="s">
        <v>1620</v>
      </c>
      <c r="F4229" t="str">
        <f t="shared" si="150"/>
        <v>47600000</v>
      </c>
      <c r="H4229" t="s">
        <v>1621</v>
      </c>
      <c r="J4229" s="4">
        <v>116134430</v>
      </c>
    </row>
    <row r="4230" spans="1:11" hidden="1" outlineLevel="2" x14ac:dyDescent="0.35">
      <c r="A4230" t="s">
        <v>26</v>
      </c>
      <c r="B4230" s="1">
        <v>45729</v>
      </c>
      <c r="C4230" t="str">
        <f>"170"</f>
        <v>170</v>
      </c>
      <c r="D4230" t="s">
        <v>1628</v>
      </c>
      <c r="E4230" t="s">
        <v>1629</v>
      </c>
      <c r="F4230" t="str">
        <f t="shared" si="150"/>
        <v>47600000</v>
      </c>
      <c r="H4230" t="s">
        <v>1630</v>
      </c>
      <c r="J4230" s="4">
        <v>3047190</v>
      </c>
    </row>
    <row r="4231" spans="1:11" hidden="1" outlineLevel="2" x14ac:dyDescent="0.35">
      <c r="A4231" t="s">
        <v>26</v>
      </c>
      <c r="B4231" s="1">
        <v>45729</v>
      </c>
      <c r="C4231" t="str">
        <f>"172"</f>
        <v>172</v>
      </c>
      <c r="D4231" t="s">
        <v>1634</v>
      </c>
      <c r="E4231" t="s">
        <v>1635</v>
      </c>
      <c r="F4231" t="str">
        <f t="shared" si="150"/>
        <v>47600000</v>
      </c>
      <c r="H4231" t="s">
        <v>1636</v>
      </c>
      <c r="J4231" s="4">
        <v>5240660</v>
      </c>
    </row>
    <row r="4232" spans="1:11" hidden="1" outlineLevel="2" x14ac:dyDescent="0.35">
      <c r="A4232" t="s">
        <v>26</v>
      </c>
      <c r="B4232" s="1">
        <v>45729</v>
      </c>
      <c r="C4232" t="str">
        <f>"175"</f>
        <v>175</v>
      </c>
      <c r="D4232" t="s">
        <v>1643</v>
      </c>
      <c r="E4232" t="s">
        <v>1644</v>
      </c>
      <c r="F4232" t="str">
        <f t="shared" si="150"/>
        <v>47600000</v>
      </c>
      <c r="H4232" t="s">
        <v>1645</v>
      </c>
      <c r="J4232" s="4">
        <v>2711470</v>
      </c>
    </row>
    <row r="4233" spans="1:11" hidden="1" outlineLevel="2" x14ac:dyDescent="0.35">
      <c r="A4233" t="s">
        <v>26</v>
      </c>
      <c r="B4233" s="1">
        <v>45730</v>
      </c>
      <c r="C4233" t="str">
        <f>"178"</f>
        <v>178</v>
      </c>
      <c r="D4233" t="s">
        <v>1662</v>
      </c>
      <c r="E4233" t="s">
        <v>1663</v>
      </c>
      <c r="F4233" t="str">
        <f t="shared" si="150"/>
        <v>47600000</v>
      </c>
      <c r="H4233" t="s">
        <v>1664</v>
      </c>
      <c r="J4233" s="4">
        <v>2593300</v>
      </c>
    </row>
    <row r="4234" spans="1:11" hidden="1" outlineLevel="2" x14ac:dyDescent="0.35">
      <c r="A4234" t="s">
        <v>26</v>
      </c>
      <c r="B4234" s="1">
        <v>45735</v>
      </c>
      <c r="C4234" t="str">
        <f>"85"</f>
        <v>85</v>
      </c>
      <c r="D4234" t="s">
        <v>1685</v>
      </c>
      <c r="E4234" t="s">
        <v>1688</v>
      </c>
      <c r="F4234" t="str">
        <f t="shared" si="150"/>
        <v>47600000</v>
      </c>
      <c r="H4234" t="s">
        <v>1689</v>
      </c>
      <c r="J4234" s="4">
        <v>24172800</v>
      </c>
    </row>
    <row r="4235" spans="1:11" hidden="1" outlineLevel="2" x14ac:dyDescent="0.35">
      <c r="A4235" t="s">
        <v>26</v>
      </c>
      <c r="B4235" s="1">
        <v>45741</v>
      </c>
      <c r="C4235" t="str">
        <f>"179"</f>
        <v>179</v>
      </c>
      <c r="D4235" t="s">
        <v>1735</v>
      </c>
      <c r="E4235" t="s">
        <v>1736</v>
      </c>
      <c r="F4235" t="str">
        <f t="shared" si="150"/>
        <v>47600000</v>
      </c>
      <c r="H4235" t="s">
        <v>1737</v>
      </c>
      <c r="J4235" s="4">
        <v>1327640</v>
      </c>
    </row>
    <row r="4236" spans="1:11" hidden="1" outlineLevel="2" x14ac:dyDescent="0.35">
      <c r="A4236" t="s">
        <v>1986</v>
      </c>
      <c r="B4236" s="1">
        <v>45717</v>
      </c>
      <c r="C4236" t="str">
        <f>"51"</f>
        <v>51</v>
      </c>
      <c r="F4236" t="str">
        <f t="shared" si="150"/>
        <v>47600000</v>
      </c>
      <c r="H4236" t="s">
        <v>1987</v>
      </c>
      <c r="J4236" s="4">
        <v>-12449000</v>
      </c>
    </row>
    <row r="4237" spans="1:11" hidden="1" outlineLevel="2" x14ac:dyDescent="0.35">
      <c r="A4237" t="s">
        <v>1986</v>
      </c>
      <c r="B4237" s="1">
        <v>45729</v>
      </c>
      <c r="C4237" t="str">
        <f>"50"</f>
        <v>50</v>
      </c>
      <c r="F4237" t="str">
        <f t="shared" si="150"/>
        <v>47600000</v>
      </c>
      <c r="H4237" t="s">
        <v>1998</v>
      </c>
      <c r="J4237" s="4">
        <v>-12312000</v>
      </c>
    </row>
    <row r="4238" spans="1:11" hidden="1" outlineLevel="2" x14ac:dyDescent="0.35">
      <c r="A4238" t="s">
        <v>1986</v>
      </c>
      <c r="B4238" s="1">
        <v>45729</v>
      </c>
      <c r="C4238" t="str">
        <f>"57"</f>
        <v>57</v>
      </c>
      <c r="F4238" t="str">
        <f t="shared" si="150"/>
        <v>47600000</v>
      </c>
      <c r="H4238" t="s">
        <v>1999</v>
      </c>
      <c r="J4238" s="4">
        <v>12240000</v>
      </c>
    </row>
    <row r="4239" spans="1:11" hidden="1" outlineLevel="2" x14ac:dyDescent="0.35">
      <c r="A4239" t="s">
        <v>101</v>
      </c>
      <c r="B4239" s="1">
        <v>45717</v>
      </c>
      <c r="C4239" t="str">
        <f>"57"</f>
        <v>57</v>
      </c>
      <c r="F4239" t="str">
        <f t="shared" si="150"/>
        <v>47600000</v>
      </c>
      <c r="H4239" t="s">
        <v>2751</v>
      </c>
      <c r="K4239" s="4">
        <v>5400000</v>
      </c>
    </row>
    <row r="4240" spans="1:11" hidden="1" outlineLevel="2" x14ac:dyDescent="0.35">
      <c r="A4240" t="s">
        <v>101</v>
      </c>
      <c r="B4240" s="1">
        <v>45717</v>
      </c>
      <c r="C4240" t="str">
        <f>"64"</f>
        <v>64</v>
      </c>
      <c r="F4240" t="str">
        <f t="shared" si="150"/>
        <v>47600000</v>
      </c>
      <c r="H4240" t="s">
        <v>2752</v>
      </c>
      <c r="J4240" s="4">
        <v>24705900</v>
      </c>
    </row>
    <row r="4241" spans="1:11" hidden="1" outlineLevel="2" x14ac:dyDescent="0.35">
      <c r="A4241" t="s">
        <v>101</v>
      </c>
      <c r="B4241" s="1">
        <v>45747</v>
      </c>
      <c r="C4241" t="str">
        <f>"1"</f>
        <v>1</v>
      </c>
      <c r="F4241" t="str">
        <f t="shared" si="150"/>
        <v>47600000</v>
      </c>
      <c r="H4241" t="s">
        <v>2826</v>
      </c>
      <c r="K4241" s="4">
        <v>16671267</v>
      </c>
    </row>
    <row r="4242" spans="1:11" hidden="1" outlineLevel="2" x14ac:dyDescent="0.35">
      <c r="A4242" t="s">
        <v>101</v>
      </c>
      <c r="B4242" s="1">
        <v>45747</v>
      </c>
      <c r="C4242" t="str">
        <f>"19"</f>
        <v>19</v>
      </c>
      <c r="F4242" t="str">
        <f t="shared" si="150"/>
        <v>47600000</v>
      </c>
      <c r="H4242" t="s">
        <v>113</v>
      </c>
      <c r="K4242" s="4">
        <v>99736000</v>
      </c>
    </row>
    <row r="4243" spans="1:11" outlineLevel="1" collapsed="1" x14ac:dyDescent="0.35">
      <c r="B4243" s="1"/>
      <c r="F4243" s="3" t="s">
        <v>6583</v>
      </c>
      <c r="J4243" s="4">
        <f>SUBTOTAL(9,J4192:J4242)</f>
        <v>184695046</v>
      </c>
      <c r="K4243" s="4">
        <f>SUBTOTAL(9,K4192:K4242)</f>
        <v>196971035</v>
      </c>
    </row>
    <row r="4244" spans="1:11" hidden="1" outlineLevel="2" x14ac:dyDescent="0.35">
      <c r="A4244" t="s">
        <v>101</v>
      </c>
      <c r="B4244" s="1">
        <v>45740</v>
      </c>
      <c r="C4244" t="str">
        <f>"24"</f>
        <v>24</v>
      </c>
      <c r="F4244" t="str">
        <f>"49120000"</f>
        <v>49120000</v>
      </c>
      <c r="H4244" t="s">
        <v>2820</v>
      </c>
      <c r="K4244" s="4">
        <v>514844</v>
      </c>
    </row>
    <row r="4245" spans="1:11" hidden="1" outlineLevel="2" x14ac:dyDescent="0.35">
      <c r="A4245" t="s">
        <v>101</v>
      </c>
      <c r="B4245" s="1">
        <v>45747</v>
      </c>
      <c r="C4245" t="str">
        <f>"22"</f>
        <v>22</v>
      </c>
      <c r="F4245" t="str">
        <f>"49120000"</f>
        <v>49120000</v>
      </c>
      <c r="H4245" t="s">
        <v>2815</v>
      </c>
      <c r="J4245" s="4">
        <v>6046000</v>
      </c>
    </row>
    <row r="4246" spans="1:11" hidden="1" outlineLevel="2" x14ac:dyDescent="0.35">
      <c r="A4246" t="s">
        <v>101</v>
      </c>
      <c r="B4246" s="1">
        <v>45747</v>
      </c>
      <c r="C4246" t="str">
        <f>"25"</f>
        <v>25</v>
      </c>
      <c r="F4246" t="str">
        <f>"49120000"</f>
        <v>49120000</v>
      </c>
      <c r="H4246" t="s">
        <v>2867</v>
      </c>
      <c r="K4246" s="4">
        <v>5692000</v>
      </c>
    </row>
    <row r="4247" spans="1:11" outlineLevel="1" collapsed="1" x14ac:dyDescent="0.35">
      <c r="B4247" s="1"/>
      <c r="F4247" s="3" t="s">
        <v>6584</v>
      </c>
      <c r="J4247" s="4">
        <f>SUBTOTAL(9,J4244:J4246)</f>
        <v>6046000</v>
      </c>
      <c r="K4247" s="4">
        <f>SUBTOTAL(9,K4244:K4246)</f>
        <v>6206844</v>
      </c>
    </row>
    <row r="4248" spans="1:11" hidden="1" outlineLevel="2" x14ac:dyDescent="0.35">
      <c r="A4248" t="s">
        <v>1790</v>
      </c>
      <c r="B4248" s="1">
        <v>45722</v>
      </c>
      <c r="C4248" t="str">
        <f>"164"</f>
        <v>164</v>
      </c>
      <c r="F4248" t="str">
        <f t="shared" ref="F4248:F4253" si="151">"51400100"</f>
        <v>51400100</v>
      </c>
      <c r="H4248" t="s">
        <v>1799</v>
      </c>
      <c r="K4248" s="4">
        <v>3540000</v>
      </c>
    </row>
    <row r="4249" spans="1:11" hidden="1" outlineLevel="2" x14ac:dyDescent="0.35">
      <c r="A4249" t="s">
        <v>1790</v>
      </c>
      <c r="B4249" s="1">
        <v>45723</v>
      </c>
      <c r="C4249" t="str">
        <f>"168"</f>
        <v>168</v>
      </c>
      <c r="F4249" t="str">
        <f t="shared" si="151"/>
        <v>51400100</v>
      </c>
      <c r="H4249" t="s">
        <v>1801</v>
      </c>
      <c r="K4249" s="4">
        <v>2714000</v>
      </c>
    </row>
    <row r="4250" spans="1:11" hidden="1" outlineLevel="2" x14ac:dyDescent="0.35">
      <c r="A4250" t="s">
        <v>1790</v>
      </c>
      <c r="B4250" s="1">
        <v>45726</v>
      </c>
      <c r="C4250" t="str">
        <f>"165"</f>
        <v>165</v>
      </c>
      <c r="F4250" t="str">
        <f t="shared" si="151"/>
        <v>51400100</v>
      </c>
      <c r="H4250" t="s">
        <v>1805</v>
      </c>
      <c r="K4250" s="4">
        <v>25099780</v>
      </c>
    </row>
    <row r="4251" spans="1:11" hidden="1" outlineLevel="2" x14ac:dyDescent="0.35">
      <c r="A4251" t="s">
        <v>2656</v>
      </c>
      <c r="B4251" s="1">
        <v>45722</v>
      </c>
      <c r="C4251" t="str">
        <f>"40"</f>
        <v>40</v>
      </c>
      <c r="F4251" t="str">
        <f t="shared" si="151"/>
        <v>51400100</v>
      </c>
      <c r="H4251" t="s">
        <v>2661</v>
      </c>
      <c r="J4251" s="4">
        <v>25099780</v>
      </c>
    </row>
    <row r="4252" spans="1:11" hidden="1" outlineLevel="2" x14ac:dyDescent="0.35">
      <c r="A4252" t="s">
        <v>2656</v>
      </c>
      <c r="B4252" s="1">
        <v>45722</v>
      </c>
      <c r="C4252" t="str">
        <f>"41"</f>
        <v>41</v>
      </c>
      <c r="F4252" t="str">
        <f t="shared" si="151"/>
        <v>51400100</v>
      </c>
      <c r="H4252" t="s">
        <v>2662</v>
      </c>
      <c r="J4252" s="4">
        <v>2714000</v>
      </c>
    </row>
    <row r="4253" spans="1:11" hidden="1" outlineLevel="2" x14ac:dyDescent="0.35">
      <c r="A4253" t="s">
        <v>2656</v>
      </c>
      <c r="B4253" s="1">
        <v>45742</v>
      </c>
      <c r="C4253" t="str">
        <f>"50"</f>
        <v>50</v>
      </c>
      <c r="F4253" t="str">
        <f t="shared" si="151"/>
        <v>51400100</v>
      </c>
      <c r="H4253" t="s">
        <v>1799</v>
      </c>
      <c r="J4253" s="4">
        <v>3540000</v>
      </c>
    </row>
    <row r="4254" spans="1:11" outlineLevel="1" collapsed="1" x14ac:dyDescent="0.35">
      <c r="B4254" s="1"/>
      <c r="F4254" s="3" t="s">
        <v>6585</v>
      </c>
      <c r="J4254" s="4">
        <f>SUBTOTAL(9,J4248:J4253)</f>
        <v>31353780</v>
      </c>
      <c r="K4254" s="4">
        <f>SUBTOTAL(9,K4248:K4253)</f>
        <v>31353780</v>
      </c>
    </row>
    <row r="4255" spans="1:11" hidden="1" outlineLevel="2" x14ac:dyDescent="0.35">
      <c r="A4255" t="s">
        <v>1831</v>
      </c>
      <c r="B4255" s="1">
        <v>45730</v>
      </c>
      <c r="C4255" t="str">
        <f>"91"</f>
        <v>91</v>
      </c>
      <c r="F4255" t="str">
        <f>"51400400"</f>
        <v>51400400</v>
      </c>
      <c r="H4255" t="s">
        <v>1850</v>
      </c>
      <c r="K4255" s="4">
        <v>19866000</v>
      </c>
    </row>
    <row r="4256" spans="1:11" hidden="1" outlineLevel="2" x14ac:dyDescent="0.35">
      <c r="A4256" t="s">
        <v>2656</v>
      </c>
      <c r="B4256" s="1">
        <v>45734</v>
      </c>
      <c r="C4256" t="str">
        <f>"45"</f>
        <v>45</v>
      </c>
      <c r="F4256" t="str">
        <f>"51400400"</f>
        <v>51400400</v>
      </c>
      <c r="H4256" t="s">
        <v>2667</v>
      </c>
      <c r="J4256" s="4">
        <v>4303000</v>
      </c>
    </row>
    <row r="4257" spans="1:11" outlineLevel="1" collapsed="1" x14ac:dyDescent="0.35">
      <c r="B4257" s="1"/>
      <c r="F4257" s="3" t="s">
        <v>6586</v>
      </c>
      <c r="J4257" s="4">
        <f>SUBTOTAL(9,J4255:J4256)</f>
        <v>4303000</v>
      </c>
      <c r="K4257" s="4">
        <f>SUBTOTAL(9,K4255:K4256)</f>
        <v>19866000</v>
      </c>
    </row>
    <row r="4258" spans="1:11" hidden="1" outlineLevel="2" x14ac:dyDescent="0.35">
      <c r="A4258" t="s">
        <v>1873</v>
      </c>
      <c r="B4258" s="1">
        <v>45720</v>
      </c>
      <c r="C4258" t="str">
        <f>"57"</f>
        <v>57</v>
      </c>
      <c r="F4258" t="str">
        <f>"51400500"</f>
        <v>51400500</v>
      </c>
      <c r="H4258" t="s">
        <v>1883</v>
      </c>
      <c r="K4258" s="4">
        <v>76139890</v>
      </c>
    </row>
    <row r="4259" spans="1:11" hidden="1" outlineLevel="2" x14ac:dyDescent="0.35">
      <c r="A4259" t="s">
        <v>1873</v>
      </c>
      <c r="B4259" s="1">
        <v>45722</v>
      </c>
      <c r="C4259" t="str">
        <f>"58"</f>
        <v>58</v>
      </c>
      <c r="F4259" t="str">
        <f>"51400500"</f>
        <v>51400500</v>
      </c>
      <c r="H4259" t="s">
        <v>1885</v>
      </c>
      <c r="K4259" s="4">
        <v>18254416</v>
      </c>
    </row>
    <row r="4260" spans="1:11" hidden="1" outlineLevel="2" x14ac:dyDescent="0.35">
      <c r="A4260" t="s">
        <v>2656</v>
      </c>
      <c r="B4260" s="1">
        <v>45719</v>
      </c>
      <c r="C4260" t="str">
        <f>"37"</f>
        <v>37</v>
      </c>
      <c r="F4260" t="str">
        <f>"51400500"</f>
        <v>51400500</v>
      </c>
      <c r="H4260" t="s">
        <v>2657</v>
      </c>
      <c r="J4260" s="4">
        <v>18254416</v>
      </c>
    </row>
    <row r="4261" spans="1:11" hidden="1" outlineLevel="2" x14ac:dyDescent="0.35">
      <c r="A4261" t="s">
        <v>2656</v>
      </c>
      <c r="B4261" s="1">
        <v>45742</v>
      </c>
      <c r="C4261" t="str">
        <f>"48"</f>
        <v>48</v>
      </c>
      <c r="F4261" t="str">
        <f>"51400500"</f>
        <v>51400500</v>
      </c>
      <c r="H4261" t="s">
        <v>2670</v>
      </c>
      <c r="J4261" s="4">
        <v>1298000</v>
      </c>
    </row>
    <row r="4262" spans="1:11" hidden="1" outlineLevel="2" x14ac:dyDescent="0.35">
      <c r="A4262" t="s">
        <v>2656</v>
      </c>
      <c r="B4262" s="1">
        <v>45742</v>
      </c>
      <c r="C4262" t="str">
        <f>"49"</f>
        <v>49</v>
      </c>
      <c r="F4262" t="str">
        <f>"51400500"</f>
        <v>51400500</v>
      </c>
      <c r="H4262" t="s">
        <v>2671</v>
      </c>
      <c r="J4262" s="4">
        <v>5310000</v>
      </c>
    </row>
    <row r="4263" spans="1:11" outlineLevel="1" collapsed="1" x14ac:dyDescent="0.35">
      <c r="B4263" s="1"/>
      <c r="F4263" s="3" t="s">
        <v>6587</v>
      </c>
      <c r="J4263" s="4">
        <f>SUBTOTAL(9,J4258:J4262)</f>
        <v>24862416</v>
      </c>
      <c r="K4263" s="4">
        <f>SUBTOTAL(9,K4258:K4262)</f>
        <v>94394306</v>
      </c>
    </row>
    <row r="4264" spans="1:11" hidden="1" outlineLevel="2" x14ac:dyDescent="0.35">
      <c r="A4264" t="s">
        <v>1892</v>
      </c>
      <c r="B4264" s="1">
        <v>45720</v>
      </c>
      <c r="C4264" t="str">
        <f>"45"</f>
        <v>45</v>
      </c>
      <c r="F4264" t="str">
        <f t="shared" ref="F4264:F4275" si="152">"51400700"</f>
        <v>51400700</v>
      </c>
      <c r="H4264" t="s">
        <v>1895</v>
      </c>
      <c r="K4264" s="4">
        <v>22446000</v>
      </c>
    </row>
    <row r="4265" spans="1:11" hidden="1" outlineLevel="2" x14ac:dyDescent="0.35">
      <c r="A4265" t="s">
        <v>1892</v>
      </c>
      <c r="B4265" s="1">
        <v>45720</v>
      </c>
      <c r="C4265" t="str">
        <f>"46"</f>
        <v>46</v>
      </c>
      <c r="F4265" t="str">
        <f t="shared" si="152"/>
        <v>51400700</v>
      </c>
      <c r="H4265" t="s">
        <v>1896</v>
      </c>
      <c r="K4265" s="4">
        <v>40520124</v>
      </c>
    </row>
    <row r="4266" spans="1:11" hidden="1" outlineLevel="2" x14ac:dyDescent="0.35">
      <c r="A4266" t="s">
        <v>1892</v>
      </c>
      <c r="B4266" s="1">
        <v>45722</v>
      </c>
      <c r="C4266" t="str">
        <f>"71"</f>
        <v>71</v>
      </c>
      <c r="F4266" t="str">
        <f t="shared" si="152"/>
        <v>51400700</v>
      </c>
      <c r="H4266" t="s">
        <v>1899</v>
      </c>
      <c r="K4266" s="4">
        <v>-40520124</v>
      </c>
    </row>
    <row r="4267" spans="1:11" hidden="1" outlineLevel="2" x14ac:dyDescent="0.35">
      <c r="A4267" t="s">
        <v>1892</v>
      </c>
      <c r="B4267" s="1">
        <v>45733</v>
      </c>
      <c r="C4267" t="str">
        <f>"59"</f>
        <v>59</v>
      </c>
      <c r="F4267" t="str">
        <f t="shared" si="152"/>
        <v>51400700</v>
      </c>
      <c r="H4267" t="s">
        <v>1902</v>
      </c>
      <c r="K4267" s="4">
        <v>147500</v>
      </c>
    </row>
    <row r="4268" spans="1:11" hidden="1" outlineLevel="2" x14ac:dyDescent="0.35">
      <c r="A4268" t="s">
        <v>1892</v>
      </c>
      <c r="B4268" s="1">
        <v>45734</v>
      </c>
      <c r="C4268" t="str">
        <f>"63"</f>
        <v>63</v>
      </c>
      <c r="F4268" t="str">
        <f t="shared" si="152"/>
        <v>51400700</v>
      </c>
      <c r="H4268" t="s">
        <v>1904</v>
      </c>
      <c r="K4268" s="4">
        <v>3957000</v>
      </c>
    </row>
    <row r="4269" spans="1:11" hidden="1" outlineLevel="2" x14ac:dyDescent="0.35">
      <c r="A4269" t="s">
        <v>1892</v>
      </c>
      <c r="B4269" s="1">
        <v>45735</v>
      </c>
      <c r="C4269" t="str">
        <f>"64"</f>
        <v>64</v>
      </c>
      <c r="F4269" t="str">
        <f t="shared" si="152"/>
        <v>51400700</v>
      </c>
      <c r="H4269" t="s">
        <v>1905</v>
      </c>
      <c r="K4269" s="4">
        <v>12255556</v>
      </c>
    </row>
    <row r="4270" spans="1:11" hidden="1" outlineLevel="2" x14ac:dyDescent="0.35">
      <c r="A4270" t="s">
        <v>2656</v>
      </c>
      <c r="B4270" s="1">
        <v>45720</v>
      </c>
      <c r="C4270" t="str">
        <f>"38"</f>
        <v>38</v>
      </c>
      <c r="F4270" t="str">
        <f t="shared" si="152"/>
        <v>51400700</v>
      </c>
      <c r="H4270" t="s">
        <v>2659</v>
      </c>
      <c r="J4270" s="4">
        <v>40520124</v>
      </c>
    </row>
    <row r="4271" spans="1:11" hidden="1" outlineLevel="2" x14ac:dyDescent="0.35">
      <c r="A4271" t="s">
        <v>2656</v>
      </c>
      <c r="B4271" s="1">
        <v>45720</v>
      </c>
      <c r="C4271" t="str">
        <f>"39"</f>
        <v>39</v>
      </c>
      <c r="F4271" t="str">
        <f t="shared" si="152"/>
        <v>51400700</v>
      </c>
      <c r="H4271" t="s">
        <v>2660</v>
      </c>
      <c r="J4271" s="4">
        <v>22446000</v>
      </c>
    </row>
    <row r="4272" spans="1:11" hidden="1" outlineLevel="2" x14ac:dyDescent="0.35">
      <c r="A4272" t="s">
        <v>2656</v>
      </c>
      <c r="B4272" s="1">
        <v>45722</v>
      </c>
      <c r="C4272" t="str">
        <f>"55"</f>
        <v>55</v>
      </c>
      <c r="F4272" t="str">
        <f t="shared" si="152"/>
        <v>51400700</v>
      </c>
      <c r="H4272" t="s">
        <v>2663</v>
      </c>
      <c r="J4272" s="4">
        <v>-40520124</v>
      </c>
    </row>
    <row r="4273" spans="1:11" hidden="1" outlineLevel="2" x14ac:dyDescent="0.35">
      <c r="A4273" t="s">
        <v>2656</v>
      </c>
      <c r="B4273" s="1">
        <v>45729</v>
      </c>
      <c r="C4273" t="str">
        <f>"42"</f>
        <v>42</v>
      </c>
      <c r="F4273" t="str">
        <f t="shared" si="152"/>
        <v>51400700</v>
      </c>
      <c r="H4273" t="s">
        <v>2664</v>
      </c>
      <c r="J4273" s="4">
        <v>147500</v>
      </c>
    </row>
    <row r="4274" spans="1:11" hidden="1" outlineLevel="2" x14ac:dyDescent="0.35">
      <c r="A4274" t="s">
        <v>2656</v>
      </c>
      <c r="B4274" s="1">
        <v>45730</v>
      </c>
      <c r="C4274" t="str">
        <f>"43"</f>
        <v>43</v>
      </c>
      <c r="F4274" t="str">
        <f t="shared" si="152"/>
        <v>51400700</v>
      </c>
      <c r="H4274" t="s">
        <v>2665</v>
      </c>
      <c r="J4274" s="4">
        <v>3957000</v>
      </c>
    </row>
    <row r="4275" spans="1:11" hidden="1" outlineLevel="2" x14ac:dyDescent="0.35">
      <c r="A4275" t="s">
        <v>2656</v>
      </c>
      <c r="B4275" s="1">
        <v>45733</v>
      </c>
      <c r="C4275" t="str">
        <f>"44"</f>
        <v>44</v>
      </c>
      <c r="F4275" t="str">
        <f t="shared" si="152"/>
        <v>51400700</v>
      </c>
      <c r="H4275" t="s">
        <v>2666</v>
      </c>
      <c r="J4275" s="4">
        <v>12255556</v>
      </c>
    </row>
    <row r="4276" spans="1:11" outlineLevel="1" collapsed="1" x14ac:dyDescent="0.35">
      <c r="B4276" s="1"/>
      <c r="F4276" s="3" t="s">
        <v>6588</v>
      </c>
      <c r="J4276" s="4">
        <f>SUBTOTAL(9,J4264:J4275)</f>
        <v>38806056</v>
      </c>
      <c r="K4276" s="4">
        <f>SUBTOTAL(9,K4264:K4275)</f>
        <v>38806056</v>
      </c>
    </row>
    <row r="4277" spans="1:11" hidden="1" outlineLevel="2" x14ac:dyDescent="0.35">
      <c r="A4277" t="s">
        <v>1986</v>
      </c>
      <c r="B4277" s="1">
        <v>45719</v>
      </c>
      <c r="C4277" t="str">
        <f>"67"</f>
        <v>67</v>
      </c>
      <c r="F4277" t="str">
        <f>"51400900"</f>
        <v>51400900</v>
      </c>
      <c r="H4277" t="s">
        <v>1990</v>
      </c>
      <c r="K4277" s="4">
        <v>7653800</v>
      </c>
    </row>
    <row r="4278" spans="1:11" hidden="1" outlineLevel="2" x14ac:dyDescent="0.35">
      <c r="A4278" t="s">
        <v>1986</v>
      </c>
      <c r="B4278" s="1">
        <v>45740</v>
      </c>
      <c r="C4278" t="str">
        <f>"78"</f>
        <v>78</v>
      </c>
      <c r="F4278" t="str">
        <f>"51400900"</f>
        <v>51400900</v>
      </c>
      <c r="H4278" t="s">
        <v>2014</v>
      </c>
      <c r="K4278" s="4">
        <v>2242000</v>
      </c>
    </row>
    <row r="4279" spans="1:11" hidden="1" outlineLevel="2" x14ac:dyDescent="0.35">
      <c r="A4279" t="s">
        <v>1986</v>
      </c>
      <c r="B4279" s="1">
        <v>45740</v>
      </c>
      <c r="C4279" t="str">
        <f>"79"</f>
        <v>79</v>
      </c>
      <c r="F4279" t="str">
        <f>"51400900"</f>
        <v>51400900</v>
      </c>
      <c r="H4279" t="s">
        <v>2015</v>
      </c>
      <c r="K4279" s="4">
        <v>1180000</v>
      </c>
    </row>
    <row r="4280" spans="1:11" hidden="1" outlineLevel="2" x14ac:dyDescent="0.35">
      <c r="A4280" t="s">
        <v>2656</v>
      </c>
      <c r="B4280" s="1">
        <v>45735</v>
      </c>
      <c r="C4280" t="str">
        <f>"46"</f>
        <v>46</v>
      </c>
      <c r="F4280" t="str">
        <f>"51400900"</f>
        <v>51400900</v>
      </c>
      <c r="H4280" t="s">
        <v>2668</v>
      </c>
      <c r="J4280" s="4">
        <v>2242000</v>
      </c>
    </row>
    <row r="4281" spans="1:11" hidden="1" outlineLevel="2" x14ac:dyDescent="0.35">
      <c r="A4281" t="s">
        <v>2656</v>
      </c>
      <c r="B4281" s="1">
        <v>45735</v>
      </c>
      <c r="C4281" t="str">
        <f>"47"</f>
        <v>47</v>
      </c>
      <c r="F4281" t="str">
        <f>"51400900"</f>
        <v>51400900</v>
      </c>
      <c r="H4281" t="s">
        <v>2669</v>
      </c>
      <c r="J4281" s="4">
        <v>1180000</v>
      </c>
    </row>
    <row r="4282" spans="1:11" outlineLevel="1" collapsed="1" x14ac:dyDescent="0.35">
      <c r="B4282" s="1"/>
      <c r="F4282" s="3" t="s">
        <v>6589</v>
      </c>
      <c r="J4282" s="4">
        <f>SUBTOTAL(9,J4277:J4281)</f>
        <v>3422000</v>
      </c>
      <c r="K4282" s="4">
        <f>SUBTOTAL(9,K4277:K4281)</f>
        <v>11075800</v>
      </c>
    </row>
    <row r="4283" spans="1:11" hidden="1" outlineLevel="2" x14ac:dyDescent="0.35">
      <c r="A4283" t="s">
        <v>1790</v>
      </c>
      <c r="B4283" s="1">
        <v>45719</v>
      </c>
      <c r="C4283" t="str">
        <f>"153"</f>
        <v>153</v>
      </c>
      <c r="F4283" t="str">
        <f t="shared" ref="F4283:F4314" si="153">"52110100"</f>
        <v>52110100</v>
      </c>
      <c r="H4283" t="s">
        <v>1791</v>
      </c>
      <c r="K4283" s="4">
        <v>20481468</v>
      </c>
    </row>
    <row r="4284" spans="1:11" hidden="1" outlineLevel="2" x14ac:dyDescent="0.35">
      <c r="A4284" t="s">
        <v>1790</v>
      </c>
      <c r="B4284" s="1">
        <v>45720</v>
      </c>
      <c r="C4284" t="str">
        <f>"146"</f>
        <v>146</v>
      </c>
      <c r="F4284" t="str">
        <f t="shared" si="153"/>
        <v>52110100</v>
      </c>
      <c r="H4284" t="s">
        <v>1792</v>
      </c>
      <c r="K4284" s="4">
        <v>10620000</v>
      </c>
    </row>
    <row r="4285" spans="1:11" hidden="1" outlineLevel="2" x14ac:dyDescent="0.35">
      <c r="A4285" t="s">
        <v>1790</v>
      </c>
      <c r="B4285" s="1">
        <v>45720</v>
      </c>
      <c r="C4285" t="str">
        <f>"147"</f>
        <v>147</v>
      </c>
      <c r="F4285" t="str">
        <f t="shared" si="153"/>
        <v>52110100</v>
      </c>
      <c r="H4285" t="s">
        <v>1793</v>
      </c>
      <c r="K4285" s="4">
        <v>3009472</v>
      </c>
    </row>
    <row r="4286" spans="1:11" hidden="1" outlineLevel="2" x14ac:dyDescent="0.35">
      <c r="A4286" t="s">
        <v>1790</v>
      </c>
      <c r="B4286" s="1">
        <v>45720</v>
      </c>
      <c r="C4286" t="str">
        <f>"148"</f>
        <v>148</v>
      </c>
      <c r="F4286" t="str">
        <f t="shared" si="153"/>
        <v>52110100</v>
      </c>
      <c r="H4286" t="s">
        <v>1794</v>
      </c>
      <c r="K4286" s="4">
        <v>20101000</v>
      </c>
    </row>
    <row r="4287" spans="1:11" hidden="1" outlineLevel="2" x14ac:dyDescent="0.35">
      <c r="A4287" t="s">
        <v>1790</v>
      </c>
      <c r="B4287" s="1">
        <v>45720</v>
      </c>
      <c r="C4287" t="str">
        <f>"149"</f>
        <v>149</v>
      </c>
      <c r="F4287" t="str">
        <f t="shared" si="153"/>
        <v>52110100</v>
      </c>
      <c r="H4287" t="s">
        <v>1796</v>
      </c>
      <c r="K4287" s="4">
        <v>2700000</v>
      </c>
    </row>
    <row r="4288" spans="1:11" hidden="1" outlineLevel="2" x14ac:dyDescent="0.35">
      <c r="A4288" t="s">
        <v>1790</v>
      </c>
      <c r="B4288" s="1">
        <v>45720</v>
      </c>
      <c r="C4288" t="str">
        <f>"150"</f>
        <v>150</v>
      </c>
      <c r="F4288" t="str">
        <f t="shared" si="153"/>
        <v>52110100</v>
      </c>
      <c r="H4288" t="s">
        <v>1797</v>
      </c>
      <c r="K4288" s="4">
        <v>9800000</v>
      </c>
    </row>
    <row r="4289" spans="1:11" hidden="1" outlineLevel="2" x14ac:dyDescent="0.35">
      <c r="A4289" t="s">
        <v>1790</v>
      </c>
      <c r="B4289" s="1">
        <v>45720</v>
      </c>
      <c r="C4289" t="str">
        <f>"166"</f>
        <v>166</v>
      </c>
      <c r="F4289" t="str">
        <f t="shared" si="153"/>
        <v>52110100</v>
      </c>
      <c r="H4289" t="s">
        <v>58</v>
      </c>
      <c r="K4289" s="4">
        <v>275</v>
      </c>
    </row>
    <row r="4290" spans="1:11" hidden="1" outlineLevel="2" x14ac:dyDescent="0.35">
      <c r="A4290" t="s">
        <v>1790</v>
      </c>
      <c r="B4290" s="1">
        <v>45720</v>
      </c>
      <c r="C4290" t="str">
        <f>"177"</f>
        <v>177</v>
      </c>
      <c r="F4290" t="str">
        <f t="shared" si="153"/>
        <v>52110100</v>
      </c>
      <c r="H4290" t="s">
        <v>58</v>
      </c>
      <c r="K4290" s="4">
        <v>275</v>
      </c>
    </row>
    <row r="4291" spans="1:11" hidden="1" outlineLevel="2" x14ac:dyDescent="0.35">
      <c r="A4291" t="s">
        <v>1790</v>
      </c>
      <c r="B4291" s="1">
        <v>45720</v>
      </c>
      <c r="C4291" t="str">
        <f>"178"</f>
        <v>178</v>
      </c>
      <c r="F4291" t="str">
        <f t="shared" si="153"/>
        <v>52110100</v>
      </c>
      <c r="H4291" t="s">
        <v>58</v>
      </c>
      <c r="K4291" s="4">
        <v>275</v>
      </c>
    </row>
    <row r="4292" spans="1:11" hidden="1" outlineLevel="2" x14ac:dyDescent="0.35">
      <c r="A4292" t="s">
        <v>1790</v>
      </c>
      <c r="B4292" s="1">
        <v>45720</v>
      </c>
      <c r="C4292" t="str">
        <f>"179"</f>
        <v>179</v>
      </c>
      <c r="F4292" t="str">
        <f t="shared" si="153"/>
        <v>52110100</v>
      </c>
      <c r="H4292" t="s">
        <v>58</v>
      </c>
      <c r="K4292" s="4">
        <v>275</v>
      </c>
    </row>
    <row r="4293" spans="1:11" hidden="1" outlineLevel="2" x14ac:dyDescent="0.35">
      <c r="A4293" t="s">
        <v>1790</v>
      </c>
      <c r="B4293" s="1">
        <v>45720</v>
      </c>
      <c r="C4293" t="str">
        <f>"186"</f>
        <v>186</v>
      </c>
      <c r="F4293" t="str">
        <f t="shared" si="153"/>
        <v>52110100</v>
      </c>
      <c r="H4293" t="s">
        <v>58</v>
      </c>
      <c r="K4293" s="4">
        <v>275</v>
      </c>
    </row>
    <row r="4294" spans="1:11" hidden="1" outlineLevel="2" x14ac:dyDescent="0.35">
      <c r="A4294" t="s">
        <v>1790</v>
      </c>
      <c r="B4294" s="1">
        <v>45721</v>
      </c>
      <c r="C4294" t="str">
        <f>"154"</f>
        <v>154</v>
      </c>
      <c r="F4294" t="str">
        <f t="shared" si="153"/>
        <v>52110100</v>
      </c>
      <c r="H4294" t="s">
        <v>1798</v>
      </c>
      <c r="K4294" s="4">
        <v>25000000</v>
      </c>
    </row>
    <row r="4295" spans="1:11" hidden="1" outlineLevel="2" x14ac:dyDescent="0.35">
      <c r="A4295" t="s">
        <v>1790</v>
      </c>
      <c r="B4295" s="1">
        <v>45721</v>
      </c>
      <c r="C4295" t="str">
        <f>"180"</f>
        <v>180</v>
      </c>
      <c r="F4295" t="str">
        <f t="shared" si="153"/>
        <v>52110100</v>
      </c>
      <c r="H4295" t="s">
        <v>58</v>
      </c>
      <c r="K4295" s="4">
        <v>100</v>
      </c>
    </row>
    <row r="4296" spans="1:11" hidden="1" outlineLevel="2" x14ac:dyDescent="0.35">
      <c r="A4296" t="s">
        <v>1790</v>
      </c>
      <c r="B4296" s="1">
        <v>45721</v>
      </c>
      <c r="C4296" t="str">
        <f>"181"</f>
        <v>181</v>
      </c>
      <c r="F4296" t="str">
        <f t="shared" si="153"/>
        <v>52110100</v>
      </c>
      <c r="H4296" t="s">
        <v>58</v>
      </c>
      <c r="K4296" s="4">
        <v>2200</v>
      </c>
    </row>
    <row r="4297" spans="1:11" hidden="1" outlineLevel="2" x14ac:dyDescent="0.35">
      <c r="A4297" t="s">
        <v>1790</v>
      </c>
      <c r="B4297" s="1">
        <v>45722</v>
      </c>
      <c r="C4297" t="str">
        <f>"164"</f>
        <v>164</v>
      </c>
      <c r="F4297" t="str">
        <f t="shared" si="153"/>
        <v>52110100</v>
      </c>
      <c r="H4297" t="s">
        <v>1799</v>
      </c>
      <c r="J4297" s="4">
        <v>3540000</v>
      </c>
    </row>
    <row r="4298" spans="1:11" hidden="1" outlineLevel="2" x14ac:dyDescent="0.35">
      <c r="A4298" t="s">
        <v>1790</v>
      </c>
      <c r="B4298" s="1">
        <v>45722</v>
      </c>
      <c r="C4298" t="str">
        <f>"169"</f>
        <v>169</v>
      </c>
      <c r="F4298" t="str">
        <f t="shared" si="153"/>
        <v>52110100</v>
      </c>
      <c r="H4298" t="s">
        <v>58</v>
      </c>
      <c r="K4298" s="4">
        <v>4400</v>
      </c>
    </row>
    <row r="4299" spans="1:11" hidden="1" outlineLevel="2" x14ac:dyDescent="0.35">
      <c r="A4299" t="s">
        <v>1790</v>
      </c>
      <c r="B4299" s="1">
        <v>45722</v>
      </c>
      <c r="C4299" t="str">
        <f>"187"</f>
        <v>187</v>
      </c>
      <c r="F4299" t="str">
        <f t="shared" si="153"/>
        <v>52110100</v>
      </c>
      <c r="H4299" t="s">
        <v>58</v>
      </c>
      <c r="K4299" s="4">
        <v>275</v>
      </c>
    </row>
    <row r="4300" spans="1:11" hidden="1" outlineLevel="2" x14ac:dyDescent="0.35">
      <c r="A4300" t="s">
        <v>1790</v>
      </c>
      <c r="B4300" s="1">
        <v>45723</v>
      </c>
      <c r="C4300" t="str">
        <f>"156"</f>
        <v>156</v>
      </c>
      <c r="F4300" t="str">
        <f t="shared" si="153"/>
        <v>52110100</v>
      </c>
      <c r="H4300" t="s">
        <v>1800</v>
      </c>
      <c r="J4300" s="4">
        <v>36872640</v>
      </c>
    </row>
    <row r="4301" spans="1:11" hidden="1" outlineLevel="2" x14ac:dyDescent="0.35">
      <c r="A4301" t="s">
        <v>1790</v>
      </c>
      <c r="B4301" s="1">
        <v>45723</v>
      </c>
      <c r="C4301" t="str">
        <f>"168"</f>
        <v>168</v>
      </c>
      <c r="F4301" t="str">
        <f t="shared" si="153"/>
        <v>52110100</v>
      </c>
      <c r="H4301" t="s">
        <v>1801</v>
      </c>
      <c r="J4301" s="4">
        <v>2714000</v>
      </c>
    </row>
    <row r="4302" spans="1:11" hidden="1" outlineLevel="2" x14ac:dyDescent="0.35">
      <c r="A4302" t="s">
        <v>1790</v>
      </c>
      <c r="B4302" s="1">
        <v>45726</v>
      </c>
      <c r="C4302" t="str">
        <f>"151"</f>
        <v>151</v>
      </c>
      <c r="F4302" t="str">
        <f t="shared" si="153"/>
        <v>52110100</v>
      </c>
      <c r="H4302" t="s">
        <v>1802</v>
      </c>
      <c r="J4302" s="4">
        <v>1220304</v>
      </c>
    </row>
    <row r="4303" spans="1:11" hidden="1" outlineLevel="2" x14ac:dyDescent="0.35">
      <c r="A4303" t="s">
        <v>1790</v>
      </c>
      <c r="B4303" s="1">
        <v>45726</v>
      </c>
      <c r="C4303" t="str">
        <f>"157"</f>
        <v>157</v>
      </c>
      <c r="F4303" t="str">
        <f t="shared" si="153"/>
        <v>52110100</v>
      </c>
      <c r="H4303" t="s">
        <v>1804</v>
      </c>
      <c r="K4303" s="4">
        <v>36872640</v>
      </c>
    </row>
    <row r="4304" spans="1:11" hidden="1" outlineLevel="2" x14ac:dyDescent="0.35">
      <c r="A4304" t="s">
        <v>1790</v>
      </c>
      <c r="B4304" s="1">
        <v>45726</v>
      </c>
      <c r="C4304" t="str">
        <f>"165"</f>
        <v>165</v>
      </c>
      <c r="F4304" t="str">
        <f t="shared" si="153"/>
        <v>52110100</v>
      </c>
      <c r="H4304" t="s">
        <v>1805</v>
      </c>
      <c r="J4304" s="4">
        <v>25099780</v>
      </c>
    </row>
    <row r="4305" spans="1:11" hidden="1" outlineLevel="2" x14ac:dyDescent="0.35">
      <c r="A4305" t="s">
        <v>1790</v>
      </c>
      <c r="B4305" s="1">
        <v>45727</v>
      </c>
      <c r="C4305" t="str">
        <f>"152"</f>
        <v>152</v>
      </c>
      <c r="F4305" t="str">
        <f t="shared" si="153"/>
        <v>52110100</v>
      </c>
      <c r="H4305" t="s">
        <v>1806</v>
      </c>
      <c r="K4305" s="4">
        <v>14809140</v>
      </c>
    </row>
    <row r="4306" spans="1:11" hidden="1" outlineLevel="2" x14ac:dyDescent="0.35">
      <c r="A4306" t="s">
        <v>1790</v>
      </c>
      <c r="B4306" s="1">
        <v>45728</v>
      </c>
      <c r="C4306" t="str">
        <f>"167"</f>
        <v>167</v>
      </c>
      <c r="F4306" t="str">
        <f t="shared" si="153"/>
        <v>52110100</v>
      </c>
      <c r="H4306" t="s">
        <v>58</v>
      </c>
      <c r="K4306" s="4">
        <v>275</v>
      </c>
    </row>
    <row r="4307" spans="1:11" hidden="1" outlineLevel="2" x14ac:dyDescent="0.35">
      <c r="A4307" t="s">
        <v>1790</v>
      </c>
      <c r="B4307" s="1">
        <v>45729</v>
      </c>
      <c r="C4307" t="str">
        <f>"155"</f>
        <v>155</v>
      </c>
      <c r="F4307" t="str">
        <f t="shared" si="153"/>
        <v>52110100</v>
      </c>
      <c r="H4307" t="s">
        <v>1807</v>
      </c>
      <c r="K4307" s="4">
        <v>1000000</v>
      </c>
    </row>
    <row r="4308" spans="1:11" hidden="1" outlineLevel="2" x14ac:dyDescent="0.35">
      <c r="A4308" t="s">
        <v>1790</v>
      </c>
      <c r="B4308" s="1">
        <v>45730</v>
      </c>
      <c r="C4308" t="str">
        <f>"163"</f>
        <v>163</v>
      </c>
      <c r="F4308" t="str">
        <f t="shared" si="153"/>
        <v>52110100</v>
      </c>
      <c r="H4308" t="s">
        <v>1808</v>
      </c>
      <c r="J4308" s="4">
        <v>120458050</v>
      </c>
    </row>
    <row r="4309" spans="1:11" hidden="1" outlineLevel="2" x14ac:dyDescent="0.35">
      <c r="A4309" t="s">
        <v>1790</v>
      </c>
      <c r="B4309" s="1">
        <v>45731</v>
      </c>
      <c r="C4309" t="str">
        <f>"160"</f>
        <v>160</v>
      </c>
      <c r="F4309" t="str">
        <f t="shared" si="153"/>
        <v>52110100</v>
      </c>
      <c r="H4309" t="s">
        <v>1809</v>
      </c>
      <c r="K4309" s="4">
        <v>9615081</v>
      </c>
    </row>
    <row r="4310" spans="1:11" hidden="1" outlineLevel="2" x14ac:dyDescent="0.35">
      <c r="A4310" t="s">
        <v>1790</v>
      </c>
      <c r="B4310" s="1">
        <v>45731</v>
      </c>
      <c r="C4310" t="str">
        <f t="shared" ref="C4310:C4325" si="154">"203"</f>
        <v>203</v>
      </c>
      <c r="F4310" t="str">
        <f t="shared" si="153"/>
        <v>52110100</v>
      </c>
      <c r="H4310" t="s">
        <v>1810</v>
      </c>
      <c r="K4310" s="4">
        <v>378736</v>
      </c>
    </row>
    <row r="4311" spans="1:11" hidden="1" outlineLevel="2" x14ac:dyDescent="0.35">
      <c r="A4311" t="s">
        <v>1790</v>
      </c>
      <c r="B4311" s="1">
        <v>45731</v>
      </c>
      <c r="C4311" t="str">
        <f t="shared" si="154"/>
        <v>203</v>
      </c>
      <c r="F4311" t="str">
        <f t="shared" si="153"/>
        <v>52110100</v>
      </c>
      <c r="H4311" t="s">
        <v>1810</v>
      </c>
      <c r="K4311" s="4">
        <v>378736</v>
      </c>
    </row>
    <row r="4312" spans="1:11" hidden="1" outlineLevel="2" x14ac:dyDescent="0.35">
      <c r="A4312" t="s">
        <v>1790</v>
      </c>
      <c r="B4312" s="1">
        <v>45731</v>
      </c>
      <c r="C4312" t="str">
        <f t="shared" si="154"/>
        <v>203</v>
      </c>
      <c r="F4312" t="str">
        <f t="shared" si="153"/>
        <v>52110100</v>
      </c>
      <c r="H4312" t="s">
        <v>1810</v>
      </c>
      <c r="K4312" s="4">
        <v>378736</v>
      </c>
    </row>
    <row r="4313" spans="1:11" hidden="1" outlineLevel="2" x14ac:dyDescent="0.35">
      <c r="A4313" t="s">
        <v>1790</v>
      </c>
      <c r="B4313" s="1">
        <v>45731</v>
      </c>
      <c r="C4313" t="str">
        <f t="shared" si="154"/>
        <v>203</v>
      </c>
      <c r="F4313" t="str">
        <f t="shared" si="153"/>
        <v>52110100</v>
      </c>
      <c r="H4313" t="s">
        <v>1810</v>
      </c>
      <c r="K4313" s="4">
        <v>378736</v>
      </c>
    </row>
    <row r="4314" spans="1:11" hidden="1" outlineLevel="2" x14ac:dyDescent="0.35">
      <c r="A4314" t="s">
        <v>1790</v>
      </c>
      <c r="B4314" s="1">
        <v>45731</v>
      </c>
      <c r="C4314" t="str">
        <f t="shared" si="154"/>
        <v>203</v>
      </c>
      <c r="F4314" t="str">
        <f t="shared" si="153"/>
        <v>52110100</v>
      </c>
      <c r="H4314" t="s">
        <v>1810</v>
      </c>
      <c r="K4314" s="4">
        <v>378736</v>
      </c>
    </row>
    <row r="4315" spans="1:11" hidden="1" outlineLevel="2" x14ac:dyDescent="0.35">
      <c r="A4315" t="s">
        <v>1790</v>
      </c>
      <c r="B4315" s="1">
        <v>45731</v>
      </c>
      <c r="C4315" t="str">
        <f t="shared" si="154"/>
        <v>203</v>
      </c>
      <c r="F4315" t="str">
        <f t="shared" ref="F4315:F4346" si="155">"52110100"</f>
        <v>52110100</v>
      </c>
      <c r="H4315" t="s">
        <v>1811</v>
      </c>
      <c r="K4315" s="4">
        <v>340535</v>
      </c>
    </row>
    <row r="4316" spans="1:11" hidden="1" outlineLevel="2" x14ac:dyDescent="0.35">
      <c r="A4316" t="s">
        <v>1790</v>
      </c>
      <c r="B4316" s="1">
        <v>45731</v>
      </c>
      <c r="C4316" t="str">
        <f t="shared" si="154"/>
        <v>203</v>
      </c>
      <c r="F4316" t="str">
        <f t="shared" si="155"/>
        <v>52110100</v>
      </c>
      <c r="H4316" t="s">
        <v>1811</v>
      </c>
      <c r="K4316" s="4">
        <v>340535</v>
      </c>
    </row>
    <row r="4317" spans="1:11" hidden="1" outlineLevel="2" x14ac:dyDescent="0.35">
      <c r="A4317" t="s">
        <v>1790</v>
      </c>
      <c r="B4317" s="1">
        <v>45731</v>
      </c>
      <c r="C4317" t="str">
        <f t="shared" si="154"/>
        <v>203</v>
      </c>
      <c r="F4317" t="str">
        <f t="shared" si="155"/>
        <v>52110100</v>
      </c>
      <c r="H4317" t="s">
        <v>1811</v>
      </c>
      <c r="K4317" s="4">
        <v>340535</v>
      </c>
    </row>
    <row r="4318" spans="1:11" hidden="1" outlineLevel="2" x14ac:dyDescent="0.35">
      <c r="A4318" t="s">
        <v>1790</v>
      </c>
      <c r="B4318" s="1">
        <v>45731</v>
      </c>
      <c r="C4318" t="str">
        <f t="shared" si="154"/>
        <v>203</v>
      </c>
      <c r="F4318" t="str">
        <f t="shared" si="155"/>
        <v>52110100</v>
      </c>
      <c r="H4318" t="s">
        <v>1812</v>
      </c>
      <c r="K4318" s="4">
        <v>419681</v>
      </c>
    </row>
    <row r="4319" spans="1:11" hidden="1" outlineLevel="2" x14ac:dyDescent="0.35">
      <c r="A4319" t="s">
        <v>1790</v>
      </c>
      <c r="B4319" s="1">
        <v>45731</v>
      </c>
      <c r="C4319" t="str">
        <f t="shared" si="154"/>
        <v>203</v>
      </c>
      <c r="F4319" t="str">
        <f t="shared" si="155"/>
        <v>52110100</v>
      </c>
      <c r="H4319" t="s">
        <v>1812</v>
      </c>
      <c r="K4319" s="4">
        <v>419681</v>
      </c>
    </row>
    <row r="4320" spans="1:11" hidden="1" outlineLevel="2" x14ac:dyDescent="0.35">
      <c r="A4320" t="s">
        <v>1790</v>
      </c>
      <c r="B4320" s="1">
        <v>45731</v>
      </c>
      <c r="C4320" t="str">
        <f t="shared" si="154"/>
        <v>203</v>
      </c>
      <c r="F4320" t="str">
        <f t="shared" si="155"/>
        <v>52110100</v>
      </c>
      <c r="H4320" t="s">
        <v>1812</v>
      </c>
      <c r="K4320" s="4">
        <v>419681</v>
      </c>
    </row>
    <row r="4321" spans="1:11" hidden="1" outlineLevel="2" x14ac:dyDescent="0.35">
      <c r="A4321" t="s">
        <v>1790</v>
      </c>
      <c r="B4321" s="1">
        <v>45731</v>
      </c>
      <c r="C4321" t="str">
        <f t="shared" si="154"/>
        <v>203</v>
      </c>
      <c r="F4321" t="str">
        <f t="shared" si="155"/>
        <v>52110100</v>
      </c>
      <c r="H4321" t="s">
        <v>1813</v>
      </c>
      <c r="K4321" s="4">
        <v>182203</v>
      </c>
    </row>
    <row r="4322" spans="1:11" hidden="1" outlineLevel="2" x14ac:dyDescent="0.35">
      <c r="A4322" t="s">
        <v>1790</v>
      </c>
      <c r="B4322" s="1">
        <v>45731</v>
      </c>
      <c r="C4322" t="str">
        <f t="shared" si="154"/>
        <v>203</v>
      </c>
      <c r="F4322" t="str">
        <f t="shared" si="155"/>
        <v>52110100</v>
      </c>
      <c r="H4322" t="s">
        <v>1813</v>
      </c>
      <c r="K4322" s="4">
        <v>182203</v>
      </c>
    </row>
    <row r="4323" spans="1:11" hidden="1" outlineLevel="2" x14ac:dyDescent="0.35">
      <c r="A4323" t="s">
        <v>1790</v>
      </c>
      <c r="B4323" s="1">
        <v>45731</v>
      </c>
      <c r="C4323" t="str">
        <f t="shared" si="154"/>
        <v>203</v>
      </c>
      <c r="F4323" t="str">
        <f t="shared" si="155"/>
        <v>52110100</v>
      </c>
      <c r="H4323" t="s">
        <v>1813</v>
      </c>
      <c r="K4323" s="4">
        <v>182203</v>
      </c>
    </row>
    <row r="4324" spans="1:11" hidden="1" outlineLevel="2" x14ac:dyDescent="0.35">
      <c r="A4324" t="s">
        <v>1790</v>
      </c>
      <c r="B4324" s="1">
        <v>45731</v>
      </c>
      <c r="C4324" t="str">
        <f t="shared" si="154"/>
        <v>203</v>
      </c>
      <c r="F4324" t="str">
        <f t="shared" si="155"/>
        <v>52110100</v>
      </c>
      <c r="H4324" t="s">
        <v>1814</v>
      </c>
      <c r="K4324" s="4">
        <v>427869</v>
      </c>
    </row>
    <row r="4325" spans="1:11" hidden="1" outlineLevel="2" x14ac:dyDescent="0.35">
      <c r="A4325" t="s">
        <v>1790</v>
      </c>
      <c r="B4325" s="1">
        <v>45731</v>
      </c>
      <c r="C4325" t="str">
        <f t="shared" si="154"/>
        <v>203</v>
      </c>
      <c r="F4325" t="str">
        <f t="shared" si="155"/>
        <v>52110100</v>
      </c>
      <c r="H4325" t="s">
        <v>1815</v>
      </c>
      <c r="K4325" s="4">
        <v>428893</v>
      </c>
    </row>
    <row r="4326" spans="1:11" hidden="1" outlineLevel="2" x14ac:dyDescent="0.35">
      <c r="A4326" t="s">
        <v>1790</v>
      </c>
      <c r="B4326" s="1">
        <v>45733</v>
      </c>
      <c r="C4326" t="str">
        <f>"158"</f>
        <v>158</v>
      </c>
      <c r="F4326" t="str">
        <f t="shared" si="155"/>
        <v>52110100</v>
      </c>
      <c r="H4326" t="s">
        <v>1816</v>
      </c>
      <c r="K4326" s="4">
        <v>147673846</v>
      </c>
    </row>
    <row r="4327" spans="1:11" hidden="1" outlineLevel="2" x14ac:dyDescent="0.35">
      <c r="A4327" t="s">
        <v>1790</v>
      </c>
      <c r="B4327" s="1">
        <v>45733</v>
      </c>
      <c r="C4327" t="str">
        <f>"159"</f>
        <v>159</v>
      </c>
      <c r="F4327" t="str">
        <f t="shared" si="155"/>
        <v>52110100</v>
      </c>
      <c r="H4327" t="s">
        <v>1808</v>
      </c>
      <c r="J4327" s="4">
        <v>15707360</v>
      </c>
    </row>
    <row r="4328" spans="1:11" hidden="1" outlineLevel="2" x14ac:dyDescent="0.35">
      <c r="A4328" t="s">
        <v>1790</v>
      </c>
      <c r="B4328" s="1">
        <v>45733</v>
      </c>
      <c r="C4328" t="str">
        <f>"161"</f>
        <v>161</v>
      </c>
      <c r="F4328" t="str">
        <f t="shared" si="155"/>
        <v>52110100</v>
      </c>
      <c r="H4328" t="s">
        <v>1817</v>
      </c>
      <c r="J4328" s="4">
        <v>246771604</v>
      </c>
    </row>
    <row r="4329" spans="1:11" hidden="1" outlineLevel="2" x14ac:dyDescent="0.35">
      <c r="A4329" t="s">
        <v>1790</v>
      </c>
      <c r="B4329" s="1">
        <v>45733</v>
      </c>
      <c r="C4329" t="str">
        <f>"162"</f>
        <v>162</v>
      </c>
      <c r="F4329" t="str">
        <f t="shared" si="155"/>
        <v>52110100</v>
      </c>
      <c r="H4329" t="s">
        <v>40</v>
      </c>
      <c r="J4329" s="4">
        <v>21671880</v>
      </c>
    </row>
    <row r="4330" spans="1:11" hidden="1" outlineLevel="2" x14ac:dyDescent="0.35">
      <c r="A4330" t="s">
        <v>1790</v>
      </c>
      <c r="B4330" s="1">
        <v>45733</v>
      </c>
      <c r="C4330" t="str">
        <f>"170"</f>
        <v>170</v>
      </c>
      <c r="F4330" t="str">
        <f t="shared" si="155"/>
        <v>52110100</v>
      </c>
      <c r="H4330" t="s">
        <v>1818</v>
      </c>
      <c r="K4330" s="4">
        <v>20218747</v>
      </c>
    </row>
    <row r="4331" spans="1:11" hidden="1" outlineLevel="2" x14ac:dyDescent="0.35">
      <c r="A4331" t="s">
        <v>1790</v>
      </c>
      <c r="B4331" s="1">
        <v>45733</v>
      </c>
      <c r="C4331" t="str">
        <f>"188"</f>
        <v>188</v>
      </c>
      <c r="F4331" t="str">
        <f t="shared" si="155"/>
        <v>52110100</v>
      </c>
      <c r="H4331" t="s">
        <v>58</v>
      </c>
      <c r="K4331" s="4">
        <v>275</v>
      </c>
    </row>
    <row r="4332" spans="1:11" hidden="1" outlineLevel="2" x14ac:dyDescent="0.35">
      <c r="A4332" t="s">
        <v>1790</v>
      </c>
      <c r="B4332" s="1">
        <v>45733</v>
      </c>
      <c r="C4332" t="str">
        <f>"189"</f>
        <v>189</v>
      </c>
      <c r="F4332" t="str">
        <f t="shared" si="155"/>
        <v>52110100</v>
      </c>
      <c r="H4332" t="s">
        <v>58</v>
      </c>
      <c r="K4332" s="4">
        <v>275</v>
      </c>
    </row>
    <row r="4333" spans="1:11" hidden="1" outlineLevel="2" x14ac:dyDescent="0.35">
      <c r="A4333" t="s">
        <v>1790</v>
      </c>
      <c r="B4333" s="1">
        <v>45734</v>
      </c>
      <c r="C4333" t="str">
        <f>"171"</f>
        <v>171</v>
      </c>
      <c r="F4333" t="str">
        <f t="shared" si="155"/>
        <v>52110100</v>
      </c>
      <c r="H4333" t="s">
        <v>1819</v>
      </c>
      <c r="K4333" s="4">
        <v>50000000</v>
      </c>
    </row>
    <row r="4334" spans="1:11" hidden="1" outlineLevel="2" x14ac:dyDescent="0.35">
      <c r="A4334" t="s">
        <v>1790</v>
      </c>
      <c r="B4334" s="1">
        <v>45734</v>
      </c>
      <c r="C4334" t="str">
        <f>"172"</f>
        <v>172</v>
      </c>
      <c r="F4334" t="str">
        <f t="shared" si="155"/>
        <v>52110100</v>
      </c>
      <c r="H4334" t="s">
        <v>1820</v>
      </c>
      <c r="K4334" s="4">
        <v>6000000</v>
      </c>
    </row>
    <row r="4335" spans="1:11" hidden="1" outlineLevel="2" x14ac:dyDescent="0.35">
      <c r="A4335" t="s">
        <v>1790</v>
      </c>
      <c r="B4335" s="1">
        <v>45734</v>
      </c>
      <c r="C4335" t="str">
        <f>"173"</f>
        <v>173</v>
      </c>
      <c r="F4335" t="str">
        <f t="shared" si="155"/>
        <v>52110100</v>
      </c>
      <c r="H4335" t="s">
        <v>1821</v>
      </c>
      <c r="K4335" s="4">
        <v>10000000</v>
      </c>
    </row>
    <row r="4336" spans="1:11" hidden="1" outlineLevel="2" x14ac:dyDescent="0.35">
      <c r="A4336" t="s">
        <v>1790</v>
      </c>
      <c r="B4336" s="1">
        <v>45734</v>
      </c>
      <c r="C4336" t="str">
        <f>"174"</f>
        <v>174</v>
      </c>
      <c r="F4336" t="str">
        <f t="shared" si="155"/>
        <v>52110100</v>
      </c>
      <c r="H4336" t="s">
        <v>1820</v>
      </c>
      <c r="K4336" s="4">
        <v>44000000</v>
      </c>
    </row>
    <row r="4337" spans="1:11" hidden="1" outlineLevel="2" x14ac:dyDescent="0.35">
      <c r="A4337" t="s">
        <v>1790</v>
      </c>
      <c r="B4337" s="1">
        <v>45734</v>
      </c>
      <c r="C4337" t="str">
        <f>"190"</f>
        <v>190</v>
      </c>
      <c r="F4337" t="str">
        <f t="shared" si="155"/>
        <v>52110100</v>
      </c>
      <c r="H4337" t="s">
        <v>58</v>
      </c>
      <c r="K4337" s="4">
        <v>275</v>
      </c>
    </row>
    <row r="4338" spans="1:11" hidden="1" outlineLevel="2" x14ac:dyDescent="0.35">
      <c r="A4338" t="s">
        <v>1790</v>
      </c>
      <c r="B4338" s="1">
        <v>45734</v>
      </c>
      <c r="C4338" t="str">
        <f>"191"</f>
        <v>191</v>
      </c>
      <c r="F4338" t="str">
        <f t="shared" si="155"/>
        <v>52110100</v>
      </c>
      <c r="H4338" t="s">
        <v>58</v>
      </c>
      <c r="K4338" s="4">
        <v>275</v>
      </c>
    </row>
    <row r="4339" spans="1:11" hidden="1" outlineLevel="2" x14ac:dyDescent="0.35">
      <c r="A4339" t="s">
        <v>1790</v>
      </c>
      <c r="B4339" s="1">
        <v>45735</v>
      </c>
      <c r="C4339" t="str">
        <f>"175"</f>
        <v>175</v>
      </c>
      <c r="F4339" t="str">
        <f t="shared" si="155"/>
        <v>52110100</v>
      </c>
      <c r="H4339" t="s">
        <v>1822</v>
      </c>
      <c r="K4339" s="4">
        <v>42834000</v>
      </c>
    </row>
    <row r="4340" spans="1:11" hidden="1" outlineLevel="2" x14ac:dyDescent="0.35">
      <c r="A4340" t="s">
        <v>1790</v>
      </c>
      <c r="B4340" s="1">
        <v>45735</v>
      </c>
      <c r="C4340" t="str">
        <f>"176"</f>
        <v>176</v>
      </c>
      <c r="F4340" t="str">
        <f t="shared" si="155"/>
        <v>52110100</v>
      </c>
      <c r="H4340" t="s">
        <v>1823</v>
      </c>
      <c r="K4340" s="4">
        <v>20000000</v>
      </c>
    </row>
    <row r="4341" spans="1:11" hidden="1" outlineLevel="2" x14ac:dyDescent="0.35">
      <c r="A4341" t="s">
        <v>1790</v>
      </c>
      <c r="B4341" s="1">
        <v>45735</v>
      </c>
      <c r="C4341" t="str">
        <f>"198"</f>
        <v>198</v>
      </c>
      <c r="F4341" t="str">
        <f t="shared" si="155"/>
        <v>52110100</v>
      </c>
      <c r="H4341" t="s">
        <v>1824</v>
      </c>
      <c r="K4341" s="4">
        <v>58067215</v>
      </c>
    </row>
    <row r="4342" spans="1:11" hidden="1" outlineLevel="2" x14ac:dyDescent="0.35">
      <c r="A4342" t="s">
        <v>1790</v>
      </c>
      <c r="B4342" s="1">
        <v>45735</v>
      </c>
      <c r="C4342" t="str">
        <f>"199"</f>
        <v>199</v>
      </c>
      <c r="F4342" t="str">
        <f t="shared" si="155"/>
        <v>52110100</v>
      </c>
      <c r="H4342" t="s">
        <v>1824</v>
      </c>
      <c r="K4342" s="4">
        <v>2616815</v>
      </c>
    </row>
    <row r="4343" spans="1:11" hidden="1" outlineLevel="2" x14ac:dyDescent="0.35">
      <c r="A4343" t="s">
        <v>1790</v>
      </c>
      <c r="B4343" s="1">
        <v>45735</v>
      </c>
      <c r="C4343" t="str">
        <f>"200"</f>
        <v>200</v>
      </c>
      <c r="F4343" t="str">
        <f t="shared" si="155"/>
        <v>52110100</v>
      </c>
      <c r="H4343" t="s">
        <v>1824</v>
      </c>
      <c r="K4343" s="4">
        <v>12086400</v>
      </c>
    </row>
    <row r="4344" spans="1:11" hidden="1" outlineLevel="2" x14ac:dyDescent="0.35">
      <c r="A4344" t="s">
        <v>1790</v>
      </c>
      <c r="B4344" s="1">
        <v>45735</v>
      </c>
      <c r="C4344" t="str">
        <f>"201"</f>
        <v>201</v>
      </c>
      <c r="F4344" t="str">
        <f t="shared" si="155"/>
        <v>52110100</v>
      </c>
      <c r="H4344" t="s">
        <v>1824</v>
      </c>
      <c r="K4344" s="4">
        <v>2415170</v>
      </c>
    </row>
    <row r="4345" spans="1:11" hidden="1" outlineLevel="2" x14ac:dyDescent="0.35">
      <c r="A4345" t="s">
        <v>1790</v>
      </c>
      <c r="B4345" s="1">
        <v>45735</v>
      </c>
      <c r="C4345" t="str">
        <f>"202"</f>
        <v>202</v>
      </c>
      <c r="F4345" t="str">
        <f t="shared" si="155"/>
        <v>52110100</v>
      </c>
      <c r="H4345" t="s">
        <v>1824</v>
      </c>
      <c r="K4345" s="4">
        <v>588925</v>
      </c>
    </row>
    <row r="4346" spans="1:11" hidden="1" outlineLevel="2" x14ac:dyDescent="0.35">
      <c r="A4346" t="s">
        <v>1790</v>
      </c>
      <c r="B4346" s="1">
        <v>45736</v>
      </c>
      <c r="C4346" t="str">
        <f>"185"</f>
        <v>185</v>
      </c>
      <c r="F4346" t="str">
        <f t="shared" si="155"/>
        <v>52110100</v>
      </c>
      <c r="H4346" t="s">
        <v>1825</v>
      </c>
      <c r="J4346" s="4">
        <v>11246250</v>
      </c>
    </row>
    <row r="4347" spans="1:11" hidden="1" outlineLevel="2" x14ac:dyDescent="0.35">
      <c r="A4347" t="s">
        <v>1790</v>
      </c>
      <c r="B4347" s="1">
        <v>45740</v>
      </c>
      <c r="C4347" t="str">
        <f>"182"</f>
        <v>182</v>
      </c>
      <c r="F4347" t="str">
        <f t="shared" ref="F4347:F4355" si="156">"52110100"</f>
        <v>52110100</v>
      </c>
      <c r="H4347" t="s">
        <v>1826</v>
      </c>
      <c r="K4347" s="4">
        <v>4937000</v>
      </c>
    </row>
    <row r="4348" spans="1:11" hidden="1" outlineLevel="2" x14ac:dyDescent="0.35">
      <c r="A4348" t="s">
        <v>1790</v>
      </c>
      <c r="B4348" s="1">
        <v>45740</v>
      </c>
      <c r="C4348" t="str">
        <f>"183"</f>
        <v>183</v>
      </c>
      <c r="F4348" t="str">
        <f t="shared" si="156"/>
        <v>52110100</v>
      </c>
      <c r="H4348" t="s">
        <v>1827</v>
      </c>
      <c r="K4348" s="4">
        <v>2000000</v>
      </c>
    </row>
    <row r="4349" spans="1:11" hidden="1" outlineLevel="2" x14ac:dyDescent="0.35">
      <c r="A4349" t="s">
        <v>1790</v>
      </c>
      <c r="B4349" s="1">
        <v>45740</v>
      </c>
      <c r="C4349" t="str">
        <f>"184"</f>
        <v>184</v>
      </c>
      <c r="F4349" t="str">
        <f t="shared" si="156"/>
        <v>52110100</v>
      </c>
      <c r="H4349" t="s">
        <v>1828</v>
      </c>
      <c r="K4349" s="4">
        <v>500000</v>
      </c>
    </row>
    <row r="4350" spans="1:11" hidden="1" outlineLevel="2" x14ac:dyDescent="0.35">
      <c r="A4350" t="s">
        <v>1790</v>
      </c>
      <c r="B4350" s="1">
        <v>45742</v>
      </c>
      <c r="C4350" t="str">
        <f>"192"</f>
        <v>192</v>
      </c>
      <c r="F4350" t="str">
        <f t="shared" si="156"/>
        <v>52110100</v>
      </c>
      <c r="H4350" t="s">
        <v>1829</v>
      </c>
      <c r="K4350" s="4">
        <v>17706172</v>
      </c>
    </row>
    <row r="4351" spans="1:11" hidden="1" outlineLevel="2" x14ac:dyDescent="0.35">
      <c r="A4351" t="s">
        <v>1790</v>
      </c>
      <c r="B4351" s="1">
        <v>45742</v>
      </c>
      <c r="C4351" t="str">
        <f>"194"</f>
        <v>194</v>
      </c>
      <c r="F4351" t="str">
        <f t="shared" si="156"/>
        <v>52110100</v>
      </c>
      <c r="H4351" t="s">
        <v>58</v>
      </c>
      <c r="K4351" s="4">
        <v>31900</v>
      </c>
    </row>
    <row r="4352" spans="1:11" hidden="1" outlineLevel="2" x14ac:dyDescent="0.35">
      <c r="A4352" t="s">
        <v>1790</v>
      </c>
      <c r="B4352" s="1">
        <v>45742</v>
      </c>
      <c r="C4352" t="str">
        <f>"195"</f>
        <v>195</v>
      </c>
      <c r="F4352" t="str">
        <f t="shared" si="156"/>
        <v>52110100</v>
      </c>
      <c r="H4352" t="s">
        <v>58</v>
      </c>
      <c r="K4352" s="4">
        <v>275</v>
      </c>
    </row>
    <row r="4353" spans="1:11" hidden="1" outlineLevel="2" x14ac:dyDescent="0.35">
      <c r="A4353" t="s">
        <v>1790</v>
      </c>
      <c r="B4353" s="1">
        <v>45744</v>
      </c>
      <c r="C4353" t="str">
        <f>"193"</f>
        <v>193</v>
      </c>
      <c r="F4353" t="str">
        <f t="shared" si="156"/>
        <v>52110100</v>
      </c>
      <c r="H4353" t="s">
        <v>1829</v>
      </c>
      <c r="K4353" s="4">
        <v>171999</v>
      </c>
    </row>
    <row r="4354" spans="1:11" hidden="1" outlineLevel="2" x14ac:dyDescent="0.35">
      <c r="A4354" t="s">
        <v>1790</v>
      </c>
      <c r="B4354" s="1">
        <v>45744</v>
      </c>
      <c r="C4354" t="str">
        <f>"196"</f>
        <v>196</v>
      </c>
      <c r="F4354" t="str">
        <f t="shared" si="156"/>
        <v>52110100</v>
      </c>
      <c r="H4354" t="s">
        <v>58</v>
      </c>
      <c r="K4354" s="4">
        <v>16638</v>
      </c>
    </row>
    <row r="4355" spans="1:11" hidden="1" outlineLevel="2" x14ac:dyDescent="0.35">
      <c r="A4355" t="s">
        <v>1790</v>
      </c>
      <c r="B4355" s="1">
        <v>45747</v>
      </c>
      <c r="C4355" t="str">
        <f>"197"</f>
        <v>197</v>
      </c>
      <c r="F4355" t="str">
        <f t="shared" si="156"/>
        <v>52110100</v>
      </c>
      <c r="H4355" t="s">
        <v>1830</v>
      </c>
      <c r="K4355" s="4">
        <v>2734720</v>
      </c>
    </row>
    <row r="4356" spans="1:11" outlineLevel="1" collapsed="1" x14ac:dyDescent="0.35">
      <c r="B4356" s="1"/>
      <c r="F4356" s="3" t="s">
        <v>6590</v>
      </c>
      <c r="J4356" s="4">
        <f>SUBTOTAL(9,J4283:J4355)</f>
        <v>485301868</v>
      </c>
      <c r="K4356" s="4">
        <f>SUBTOTAL(9,K4283:K4355)</f>
        <v>604196047</v>
      </c>
    </row>
    <row r="4357" spans="1:11" hidden="1" outlineLevel="2" x14ac:dyDescent="0.35">
      <c r="A4357" t="s">
        <v>1831</v>
      </c>
      <c r="B4357" s="1">
        <v>45717</v>
      </c>
      <c r="C4357" t="str">
        <f>"95"</f>
        <v>95</v>
      </c>
      <c r="F4357" t="str">
        <f t="shared" ref="F4357:F4399" si="157">"52110400"</f>
        <v>52110400</v>
      </c>
      <c r="H4357" t="s">
        <v>1832</v>
      </c>
      <c r="K4357" s="4">
        <v>1174568</v>
      </c>
    </row>
    <row r="4358" spans="1:11" hidden="1" outlineLevel="2" x14ac:dyDescent="0.35">
      <c r="A4358" t="s">
        <v>1831</v>
      </c>
      <c r="B4358" s="1">
        <v>45720</v>
      </c>
      <c r="C4358" t="str">
        <f>"76"</f>
        <v>76</v>
      </c>
      <c r="F4358" t="str">
        <f t="shared" si="157"/>
        <v>52110400</v>
      </c>
      <c r="H4358" t="s">
        <v>1833</v>
      </c>
      <c r="K4358" s="4">
        <v>3350000</v>
      </c>
    </row>
    <row r="4359" spans="1:11" hidden="1" outlineLevel="2" x14ac:dyDescent="0.35">
      <c r="A4359" t="s">
        <v>1831</v>
      </c>
      <c r="B4359" s="1">
        <v>45720</v>
      </c>
      <c r="C4359" t="str">
        <f>"77"</f>
        <v>77</v>
      </c>
      <c r="F4359" t="str">
        <f t="shared" si="157"/>
        <v>52110400</v>
      </c>
      <c r="H4359" t="s">
        <v>1835</v>
      </c>
      <c r="K4359" s="4">
        <v>1951639</v>
      </c>
    </row>
    <row r="4360" spans="1:11" hidden="1" outlineLevel="2" x14ac:dyDescent="0.35">
      <c r="A4360" t="s">
        <v>1831</v>
      </c>
      <c r="B4360" s="1">
        <v>45720</v>
      </c>
      <c r="C4360" t="str">
        <f>"78"</f>
        <v>78</v>
      </c>
      <c r="F4360" t="str">
        <f t="shared" si="157"/>
        <v>52110400</v>
      </c>
      <c r="H4360" t="s">
        <v>1836</v>
      </c>
      <c r="K4360" s="4">
        <v>853858</v>
      </c>
    </row>
    <row r="4361" spans="1:11" hidden="1" outlineLevel="2" x14ac:dyDescent="0.35">
      <c r="A4361" t="s">
        <v>1831</v>
      </c>
      <c r="B4361" s="1">
        <v>45720</v>
      </c>
      <c r="C4361" t="str">
        <f>"79"</f>
        <v>79</v>
      </c>
      <c r="F4361" t="str">
        <f t="shared" si="157"/>
        <v>52110400</v>
      </c>
      <c r="H4361" t="s">
        <v>1837</v>
      </c>
      <c r="K4361" s="4">
        <v>182900</v>
      </c>
    </row>
    <row r="4362" spans="1:11" hidden="1" outlineLevel="2" x14ac:dyDescent="0.35">
      <c r="A4362" t="s">
        <v>1831</v>
      </c>
      <c r="B4362" s="1">
        <v>45720</v>
      </c>
      <c r="C4362" t="str">
        <f>"80"</f>
        <v>80</v>
      </c>
      <c r="F4362" t="str">
        <f t="shared" si="157"/>
        <v>52110400</v>
      </c>
      <c r="H4362" t="s">
        <v>1838</v>
      </c>
      <c r="K4362" s="4">
        <v>771145</v>
      </c>
    </row>
    <row r="4363" spans="1:11" hidden="1" outlineLevel="2" x14ac:dyDescent="0.35">
      <c r="A4363" t="s">
        <v>1831</v>
      </c>
      <c r="B4363" s="1">
        <v>45720</v>
      </c>
      <c r="C4363" t="str">
        <f>"81"</f>
        <v>81</v>
      </c>
      <c r="F4363" t="str">
        <f t="shared" si="157"/>
        <v>52110400</v>
      </c>
      <c r="H4363" t="s">
        <v>1839</v>
      </c>
      <c r="K4363" s="4">
        <v>708000</v>
      </c>
    </row>
    <row r="4364" spans="1:11" hidden="1" outlineLevel="2" x14ac:dyDescent="0.35">
      <c r="A4364" t="s">
        <v>1831</v>
      </c>
      <c r="B4364" s="1">
        <v>45720</v>
      </c>
      <c r="C4364" t="str">
        <f>"82"</f>
        <v>82</v>
      </c>
      <c r="F4364" t="str">
        <f t="shared" si="157"/>
        <v>52110400</v>
      </c>
      <c r="H4364" t="s">
        <v>1840</v>
      </c>
      <c r="K4364" s="4">
        <v>1073210</v>
      </c>
    </row>
    <row r="4365" spans="1:11" hidden="1" outlineLevel="2" x14ac:dyDescent="0.35">
      <c r="A4365" t="s">
        <v>1831</v>
      </c>
      <c r="B4365" s="1">
        <v>45720</v>
      </c>
      <c r="C4365" t="str">
        <f>"83"</f>
        <v>83</v>
      </c>
      <c r="F4365" t="str">
        <f t="shared" si="157"/>
        <v>52110400</v>
      </c>
      <c r="H4365" t="s">
        <v>1841</v>
      </c>
      <c r="K4365" s="4">
        <v>70176</v>
      </c>
    </row>
    <row r="4366" spans="1:11" hidden="1" outlineLevel="2" x14ac:dyDescent="0.35">
      <c r="A4366" t="s">
        <v>1831</v>
      </c>
      <c r="B4366" s="1">
        <v>45721</v>
      </c>
      <c r="C4366" t="str">
        <f>"75"</f>
        <v>75</v>
      </c>
      <c r="F4366" t="str">
        <f t="shared" si="157"/>
        <v>52110400</v>
      </c>
      <c r="H4366" t="s">
        <v>1842</v>
      </c>
      <c r="K4366" s="4">
        <v>756000</v>
      </c>
    </row>
    <row r="4367" spans="1:11" hidden="1" outlineLevel="2" x14ac:dyDescent="0.35">
      <c r="A4367" t="s">
        <v>1831</v>
      </c>
      <c r="B4367" s="1">
        <v>45721</v>
      </c>
      <c r="C4367" t="str">
        <f>"88"</f>
        <v>88</v>
      </c>
      <c r="F4367" t="str">
        <f t="shared" si="157"/>
        <v>52110400</v>
      </c>
      <c r="H4367" t="s">
        <v>1843</v>
      </c>
      <c r="K4367" s="4">
        <v>2004250</v>
      </c>
    </row>
    <row r="4368" spans="1:11" hidden="1" outlineLevel="2" x14ac:dyDescent="0.35">
      <c r="A4368" t="s">
        <v>1831</v>
      </c>
      <c r="B4368" s="1">
        <v>45721</v>
      </c>
      <c r="C4368" t="str">
        <f>"89"</f>
        <v>89</v>
      </c>
      <c r="F4368" t="str">
        <f t="shared" si="157"/>
        <v>52110400</v>
      </c>
      <c r="H4368" t="s">
        <v>1844</v>
      </c>
      <c r="K4368" s="4">
        <v>728000</v>
      </c>
    </row>
    <row r="4369" spans="1:11" hidden="1" outlineLevel="2" x14ac:dyDescent="0.35">
      <c r="A4369" t="s">
        <v>1831</v>
      </c>
      <c r="B4369" s="1">
        <v>45727</v>
      </c>
      <c r="C4369" t="str">
        <f>"87"</f>
        <v>87</v>
      </c>
      <c r="F4369" t="str">
        <f t="shared" si="157"/>
        <v>52110400</v>
      </c>
      <c r="H4369" t="s">
        <v>1845</v>
      </c>
      <c r="K4369" s="4">
        <v>350000</v>
      </c>
    </row>
    <row r="4370" spans="1:11" hidden="1" outlineLevel="2" x14ac:dyDescent="0.35">
      <c r="A4370" t="s">
        <v>1831</v>
      </c>
      <c r="B4370" s="1">
        <v>45728</v>
      </c>
      <c r="C4370" t="str">
        <f>"85"</f>
        <v>85</v>
      </c>
      <c r="F4370" t="str">
        <f t="shared" si="157"/>
        <v>52110400</v>
      </c>
      <c r="H4370" t="s">
        <v>1846</v>
      </c>
      <c r="K4370" s="4">
        <v>2082421</v>
      </c>
    </row>
    <row r="4371" spans="1:11" hidden="1" outlineLevel="2" x14ac:dyDescent="0.35">
      <c r="A4371" t="s">
        <v>1831</v>
      </c>
      <c r="B4371" s="1">
        <v>45728</v>
      </c>
      <c r="C4371" t="str">
        <f>"86"</f>
        <v>86</v>
      </c>
      <c r="F4371" t="str">
        <f t="shared" si="157"/>
        <v>52110400</v>
      </c>
      <c r="H4371" t="s">
        <v>1848</v>
      </c>
      <c r="K4371" s="4">
        <v>3618259</v>
      </c>
    </row>
    <row r="4372" spans="1:11" hidden="1" outlineLevel="2" x14ac:dyDescent="0.35">
      <c r="A4372" t="s">
        <v>1831</v>
      </c>
      <c r="B4372" s="1">
        <v>45729</v>
      </c>
      <c r="C4372" t="str">
        <f>"84"</f>
        <v>84</v>
      </c>
      <c r="F4372" t="str">
        <f t="shared" si="157"/>
        <v>52110400</v>
      </c>
      <c r="H4372" t="s">
        <v>1849</v>
      </c>
      <c r="K4372" s="4">
        <v>1171150</v>
      </c>
    </row>
    <row r="4373" spans="1:11" hidden="1" outlineLevel="2" x14ac:dyDescent="0.35">
      <c r="A4373" t="s">
        <v>1831</v>
      </c>
      <c r="B4373" s="1">
        <v>45730</v>
      </c>
      <c r="C4373" t="str">
        <f>"91"</f>
        <v>91</v>
      </c>
      <c r="F4373" t="str">
        <f t="shared" si="157"/>
        <v>52110400</v>
      </c>
      <c r="H4373" t="s">
        <v>1850</v>
      </c>
      <c r="J4373" s="4">
        <v>19866000</v>
      </c>
    </row>
    <row r="4374" spans="1:11" hidden="1" outlineLevel="2" x14ac:dyDescent="0.35">
      <c r="A4374" t="s">
        <v>1831</v>
      </c>
      <c r="B4374" s="1">
        <v>45730</v>
      </c>
      <c r="C4374" t="str">
        <f>"106"</f>
        <v>106</v>
      </c>
      <c r="F4374" t="str">
        <f t="shared" si="157"/>
        <v>52110400</v>
      </c>
      <c r="H4374" t="s">
        <v>1851</v>
      </c>
      <c r="K4374" s="4">
        <v>71212</v>
      </c>
    </row>
    <row r="4375" spans="1:11" hidden="1" outlineLevel="2" x14ac:dyDescent="0.35">
      <c r="A4375" t="s">
        <v>1831</v>
      </c>
      <c r="B4375" s="1">
        <v>45730</v>
      </c>
      <c r="C4375" t="str">
        <f>"107"</f>
        <v>107</v>
      </c>
      <c r="F4375" t="str">
        <f t="shared" si="157"/>
        <v>52110400</v>
      </c>
      <c r="H4375" t="s">
        <v>1851</v>
      </c>
      <c r="K4375" s="4">
        <v>61996</v>
      </c>
    </row>
    <row r="4376" spans="1:11" hidden="1" outlineLevel="2" x14ac:dyDescent="0.35">
      <c r="A4376" t="s">
        <v>1831</v>
      </c>
      <c r="B4376" s="1">
        <v>45731</v>
      </c>
      <c r="C4376" t="str">
        <f>"97"</f>
        <v>97</v>
      </c>
      <c r="F4376" t="str">
        <f t="shared" si="157"/>
        <v>52110400</v>
      </c>
      <c r="H4376" t="s">
        <v>1853</v>
      </c>
      <c r="K4376" s="4">
        <v>4143734</v>
      </c>
    </row>
    <row r="4377" spans="1:11" hidden="1" outlineLevel="2" x14ac:dyDescent="0.35">
      <c r="A4377" t="s">
        <v>1831</v>
      </c>
      <c r="B4377" s="1">
        <v>45731</v>
      </c>
      <c r="C4377" t="str">
        <f>"98"</f>
        <v>98</v>
      </c>
      <c r="F4377" t="str">
        <f t="shared" si="157"/>
        <v>52110400</v>
      </c>
      <c r="H4377" t="s">
        <v>1854</v>
      </c>
      <c r="K4377" s="4">
        <v>4143734</v>
      </c>
    </row>
    <row r="4378" spans="1:11" hidden="1" outlineLevel="2" x14ac:dyDescent="0.35">
      <c r="A4378" t="s">
        <v>1831</v>
      </c>
      <c r="B4378" s="1">
        <v>45731</v>
      </c>
      <c r="C4378" t="str">
        <f>"99"</f>
        <v>99</v>
      </c>
      <c r="F4378" t="str">
        <f t="shared" si="157"/>
        <v>52110400</v>
      </c>
      <c r="H4378" t="s">
        <v>1855</v>
      </c>
      <c r="K4378" s="4">
        <v>747450</v>
      </c>
    </row>
    <row r="4379" spans="1:11" hidden="1" outlineLevel="2" x14ac:dyDescent="0.35">
      <c r="A4379" t="s">
        <v>1831</v>
      </c>
      <c r="B4379" s="1">
        <v>45731</v>
      </c>
      <c r="C4379" t="str">
        <f>"99"</f>
        <v>99</v>
      </c>
      <c r="F4379" t="str">
        <f t="shared" si="157"/>
        <v>52110400</v>
      </c>
      <c r="H4379" t="s">
        <v>1856</v>
      </c>
      <c r="K4379" s="4">
        <v>1501261</v>
      </c>
    </row>
    <row r="4380" spans="1:11" hidden="1" outlineLevel="2" x14ac:dyDescent="0.35">
      <c r="A4380" t="s">
        <v>1831</v>
      </c>
      <c r="B4380" s="1">
        <v>45731</v>
      </c>
      <c r="C4380" t="str">
        <f>"100"</f>
        <v>100</v>
      </c>
      <c r="F4380" t="str">
        <f t="shared" si="157"/>
        <v>52110400</v>
      </c>
      <c r="H4380" t="s">
        <v>1857</v>
      </c>
      <c r="K4380" s="4">
        <v>715643</v>
      </c>
    </row>
    <row r="4381" spans="1:11" hidden="1" outlineLevel="2" x14ac:dyDescent="0.35">
      <c r="A4381" t="s">
        <v>1831</v>
      </c>
      <c r="B4381" s="1">
        <v>45731</v>
      </c>
      <c r="C4381" t="str">
        <f>"100"</f>
        <v>100</v>
      </c>
      <c r="F4381" t="str">
        <f t="shared" si="157"/>
        <v>52110400</v>
      </c>
      <c r="H4381" t="s">
        <v>1858</v>
      </c>
      <c r="K4381" s="4">
        <v>874675</v>
      </c>
    </row>
    <row r="4382" spans="1:11" hidden="1" outlineLevel="2" x14ac:dyDescent="0.35">
      <c r="A4382" t="s">
        <v>1831</v>
      </c>
      <c r="B4382" s="1">
        <v>45731</v>
      </c>
      <c r="C4382" t="str">
        <f>"101"</f>
        <v>101</v>
      </c>
      <c r="F4382" t="str">
        <f t="shared" si="157"/>
        <v>52110400</v>
      </c>
      <c r="H4382" t="s">
        <v>1859</v>
      </c>
      <c r="K4382" s="4">
        <v>1145030</v>
      </c>
    </row>
    <row r="4383" spans="1:11" hidden="1" outlineLevel="2" x14ac:dyDescent="0.35">
      <c r="A4383" t="s">
        <v>1831</v>
      </c>
      <c r="B4383" s="1">
        <v>45731</v>
      </c>
      <c r="C4383" t="str">
        <f>"101"</f>
        <v>101</v>
      </c>
      <c r="F4383" t="str">
        <f t="shared" si="157"/>
        <v>52110400</v>
      </c>
      <c r="H4383" t="s">
        <v>1860</v>
      </c>
      <c r="K4383" s="4">
        <v>3113844</v>
      </c>
    </row>
    <row r="4384" spans="1:11" hidden="1" outlineLevel="2" x14ac:dyDescent="0.35">
      <c r="A4384" t="s">
        <v>1831</v>
      </c>
      <c r="B4384" s="1">
        <v>45731</v>
      </c>
      <c r="C4384" t="str">
        <f>"101"</f>
        <v>101</v>
      </c>
      <c r="F4384" t="str">
        <f t="shared" si="157"/>
        <v>52110400</v>
      </c>
      <c r="H4384" t="s">
        <v>1861</v>
      </c>
      <c r="K4384" s="4">
        <v>2946650</v>
      </c>
    </row>
    <row r="4385" spans="1:11" hidden="1" outlineLevel="2" x14ac:dyDescent="0.35">
      <c r="A4385" t="s">
        <v>1831</v>
      </c>
      <c r="B4385" s="1">
        <v>45731</v>
      </c>
      <c r="C4385" t="str">
        <f>"102"</f>
        <v>102</v>
      </c>
      <c r="F4385" t="str">
        <f t="shared" si="157"/>
        <v>52110400</v>
      </c>
      <c r="H4385" t="s">
        <v>1854</v>
      </c>
      <c r="K4385" s="4">
        <v>4143734</v>
      </c>
    </row>
    <row r="4386" spans="1:11" hidden="1" outlineLevel="2" x14ac:dyDescent="0.35">
      <c r="A4386" t="s">
        <v>1831</v>
      </c>
      <c r="B4386" s="1">
        <v>45731</v>
      </c>
      <c r="C4386" t="str">
        <f>"104"</f>
        <v>104</v>
      </c>
      <c r="F4386" t="str">
        <f t="shared" si="157"/>
        <v>52110400</v>
      </c>
      <c r="H4386" t="s">
        <v>1862</v>
      </c>
      <c r="K4386" s="4">
        <v>1081417</v>
      </c>
    </row>
    <row r="4387" spans="1:11" hidden="1" outlineLevel="2" x14ac:dyDescent="0.35">
      <c r="A4387" t="s">
        <v>1831</v>
      </c>
      <c r="B4387" s="1">
        <v>45731</v>
      </c>
      <c r="C4387" t="str">
        <f>"104"</f>
        <v>104</v>
      </c>
      <c r="F4387" t="str">
        <f t="shared" si="157"/>
        <v>52110400</v>
      </c>
      <c r="H4387" t="s">
        <v>1863</v>
      </c>
      <c r="K4387" s="4">
        <v>1335867</v>
      </c>
    </row>
    <row r="4388" spans="1:11" hidden="1" outlineLevel="2" x14ac:dyDescent="0.35">
      <c r="A4388" t="s">
        <v>1831</v>
      </c>
      <c r="B4388" s="1">
        <v>45731</v>
      </c>
      <c r="C4388" t="str">
        <f>"104"</f>
        <v>104</v>
      </c>
      <c r="F4388" t="str">
        <f t="shared" si="157"/>
        <v>52110400</v>
      </c>
      <c r="H4388" t="s">
        <v>1864</v>
      </c>
      <c r="K4388" s="4">
        <v>1463093</v>
      </c>
    </row>
    <row r="4389" spans="1:11" hidden="1" outlineLevel="2" x14ac:dyDescent="0.35">
      <c r="A4389" t="s">
        <v>1831</v>
      </c>
      <c r="B4389" s="1">
        <v>45731</v>
      </c>
      <c r="C4389" t="str">
        <f>"108"</f>
        <v>108</v>
      </c>
      <c r="F4389" t="str">
        <f t="shared" si="157"/>
        <v>52110400</v>
      </c>
      <c r="H4389" t="s">
        <v>1865</v>
      </c>
      <c r="K4389" s="4">
        <v>3928866</v>
      </c>
    </row>
    <row r="4390" spans="1:11" hidden="1" outlineLevel="2" x14ac:dyDescent="0.35">
      <c r="A4390" t="s">
        <v>1831</v>
      </c>
      <c r="B4390" s="1">
        <v>45733</v>
      </c>
      <c r="C4390" t="str">
        <f>"90"</f>
        <v>90</v>
      </c>
      <c r="F4390" t="str">
        <f t="shared" si="157"/>
        <v>52110400</v>
      </c>
      <c r="H4390" t="s">
        <v>34</v>
      </c>
      <c r="J4390" s="4">
        <v>10978720</v>
      </c>
    </row>
    <row r="4391" spans="1:11" hidden="1" outlineLevel="2" x14ac:dyDescent="0.35">
      <c r="A4391" t="s">
        <v>1831</v>
      </c>
      <c r="B4391" s="1">
        <v>45733</v>
      </c>
      <c r="C4391" t="str">
        <f>"92"</f>
        <v>92</v>
      </c>
      <c r="F4391" t="str">
        <f t="shared" si="157"/>
        <v>52110400</v>
      </c>
      <c r="H4391" t="s">
        <v>1866</v>
      </c>
      <c r="K4391" s="4">
        <v>471467</v>
      </c>
    </row>
    <row r="4392" spans="1:11" hidden="1" outlineLevel="2" x14ac:dyDescent="0.35">
      <c r="A4392" t="s">
        <v>1831</v>
      </c>
      <c r="B4392" s="1">
        <v>45733</v>
      </c>
      <c r="C4392" t="str">
        <f>"93"</f>
        <v>93</v>
      </c>
      <c r="F4392" t="str">
        <f t="shared" si="157"/>
        <v>52110400</v>
      </c>
      <c r="H4392" t="s">
        <v>1867</v>
      </c>
      <c r="K4392" s="4">
        <v>131994</v>
      </c>
    </row>
    <row r="4393" spans="1:11" hidden="1" outlineLevel="2" x14ac:dyDescent="0.35">
      <c r="A4393" t="s">
        <v>1831</v>
      </c>
      <c r="B4393" s="1">
        <v>45733</v>
      </c>
      <c r="C4393" t="str">
        <f>"94"</f>
        <v>94</v>
      </c>
      <c r="F4393" t="str">
        <f t="shared" si="157"/>
        <v>52110400</v>
      </c>
      <c r="H4393" t="s">
        <v>1868</v>
      </c>
      <c r="K4393" s="4">
        <v>4784</v>
      </c>
    </row>
    <row r="4394" spans="1:11" hidden="1" outlineLevel="2" x14ac:dyDescent="0.35">
      <c r="A4394" t="s">
        <v>1831</v>
      </c>
      <c r="B4394" s="1">
        <v>45736</v>
      </c>
      <c r="C4394" t="str">
        <f>"105"</f>
        <v>105</v>
      </c>
      <c r="F4394" t="str">
        <f t="shared" si="157"/>
        <v>52110400</v>
      </c>
      <c r="H4394" t="s">
        <v>1869</v>
      </c>
      <c r="K4394" s="4">
        <v>4004</v>
      </c>
    </row>
    <row r="4395" spans="1:11" hidden="1" outlineLevel="2" x14ac:dyDescent="0.35">
      <c r="A4395" t="s">
        <v>1831</v>
      </c>
      <c r="B4395" s="1">
        <v>45742</v>
      </c>
      <c r="C4395" t="str">
        <f>"109"</f>
        <v>109</v>
      </c>
      <c r="F4395" t="str">
        <f t="shared" si="157"/>
        <v>52110400</v>
      </c>
      <c r="H4395" t="s">
        <v>1870</v>
      </c>
      <c r="J4395" s="4">
        <v>2714000</v>
      </c>
    </row>
    <row r="4396" spans="1:11" hidden="1" outlineLevel="2" x14ac:dyDescent="0.35">
      <c r="A4396" t="s">
        <v>1831</v>
      </c>
      <c r="B4396" s="1">
        <v>45744</v>
      </c>
      <c r="C4396" t="str">
        <f>"110"</f>
        <v>110</v>
      </c>
      <c r="F4396" t="str">
        <f t="shared" si="157"/>
        <v>52110400</v>
      </c>
      <c r="H4396" t="s">
        <v>58</v>
      </c>
      <c r="K4396" s="4">
        <v>11000</v>
      </c>
    </row>
    <row r="4397" spans="1:11" hidden="1" outlineLevel="2" x14ac:dyDescent="0.35">
      <c r="A4397" t="s">
        <v>1831</v>
      </c>
      <c r="B4397" s="1">
        <v>45744</v>
      </c>
      <c r="C4397" t="str">
        <f>"111"</f>
        <v>111</v>
      </c>
      <c r="F4397" t="str">
        <f t="shared" si="157"/>
        <v>52110400</v>
      </c>
      <c r="H4397" t="s">
        <v>1871</v>
      </c>
      <c r="K4397" s="4">
        <v>19800</v>
      </c>
    </row>
    <row r="4398" spans="1:11" hidden="1" outlineLevel="2" x14ac:dyDescent="0.35">
      <c r="A4398" t="s">
        <v>1831</v>
      </c>
      <c r="B4398" s="1">
        <v>45744</v>
      </c>
      <c r="C4398" t="str">
        <f>"112"</f>
        <v>112</v>
      </c>
      <c r="F4398" t="str">
        <f t="shared" si="157"/>
        <v>52110400</v>
      </c>
      <c r="H4398" t="s">
        <v>58</v>
      </c>
      <c r="K4398" s="4">
        <v>27748</v>
      </c>
    </row>
    <row r="4399" spans="1:11" hidden="1" outlineLevel="2" x14ac:dyDescent="0.35">
      <c r="A4399" t="s">
        <v>1831</v>
      </c>
      <c r="B4399" s="1">
        <v>45744</v>
      </c>
      <c r="C4399" t="str">
        <f>"113"</f>
        <v>113</v>
      </c>
      <c r="F4399" t="str">
        <f t="shared" si="157"/>
        <v>52110400</v>
      </c>
      <c r="H4399" t="s">
        <v>1872</v>
      </c>
      <c r="J4399" s="4">
        <v>103840</v>
      </c>
    </row>
    <row r="4400" spans="1:11" outlineLevel="1" collapsed="1" x14ac:dyDescent="0.35">
      <c r="B4400" s="1"/>
      <c r="F4400" s="3" t="s">
        <v>6591</v>
      </c>
      <c r="J4400" s="4">
        <f>SUBTOTAL(9,J4357:J4399)</f>
        <v>33662560</v>
      </c>
      <c r="K4400" s="4">
        <f>SUBTOTAL(9,K4357:K4399)</f>
        <v>52934579</v>
      </c>
    </row>
    <row r="4401" spans="1:11" hidden="1" outlineLevel="2" x14ac:dyDescent="0.35">
      <c r="A4401" t="s">
        <v>1873</v>
      </c>
      <c r="B4401" s="1">
        <v>45717</v>
      </c>
      <c r="C4401" t="str">
        <f>"61"</f>
        <v>61</v>
      </c>
      <c r="F4401" t="str">
        <f t="shared" ref="F4401:F4423" si="158">"52110500"</f>
        <v>52110500</v>
      </c>
      <c r="H4401" t="s">
        <v>1874</v>
      </c>
      <c r="K4401" s="4">
        <v>40582866</v>
      </c>
    </row>
    <row r="4402" spans="1:11" hidden="1" outlineLevel="2" x14ac:dyDescent="0.35">
      <c r="A4402" t="s">
        <v>1873</v>
      </c>
      <c r="B4402" s="1">
        <v>45717</v>
      </c>
      <c r="C4402" t="str">
        <f>"62"</f>
        <v>62</v>
      </c>
      <c r="F4402" t="str">
        <f t="shared" si="158"/>
        <v>52110500</v>
      </c>
      <c r="H4402" t="s">
        <v>1875</v>
      </c>
      <c r="K4402" s="4">
        <v>40582866</v>
      </c>
    </row>
    <row r="4403" spans="1:11" hidden="1" outlineLevel="2" x14ac:dyDescent="0.35">
      <c r="A4403" t="s">
        <v>1873</v>
      </c>
      <c r="B4403" s="1">
        <v>45717</v>
      </c>
      <c r="C4403" t="str">
        <f>"63"</f>
        <v>63</v>
      </c>
      <c r="F4403" t="str">
        <f t="shared" si="158"/>
        <v>52110500</v>
      </c>
      <c r="H4403" t="s">
        <v>1876</v>
      </c>
      <c r="K4403" s="4">
        <v>40582869</v>
      </c>
    </row>
    <row r="4404" spans="1:11" hidden="1" outlineLevel="2" x14ac:dyDescent="0.35">
      <c r="A4404" t="s">
        <v>1873</v>
      </c>
      <c r="B4404" s="1">
        <v>45720</v>
      </c>
      <c r="C4404" t="str">
        <f>"46"</f>
        <v>46</v>
      </c>
      <c r="F4404" t="str">
        <f t="shared" si="158"/>
        <v>52110500</v>
      </c>
      <c r="H4404" t="s">
        <v>1877</v>
      </c>
      <c r="K4404" s="4">
        <v>1492995</v>
      </c>
    </row>
    <row r="4405" spans="1:11" hidden="1" outlineLevel="2" x14ac:dyDescent="0.35">
      <c r="A4405" t="s">
        <v>1873</v>
      </c>
      <c r="B4405" s="1">
        <v>45720</v>
      </c>
      <c r="C4405" t="str">
        <f>"47"</f>
        <v>47</v>
      </c>
      <c r="F4405" t="str">
        <f t="shared" si="158"/>
        <v>52110500</v>
      </c>
      <c r="H4405" t="s">
        <v>1878</v>
      </c>
      <c r="K4405" s="4">
        <v>2224189</v>
      </c>
    </row>
    <row r="4406" spans="1:11" hidden="1" outlineLevel="2" x14ac:dyDescent="0.35">
      <c r="A4406" t="s">
        <v>1873</v>
      </c>
      <c r="B4406" s="1">
        <v>45720</v>
      </c>
      <c r="C4406" t="str">
        <f>"48"</f>
        <v>48</v>
      </c>
      <c r="F4406" t="str">
        <f t="shared" si="158"/>
        <v>52110500</v>
      </c>
      <c r="H4406" t="s">
        <v>1879</v>
      </c>
      <c r="K4406" s="4">
        <v>2311820</v>
      </c>
    </row>
    <row r="4407" spans="1:11" hidden="1" outlineLevel="2" x14ac:dyDescent="0.35">
      <c r="A4407" t="s">
        <v>1873</v>
      </c>
      <c r="B4407" s="1">
        <v>45720</v>
      </c>
      <c r="C4407" t="str">
        <f>"49"</f>
        <v>49</v>
      </c>
      <c r="F4407" t="str">
        <f t="shared" si="158"/>
        <v>52110500</v>
      </c>
      <c r="H4407" t="s">
        <v>1880</v>
      </c>
      <c r="K4407" s="4">
        <v>814200</v>
      </c>
    </row>
    <row r="4408" spans="1:11" hidden="1" outlineLevel="2" x14ac:dyDescent="0.35">
      <c r="A4408" t="s">
        <v>1873</v>
      </c>
      <c r="B4408" s="1">
        <v>45720</v>
      </c>
      <c r="C4408" t="str">
        <f>"50"</f>
        <v>50</v>
      </c>
      <c r="F4408" t="str">
        <f t="shared" si="158"/>
        <v>52110500</v>
      </c>
      <c r="H4408" t="s">
        <v>1881</v>
      </c>
      <c r="K4408" s="4">
        <v>880125</v>
      </c>
    </row>
    <row r="4409" spans="1:11" hidden="1" outlineLevel="2" x14ac:dyDescent="0.35">
      <c r="A4409" t="s">
        <v>1873</v>
      </c>
      <c r="B4409" s="1">
        <v>45720</v>
      </c>
      <c r="C4409" t="str">
        <f>"52"</f>
        <v>52</v>
      </c>
      <c r="F4409" t="str">
        <f t="shared" si="158"/>
        <v>52110500</v>
      </c>
      <c r="H4409" t="s">
        <v>1882</v>
      </c>
      <c r="K4409" s="4">
        <v>-1492995</v>
      </c>
    </row>
    <row r="4410" spans="1:11" hidden="1" outlineLevel="2" x14ac:dyDescent="0.35">
      <c r="A4410" t="s">
        <v>1873</v>
      </c>
      <c r="B4410" s="1">
        <v>45720</v>
      </c>
      <c r="C4410" t="str">
        <f>"57"</f>
        <v>57</v>
      </c>
      <c r="F4410" t="str">
        <f t="shared" si="158"/>
        <v>52110500</v>
      </c>
      <c r="H4410" t="s">
        <v>1883</v>
      </c>
      <c r="J4410" s="4">
        <v>76139890</v>
      </c>
    </row>
    <row r="4411" spans="1:11" hidden="1" outlineLevel="2" x14ac:dyDescent="0.35">
      <c r="A4411" t="s">
        <v>1873</v>
      </c>
      <c r="B4411" s="1">
        <v>45722</v>
      </c>
      <c r="C4411" t="str">
        <f>"53"</f>
        <v>53</v>
      </c>
      <c r="F4411" t="str">
        <f t="shared" si="158"/>
        <v>52110500</v>
      </c>
      <c r="H4411" t="s">
        <v>1884</v>
      </c>
      <c r="K4411" s="4">
        <v>1492995</v>
      </c>
    </row>
    <row r="4412" spans="1:11" hidden="1" outlineLevel="2" x14ac:dyDescent="0.35">
      <c r="A4412" t="s">
        <v>1873</v>
      </c>
      <c r="B4412" s="1">
        <v>45722</v>
      </c>
      <c r="C4412" t="str">
        <f>"58"</f>
        <v>58</v>
      </c>
      <c r="F4412" t="str">
        <f t="shared" si="158"/>
        <v>52110500</v>
      </c>
      <c r="H4412" t="s">
        <v>1885</v>
      </c>
      <c r="J4412" s="4">
        <v>18254416</v>
      </c>
    </row>
    <row r="4413" spans="1:11" hidden="1" outlineLevel="2" x14ac:dyDescent="0.35">
      <c r="A4413" t="s">
        <v>1873</v>
      </c>
      <c r="B4413" s="1">
        <v>45726</v>
      </c>
      <c r="C4413" t="str">
        <f>"56"</f>
        <v>56</v>
      </c>
      <c r="F4413" t="str">
        <f t="shared" si="158"/>
        <v>52110500</v>
      </c>
      <c r="H4413" t="s">
        <v>1886</v>
      </c>
      <c r="K4413" s="4">
        <v>10000000</v>
      </c>
    </row>
    <row r="4414" spans="1:11" hidden="1" outlineLevel="2" x14ac:dyDescent="0.35">
      <c r="A4414" t="s">
        <v>1873</v>
      </c>
      <c r="B4414" s="1">
        <v>45730</v>
      </c>
      <c r="C4414" t="str">
        <f>"54"</f>
        <v>54</v>
      </c>
      <c r="F4414" t="str">
        <f t="shared" si="158"/>
        <v>52110500</v>
      </c>
      <c r="H4414" t="s">
        <v>1888</v>
      </c>
      <c r="K4414" s="4">
        <v>4321180</v>
      </c>
    </row>
    <row r="4415" spans="1:11" hidden="1" outlineLevel="2" x14ac:dyDescent="0.35">
      <c r="A4415" t="s">
        <v>1873</v>
      </c>
      <c r="B4415" s="1">
        <v>45730</v>
      </c>
      <c r="C4415" t="str">
        <f>"55"</f>
        <v>55</v>
      </c>
      <c r="F4415" t="str">
        <f t="shared" si="158"/>
        <v>52110500</v>
      </c>
      <c r="H4415" t="s">
        <v>1889</v>
      </c>
      <c r="K4415" s="4">
        <v>450000</v>
      </c>
    </row>
    <row r="4416" spans="1:11" hidden="1" outlineLevel="2" x14ac:dyDescent="0.35">
      <c r="A4416" t="s">
        <v>1873</v>
      </c>
      <c r="B4416" s="1">
        <v>45730</v>
      </c>
      <c r="C4416" t="str">
        <f>"60"</f>
        <v>60</v>
      </c>
      <c r="F4416" t="str">
        <f t="shared" si="158"/>
        <v>52110500</v>
      </c>
      <c r="H4416" t="s">
        <v>58</v>
      </c>
      <c r="K4416" s="4">
        <v>2200</v>
      </c>
    </row>
    <row r="4417" spans="1:11" hidden="1" outlineLevel="2" x14ac:dyDescent="0.35">
      <c r="A4417" t="s">
        <v>1873</v>
      </c>
      <c r="B4417" s="1">
        <v>45734</v>
      </c>
      <c r="C4417" t="str">
        <f>"59"</f>
        <v>59</v>
      </c>
      <c r="F4417" t="str">
        <f t="shared" si="158"/>
        <v>52110500</v>
      </c>
      <c r="H4417" t="s">
        <v>1890</v>
      </c>
      <c r="K4417" s="4">
        <v>1509928</v>
      </c>
    </row>
    <row r="4418" spans="1:11" hidden="1" outlineLevel="2" x14ac:dyDescent="0.35">
      <c r="A4418" t="s">
        <v>1873</v>
      </c>
      <c r="B4418" s="1">
        <v>45736</v>
      </c>
      <c r="C4418" t="str">
        <f>"64"</f>
        <v>64</v>
      </c>
      <c r="F4418" t="str">
        <f t="shared" si="158"/>
        <v>52110500</v>
      </c>
      <c r="H4418" t="s">
        <v>1891</v>
      </c>
      <c r="K4418" s="4">
        <v>324615</v>
      </c>
    </row>
    <row r="4419" spans="1:11" hidden="1" outlineLevel="2" x14ac:dyDescent="0.35">
      <c r="A4419" t="s">
        <v>1873</v>
      </c>
      <c r="B4419" s="1">
        <v>45737</v>
      </c>
      <c r="C4419" t="str">
        <f>"65"</f>
        <v>65</v>
      </c>
      <c r="F4419" t="str">
        <f t="shared" si="158"/>
        <v>52110500</v>
      </c>
      <c r="H4419" t="s">
        <v>1888</v>
      </c>
      <c r="K4419" s="4">
        <v>2073175</v>
      </c>
    </row>
    <row r="4420" spans="1:11" hidden="1" outlineLevel="2" x14ac:dyDescent="0.35">
      <c r="A4420" t="s">
        <v>1873</v>
      </c>
      <c r="B4420" s="1">
        <v>45737</v>
      </c>
      <c r="C4420" t="str">
        <f>"66"</f>
        <v>66</v>
      </c>
      <c r="F4420" t="str">
        <f t="shared" si="158"/>
        <v>52110500</v>
      </c>
      <c r="H4420" t="s">
        <v>1851</v>
      </c>
      <c r="K4420" s="4">
        <v>2200</v>
      </c>
    </row>
    <row r="4421" spans="1:11" hidden="1" outlineLevel="2" x14ac:dyDescent="0.35">
      <c r="A4421" t="s">
        <v>1873</v>
      </c>
      <c r="B4421" s="1">
        <v>45747</v>
      </c>
      <c r="C4421" t="str">
        <f>"68"</f>
        <v>68</v>
      </c>
      <c r="F4421" t="str">
        <f t="shared" si="158"/>
        <v>52110500</v>
      </c>
      <c r="H4421" t="s">
        <v>58</v>
      </c>
      <c r="K4421" s="4">
        <v>20000</v>
      </c>
    </row>
    <row r="4422" spans="1:11" hidden="1" outlineLevel="2" x14ac:dyDescent="0.35">
      <c r="A4422" t="s">
        <v>1873</v>
      </c>
      <c r="B4422" s="1">
        <v>45747</v>
      </c>
      <c r="C4422" t="str">
        <f>"69"</f>
        <v>69</v>
      </c>
      <c r="F4422" t="str">
        <f t="shared" si="158"/>
        <v>52110500</v>
      </c>
      <c r="H4422" t="s">
        <v>58</v>
      </c>
      <c r="K4422" s="4">
        <v>2000</v>
      </c>
    </row>
    <row r="4423" spans="1:11" hidden="1" outlineLevel="2" x14ac:dyDescent="0.35">
      <c r="A4423" t="s">
        <v>1873</v>
      </c>
      <c r="B4423" s="1">
        <v>45747</v>
      </c>
      <c r="C4423" t="str">
        <f>"70"</f>
        <v>70</v>
      </c>
      <c r="F4423" t="str">
        <f t="shared" si="158"/>
        <v>52110500</v>
      </c>
      <c r="H4423" t="s">
        <v>58</v>
      </c>
      <c r="K4423" s="4">
        <v>50984</v>
      </c>
    </row>
    <row r="4424" spans="1:11" outlineLevel="1" collapsed="1" x14ac:dyDescent="0.35">
      <c r="B4424" s="1"/>
      <c r="F4424" s="3" t="s">
        <v>6592</v>
      </c>
      <c r="J4424" s="4">
        <f>SUBTOTAL(9,J4401:J4423)</f>
        <v>94394306</v>
      </c>
      <c r="K4424" s="4">
        <f>SUBTOTAL(9,K4401:K4423)</f>
        <v>148228212</v>
      </c>
    </row>
    <row r="4425" spans="1:11" hidden="1" outlineLevel="2" x14ac:dyDescent="0.35">
      <c r="A4425" t="s">
        <v>1892</v>
      </c>
      <c r="B4425" s="1">
        <v>45717</v>
      </c>
      <c r="C4425" t="str">
        <f>"47"</f>
        <v>47</v>
      </c>
      <c r="F4425" t="str">
        <f t="shared" ref="F4425:F4452" si="159">"52110700"</f>
        <v>52110700</v>
      </c>
      <c r="H4425" t="s">
        <v>1893</v>
      </c>
      <c r="K4425" s="4">
        <v>4115885</v>
      </c>
    </row>
    <row r="4426" spans="1:11" hidden="1" outlineLevel="2" x14ac:dyDescent="0.35">
      <c r="A4426" t="s">
        <v>1892</v>
      </c>
      <c r="B4426" s="1">
        <v>45719</v>
      </c>
      <c r="C4426" t="str">
        <f>"48"</f>
        <v>48</v>
      </c>
      <c r="F4426" t="str">
        <f t="shared" si="159"/>
        <v>52110700</v>
      </c>
      <c r="H4426" t="s">
        <v>1894</v>
      </c>
      <c r="K4426" s="4">
        <v>54112058</v>
      </c>
    </row>
    <row r="4427" spans="1:11" hidden="1" outlineLevel="2" x14ac:dyDescent="0.35">
      <c r="A4427" t="s">
        <v>1892</v>
      </c>
      <c r="B4427" s="1">
        <v>45720</v>
      </c>
      <c r="C4427" t="str">
        <f>"45"</f>
        <v>45</v>
      </c>
      <c r="F4427" t="str">
        <f t="shared" si="159"/>
        <v>52110700</v>
      </c>
      <c r="H4427" t="s">
        <v>1895</v>
      </c>
      <c r="J4427" s="4">
        <v>22446000</v>
      </c>
    </row>
    <row r="4428" spans="1:11" hidden="1" outlineLevel="2" x14ac:dyDescent="0.35">
      <c r="A4428" t="s">
        <v>1892</v>
      </c>
      <c r="B4428" s="1">
        <v>45720</v>
      </c>
      <c r="C4428" t="str">
        <f>"46"</f>
        <v>46</v>
      </c>
      <c r="F4428" t="str">
        <f t="shared" si="159"/>
        <v>52110700</v>
      </c>
      <c r="H4428" t="s">
        <v>1896</v>
      </c>
      <c r="J4428" s="4">
        <v>40520124</v>
      </c>
    </row>
    <row r="4429" spans="1:11" hidden="1" outlineLevel="2" x14ac:dyDescent="0.35">
      <c r="A4429" t="s">
        <v>1892</v>
      </c>
      <c r="B4429" s="1">
        <v>45721</v>
      </c>
      <c r="C4429" t="str">
        <f>"49"</f>
        <v>49</v>
      </c>
      <c r="F4429" t="str">
        <f t="shared" si="159"/>
        <v>52110700</v>
      </c>
      <c r="H4429" t="s">
        <v>1897</v>
      </c>
      <c r="J4429" s="4">
        <v>25000000</v>
      </c>
    </row>
    <row r="4430" spans="1:11" hidden="1" outlineLevel="2" x14ac:dyDescent="0.35">
      <c r="A4430" t="s">
        <v>1892</v>
      </c>
      <c r="B4430" s="1">
        <v>45721</v>
      </c>
      <c r="C4430" t="str">
        <f>"72"</f>
        <v>72</v>
      </c>
      <c r="F4430" t="str">
        <f t="shared" si="159"/>
        <v>52110700</v>
      </c>
      <c r="H4430" t="s">
        <v>1898</v>
      </c>
      <c r="J4430" s="4">
        <v>50000000</v>
      </c>
    </row>
    <row r="4431" spans="1:11" hidden="1" outlineLevel="2" x14ac:dyDescent="0.35">
      <c r="A4431" t="s">
        <v>1892</v>
      </c>
      <c r="B4431" s="1">
        <v>45722</v>
      </c>
      <c r="C4431" t="str">
        <f>"71"</f>
        <v>71</v>
      </c>
      <c r="F4431" t="str">
        <f t="shared" si="159"/>
        <v>52110700</v>
      </c>
      <c r="H4431" t="s">
        <v>1899</v>
      </c>
      <c r="J4431" s="4">
        <v>-40520124</v>
      </c>
    </row>
    <row r="4432" spans="1:11" hidden="1" outlineLevel="2" x14ac:dyDescent="0.35">
      <c r="A4432" t="s">
        <v>1892</v>
      </c>
      <c r="B4432" s="1">
        <v>45726</v>
      </c>
      <c r="C4432" t="str">
        <f>"70"</f>
        <v>70</v>
      </c>
      <c r="F4432" t="str">
        <f t="shared" si="159"/>
        <v>52110700</v>
      </c>
      <c r="H4432" t="s">
        <v>1900</v>
      </c>
      <c r="K4432" s="4">
        <v>35597548</v>
      </c>
    </row>
    <row r="4433" spans="1:11" hidden="1" outlineLevel="2" x14ac:dyDescent="0.35">
      <c r="A4433" t="s">
        <v>1892</v>
      </c>
      <c r="B4433" s="1">
        <v>45727</v>
      </c>
      <c r="C4433" t="str">
        <f>"55"</f>
        <v>55</v>
      </c>
      <c r="F4433" t="str">
        <f t="shared" si="159"/>
        <v>52110700</v>
      </c>
      <c r="H4433" t="s">
        <v>58</v>
      </c>
      <c r="K4433" s="4">
        <v>11000</v>
      </c>
    </row>
    <row r="4434" spans="1:11" hidden="1" outlineLevel="2" x14ac:dyDescent="0.35">
      <c r="A4434" t="s">
        <v>1892</v>
      </c>
      <c r="B4434" s="1">
        <v>45727</v>
      </c>
      <c r="C4434" t="str">
        <f>"56"</f>
        <v>56</v>
      </c>
      <c r="F4434" t="str">
        <f t="shared" si="159"/>
        <v>52110700</v>
      </c>
      <c r="H4434" t="s">
        <v>58</v>
      </c>
      <c r="K4434" s="4">
        <v>27407</v>
      </c>
    </row>
    <row r="4435" spans="1:11" hidden="1" outlineLevel="2" x14ac:dyDescent="0.35">
      <c r="A4435" t="s">
        <v>1892</v>
      </c>
      <c r="B4435" s="1">
        <v>45727</v>
      </c>
      <c r="C4435" t="str">
        <f>"57"</f>
        <v>57</v>
      </c>
      <c r="F4435" t="str">
        <f t="shared" si="159"/>
        <v>52110700</v>
      </c>
      <c r="H4435" t="s">
        <v>58</v>
      </c>
      <c r="K4435" s="4">
        <v>11000</v>
      </c>
    </row>
    <row r="4436" spans="1:11" hidden="1" outlineLevel="2" x14ac:dyDescent="0.35">
      <c r="A4436" t="s">
        <v>1892</v>
      </c>
      <c r="B4436" s="1">
        <v>45728</v>
      </c>
      <c r="C4436" t="str">
        <f>"58"</f>
        <v>58</v>
      </c>
      <c r="F4436" t="str">
        <f t="shared" si="159"/>
        <v>52110700</v>
      </c>
      <c r="H4436" t="s">
        <v>58</v>
      </c>
      <c r="K4436" s="4">
        <v>11000</v>
      </c>
    </row>
    <row r="4437" spans="1:11" hidden="1" outlineLevel="2" x14ac:dyDescent="0.35">
      <c r="A4437" t="s">
        <v>1892</v>
      </c>
      <c r="B4437" s="1">
        <v>45733</v>
      </c>
      <c r="C4437" t="str">
        <f>"52"</f>
        <v>52</v>
      </c>
      <c r="F4437" t="str">
        <f t="shared" si="159"/>
        <v>52110700</v>
      </c>
      <c r="H4437" t="s">
        <v>1901</v>
      </c>
      <c r="J4437" s="4">
        <v>31034000</v>
      </c>
    </row>
    <row r="4438" spans="1:11" hidden="1" outlineLevel="2" x14ac:dyDescent="0.35">
      <c r="A4438" t="s">
        <v>1892</v>
      </c>
      <c r="B4438" s="1">
        <v>45733</v>
      </c>
      <c r="C4438" t="str">
        <f>"59"</f>
        <v>59</v>
      </c>
      <c r="F4438" t="str">
        <f t="shared" si="159"/>
        <v>52110700</v>
      </c>
      <c r="H4438" t="s">
        <v>1902</v>
      </c>
      <c r="J4438" s="4">
        <v>147500</v>
      </c>
    </row>
    <row r="4439" spans="1:11" hidden="1" outlineLevel="2" x14ac:dyDescent="0.35">
      <c r="A4439" t="s">
        <v>1892</v>
      </c>
      <c r="B4439" s="1">
        <v>45733</v>
      </c>
      <c r="C4439" t="str">
        <f>"60"</f>
        <v>60</v>
      </c>
      <c r="F4439" t="str">
        <f t="shared" si="159"/>
        <v>52110700</v>
      </c>
      <c r="H4439" t="s">
        <v>1903</v>
      </c>
      <c r="J4439" s="4">
        <v>15000000</v>
      </c>
    </row>
    <row r="4440" spans="1:11" hidden="1" outlineLevel="2" x14ac:dyDescent="0.35">
      <c r="A4440" t="s">
        <v>1892</v>
      </c>
      <c r="B4440" s="1">
        <v>45733</v>
      </c>
      <c r="C4440" t="str">
        <f>"61"</f>
        <v>61</v>
      </c>
      <c r="F4440" t="str">
        <f t="shared" si="159"/>
        <v>52110700</v>
      </c>
      <c r="H4440" t="s">
        <v>58</v>
      </c>
      <c r="K4440" s="4">
        <v>5095</v>
      </c>
    </row>
    <row r="4441" spans="1:11" hidden="1" outlineLevel="2" x14ac:dyDescent="0.35">
      <c r="A4441" t="s">
        <v>1892</v>
      </c>
      <c r="B4441" s="1">
        <v>45733</v>
      </c>
      <c r="C4441" t="str">
        <f>"62"</f>
        <v>62</v>
      </c>
      <c r="F4441" t="str">
        <f t="shared" si="159"/>
        <v>52110700</v>
      </c>
      <c r="H4441" t="s">
        <v>58</v>
      </c>
      <c r="K4441" s="4">
        <v>27500</v>
      </c>
    </row>
    <row r="4442" spans="1:11" hidden="1" outlineLevel="2" x14ac:dyDescent="0.35">
      <c r="A4442" t="s">
        <v>1892</v>
      </c>
      <c r="B4442" s="1">
        <v>45734</v>
      </c>
      <c r="C4442" t="str">
        <f>"63"</f>
        <v>63</v>
      </c>
      <c r="F4442" t="str">
        <f t="shared" si="159"/>
        <v>52110700</v>
      </c>
      <c r="H4442" t="s">
        <v>1904</v>
      </c>
      <c r="J4442" s="4">
        <v>3957000</v>
      </c>
    </row>
    <row r="4443" spans="1:11" hidden="1" outlineLevel="2" x14ac:dyDescent="0.35">
      <c r="A4443" t="s">
        <v>1892</v>
      </c>
      <c r="B4443" s="1">
        <v>45735</v>
      </c>
      <c r="C4443" t="str">
        <f>"64"</f>
        <v>64</v>
      </c>
      <c r="F4443" t="str">
        <f t="shared" si="159"/>
        <v>52110700</v>
      </c>
      <c r="H4443" t="s">
        <v>1905</v>
      </c>
      <c r="J4443" s="4">
        <v>12255556</v>
      </c>
    </row>
    <row r="4444" spans="1:11" hidden="1" outlineLevel="2" x14ac:dyDescent="0.35">
      <c r="A4444" t="s">
        <v>1892</v>
      </c>
      <c r="B4444" s="1">
        <v>45736</v>
      </c>
      <c r="C4444" t="str">
        <f>"50"</f>
        <v>50</v>
      </c>
      <c r="F4444" t="str">
        <f t="shared" si="159"/>
        <v>52110700</v>
      </c>
      <c r="H4444" t="s">
        <v>1906</v>
      </c>
      <c r="K4444" s="4">
        <v>980000</v>
      </c>
    </row>
    <row r="4445" spans="1:11" hidden="1" outlineLevel="2" x14ac:dyDescent="0.35">
      <c r="A4445" t="s">
        <v>1892</v>
      </c>
      <c r="B4445" s="1">
        <v>45736</v>
      </c>
      <c r="C4445" t="str">
        <f>"51"</f>
        <v>51</v>
      </c>
      <c r="F4445" t="str">
        <f t="shared" si="159"/>
        <v>52110700</v>
      </c>
      <c r="H4445" t="s">
        <v>1907</v>
      </c>
      <c r="K4445" s="4">
        <v>136880</v>
      </c>
    </row>
    <row r="4446" spans="1:11" hidden="1" outlineLevel="2" x14ac:dyDescent="0.35">
      <c r="A4446" t="s">
        <v>1892</v>
      </c>
      <c r="B4446" s="1">
        <v>45740</v>
      </c>
      <c r="C4446" t="str">
        <f>"65"</f>
        <v>65</v>
      </c>
      <c r="F4446" t="str">
        <f t="shared" si="159"/>
        <v>52110700</v>
      </c>
      <c r="H4446" t="s">
        <v>1908</v>
      </c>
      <c r="K4446" s="4">
        <v>1015000</v>
      </c>
    </row>
    <row r="4447" spans="1:11" hidden="1" outlineLevel="2" x14ac:dyDescent="0.35">
      <c r="A4447" t="s">
        <v>1892</v>
      </c>
      <c r="B4447" s="1">
        <v>45741</v>
      </c>
      <c r="C4447" t="str">
        <f>"53"</f>
        <v>53</v>
      </c>
      <c r="F4447" t="str">
        <f t="shared" si="159"/>
        <v>52110700</v>
      </c>
      <c r="H4447" t="s">
        <v>1909</v>
      </c>
      <c r="K4447" s="4">
        <v>1120000</v>
      </c>
    </row>
    <row r="4448" spans="1:11" hidden="1" outlineLevel="2" x14ac:dyDescent="0.35">
      <c r="A4448" t="s">
        <v>1892</v>
      </c>
      <c r="B4448" s="1">
        <v>45741</v>
      </c>
      <c r="C4448" t="str">
        <f>"54"</f>
        <v>54</v>
      </c>
      <c r="F4448" t="str">
        <f t="shared" si="159"/>
        <v>52110700</v>
      </c>
      <c r="H4448" t="s">
        <v>1910</v>
      </c>
      <c r="K4448" s="4">
        <v>91431</v>
      </c>
    </row>
    <row r="4449" spans="1:11" hidden="1" outlineLevel="2" x14ac:dyDescent="0.35">
      <c r="A4449" t="s">
        <v>1892</v>
      </c>
      <c r="B4449" s="1">
        <v>45744</v>
      </c>
      <c r="C4449" t="str">
        <f>"66"</f>
        <v>66</v>
      </c>
      <c r="F4449" t="str">
        <f t="shared" si="159"/>
        <v>52110700</v>
      </c>
      <c r="H4449" t="s">
        <v>58</v>
      </c>
      <c r="K4449" s="4">
        <v>257408</v>
      </c>
    </row>
    <row r="4450" spans="1:11" hidden="1" outlineLevel="2" x14ac:dyDescent="0.35">
      <c r="A4450" t="s">
        <v>1892</v>
      </c>
      <c r="B4450" s="1">
        <v>45744</v>
      </c>
      <c r="C4450" t="str">
        <f>"67"</f>
        <v>67</v>
      </c>
      <c r="F4450" t="str">
        <f t="shared" si="159"/>
        <v>52110700</v>
      </c>
      <c r="H4450" t="s">
        <v>58</v>
      </c>
      <c r="K4450" s="4">
        <v>43590</v>
      </c>
    </row>
    <row r="4451" spans="1:11" hidden="1" outlineLevel="2" x14ac:dyDescent="0.35">
      <c r="A4451" t="s">
        <v>1892</v>
      </c>
      <c r="B4451" s="1">
        <v>45744</v>
      </c>
      <c r="C4451" t="str">
        <f>"68"</f>
        <v>68</v>
      </c>
      <c r="F4451" t="str">
        <f t="shared" si="159"/>
        <v>52110700</v>
      </c>
      <c r="H4451" t="s">
        <v>58</v>
      </c>
      <c r="K4451" s="4">
        <v>22000</v>
      </c>
    </row>
    <row r="4452" spans="1:11" hidden="1" outlineLevel="2" x14ac:dyDescent="0.35">
      <c r="A4452" t="s">
        <v>1892</v>
      </c>
      <c r="B4452" s="1">
        <v>45744</v>
      </c>
      <c r="C4452" t="str">
        <f>"69"</f>
        <v>69</v>
      </c>
      <c r="F4452" t="str">
        <f t="shared" si="159"/>
        <v>52110700</v>
      </c>
      <c r="H4452" t="s">
        <v>58</v>
      </c>
      <c r="K4452" s="4">
        <v>23382</v>
      </c>
    </row>
    <row r="4453" spans="1:11" outlineLevel="1" collapsed="1" x14ac:dyDescent="0.35">
      <c r="B4453" s="1"/>
      <c r="F4453" s="3" t="s">
        <v>6593</v>
      </c>
      <c r="J4453" s="4">
        <f>SUBTOTAL(9,J4425:J4452)</f>
        <v>159840056</v>
      </c>
      <c r="K4453" s="4">
        <f>SUBTOTAL(9,K4425:K4452)</f>
        <v>97608184</v>
      </c>
    </row>
    <row r="4454" spans="1:11" hidden="1" outlineLevel="2" x14ac:dyDescent="0.35">
      <c r="A4454" t="s">
        <v>1911</v>
      </c>
      <c r="B4454" s="1">
        <v>45719</v>
      </c>
      <c r="C4454" t="str">
        <f>"164"</f>
        <v>164</v>
      </c>
      <c r="F4454" t="str">
        <f t="shared" ref="F4454:F4485" si="160">"52110800"</f>
        <v>52110800</v>
      </c>
      <c r="H4454" t="s">
        <v>1912</v>
      </c>
      <c r="K4454" s="4">
        <v>794966</v>
      </c>
    </row>
    <row r="4455" spans="1:11" hidden="1" outlineLevel="2" x14ac:dyDescent="0.35">
      <c r="A4455" t="s">
        <v>1911</v>
      </c>
      <c r="B4455" s="1">
        <v>45719</v>
      </c>
      <c r="C4455" t="str">
        <f>"174"</f>
        <v>174</v>
      </c>
      <c r="F4455" t="str">
        <f t="shared" si="160"/>
        <v>52110800</v>
      </c>
      <c r="H4455" t="s">
        <v>1913</v>
      </c>
      <c r="K4455" s="4">
        <v>60000000</v>
      </c>
    </row>
    <row r="4456" spans="1:11" hidden="1" outlineLevel="2" x14ac:dyDescent="0.35">
      <c r="A4456" t="s">
        <v>1911</v>
      </c>
      <c r="B4456" s="1">
        <v>45719</v>
      </c>
      <c r="C4456" t="str">
        <f>"176"</f>
        <v>176</v>
      </c>
      <c r="F4456" t="str">
        <f t="shared" si="160"/>
        <v>52110800</v>
      </c>
      <c r="H4456" t="s">
        <v>1914</v>
      </c>
      <c r="K4456" s="4">
        <v>584721</v>
      </c>
    </row>
    <row r="4457" spans="1:11" hidden="1" outlineLevel="2" x14ac:dyDescent="0.35">
      <c r="A4457" t="s">
        <v>1911</v>
      </c>
      <c r="B4457" s="1">
        <v>45720</v>
      </c>
      <c r="C4457" t="str">
        <f>"155"</f>
        <v>155</v>
      </c>
      <c r="F4457" t="str">
        <f t="shared" si="160"/>
        <v>52110800</v>
      </c>
      <c r="H4457" t="s">
        <v>1915</v>
      </c>
      <c r="K4457" s="4">
        <v>14685000</v>
      </c>
    </row>
    <row r="4458" spans="1:11" hidden="1" outlineLevel="2" x14ac:dyDescent="0.35">
      <c r="A4458" t="s">
        <v>1911</v>
      </c>
      <c r="B4458" s="1">
        <v>45720</v>
      </c>
      <c r="C4458" t="str">
        <f>"156"</f>
        <v>156</v>
      </c>
      <c r="F4458" t="str">
        <f t="shared" si="160"/>
        <v>52110800</v>
      </c>
      <c r="H4458" t="s">
        <v>1916</v>
      </c>
      <c r="K4458" s="4">
        <v>6056669</v>
      </c>
    </row>
    <row r="4459" spans="1:11" hidden="1" outlineLevel="2" x14ac:dyDescent="0.35">
      <c r="A4459" t="s">
        <v>1911</v>
      </c>
      <c r="B4459" s="1">
        <v>45720</v>
      </c>
      <c r="C4459" t="str">
        <f>"157"</f>
        <v>157</v>
      </c>
      <c r="F4459" t="str">
        <f t="shared" si="160"/>
        <v>52110800</v>
      </c>
      <c r="H4459" t="s">
        <v>1917</v>
      </c>
      <c r="K4459" s="4">
        <v>2732875</v>
      </c>
    </row>
    <row r="4460" spans="1:11" hidden="1" outlineLevel="2" x14ac:dyDescent="0.35">
      <c r="A4460" t="s">
        <v>1911</v>
      </c>
      <c r="B4460" s="1">
        <v>45720</v>
      </c>
      <c r="C4460" t="str">
        <f>"158"</f>
        <v>158</v>
      </c>
      <c r="F4460" t="str">
        <f t="shared" si="160"/>
        <v>52110800</v>
      </c>
      <c r="H4460" t="s">
        <v>1918</v>
      </c>
      <c r="K4460" s="4">
        <v>910000</v>
      </c>
    </row>
    <row r="4461" spans="1:11" hidden="1" outlineLevel="2" x14ac:dyDescent="0.35">
      <c r="A4461" t="s">
        <v>1911</v>
      </c>
      <c r="B4461" s="1">
        <v>45720</v>
      </c>
      <c r="C4461" t="str">
        <f>"172"</f>
        <v>172</v>
      </c>
      <c r="F4461" t="str">
        <f t="shared" si="160"/>
        <v>52110800</v>
      </c>
      <c r="H4461" t="s">
        <v>1919</v>
      </c>
      <c r="K4461" s="4">
        <v>1330000</v>
      </c>
    </row>
    <row r="4462" spans="1:11" hidden="1" outlineLevel="2" x14ac:dyDescent="0.35">
      <c r="A4462" t="s">
        <v>1911</v>
      </c>
      <c r="B4462" s="1">
        <v>45721</v>
      </c>
      <c r="C4462" t="str">
        <f>"166"</f>
        <v>166</v>
      </c>
      <c r="F4462" t="str">
        <f t="shared" si="160"/>
        <v>52110800</v>
      </c>
      <c r="H4462" t="s">
        <v>1920</v>
      </c>
      <c r="J4462" s="4">
        <v>42161097</v>
      </c>
    </row>
    <row r="4463" spans="1:11" hidden="1" outlineLevel="2" x14ac:dyDescent="0.35">
      <c r="A4463" t="s">
        <v>1911</v>
      </c>
      <c r="B4463" s="1">
        <v>45721</v>
      </c>
      <c r="C4463" t="str">
        <f>"173"</f>
        <v>173</v>
      </c>
      <c r="F4463" t="str">
        <f t="shared" si="160"/>
        <v>52110800</v>
      </c>
      <c r="H4463" t="s">
        <v>1921</v>
      </c>
      <c r="K4463" s="4">
        <v>50000000</v>
      </c>
    </row>
    <row r="4464" spans="1:11" hidden="1" outlineLevel="2" x14ac:dyDescent="0.35">
      <c r="A4464" t="s">
        <v>1911</v>
      </c>
      <c r="B4464" s="1">
        <v>45722</v>
      </c>
      <c r="C4464" t="str">
        <f>"163"</f>
        <v>163</v>
      </c>
      <c r="F4464" t="str">
        <f t="shared" si="160"/>
        <v>52110800</v>
      </c>
      <c r="H4464" t="s">
        <v>1922</v>
      </c>
      <c r="K4464" s="4">
        <v>864720</v>
      </c>
    </row>
    <row r="4465" spans="1:11" hidden="1" outlineLevel="2" x14ac:dyDescent="0.35">
      <c r="A4465" t="s">
        <v>1911</v>
      </c>
      <c r="B4465" s="1">
        <v>45722</v>
      </c>
      <c r="C4465" t="str">
        <f>"167"</f>
        <v>167</v>
      </c>
      <c r="F4465" t="str">
        <f t="shared" si="160"/>
        <v>52110800</v>
      </c>
      <c r="H4465" t="s">
        <v>1923</v>
      </c>
      <c r="K4465" s="4">
        <v>4950000</v>
      </c>
    </row>
    <row r="4466" spans="1:11" hidden="1" outlineLevel="2" x14ac:dyDescent="0.35">
      <c r="A4466" t="s">
        <v>1911</v>
      </c>
      <c r="B4466" s="1">
        <v>45722</v>
      </c>
      <c r="C4466" t="str">
        <f>"168"</f>
        <v>168</v>
      </c>
      <c r="F4466" t="str">
        <f t="shared" si="160"/>
        <v>52110800</v>
      </c>
      <c r="H4466" t="s">
        <v>1924</v>
      </c>
      <c r="J4466" s="4">
        <v>21441134</v>
      </c>
    </row>
    <row r="4467" spans="1:11" hidden="1" outlineLevel="2" x14ac:dyDescent="0.35">
      <c r="A4467" t="s">
        <v>1911</v>
      </c>
      <c r="B4467" s="1">
        <v>45723</v>
      </c>
      <c r="C4467" t="str">
        <f>"187"</f>
        <v>187</v>
      </c>
      <c r="F4467" t="str">
        <f t="shared" si="160"/>
        <v>52110800</v>
      </c>
      <c r="H4467" t="s">
        <v>1925</v>
      </c>
      <c r="K4467" s="4">
        <v>2000000</v>
      </c>
    </row>
    <row r="4468" spans="1:11" hidden="1" outlineLevel="2" x14ac:dyDescent="0.35">
      <c r="A4468" t="s">
        <v>1911</v>
      </c>
      <c r="B4468" s="1">
        <v>45727</v>
      </c>
      <c r="C4468" t="str">
        <f>"170"</f>
        <v>170</v>
      </c>
      <c r="F4468" t="str">
        <f t="shared" si="160"/>
        <v>52110800</v>
      </c>
      <c r="H4468" t="s">
        <v>1926</v>
      </c>
      <c r="K4468" s="4">
        <v>627000</v>
      </c>
    </row>
    <row r="4469" spans="1:11" hidden="1" outlineLevel="2" x14ac:dyDescent="0.35">
      <c r="A4469" t="s">
        <v>1911</v>
      </c>
      <c r="B4469" s="1">
        <v>45728</v>
      </c>
      <c r="C4469" t="str">
        <f>"169"</f>
        <v>169</v>
      </c>
      <c r="F4469" t="str">
        <f t="shared" si="160"/>
        <v>52110800</v>
      </c>
      <c r="H4469" t="s">
        <v>1928</v>
      </c>
      <c r="K4469" s="4">
        <v>3319666</v>
      </c>
    </row>
    <row r="4470" spans="1:11" hidden="1" outlineLevel="2" x14ac:dyDescent="0.35">
      <c r="A4470" t="s">
        <v>1911</v>
      </c>
      <c r="B4470" s="1">
        <v>45728</v>
      </c>
      <c r="C4470" t="str">
        <f>"175"</f>
        <v>175</v>
      </c>
      <c r="F4470" t="str">
        <f t="shared" si="160"/>
        <v>52110800</v>
      </c>
      <c r="H4470" t="s">
        <v>1929</v>
      </c>
      <c r="K4470" s="4">
        <v>15000000</v>
      </c>
    </row>
    <row r="4471" spans="1:11" hidden="1" outlineLevel="2" x14ac:dyDescent="0.35">
      <c r="A4471" t="s">
        <v>1911</v>
      </c>
      <c r="B4471" s="1">
        <v>45730</v>
      </c>
      <c r="C4471" t="str">
        <f>"171"</f>
        <v>171</v>
      </c>
      <c r="F4471" t="str">
        <f t="shared" si="160"/>
        <v>52110800</v>
      </c>
      <c r="H4471" t="s">
        <v>1930</v>
      </c>
      <c r="J4471" s="4">
        <v>520399</v>
      </c>
    </row>
    <row r="4472" spans="1:11" hidden="1" outlineLevel="2" x14ac:dyDescent="0.35">
      <c r="A4472" t="s">
        <v>1911</v>
      </c>
      <c r="B4472" s="1">
        <v>45730</v>
      </c>
      <c r="C4472" t="str">
        <f>"177"</f>
        <v>177</v>
      </c>
      <c r="F4472" t="str">
        <f t="shared" si="160"/>
        <v>52110800</v>
      </c>
      <c r="H4472" t="s">
        <v>1931</v>
      </c>
      <c r="K4472" s="4">
        <v>393561</v>
      </c>
    </row>
    <row r="4473" spans="1:11" hidden="1" outlineLevel="2" x14ac:dyDescent="0.35">
      <c r="A4473" t="s">
        <v>1911</v>
      </c>
      <c r="B4473" s="1">
        <v>45730</v>
      </c>
      <c r="C4473" t="str">
        <f>"178"</f>
        <v>178</v>
      </c>
      <c r="F4473" t="str">
        <f t="shared" si="160"/>
        <v>52110800</v>
      </c>
      <c r="H4473" t="s">
        <v>1932</v>
      </c>
      <c r="K4473" s="4">
        <v>10342029</v>
      </c>
    </row>
    <row r="4474" spans="1:11" hidden="1" outlineLevel="2" x14ac:dyDescent="0.35">
      <c r="A4474" t="s">
        <v>1911</v>
      </c>
      <c r="B4474" s="1">
        <v>45730</v>
      </c>
      <c r="C4474" t="str">
        <f>"179"</f>
        <v>179</v>
      </c>
      <c r="F4474" t="str">
        <f t="shared" si="160"/>
        <v>52110800</v>
      </c>
      <c r="H4474" t="s">
        <v>1933</v>
      </c>
      <c r="K4474" s="4">
        <v>31213518</v>
      </c>
    </row>
    <row r="4475" spans="1:11" hidden="1" outlineLevel="2" x14ac:dyDescent="0.35">
      <c r="A4475" t="s">
        <v>1911</v>
      </c>
      <c r="B4475" s="1">
        <v>45730</v>
      </c>
      <c r="C4475" t="str">
        <f>"180"</f>
        <v>180</v>
      </c>
      <c r="F4475" t="str">
        <f t="shared" si="160"/>
        <v>52110800</v>
      </c>
      <c r="H4475" t="s">
        <v>1934</v>
      </c>
      <c r="J4475" s="4">
        <v>40000000</v>
      </c>
    </row>
    <row r="4476" spans="1:11" hidden="1" outlineLevel="2" x14ac:dyDescent="0.35">
      <c r="A4476" t="s">
        <v>1911</v>
      </c>
      <c r="B4476" s="1">
        <v>45730</v>
      </c>
      <c r="C4476" t="str">
        <f>"181"</f>
        <v>181</v>
      </c>
      <c r="F4476" t="str">
        <f t="shared" si="160"/>
        <v>52110800</v>
      </c>
      <c r="H4476" t="s">
        <v>1934</v>
      </c>
      <c r="J4476" s="4">
        <v>41925859</v>
      </c>
    </row>
    <row r="4477" spans="1:11" hidden="1" outlineLevel="2" x14ac:dyDescent="0.35">
      <c r="A4477" t="s">
        <v>1911</v>
      </c>
      <c r="B4477" s="1">
        <v>45733</v>
      </c>
      <c r="C4477" t="str">
        <f>"185"</f>
        <v>185</v>
      </c>
      <c r="F4477" t="str">
        <f t="shared" si="160"/>
        <v>52110800</v>
      </c>
      <c r="H4477" t="s">
        <v>1935</v>
      </c>
      <c r="K4477" s="4">
        <v>5000000</v>
      </c>
    </row>
    <row r="4478" spans="1:11" hidden="1" outlineLevel="2" x14ac:dyDescent="0.35">
      <c r="A4478" t="s">
        <v>1911</v>
      </c>
      <c r="B4478" s="1">
        <v>45734</v>
      </c>
      <c r="C4478" t="str">
        <f>"182"</f>
        <v>182</v>
      </c>
      <c r="F4478" t="str">
        <f t="shared" si="160"/>
        <v>52110800</v>
      </c>
      <c r="H4478" t="s">
        <v>1936</v>
      </c>
      <c r="K4478" s="4">
        <v>5709500</v>
      </c>
    </row>
    <row r="4479" spans="1:11" hidden="1" outlineLevel="2" x14ac:dyDescent="0.35">
      <c r="A4479" t="s">
        <v>1911</v>
      </c>
      <c r="B4479" s="1">
        <v>45735</v>
      </c>
      <c r="C4479" t="str">
        <f>"186"</f>
        <v>186</v>
      </c>
      <c r="F4479" t="str">
        <f t="shared" si="160"/>
        <v>52110800</v>
      </c>
      <c r="H4479" t="s">
        <v>1937</v>
      </c>
      <c r="J4479" s="4">
        <v>23500000</v>
      </c>
    </row>
    <row r="4480" spans="1:11" hidden="1" outlineLevel="2" x14ac:dyDescent="0.35">
      <c r="A4480" t="s">
        <v>1911</v>
      </c>
      <c r="B4480" s="1">
        <v>45737</v>
      </c>
      <c r="C4480" t="str">
        <f>"190"</f>
        <v>190</v>
      </c>
      <c r="F4480" t="str">
        <f t="shared" si="160"/>
        <v>52110800</v>
      </c>
      <c r="H4480" t="s">
        <v>1938</v>
      </c>
      <c r="K4480" s="4">
        <v>512769</v>
      </c>
    </row>
    <row r="4481" spans="1:11" hidden="1" outlineLevel="2" x14ac:dyDescent="0.35">
      <c r="A4481" t="s">
        <v>1911</v>
      </c>
      <c r="B4481" s="1">
        <v>45737</v>
      </c>
      <c r="C4481" t="str">
        <f>"191"</f>
        <v>191</v>
      </c>
      <c r="F4481" t="str">
        <f t="shared" si="160"/>
        <v>52110800</v>
      </c>
      <c r="H4481" t="s">
        <v>1939</v>
      </c>
      <c r="K4481" s="4">
        <v>4000000</v>
      </c>
    </row>
    <row r="4482" spans="1:11" hidden="1" outlineLevel="2" x14ac:dyDescent="0.35">
      <c r="A4482" t="s">
        <v>1911</v>
      </c>
      <c r="B4482" s="1">
        <v>45737</v>
      </c>
      <c r="C4482" t="str">
        <f>"192"</f>
        <v>192</v>
      </c>
      <c r="F4482" t="str">
        <f t="shared" si="160"/>
        <v>52110800</v>
      </c>
      <c r="H4482" t="s">
        <v>1940</v>
      </c>
      <c r="K4482" s="4">
        <v>3000000</v>
      </c>
    </row>
    <row r="4483" spans="1:11" hidden="1" outlineLevel="2" x14ac:dyDescent="0.35">
      <c r="A4483" t="s">
        <v>1911</v>
      </c>
      <c r="B4483" s="1">
        <v>45737</v>
      </c>
      <c r="C4483" t="str">
        <f>"193"</f>
        <v>193</v>
      </c>
      <c r="F4483" t="str">
        <f t="shared" si="160"/>
        <v>52110800</v>
      </c>
      <c r="H4483" t="s">
        <v>1941</v>
      </c>
      <c r="K4483" s="4">
        <v>565000</v>
      </c>
    </row>
    <row r="4484" spans="1:11" hidden="1" outlineLevel="2" x14ac:dyDescent="0.35">
      <c r="A4484" t="s">
        <v>1911</v>
      </c>
      <c r="B4484" s="1">
        <v>45739</v>
      </c>
      <c r="C4484" t="str">
        <f>"188"</f>
        <v>188</v>
      </c>
      <c r="F4484" t="str">
        <f t="shared" si="160"/>
        <v>52110800</v>
      </c>
      <c r="H4484" t="s">
        <v>1942</v>
      </c>
      <c r="K4484" s="4">
        <v>61640515</v>
      </c>
    </row>
    <row r="4485" spans="1:11" hidden="1" outlineLevel="2" x14ac:dyDescent="0.35">
      <c r="A4485" t="s">
        <v>1911</v>
      </c>
      <c r="B4485" s="1">
        <v>45741</v>
      </c>
      <c r="C4485" t="str">
        <f>"183"</f>
        <v>183</v>
      </c>
      <c r="F4485" t="str">
        <f t="shared" si="160"/>
        <v>52110800</v>
      </c>
      <c r="H4485" t="s">
        <v>1943</v>
      </c>
      <c r="K4485" s="4">
        <v>5709500</v>
      </c>
    </row>
    <row r="4486" spans="1:11" hidden="1" outlineLevel="2" x14ac:dyDescent="0.35">
      <c r="A4486" t="s">
        <v>1911</v>
      </c>
      <c r="B4486" s="1">
        <v>45741</v>
      </c>
      <c r="C4486" t="str">
        <f>"194"</f>
        <v>194</v>
      </c>
      <c r="F4486" t="str">
        <f t="shared" ref="F4486:F4517" si="161">"52110800"</f>
        <v>52110800</v>
      </c>
      <c r="H4486" t="s">
        <v>1924</v>
      </c>
      <c r="J4486" s="4">
        <v>19702290</v>
      </c>
    </row>
    <row r="4487" spans="1:11" hidden="1" outlineLevel="2" x14ac:dyDescent="0.35">
      <c r="A4487" t="s">
        <v>1911</v>
      </c>
      <c r="B4487" s="1">
        <v>45741</v>
      </c>
      <c r="C4487" t="str">
        <f>"202"</f>
        <v>202</v>
      </c>
      <c r="F4487" t="str">
        <f t="shared" si="161"/>
        <v>52110800</v>
      </c>
      <c r="H4487" t="s">
        <v>1944</v>
      </c>
      <c r="K4487" s="4">
        <v>7011700</v>
      </c>
    </row>
    <row r="4488" spans="1:11" hidden="1" outlineLevel="2" x14ac:dyDescent="0.35">
      <c r="A4488" t="s">
        <v>1911</v>
      </c>
      <c r="B4488" s="1">
        <v>45742</v>
      </c>
      <c r="C4488" t="str">
        <f>"195"</f>
        <v>195</v>
      </c>
      <c r="F4488" t="str">
        <f t="shared" si="161"/>
        <v>52110800</v>
      </c>
      <c r="H4488" t="s">
        <v>1934</v>
      </c>
      <c r="J4488" s="4">
        <v>30000000</v>
      </c>
    </row>
    <row r="4489" spans="1:11" hidden="1" outlineLevel="2" x14ac:dyDescent="0.35">
      <c r="A4489" t="s">
        <v>1911</v>
      </c>
      <c r="B4489" s="1">
        <v>45742</v>
      </c>
      <c r="C4489" t="str">
        <f>"196"</f>
        <v>196</v>
      </c>
      <c r="F4489" t="str">
        <f t="shared" si="161"/>
        <v>52110800</v>
      </c>
      <c r="H4489" t="s">
        <v>1934</v>
      </c>
      <c r="J4489" s="4">
        <v>7670000</v>
      </c>
    </row>
    <row r="4490" spans="1:11" hidden="1" outlineLevel="2" x14ac:dyDescent="0.35">
      <c r="A4490" t="s">
        <v>1911</v>
      </c>
      <c r="B4490" s="1">
        <v>45742</v>
      </c>
      <c r="C4490" t="str">
        <f>"197"</f>
        <v>197</v>
      </c>
      <c r="F4490" t="str">
        <f t="shared" si="161"/>
        <v>52110800</v>
      </c>
      <c r="H4490" t="s">
        <v>1934</v>
      </c>
      <c r="J4490" s="4">
        <v>24087189</v>
      </c>
    </row>
    <row r="4491" spans="1:11" hidden="1" outlineLevel="2" x14ac:dyDescent="0.35">
      <c r="A4491" t="s">
        <v>1911</v>
      </c>
      <c r="B4491" s="1">
        <v>45742</v>
      </c>
      <c r="C4491" t="str">
        <f>"198"</f>
        <v>198</v>
      </c>
      <c r="F4491" t="str">
        <f t="shared" si="161"/>
        <v>52110800</v>
      </c>
      <c r="H4491" t="s">
        <v>1930</v>
      </c>
      <c r="J4491" s="4">
        <v>6944344</v>
      </c>
    </row>
    <row r="4492" spans="1:11" hidden="1" outlineLevel="2" x14ac:dyDescent="0.35">
      <c r="A4492" t="s">
        <v>1911</v>
      </c>
      <c r="B4492" s="1">
        <v>45742</v>
      </c>
      <c r="C4492" t="str">
        <f>"204"</f>
        <v>204</v>
      </c>
      <c r="F4492" t="str">
        <f t="shared" si="161"/>
        <v>52110800</v>
      </c>
      <c r="H4492" t="s">
        <v>1945</v>
      </c>
      <c r="K4492" s="4">
        <v>8240000</v>
      </c>
    </row>
    <row r="4493" spans="1:11" hidden="1" outlineLevel="2" x14ac:dyDescent="0.35">
      <c r="A4493" t="s">
        <v>1911</v>
      </c>
      <c r="B4493" s="1">
        <v>45742</v>
      </c>
      <c r="C4493" t="str">
        <f>"206"</f>
        <v>206</v>
      </c>
      <c r="F4493" t="str">
        <f t="shared" si="161"/>
        <v>52110800</v>
      </c>
      <c r="H4493" t="s">
        <v>1946</v>
      </c>
      <c r="K4493" s="4">
        <v>208246</v>
      </c>
    </row>
    <row r="4494" spans="1:11" hidden="1" outlineLevel="2" x14ac:dyDescent="0.35">
      <c r="A4494" t="s">
        <v>1911</v>
      </c>
      <c r="B4494" s="1">
        <v>45742</v>
      </c>
      <c r="C4494" t="str">
        <f>"207"</f>
        <v>207</v>
      </c>
      <c r="F4494" t="str">
        <f t="shared" si="161"/>
        <v>52110800</v>
      </c>
      <c r="H4494" t="s">
        <v>1948</v>
      </c>
      <c r="K4494" s="4">
        <v>238458</v>
      </c>
    </row>
    <row r="4495" spans="1:11" hidden="1" outlineLevel="2" x14ac:dyDescent="0.35">
      <c r="A4495" t="s">
        <v>1911</v>
      </c>
      <c r="B4495" s="1">
        <v>45742</v>
      </c>
      <c r="C4495" t="str">
        <f>"208"</f>
        <v>208</v>
      </c>
      <c r="F4495" t="str">
        <f t="shared" si="161"/>
        <v>52110800</v>
      </c>
      <c r="H4495" t="s">
        <v>1949</v>
      </c>
      <c r="K4495" s="4">
        <v>210488</v>
      </c>
    </row>
    <row r="4496" spans="1:11" hidden="1" outlineLevel="2" x14ac:dyDescent="0.35">
      <c r="A4496" t="s">
        <v>1911</v>
      </c>
      <c r="B4496" s="1">
        <v>45742</v>
      </c>
      <c r="C4496" t="str">
        <f>"209"</f>
        <v>209</v>
      </c>
      <c r="F4496" t="str">
        <f t="shared" si="161"/>
        <v>52110800</v>
      </c>
      <c r="H4496" t="s">
        <v>1950</v>
      </c>
      <c r="K4496" s="4">
        <v>177302</v>
      </c>
    </row>
    <row r="4497" spans="1:11" hidden="1" outlineLevel="2" x14ac:dyDescent="0.35">
      <c r="A4497" t="s">
        <v>1911</v>
      </c>
      <c r="B4497" s="1">
        <v>45742</v>
      </c>
      <c r="C4497" t="str">
        <f>"210"</f>
        <v>210</v>
      </c>
      <c r="F4497" t="str">
        <f t="shared" si="161"/>
        <v>52110800</v>
      </c>
      <c r="H4497" t="s">
        <v>1951</v>
      </c>
      <c r="K4497" s="4">
        <v>201863</v>
      </c>
    </row>
    <row r="4498" spans="1:11" hidden="1" outlineLevel="2" x14ac:dyDescent="0.35">
      <c r="A4498" t="s">
        <v>1911</v>
      </c>
      <c r="B4498" s="1">
        <v>45742</v>
      </c>
      <c r="C4498" t="str">
        <f>"211"</f>
        <v>211</v>
      </c>
      <c r="F4498" t="str">
        <f t="shared" si="161"/>
        <v>52110800</v>
      </c>
      <c r="H4498" t="s">
        <v>1952</v>
      </c>
      <c r="K4498" s="4">
        <v>174405</v>
      </c>
    </row>
    <row r="4499" spans="1:11" hidden="1" outlineLevel="2" x14ac:dyDescent="0.35">
      <c r="A4499" t="s">
        <v>1911</v>
      </c>
      <c r="B4499" s="1">
        <v>45742</v>
      </c>
      <c r="C4499" t="str">
        <f>"212"</f>
        <v>212</v>
      </c>
      <c r="F4499" t="str">
        <f t="shared" si="161"/>
        <v>52110800</v>
      </c>
      <c r="H4499" t="s">
        <v>1953</v>
      </c>
      <c r="K4499" s="4">
        <v>181045</v>
      </c>
    </row>
    <row r="4500" spans="1:11" hidden="1" outlineLevel="2" x14ac:dyDescent="0.35">
      <c r="A4500" t="s">
        <v>1911</v>
      </c>
      <c r="B4500" s="1">
        <v>45742</v>
      </c>
      <c r="C4500" t="str">
        <f>"213"</f>
        <v>213</v>
      </c>
      <c r="F4500" t="str">
        <f t="shared" si="161"/>
        <v>52110800</v>
      </c>
      <c r="H4500" t="s">
        <v>1954</v>
      </c>
      <c r="K4500" s="4">
        <v>177151</v>
      </c>
    </row>
    <row r="4501" spans="1:11" hidden="1" outlineLevel="2" x14ac:dyDescent="0.35">
      <c r="A4501" t="s">
        <v>1911</v>
      </c>
      <c r="B4501" s="1">
        <v>45742</v>
      </c>
      <c r="C4501" t="str">
        <f>"214"</f>
        <v>214</v>
      </c>
      <c r="F4501" t="str">
        <f t="shared" si="161"/>
        <v>52110800</v>
      </c>
      <c r="H4501" t="s">
        <v>1955</v>
      </c>
      <c r="K4501" s="4">
        <v>177001</v>
      </c>
    </row>
    <row r="4502" spans="1:11" hidden="1" outlineLevel="2" x14ac:dyDescent="0.35">
      <c r="A4502" t="s">
        <v>1911</v>
      </c>
      <c r="B4502" s="1">
        <v>45742</v>
      </c>
      <c r="C4502" t="str">
        <f>"215"</f>
        <v>215</v>
      </c>
      <c r="F4502" t="str">
        <f t="shared" si="161"/>
        <v>52110800</v>
      </c>
      <c r="H4502" t="s">
        <v>1956</v>
      </c>
      <c r="K4502" s="4">
        <v>174405</v>
      </c>
    </row>
    <row r="4503" spans="1:11" hidden="1" outlineLevel="2" x14ac:dyDescent="0.35">
      <c r="A4503" t="s">
        <v>1911</v>
      </c>
      <c r="B4503" s="1">
        <v>45742</v>
      </c>
      <c r="C4503" t="str">
        <f>"216"</f>
        <v>216</v>
      </c>
      <c r="F4503" t="str">
        <f t="shared" si="161"/>
        <v>52110800</v>
      </c>
      <c r="H4503" t="s">
        <v>1957</v>
      </c>
      <c r="K4503" s="4">
        <v>163592</v>
      </c>
    </row>
    <row r="4504" spans="1:11" hidden="1" outlineLevel="2" x14ac:dyDescent="0.35">
      <c r="A4504" t="s">
        <v>1911</v>
      </c>
      <c r="B4504" s="1">
        <v>45742</v>
      </c>
      <c r="C4504" t="str">
        <f>"217"</f>
        <v>217</v>
      </c>
      <c r="F4504" t="str">
        <f t="shared" si="161"/>
        <v>52110800</v>
      </c>
      <c r="H4504" t="s">
        <v>1958</v>
      </c>
      <c r="K4504" s="4">
        <v>150615</v>
      </c>
    </row>
    <row r="4505" spans="1:11" hidden="1" outlineLevel="2" x14ac:dyDescent="0.35">
      <c r="A4505" t="s">
        <v>1911</v>
      </c>
      <c r="B4505" s="1">
        <v>45742</v>
      </c>
      <c r="C4505" t="str">
        <f>"218"</f>
        <v>218</v>
      </c>
      <c r="F4505" t="str">
        <f t="shared" si="161"/>
        <v>52110800</v>
      </c>
      <c r="H4505" t="s">
        <v>1959</v>
      </c>
      <c r="K4505" s="4">
        <v>113040</v>
      </c>
    </row>
    <row r="4506" spans="1:11" hidden="1" outlineLevel="2" x14ac:dyDescent="0.35">
      <c r="A4506" t="s">
        <v>1911</v>
      </c>
      <c r="B4506" s="1">
        <v>45742</v>
      </c>
      <c r="C4506" t="str">
        <f>"219"</f>
        <v>219</v>
      </c>
      <c r="F4506" t="str">
        <f t="shared" si="161"/>
        <v>52110800</v>
      </c>
      <c r="H4506" t="s">
        <v>1960</v>
      </c>
      <c r="K4506" s="4">
        <v>113040</v>
      </c>
    </row>
    <row r="4507" spans="1:11" hidden="1" outlineLevel="2" x14ac:dyDescent="0.35">
      <c r="A4507" t="s">
        <v>1911</v>
      </c>
      <c r="B4507" s="1">
        <v>45742</v>
      </c>
      <c r="C4507" t="str">
        <f>"220"</f>
        <v>220</v>
      </c>
      <c r="F4507" t="str">
        <f t="shared" si="161"/>
        <v>52110800</v>
      </c>
      <c r="H4507" t="s">
        <v>1961</v>
      </c>
      <c r="K4507" s="4">
        <v>113040</v>
      </c>
    </row>
    <row r="4508" spans="1:11" hidden="1" outlineLevel="2" x14ac:dyDescent="0.35">
      <c r="A4508" t="s">
        <v>1911</v>
      </c>
      <c r="B4508" s="1">
        <v>45742</v>
      </c>
      <c r="C4508" t="str">
        <f>"221"</f>
        <v>221</v>
      </c>
      <c r="F4508" t="str">
        <f t="shared" si="161"/>
        <v>52110800</v>
      </c>
      <c r="H4508" t="s">
        <v>1962</v>
      </c>
      <c r="K4508" s="4">
        <v>113040</v>
      </c>
    </row>
    <row r="4509" spans="1:11" hidden="1" outlineLevel="2" x14ac:dyDescent="0.35">
      <c r="A4509" t="s">
        <v>1911</v>
      </c>
      <c r="B4509" s="1">
        <v>45742</v>
      </c>
      <c r="C4509" t="str">
        <f>"222"</f>
        <v>222</v>
      </c>
      <c r="F4509" t="str">
        <f t="shared" si="161"/>
        <v>52110800</v>
      </c>
      <c r="H4509" t="s">
        <v>1963</v>
      </c>
      <c r="K4509" s="4">
        <v>113040</v>
      </c>
    </row>
    <row r="4510" spans="1:11" hidden="1" outlineLevel="2" x14ac:dyDescent="0.35">
      <c r="A4510" t="s">
        <v>1911</v>
      </c>
      <c r="B4510" s="1">
        <v>45742</v>
      </c>
      <c r="C4510" t="str">
        <f>"223"</f>
        <v>223</v>
      </c>
      <c r="F4510" t="str">
        <f t="shared" si="161"/>
        <v>52110800</v>
      </c>
      <c r="H4510" t="s">
        <v>1964</v>
      </c>
      <c r="K4510" s="4">
        <v>113040</v>
      </c>
    </row>
    <row r="4511" spans="1:11" hidden="1" outlineLevel="2" x14ac:dyDescent="0.35">
      <c r="A4511" t="s">
        <v>1911</v>
      </c>
      <c r="B4511" s="1">
        <v>45742</v>
      </c>
      <c r="C4511" t="str">
        <f>"224"</f>
        <v>224</v>
      </c>
      <c r="F4511" t="str">
        <f t="shared" si="161"/>
        <v>52110800</v>
      </c>
      <c r="H4511" t="s">
        <v>1965</v>
      </c>
      <c r="K4511" s="4">
        <v>113040</v>
      </c>
    </row>
    <row r="4512" spans="1:11" hidden="1" outlineLevel="2" x14ac:dyDescent="0.35">
      <c r="A4512" t="s">
        <v>1911</v>
      </c>
      <c r="B4512" s="1">
        <v>45742</v>
      </c>
      <c r="C4512" t="str">
        <f>"225"</f>
        <v>225</v>
      </c>
      <c r="F4512" t="str">
        <f t="shared" si="161"/>
        <v>52110800</v>
      </c>
      <c r="H4512" t="s">
        <v>1966</v>
      </c>
      <c r="K4512" s="4">
        <v>113040</v>
      </c>
    </row>
    <row r="4513" spans="1:11" hidden="1" outlineLevel="2" x14ac:dyDescent="0.35">
      <c r="A4513" t="s">
        <v>1911</v>
      </c>
      <c r="B4513" s="1">
        <v>45742</v>
      </c>
      <c r="C4513" t="str">
        <f>"226"</f>
        <v>226</v>
      </c>
      <c r="F4513" t="str">
        <f t="shared" si="161"/>
        <v>52110800</v>
      </c>
      <c r="H4513" t="s">
        <v>1967</v>
      </c>
      <c r="K4513" s="4">
        <v>113040</v>
      </c>
    </row>
    <row r="4514" spans="1:11" hidden="1" outlineLevel="2" x14ac:dyDescent="0.35">
      <c r="A4514" t="s">
        <v>1911</v>
      </c>
      <c r="B4514" s="1">
        <v>45742</v>
      </c>
      <c r="C4514" t="str">
        <f>"227"</f>
        <v>227</v>
      </c>
      <c r="F4514" t="str">
        <f t="shared" si="161"/>
        <v>52110800</v>
      </c>
      <c r="H4514" t="s">
        <v>1968</v>
      </c>
      <c r="K4514" s="4">
        <v>113040</v>
      </c>
    </row>
    <row r="4515" spans="1:11" hidden="1" outlineLevel="2" x14ac:dyDescent="0.35">
      <c r="A4515" t="s">
        <v>1911</v>
      </c>
      <c r="B4515" s="1">
        <v>45742</v>
      </c>
      <c r="C4515" t="str">
        <f>"228"</f>
        <v>228</v>
      </c>
      <c r="F4515" t="str">
        <f t="shared" si="161"/>
        <v>52110800</v>
      </c>
      <c r="H4515" t="s">
        <v>1969</v>
      </c>
      <c r="K4515" s="4">
        <v>113040</v>
      </c>
    </row>
    <row r="4516" spans="1:11" hidden="1" outlineLevel="2" x14ac:dyDescent="0.35">
      <c r="A4516" t="s">
        <v>1911</v>
      </c>
      <c r="B4516" s="1">
        <v>45742</v>
      </c>
      <c r="C4516" t="str">
        <f>"229"</f>
        <v>229</v>
      </c>
      <c r="F4516" t="str">
        <f t="shared" si="161"/>
        <v>52110800</v>
      </c>
      <c r="H4516" t="s">
        <v>1970</v>
      </c>
      <c r="K4516" s="4">
        <v>113040</v>
      </c>
    </row>
    <row r="4517" spans="1:11" hidden="1" outlineLevel="2" x14ac:dyDescent="0.35">
      <c r="A4517" t="s">
        <v>1911</v>
      </c>
      <c r="B4517" s="1">
        <v>45742</v>
      </c>
      <c r="C4517" t="str">
        <f>"230"</f>
        <v>230</v>
      </c>
      <c r="F4517" t="str">
        <f t="shared" si="161"/>
        <v>52110800</v>
      </c>
      <c r="H4517" t="s">
        <v>1971</v>
      </c>
      <c r="K4517" s="4">
        <v>113040</v>
      </c>
    </row>
    <row r="4518" spans="1:11" hidden="1" outlineLevel="2" x14ac:dyDescent="0.35">
      <c r="A4518" t="s">
        <v>1911</v>
      </c>
      <c r="B4518" s="1">
        <v>45742</v>
      </c>
      <c r="C4518" t="str">
        <f>"231"</f>
        <v>231</v>
      </c>
      <c r="F4518" t="str">
        <f t="shared" ref="F4518:F4535" si="162">"52110800"</f>
        <v>52110800</v>
      </c>
      <c r="H4518" t="s">
        <v>1972</v>
      </c>
      <c r="K4518" s="4">
        <v>113040</v>
      </c>
    </row>
    <row r="4519" spans="1:11" hidden="1" outlineLevel="2" x14ac:dyDescent="0.35">
      <c r="A4519" t="s">
        <v>1911</v>
      </c>
      <c r="B4519" s="1">
        <v>45742</v>
      </c>
      <c r="C4519" t="str">
        <f>"232"</f>
        <v>232</v>
      </c>
      <c r="F4519" t="str">
        <f t="shared" si="162"/>
        <v>52110800</v>
      </c>
      <c r="H4519" t="s">
        <v>1973</v>
      </c>
      <c r="K4519" s="4">
        <v>113040</v>
      </c>
    </row>
    <row r="4520" spans="1:11" hidden="1" outlineLevel="2" x14ac:dyDescent="0.35">
      <c r="A4520" t="s">
        <v>1911</v>
      </c>
      <c r="B4520" s="1">
        <v>45742</v>
      </c>
      <c r="C4520" t="str">
        <f>"233"</f>
        <v>233</v>
      </c>
      <c r="F4520" t="str">
        <f t="shared" si="162"/>
        <v>52110800</v>
      </c>
      <c r="H4520" t="s">
        <v>1974</v>
      </c>
      <c r="K4520" s="4">
        <v>113040</v>
      </c>
    </row>
    <row r="4521" spans="1:11" hidden="1" outlineLevel="2" x14ac:dyDescent="0.35">
      <c r="A4521" t="s">
        <v>1911</v>
      </c>
      <c r="B4521" s="1">
        <v>45742</v>
      </c>
      <c r="C4521" t="str">
        <f>"234"</f>
        <v>234</v>
      </c>
      <c r="F4521" t="str">
        <f t="shared" si="162"/>
        <v>52110800</v>
      </c>
      <c r="H4521" t="s">
        <v>1975</v>
      </c>
      <c r="K4521" s="4">
        <v>161893</v>
      </c>
    </row>
    <row r="4522" spans="1:11" hidden="1" outlineLevel="2" x14ac:dyDescent="0.35">
      <c r="A4522" t="s">
        <v>1911</v>
      </c>
      <c r="B4522" s="1">
        <v>45742</v>
      </c>
      <c r="C4522" t="str">
        <f>"244"</f>
        <v>244</v>
      </c>
      <c r="F4522" t="str">
        <f t="shared" si="162"/>
        <v>52110800</v>
      </c>
      <c r="H4522" t="s">
        <v>1794</v>
      </c>
      <c r="K4522" s="4">
        <v>13120000</v>
      </c>
    </row>
    <row r="4523" spans="1:11" hidden="1" outlineLevel="2" x14ac:dyDescent="0.35">
      <c r="A4523" t="s">
        <v>1911</v>
      </c>
      <c r="B4523" s="1">
        <v>45744</v>
      </c>
      <c r="C4523" t="str">
        <f>"189"</f>
        <v>189</v>
      </c>
      <c r="F4523" t="str">
        <f t="shared" si="162"/>
        <v>52110800</v>
      </c>
      <c r="H4523" t="s">
        <v>1976</v>
      </c>
      <c r="K4523" s="4">
        <v>25864950</v>
      </c>
    </row>
    <row r="4524" spans="1:11" hidden="1" outlineLevel="2" x14ac:dyDescent="0.35">
      <c r="A4524" t="s">
        <v>1911</v>
      </c>
      <c r="B4524" s="1">
        <v>45744</v>
      </c>
      <c r="C4524" t="str">
        <f>"199"</f>
        <v>199</v>
      </c>
      <c r="F4524" t="str">
        <f t="shared" si="162"/>
        <v>52110800</v>
      </c>
      <c r="H4524" t="s">
        <v>1977</v>
      </c>
      <c r="K4524" s="4">
        <v>8017200</v>
      </c>
    </row>
    <row r="4525" spans="1:11" hidden="1" outlineLevel="2" x14ac:dyDescent="0.35">
      <c r="A4525" t="s">
        <v>1911</v>
      </c>
      <c r="B4525" s="1">
        <v>45744</v>
      </c>
      <c r="C4525" t="str">
        <f>"200"</f>
        <v>200</v>
      </c>
      <c r="F4525" t="str">
        <f t="shared" si="162"/>
        <v>52110800</v>
      </c>
      <c r="H4525" t="s">
        <v>1978</v>
      </c>
      <c r="K4525" s="4">
        <v>150000</v>
      </c>
    </row>
    <row r="4526" spans="1:11" hidden="1" outlineLevel="2" x14ac:dyDescent="0.35">
      <c r="A4526" t="s">
        <v>1911</v>
      </c>
      <c r="B4526" s="1">
        <v>45744</v>
      </c>
      <c r="C4526" t="str">
        <f>"201"</f>
        <v>201</v>
      </c>
      <c r="F4526" t="str">
        <f t="shared" si="162"/>
        <v>52110800</v>
      </c>
      <c r="H4526" t="s">
        <v>1979</v>
      </c>
      <c r="K4526" s="4">
        <v>345000</v>
      </c>
    </row>
    <row r="4527" spans="1:11" hidden="1" outlineLevel="2" x14ac:dyDescent="0.35">
      <c r="A4527" t="s">
        <v>1911</v>
      </c>
      <c r="B4527" s="1">
        <v>45744</v>
      </c>
      <c r="C4527" t="str">
        <f>"203"</f>
        <v>203</v>
      </c>
      <c r="F4527" t="str">
        <f t="shared" si="162"/>
        <v>52110800</v>
      </c>
      <c r="H4527" t="s">
        <v>1980</v>
      </c>
      <c r="K4527" s="4">
        <v>4200000</v>
      </c>
    </row>
    <row r="4528" spans="1:11" hidden="1" outlineLevel="2" x14ac:dyDescent="0.35">
      <c r="A4528" t="s">
        <v>1911</v>
      </c>
      <c r="B4528" s="1">
        <v>45744</v>
      </c>
      <c r="C4528" t="str">
        <f>"205"</f>
        <v>205</v>
      </c>
      <c r="F4528" t="str">
        <f t="shared" si="162"/>
        <v>52110800</v>
      </c>
      <c r="H4528" t="s">
        <v>1981</v>
      </c>
      <c r="K4528" s="4">
        <v>6503907</v>
      </c>
    </row>
    <row r="4529" spans="1:11" hidden="1" outlineLevel="2" x14ac:dyDescent="0.35">
      <c r="A4529" t="s">
        <v>1911</v>
      </c>
      <c r="B4529" s="1">
        <v>45744</v>
      </c>
      <c r="C4529" t="str">
        <f>"235"</f>
        <v>235</v>
      </c>
      <c r="F4529" t="str">
        <f t="shared" si="162"/>
        <v>52110800</v>
      </c>
      <c r="H4529" t="s">
        <v>1982</v>
      </c>
      <c r="K4529" s="4">
        <v>2000000</v>
      </c>
    </row>
    <row r="4530" spans="1:11" hidden="1" outlineLevel="2" x14ac:dyDescent="0.35">
      <c r="A4530" t="s">
        <v>1911</v>
      </c>
      <c r="B4530" s="1">
        <v>45744</v>
      </c>
      <c r="C4530" t="str">
        <f>"240"</f>
        <v>240</v>
      </c>
      <c r="F4530" t="str">
        <f t="shared" si="162"/>
        <v>52110800</v>
      </c>
      <c r="H4530" t="s">
        <v>1924</v>
      </c>
      <c r="J4530" s="4">
        <v>13281305</v>
      </c>
    </row>
    <row r="4531" spans="1:11" hidden="1" outlineLevel="2" x14ac:dyDescent="0.35">
      <c r="A4531" t="s">
        <v>1911</v>
      </c>
      <c r="B4531" s="1">
        <v>45744</v>
      </c>
      <c r="C4531" t="str">
        <f>"241"</f>
        <v>241</v>
      </c>
      <c r="F4531" t="str">
        <f t="shared" si="162"/>
        <v>52110800</v>
      </c>
      <c r="H4531" t="s">
        <v>1983</v>
      </c>
      <c r="K4531" s="4">
        <v>10000000</v>
      </c>
    </row>
    <row r="4532" spans="1:11" hidden="1" outlineLevel="2" x14ac:dyDescent="0.35">
      <c r="A4532" t="s">
        <v>1911</v>
      </c>
      <c r="B4532" s="1">
        <v>45744</v>
      </c>
      <c r="C4532" t="str">
        <f>"242"</f>
        <v>242</v>
      </c>
      <c r="F4532" t="str">
        <f t="shared" si="162"/>
        <v>52110800</v>
      </c>
      <c r="H4532" t="s">
        <v>1984</v>
      </c>
      <c r="K4532" s="4">
        <v>10000000</v>
      </c>
    </row>
    <row r="4533" spans="1:11" hidden="1" outlineLevel="2" x14ac:dyDescent="0.35">
      <c r="A4533" t="s">
        <v>1911</v>
      </c>
      <c r="B4533" s="1">
        <v>45744</v>
      </c>
      <c r="C4533" t="str">
        <f>"243"</f>
        <v>243</v>
      </c>
      <c r="F4533" t="str">
        <f t="shared" si="162"/>
        <v>52110800</v>
      </c>
      <c r="H4533" t="s">
        <v>1985</v>
      </c>
      <c r="K4533" s="4">
        <v>40582866</v>
      </c>
    </row>
    <row r="4534" spans="1:11" hidden="1" outlineLevel="2" x14ac:dyDescent="0.35">
      <c r="A4534" t="s">
        <v>1911</v>
      </c>
      <c r="B4534" s="1">
        <v>45747</v>
      </c>
      <c r="C4534" t="str">
        <f>"237"</f>
        <v>237</v>
      </c>
      <c r="F4534" t="str">
        <f t="shared" si="162"/>
        <v>52110800</v>
      </c>
      <c r="H4534" t="s">
        <v>58</v>
      </c>
      <c r="K4534" s="4">
        <v>243299</v>
      </c>
    </row>
    <row r="4535" spans="1:11" hidden="1" outlineLevel="2" x14ac:dyDescent="0.35">
      <c r="A4535" t="s">
        <v>1911</v>
      </c>
      <c r="B4535" s="1">
        <v>45747</v>
      </c>
      <c r="C4535" t="str">
        <f>"239"</f>
        <v>239</v>
      </c>
      <c r="F4535" t="str">
        <f t="shared" si="162"/>
        <v>52110800</v>
      </c>
      <c r="H4535" t="s">
        <v>58</v>
      </c>
      <c r="K4535" s="4">
        <v>16500</v>
      </c>
    </row>
    <row r="4536" spans="1:11" outlineLevel="1" collapsed="1" x14ac:dyDescent="0.35">
      <c r="B4536" s="1"/>
      <c r="F4536" s="3" t="s">
        <v>6594</v>
      </c>
      <c r="J4536" s="4">
        <f>SUBTOTAL(9,J4454:J4535)</f>
        <v>271233617</v>
      </c>
      <c r="K4536" s="4">
        <f>SUBTOTAL(9,K4454:K4535)</f>
        <v>432442535</v>
      </c>
    </row>
    <row r="4537" spans="1:11" hidden="1" outlineLevel="2" x14ac:dyDescent="0.35">
      <c r="A4537" t="s">
        <v>1986</v>
      </c>
      <c r="B4537" s="1">
        <v>45717</v>
      </c>
      <c r="C4537" t="str">
        <f>"51"</f>
        <v>51</v>
      </c>
      <c r="F4537" t="str">
        <f t="shared" ref="F4537:F4573" si="163">"52110900"</f>
        <v>52110900</v>
      </c>
      <c r="H4537" t="s">
        <v>1987</v>
      </c>
      <c r="K4537" s="4">
        <v>-12449000</v>
      </c>
    </row>
    <row r="4538" spans="1:11" hidden="1" outlineLevel="2" x14ac:dyDescent="0.35">
      <c r="A4538" t="s">
        <v>1986</v>
      </c>
      <c r="B4538" s="1">
        <v>45717</v>
      </c>
      <c r="C4538" t="str">
        <f>"52"</f>
        <v>52</v>
      </c>
      <c r="F4538" t="str">
        <f t="shared" si="163"/>
        <v>52110900</v>
      </c>
      <c r="H4538" t="s">
        <v>1988</v>
      </c>
      <c r="K4538" s="4">
        <v>12449000</v>
      </c>
    </row>
    <row r="4539" spans="1:11" hidden="1" outlineLevel="2" x14ac:dyDescent="0.35">
      <c r="A4539" t="s">
        <v>1986</v>
      </c>
      <c r="B4539" s="1">
        <v>45717</v>
      </c>
      <c r="C4539" t="str">
        <f>"65"</f>
        <v>65</v>
      </c>
      <c r="F4539" t="str">
        <f t="shared" si="163"/>
        <v>52110900</v>
      </c>
      <c r="H4539" t="s">
        <v>1989</v>
      </c>
      <c r="K4539" s="4">
        <v>-10342029</v>
      </c>
    </row>
    <row r="4540" spans="1:11" hidden="1" outlineLevel="2" x14ac:dyDescent="0.35">
      <c r="A4540" t="s">
        <v>1986</v>
      </c>
      <c r="B4540" s="1">
        <v>45719</v>
      </c>
      <c r="C4540" t="str">
        <f>"67"</f>
        <v>67</v>
      </c>
      <c r="F4540" t="str">
        <f t="shared" si="163"/>
        <v>52110900</v>
      </c>
      <c r="H4540" t="s">
        <v>1990</v>
      </c>
      <c r="J4540" s="4">
        <v>7653800</v>
      </c>
    </row>
    <row r="4541" spans="1:11" hidden="1" outlineLevel="2" x14ac:dyDescent="0.35">
      <c r="A4541" t="s">
        <v>1986</v>
      </c>
      <c r="B4541" s="1">
        <v>45728</v>
      </c>
      <c r="C4541" t="str">
        <f>"42"</f>
        <v>42</v>
      </c>
      <c r="F4541" t="str">
        <f t="shared" si="163"/>
        <v>52110900</v>
      </c>
      <c r="H4541" t="s">
        <v>1991</v>
      </c>
      <c r="K4541" s="4">
        <v>12036000</v>
      </c>
    </row>
    <row r="4542" spans="1:11" hidden="1" outlineLevel="2" x14ac:dyDescent="0.35">
      <c r="A4542" t="s">
        <v>1986</v>
      </c>
      <c r="B4542" s="1">
        <v>45728</v>
      </c>
      <c r="C4542" t="str">
        <f>"53"</f>
        <v>53</v>
      </c>
      <c r="F4542" t="str">
        <f t="shared" si="163"/>
        <v>52110900</v>
      </c>
      <c r="H4542" t="s">
        <v>1992</v>
      </c>
      <c r="K4542" s="4">
        <v>6018100</v>
      </c>
    </row>
    <row r="4543" spans="1:11" hidden="1" outlineLevel="2" x14ac:dyDescent="0.35">
      <c r="A4543" t="s">
        <v>1986</v>
      </c>
      <c r="B4543" s="1">
        <v>45728</v>
      </c>
      <c r="C4543" t="str">
        <f>"54"</f>
        <v>54</v>
      </c>
      <c r="F4543" t="str">
        <f t="shared" si="163"/>
        <v>52110900</v>
      </c>
      <c r="H4543" t="s">
        <v>1993</v>
      </c>
      <c r="K4543" s="4">
        <v>4015063</v>
      </c>
    </row>
    <row r="4544" spans="1:11" hidden="1" outlineLevel="2" x14ac:dyDescent="0.35">
      <c r="A4544" t="s">
        <v>1986</v>
      </c>
      <c r="B4544" s="1">
        <v>45728</v>
      </c>
      <c r="C4544" t="str">
        <f>"55"</f>
        <v>55</v>
      </c>
      <c r="F4544" t="str">
        <f t="shared" si="163"/>
        <v>52110900</v>
      </c>
      <c r="H4544" t="s">
        <v>1994</v>
      </c>
      <c r="K4544" s="4">
        <v>4644389</v>
      </c>
    </row>
    <row r="4545" spans="1:11" hidden="1" outlineLevel="2" x14ac:dyDescent="0.35">
      <c r="A4545" t="s">
        <v>1986</v>
      </c>
      <c r="B4545" s="1">
        <v>45728</v>
      </c>
      <c r="C4545" t="str">
        <f>"56"</f>
        <v>56</v>
      </c>
      <c r="F4545" t="str">
        <f t="shared" si="163"/>
        <v>52110900</v>
      </c>
      <c r="H4545" t="s">
        <v>1995</v>
      </c>
      <c r="K4545" s="4">
        <v>84960</v>
      </c>
    </row>
    <row r="4546" spans="1:11" hidden="1" outlineLevel="2" x14ac:dyDescent="0.35">
      <c r="A4546" t="s">
        <v>1986</v>
      </c>
      <c r="B4546" s="1">
        <v>45728</v>
      </c>
      <c r="C4546" t="str">
        <f>"60"</f>
        <v>60</v>
      </c>
      <c r="F4546" t="str">
        <f t="shared" si="163"/>
        <v>52110900</v>
      </c>
      <c r="H4546" t="s">
        <v>1996</v>
      </c>
      <c r="K4546" s="4">
        <v>15260600</v>
      </c>
    </row>
    <row r="4547" spans="1:11" hidden="1" outlineLevel="2" x14ac:dyDescent="0.35">
      <c r="A4547" t="s">
        <v>1986</v>
      </c>
      <c r="B4547" s="1">
        <v>45728</v>
      </c>
      <c r="C4547" t="str">
        <f>"61"</f>
        <v>61</v>
      </c>
      <c r="F4547" t="str">
        <f t="shared" si="163"/>
        <v>52110900</v>
      </c>
      <c r="H4547" t="s">
        <v>1997</v>
      </c>
      <c r="K4547" s="4">
        <v>1693046</v>
      </c>
    </row>
    <row r="4548" spans="1:11" hidden="1" outlineLevel="2" x14ac:dyDescent="0.35">
      <c r="A4548" t="s">
        <v>1986</v>
      </c>
      <c r="B4548" s="1">
        <v>45729</v>
      </c>
      <c r="C4548" t="str">
        <f>"50"</f>
        <v>50</v>
      </c>
      <c r="F4548" t="str">
        <f t="shared" si="163"/>
        <v>52110900</v>
      </c>
      <c r="H4548" t="s">
        <v>1998</v>
      </c>
      <c r="K4548" s="4">
        <v>-12312000</v>
      </c>
    </row>
    <row r="4549" spans="1:11" hidden="1" outlineLevel="2" x14ac:dyDescent="0.35">
      <c r="A4549" t="s">
        <v>1986</v>
      </c>
      <c r="B4549" s="1">
        <v>45729</v>
      </c>
      <c r="C4549" t="str">
        <f>"57"</f>
        <v>57</v>
      </c>
      <c r="F4549" t="str">
        <f t="shared" si="163"/>
        <v>52110900</v>
      </c>
      <c r="H4549" t="s">
        <v>1999</v>
      </c>
      <c r="K4549" s="4">
        <v>12240000</v>
      </c>
    </row>
    <row r="4550" spans="1:11" hidden="1" outlineLevel="2" x14ac:dyDescent="0.35">
      <c r="A4550" t="s">
        <v>1986</v>
      </c>
      <c r="B4550" s="1">
        <v>45729</v>
      </c>
      <c r="C4550" t="str">
        <f>"58"</f>
        <v>58</v>
      </c>
      <c r="F4550" t="str">
        <f t="shared" si="163"/>
        <v>52110900</v>
      </c>
      <c r="H4550" t="s">
        <v>2000</v>
      </c>
      <c r="K4550" s="4">
        <v>2000000</v>
      </c>
    </row>
    <row r="4551" spans="1:11" hidden="1" outlineLevel="2" x14ac:dyDescent="0.35">
      <c r="A4551" t="s">
        <v>1986</v>
      </c>
      <c r="B4551" s="1">
        <v>45729</v>
      </c>
      <c r="C4551" t="str">
        <f>"59"</f>
        <v>59</v>
      </c>
      <c r="F4551" t="str">
        <f t="shared" si="163"/>
        <v>52110900</v>
      </c>
      <c r="H4551" t="s">
        <v>2001</v>
      </c>
      <c r="K4551" s="4">
        <v>424800</v>
      </c>
    </row>
    <row r="4552" spans="1:11" hidden="1" outlineLevel="2" x14ac:dyDescent="0.35">
      <c r="A4552" t="s">
        <v>1986</v>
      </c>
      <c r="B4552" s="1">
        <v>45729</v>
      </c>
      <c r="C4552" t="str">
        <f>"62"</f>
        <v>62</v>
      </c>
      <c r="F4552" t="str">
        <f t="shared" si="163"/>
        <v>52110900</v>
      </c>
      <c r="H4552" t="s">
        <v>2002</v>
      </c>
      <c r="K4552" s="4">
        <v>-2000000</v>
      </c>
    </row>
    <row r="4553" spans="1:11" hidden="1" outlineLevel="2" x14ac:dyDescent="0.35">
      <c r="A4553" t="s">
        <v>1986</v>
      </c>
      <c r="B4553" s="1">
        <v>45730</v>
      </c>
      <c r="C4553" t="str">
        <f>"63"</f>
        <v>63</v>
      </c>
      <c r="F4553" t="str">
        <f t="shared" si="163"/>
        <v>52110900</v>
      </c>
      <c r="H4553" t="s">
        <v>2003</v>
      </c>
      <c r="K4553" s="4">
        <v>2000000</v>
      </c>
    </row>
    <row r="4554" spans="1:11" hidden="1" outlineLevel="2" x14ac:dyDescent="0.35">
      <c r="A4554" t="s">
        <v>1986</v>
      </c>
      <c r="B4554" s="1">
        <v>45730</v>
      </c>
      <c r="C4554" t="str">
        <f>"68"</f>
        <v>68</v>
      </c>
      <c r="F4554" t="str">
        <f t="shared" si="163"/>
        <v>52110900</v>
      </c>
      <c r="H4554" t="s">
        <v>2004</v>
      </c>
      <c r="K4554" s="4">
        <v>55000</v>
      </c>
    </row>
    <row r="4555" spans="1:11" hidden="1" outlineLevel="2" x14ac:dyDescent="0.35">
      <c r="A4555" t="s">
        <v>1986</v>
      </c>
      <c r="B4555" s="1">
        <v>45733</v>
      </c>
      <c r="C4555" t="str">
        <f>"64"</f>
        <v>64</v>
      </c>
      <c r="F4555" t="str">
        <f t="shared" si="163"/>
        <v>52110900</v>
      </c>
      <c r="H4555" t="s">
        <v>2005</v>
      </c>
      <c r="K4555" s="4">
        <v>875000</v>
      </c>
    </row>
    <row r="4556" spans="1:11" hidden="1" outlineLevel="2" x14ac:dyDescent="0.35">
      <c r="A4556" t="s">
        <v>1986</v>
      </c>
      <c r="B4556" s="1">
        <v>45735</v>
      </c>
      <c r="C4556" t="str">
        <f>"69"</f>
        <v>69</v>
      </c>
      <c r="F4556" t="str">
        <f t="shared" si="163"/>
        <v>52110900</v>
      </c>
      <c r="H4556" t="s">
        <v>58</v>
      </c>
      <c r="K4556" s="4">
        <v>38500</v>
      </c>
    </row>
    <row r="4557" spans="1:11" hidden="1" outlineLevel="2" x14ac:dyDescent="0.35">
      <c r="A4557" t="s">
        <v>1986</v>
      </c>
      <c r="B4557" s="1">
        <v>45735</v>
      </c>
      <c r="C4557" t="str">
        <f>"70"</f>
        <v>70</v>
      </c>
      <c r="F4557" t="str">
        <f t="shared" si="163"/>
        <v>52110900</v>
      </c>
      <c r="H4557" t="s">
        <v>58</v>
      </c>
      <c r="K4557" s="4">
        <v>38500</v>
      </c>
    </row>
    <row r="4558" spans="1:11" hidden="1" outlineLevel="2" x14ac:dyDescent="0.35">
      <c r="A4558" t="s">
        <v>1986</v>
      </c>
      <c r="B4558" s="1">
        <v>45735</v>
      </c>
      <c r="C4558" t="str">
        <f>"80"</f>
        <v>80</v>
      </c>
      <c r="F4558" t="str">
        <f t="shared" si="163"/>
        <v>52110900</v>
      </c>
      <c r="H4558" t="s">
        <v>1851</v>
      </c>
      <c r="K4558" s="4">
        <v>110000</v>
      </c>
    </row>
    <row r="4559" spans="1:11" hidden="1" outlineLevel="2" x14ac:dyDescent="0.35">
      <c r="A4559" t="s">
        <v>1986</v>
      </c>
      <c r="B4559" s="1">
        <v>45736</v>
      </c>
      <c r="C4559" t="str">
        <f>"66"</f>
        <v>66</v>
      </c>
      <c r="F4559" t="str">
        <f t="shared" si="163"/>
        <v>52110900</v>
      </c>
      <c r="H4559" t="s">
        <v>2006</v>
      </c>
      <c r="J4559" s="4">
        <v>20000000</v>
      </c>
    </row>
    <row r="4560" spans="1:11" hidden="1" outlineLevel="2" x14ac:dyDescent="0.35">
      <c r="A4560" t="s">
        <v>1986</v>
      </c>
      <c r="B4560" s="1">
        <v>45736</v>
      </c>
      <c r="C4560" t="str">
        <f>"71"</f>
        <v>71</v>
      </c>
      <c r="F4560" t="str">
        <f t="shared" si="163"/>
        <v>52110900</v>
      </c>
      <c r="H4560" t="s">
        <v>58</v>
      </c>
      <c r="K4560" s="4">
        <v>55000</v>
      </c>
    </row>
    <row r="4561" spans="1:11" hidden="1" outlineLevel="2" x14ac:dyDescent="0.35">
      <c r="A4561" t="s">
        <v>1986</v>
      </c>
      <c r="B4561" s="1">
        <v>45736</v>
      </c>
      <c r="C4561" t="str">
        <f>"72"</f>
        <v>72</v>
      </c>
      <c r="F4561" t="str">
        <f t="shared" si="163"/>
        <v>52110900</v>
      </c>
      <c r="H4561" t="s">
        <v>58</v>
      </c>
      <c r="K4561" s="4">
        <v>55000</v>
      </c>
    </row>
    <row r="4562" spans="1:11" hidden="1" outlineLevel="2" x14ac:dyDescent="0.35">
      <c r="A4562" t="s">
        <v>1986</v>
      </c>
      <c r="B4562" s="1">
        <v>45736</v>
      </c>
      <c r="C4562" t="str">
        <f>"75"</f>
        <v>75</v>
      </c>
      <c r="F4562" t="str">
        <f t="shared" si="163"/>
        <v>52110900</v>
      </c>
      <c r="H4562" t="s">
        <v>2007</v>
      </c>
      <c r="K4562" s="4">
        <v>172800</v>
      </c>
    </row>
    <row r="4563" spans="1:11" hidden="1" outlineLevel="2" x14ac:dyDescent="0.35">
      <c r="A4563" t="s">
        <v>1986</v>
      </c>
      <c r="B4563" s="1">
        <v>45736</v>
      </c>
      <c r="C4563" t="str">
        <f>"76"</f>
        <v>76</v>
      </c>
      <c r="F4563" t="str">
        <f t="shared" si="163"/>
        <v>52110900</v>
      </c>
      <c r="H4563" t="s">
        <v>2008</v>
      </c>
      <c r="K4563" s="4">
        <v>519200</v>
      </c>
    </row>
    <row r="4564" spans="1:11" hidden="1" outlineLevel="2" x14ac:dyDescent="0.35">
      <c r="A4564" t="s">
        <v>1986</v>
      </c>
      <c r="B4564" s="1">
        <v>45736</v>
      </c>
      <c r="C4564" t="str">
        <f>"77"</f>
        <v>77</v>
      </c>
      <c r="F4564" t="str">
        <f t="shared" si="163"/>
        <v>52110900</v>
      </c>
      <c r="H4564" t="s">
        <v>2009</v>
      </c>
      <c r="K4564" s="4">
        <v>660001</v>
      </c>
    </row>
    <row r="4565" spans="1:11" hidden="1" outlineLevel="2" x14ac:dyDescent="0.35">
      <c r="A4565" t="s">
        <v>1986</v>
      </c>
      <c r="B4565" s="1">
        <v>45736</v>
      </c>
      <c r="C4565" t="str">
        <f>"81"</f>
        <v>81</v>
      </c>
      <c r="F4565" t="str">
        <f t="shared" si="163"/>
        <v>52110900</v>
      </c>
      <c r="H4565" t="s">
        <v>2010</v>
      </c>
      <c r="K4565" s="4">
        <v>2242000</v>
      </c>
    </row>
    <row r="4566" spans="1:11" hidden="1" outlineLevel="2" x14ac:dyDescent="0.35">
      <c r="A4566" t="s">
        <v>1986</v>
      </c>
      <c r="B4566" s="1">
        <v>45738</v>
      </c>
      <c r="C4566" t="str">
        <f>"73"</f>
        <v>73</v>
      </c>
      <c r="F4566" t="str">
        <f t="shared" si="163"/>
        <v>52110900</v>
      </c>
      <c r="H4566" t="s">
        <v>2011</v>
      </c>
      <c r="K4566" s="4">
        <v>12858874</v>
      </c>
    </row>
    <row r="4567" spans="1:11" hidden="1" outlineLevel="2" x14ac:dyDescent="0.35">
      <c r="A4567" t="s">
        <v>1986</v>
      </c>
      <c r="B4567" s="1">
        <v>45740</v>
      </c>
      <c r="C4567" t="str">
        <f>"74"</f>
        <v>74</v>
      </c>
      <c r="F4567" t="str">
        <f t="shared" si="163"/>
        <v>52110900</v>
      </c>
      <c r="H4567" t="s">
        <v>2013</v>
      </c>
      <c r="K4567" s="4">
        <v>4286767</v>
      </c>
    </row>
    <row r="4568" spans="1:11" hidden="1" outlineLevel="2" x14ac:dyDescent="0.35">
      <c r="A4568" t="s">
        <v>1986</v>
      </c>
      <c r="B4568" s="1">
        <v>45740</v>
      </c>
      <c r="C4568" t="str">
        <f>"78"</f>
        <v>78</v>
      </c>
      <c r="F4568" t="str">
        <f t="shared" si="163"/>
        <v>52110900</v>
      </c>
      <c r="H4568" t="s">
        <v>2014</v>
      </c>
      <c r="J4568" s="4">
        <v>2242000</v>
      </c>
    </row>
    <row r="4569" spans="1:11" hidden="1" outlineLevel="2" x14ac:dyDescent="0.35">
      <c r="A4569" t="s">
        <v>1986</v>
      </c>
      <c r="B4569" s="1">
        <v>45740</v>
      </c>
      <c r="C4569" t="str">
        <f>"79"</f>
        <v>79</v>
      </c>
      <c r="F4569" t="str">
        <f t="shared" si="163"/>
        <v>52110900</v>
      </c>
      <c r="H4569" t="s">
        <v>2015</v>
      </c>
      <c r="J4569" s="4">
        <v>1180000</v>
      </c>
    </row>
    <row r="4570" spans="1:11" hidden="1" outlineLevel="2" x14ac:dyDescent="0.35">
      <c r="A4570" t="s">
        <v>1986</v>
      </c>
      <c r="B4570" s="1">
        <v>45744</v>
      </c>
      <c r="C4570" t="str">
        <f>"82"</f>
        <v>82</v>
      </c>
      <c r="F4570" t="str">
        <f t="shared" si="163"/>
        <v>52110900</v>
      </c>
      <c r="H4570" t="s">
        <v>1851</v>
      </c>
      <c r="K4570" s="4">
        <v>16500</v>
      </c>
    </row>
    <row r="4571" spans="1:11" hidden="1" outlineLevel="2" x14ac:dyDescent="0.35">
      <c r="A4571" t="s">
        <v>1986</v>
      </c>
      <c r="B4571" s="1">
        <v>45744</v>
      </c>
      <c r="C4571" t="str">
        <f>"83"</f>
        <v>83</v>
      </c>
      <c r="F4571" t="str">
        <f t="shared" si="163"/>
        <v>52110900</v>
      </c>
      <c r="H4571" t="s">
        <v>1851</v>
      </c>
      <c r="K4571" s="4">
        <v>20000</v>
      </c>
    </row>
    <row r="4572" spans="1:11" hidden="1" outlineLevel="2" x14ac:dyDescent="0.35">
      <c r="A4572" t="s">
        <v>1986</v>
      </c>
      <c r="B4572" s="1">
        <v>45744</v>
      </c>
      <c r="C4572" t="str">
        <f>"84"</f>
        <v>84</v>
      </c>
      <c r="F4572" t="str">
        <f t="shared" si="163"/>
        <v>52110900</v>
      </c>
      <c r="H4572" t="s">
        <v>1851</v>
      </c>
      <c r="K4572" s="4">
        <v>79350</v>
      </c>
    </row>
    <row r="4573" spans="1:11" hidden="1" outlineLevel="2" x14ac:dyDescent="0.35">
      <c r="A4573" t="s">
        <v>1986</v>
      </c>
      <c r="B4573" s="1">
        <v>45744</v>
      </c>
      <c r="C4573" t="str">
        <f>"85"</f>
        <v>85</v>
      </c>
      <c r="F4573" t="str">
        <f t="shared" si="163"/>
        <v>52110900</v>
      </c>
      <c r="H4573" t="s">
        <v>1851</v>
      </c>
      <c r="K4573" s="4">
        <v>2000</v>
      </c>
    </row>
    <row r="4574" spans="1:11" outlineLevel="1" collapsed="1" x14ac:dyDescent="0.35">
      <c r="B4574" s="1"/>
      <c r="F4574" s="3" t="s">
        <v>6595</v>
      </c>
      <c r="J4574" s="4">
        <f>SUBTOTAL(9,J4537:J4573)</f>
        <v>31075800</v>
      </c>
      <c r="K4574" s="4">
        <f>SUBTOTAL(9,K4537:K4573)</f>
        <v>57847421</v>
      </c>
    </row>
    <row r="4575" spans="1:11" hidden="1" outlineLevel="2" x14ac:dyDescent="0.35">
      <c r="A4575" t="s">
        <v>3056</v>
      </c>
      <c r="B4575" s="1">
        <v>45717</v>
      </c>
      <c r="C4575" t="str">
        <f>"173"</f>
        <v>173</v>
      </c>
      <c r="F4575" t="str">
        <f t="shared" ref="F4575:F4606" si="164">"55410500"</f>
        <v>55410500</v>
      </c>
      <c r="H4575" t="s">
        <v>3057</v>
      </c>
      <c r="K4575" s="4">
        <v>79167</v>
      </c>
    </row>
    <row r="4576" spans="1:11" hidden="1" outlineLevel="2" x14ac:dyDescent="0.35">
      <c r="A4576" t="s">
        <v>3056</v>
      </c>
      <c r="B4576" s="1">
        <v>45719</v>
      </c>
      <c r="C4576" t="str">
        <f>"145"</f>
        <v>145</v>
      </c>
      <c r="F4576" t="str">
        <f t="shared" si="164"/>
        <v>55410500</v>
      </c>
      <c r="H4576" t="s">
        <v>3058</v>
      </c>
      <c r="K4576" s="4">
        <v>1883197</v>
      </c>
    </row>
    <row r="4577" spans="1:11" hidden="1" outlineLevel="2" x14ac:dyDescent="0.35">
      <c r="A4577" t="s">
        <v>3056</v>
      </c>
      <c r="B4577" s="1">
        <v>45719</v>
      </c>
      <c r="C4577" t="str">
        <f>"146"</f>
        <v>146</v>
      </c>
      <c r="F4577" t="str">
        <f t="shared" si="164"/>
        <v>55410500</v>
      </c>
      <c r="H4577" t="s">
        <v>3059</v>
      </c>
      <c r="K4577" s="4">
        <v>6553570</v>
      </c>
    </row>
    <row r="4578" spans="1:11" hidden="1" outlineLevel="2" x14ac:dyDescent="0.35">
      <c r="A4578" t="s">
        <v>3056</v>
      </c>
      <c r="B4578" s="1">
        <v>45720</v>
      </c>
      <c r="C4578" t="str">
        <f>"147"</f>
        <v>147</v>
      </c>
      <c r="F4578" t="str">
        <f t="shared" si="164"/>
        <v>55410500</v>
      </c>
      <c r="H4578" t="s">
        <v>3060</v>
      </c>
      <c r="K4578" s="4">
        <v>212995</v>
      </c>
    </row>
    <row r="4579" spans="1:11" hidden="1" outlineLevel="2" x14ac:dyDescent="0.35">
      <c r="A4579" t="s">
        <v>3056</v>
      </c>
      <c r="B4579" s="1">
        <v>45720</v>
      </c>
      <c r="C4579" t="str">
        <f>"149"</f>
        <v>149</v>
      </c>
      <c r="F4579" t="str">
        <f t="shared" si="164"/>
        <v>55410500</v>
      </c>
      <c r="H4579" t="s">
        <v>3061</v>
      </c>
      <c r="K4579" s="4">
        <v>998415</v>
      </c>
    </row>
    <row r="4580" spans="1:11" hidden="1" outlineLevel="2" x14ac:dyDescent="0.35">
      <c r="A4580" t="s">
        <v>3056</v>
      </c>
      <c r="B4580" s="1">
        <v>45720</v>
      </c>
      <c r="C4580" t="str">
        <f>"150"</f>
        <v>150</v>
      </c>
      <c r="F4580" t="str">
        <f t="shared" si="164"/>
        <v>55410500</v>
      </c>
      <c r="H4580" t="s">
        <v>3062</v>
      </c>
      <c r="K4580" s="4">
        <v>141190</v>
      </c>
    </row>
    <row r="4581" spans="1:11" hidden="1" outlineLevel="2" x14ac:dyDescent="0.35">
      <c r="A4581" t="s">
        <v>3056</v>
      </c>
      <c r="B4581" s="1">
        <v>45720</v>
      </c>
      <c r="C4581" t="str">
        <f>"151"</f>
        <v>151</v>
      </c>
      <c r="F4581" t="str">
        <f t="shared" si="164"/>
        <v>55410500</v>
      </c>
      <c r="H4581" t="s">
        <v>3065</v>
      </c>
      <c r="K4581" s="4">
        <v>201700</v>
      </c>
    </row>
    <row r="4582" spans="1:11" hidden="1" outlineLevel="2" x14ac:dyDescent="0.35">
      <c r="A4582" t="s">
        <v>3056</v>
      </c>
      <c r="B4582" s="1">
        <v>45720</v>
      </c>
      <c r="C4582" t="str">
        <f>"174"</f>
        <v>174</v>
      </c>
      <c r="E4582" t="str">
        <f>"1283"</f>
        <v>1283</v>
      </c>
      <c r="F4582" t="str">
        <f t="shared" si="164"/>
        <v>55410500</v>
      </c>
      <c r="H4582" t="s">
        <v>127</v>
      </c>
      <c r="J4582" s="4">
        <v>214760</v>
      </c>
    </row>
    <row r="4583" spans="1:11" hidden="1" outlineLevel="2" x14ac:dyDescent="0.35">
      <c r="A4583" t="s">
        <v>3056</v>
      </c>
      <c r="B4583" s="1">
        <v>45721</v>
      </c>
      <c r="C4583" t="str">
        <f>"152"</f>
        <v>152</v>
      </c>
      <c r="F4583" t="str">
        <f t="shared" si="164"/>
        <v>55410500</v>
      </c>
      <c r="H4583" t="s">
        <v>3066</v>
      </c>
      <c r="K4583" s="4">
        <v>242040</v>
      </c>
    </row>
    <row r="4584" spans="1:11" hidden="1" outlineLevel="2" x14ac:dyDescent="0.35">
      <c r="A4584" t="s">
        <v>3056</v>
      </c>
      <c r="B4584" s="1">
        <v>45722</v>
      </c>
      <c r="C4584" t="str">
        <f>"153"</f>
        <v>153</v>
      </c>
      <c r="F4584" t="str">
        <f t="shared" si="164"/>
        <v>55410500</v>
      </c>
      <c r="H4584" t="s">
        <v>3067</v>
      </c>
      <c r="K4584" s="4">
        <v>282380</v>
      </c>
    </row>
    <row r="4585" spans="1:11" hidden="1" outlineLevel="2" x14ac:dyDescent="0.35">
      <c r="A4585" t="s">
        <v>3056</v>
      </c>
      <c r="B4585" s="1">
        <v>45722</v>
      </c>
      <c r="C4585" t="str">
        <f>"155"</f>
        <v>155</v>
      </c>
      <c r="F4585" t="str">
        <f t="shared" si="164"/>
        <v>55410500</v>
      </c>
      <c r="H4585" t="s">
        <v>3068</v>
      </c>
      <c r="K4585" s="4">
        <v>156318</v>
      </c>
    </row>
    <row r="4586" spans="1:11" hidden="1" outlineLevel="2" x14ac:dyDescent="0.35">
      <c r="A4586" t="s">
        <v>3056</v>
      </c>
      <c r="B4586" s="1">
        <v>45722</v>
      </c>
      <c r="C4586" t="str">
        <f>"175"</f>
        <v>175</v>
      </c>
      <c r="E4586" t="str">
        <f>"1284"</f>
        <v>1284</v>
      </c>
      <c r="F4586" t="str">
        <f t="shared" si="164"/>
        <v>55410500</v>
      </c>
      <c r="H4586" t="s">
        <v>128</v>
      </c>
      <c r="J4586" s="4">
        <v>859040</v>
      </c>
    </row>
    <row r="4587" spans="1:11" hidden="1" outlineLevel="2" x14ac:dyDescent="0.35">
      <c r="A4587" t="s">
        <v>3056</v>
      </c>
      <c r="B4587" s="1">
        <v>45722</v>
      </c>
      <c r="C4587" t="str">
        <f>"176"</f>
        <v>176</v>
      </c>
      <c r="E4587" t="str">
        <f>"1285"</f>
        <v>1285</v>
      </c>
      <c r="F4587" t="str">
        <f t="shared" si="164"/>
        <v>55410500</v>
      </c>
      <c r="H4587" t="s">
        <v>127</v>
      </c>
      <c r="J4587" s="4">
        <v>214760</v>
      </c>
    </row>
    <row r="4588" spans="1:11" hidden="1" outlineLevel="2" x14ac:dyDescent="0.35">
      <c r="A4588" t="s">
        <v>3056</v>
      </c>
      <c r="B4588" s="1">
        <v>45723</v>
      </c>
      <c r="C4588" t="str">
        <f>"156"</f>
        <v>156</v>
      </c>
      <c r="F4588" t="str">
        <f t="shared" si="164"/>
        <v>55410500</v>
      </c>
      <c r="H4588" t="s">
        <v>3069</v>
      </c>
      <c r="K4588" s="4">
        <v>205682</v>
      </c>
    </row>
    <row r="4589" spans="1:11" hidden="1" outlineLevel="2" x14ac:dyDescent="0.35">
      <c r="A4589" t="s">
        <v>3056</v>
      </c>
      <c r="B4589" s="1">
        <v>45726</v>
      </c>
      <c r="C4589" t="str">
        <f>"144"</f>
        <v>144</v>
      </c>
      <c r="F4589" t="str">
        <f t="shared" si="164"/>
        <v>55410500</v>
      </c>
      <c r="H4589" t="s">
        <v>3070</v>
      </c>
      <c r="J4589" s="4">
        <v>10000000</v>
      </c>
    </row>
    <row r="4590" spans="1:11" hidden="1" outlineLevel="2" x14ac:dyDescent="0.35">
      <c r="A4590" t="s">
        <v>3056</v>
      </c>
      <c r="B4590" s="1">
        <v>45726</v>
      </c>
      <c r="C4590" t="str">
        <f>"157"</f>
        <v>157</v>
      </c>
      <c r="F4590" t="str">
        <f t="shared" si="164"/>
        <v>55410500</v>
      </c>
      <c r="H4590" t="s">
        <v>3071</v>
      </c>
      <c r="K4590" s="4">
        <v>3025500</v>
      </c>
    </row>
    <row r="4591" spans="1:11" hidden="1" outlineLevel="2" x14ac:dyDescent="0.35">
      <c r="A4591" t="s">
        <v>3056</v>
      </c>
      <c r="B4591" s="1">
        <v>45726</v>
      </c>
      <c r="C4591" t="str">
        <f>"158"</f>
        <v>158</v>
      </c>
      <c r="F4591" t="str">
        <f t="shared" si="164"/>
        <v>55410500</v>
      </c>
      <c r="H4591" t="s">
        <v>3072</v>
      </c>
      <c r="K4591" s="4">
        <v>1512750</v>
      </c>
    </row>
    <row r="4592" spans="1:11" hidden="1" outlineLevel="2" x14ac:dyDescent="0.35">
      <c r="A4592" t="s">
        <v>3056</v>
      </c>
      <c r="B4592" s="1">
        <v>45726</v>
      </c>
      <c r="C4592" t="str">
        <f>"159"</f>
        <v>159</v>
      </c>
      <c r="F4592" t="str">
        <f t="shared" si="164"/>
        <v>55410500</v>
      </c>
      <c r="H4592" t="s">
        <v>3073</v>
      </c>
      <c r="K4592" s="4">
        <v>109926</v>
      </c>
    </row>
    <row r="4593" spans="1:11" hidden="1" outlineLevel="2" x14ac:dyDescent="0.35">
      <c r="A4593" t="s">
        <v>3056</v>
      </c>
      <c r="B4593" s="1">
        <v>45726</v>
      </c>
      <c r="C4593" t="str">
        <f>"160"</f>
        <v>160</v>
      </c>
      <c r="F4593" t="str">
        <f t="shared" si="164"/>
        <v>55410500</v>
      </c>
      <c r="H4593" t="s">
        <v>3074</v>
      </c>
      <c r="K4593" s="4">
        <v>3524718</v>
      </c>
    </row>
    <row r="4594" spans="1:11" hidden="1" outlineLevel="2" x14ac:dyDescent="0.35">
      <c r="A4594" t="s">
        <v>3056</v>
      </c>
      <c r="B4594" s="1">
        <v>45726</v>
      </c>
      <c r="C4594" t="str">
        <f>"177"</f>
        <v>177</v>
      </c>
      <c r="E4594" t="str">
        <f>"1286"</f>
        <v>1286</v>
      </c>
      <c r="F4594" t="str">
        <f t="shared" si="164"/>
        <v>55410500</v>
      </c>
      <c r="H4594" t="s">
        <v>127</v>
      </c>
      <c r="J4594" s="4">
        <v>859040</v>
      </c>
    </row>
    <row r="4595" spans="1:11" hidden="1" outlineLevel="2" x14ac:dyDescent="0.35">
      <c r="A4595" t="s">
        <v>3056</v>
      </c>
      <c r="B4595" s="1">
        <v>45727</v>
      </c>
      <c r="C4595" t="str">
        <f>"161"</f>
        <v>161</v>
      </c>
      <c r="F4595" t="str">
        <f t="shared" si="164"/>
        <v>55410500</v>
      </c>
      <c r="H4595" t="s">
        <v>3075</v>
      </c>
      <c r="K4595" s="4">
        <v>225904</v>
      </c>
    </row>
    <row r="4596" spans="1:11" hidden="1" outlineLevel="2" x14ac:dyDescent="0.35">
      <c r="A4596" t="s">
        <v>3056</v>
      </c>
      <c r="B4596" s="1">
        <v>45727</v>
      </c>
      <c r="C4596" t="str">
        <f>"162"</f>
        <v>162</v>
      </c>
      <c r="F4596" t="str">
        <f t="shared" si="164"/>
        <v>55410500</v>
      </c>
      <c r="H4596" t="s">
        <v>3076</v>
      </c>
      <c r="K4596" s="4">
        <v>322384</v>
      </c>
    </row>
    <row r="4597" spans="1:11" hidden="1" outlineLevel="2" x14ac:dyDescent="0.35">
      <c r="A4597" t="s">
        <v>3056</v>
      </c>
      <c r="B4597" s="1">
        <v>45728</v>
      </c>
      <c r="C4597" t="str">
        <f>"163"</f>
        <v>163</v>
      </c>
      <c r="F4597" t="str">
        <f t="shared" si="164"/>
        <v>55410500</v>
      </c>
      <c r="H4597" t="s">
        <v>3077</v>
      </c>
      <c r="K4597" s="4">
        <v>226912</v>
      </c>
    </row>
    <row r="4598" spans="1:11" hidden="1" outlineLevel="2" x14ac:dyDescent="0.35">
      <c r="A4598" t="s">
        <v>3056</v>
      </c>
      <c r="B4598" s="1">
        <v>45729</v>
      </c>
      <c r="C4598" t="str">
        <f>"164"</f>
        <v>164</v>
      </c>
      <c r="F4598" t="str">
        <f t="shared" si="164"/>
        <v>55410500</v>
      </c>
      <c r="H4598" t="s">
        <v>3078</v>
      </c>
      <c r="K4598" s="4">
        <v>72612</v>
      </c>
    </row>
    <row r="4599" spans="1:11" hidden="1" outlineLevel="2" x14ac:dyDescent="0.35">
      <c r="A4599" t="s">
        <v>3056</v>
      </c>
      <c r="B4599" s="1">
        <v>45729</v>
      </c>
      <c r="C4599" t="str">
        <f>"165"</f>
        <v>165</v>
      </c>
      <c r="F4599" t="str">
        <f t="shared" si="164"/>
        <v>55410500</v>
      </c>
      <c r="H4599" t="s">
        <v>3079</v>
      </c>
      <c r="K4599" s="4">
        <v>35298</v>
      </c>
    </row>
    <row r="4600" spans="1:11" hidden="1" outlineLevel="2" x14ac:dyDescent="0.35">
      <c r="A4600" t="s">
        <v>3056</v>
      </c>
      <c r="B4600" s="1">
        <v>45729</v>
      </c>
      <c r="C4600" t="str">
        <f>"178"</f>
        <v>178</v>
      </c>
      <c r="E4600" t="str">
        <f>"1287"</f>
        <v>1287</v>
      </c>
      <c r="F4600" t="str">
        <f t="shared" si="164"/>
        <v>55410500</v>
      </c>
      <c r="H4600" t="s">
        <v>3080</v>
      </c>
      <c r="J4600" s="4">
        <v>429520</v>
      </c>
    </row>
    <row r="4601" spans="1:11" hidden="1" outlineLevel="2" x14ac:dyDescent="0.35">
      <c r="A4601" t="s">
        <v>3056</v>
      </c>
      <c r="B4601" s="1">
        <v>45730</v>
      </c>
      <c r="C4601" t="str">
        <f>"166"</f>
        <v>166</v>
      </c>
      <c r="F4601" t="str">
        <f t="shared" si="164"/>
        <v>55410500</v>
      </c>
      <c r="H4601" t="s">
        <v>3081</v>
      </c>
      <c r="K4601" s="4">
        <v>322720</v>
      </c>
    </row>
    <row r="4602" spans="1:11" hidden="1" outlineLevel="2" x14ac:dyDescent="0.35">
      <c r="A4602" t="s">
        <v>3056</v>
      </c>
      <c r="B4602" s="1">
        <v>45730</v>
      </c>
      <c r="C4602" t="str">
        <f>"167"</f>
        <v>167</v>
      </c>
      <c r="F4602" t="str">
        <f t="shared" si="164"/>
        <v>55410500</v>
      </c>
      <c r="H4602" t="s">
        <v>3082</v>
      </c>
      <c r="K4602" s="4">
        <v>105892</v>
      </c>
    </row>
    <row r="4603" spans="1:11" hidden="1" outlineLevel="2" x14ac:dyDescent="0.35">
      <c r="A4603" t="s">
        <v>3056</v>
      </c>
      <c r="B4603" s="1">
        <v>45730</v>
      </c>
      <c r="C4603" t="str">
        <f>"168"</f>
        <v>168</v>
      </c>
      <c r="F4603" t="str">
        <f t="shared" si="164"/>
        <v>55410500</v>
      </c>
      <c r="H4603" t="s">
        <v>3083</v>
      </c>
      <c r="K4603" s="4">
        <v>311626</v>
      </c>
    </row>
    <row r="4604" spans="1:11" hidden="1" outlineLevel="2" x14ac:dyDescent="0.35">
      <c r="A4604" t="s">
        <v>3056</v>
      </c>
      <c r="B4604" s="1">
        <v>45730</v>
      </c>
      <c r="C4604" t="str">
        <f>"169"</f>
        <v>169</v>
      </c>
      <c r="F4604" t="str">
        <f t="shared" si="164"/>
        <v>55410500</v>
      </c>
      <c r="H4604" t="s">
        <v>3084</v>
      </c>
      <c r="K4604" s="4">
        <v>121020</v>
      </c>
    </row>
    <row r="4605" spans="1:11" hidden="1" outlineLevel="2" x14ac:dyDescent="0.35">
      <c r="A4605" t="s">
        <v>3056</v>
      </c>
      <c r="B4605" s="1">
        <v>45730</v>
      </c>
      <c r="C4605" t="str">
        <f>"170"</f>
        <v>170</v>
      </c>
      <c r="F4605" t="str">
        <f t="shared" si="164"/>
        <v>55410500</v>
      </c>
      <c r="H4605" t="s">
        <v>3085</v>
      </c>
      <c r="K4605" s="4">
        <v>100850</v>
      </c>
    </row>
    <row r="4606" spans="1:11" hidden="1" outlineLevel="2" x14ac:dyDescent="0.35">
      <c r="A4606" t="s">
        <v>3056</v>
      </c>
      <c r="B4606" s="1">
        <v>45735</v>
      </c>
      <c r="C4606" t="str">
        <f>"171"</f>
        <v>171</v>
      </c>
      <c r="F4606" t="str">
        <f t="shared" si="164"/>
        <v>55410500</v>
      </c>
      <c r="H4606" t="s">
        <v>3086</v>
      </c>
      <c r="K4606" s="4">
        <v>504250</v>
      </c>
    </row>
    <row r="4607" spans="1:11" hidden="1" outlineLevel="2" x14ac:dyDescent="0.35">
      <c r="A4607" t="s">
        <v>3056</v>
      </c>
      <c r="B4607" s="1">
        <v>45735</v>
      </c>
      <c r="C4607" t="str">
        <f>"172"</f>
        <v>172</v>
      </c>
      <c r="F4607" t="str">
        <f t="shared" ref="F4607:F4635" si="165">"55410500"</f>
        <v>55410500</v>
      </c>
      <c r="H4607" t="s">
        <v>3087</v>
      </c>
      <c r="K4607" s="4">
        <v>1008500</v>
      </c>
    </row>
    <row r="4608" spans="1:11" hidden="1" outlineLevel="2" x14ac:dyDescent="0.35">
      <c r="A4608" t="s">
        <v>3056</v>
      </c>
      <c r="B4608" s="1">
        <v>45735</v>
      </c>
      <c r="C4608" t="str">
        <f>"179"</f>
        <v>179</v>
      </c>
      <c r="E4608" t="str">
        <f>"1288"</f>
        <v>1288</v>
      </c>
      <c r="F4608" t="str">
        <f t="shared" si="165"/>
        <v>55410500</v>
      </c>
      <c r="H4608" t="s">
        <v>3080</v>
      </c>
      <c r="J4608" s="4">
        <v>429520</v>
      </c>
    </row>
    <row r="4609" spans="1:11" hidden="1" outlineLevel="2" x14ac:dyDescent="0.35">
      <c r="A4609" t="s">
        <v>3056</v>
      </c>
      <c r="B4609" s="1">
        <v>45736</v>
      </c>
      <c r="C4609" t="str">
        <f>"180"</f>
        <v>180</v>
      </c>
      <c r="E4609" t="str">
        <f>"1289"</f>
        <v>1289</v>
      </c>
      <c r="F4609" t="str">
        <f t="shared" si="165"/>
        <v>55410500</v>
      </c>
      <c r="H4609" t="s">
        <v>127</v>
      </c>
      <c r="J4609" s="4">
        <v>644280</v>
      </c>
    </row>
    <row r="4610" spans="1:11" hidden="1" outlineLevel="2" x14ac:dyDescent="0.35">
      <c r="A4610" t="s">
        <v>3056</v>
      </c>
      <c r="B4610" s="1">
        <v>45736</v>
      </c>
      <c r="C4610" t="str">
        <f>"183"</f>
        <v>183</v>
      </c>
      <c r="F4610" t="str">
        <f t="shared" si="165"/>
        <v>55410500</v>
      </c>
      <c r="H4610" t="s">
        <v>3088</v>
      </c>
      <c r="K4610" s="4">
        <v>45382</v>
      </c>
    </row>
    <row r="4611" spans="1:11" hidden="1" outlineLevel="2" x14ac:dyDescent="0.35">
      <c r="A4611" t="s">
        <v>3056</v>
      </c>
      <c r="B4611" s="1">
        <v>45736</v>
      </c>
      <c r="C4611" t="str">
        <f>"184"</f>
        <v>184</v>
      </c>
      <c r="F4611" t="str">
        <f t="shared" si="165"/>
        <v>55410500</v>
      </c>
      <c r="H4611" t="s">
        <v>3089</v>
      </c>
      <c r="K4611" s="4">
        <v>45382</v>
      </c>
    </row>
    <row r="4612" spans="1:11" hidden="1" outlineLevel="2" x14ac:dyDescent="0.35">
      <c r="A4612" t="s">
        <v>3056</v>
      </c>
      <c r="B4612" s="1">
        <v>45736</v>
      </c>
      <c r="C4612" t="str">
        <f>"185"</f>
        <v>185</v>
      </c>
      <c r="F4612" t="str">
        <f t="shared" si="165"/>
        <v>55410500</v>
      </c>
      <c r="H4612" t="s">
        <v>3090</v>
      </c>
      <c r="K4612" s="4">
        <v>121020</v>
      </c>
    </row>
    <row r="4613" spans="1:11" hidden="1" outlineLevel="2" x14ac:dyDescent="0.35">
      <c r="A4613" t="s">
        <v>3056</v>
      </c>
      <c r="B4613" s="1">
        <v>45736</v>
      </c>
      <c r="C4613" t="str">
        <f>"186"</f>
        <v>186</v>
      </c>
      <c r="F4613" t="str">
        <f t="shared" si="165"/>
        <v>55410500</v>
      </c>
      <c r="H4613" t="s">
        <v>3091</v>
      </c>
      <c r="K4613" s="4">
        <v>216828</v>
      </c>
    </row>
    <row r="4614" spans="1:11" hidden="1" outlineLevel="2" x14ac:dyDescent="0.35">
      <c r="A4614" t="s">
        <v>3056</v>
      </c>
      <c r="B4614" s="1">
        <v>45736</v>
      </c>
      <c r="C4614" t="str">
        <f>"187"</f>
        <v>187</v>
      </c>
      <c r="F4614" t="str">
        <f t="shared" si="165"/>
        <v>55410500</v>
      </c>
      <c r="H4614" t="s">
        <v>3092</v>
      </c>
      <c r="K4614" s="4">
        <v>50425</v>
      </c>
    </row>
    <row r="4615" spans="1:11" hidden="1" outlineLevel="2" x14ac:dyDescent="0.35">
      <c r="A4615" t="s">
        <v>3056</v>
      </c>
      <c r="B4615" s="1">
        <v>45736</v>
      </c>
      <c r="C4615" t="str">
        <f>"205"</f>
        <v>205</v>
      </c>
      <c r="F4615" t="str">
        <f t="shared" si="165"/>
        <v>55410500</v>
      </c>
      <c r="H4615" t="s">
        <v>3093</v>
      </c>
      <c r="J4615" s="4">
        <v>15000000</v>
      </c>
    </row>
    <row r="4616" spans="1:11" hidden="1" outlineLevel="2" x14ac:dyDescent="0.35">
      <c r="A4616" t="s">
        <v>3056</v>
      </c>
      <c r="B4616" s="1">
        <v>45737</v>
      </c>
      <c r="C4616" t="str">
        <f>"188"</f>
        <v>188</v>
      </c>
      <c r="F4616" t="str">
        <f t="shared" si="165"/>
        <v>55410500</v>
      </c>
      <c r="H4616" t="s">
        <v>3094</v>
      </c>
      <c r="K4616" s="4">
        <v>302550</v>
      </c>
    </row>
    <row r="4617" spans="1:11" hidden="1" outlineLevel="2" x14ac:dyDescent="0.35">
      <c r="A4617" t="s">
        <v>3056</v>
      </c>
      <c r="B4617" s="1">
        <v>45737</v>
      </c>
      <c r="C4617" t="str">
        <f>"189"</f>
        <v>189</v>
      </c>
      <c r="F4617" t="str">
        <f t="shared" si="165"/>
        <v>55410500</v>
      </c>
      <c r="H4617" t="s">
        <v>3087</v>
      </c>
      <c r="K4617" s="4">
        <v>1008500</v>
      </c>
    </row>
    <row r="4618" spans="1:11" hidden="1" outlineLevel="2" x14ac:dyDescent="0.35">
      <c r="A4618" t="s">
        <v>3056</v>
      </c>
      <c r="B4618" s="1">
        <v>45737</v>
      </c>
      <c r="C4618" t="str">
        <f>"190"</f>
        <v>190</v>
      </c>
      <c r="F4618" t="str">
        <f t="shared" si="165"/>
        <v>55410500</v>
      </c>
      <c r="H4618" t="s">
        <v>3095</v>
      </c>
      <c r="K4618" s="4">
        <v>13534173</v>
      </c>
    </row>
    <row r="4619" spans="1:11" hidden="1" outlineLevel="2" x14ac:dyDescent="0.35">
      <c r="A4619" t="s">
        <v>3056</v>
      </c>
      <c r="B4619" s="1">
        <v>45740</v>
      </c>
      <c r="C4619" t="str">
        <f>"181"</f>
        <v>181</v>
      </c>
      <c r="E4619" t="str">
        <f>"1290"</f>
        <v>1290</v>
      </c>
      <c r="F4619" t="str">
        <f t="shared" si="165"/>
        <v>55410500</v>
      </c>
      <c r="H4619" t="s">
        <v>130</v>
      </c>
      <c r="J4619" s="4">
        <v>214760</v>
      </c>
    </row>
    <row r="4620" spans="1:11" hidden="1" outlineLevel="2" x14ac:dyDescent="0.35">
      <c r="A4620" t="s">
        <v>3056</v>
      </c>
      <c r="B4620" s="1">
        <v>45740</v>
      </c>
      <c r="C4620" t="str">
        <f>"191"</f>
        <v>191</v>
      </c>
      <c r="F4620" t="str">
        <f t="shared" si="165"/>
        <v>55410500</v>
      </c>
      <c r="H4620" t="s">
        <v>3096</v>
      </c>
      <c r="K4620" s="4">
        <v>302550</v>
      </c>
    </row>
    <row r="4621" spans="1:11" hidden="1" outlineLevel="2" x14ac:dyDescent="0.35">
      <c r="A4621" t="s">
        <v>3056</v>
      </c>
      <c r="B4621" s="1">
        <v>45740</v>
      </c>
      <c r="C4621" t="str">
        <f>"192"</f>
        <v>192</v>
      </c>
      <c r="F4621" t="str">
        <f t="shared" si="165"/>
        <v>55410500</v>
      </c>
      <c r="H4621" t="s">
        <v>3097</v>
      </c>
      <c r="K4621" s="4">
        <v>118073</v>
      </c>
    </row>
    <row r="4622" spans="1:11" hidden="1" outlineLevel="2" x14ac:dyDescent="0.35">
      <c r="A4622" t="s">
        <v>3056</v>
      </c>
      <c r="B4622" s="1">
        <v>45740</v>
      </c>
      <c r="C4622" t="str">
        <f>"193"</f>
        <v>193</v>
      </c>
      <c r="F4622" t="str">
        <f t="shared" si="165"/>
        <v>55410500</v>
      </c>
      <c r="H4622" t="s">
        <v>3098</v>
      </c>
      <c r="K4622" s="4">
        <v>146232</v>
      </c>
    </row>
    <row r="4623" spans="1:11" hidden="1" outlineLevel="2" x14ac:dyDescent="0.35">
      <c r="A4623" t="s">
        <v>3056</v>
      </c>
      <c r="B4623" s="1">
        <v>45740</v>
      </c>
      <c r="C4623" t="str">
        <f>"194"</f>
        <v>194</v>
      </c>
      <c r="F4623" t="str">
        <f t="shared" si="165"/>
        <v>55410500</v>
      </c>
      <c r="H4623" t="s">
        <v>3101</v>
      </c>
      <c r="K4623" s="4">
        <v>45382</v>
      </c>
    </row>
    <row r="4624" spans="1:11" hidden="1" outlineLevel="2" x14ac:dyDescent="0.35">
      <c r="A4624" t="s">
        <v>3056</v>
      </c>
      <c r="B4624" s="1">
        <v>45740</v>
      </c>
      <c r="C4624" t="str">
        <f>"195"</f>
        <v>195</v>
      </c>
      <c r="F4624" t="str">
        <f t="shared" si="165"/>
        <v>55410500</v>
      </c>
      <c r="H4624" t="s">
        <v>3102</v>
      </c>
      <c r="K4624" s="4">
        <v>45382</v>
      </c>
    </row>
    <row r="4625" spans="1:11" hidden="1" outlineLevel="2" x14ac:dyDescent="0.35">
      <c r="A4625" t="s">
        <v>3056</v>
      </c>
      <c r="B4625" s="1">
        <v>45740</v>
      </c>
      <c r="C4625" t="str">
        <f>"196"</f>
        <v>196</v>
      </c>
      <c r="F4625" t="str">
        <f t="shared" si="165"/>
        <v>55410500</v>
      </c>
      <c r="H4625" t="s">
        <v>3103</v>
      </c>
      <c r="K4625" s="4">
        <v>151275</v>
      </c>
    </row>
    <row r="4626" spans="1:11" hidden="1" outlineLevel="2" x14ac:dyDescent="0.35">
      <c r="A4626" t="s">
        <v>3056</v>
      </c>
      <c r="B4626" s="1">
        <v>45741</v>
      </c>
      <c r="C4626" t="str">
        <f>"182"</f>
        <v>182</v>
      </c>
      <c r="E4626" t="str">
        <f>"1291"</f>
        <v>1291</v>
      </c>
      <c r="F4626" t="str">
        <f t="shared" si="165"/>
        <v>55410500</v>
      </c>
      <c r="H4626" t="s">
        <v>127</v>
      </c>
      <c r="J4626" s="4">
        <v>472000</v>
      </c>
    </row>
    <row r="4627" spans="1:11" hidden="1" outlineLevel="2" x14ac:dyDescent="0.35">
      <c r="A4627" t="s">
        <v>3056</v>
      </c>
      <c r="B4627" s="1">
        <v>45741</v>
      </c>
      <c r="C4627" t="str">
        <f>"197"</f>
        <v>197</v>
      </c>
      <c r="F4627" t="str">
        <f t="shared" si="165"/>
        <v>55410500</v>
      </c>
      <c r="H4627" t="s">
        <v>3104</v>
      </c>
      <c r="K4627" s="4">
        <v>433655</v>
      </c>
    </row>
    <row r="4628" spans="1:11" hidden="1" outlineLevel="2" x14ac:dyDescent="0.35">
      <c r="A4628" t="s">
        <v>3056</v>
      </c>
      <c r="B4628" s="1">
        <v>45742</v>
      </c>
      <c r="C4628" t="str">
        <f>"198"</f>
        <v>198</v>
      </c>
      <c r="F4628" t="str">
        <f t="shared" si="165"/>
        <v>55410500</v>
      </c>
      <c r="H4628" t="s">
        <v>3109</v>
      </c>
      <c r="K4628" s="4">
        <v>2017000</v>
      </c>
    </row>
    <row r="4629" spans="1:11" hidden="1" outlineLevel="2" x14ac:dyDescent="0.35">
      <c r="A4629" t="s">
        <v>3056</v>
      </c>
      <c r="B4629" s="1">
        <v>45742</v>
      </c>
      <c r="C4629" t="str">
        <f>"199"</f>
        <v>199</v>
      </c>
      <c r="F4629" t="str">
        <f t="shared" si="165"/>
        <v>55410500</v>
      </c>
      <c r="H4629" t="s">
        <v>3110</v>
      </c>
      <c r="K4629" s="4">
        <v>302550</v>
      </c>
    </row>
    <row r="4630" spans="1:11" hidden="1" outlineLevel="2" x14ac:dyDescent="0.35">
      <c r="A4630" t="s">
        <v>3056</v>
      </c>
      <c r="B4630" s="1">
        <v>45744</v>
      </c>
      <c r="C4630" t="str">
        <f>"200"</f>
        <v>200</v>
      </c>
      <c r="F4630" t="str">
        <f t="shared" si="165"/>
        <v>55410500</v>
      </c>
      <c r="H4630" t="s">
        <v>3111</v>
      </c>
      <c r="K4630" s="4">
        <v>252125</v>
      </c>
    </row>
    <row r="4631" spans="1:11" hidden="1" outlineLevel="2" x14ac:dyDescent="0.35">
      <c r="A4631" t="s">
        <v>3056</v>
      </c>
      <c r="B4631" s="1">
        <v>45744</v>
      </c>
      <c r="C4631" t="str">
        <f>"201"</f>
        <v>201</v>
      </c>
      <c r="F4631" t="str">
        <f t="shared" si="165"/>
        <v>55410500</v>
      </c>
      <c r="H4631" t="s">
        <v>3112</v>
      </c>
      <c r="K4631" s="4">
        <v>19441914</v>
      </c>
    </row>
    <row r="4632" spans="1:11" hidden="1" outlineLevel="2" x14ac:dyDescent="0.35">
      <c r="A4632" t="s">
        <v>3056</v>
      </c>
      <c r="B4632" s="1">
        <v>45744</v>
      </c>
      <c r="C4632" t="str">
        <f>"202"</f>
        <v>202</v>
      </c>
      <c r="F4632" t="str">
        <f t="shared" si="165"/>
        <v>55410500</v>
      </c>
      <c r="H4632" t="s">
        <v>3113</v>
      </c>
      <c r="K4632" s="4">
        <v>2285933</v>
      </c>
    </row>
    <row r="4633" spans="1:11" hidden="1" outlineLevel="2" x14ac:dyDescent="0.35">
      <c r="A4633" t="s">
        <v>3056</v>
      </c>
      <c r="B4633" s="1">
        <v>45744</v>
      </c>
      <c r="C4633" t="str">
        <f>"203"</f>
        <v>203</v>
      </c>
      <c r="F4633" t="str">
        <f t="shared" si="165"/>
        <v>55410500</v>
      </c>
      <c r="H4633" t="s">
        <v>3114</v>
      </c>
      <c r="K4633" s="4">
        <v>201700</v>
      </c>
    </row>
    <row r="4634" spans="1:11" hidden="1" outlineLevel="2" x14ac:dyDescent="0.35">
      <c r="A4634" t="s">
        <v>3056</v>
      </c>
      <c r="B4634" s="1">
        <v>45744</v>
      </c>
      <c r="C4634" t="str">
        <f>"204"</f>
        <v>204</v>
      </c>
      <c r="F4634" t="str">
        <f t="shared" si="165"/>
        <v>55410500</v>
      </c>
      <c r="H4634" t="s">
        <v>3093</v>
      </c>
      <c r="J4634" s="4">
        <v>22000000</v>
      </c>
    </row>
    <row r="4635" spans="1:11" hidden="1" outlineLevel="2" x14ac:dyDescent="0.35">
      <c r="A4635" t="s">
        <v>3056</v>
      </c>
      <c r="B4635" s="1">
        <v>45744</v>
      </c>
      <c r="C4635" t="str">
        <f>"206"</f>
        <v>206</v>
      </c>
      <c r="F4635" t="str">
        <f t="shared" si="165"/>
        <v>55410500</v>
      </c>
      <c r="H4635" t="s">
        <v>3093</v>
      </c>
      <c r="J4635" s="4">
        <v>500000</v>
      </c>
    </row>
    <row r="4636" spans="1:11" outlineLevel="1" collapsed="1" x14ac:dyDescent="0.35">
      <c r="B4636" s="1"/>
      <c r="F4636" s="3" t="s">
        <v>6596</v>
      </c>
      <c r="J4636" s="4">
        <f>SUBTOTAL(9,J4575:J4635)</f>
        <v>51837680</v>
      </c>
      <c r="K4636" s="4">
        <f>SUBTOTAL(9,K4575:K4635)</f>
        <v>63555547</v>
      </c>
    </row>
    <row r="4637" spans="1:11" hidden="1" outlineLevel="2" x14ac:dyDescent="0.35">
      <c r="A4637" t="s">
        <v>3031</v>
      </c>
      <c r="B4637" s="1">
        <v>45719</v>
      </c>
      <c r="C4637" t="str">
        <f>"51"</f>
        <v>51</v>
      </c>
      <c r="F4637" t="str">
        <f t="shared" ref="F4637:F4659" si="166">"55810200"</f>
        <v>55810200</v>
      </c>
      <c r="H4637" t="s">
        <v>3033</v>
      </c>
      <c r="K4637" s="4">
        <v>502000</v>
      </c>
    </row>
    <row r="4638" spans="1:11" hidden="1" outlineLevel="2" x14ac:dyDescent="0.35">
      <c r="A4638" t="s">
        <v>3031</v>
      </c>
      <c r="B4638" s="1">
        <v>45719</v>
      </c>
      <c r="C4638" t="str">
        <f>"52"</f>
        <v>52</v>
      </c>
      <c r="F4638" t="str">
        <f t="shared" si="166"/>
        <v>55810200</v>
      </c>
      <c r="H4638" t="s">
        <v>3034</v>
      </c>
      <c r="K4638" s="4">
        <v>11044</v>
      </c>
    </row>
    <row r="4639" spans="1:11" hidden="1" outlineLevel="2" x14ac:dyDescent="0.35">
      <c r="A4639" t="s">
        <v>3031</v>
      </c>
      <c r="B4639" s="1">
        <v>45719</v>
      </c>
      <c r="C4639" t="str">
        <f>"53"</f>
        <v>53</v>
      </c>
      <c r="F4639" t="str">
        <f t="shared" si="166"/>
        <v>55810200</v>
      </c>
      <c r="H4639" t="s">
        <v>3035</v>
      </c>
      <c r="K4639" s="4">
        <v>375857</v>
      </c>
    </row>
    <row r="4640" spans="1:11" hidden="1" outlineLevel="2" x14ac:dyDescent="0.35">
      <c r="A4640" t="s">
        <v>3031</v>
      </c>
      <c r="B4640" s="1">
        <v>45719</v>
      </c>
      <c r="C4640" t="str">
        <f>"54"</f>
        <v>54</v>
      </c>
      <c r="F4640" t="str">
        <f t="shared" si="166"/>
        <v>55810200</v>
      </c>
      <c r="H4640" t="s">
        <v>3036</v>
      </c>
      <c r="K4640" s="4">
        <v>8268</v>
      </c>
    </row>
    <row r="4641" spans="1:11" hidden="1" outlineLevel="2" x14ac:dyDescent="0.35">
      <c r="A4641" t="s">
        <v>3031</v>
      </c>
      <c r="B4641" s="1">
        <v>45719</v>
      </c>
      <c r="C4641" t="str">
        <f>"55"</f>
        <v>55</v>
      </c>
      <c r="F4641" t="str">
        <f t="shared" si="166"/>
        <v>55810200</v>
      </c>
      <c r="H4641" t="s">
        <v>3037</v>
      </c>
      <c r="K4641" s="4">
        <v>139016</v>
      </c>
    </row>
    <row r="4642" spans="1:11" hidden="1" outlineLevel="2" x14ac:dyDescent="0.35">
      <c r="A4642" t="s">
        <v>3031</v>
      </c>
      <c r="B4642" s="1">
        <v>45719</v>
      </c>
      <c r="C4642" t="str">
        <f>"56"</f>
        <v>56</v>
      </c>
      <c r="F4642" t="str">
        <f t="shared" si="166"/>
        <v>55810200</v>
      </c>
      <c r="H4642" t="s">
        <v>3038</v>
      </c>
      <c r="K4642" s="4">
        <v>3058</v>
      </c>
    </row>
    <row r="4643" spans="1:11" hidden="1" outlineLevel="2" x14ac:dyDescent="0.35">
      <c r="A4643" t="s">
        <v>3031</v>
      </c>
      <c r="B4643" s="1">
        <v>45719</v>
      </c>
      <c r="C4643" t="str">
        <f>"57"</f>
        <v>57</v>
      </c>
      <c r="F4643" t="str">
        <f t="shared" si="166"/>
        <v>55810200</v>
      </c>
      <c r="H4643" t="s">
        <v>3039</v>
      </c>
      <c r="K4643" s="4">
        <v>38615</v>
      </c>
    </row>
    <row r="4644" spans="1:11" hidden="1" outlineLevel="2" x14ac:dyDescent="0.35">
      <c r="A4644" t="s">
        <v>3031</v>
      </c>
      <c r="B4644" s="1">
        <v>45719</v>
      </c>
      <c r="C4644" t="str">
        <f>"58"</f>
        <v>58</v>
      </c>
      <c r="F4644" t="str">
        <f t="shared" si="166"/>
        <v>55810200</v>
      </c>
      <c r="H4644" t="s">
        <v>3040</v>
      </c>
      <c r="K4644" s="4">
        <v>849</v>
      </c>
    </row>
    <row r="4645" spans="1:11" hidden="1" outlineLevel="2" x14ac:dyDescent="0.35">
      <c r="A4645" t="s">
        <v>3031</v>
      </c>
      <c r="B4645" s="1">
        <v>45719</v>
      </c>
      <c r="C4645" t="str">
        <f>"59"</f>
        <v>59</v>
      </c>
      <c r="F4645" t="str">
        <f t="shared" si="166"/>
        <v>55810200</v>
      </c>
      <c r="H4645" t="s">
        <v>3041</v>
      </c>
      <c r="K4645" s="4">
        <v>36041</v>
      </c>
    </row>
    <row r="4646" spans="1:11" hidden="1" outlineLevel="2" x14ac:dyDescent="0.35">
      <c r="A4646" t="s">
        <v>3031</v>
      </c>
      <c r="B4646" s="1">
        <v>45719</v>
      </c>
      <c r="C4646" t="str">
        <f>"60"</f>
        <v>60</v>
      </c>
      <c r="F4646" t="str">
        <f t="shared" si="166"/>
        <v>55810200</v>
      </c>
      <c r="H4646" t="s">
        <v>3042</v>
      </c>
      <c r="K4646" s="4">
        <v>792</v>
      </c>
    </row>
    <row r="4647" spans="1:11" hidden="1" outlineLevel="2" x14ac:dyDescent="0.35">
      <c r="A4647" t="s">
        <v>3031</v>
      </c>
      <c r="B4647" s="1">
        <v>45719</v>
      </c>
      <c r="C4647" t="str">
        <f>"61"</f>
        <v>61</v>
      </c>
      <c r="F4647" t="str">
        <f t="shared" si="166"/>
        <v>55810200</v>
      </c>
      <c r="H4647" t="s">
        <v>3043</v>
      </c>
      <c r="K4647" s="4">
        <v>25744</v>
      </c>
    </row>
    <row r="4648" spans="1:11" hidden="1" outlineLevel="2" x14ac:dyDescent="0.35">
      <c r="A4648" t="s">
        <v>3031</v>
      </c>
      <c r="B4648" s="1">
        <v>45719</v>
      </c>
      <c r="C4648" t="str">
        <f>"62"</f>
        <v>62</v>
      </c>
      <c r="F4648" t="str">
        <f t="shared" si="166"/>
        <v>55810200</v>
      </c>
      <c r="H4648" t="s">
        <v>3044</v>
      </c>
      <c r="K4648" s="4">
        <v>565</v>
      </c>
    </row>
    <row r="4649" spans="1:11" hidden="1" outlineLevel="2" x14ac:dyDescent="0.35">
      <c r="A4649" t="s">
        <v>3031</v>
      </c>
      <c r="B4649" s="1">
        <v>45719</v>
      </c>
      <c r="C4649" t="str">
        <f>"63"</f>
        <v>63</v>
      </c>
      <c r="F4649" t="str">
        <f t="shared" si="166"/>
        <v>55810200</v>
      </c>
      <c r="H4649" t="s">
        <v>3045</v>
      </c>
      <c r="K4649" s="4">
        <v>16733</v>
      </c>
    </row>
    <row r="4650" spans="1:11" hidden="1" outlineLevel="2" x14ac:dyDescent="0.35">
      <c r="A4650" t="s">
        <v>3031</v>
      </c>
      <c r="B4650" s="1">
        <v>45719</v>
      </c>
      <c r="C4650" t="str">
        <f>"64"</f>
        <v>64</v>
      </c>
      <c r="F4650" t="str">
        <f t="shared" si="166"/>
        <v>55810200</v>
      </c>
      <c r="H4650" t="s">
        <v>3046</v>
      </c>
      <c r="K4650" s="4">
        <v>367</v>
      </c>
    </row>
    <row r="4651" spans="1:11" hidden="1" outlineLevel="2" x14ac:dyDescent="0.35">
      <c r="A4651" t="s">
        <v>3031</v>
      </c>
      <c r="B4651" s="1">
        <v>45719</v>
      </c>
      <c r="C4651" t="str">
        <f>"65"</f>
        <v>65</v>
      </c>
      <c r="F4651" t="str">
        <f t="shared" si="166"/>
        <v>55810200</v>
      </c>
      <c r="H4651" t="s">
        <v>3047</v>
      </c>
      <c r="K4651" s="4">
        <v>14950</v>
      </c>
    </row>
    <row r="4652" spans="1:11" hidden="1" outlineLevel="2" x14ac:dyDescent="0.35">
      <c r="A4652" t="s">
        <v>3031</v>
      </c>
      <c r="B4652" s="1">
        <v>45719</v>
      </c>
      <c r="C4652" t="str">
        <f>"66"</f>
        <v>66</v>
      </c>
      <c r="F4652" t="str">
        <f t="shared" si="166"/>
        <v>55810200</v>
      </c>
      <c r="H4652" t="s">
        <v>3048</v>
      </c>
      <c r="K4652" s="4">
        <v>328</v>
      </c>
    </row>
    <row r="4653" spans="1:11" hidden="1" outlineLevel="2" x14ac:dyDescent="0.35">
      <c r="A4653" t="s">
        <v>3031</v>
      </c>
      <c r="B4653" s="1">
        <v>45719</v>
      </c>
      <c r="C4653" t="str">
        <f>"67"</f>
        <v>67</v>
      </c>
      <c r="F4653" t="str">
        <f t="shared" si="166"/>
        <v>55810200</v>
      </c>
      <c r="H4653" t="s">
        <v>3049</v>
      </c>
      <c r="K4653" s="4">
        <v>12871</v>
      </c>
    </row>
    <row r="4654" spans="1:11" hidden="1" outlineLevel="2" x14ac:dyDescent="0.35">
      <c r="A4654" t="s">
        <v>3031</v>
      </c>
      <c r="B4654" s="1">
        <v>45719</v>
      </c>
      <c r="C4654" t="str">
        <f>"68"</f>
        <v>68</v>
      </c>
      <c r="F4654" t="str">
        <f t="shared" si="166"/>
        <v>55810200</v>
      </c>
      <c r="H4654" t="s">
        <v>3050</v>
      </c>
      <c r="K4654" s="4">
        <v>282</v>
      </c>
    </row>
    <row r="4655" spans="1:11" hidden="1" outlineLevel="2" x14ac:dyDescent="0.35">
      <c r="A4655" t="s">
        <v>3031</v>
      </c>
      <c r="B4655" s="1">
        <v>45727</v>
      </c>
      <c r="C4655" t="str">
        <f>"69"</f>
        <v>69</v>
      </c>
      <c r="F4655" t="str">
        <f t="shared" si="166"/>
        <v>55810200</v>
      </c>
      <c r="H4655" t="s">
        <v>3051</v>
      </c>
      <c r="K4655" s="4">
        <v>189265</v>
      </c>
    </row>
    <row r="4656" spans="1:11" hidden="1" outlineLevel="2" x14ac:dyDescent="0.35">
      <c r="A4656" t="s">
        <v>3031</v>
      </c>
      <c r="B4656" s="1">
        <v>45727</v>
      </c>
      <c r="C4656" t="str">
        <f>"70"</f>
        <v>70</v>
      </c>
      <c r="F4656" t="str">
        <f t="shared" si="166"/>
        <v>55810200</v>
      </c>
      <c r="H4656" t="s">
        <v>3052</v>
      </c>
      <c r="K4656" s="4">
        <v>4163</v>
      </c>
    </row>
    <row r="4657" spans="1:11" hidden="1" outlineLevel="2" x14ac:dyDescent="0.35">
      <c r="A4657" t="s">
        <v>3031</v>
      </c>
      <c r="B4657" s="1">
        <v>45728</v>
      </c>
      <c r="C4657" t="str">
        <f>"71"</f>
        <v>71</v>
      </c>
      <c r="F4657" t="str">
        <f t="shared" si="166"/>
        <v>55810200</v>
      </c>
      <c r="H4657" t="s">
        <v>3053</v>
      </c>
      <c r="K4657" s="4">
        <v>891003</v>
      </c>
    </row>
    <row r="4658" spans="1:11" hidden="1" outlineLevel="2" x14ac:dyDescent="0.35">
      <c r="A4658" t="s">
        <v>3031</v>
      </c>
      <c r="B4658" s="1">
        <v>45728</v>
      </c>
      <c r="C4658" t="str">
        <f>"72"</f>
        <v>72</v>
      </c>
      <c r="F4658" t="str">
        <f t="shared" si="166"/>
        <v>55810200</v>
      </c>
      <c r="H4658" t="s">
        <v>3054</v>
      </c>
      <c r="K4658" s="4">
        <v>19602</v>
      </c>
    </row>
    <row r="4659" spans="1:11" hidden="1" outlineLevel="2" x14ac:dyDescent="0.35">
      <c r="A4659" t="s">
        <v>3031</v>
      </c>
      <c r="B4659" s="1">
        <v>45740</v>
      </c>
      <c r="C4659" t="str">
        <f>"73"</f>
        <v>73</v>
      </c>
      <c r="F4659" t="str">
        <f t="shared" si="166"/>
        <v>55810200</v>
      </c>
      <c r="H4659" t="s">
        <v>3055</v>
      </c>
      <c r="K4659" s="4">
        <v>85000</v>
      </c>
    </row>
    <row r="4660" spans="1:11" outlineLevel="1" collapsed="1" x14ac:dyDescent="0.35">
      <c r="B4660" s="1"/>
      <c r="F4660" s="3" t="s">
        <v>6597</v>
      </c>
      <c r="J4660" s="4">
        <f>SUBTOTAL(9,J4637:J4659)</f>
        <v>0</v>
      </c>
      <c r="K4660" s="4">
        <f>SUBTOTAL(9,K4637:K4659)</f>
        <v>2376413</v>
      </c>
    </row>
    <row r="4661" spans="1:11" hidden="1" outlineLevel="2" x14ac:dyDescent="0.35">
      <c r="A4661" t="s">
        <v>2672</v>
      </c>
      <c r="B4661" s="1">
        <v>45717</v>
      </c>
      <c r="C4661" t="str">
        <f>"13"</f>
        <v>13</v>
      </c>
      <c r="F4661" t="str">
        <f>"56100100"</f>
        <v>56100100</v>
      </c>
      <c r="H4661" t="s">
        <v>2673</v>
      </c>
      <c r="J4661" s="4">
        <v>7847000</v>
      </c>
    </row>
    <row r="4662" spans="1:11" hidden="1" outlineLevel="2" x14ac:dyDescent="0.35">
      <c r="A4662" t="s">
        <v>2672</v>
      </c>
      <c r="B4662" s="1">
        <v>45717</v>
      </c>
      <c r="C4662" t="str">
        <f>"15"</f>
        <v>15</v>
      </c>
      <c r="F4662" t="str">
        <f>"56100100"</f>
        <v>56100100</v>
      </c>
      <c r="H4662" t="s">
        <v>2673</v>
      </c>
      <c r="J4662" s="4">
        <v>293431878</v>
      </c>
    </row>
    <row r="4663" spans="1:11" hidden="1" outlineLevel="2" x14ac:dyDescent="0.35">
      <c r="A4663" t="s">
        <v>2672</v>
      </c>
      <c r="B4663" s="1">
        <v>45741</v>
      </c>
      <c r="C4663" t="str">
        <f>"14"</f>
        <v>14</v>
      </c>
      <c r="F4663" t="str">
        <f>"56100100"</f>
        <v>56100100</v>
      </c>
      <c r="H4663" t="s">
        <v>2673</v>
      </c>
      <c r="J4663" s="4">
        <v>498340160</v>
      </c>
    </row>
    <row r="4664" spans="1:11" outlineLevel="1" collapsed="1" x14ac:dyDescent="0.35">
      <c r="B4664" s="1"/>
      <c r="F4664" s="3" t="s">
        <v>6598</v>
      </c>
      <c r="J4664" s="4">
        <f>SUBTOTAL(9,J4661:J4663)</f>
        <v>799619038</v>
      </c>
      <c r="K4664" s="4">
        <f>SUBTOTAL(9,K4661:K4663)</f>
        <v>0</v>
      </c>
    </row>
    <row r="4665" spans="1:11" hidden="1" outlineLevel="2" x14ac:dyDescent="0.35">
      <c r="A4665" t="s">
        <v>2337</v>
      </c>
      <c r="B4665" s="1">
        <v>45719</v>
      </c>
      <c r="C4665" t="str">
        <f>"643"</f>
        <v>643</v>
      </c>
      <c r="E4665" t="str">
        <f>"17262"</f>
        <v>17262</v>
      </c>
      <c r="F4665" t="str">
        <f t="shared" ref="F4665:F4728" si="167">"57110200"</f>
        <v>57110200</v>
      </c>
      <c r="H4665" t="s">
        <v>2338</v>
      </c>
      <c r="K4665" s="4">
        <v>17000</v>
      </c>
    </row>
    <row r="4666" spans="1:11" hidden="1" outlineLevel="2" x14ac:dyDescent="0.35">
      <c r="A4666" t="s">
        <v>2337</v>
      </c>
      <c r="B4666" s="1">
        <v>45719</v>
      </c>
      <c r="C4666" t="str">
        <f>"644"</f>
        <v>644</v>
      </c>
      <c r="E4666" t="str">
        <f>"17263"</f>
        <v>17263</v>
      </c>
      <c r="F4666" t="str">
        <f t="shared" si="167"/>
        <v>57110200</v>
      </c>
      <c r="H4666" t="s">
        <v>2339</v>
      </c>
      <c r="K4666" s="4">
        <v>30000</v>
      </c>
    </row>
    <row r="4667" spans="1:11" hidden="1" outlineLevel="2" x14ac:dyDescent="0.35">
      <c r="A4667" t="s">
        <v>2337</v>
      </c>
      <c r="B4667" s="1">
        <v>45719</v>
      </c>
      <c r="C4667" t="str">
        <f>"645"</f>
        <v>645</v>
      </c>
      <c r="E4667" t="str">
        <f>"17264"</f>
        <v>17264</v>
      </c>
      <c r="F4667" t="str">
        <f t="shared" si="167"/>
        <v>57110200</v>
      </c>
      <c r="H4667" t="s">
        <v>2340</v>
      </c>
      <c r="K4667" s="4">
        <v>5000</v>
      </c>
    </row>
    <row r="4668" spans="1:11" hidden="1" outlineLevel="2" x14ac:dyDescent="0.35">
      <c r="A4668" t="s">
        <v>2337</v>
      </c>
      <c r="B4668" s="1">
        <v>45719</v>
      </c>
      <c r="C4668" t="str">
        <f>"646"</f>
        <v>646</v>
      </c>
      <c r="E4668" t="str">
        <f>"17265"</f>
        <v>17265</v>
      </c>
      <c r="F4668" t="str">
        <f t="shared" si="167"/>
        <v>57110200</v>
      </c>
      <c r="H4668" t="s">
        <v>2341</v>
      </c>
      <c r="K4668" s="4">
        <v>40000</v>
      </c>
    </row>
    <row r="4669" spans="1:11" hidden="1" outlineLevel="2" x14ac:dyDescent="0.35">
      <c r="A4669" t="s">
        <v>2337</v>
      </c>
      <c r="B4669" s="1">
        <v>45719</v>
      </c>
      <c r="C4669" t="str">
        <f>"647"</f>
        <v>647</v>
      </c>
      <c r="E4669" t="str">
        <f>"17266"</f>
        <v>17266</v>
      </c>
      <c r="F4669" t="str">
        <f t="shared" si="167"/>
        <v>57110200</v>
      </c>
      <c r="H4669" t="s">
        <v>2342</v>
      </c>
      <c r="K4669" s="4">
        <v>69000</v>
      </c>
    </row>
    <row r="4670" spans="1:11" hidden="1" outlineLevel="2" x14ac:dyDescent="0.35">
      <c r="A4670" t="s">
        <v>2337</v>
      </c>
      <c r="B4670" s="1">
        <v>45719</v>
      </c>
      <c r="C4670" t="str">
        <f>"648"</f>
        <v>648</v>
      </c>
      <c r="E4670" t="str">
        <f>"17267"</f>
        <v>17267</v>
      </c>
      <c r="F4670" t="str">
        <f t="shared" si="167"/>
        <v>57110200</v>
      </c>
      <c r="H4670" t="s">
        <v>2343</v>
      </c>
      <c r="K4670" s="4">
        <v>11000</v>
      </c>
    </row>
    <row r="4671" spans="1:11" hidden="1" outlineLevel="2" x14ac:dyDescent="0.35">
      <c r="A4671" t="s">
        <v>2337</v>
      </c>
      <c r="B4671" s="1">
        <v>45719</v>
      </c>
      <c r="C4671" t="str">
        <f>"649"</f>
        <v>649</v>
      </c>
      <c r="E4671" t="str">
        <f>"17268"</f>
        <v>17268</v>
      </c>
      <c r="F4671" t="str">
        <f t="shared" si="167"/>
        <v>57110200</v>
      </c>
      <c r="H4671" t="s">
        <v>2344</v>
      </c>
      <c r="K4671" s="4">
        <v>10000</v>
      </c>
    </row>
    <row r="4672" spans="1:11" hidden="1" outlineLevel="2" x14ac:dyDescent="0.35">
      <c r="A4672" t="s">
        <v>2337</v>
      </c>
      <c r="B4672" s="1">
        <v>45719</v>
      </c>
      <c r="C4672" t="str">
        <f>"650"</f>
        <v>650</v>
      </c>
      <c r="E4672" t="str">
        <f>"17269"</f>
        <v>17269</v>
      </c>
      <c r="F4672" t="str">
        <f t="shared" si="167"/>
        <v>57110200</v>
      </c>
      <c r="H4672" t="s">
        <v>2345</v>
      </c>
      <c r="K4672" s="4">
        <v>10000</v>
      </c>
    </row>
    <row r="4673" spans="1:11" hidden="1" outlineLevel="2" x14ac:dyDescent="0.35">
      <c r="A4673" t="s">
        <v>2337</v>
      </c>
      <c r="B4673" s="1">
        <v>45719</v>
      </c>
      <c r="C4673" t="str">
        <f>"651"</f>
        <v>651</v>
      </c>
      <c r="E4673" t="str">
        <f>"17270"</f>
        <v>17270</v>
      </c>
      <c r="F4673" t="str">
        <f t="shared" si="167"/>
        <v>57110200</v>
      </c>
      <c r="H4673" t="s">
        <v>2346</v>
      </c>
      <c r="K4673" s="4">
        <v>130000</v>
      </c>
    </row>
    <row r="4674" spans="1:11" hidden="1" outlineLevel="2" x14ac:dyDescent="0.35">
      <c r="A4674" t="s">
        <v>2337</v>
      </c>
      <c r="B4674" s="1">
        <v>45719</v>
      </c>
      <c r="C4674" t="str">
        <f>"652"</f>
        <v>652</v>
      </c>
      <c r="E4674" t="str">
        <f>"17271"</f>
        <v>17271</v>
      </c>
      <c r="F4674" t="str">
        <f t="shared" si="167"/>
        <v>57110200</v>
      </c>
      <c r="H4674" t="s">
        <v>2348</v>
      </c>
      <c r="K4674" s="4">
        <v>120000</v>
      </c>
    </row>
    <row r="4675" spans="1:11" hidden="1" outlineLevel="2" x14ac:dyDescent="0.35">
      <c r="A4675" t="s">
        <v>2337</v>
      </c>
      <c r="B4675" s="1">
        <v>45719</v>
      </c>
      <c r="C4675" t="str">
        <f>"653"</f>
        <v>653</v>
      </c>
      <c r="E4675" t="str">
        <f>"17272"</f>
        <v>17272</v>
      </c>
      <c r="F4675" t="str">
        <f t="shared" si="167"/>
        <v>57110200</v>
      </c>
      <c r="H4675" t="s">
        <v>2349</v>
      </c>
      <c r="K4675" s="4">
        <v>66000</v>
      </c>
    </row>
    <row r="4676" spans="1:11" hidden="1" outlineLevel="2" x14ac:dyDescent="0.35">
      <c r="A4676" t="s">
        <v>2337</v>
      </c>
      <c r="B4676" s="1">
        <v>45719</v>
      </c>
      <c r="C4676" t="str">
        <f>"654"</f>
        <v>654</v>
      </c>
      <c r="E4676" t="str">
        <f>"17273"</f>
        <v>17273</v>
      </c>
      <c r="F4676" t="str">
        <f t="shared" si="167"/>
        <v>57110200</v>
      </c>
      <c r="H4676" t="s">
        <v>2350</v>
      </c>
      <c r="K4676" s="4">
        <v>7500</v>
      </c>
    </row>
    <row r="4677" spans="1:11" hidden="1" outlineLevel="2" x14ac:dyDescent="0.35">
      <c r="A4677" t="s">
        <v>2337</v>
      </c>
      <c r="B4677" s="1">
        <v>45719</v>
      </c>
      <c r="C4677" t="str">
        <f>"655"</f>
        <v>655</v>
      </c>
      <c r="E4677" t="str">
        <f>"17274"</f>
        <v>17274</v>
      </c>
      <c r="F4677" t="str">
        <f t="shared" si="167"/>
        <v>57110200</v>
      </c>
      <c r="H4677" t="s">
        <v>2351</v>
      </c>
      <c r="K4677" s="4">
        <v>10000</v>
      </c>
    </row>
    <row r="4678" spans="1:11" hidden="1" outlineLevel="2" x14ac:dyDescent="0.35">
      <c r="A4678" t="s">
        <v>2337</v>
      </c>
      <c r="B4678" s="1">
        <v>45720</v>
      </c>
      <c r="C4678" t="str">
        <f>"656"</f>
        <v>656</v>
      </c>
      <c r="E4678" t="str">
        <f>"17275"</f>
        <v>17275</v>
      </c>
      <c r="F4678" t="str">
        <f t="shared" si="167"/>
        <v>57110200</v>
      </c>
      <c r="H4678" t="s">
        <v>2352</v>
      </c>
      <c r="K4678" s="4">
        <v>94080</v>
      </c>
    </row>
    <row r="4679" spans="1:11" hidden="1" outlineLevel="2" x14ac:dyDescent="0.35">
      <c r="A4679" t="s">
        <v>2337</v>
      </c>
      <c r="B4679" s="1">
        <v>45720</v>
      </c>
      <c r="C4679" t="str">
        <f>"657"</f>
        <v>657</v>
      </c>
      <c r="E4679" t="str">
        <f>"17276"</f>
        <v>17276</v>
      </c>
      <c r="F4679" t="str">
        <f t="shared" si="167"/>
        <v>57110200</v>
      </c>
      <c r="H4679" t="s">
        <v>2354</v>
      </c>
      <c r="K4679" s="4">
        <v>90000</v>
      </c>
    </row>
    <row r="4680" spans="1:11" hidden="1" outlineLevel="2" x14ac:dyDescent="0.35">
      <c r="A4680" t="s">
        <v>2337</v>
      </c>
      <c r="B4680" s="1">
        <v>45720</v>
      </c>
      <c r="C4680" t="str">
        <f>"658"</f>
        <v>658</v>
      </c>
      <c r="E4680" t="str">
        <f>"17277"</f>
        <v>17277</v>
      </c>
      <c r="F4680" t="str">
        <f t="shared" si="167"/>
        <v>57110200</v>
      </c>
      <c r="H4680" t="s">
        <v>2357</v>
      </c>
      <c r="K4680" s="4">
        <v>16100</v>
      </c>
    </row>
    <row r="4681" spans="1:11" hidden="1" outlineLevel="2" x14ac:dyDescent="0.35">
      <c r="A4681" t="s">
        <v>2337</v>
      </c>
      <c r="B4681" s="1">
        <v>45720</v>
      </c>
      <c r="C4681" t="str">
        <f>"659"</f>
        <v>659</v>
      </c>
      <c r="E4681" t="str">
        <f>"17278"</f>
        <v>17278</v>
      </c>
      <c r="F4681" t="str">
        <f t="shared" si="167"/>
        <v>57110200</v>
      </c>
      <c r="H4681" t="s">
        <v>2358</v>
      </c>
      <c r="K4681" s="4">
        <v>140000</v>
      </c>
    </row>
    <row r="4682" spans="1:11" hidden="1" outlineLevel="2" x14ac:dyDescent="0.35">
      <c r="A4682" t="s">
        <v>2337</v>
      </c>
      <c r="B4682" s="1">
        <v>45720</v>
      </c>
      <c r="C4682" t="str">
        <f>"660"</f>
        <v>660</v>
      </c>
      <c r="E4682" t="str">
        <f>"17280"</f>
        <v>17280</v>
      </c>
      <c r="F4682" t="str">
        <f t="shared" si="167"/>
        <v>57110200</v>
      </c>
      <c r="H4682" t="s">
        <v>2360</v>
      </c>
      <c r="K4682" s="4">
        <v>67000</v>
      </c>
    </row>
    <row r="4683" spans="1:11" hidden="1" outlineLevel="2" x14ac:dyDescent="0.35">
      <c r="A4683" t="s">
        <v>2337</v>
      </c>
      <c r="B4683" s="1">
        <v>45720</v>
      </c>
      <c r="C4683" t="str">
        <f>"661"</f>
        <v>661</v>
      </c>
      <c r="E4683" t="str">
        <f>"17281"</f>
        <v>17281</v>
      </c>
      <c r="F4683" t="str">
        <f t="shared" si="167"/>
        <v>57110200</v>
      </c>
      <c r="H4683" t="s">
        <v>2362</v>
      </c>
      <c r="K4683" s="4">
        <v>5000</v>
      </c>
    </row>
    <row r="4684" spans="1:11" hidden="1" outlineLevel="2" x14ac:dyDescent="0.35">
      <c r="A4684" t="s">
        <v>2337</v>
      </c>
      <c r="B4684" s="1">
        <v>45720</v>
      </c>
      <c r="C4684" t="str">
        <f>"662"</f>
        <v>662</v>
      </c>
      <c r="E4684" t="str">
        <f>"17282"</f>
        <v>17282</v>
      </c>
      <c r="F4684" t="str">
        <f t="shared" si="167"/>
        <v>57110200</v>
      </c>
      <c r="H4684" t="s">
        <v>2363</v>
      </c>
      <c r="K4684" s="4">
        <v>72500</v>
      </c>
    </row>
    <row r="4685" spans="1:11" hidden="1" outlineLevel="2" x14ac:dyDescent="0.35">
      <c r="A4685" t="s">
        <v>2337</v>
      </c>
      <c r="B4685" s="1">
        <v>45720</v>
      </c>
      <c r="C4685" t="str">
        <f>"663"</f>
        <v>663</v>
      </c>
      <c r="E4685" t="str">
        <f>"17283"</f>
        <v>17283</v>
      </c>
      <c r="F4685" t="str">
        <f t="shared" si="167"/>
        <v>57110200</v>
      </c>
      <c r="H4685" t="s">
        <v>2365</v>
      </c>
      <c r="K4685" s="4">
        <v>249000</v>
      </c>
    </row>
    <row r="4686" spans="1:11" hidden="1" outlineLevel="2" x14ac:dyDescent="0.35">
      <c r="A4686" t="s">
        <v>2337</v>
      </c>
      <c r="B4686" s="1">
        <v>45720</v>
      </c>
      <c r="C4686" t="str">
        <f>"664"</f>
        <v>664</v>
      </c>
      <c r="E4686" t="str">
        <f>"17284"</f>
        <v>17284</v>
      </c>
      <c r="F4686" t="str">
        <f t="shared" si="167"/>
        <v>57110200</v>
      </c>
      <c r="H4686" t="s">
        <v>2367</v>
      </c>
      <c r="K4686" s="4">
        <v>54000</v>
      </c>
    </row>
    <row r="4687" spans="1:11" hidden="1" outlineLevel="2" x14ac:dyDescent="0.35">
      <c r="A4687" t="s">
        <v>2337</v>
      </c>
      <c r="B4687" s="1">
        <v>45720</v>
      </c>
      <c r="C4687" t="str">
        <f>"665"</f>
        <v>665</v>
      </c>
      <c r="E4687" t="str">
        <f>"17285"</f>
        <v>17285</v>
      </c>
      <c r="F4687" t="str">
        <f t="shared" si="167"/>
        <v>57110200</v>
      </c>
      <c r="H4687" t="s">
        <v>2369</v>
      </c>
      <c r="K4687" s="4">
        <v>11000</v>
      </c>
    </row>
    <row r="4688" spans="1:11" hidden="1" outlineLevel="2" x14ac:dyDescent="0.35">
      <c r="A4688" t="s">
        <v>2337</v>
      </c>
      <c r="B4688" s="1">
        <v>45721</v>
      </c>
      <c r="C4688" t="str">
        <f>"666"</f>
        <v>666</v>
      </c>
      <c r="E4688" t="str">
        <f>"17286"</f>
        <v>17286</v>
      </c>
      <c r="F4688" t="str">
        <f t="shared" si="167"/>
        <v>57110200</v>
      </c>
      <c r="H4688" t="s">
        <v>2370</v>
      </c>
      <c r="K4688" s="4">
        <v>62350</v>
      </c>
    </row>
    <row r="4689" spans="1:11" hidden="1" outlineLevel="2" x14ac:dyDescent="0.35">
      <c r="A4689" t="s">
        <v>2337</v>
      </c>
      <c r="B4689" s="1">
        <v>45721</v>
      </c>
      <c r="C4689" t="str">
        <f>"667"</f>
        <v>667</v>
      </c>
      <c r="E4689" t="str">
        <f>"17287"</f>
        <v>17287</v>
      </c>
      <c r="F4689" t="str">
        <f t="shared" si="167"/>
        <v>57110200</v>
      </c>
      <c r="H4689" t="s">
        <v>2371</v>
      </c>
      <c r="K4689" s="4">
        <v>25204</v>
      </c>
    </row>
    <row r="4690" spans="1:11" hidden="1" outlineLevel="2" x14ac:dyDescent="0.35">
      <c r="A4690" t="s">
        <v>2337</v>
      </c>
      <c r="B4690" s="1">
        <v>45721</v>
      </c>
      <c r="C4690" t="str">
        <f>"668"</f>
        <v>668</v>
      </c>
      <c r="E4690" t="str">
        <f>"17288"</f>
        <v>17288</v>
      </c>
      <c r="F4690" t="str">
        <f t="shared" si="167"/>
        <v>57110200</v>
      </c>
      <c r="H4690" t="s">
        <v>2372</v>
      </c>
      <c r="K4690" s="4">
        <v>23600</v>
      </c>
    </row>
    <row r="4691" spans="1:11" hidden="1" outlineLevel="2" x14ac:dyDescent="0.35">
      <c r="A4691" t="s">
        <v>2337</v>
      </c>
      <c r="B4691" s="1">
        <v>45721</v>
      </c>
      <c r="C4691" t="str">
        <f>"669"</f>
        <v>669</v>
      </c>
      <c r="E4691" t="str">
        <f>"17289"</f>
        <v>17289</v>
      </c>
      <c r="F4691" t="str">
        <f t="shared" si="167"/>
        <v>57110200</v>
      </c>
      <c r="H4691" t="s">
        <v>2373</v>
      </c>
      <c r="K4691" s="4">
        <v>150000</v>
      </c>
    </row>
    <row r="4692" spans="1:11" hidden="1" outlineLevel="2" x14ac:dyDescent="0.35">
      <c r="A4692" t="s">
        <v>2337</v>
      </c>
      <c r="B4692" s="1">
        <v>45721</v>
      </c>
      <c r="C4692" t="str">
        <f>"670"</f>
        <v>670</v>
      </c>
      <c r="E4692" t="str">
        <f>"17290"</f>
        <v>17290</v>
      </c>
      <c r="F4692" t="str">
        <f t="shared" si="167"/>
        <v>57110200</v>
      </c>
      <c r="H4692" t="s">
        <v>2374</v>
      </c>
      <c r="J4692" s="4">
        <v>18200</v>
      </c>
    </row>
    <row r="4693" spans="1:11" hidden="1" outlineLevel="2" x14ac:dyDescent="0.35">
      <c r="A4693" t="s">
        <v>2337</v>
      </c>
      <c r="B4693" s="1">
        <v>45721</v>
      </c>
      <c r="C4693" t="str">
        <f>"671"</f>
        <v>671</v>
      </c>
      <c r="E4693" t="str">
        <f>"17291"</f>
        <v>17291</v>
      </c>
      <c r="F4693" t="str">
        <f t="shared" si="167"/>
        <v>57110200</v>
      </c>
      <c r="H4693" t="s">
        <v>2375</v>
      </c>
      <c r="K4693" s="4">
        <v>20000</v>
      </c>
    </row>
    <row r="4694" spans="1:11" hidden="1" outlineLevel="2" x14ac:dyDescent="0.35">
      <c r="A4694" t="s">
        <v>2337</v>
      </c>
      <c r="B4694" s="1">
        <v>45721</v>
      </c>
      <c r="C4694" t="str">
        <f>"672"</f>
        <v>672</v>
      </c>
      <c r="E4694" t="str">
        <f>"17292"</f>
        <v>17292</v>
      </c>
      <c r="F4694" t="str">
        <f t="shared" si="167"/>
        <v>57110200</v>
      </c>
      <c r="H4694" t="s">
        <v>2376</v>
      </c>
      <c r="K4694" s="4">
        <v>35000</v>
      </c>
    </row>
    <row r="4695" spans="1:11" hidden="1" outlineLevel="2" x14ac:dyDescent="0.35">
      <c r="A4695" t="s">
        <v>2337</v>
      </c>
      <c r="B4695" s="1">
        <v>45721</v>
      </c>
      <c r="C4695" t="str">
        <f>"673"</f>
        <v>673</v>
      </c>
      <c r="E4695" t="str">
        <f>"17293"</f>
        <v>17293</v>
      </c>
      <c r="F4695" t="str">
        <f t="shared" si="167"/>
        <v>57110200</v>
      </c>
      <c r="H4695" t="s">
        <v>2378</v>
      </c>
      <c r="K4695" s="4">
        <v>10000</v>
      </c>
    </row>
    <row r="4696" spans="1:11" hidden="1" outlineLevel="2" x14ac:dyDescent="0.35">
      <c r="A4696" t="s">
        <v>2337</v>
      </c>
      <c r="B4696" s="1">
        <v>45721</v>
      </c>
      <c r="C4696" t="str">
        <f>"674"</f>
        <v>674</v>
      </c>
      <c r="E4696" t="str">
        <f>"17294"</f>
        <v>17294</v>
      </c>
      <c r="F4696" t="str">
        <f t="shared" si="167"/>
        <v>57110200</v>
      </c>
      <c r="H4696" t="s">
        <v>2379</v>
      </c>
      <c r="K4696" s="4">
        <v>15000</v>
      </c>
    </row>
    <row r="4697" spans="1:11" hidden="1" outlineLevel="2" x14ac:dyDescent="0.35">
      <c r="A4697" t="s">
        <v>2337</v>
      </c>
      <c r="B4697" s="1">
        <v>45721</v>
      </c>
      <c r="C4697" t="str">
        <f>"675"</f>
        <v>675</v>
      </c>
      <c r="E4697" t="str">
        <f>"17295"</f>
        <v>17295</v>
      </c>
      <c r="F4697" t="str">
        <f t="shared" si="167"/>
        <v>57110200</v>
      </c>
      <c r="H4697" t="s">
        <v>2380</v>
      </c>
      <c r="K4697" s="4">
        <v>286000</v>
      </c>
    </row>
    <row r="4698" spans="1:11" hidden="1" outlineLevel="2" x14ac:dyDescent="0.35">
      <c r="A4698" t="s">
        <v>2337</v>
      </c>
      <c r="B4698" s="1">
        <v>45721</v>
      </c>
      <c r="C4698" t="str">
        <f>"676"</f>
        <v>676</v>
      </c>
      <c r="E4698" t="str">
        <f>"17296"</f>
        <v>17296</v>
      </c>
      <c r="F4698" t="str">
        <f t="shared" si="167"/>
        <v>57110200</v>
      </c>
      <c r="H4698" t="s">
        <v>2386</v>
      </c>
      <c r="K4698" s="4">
        <v>2000</v>
      </c>
    </row>
    <row r="4699" spans="1:11" hidden="1" outlineLevel="2" x14ac:dyDescent="0.35">
      <c r="A4699" t="s">
        <v>2337</v>
      </c>
      <c r="B4699" s="1">
        <v>45721</v>
      </c>
      <c r="C4699" t="str">
        <f>"677"</f>
        <v>677</v>
      </c>
      <c r="E4699" t="str">
        <f>"17297"</f>
        <v>17297</v>
      </c>
      <c r="F4699" t="str">
        <f t="shared" si="167"/>
        <v>57110200</v>
      </c>
      <c r="H4699" t="s">
        <v>2387</v>
      </c>
      <c r="K4699" s="4">
        <v>19900</v>
      </c>
    </row>
    <row r="4700" spans="1:11" hidden="1" outlineLevel="2" x14ac:dyDescent="0.35">
      <c r="A4700" t="s">
        <v>2337</v>
      </c>
      <c r="B4700" s="1">
        <v>45721</v>
      </c>
      <c r="C4700" t="str">
        <f>"678"</f>
        <v>678</v>
      </c>
      <c r="E4700" t="str">
        <f>"17298"</f>
        <v>17298</v>
      </c>
      <c r="F4700" t="str">
        <f t="shared" si="167"/>
        <v>57110200</v>
      </c>
      <c r="H4700" t="s">
        <v>2388</v>
      </c>
      <c r="K4700" s="4">
        <v>140000</v>
      </c>
    </row>
    <row r="4701" spans="1:11" hidden="1" outlineLevel="2" x14ac:dyDescent="0.35">
      <c r="A4701" t="s">
        <v>2337</v>
      </c>
      <c r="B4701" s="1">
        <v>45721</v>
      </c>
      <c r="C4701" t="str">
        <f>"679"</f>
        <v>679</v>
      </c>
      <c r="E4701" t="str">
        <f>"17299"</f>
        <v>17299</v>
      </c>
      <c r="F4701" t="str">
        <f t="shared" si="167"/>
        <v>57110200</v>
      </c>
      <c r="H4701" t="s">
        <v>2389</v>
      </c>
      <c r="K4701" s="4">
        <v>40000</v>
      </c>
    </row>
    <row r="4702" spans="1:11" hidden="1" outlineLevel="2" x14ac:dyDescent="0.35">
      <c r="A4702" t="s">
        <v>2337</v>
      </c>
      <c r="B4702" s="1">
        <v>45721</v>
      </c>
      <c r="C4702" t="str">
        <f>"680"</f>
        <v>680</v>
      </c>
      <c r="E4702" t="str">
        <f>"17300"</f>
        <v>17300</v>
      </c>
      <c r="F4702" t="str">
        <f t="shared" si="167"/>
        <v>57110200</v>
      </c>
      <c r="H4702" t="s">
        <v>2390</v>
      </c>
      <c r="K4702" s="4">
        <v>412900</v>
      </c>
    </row>
    <row r="4703" spans="1:11" hidden="1" outlineLevel="2" x14ac:dyDescent="0.35">
      <c r="A4703" t="s">
        <v>2337</v>
      </c>
      <c r="B4703" s="1">
        <v>45721</v>
      </c>
      <c r="C4703" t="str">
        <f>"681"</f>
        <v>681</v>
      </c>
      <c r="E4703" t="str">
        <f>"17301"</f>
        <v>17301</v>
      </c>
      <c r="F4703" t="str">
        <f t="shared" si="167"/>
        <v>57110200</v>
      </c>
      <c r="H4703" t="s">
        <v>2393</v>
      </c>
      <c r="K4703" s="4">
        <v>110000</v>
      </c>
    </row>
    <row r="4704" spans="1:11" hidden="1" outlineLevel="2" x14ac:dyDescent="0.35">
      <c r="A4704" t="s">
        <v>2337</v>
      </c>
      <c r="B4704" s="1">
        <v>45721</v>
      </c>
      <c r="C4704" t="str">
        <f>"682"</f>
        <v>682</v>
      </c>
      <c r="E4704" t="str">
        <f>"17302"</f>
        <v>17302</v>
      </c>
      <c r="F4704" t="str">
        <f t="shared" si="167"/>
        <v>57110200</v>
      </c>
      <c r="H4704" t="s">
        <v>2396</v>
      </c>
      <c r="K4704" s="4">
        <v>45000</v>
      </c>
    </row>
    <row r="4705" spans="1:11" hidden="1" outlineLevel="2" x14ac:dyDescent="0.35">
      <c r="A4705" t="s">
        <v>2337</v>
      </c>
      <c r="B4705" s="1">
        <v>45721</v>
      </c>
      <c r="C4705" t="str">
        <f>"683"</f>
        <v>683</v>
      </c>
      <c r="E4705" t="str">
        <f>"17303"</f>
        <v>17303</v>
      </c>
      <c r="F4705" t="str">
        <f t="shared" si="167"/>
        <v>57110200</v>
      </c>
      <c r="H4705" t="s">
        <v>2397</v>
      </c>
      <c r="K4705" s="4">
        <v>140200</v>
      </c>
    </row>
    <row r="4706" spans="1:11" hidden="1" outlineLevel="2" x14ac:dyDescent="0.35">
      <c r="A4706" t="s">
        <v>2337</v>
      </c>
      <c r="B4706" s="1">
        <v>45722</v>
      </c>
      <c r="C4706" t="str">
        <f>"684"</f>
        <v>684</v>
      </c>
      <c r="E4706" t="str">
        <f>"1307"</f>
        <v>1307</v>
      </c>
      <c r="F4706" t="str">
        <f t="shared" si="167"/>
        <v>57110200</v>
      </c>
      <c r="H4706" t="s">
        <v>2399</v>
      </c>
      <c r="J4706" s="4">
        <v>527280</v>
      </c>
    </row>
    <row r="4707" spans="1:11" hidden="1" outlineLevel="2" x14ac:dyDescent="0.35">
      <c r="A4707" t="s">
        <v>2337</v>
      </c>
      <c r="B4707" s="1">
        <v>45722</v>
      </c>
      <c r="C4707" t="str">
        <f>"685"</f>
        <v>685</v>
      </c>
      <c r="E4707" t="str">
        <f>"17034"</f>
        <v>17034</v>
      </c>
      <c r="F4707" t="str">
        <f t="shared" si="167"/>
        <v>57110200</v>
      </c>
      <c r="H4707" t="s">
        <v>2400</v>
      </c>
      <c r="K4707" s="4">
        <v>10000</v>
      </c>
    </row>
    <row r="4708" spans="1:11" hidden="1" outlineLevel="2" x14ac:dyDescent="0.35">
      <c r="A4708" t="s">
        <v>2337</v>
      </c>
      <c r="B4708" s="1">
        <v>45722</v>
      </c>
      <c r="C4708" t="str">
        <f>"686"</f>
        <v>686</v>
      </c>
      <c r="E4708" t="str">
        <f>"17305"</f>
        <v>17305</v>
      </c>
      <c r="F4708" t="str">
        <f t="shared" si="167"/>
        <v>57110200</v>
      </c>
      <c r="H4708" t="s">
        <v>2401</v>
      </c>
      <c r="K4708" s="4">
        <v>45000</v>
      </c>
    </row>
    <row r="4709" spans="1:11" hidden="1" outlineLevel="2" x14ac:dyDescent="0.35">
      <c r="A4709" t="s">
        <v>2337</v>
      </c>
      <c r="B4709" s="1">
        <v>45722</v>
      </c>
      <c r="C4709" t="str">
        <f>"687"</f>
        <v>687</v>
      </c>
      <c r="E4709" t="str">
        <f>"17306"</f>
        <v>17306</v>
      </c>
      <c r="F4709" t="str">
        <f t="shared" si="167"/>
        <v>57110200</v>
      </c>
      <c r="H4709" t="s">
        <v>2402</v>
      </c>
      <c r="K4709" s="4">
        <v>200000</v>
      </c>
    </row>
    <row r="4710" spans="1:11" hidden="1" outlineLevel="2" x14ac:dyDescent="0.35">
      <c r="A4710" t="s">
        <v>2337</v>
      </c>
      <c r="B4710" s="1">
        <v>45722</v>
      </c>
      <c r="C4710" t="str">
        <f>"688"</f>
        <v>688</v>
      </c>
      <c r="E4710" t="str">
        <f>"17307"</f>
        <v>17307</v>
      </c>
      <c r="F4710" t="str">
        <f t="shared" si="167"/>
        <v>57110200</v>
      </c>
      <c r="H4710" t="s">
        <v>2403</v>
      </c>
      <c r="K4710" s="4">
        <v>300000</v>
      </c>
    </row>
    <row r="4711" spans="1:11" hidden="1" outlineLevel="2" x14ac:dyDescent="0.35">
      <c r="A4711" t="s">
        <v>2337</v>
      </c>
      <c r="B4711" s="1">
        <v>45723</v>
      </c>
      <c r="C4711" t="str">
        <f>"689"</f>
        <v>689</v>
      </c>
      <c r="E4711" t="str">
        <f>"17308"</f>
        <v>17308</v>
      </c>
      <c r="F4711" t="str">
        <f t="shared" si="167"/>
        <v>57110200</v>
      </c>
      <c r="H4711" t="s">
        <v>2404</v>
      </c>
      <c r="K4711" s="4">
        <v>233600</v>
      </c>
    </row>
    <row r="4712" spans="1:11" hidden="1" outlineLevel="2" x14ac:dyDescent="0.35">
      <c r="A4712" t="s">
        <v>2337</v>
      </c>
      <c r="B4712" s="1">
        <v>45723</v>
      </c>
      <c r="C4712" t="str">
        <f>"690"</f>
        <v>690</v>
      </c>
      <c r="E4712" t="str">
        <f>"17309"</f>
        <v>17309</v>
      </c>
      <c r="F4712" t="str">
        <f t="shared" si="167"/>
        <v>57110200</v>
      </c>
      <c r="H4712" t="s">
        <v>2406</v>
      </c>
      <c r="K4712" s="4">
        <v>87000</v>
      </c>
    </row>
    <row r="4713" spans="1:11" hidden="1" outlineLevel="2" x14ac:dyDescent="0.35">
      <c r="A4713" t="s">
        <v>2337</v>
      </c>
      <c r="B4713" s="1">
        <v>45723</v>
      </c>
      <c r="C4713" t="str">
        <f>"691"</f>
        <v>691</v>
      </c>
      <c r="E4713" t="str">
        <f>"17310"</f>
        <v>17310</v>
      </c>
      <c r="F4713" t="str">
        <f t="shared" si="167"/>
        <v>57110200</v>
      </c>
      <c r="H4713" t="s">
        <v>2408</v>
      </c>
      <c r="K4713" s="4">
        <v>140000</v>
      </c>
    </row>
    <row r="4714" spans="1:11" hidden="1" outlineLevel="2" x14ac:dyDescent="0.35">
      <c r="A4714" t="s">
        <v>2337</v>
      </c>
      <c r="B4714" s="1">
        <v>45723</v>
      </c>
      <c r="C4714" t="str">
        <f>"692"</f>
        <v>692</v>
      </c>
      <c r="E4714" t="str">
        <f>"17311"</f>
        <v>17311</v>
      </c>
      <c r="F4714" t="str">
        <f t="shared" si="167"/>
        <v>57110200</v>
      </c>
      <c r="H4714" t="s">
        <v>2409</v>
      </c>
      <c r="K4714" s="4">
        <v>-45000</v>
      </c>
    </row>
    <row r="4715" spans="1:11" hidden="1" outlineLevel="2" x14ac:dyDescent="0.35">
      <c r="A4715" t="s">
        <v>2337</v>
      </c>
      <c r="B4715" s="1">
        <v>45723</v>
      </c>
      <c r="C4715" t="str">
        <f>"693"</f>
        <v>693</v>
      </c>
      <c r="E4715" t="str">
        <f>"17312"</f>
        <v>17312</v>
      </c>
      <c r="F4715" t="str">
        <f t="shared" si="167"/>
        <v>57110200</v>
      </c>
      <c r="H4715" t="s">
        <v>2410</v>
      </c>
      <c r="K4715" s="4">
        <v>60000</v>
      </c>
    </row>
    <row r="4716" spans="1:11" hidden="1" outlineLevel="2" x14ac:dyDescent="0.35">
      <c r="A4716" t="s">
        <v>2337</v>
      </c>
      <c r="B4716" s="1">
        <v>45723</v>
      </c>
      <c r="C4716" t="str">
        <f>"694"</f>
        <v>694</v>
      </c>
      <c r="E4716" t="str">
        <f>"17313"</f>
        <v>17313</v>
      </c>
      <c r="F4716" t="str">
        <f t="shared" si="167"/>
        <v>57110200</v>
      </c>
      <c r="H4716" t="s">
        <v>2411</v>
      </c>
      <c r="K4716" s="4">
        <v>1000000</v>
      </c>
    </row>
    <row r="4717" spans="1:11" hidden="1" outlineLevel="2" x14ac:dyDescent="0.35">
      <c r="A4717" t="s">
        <v>2337</v>
      </c>
      <c r="B4717" s="1">
        <v>45723</v>
      </c>
      <c r="C4717" t="str">
        <f>"695"</f>
        <v>695</v>
      </c>
      <c r="E4717" t="str">
        <f>"17314"</f>
        <v>17314</v>
      </c>
      <c r="F4717" t="str">
        <f t="shared" si="167"/>
        <v>57110200</v>
      </c>
      <c r="H4717" t="s">
        <v>2412</v>
      </c>
      <c r="K4717" s="4">
        <v>15000</v>
      </c>
    </row>
    <row r="4718" spans="1:11" hidden="1" outlineLevel="2" x14ac:dyDescent="0.35">
      <c r="A4718" t="s">
        <v>2337</v>
      </c>
      <c r="B4718" s="1">
        <v>45723</v>
      </c>
      <c r="C4718" t="str">
        <f>"696"</f>
        <v>696</v>
      </c>
      <c r="E4718" t="str">
        <f>"17315"</f>
        <v>17315</v>
      </c>
      <c r="F4718" t="str">
        <f t="shared" si="167"/>
        <v>57110200</v>
      </c>
      <c r="H4718" t="s">
        <v>2413</v>
      </c>
      <c r="K4718" s="4">
        <v>58564</v>
      </c>
    </row>
    <row r="4719" spans="1:11" hidden="1" outlineLevel="2" x14ac:dyDescent="0.35">
      <c r="A4719" t="s">
        <v>2337</v>
      </c>
      <c r="B4719" s="1">
        <v>45726</v>
      </c>
      <c r="C4719" t="str">
        <f>"697"</f>
        <v>697</v>
      </c>
      <c r="E4719" t="str">
        <f>"17316"</f>
        <v>17316</v>
      </c>
      <c r="F4719" t="str">
        <f t="shared" si="167"/>
        <v>57110200</v>
      </c>
      <c r="H4719" t="s">
        <v>2414</v>
      </c>
      <c r="K4719" s="4">
        <v>74104</v>
      </c>
    </row>
    <row r="4720" spans="1:11" hidden="1" outlineLevel="2" x14ac:dyDescent="0.35">
      <c r="A4720" t="s">
        <v>2337</v>
      </c>
      <c r="B4720" s="1">
        <v>45726</v>
      </c>
      <c r="C4720" t="str">
        <f>"698"</f>
        <v>698</v>
      </c>
      <c r="E4720" t="str">
        <f>"17317"</f>
        <v>17317</v>
      </c>
      <c r="F4720" t="str">
        <f t="shared" si="167"/>
        <v>57110200</v>
      </c>
      <c r="H4720" t="s">
        <v>2415</v>
      </c>
      <c r="K4720" s="4">
        <v>15000</v>
      </c>
    </row>
    <row r="4721" spans="1:11" hidden="1" outlineLevel="2" x14ac:dyDescent="0.35">
      <c r="A4721" t="s">
        <v>2337</v>
      </c>
      <c r="B4721" s="1">
        <v>45726</v>
      </c>
      <c r="C4721" t="str">
        <f>"699"</f>
        <v>699</v>
      </c>
      <c r="E4721" t="str">
        <f>"17318"</f>
        <v>17318</v>
      </c>
      <c r="F4721" t="str">
        <f t="shared" si="167"/>
        <v>57110200</v>
      </c>
      <c r="H4721" t="s">
        <v>2416</v>
      </c>
      <c r="K4721" s="4">
        <v>220000</v>
      </c>
    </row>
    <row r="4722" spans="1:11" hidden="1" outlineLevel="2" x14ac:dyDescent="0.35">
      <c r="A4722" t="s">
        <v>2337</v>
      </c>
      <c r="B4722" s="1">
        <v>45726</v>
      </c>
      <c r="C4722" t="str">
        <f>"700"</f>
        <v>700</v>
      </c>
      <c r="E4722" t="str">
        <f>"17319"</f>
        <v>17319</v>
      </c>
      <c r="F4722" t="str">
        <f t="shared" si="167"/>
        <v>57110200</v>
      </c>
      <c r="H4722" t="s">
        <v>2417</v>
      </c>
      <c r="K4722" s="4">
        <v>40000</v>
      </c>
    </row>
    <row r="4723" spans="1:11" hidden="1" outlineLevel="2" x14ac:dyDescent="0.35">
      <c r="A4723" t="s">
        <v>2337</v>
      </c>
      <c r="B4723" s="1">
        <v>45726</v>
      </c>
      <c r="C4723" t="str">
        <f>"701"</f>
        <v>701</v>
      </c>
      <c r="E4723" t="str">
        <f>"17320"</f>
        <v>17320</v>
      </c>
      <c r="F4723" t="str">
        <f t="shared" si="167"/>
        <v>57110200</v>
      </c>
      <c r="H4723" t="s">
        <v>2418</v>
      </c>
      <c r="K4723" s="4">
        <v>47500</v>
      </c>
    </row>
    <row r="4724" spans="1:11" hidden="1" outlineLevel="2" x14ac:dyDescent="0.35">
      <c r="A4724" t="s">
        <v>2337</v>
      </c>
      <c r="B4724" s="1">
        <v>45726</v>
      </c>
      <c r="C4724" t="str">
        <f>"702"</f>
        <v>702</v>
      </c>
      <c r="E4724" t="str">
        <f>"17321"</f>
        <v>17321</v>
      </c>
      <c r="F4724" t="str">
        <f t="shared" si="167"/>
        <v>57110200</v>
      </c>
      <c r="H4724" t="s">
        <v>2420</v>
      </c>
      <c r="K4724" s="4">
        <v>82000</v>
      </c>
    </row>
    <row r="4725" spans="1:11" hidden="1" outlineLevel="2" x14ac:dyDescent="0.35">
      <c r="A4725" t="s">
        <v>2337</v>
      </c>
      <c r="B4725" s="1">
        <v>45726</v>
      </c>
      <c r="C4725" t="str">
        <f>"703"</f>
        <v>703</v>
      </c>
      <c r="E4725" t="str">
        <f>"17322"</f>
        <v>17322</v>
      </c>
      <c r="F4725" t="str">
        <f t="shared" si="167"/>
        <v>57110200</v>
      </c>
      <c r="H4725" t="s">
        <v>2421</v>
      </c>
      <c r="K4725" s="4">
        <v>8000</v>
      </c>
    </row>
    <row r="4726" spans="1:11" hidden="1" outlineLevel="2" x14ac:dyDescent="0.35">
      <c r="A4726" t="s">
        <v>2337</v>
      </c>
      <c r="B4726" s="1">
        <v>45726</v>
      </c>
      <c r="C4726" t="str">
        <f>"704"</f>
        <v>704</v>
      </c>
      <c r="E4726" t="str">
        <f>"17323"</f>
        <v>17323</v>
      </c>
      <c r="F4726" t="str">
        <f t="shared" si="167"/>
        <v>57110200</v>
      </c>
      <c r="H4726" t="s">
        <v>2423</v>
      </c>
      <c r="K4726" s="4">
        <v>-260000</v>
      </c>
    </row>
    <row r="4727" spans="1:11" hidden="1" outlineLevel="2" x14ac:dyDescent="0.35">
      <c r="A4727" t="s">
        <v>2337</v>
      </c>
      <c r="B4727" s="1">
        <v>45726</v>
      </c>
      <c r="C4727" t="str">
        <f>"705"</f>
        <v>705</v>
      </c>
      <c r="E4727" t="str">
        <f>"17324"</f>
        <v>17324</v>
      </c>
      <c r="F4727" t="str">
        <f t="shared" si="167"/>
        <v>57110200</v>
      </c>
      <c r="H4727" t="s">
        <v>2424</v>
      </c>
      <c r="K4727" s="4">
        <v>24000</v>
      </c>
    </row>
    <row r="4728" spans="1:11" hidden="1" outlineLevel="2" x14ac:dyDescent="0.35">
      <c r="A4728" t="s">
        <v>2337</v>
      </c>
      <c r="B4728" s="1">
        <v>45726</v>
      </c>
      <c r="C4728" t="str">
        <f>"706"</f>
        <v>706</v>
      </c>
      <c r="E4728" t="str">
        <f>"17325"</f>
        <v>17325</v>
      </c>
      <c r="F4728" t="str">
        <f t="shared" si="167"/>
        <v>57110200</v>
      </c>
      <c r="H4728" t="s">
        <v>2426</v>
      </c>
      <c r="K4728" s="4">
        <v>30000</v>
      </c>
    </row>
    <row r="4729" spans="1:11" hidden="1" outlineLevel="2" x14ac:dyDescent="0.35">
      <c r="A4729" t="s">
        <v>2337</v>
      </c>
      <c r="B4729" s="1">
        <v>45726</v>
      </c>
      <c r="C4729" t="str">
        <f>"707"</f>
        <v>707</v>
      </c>
      <c r="E4729" t="str">
        <f>"17326"</f>
        <v>17326</v>
      </c>
      <c r="F4729" t="str">
        <f t="shared" ref="F4729:F4792" si="168">"57110200"</f>
        <v>57110200</v>
      </c>
      <c r="H4729" t="s">
        <v>2427</v>
      </c>
      <c r="K4729" s="4">
        <v>5000</v>
      </c>
    </row>
    <row r="4730" spans="1:11" hidden="1" outlineLevel="2" x14ac:dyDescent="0.35">
      <c r="A4730" t="s">
        <v>2337</v>
      </c>
      <c r="B4730" s="1">
        <v>45726</v>
      </c>
      <c r="C4730" t="str">
        <f>"708"</f>
        <v>708</v>
      </c>
      <c r="E4730" t="str">
        <f>"17327"</f>
        <v>17327</v>
      </c>
      <c r="F4730" t="str">
        <f t="shared" si="168"/>
        <v>57110200</v>
      </c>
      <c r="H4730" t="s">
        <v>2428</v>
      </c>
      <c r="K4730" s="4">
        <v>10000</v>
      </c>
    </row>
    <row r="4731" spans="1:11" hidden="1" outlineLevel="2" x14ac:dyDescent="0.35">
      <c r="A4731" t="s">
        <v>2337</v>
      </c>
      <c r="B4731" s="1">
        <v>45726</v>
      </c>
      <c r="C4731" t="str">
        <f>"709"</f>
        <v>709</v>
      </c>
      <c r="E4731" t="str">
        <f>"17328"</f>
        <v>17328</v>
      </c>
      <c r="F4731" t="str">
        <f t="shared" si="168"/>
        <v>57110200</v>
      </c>
      <c r="H4731" t="s">
        <v>2429</v>
      </c>
      <c r="K4731" s="4">
        <v>20000</v>
      </c>
    </row>
    <row r="4732" spans="1:11" hidden="1" outlineLevel="2" x14ac:dyDescent="0.35">
      <c r="A4732" t="s">
        <v>2337</v>
      </c>
      <c r="B4732" s="1">
        <v>45726</v>
      </c>
      <c r="C4732" t="str">
        <f>"710"</f>
        <v>710</v>
      </c>
      <c r="E4732" t="str">
        <f>"17329"</f>
        <v>17329</v>
      </c>
      <c r="F4732" t="str">
        <f t="shared" si="168"/>
        <v>57110200</v>
      </c>
      <c r="H4732" t="s">
        <v>2430</v>
      </c>
      <c r="K4732" s="4">
        <v>125300</v>
      </c>
    </row>
    <row r="4733" spans="1:11" hidden="1" outlineLevel="2" x14ac:dyDescent="0.35">
      <c r="A4733" t="s">
        <v>2337</v>
      </c>
      <c r="B4733" s="1">
        <v>45726</v>
      </c>
      <c r="C4733" t="str">
        <f>"711"</f>
        <v>711</v>
      </c>
      <c r="E4733" t="str">
        <f>"17330"</f>
        <v>17330</v>
      </c>
      <c r="F4733" t="str">
        <f t="shared" si="168"/>
        <v>57110200</v>
      </c>
      <c r="H4733" t="s">
        <v>2432</v>
      </c>
      <c r="K4733" s="4">
        <v>-2500</v>
      </c>
    </row>
    <row r="4734" spans="1:11" hidden="1" outlineLevel="2" x14ac:dyDescent="0.35">
      <c r="A4734" t="s">
        <v>2337</v>
      </c>
      <c r="B4734" s="1">
        <v>45726</v>
      </c>
      <c r="C4734" t="str">
        <f>"712"</f>
        <v>712</v>
      </c>
      <c r="E4734" t="str">
        <f>"17331"</f>
        <v>17331</v>
      </c>
      <c r="F4734" t="str">
        <f t="shared" si="168"/>
        <v>57110200</v>
      </c>
      <c r="H4734" t="s">
        <v>2433</v>
      </c>
      <c r="K4734" s="4">
        <v>55000</v>
      </c>
    </row>
    <row r="4735" spans="1:11" hidden="1" outlineLevel="2" x14ac:dyDescent="0.35">
      <c r="A4735" t="s">
        <v>2337</v>
      </c>
      <c r="B4735" s="1">
        <v>45726</v>
      </c>
      <c r="C4735" t="str">
        <f>"713"</f>
        <v>713</v>
      </c>
      <c r="E4735" t="str">
        <f>"17332"</f>
        <v>17332</v>
      </c>
      <c r="F4735" t="str">
        <f t="shared" si="168"/>
        <v>57110200</v>
      </c>
      <c r="H4735" t="s">
        <v>2437</v>
      </c>
      <c r="K4735" s="4">
        <v>40000</v>
      </c>
    </row>
    <row r="4736" spans="1:11" hidden="1" outlineLevel="2" x14ac:dyDescent="0.35">
      <c r="A4736" t="s">
        <v>2337</v>
      </c>
      <c r="B4736" s="1">
        <v>45726</v>
      </c>
      <c r="C4736" t="str">
        <f>"714"</f>
        <v>714</v>
      </c>
      <c r="E4736" t="str">
        <f>"17333"</f>
        <v>17333</v>
      </c>
      <c r="F4736" t="str">
        <f t="shared" si="168"/>
        <v>57110200</v>
      </c>
      <c r="H4736" t="s">
        <v>2438</v>
      </c>
      <c r="K4736" s="4">
        <v>246500</v>
      </c>
    </row>
    <row r="4737" spans="1:11" hidden="1" outlineLevel="2" x14ac:dyDescent="0.35">
      <c r="A4737" t="s">
        <v>2337</v>
      </c>
      <c r="B4737" s="1">
        <v>45727</v>
      </c>
      <c r="C4737" t="str">
        <f>"715"</f>
        <v>715</v>
      </c>
      <c r="E4737" t="str">
        <f>"17334"</f>
        <v>17334</v>
      </c>
      <c r="F4737" t="str">
        <f t="shared" si="168"/>
        <v>57110200</v>
      </c>
      <c r="H4737" t="s">
        <v>2441</v>
      </c>
      <c r="K4737" s="4">
        <v>15000</v>
      </c>
    </row>
    <row r="4738" spans="1:11" hidden="1" outlineLevel="2" x14ac:dyDescent="0.35">
      <c r="A4738" t="s">
        <v>2337</v>
      </c>
      <c r="B4738" s="1">
        <v>45727</v>
      </c>
      <c r="C4738" t="str">
        <f>"716"</f>
        <v>716</v>
      </c>
      <c r="E4738" t="str">
        <f>"17335"</f>
        <v>17335</v>
      </c>
      <c r="F4738" t="str">
        <f t="shared" si="168"/>
        <v>57110200</v>
      </c>
      <c r="H4738" t="s">
        <v>2442</v>
      </c>
      <c r="K4738" s="4">
        <v>50000</v>
      </c>
    </row>
    <row r="4739" spans="1:11" hidden="1" outlineLevel="2" x14ac:dyDescent="0.35">
      <c r="A4739" t="s">
        <v>2337</v>
      </c>
      <c r="B4739" s="1">
        <v>45727</v>
      </c>
      <c r="C4739" t="str">
        <f>"717"</f>
        <v>717</v>
      </c>
      <c r="E4739" t="str">
        <f>"17336"</f>
        <v>17336</v>
      </c>
      <c r="F4739" t="str">
        <f t="shared" si="168"/>
        <v>57110200</v>
      </c>
      <c r="H4739" t="s">
        <v>2443</v>
      </c>
      <c r="K4739" s="4">
        <v>15000</v>
      </c>
    </row>
    <row r="4740" spans="1:11" hidden="1" outlineLevel="2" x14ac:dyDescent="0.35">
      <c r="A4740" t="s">
        <v>2337</v>
      </c>
      <c r="B4740" s="1">
        <v>45727</v>
      </c>
      <c r="C4740" t="str">
        <f>"718"</f>
        <v>718</v>
      </c>
      <c r="E4740" t="str">
        <f>"17337"</f>
        <v>17337</v>
      </c>
      <c r="F4740" t="str">
        <f t="shared" si="168"/>
        <v>57110200</v>
      </c>
      <c r="H4740" t="s">
        <v>2444</v>
      </c>
      <c r="K4740" s="4">
        <v>100000</v>
      </c>
    </row>
    <row r="4741" spans="1:11" hidden="1" outlineLevel="2" x14ac:dyDescent="0.35">
      <c r="A4741" t="s">
        <v>2337</v>
      </c>
      <c r="B4741" s="1">
        <v>45727</v>
      </c>
      <c r="C4741" t="str">
        <f>"719"</f>
        <v>719</v>
      </c>
      <c r="E4741" t="str">
        <f>"17338"</f>
        <v>17338</v>
      </c>
      <c r="F4741" t="str">
        <f t="shared" si="168"/>
        <v>57110200</v>
      </c>
      <c r="H4741" t="s">
        <v>2445</v>
      </c>
      <c r="K4741" s="4">
        <v>10000</v>
      </c>
    </row>
    <row r="4742" spans="1:11" hidden="1" outlineLevel="2" x14ac:dyDescent="0.35">
      <c r="A4742" t="s">
        <v>2337</v>
      </c>
      <c r="B4742" s="1">
        <v>45727</v>
      </c>
      <c r="C4742" t="str">
        <f>"720"</f>
        <v>720</v>
      </c>
      <c r="E4742" t="str">
        <f>"17339"</f>
        <v>17339</v>
      </c>
      <c r="F4742" t="str">
        <f t="shared" si="168"/>
        <v>57110200</v>
      </c>
      <c r="H4742" t="s">
        <v>2446</v>
      </c>
      <c r="K4742" s="4">
        <v>105000</v>
      </c>
    </row>
    <row r="4743" spans="1:11" hidden="1" outlineLevel="2" x14ac:dyDescent="0.35">
      <c r="A4743" t="s">
        <v>2337</v>
      </c>
      <c r="B4743" s="1">
        <v>45727</v>
      </c>
      <c r="C4743" t="str">
        <f>"721"</f>
        <v>721</v>
      </c>
      <c r="E4743" t="str">
        <f>"17340"</f>
        <v>17340</v>
      </c>
      <c r="F4743" t="str">
        <f t="shared" si="168"/>
        <v>57110200</v>
      </c>
      <c r="H4743" t="s">
        <v>2447</v>
      </c>
      <c r="K4743" s="4">
        <v>-2000000</v>
      </c>
    </row>
    <row r="4744" spans="1:11" hidden="1" outlineLevel="2" x14ac:dyDescent="0.35">
      <c r="A4744" t="s">
        <v>2337</v>
      </c>
      <c r="B4744" s="1">
        <v>45727</v>
      </c>
      <c r="C4744" t="str">
        <f>"722"</f>
        <v>722</v>
      </c>
      <c r="E4744" t="str">
        <f>"17341"</f>
        <v>17341</v>
      </c>
      <c r="F4744" t="str">
        <f t="shared" si="168"/>
        <v>57110200</v>
      </c>
      <c r="H4744" t="s">
        <v>2448</v>
      </c>
      <c r="K4744" s="4">
        <v>17000</v>
      </c>
    </row>
    <row r="4745" spans="1:11" hidden="1" outlineLevel="2" x14ac:dyDescent="0.35">
      <c r="A4745" t="s">
        <v>2337</v>
      </c>
      <c r="B4745" s="1">
        <v>45727</v>
      </c>
      <c r="C4745" t="str">
        <f>"723"</f>
        <v>723</v>
      </c>
      <c r="E4745" t="str">
        <f>"17342"</f>
        <v>17342</v>
      </c>
      <c r="F4745" t="str">
        <f t="shared" si="168"/>
        <v>57110200</v>
      </c>
      <c r="H4745" t="s">
        <v>2449</v>
      </c>
      <c r="K4745" s="4">
        <v>10000</v>
      </c>
    </row>
    <row r="4746" spans="1:11" hidden="1" outlineLevel="2" x14ac:dyDescent="0.35">
      <c r="A4746" t="s">
        <v>2337</v>
      </c>
      <c r="B4746" s="1">
        <v>45727</v>
      </c>
      <c r="C4746" t="str">
        <f>"724"</f>
        <v>724</v>
      </c>
      <c r="E4746" t="str">
        <f>"17343"</f>
        <v>17343</v>
      </c>
      <c r="F4746" t="str">
        <f t="shared" si="168"/>
        <v>57110200</v>
      </c>
      <c r="H4746" t="s">
        <v>2450</v>
      </c>
      <c r="K4746" s="4">
        <v>35000</v>
      </c>
    </row>
    <row r="4747" spans="1:11" hidden="1" outlineLevel="2" x14ac:dyDescent="0.35">
      <c r="A4747" t="s">
        <v>2337</v>
      </c>
      <c r="B4747" s="1">
        <v>45727</v>
      </c>
      <c r="C4747" t="str">
        <f>"725"</f>
        <v>725</v>
      </c>
      <c r="E4747" t="str">
        <f>"17344"</f>
        <v>17344</v>
      </c>
      <c r="F4747" t="str">
        <f t="shared" si="168"/>
        <v>57110200</v>
      </c>
      <c r="H4747" t="s">
        <v>2451</v>
      </c>
      <c r="K4747" s="4">
        <v>25000</v>
      </c>
    </row>
    <row r="4748" spans="1:11" hidden="1" outlineLevel="2" x14ac:dyDescent="0.35">
      <c r="A4748" t="s">
        <v>2337</v>
      </c>
      <c r="B4748" s="1">
        <v>45727</v>
      </c>
      <c r="C4748" t="str">
        <f>"726"</f>
        <v>726</v>
      </c>
      <c r="E4748" t="str">
        <f>"17345"</f>
        <v>17345</v>
      </c>
      <c r="F4748" t="str">
        <f t="shared" si="168"/>
        <v>57110200</v>
      </c>
      <c r="H4748" t="s">
        <v>2452</v>
      </c>
      <c r="K4748" s="4">
        <v>45000</v>
      </c>
    </row>
    <row r="4749" spans="1:11" hidden="1" outlineLevel="2" x14ac:dyDescent="0.35">
      <c r="A4749" t="s">
        <v>2337</v>
      </c>
      <c r="B4749" s="1">
        <v>45727</v>
      </c>
      <c r="C4749" t="str">
        <f>"727"</f>
        <v>727</v>
      </c>
      <c r="E4749" t="str">
        <f>"17346"</f>
        <v>17346</v>
      </c>
      <c r="F4749" t="str">
        <f t="shared" si="168"/>
        <v>57110200</v>
      </c>
      <c r="H4749" t="s">
        <v>2453</v>
      </c>
      <c r="K4749" s="4">
        <v>34000</v>
      </c>
    </row>
    <row r="4750" spans="1:11" hidden="1" outlineLevel="2" x14ac:dyDescent="0.35">
      <c r="A4750" t="s">
        <v>2337</v>
      </c>
      <c r="B4750" s="1">
        <v>45727</v>
      </c>
      <c r="C4750" t="str">
        <f>"728"</f>
        <v>728</v>
      </c>
      <c r="E4750" t="str">
        <f>"17347"</f>
        <v>17347</v>
      </c>
      <c r="F4750" t="str">
        <f t="shared" si="168"/>
        <v>57110200</v>
      </c>
      <c r="H4750" t="s">
        <v>2454</v>
      </c>
      <c r="K4750" s="4">
        <v>1500000</v>
      </c>
    </row>
    <row r="4751" spans="1:11" hidden="1" outlineLevel="2" x14ac:dyDescent="0.35">
      <c r="A4751" t="s">
        <v>2337</v>
      </c>
      <c r="B4751" s="1">
        <v>45727</v>
      </c>
      <c r="C4751" t="str">
        <f>"729"</f>
        <v>729</v>
      </c>
      <c r="E4751" t="str">
        <f>"17348"</f>
        <v>17348</v>
      </c>
      <c r="F4751" t="str">
        <f t="shared" si="168"/>
        <v>57110200</v>
      </c>
      <c r="H4751" t="s">
        <v>2455</v>
      </c>
      <c r="K4751" s="4">
        <v>15000</v>
      </c>
    </row>
    <row r="4752" spans="1:11" hidden="1" outlineLevel="2" x14ac:dyDescent="0.35">
      <c r="A4752" t="s">
        <v>2337</v>
      </c>
      <c r="B4752" s="1">
        <v>45727</v>
      </c>
      <c r="C4752" t="str">
        <f>"730"</f>
        <v>730</v>
      </c>
      <c r="E4752" t="str">
        <f>"17349"</f>
        <v>17349</v>
      </c>
      <c r="F4752" t="str">
        <f t="shared" si="168"/>
        <v>57110200</v>
      </c>
      <c r="H4752" t="s">
        <v>2456</v>
      </c>
      <c r="K4752" s="4">
        <v>50000</v>
      </c>
    </row>
    <row r="4753" spans="1:11" hidden="1" outlineLevel="2" x14ac:dyDescent="0.35">
      <c r="A4753" t="s">
        <v>2337</v>
      </c>
      <c r="B4753" s="1">
        <v>45728</v>
      </c>
      <c r="C4753" t="str">
        <f>"731"</f>
        <v>731</v>
      </c>
      <c r="E4753" t="str">
        <f>"17350"</f>
        <v>17350</v>
      </c>
      <c r="F4753" t="str">
        <f t="shared" si="168"/>
        <v>57110200</v>
      </c>
      <c r="H4753" t="s">
        <v>2457</v>
      </c>
      <c r="K4753" s="4">
        <v>70000</v>
      </c>
    </row>
    <row r="4754" spans="1:11" hidden="1" outlineLevel="2" x14ac:dyDescent="0.35">
      <c r="A4754" t="s">
        <v>2337</v>
      </c>
      <c r="B4754" s="1">
        <v>45728</v>
      </c>
      <c r="C4754" t="str">
        <f>"732"</f>
        <v>732</v>
      </c>
      <c r="E4754" t="str">
        <f>"17351"</f>
        <v>17351</v>
      </c>
      <c r="F4754" t="str">
        <f t="shared" si="168"/>
        <v>57110200</v>
      </c>
      <c r="H4754" t="s">
        <v>2459</v>
      </c>
      <c r="K4754" s="4">
        <v>350000</v>
      </c>
    </row>
    <row r="4755" spans="1:11" hidden="1" outlineLevel="2" x14ac:dyDescent="0.35">
      <c r="A4755" t="s">
        <v>2337</v>
      </c>
      <c r="B4755" s="1">
        <v>45728</v>
      </c>
      <c r="C4755" t="str">
        <f>"733"</f>
        <v>733</v>
      </c>
      <c r="E4755" t="str">
        <f>"17352"</f>
        <v>17352</v>
      </c>
      <c r="F4755" t="str">
        <f t="shared" si="168"/>
        <v>57110200</v>
      </c>
      <c r="H4755" t="s">
        <v>2463</v>
      </c>
      <c r="K4755" s="4">
        <v>83000</v>
      </c>
    </row>
    <row r="4756" spans="1:11" hidden="1" outlineLevel="2" x14ac:dyDescent="0.35">
      <c r="A4756" t="s">
        <v>2337</v>
      </c>
      <c r="B4756" s="1">
        <v>45728</v>
      </c>
      <c r="C4756" t="str">
        <f>"734"</f>
        <v>734</v>
      </c>
      <c r="E4756" t="str">
        <f>"17353"</f>
        <v>17353</v>
      </c>
      <c r="F4756" t="str">
        <f t="shared" si="168"/>
        <v>57110200</v>
      </c>
      <c r="H4756" t="s">
        <v>2464</v>
      </c>
      <c r="J4756" s="4">
        <v>1660</v>
      </c>
    </row>
    <row r="4757" spans="1:11" hidden="1" outlineLevel="2" x14ac:dyDescent="0.35">
      <c r="A4757" t="s">
        <v>2337</v>
      </c>
      <c r="B4757" s="1">
        <v>45728</v>
      </c>
      <c r="C4757" t="str">
        <f>"735"</f>
        <v>735</v>
      </c>
      <c r="E4757" t="str">
        <f>"17354"</f>
        <v>17354</v>
      </c>
      <c r="F4757" t="str">
        <f t="shared" si="168"/>
        <v>57110200</v>
      </c>
      <c r="H4757" t="s">
        <v>2465</v>
      </c>
      <c r="K4757" s="4">
        <v>20000</v>
      </c>
    </row>
    <row r="4758" spans="1:11" hidden="1" outlineLevel="2" x14ac:dyDescent="0.35">
      <c r="A4758" t="s">
        <v>2337</v>
      </c>
      <c r="B4758" s="1">
        <v>45728</v>
      </c>
      <c r="C4758" t="str">
        <f>"736"</f>
        <v>736</v>
      </c>
      <c r="E4758" t="str">
        <f>"17355"</f>
        <v>17355</v>
      </c>
      <c r="F4758" t="str">
        <f t="shared" si="168"/>
        <v>57110200</v>
      </c>
      <c r="H4758" t="s">
        <v>2466</v>
      </c>
      <c r="K4758" s="4">
        <v>35000</v>
      </c>
    </row>
    <row r="4759" spans="1:11" hidden="1" outlineLevel="2" x14ac:dyDescent="0.35">
      <c r="A4759" t="s">
        <v>2337</v>
      </c>
      <c r="B4759" s="1">
        <v>45728</v>
      </c>
      <c r="C4759" t="str">
        <f>"737"</f>
        <v>737</v>
      </c>
      <c r="E4759" t="str">
        <f>"17356"</f>
        <v>17356</v>
      </c>
      <c r="F4759" t="str">
        <f t="shared" si="168"/>
        <v>57110200</v>
      </c>
      <c r="H4759" t="s">
        <v>2467</v>
      </c>
      <c r="K4759" s="4">
        <v>253000</v>
      </c>
    </row>
    <row r="4760" spans="1:11" hidden="1" outlineLevel="2" x14ac:dyDescent="0.35">
      <c r="A4760" t="s">
        <v>2337</v>
      </c>
      <c r="B4760" s="1">
        <v>45728</v>
      </c>
      <c r="C4760" t="str">
        <f>"738"</f>
        <v>738</v>
      </c>
      <c r="E4760" t="str">
        <f>"17357"</f>
        <v>17357</v>
      </c>
      <c r="F4760" t="str">
        <f t="shared" si="168"/>
        <v>57110200</v>
      </c>
      <c r="H4760" t="s">
        <v>2471</v>
      </c>
      <c r="K4760" s="4">
        <v>9500</v>
      </c>
    </row>
    <row r="4761" spans="1:11" hidden="1" outlineLevel="2" x14ac:dyDescent="0.35">
      <c r="A4761" t="s">
        <v>2337</v>
      </c>
      <c r="B4761" s="1">
        <v>45728</v>
      </c>
      <c r="C4761" t="str">
        <f>"739"</f>
        <v>739</v>
      </c>
      <c r="E4761" t="str">
        <f>"17358"</f>
        <v>17358</v>
      </c>
      <c r="F4761" t="str">
        <f t="shared" si="168"/>
        <v>57110200</v>
      </c>
      <c r="H4761" t="s">
        <v>2473</v>
      </c>
      <c r="K4761" s="4">
        <v>75000</v>
      </c>
    </row>
    <row r="4762" spans="1:11" hidden="1" outlineLevel="2" x14ac:dyDescent="0.35">
      <c r="A4762" t="s">
        <v>2337</v>
      </c>
      <c r="B4762" s="1">
        <v>45728</v>
      </c>
      <c r="C4762" t="str">
        <f>"740"</f>
        <v>740</v>
      </c>
      <c r="E4762" t="str">
        <f>"17359"</f>
        <v>17359</v>
      </c>
      <c r="F4762" t="str">
        <f t="shared" si="168"/>
        <v>57110200</v>
      </c>
      <c r="H4762" t="s">
        <v>2476</v>
      </c>
      <c r="K4762" s="4">
        <v>70000</v>
      </c>
    </row>
    <row r="4763" spans="1:11" hidden="1" outlineLevel="2" x14ac:dyDescent="0.35">
      <c r="A4763" t="s">
        <v>2337</v>
      </c>
      <c r="B4763" s="1">
        <v>45728</v>
      </c>
      <c r="C4763" t="str">
        <f>"741"</f>
        <v>741</v>
      </c>
      <c r="E4763" t="str">
        <f>"17360"</f>
        <v>17360</v>
      </c>
      <c r="F4763" t="str">
        <f t="shared" si="168"/>
        <v>57110200</v>
      </c>
      <c r="H4763" t="s">
        <v>2477</v>
      </c>
      <c r="K4763" s="4">
        <v>45000</v>
      </c>
    </row>
    <row r="4764" spans="1:11" hidden="1" outlineLevel="2" x14ac:dyDescent="0.35">
      <c r="A4764" t="s">
        <v>2337</v>
      </c>
      <c r="B4764" s="1">
        <v>45729</v>
      </c>
      <c r="C4764" t="str">
        <f>"742"</f>
        <v>742</v>
      </c>
      <c r="E4764" t="str">
        <f>"17361"</f>
        <v>17361</v>
      </c>
      <c r="F4764" t="str">
        <f t="shared" si="168"/>
        <v>57110200</v>
      </c>
      <c r="H4764" t="s">
        <v>2478</v>
      </c>
      <c r="K4764" s="4">
        <v>50000</v>
      </c>
    </row>
    <row r="4765" spans="1:11" hidden="1" outlineLevel="2" x14ac:dyDescent="0.35">
      <c r="A4765" t="s">
        <v>2337</v>
      </c>
      <c r="B4765" s="1">
        <v>45729</v>
      </c>
      <c r="C4765" t="str">
        <f>"743"</f>
        <v>743</v>
      </c>
      <c r="E4765" t="str">
        <f>"17362"</f>
        <v>17362</v>
      </c>
      <c r="F4765" t="str">
        <f t="shared" si="168"/>
        <v>57110200</v>
      </c>
      <c r="H4765" t="s">
        <v>2479</v>
      </c>
      <c r="J4765" s="4">
        <v>43200</v>
      </c>
    </row>
    <row r="4766" spans="1:11" hidden="1" outlineLevel="2" x14ac:dyDescent="0.35">
      <c r="A4766" t="s">
        <v>2337</v>
      </c>
      <c r="B4766" s="1">
        <v>45729</v>
      </c>
      <c r="C4766" t="str">
        <f>"744"</f>
        <v>744</v>
      </c>
      <c r="E4766" t="str">
        <f>"17363"</f>
        <v>17363</v>
      </c>
      <c r="F4766" t="str">
        <f t="shared" si="168"/>
        <v>57110200</v>
      </c>
      <c r="H4766" t="s">
        <v>2480</v>
      </c>
      <c r="K4766" s="4">
        <v>15000</v>
      </c>
    </row>
    <row r="4767" spans="1:11" hidden="1" outlineLevel="2" x14ac:dyDescent="0.35">
      <c r="A4767" t="s">
        <v>2337</v>
      </c>
      <c r="B4767" s="1">
        <v>45729</v>
      </c>
      <c r="C4767" t="str">
        <f>"745"</f>
        <v>745</v>
      </c>
      <c r="E4767" t="str">
        <f>"17364"</f>
        <v>17364</v>
      </c>
      <c r="F4767" t="str">
        <f t="shared" si="168"/>
        <v>57110200</v>
      </c>
      <c r="H4767" t="s">
        <v>2481</v>
      </c>
      <c r="K4767" s="4">
        <v>54500</v>
      </c>
    </row>
    <row r="4768" spans="1:11" hidden="1" outlineLevel="2" x14ac:dyDescent="0.35">
      <c r="A4768" t="s">
        <v>2337</v>
      </c>
      <c r="B4768" s="1">
        <v>45729</v>
      </c>
      <c r="C4768" t="str">
        <f>"746"</f>
        <v>746</v>
      </c>
      <c r="E4768" t="str">
        <f>"17365"</f>
        <v>17365</v>
      </c>
      <c r="F4768" t="str">
        <f t="shared" si="168"/>
        <v>57110200</v>
      </c>
      <c r="H4768" t="s">
        <v>2483</v>
      </c>
      <c r="K4768" s="4">
        <v>100000</v>
      </c>
    </row>
    <row r="4769" spans="1:11" hidden="1" outlineLevel="2" x14ac:dyDescent="0.35">
      <c r="A4769" t="s">
        <v>2337</v>
      </c>
      <c r="B4769" s="1">
        <v>45729</v>
      </c>
      <c r="C4769" t="str">
        <f>"747"</f>
        <v>747</v>
      </c>
      <c r="E4769" t="str">
        <f>"17366"</f>
        <v>17366</v>
      </c>
      <c r="F4769" t="str">
        <f t="shared" si="168"/>
        <v>57110200</v>
      </c>
      <c r="H4769" t="s">
        <v>2486</v>
      </c>
      <c r="K4769" s="4">
        <v>35000</v>
      </c>
    </row>
    <row r="4770" spans="1:11" hidden="1" outlineLevel="2" x14ac:dyDescent="0.35">
      <c r="A4770" t="s">
        <v>2337</v>
      </c>
      <c r="B4770" s="1">
        <v>45729</v>
      </c>
      <c r="C4770" t="str">
        <f>"748"</f>
        <v>748</v>
      </c>
      <c r="E4770" t="str">
        <f>"17367"</f>
        <v>17367</v>
      </c>
      <c r="F4770" t="str">
        <f t="shared" si="168"/>
        <v>57110200</v>
      </c>
      <c r="H4770" t="s">
        <v>2487</v>
      </c>
      <c r="K4770" s="4">
        <v>170000</v>
      </c>
    </row>
    <row r="4771" spans="1:11" hidden="1" outlineLevel="2" x14ac:dyDescent="0.35">
      <c r="A4771" t="s">
        <v>2337</v>
      </c>
      <c r="B4771" s="1">
        <v>45729</v>
      </c>
      <c r="C4771" t="str">
        <f>"749"</f>
        <v>749</v>
      </c>
      <c r="E4771" t="str">
        <f>"17368"</f>
        <v>17368</v>
      </c>
      <c r="F4771" t="str">
        <f t="shared" si="168"/>
        <v>57110200</v>
      </c>
      <c r="H4771" t="s">
        <v>2488</v>
      </c>
      <c r="K4771" s="4">
        <v>25000</v>
      </c>
    </row>
    <row r="4772" spans="1:11" hidden="1" outlineLevel="2" x14ac:dyDescent="0.35">
      <c r="A4772" t="s">
        <v>2337</v>
      </c>
      <c r="B4772" s="1">
        <v>45729</v>
      </c>
      <c r="C4772" t="str">
        <f>"750"</f>
        <v>750</v>
      </c>
      <c r="E4772" t="str">
        <f>"17369"</f>
        <v>17369</v>
      </c>
      <c r="F4772" t="str">
        <f t="shared" si="168"/>
        <v>57110200</v>
      </c>
      <c r="H4772" t="s">
        <v>2489</v>
      </c>
      <c r="K4772" s="4">
        <v>-300000</v>
      </c>
    </row>
    <row r="4773" spans="1:11" hidden="1" outlineLevel="2" x14ac:dyDescent="0.35">
      <c r="A4773" t="s">
        <v>2337</v>
      </c>
      <c r="B4773" s="1">
        <v>45729</v>
      </c>
      <c r="C4773" t="str">
        <f>"751"</f>
        <v>751</v>
      </c>
      <c r="E4773" t="str">
        <f>"17370"</f>
        <v>17370</v>
      </c>
      <c r="F4773" t="str">
        <f t="shared" si="168"/>
        <v>57110200</v>
      </c>
      <c r="H4773" t="s">
        <v>2490</v>
      </c>
      <c r="K4773" s="4">
        <v>150000</v>
      </c>
    </row>
    <row r="4774" spans="1:11" hidden="1" outlineLevel="2" x14ac:dyDescent="0.35">
      <c r="A4774" t="s">
        <v>2337</v>
      </c>
      <c r="B4774" s="1">
        <v>45729</v>
      </c>
      <c r="C4774" t="str">
        <f>"752"</f>
        <v>752</v>
      </c>
      <c r="E4774" t="str">
        <f>"17371"</f>
        <v>17371</v>
      </c>
      <c r="F4774" t="str">
        <f t="shared" si="168"/>
        <v>57110200</v>
      </c>
      <c r="H4774" t="s">
        <v>2491</v>
      </c>
      <c r="K4774" s="4">
        <v>262000</v>
      </c>
    </row>
    <row r="4775" spans="1:11" hidden="1" outlineLevel="2" x14ac:dyDescent="0.35">
      <c r="A4775" t="s">
        <v>2337</v>
      </c>
      <c r="B4775" s="1">
        <v>45729</v>
      </c>
      <c r="C4775" t="str">
        <f>"753"</f>
        <v>753</v>
      </c>
      <c r="E4775" t="str">
        <f>"17372"</f>
        <v>17372</v>
      </c>
      <c r="F4775" t="str">
        <f t="shared" si="168"/>
        <v>57110200</v>
      </c>
      <c r="H4775" t="s">
        <v>2492</v>
      </c>
      <c r="K4775" s="4">
        <v>1900</v>
      </c>
    </row>
    <row r="4776" spans="1:11" hidden="1" outlineLevel="2" x14ac:dyDescent="0.35">
      <c r="A4776" t="s">
        <v>2337</v>
      </c>
      <c r="B4776" s="1">
        <v>45729</v>
      </c>
      <c r="C4776" t="str">
        <f>"754"</f>
        <v>754</v>
      </c>
      <c r="E4776" t="str">
        <f>"17373"</f>
        <v>17373</v>
      </c>
      <c r="F4776" t="str">
        <f t="shared" si="168"/>
        <v>57110200</v>
      </c>
      <c r="H4776" t="s">
        <v>2493</v>
      </c>
      <c r="K4776" s="4">
        <v>55000</v>
      </c>
    </row>
    <row r="4777" spans="1:11" hidden="1" outlineLevel="2" x14ac:dyDescent="0.35">
      <c r="A4777" t="s">
        <v>2337</v>
      </c>
      <c r="B4777" s="1">
        <v>45729</v>
      </c>
      <c r="C4777" t="str">
        <f>"755"</f>
        <v>755</v>
      </c>
      <c r="E4777" t="str">
        <f>"17374"</f>
        <v>17374</v>
      </c>
      <c r="F4777" t="str">
        <f t="shared" si="168"/>
        <v>57110200</v>
      </c>
      <c r="H4777" t="s">
        <v>2496</v>
      </c>
      <c r="K4777" s="4">
        <v>2000</v>
      </c>
    </row>
    <row r="4778" spans="1:11" hidden="1" outlineLevel="2" x14ac:dyDescent="0.35">
      <c r="A4778" t="s">
        <v>2337</v>
      </c>
      <c r="B4778" s="1">
        <v>45730</v>
      </c>
      <c r="C4778" t="str">
        <f>"756"</f>
        <v>756</v>
      </c>
      <c r="E4778" t="str">
        <f>"17375"</f>
        <v>17375</v>
      </c>
      <c r="F4778" t="str">
        <f t="shared" si="168"/>
        <v>57110200</v>
      </c>
      <c r="H4778" t="s">
        <v>2497</v>
      </c>
      <c r="K4778" s="4">
        <v>15000</v>
      </c>
    </row>
    <row r="4779" spans="1:11" hidden="1" outlineLevel="2" x14ac:dyDescent="0.35">
      <c r="A4779" t="s">
        <v>2337</v>
      </c>
      <c r="B4779" s="1">
        <v>45730</v>
      </c>
      <c r="C4779" t="str">
        <f>"757"</f>
        <v>757</v>
      </c>
      <c r="E4779" t="str">
        <f>"17376"</f>
        <v>17376</v>
      </c>
      <c r="F4779" t="str">
        <f t="shared" si="168"/>
        <v>57110200</v>
      </c>
      <c r="H4779" t="s">
        <v>2498</v>
      </c>
      <c r="K4779" s="4">
        <v>10000</v>
      </c>
    </row>
    <row r="4780" spans="1:11" hidden="1" outlineLevel="2" x14ac:dyDescent="0.35">
      <c r="A4780" t="s">
        <v>2337</v>
      </c>
      <c r="B4780" s="1">
        <v>45730</v>
      </c>
      <c r="C4780" t="str">
        <f>"758"</f>
        <v>758</v>
      </c>
      <c r="E4780" t="str">
        <f>"17377"</f>
        <v>17377</v>
      </c>
      <c r="F4780" t="str">
        <f t="shared" si="168"/>
        <v>57110200</v>
      </c>
      <c r="H4780" t="s">
        <v>2499</v>
      </c>
      <c r="K4780" s="4">
        <v>20000</v>
      </c>
    </row>
    <row r="4781" spans="1:11" hidden="1" outlineLevel="2" x14ac:dyDescent="0.35">
      <c r="A4781" t="s">
        <v>2337</v>
      </c>
      <c r="B4781" s="1">
        <v>45730</v>
      </c>
      <c r="C4781" t="str">
        <f>"759"</f>
        <v>759</v>
      </c>
      <c r="E4781" t="str">
        <f>"17378"</f>
        <v>17378</v>
      </c>
      <c r="F4781" t="str">
        <f t="shared" si="168"/>
        <v>57110200</v>
      </c>
      <c r="H4781" t="s">
        <v>2500</v>
      </c>
      <c r="K4781" s="4">
        <v>10000</v>
      </c>
    </row>
    <row r="4782" spans="1:11" hidden="1" outlineLevel="2" x14ac:dyDescent="0.35">
      <c r="A4782" t="s">
        <v>2337</v>
      </c>
      <c r="B4782" s="1">
        <v>45730</v>
      </c>
      <c r="C4782" t="str">
        <f>"760"</f>
        <v>760</v>
      </c>
      <c r="E4782" t="str">
        <f>"17379"</f>
        <v>17379</v>
      </c>
      <c r="F4782" t="str">
        <f t="shared" si="168"/>
        <v>57110200</v>
      </c>
      <c r="H4782" t="s">
        <v>2501</v>
      </c>
      <c r="K4782" s="4">
        <v>140000</v>
      </c>
    </row>
    <row r="4783" spans="1:11" hidden="1" outlineLevel="2" x14ac:dyDescent="0.35">
      <c r="A4783" t="s">
        <v>2337</v>
      </c>
      <c r="B4783" s="1">
        <v>45730</v>
      </c>
      <c r="C4783" t="str">
        <f>"761"</f>
        <v>761</v>
      </c>
      <c r="E4783" t="str">
        <f>"17380"</f>
        <v>17380</v>
      </c>
      <c r="F4783" t="str">
        <f t="shared" si="168"/>
        <v>57110200</v>
      </c>
      <c r="H4783" t="s">
        <v>2502</v>
      </c>
      <c r="K4783" s="4">
        <v>15000</v>
      </c>
    </row>
    <row r="4784" spans="1:11" hidden="1" outlineLevel="2" x14ac:dyDescent="0.35">
      <c r="A4784" t="s">
        <v>2337</v>
      </c>
      <c r="B4784" s="1">
        <v>45730</v>
      </c>
      <c r="C4784" t="str">
        <f>"762"</f>
        <v>762</v>
      </c>
      <c r="E4784" t="str">
        <f>"17381"</f>
        <v>17381</v>
      </c>
      <c r="F4784" t="str">
        <f t="shared" si="168"/>
        <v>57110200</v>
      </c>
      <c r="H4784" t="s">
        <v>2503</v>
      </c>
      <c r="K4784" s="4">
        <v>290300</v>
      </c>
    </row>
    <row r="4785" spans="1:11" hidden="1" outlineLevel="2" x14ac:dyDescent="0.35">
      <c r="A4785" t="s">
        <v>2337</v>
      </c>
      <c r="B4785" s="1">
        <v>45730</v>
      </c>
      <c r="C4785" t="str">
        <f>"763"</f>
        <v>763</v>
      </c>
      <c r="E4785" t="str">
        <f>"17382"</f>
        <v>17382</v>
      </c>
      <c r="F4785" t="str">
        <f t="shared" si="168"/>
        <v>57110200</v>
      </c>
      <c r="H4785" t="s">
        <v>2507</v>
      </c>
      <c r="K4785" s="4">
        <v>8000</v>
      </c>
    </row>
    <row r="4786" spans="1:11" hidden="1" outlineLevel="2" x14ac:dyDescent="0.35">
      <c r="A4786" t="s">
        <v>2337</v>
      </c>
      <c r="B4786" s="1">
        <v>45730</v>
      </c>
      <c r="C4786" t="str">
        <f>"764"</f>
        <v>764</v>
      </c>
      <c r="E4786" t="str">
        <f>"17383"</f>
        <v>17383</v>
      </c>
      <c r="F4786" t="str">
        <f t="shared" si="168"/>
        <v>57110200</v>
      </c>
      <c r="H4786" t="s">
        <v>2508</v>
      </c>
      <c r="K4786" s="4">
        <v>-34000</v>
      </c>
    </row>
    <row r="4787" spans="1:11" hidden="1" outlineLevel="2" x14ac:dyDescent="0.35">
      <c r="A4787" t="s">
        <v>2337</v>
      </c>
      <c r="B4787" s="1">
        <v>45730</v>
      </c>
      <c r="C4787" t="str">
        <f>"765"</f>
        <v>765</v>
      </c>
      <c r="E4787" t="str">
        <f>"17384"</f>
        <v>17384</v>
      </c>
      <c r="F4787" t="str">
        <f t="shared" si="168"/>
        <v>57110200</v>
      </c>
      <c r="H4787" t="s">
        <v>2509</v>
      </c>
      <c r="K4787" s="4">
        <v>17000</v>
      </c>
    </row>
    <row r="4788" spans="1:11" hidden="1" outlineLevel="2" x14ac:dyDescent="0.35">
      <c r="A4788" t="s">
        <v>2337</v>
      </c>
      <c r="B4788" s="1">
        <v>45730</v>
      </c>
      <c r="C4788" t="str">
        <f>"766"</f>
        <v>766</v>
      </c>
      <c r="E4788" t="str">
        <f>"17385"</f>
        <v>17385</v>
      </c>
      <c r="F4788" t="str">
        <f t="shared" si="168"/>
        <v>57110200</v>
      </c>
      <c r="H4788" t="s">
        <v>2510</v>
      </c>
      <c r="K4788" s="4">
        <v>387000</v>
      </c>
    </row>
    <row r="4789" spans="1:11" hidden="1" outlineLevel="2" x14ac:dyDescent="0.35">
      <c r="A4789" t="s">
        <v>2337</v>
      </c>
      <c r="B4789" s="1">
        <v>45733</v>
      </c>
      <c r="C4789" t="str">
        <f>"767"</f>
        <v>767</v>
      </c>
      <c r="E4789" t="str">
        <f>"17386"</f>
        <v>17386</v>
      </c>
      <c r="F4789" t="str">
        <f t="shared" si="168"/>
        <v>57110200</v>
      </c>
      <c r="H4789" t="s">
        <v>2513</v>
      </c>
      <c r="K4789" s="4">
        <v>150000</v>
      </c>
    </row>
    <row r="4790" spans="1:11" hidden="1" outlineLevel="2" x14ac:dyDescent="0.35">
      <c r="A4790" t="s">
        <v>2337</v>
      </c>
      <c r="B4790" s="1">
        <v>45733</v>
      </c>
      <c r="C4790" t="str">
        <f>"768"</f>
        <v>768</v>
      </c>
      <c r="E4790" t="str">
        <f>"17387"</f>
        <v>17387</v>
      </c>
      <c r="F4790" t="str">
        <f t="shared" si="168"/>
        <v>57110200</v>
      </c>
      <c r="H4790" t="s">
        <v>2514</v>
      </c>
      <c r="K4790" s="4">
        <v>89000</v>
      </c>
    </row>
    <row r="4791" spans="1:11" hidden="1" outlineLevel="2" x14ac:dyDescent="0.35">
      <c r="A4791" t="s">
        <v>2337</v>
      </c>
      <c r="B4791" s="1">
        <v>45733</v>
      </c>
      <c r="C4791" t="str">
        <f>"769"</f>
        <v>769</v>
      </c>
      <c r="E4791" t="str">
        <f>"17388"</f>
        <v>17388</v>
      </c>
      <c r="F4791" t="str">
        <f t="shared" si="168"/>
        <v>57110200</v>
      </c>
      <c r="H4791" t="s">
        <v>2515</v>
      </c>
      <c r="K4791" s="4">
        <v>56000</v>
      </c>
    </row>
    <row r="4792" spans="1:11" hidden="1" outlineLevel="2" x14ac:dyDescent="0.35">
      <c r="A4792" t="s">
        <v>2337</v>
      </c>
      <c r="B4792" s="1">
        <v>45733</v>
      </c>
      <c r="C4792" t="str">
        <f>"770"</f>
        <v>770</v>
      </c>
      <c r="E4792" t="str">
        <f>"17389"</f>
        <v>17389</v>
      </c>
      <c r="F4792" t="str">
        <f t="shared" si="168"/>
        <v>57110200</v>
      </c>
      <c r="H4792" t="s">
        <v>2516</v>
      </c>
      <c r="K4792" s="4">
        <v>50000</v>
      </c>
    </row>
    <row r="4793" spans="1:11" hidden="1" outlineLevel="2" x14ac:dyDescent="0.35">
      <c r="A4793" t="s">
        <v>2337</v>
      </c>
      <c r="B4793" s="1">
        <v>45733</v>
      </c>
      <c r="C4793" t="str">
        <f>"771"</f>
        <v>771</v>
      </c>
      <c r="E4793" t="str">
        <f>"17390"</f>
        <v>17390</v>
      </c>
      <c r="F4793" t="str">
        <f t="shared" ref="F4793:F4856" si="169">"57110200"</f>
        <v>57110200</v>
      </c>
      <c r="H4793" t="s">
        <v>2517</v>
      </c>
      <c r="K4793" s="4">
        <v>162000</v>
      </c>
    </row>
    <row r="4794" spans="1:11" hidden="1" outlineLevel="2" x14ac:dyDescent="0.35">
      <c r="A4794" t="s">
        <v>2337</v>
      </c>
      <c r="B4794" s="1">
        <v>45733</v>
      </c>
      <c r="C4794" t="str">
        <f>"772"</f>
        <v>772</v>
      </c>
      <c r="E4794" t="str">
        <f>"17391"</f>
        <v>17391</v>
      </c>
      <c r="F4794" t="str">
        <f t="shared" si="169"/>
        <v>57110200</v>
      </c>
      <c r="H4794" t="s">
        <v>2518</v>
      </c>
      <c r="K4794" s="4">
        <v>40000</v>
      </c>
    </row>
    <row r="4795" spans="1:11" hidden="1" outlineLevel="2" x14ac:dyDescent="0.35">
      <c r="A4795" t="s">
        <v>2337</v>
      </c>
      <c r="B4795" s="1">
        <v>45733</v>
      </c>
      <c r="C4795" t="str">
        <f>"773"</f>
        <v>773</v>
      </c>
      <c r="E4795" t="str">
        <f>"17392"</f>
        <v>17392</v>
      </c>
      <c r="F4795" t="str">
        <f t="shared" si="169"/>
        <v>57110200</v>
      </c>
      <c r="H4795" t="s">
        <v>2519</v>
      </c>
      <c r="K4795" s="4">
        <v>218700</v>
      </c>
    </row>
    <row r="4796" spans="1:11" hidden="1" outlineLevel="2" x14ac:dyDescent="0.35">
      <c r="A4796" t="s">
        <v>2337</v>
      </c>
      <c r="B4796" s="1">
        <v>45733</v>
      </c>
      <c r="C4796" t="str">
        <f>"774"</f>
        <v>774</v>
      </c>
      <c r="E4796" t="str">
        <f>"17393"</f>
        <v>17393</v>
      </c>
      <c r="F4796" t="str">
        <f t="shared" si="169"/>
        <v>57110200</v>
      </c>
      <c r="H4796" t="s">
        <v>2522</v>
      </c>
      <c r="K4796" s="4">
        <v>10000</v>
      </c>
    </row>
    <row r="4797" spans="1:11" hidden="1" outlineLevel="2" x14ac:dyDescent="0.35">
      <c r="A4797" t="s">
        <v>2337</v>
      </c>
      <c r="B4797" s="1">
        <v>45734</v>
      </c>
      <c r="C4797" t="str">
        <f>"775"</f>
        <v>775</v>
      </c>
      <c r="E4797" t="str">
        <f>"1308"</f>
        <v>1308</v>
      </c>
      <c r="F4797" t="str">
        <f t="shared" si="169"/>
        <v>57110200</v>
      </c>
      <c r="H4797" t="s">
        <v>65</v>
      </c>
      <c r="J4797" s="4">
        <v>1825100</v>
      </c>
    </row>
    <row r="4798" spans="1:11" hidden="1" outlineLevel="2" x14ac:dyDescent="0.35">
      <c r="A4798" t="s">
        <v>2337</v>
      </c>
      <c r="B4798" s="1">
        <v>45734</v>
      </c>
      <c r="C4798" t="str">
        <f>"776"</f>
        <v>776</v>
      </c>
      <c r="E4798" t="str">
        <f>"1309"</f>
        <v>1309</v>
      </c>
      <c r="F4798" t="str">
        <f t="shared" si="169"/>
        <v>57110200</v>
      </c>
      <c r="H4798" t="s">
        <v>66</v>
      </c>
      <c r="J4798" s="4">
        <v>354500</v>
      </c>
    </row>
    <row r="4799" spans="1:11" hidden="1" outlineLevel="2" x14ac:dyDescent="0.35">
      <c r="A4799" t="s">
        <v>2337</v>
      </c>
      <c r="B4799" s="1">
        <v>45734</v>
      </c>
      <c r="C4799" t="str">
        <f>"777"</f>
        <v>777</v>
      </c>
      <c r="E4799" t="str">
        <f>"1310"</f>
        <v>1310</v>
      </c>
      <c r="F4799" t="str">
        <f t="shared" si="169"/>
        <v>57110200</v>
      </c>
      <c r="H4799" t="s">
        <v>66</v>
      </c>
      <c r="J4799" s="4">
        <v>2954360</v>
      </c>
    </row>
    <row r="4800" spans="1:11" hidden="1" outlineLevel="2" x14ac:dyDescent="0.35">
      <c r="A4800" t="s">
        <v>2337</v>
      </c>
      <c r="B4800" s="1">
        <v>45734</v>
      </c>
      <c r="C4800" t="str">
        <f>"778"</f>
        <v>778</v>
      </c>
      <c r="E4800" t="str">
        <f>"1311"</f>
        <v>1311</v>
      </c>
      <c r="F4800" t="str">
        <f t="shared" si="169"/>
        <v>57110200</v>
      </c>
      <c r="H4800" t="s">
        <v>2523</v>
      </c>
      <c r="J4800" s="4">
        <v>215260</v>
      </c>
    </row>
    <row r="4801" spans="1:11" hidden="1" outlineLevel="2" x14ac:dyDescent="0.35">
      <c r="A4801" t="s">
        <v>2337</v>
      </c>
      <c r="B4801" s="1">
        <v>45734</v>
      </c>
      <c r="C4801" t="str">
        <f>"779"</f>
        <v>779</v>
      </c>
      <c r="E4801" t="str">
        <f>"1312"</f>
        <v>1312</v>
      </c>
      <c r="F4801" t="str">
        <f t="shared" si="169"/>
        <v>57110200</v>
      </c>
      <c r="H4801" t="s">
        <v>68</v>
      </c>
      <c r="J4801" s="4">
        <v>1075800</v>
      </c>
    </row>
    <row r="4802" spans="1:11" hidden="1" outlineLevel="2" x14ac:dyDescent="0.35">
      <c r="A4802" t="s">
        <v>2337</v>
      </c>
      <c r="B4802" s="1">
        <v>45734</v>
      </c>
      <c r="C4802" t="str">
        <f>"780"</f>
        <v>780</v>
      </c>
      <c r="E4802" t="str">
        <f>"1313"</f>
        <v>1313</v>
      </c>
      <c r="F4802" t="str">
        <f t="shared" si="169"/>
        <v>57110200</v>
      </c>
      <c r="H4802" t="s">
        <v>69</v>
      </c>
      <c r="J4802" s="4">
        <v>215260</v>
      </c>
    </row>
    <row r="4803" spans="1:11" hidden="1" outlineLevel="2" x14ac:dyDescent="0.35">
      <c r="A4803" t="s">
        <v>2337</v>
      </c>
      <c r="B4803" s="1">
        <v>45734</v>
      </c>
      <c r="C4803" t="str">
        <f>"781"</f>
        <v>781</v>
      </c>
      <c r="E4803" t="str">
        <f>"1314"</f>
        <v>1314</v>
      </c>
      <c r="F4803" t="str">
        <f t="shared" si="169"/>
        <v>57110200</v>
      </c>
      <c r="H4803" t="s">
        <v>69</v>
      </c>
      <c r="J4803" s="4">
        <v>215260</v>
      </c>
    </row>
    <row r="4804" spans="1:11" hidden="1" outlineLevel="2" x14ac:dyDescent="0.35">
      <c r="A4804" t="s">
        <v>2337</v>
      </c>
      <c r="B4804" s="1">
        <v>45734</v>
      </c>
      <c r="C4804" t="str">
        <f>"782"</f>
        <v>782</v>
      </c>
      <c r="E4804" t="str">
        <f>"1315"</f>
        <v>1315</v>
      </c>
      <c r="F4804" t="str">
        <f t="shared" si="169"/>
        <v>57110200</v>
      </c>
      <c r="H4804" t="s">
        <v>69</v>
      </c>
      <c r="J4804" s="4">
        <v>215260</v>
      </c>
    </row>
    <row r="4805" spans="1:11" hidden="1" outlineLevel="2" x14ac:dyDescent="0.35">
      <c r="A4805" t="s">
        <v>2337</v>
      </c>
      <c r="B4805" s="1">
        <v>45734</v>
      </c>
      <c r="C4805" t="str">
        <f>"783"</f>
        <v>783</v>
      </c>
      <c r="E4805" t="str">
        <f>"1316"</f>
        <v>1316</v>
      </c>
      <c r="F4805" t="str">
        <f t="shared" si="169"/>
        <v>57110200</v>
      </c>
      <c r="H4805" t="s">
        <v>69</v>
      </c>
      <c r="J4805" s="4">
        <v>215260</v>
      </c>
    </row>
    <row r="4806" spans="1:11" hidden="1" outlineLevel="2" x14ac:dyDescent="0.35">
      <c r="A4806" t="s">
        <v>2337</v>
      </c>
      <c r="B4806" s="1">
        <v>45734</v>
      </c>
      <c r="C4806" t="str">
        <f>"784"</f>
        <v>784</v>
      </c>
      <c r="E4806" t="str">
        <f>"1317"</f>
        <v>1317</v>
      </c>
      <c r="F4806" t="str">
        <f t="shared" si="169"/>
        <v>57110200</v>
      </c>
      <c r="H4806" t="s">
        <v>70</v>
      </c>
      <c r="J4806" s="4">
        <v>215260</v>
      </c>
    </row>
    <row r="4807" spans="1:11" hidden="1" outlineLevel="2" x14ac:dyDescent="0.35">
      <c r="A4807" t="s">
        <v>2337</v>
      </c>
      <c r="B4807" s="1">
        <v>45734</v>
      </c>
      <c r="C4807" t="str">
        <f>"785"</f>
        <v>785</v>
      </c>
      <c r="E4807" t="str">
        <f>"1318"</f>
        <v>1318</v>
      </c>
      <c r="F4807" t="str">
        <f t="shared" si="169"/>
        <v>57110200</v>
      </c>
      <c r="H4807" t="s">
        <v>70</v>
      </c>
      <c r="J4807" s="4">
        <v>215260</v>
      </c>
    </row>
    <row r="4808" spans="1:11" hidden="1" outlineLevel="2" x14ac:dyDescent="0.35">
      <c r="A4808" t="s">
        <v>2337</v>
      </c>
      <c r="B4808" s="1">
        <v>45734</v>
      </c>
      <c r="C4808" t="str">
        <f>"786"</f>
        <v>786</v>
      </c>
      <c r="E4808" t="str">
        <f>"1319"</f>
        <v>1319</v>
      </c>
      <c r="F4808" t="str">
        <f t="shared" si="169"/>
        <v>57110200</v>
      </c>
      <c r="H4808" t="s">
        <v>70</v>
      </c>
      <c r="J4808" s="4">
        <v>322640</v>
      </c>
    </row>
    <row r="4809" spans="1:11" hidden="1" outlineLevel="2" x14ac:dyDescent="0.35">
      <c r="A4809" t="s">
        <v>2337</v>
      </c>
      <c r="B4809" s="1">
        <v>45734</v>
      </c>
      <c r="C4809" t="str">
        <f>"787"</f>
        <v>787</v>
      </c>
      <c r="E4809" t="str">
        <f>"17394"</f>
        <v>17394</v>
      </c>
      <c r="F4809" t="str">
        <f t="shared" si="169"/>
        <v>57110200</v>
      </c>
      <c r="H4809" t="s">
        <v>2524</v>
      </c>
      <c r="K4809" s="4">
        <v>45000</v>
      </c>
    </row>
    <row r="4810" spans="1:11" hidden="1" outlineLevel="2" x14ac:dyDescent="0.35">
      <c r="A4810" t="s">
        <v>2337</v>
      </c>
      <c r="B4810" s="1">
        <v>45734</v>
      </c>
      <c r="C4810" t="str">
        <f>"788"</f>
        <v>788</v>
      </c>
      <c r="E4810" t="str">
        <f>"17395"</f>
        <v>17395</v>
      </c>
      <c r="F4810" t="str">
        <f t="shared" si="169"/>
        <v>57110200</v>
      </c>
      <c r="H4810" t="s">
        <v>2525</v>
      </c>
      <c r="K4810" s="4">
        <v>45000</v>
      </c>
    </row>
    <row r="4811" spans="1:11" hidden="1" outlineLevel="2" x14ac:dyDescent="0.35">
      <c r="A4811" t="s">
        <v>2337</v>
      </c>
      <c r="B4811" s="1">
        <v>45734</v>
      </c>
      <c r="C4811" t="str">
        <f>"789"</f>
        <v>789</v>
      </c>
      <c r="E4811" t="str">
        <f>"17396"</f>
        <v>17396</v>
      </c>
      <c r="F4811" t="str">
        <f t="shared" si="169"/>
        <v>57110200</v>
      </c>
      <c r="H4811" t="s">
        <v>2527</v>
      </c>
      <c r="K4811" s="4">
        <v>180000</v>
      </c>
    </row>
    <row r="4812" spans="1:11" hidden="1" outlineLevel="2" x14ac:dyDescent="0.35">
      <c r="A4812" t="s">
        <v>2337</v>
      </c>
      <c r="B4812" s="1">
        <v>45734</v>
      </c>
      <c r="C4812" t="str">
        <f>"790"</f>
        <v>790</v>
      </c>
      <c r="E4812" t="str">
        <f>"17397"</f>
        <v>17397</v>
      </c>
      <c r="F4812" t="str">
        <f t="shared" si="169"/>
        <v>57110200</v>
      </c>
      <c r="H4812" t="s">
        <v>2528</v>
      </c>
      <c r="K4812" s="4">
        <v>10000</v>
      </c>
    </row>
    <row r="4813" spans="1:11" hidden="1" outlineLevel="2" x14ac:dyDescent="0.35">
      <c r="A4813" t="s">
        <v>2337</v>
      </c>
      <c r="B4813" s="1">
        <v>45734</v>
      </c>
      <c r="C4813" t="str">
        <f>"791"</f>
        <v>791</v>
      </c>
      <c r="E4813" t="str">
        <f>"17398"</f>
        <v>17398</v>
      </c>
      <c r="F4813" t="str">
        <f t="shared" si="169"/>
        <v>57110200</v>
      </c>
      <c r="H4813" t="s">
        <v>2529</v>
      </c>
      <c r="K4813" s="4">
        <v>10000</v>
      </c>
    </row>
    <row r="4814" spans="1:11" hidden="1" outlineLevel="2" x14ac:dyDescent="0.35">
      <c r="A4814" t="s">
        <v>2337</v>
      </c>
      <c r="B4814" s="1">
        <v>45734</v>
      </c>
      <c r="C4814" t="str">
        <f>"792"</f>
        <v>792</v>
      </c>
      <c r="E4814" t="str">
        <f>"17399"</f>
        <v>17399</v>
      </c>
      <c r="F4814" t="str">
        <f t="shared" si="169"/>
        <v>57110200</v>
      </c>
      <c r="H4814" t="s">
        <v>2530</v>
      </c>
      <c r="K4814" s="4">
        <v>20700</v>
      </c>
    </row>
    <row r="4815" spans="1:11" hidden="1" outlineLevel="2" x14ac:dyDescent="0.35">
      <c r="A4815" t="s">
        <v>2337</v>
      </c>
      <c r="B4815" s="1">
        <v>45734</v>
      </c>
      <c r="C4815" t="str">
        <f>"793"</f>
        <v>793</v>
      </c>
      <c r="E4815" t="str">
        <f>"17400"</f>
        <v>17400</v>
      </c>
      <c r="F4815" t="str">
        <f t="shared" si="169"/>
        <v>57110200</v>
      </c>
      <c r="H4815" t="s">
        <v>2338</v>
      </c>
      <c r="K4815" s="4">
        <v>17000</v>
      </c>
    </row>
    <row r="4816" spans="1:11" hidden="1" outlineLevel="2" x14ac:dyDescent="0.35">
      <c r="A4816" t="s">
        <v>2337</v>
      </c>
      <c r="B4816" s="1">
        <v>45734</v>
      </c>
      <c r="C4816" t="str">
        <f>"794"</f>
        <v>794</v>
      </c>
      <c r="E4816" t="str">
        <f>"17451"</f>
        <v>17451</v>
      </c>
      <c r="F4816" t="str">
        <f t="shared" si="169"/>
        <v>57110200</v>
      </c>
      <c r="H4816" t="s">
        <v>2531</v>
      </c>
      <c r="K4816" s="4">
        <v>28000</v>
      </c>
    </row>
    <row r="4817" spans="1:11" hidden="1" outlineLevel="2" x14ac:dyDescent="0.35">
      <c r="A4817" t="s">
        <v>2337</v>
      </c>
      <c r="B4817" s="1">
        <v>45734</v>
      </c>
      <c r="C4817" t="str">
        <f>"795"</f>
        <v>795</v>
      </c>
      <c r="E4817" t="str">
        <f>"17452"</f>
        <v>17452</v>
      </c>
      <c r="F4817" t="str">
        <f t="shared" si="169"/>
        <v>57110200</v>
      </c>
      <c r="H4817" t="s">
        <v>2532</v>
      </c>
      <c r="K4817" s="4">
        <v>29600</v>
      </c>
    </row>
    <row r="4818" spans="1:11" hidden="1" outlineLevel="2" x14ac:dyDescent="0.35">
      <c r="A4818" t="s">
        <v>2337</v>
      </c>
      <c r="B4818" s="1">
        <v>45734</v>
      </c>
      <c r="C4818" t="str">
        <f>"796"</f>
        <v>796</v>
      </c>
      <c r="E4818" t="str">
        <f>"17453"</f>
        <v>17453</v>
      </c>
      <c r="F4818" t="str">
        <f t="shared" si="169"/>
        <v>57110200</v>
      </c>
      <c r="H4818" t="s">
        <v>2533</v>
      </c>
      <c r="K4818" s="4">
        <v>7800</v>
      </c>
    </row>
    <row r="4819" spans="1:11" hidden="1" outlineLevel="2" x14ac:dyDescent="0.35">
      <c r="A4819" t="s">
        <v>2337</v>
      </c>
      <c r="B4819" s="1">
        <v>45735</v>
      </c>
      <c r="C4819" t="str">
        <f>"797"</f>
        <v>797</v>
      </c>
      <c r="E4819" t="str">
        <f>"1320"</f>
        <v>1320</v>
      </c>
      <c r="F4819" t="str">
        <f t="shared" si="169"/>
        <v>57110200</v>
      </c>
      <c r="H4819" t="s">
        <v>71</v>
      </c>
      <c r="J4819" s="4">
        <v>2149600</v>
      </c>
    </row>
    <row r="4820" spans="1:11" hidden="1" outlineLevel="2" x14ac:dyDescent="0.35">
      <c r="A4820" t="s">
        <v>2337</v>
      </c>
      <c r="B4820" s="1">
        <v>45735</v>
      </c>
      <c r="C4820" t="str">
        <f>"798"</f>
        <v>798</v>
      </c>
      <c r="E4820" t="str">
        <f>"17454"</f>
        <v>17454</v>
      </c>
      <c r="F4820" t="str">
        <f t="shared" si="169"/>
        <v>57110200</v>
      </c>
      <c r="H4820" t="s">
        <v>2534</v>
      </c>
      <c r="K4820" s="4">
        <v>30000</v>
      </c>
    </row>
    <row r="4821" spans="1:11" hidden="1" outlineLevel="2" x14ac:dyDescent="0.35">
      <c r="A4821" t="s">
        <v>2337</v>
      </c>
      <c r="B4821" s="1">
        <v>45735</v>
      </c>
      <c r="C4821" t="str">
        <f>"799"</f>
        <v>799</v>
      </c>
      <c r="E4821" t="str">
        <f>"17455"</f>
        <v>17455</v>
      </c>
      <c r="F4821" t="str">
        <f t="shared" si="169"/>
        <v>57110200</v>
      </c>
      <c r="H4821" t="s">
        <v>2535</v>
      </c>
      <c r="K4821" s="4">
        <v>10000</v>
      </c>
    </row>
    <row r="4822" spans="1:11" hidden="1" outlineLevel="2" x14ac:dyDescent="0.35">
      <c r="A4822" t="s">
        <v>2337</v>
      </c>
      <c r="B4822" s="1">
        <v>45735</v>
      </c>
      <c r="C4822" t="str">
        <f>"800"</f>
        <v>800</v>
      </c>
      <c r="E4822" t="str">
        <f>"17456"</f>
        <v>17456</v>
      </c>
      <c r="F4822" t="str">
        <f t="shared" si="169"/>
        <v>57110200</v>
      </c>
      <c r="H4822" t="s">
        <v>2536</v>
      </c>
      <c r="K4822" s="4">
        <v>10348750</v>
      </c>
    </row>
    <row r="4823" spans="1:11" hidden="1" outlineLevel="2" x14ac:dyDescent="0.35">
      <c r="A4823" t="s">
        <v>2337</v>
      </c>
      <c r="B4823" s="1">
        <v>45735</v>
      </c>
      <c r="C4823" t="str">
        <f>"801"</f>
        <v>801</v>
      </c>
      <c r="E4823" t="str">
        <f>"17457"</f>
        <v>17457</v>
      </c>
      <c r="F4823" t="str">
        <f t="shared" si="169"/>
        <v>57110200</v>
      </c>
      <c r="H4823" t="s">
        <v>2538</v>
      </c>
      <c r="K4823" s="4">
        <v>196000</v>
      </c>
    </row>
    <row r="4824" spans="1:11" hidden="1" outlineLevel="2" x14ac:dyDescent="0.35">
      <c r="A4824" t="s">
        <v>2337</v>
      </c>
      <c r="B4824" s="1">
        <v>45735</v>
      </c>
      <c r="C4824" t="str">
        <f>"802"</f>
        <v>802</v>
      </c>
      <c r="E4824" t="str">
        <f>"17458"</f>
        <v>17458</v>
      </c>
      <c r="F4824" t="str">
        <f t="shared" si="169"/>
        <v>57110200</v>
      </c>
      <c r="H4824" t="s">
        <v>2542</v>
      </c>
      <c r="K4824" s="4">
        <v>256900</v>
      </c>
    </row>
    <row r="4825" spans="1:11" hidden="1" outlineLevel="2" x14ac:dyDescent="0.35">
      <c r="A4825" t="s">
        <v>2337</v>
      </c>
      <c r="B4825" s="1">
        <v>45735</v>
      </c>
      <c r="C4825" t="str">
        <f>"803"</f>
        <v>803</v>
      </c>
      <c r="E4825" t="str">
        <f>"17459"</f>
        <v>17459</v>
      </c>
      <c r="F4825" t="str">
        <f t="shared" si="169"/>
        <v>57110200</v>
      </c>
      <c r="H4825" t="s">
        <v>2545</v>
      </c>
      <c r="K4825" s="4">
        <v>6400</v>
      </c>
    </row>
    <row r="4826" spans="1:11" hidden="1" outlineLevel="2" x14ac:dyDescent="0.35">
      <c r="A4826" t="s">
        <v>2337</v>
      </c>
      <c r="B4826" s="1">
        <v>45735</v>
      </c>
      <c r="C4826" t="str">
        <f>"804"</f>
        <v>804</v>
      </c>
      <c r="E4826" t="str">
        <f>"17460"</f>
        <v>17460</v>
      </c>
      <c r="F4826" t="str">
        <f t="shared" si="169"/>
        <v>57110200</v>
      </c>
      <c r="H4826" t="s">
        <v>2546</v>
      </c>
      <c r="K4826" s="4">
        <v>94080</v>
      </c>
    </row>
    <row r="4827" spans="1:11" hidden="1" outlineLevel="2" x14ac:dyDescent="0.35">
      <c r="A4827" t="s">
        <v>2337</v>
      </c>
      <c r="B4827" s="1">
        <v>45735</v>
      </c>
      <c r="C4827" t="str">
        <f>"805"</f>
        <v>805</v>
      </c>
      <c r="E4827" t="str">
        <f>"17461"</f>
        <v>17461</v>
      </c>
      <c r="F4827" t="str">
        <f t="shared" si="169"/>
        <v>57110200</v>
      </c>
      <c r="H4827" t="s">
        <v>2547</v>
      </c>
      <c r="K4827" s="4">
        <v>47040</v>
      </c>
    </row>
    <row r="4828" spans="1:11" hidden="1" outlineLevel="2" x14ac:dyDescent="0.35">
      <c r="A4828" t="s">
        <v>2337</v>
      </c>
      <c r="B4828" s="1">
        <v>45736</v>
      </c>
      <c r="C4828" t="str">
        <f>"806"</f>
        <v>806</v>
      </c>
      <c r="E4828" t="str">
        <f>"17462"</f>
        <v>17462</v>
      </c>
      <c r="F4828" t="str">
        <f t="shared" si="169"/>
        <v>57110200</v>
      </c>
      <c r="H4828" t="s">
        <v>2548</v>
      </c>
      <c r="K4828" s="4">
        <v>115000</v>
      </c>
    </row>
    <row r="4829" spans="1:11" hidden="1" outlineLevel="2" x14ac:dyDescent="0.35">
      <c r="A4829" t="s">
        <v>2337</v>
      </c>
      <c r="B4829" s="1">
        <v>45736</v>
      </c>
      <c r="C4829" t="str">
        <f>"807"</f>
        <v>807</v>
      </c>
      <c r="E4829" t="str">
        <f>"17463"</f>
        <v>17463</v>
      </c>
      <c r="F4829" t="str">
        <f t="shared" si="169"/>
        <v>57110200</v>
      </c>
      <c r="H4829" t="s">
        <v>2551</v>
      </c>
      <c r="K4829" s="4">
        <v>10000</v>
      </c>
    </row>
    <row r="4830" spans="1:11" hidden="1" outlineLevel="2" x14ac:dyDescent="0.35">
      <c r="A4830" t="s">
        <v>2337</v>
      </c>
      <c r="B4830" s="1">
        <v>45736</v>
      </c>
      <c r="C4830" t="str">
        <f>"808"</f>
        <v>808</v>
      </c>
      <c r="E4830" t="str">
        <f>"17464"</f>
        <v>17464</v>
      </c>
      <c r="F4830" t="str">
        <f t="shared" si="169"/>
        <v>57110200</v>
      </c>
      <c r="H4830" t="s">
        <v>2552</v>
      </c>
      <c r="K4830" s="4">
        <v>15000</v>
      </c>
    </row>
    <row r="4831" spans="1:11" hidden="1" outlineLevel="2" x14ac:dyDescent="0.35">
      <c r="A4831" t="s">
        <v>2337</v>
      </c>
      <c r="B4831" s="1">
        <v>45736</v>
      </c>
      <c r="C4831" t="str">
        <f>"809"</f>
        <v>809</v>
      </c>
      <c r="E4831" t="str">
        <f>"17465"</f>
        <v>17465</v>
      </c>
      <c r="F4831" t="str">
        <f t="shared" si="169"/>
        <v>57110200</v>
      </c>
      <c r="H4831" t="s">
        <v>2553</v>
      </c>
      <c r="K4831" s="4">
        <v>9000</v>
      </c>
    </row>
    <row r="4832" spans="1:11" hidden="1" outlineLevel="2" x14ac:dyDescent="0.35">
      <c r="A4832" t="s">
        <v>2337</v>
      </c>
      <c r="B4832" s="1">
        <v>45736</v>
      </c>
      <c r="C4832" t="str">
        <f>"810"</f>
        <v>810</v>
      </c>
      <c r="E4832" t="str">
        <f>"17466"</f>
        <v>17466</v>
      </c>
      <c r="F4832" t="str">
        <f t="shared" si="169"/>
        <v>57110200</v>
      </c>
      <c r="H4832" t="s">
        <v>2554</v>
      </c>
      <c r="K4832" s="4">
        <v>150000</v>
      </c>
    </row>
    <row r="4833" spans="1:11" hidden="1" outlineLevel="2" x14ac:dyDescent="0.35">
      <c r="A4833" t="s">
        <v>2337</v>
      </c>
      <c r="B4833" s="1">
        <v>45736</v>
      </c>
      <c r="C4833" t="str">
        <f>"811"</f>
        <v>811</v>
      </c>
      <c r="E4833" t="str">
        <f>"17467"</f>
        <v>17467</v>
      </c>
      <c r="F4833" t="str">
        <f t="shared" si="169"/>
        <v>57110200</v>
      </c>
      <c r="H4833" t="s">
        <v>2555</v>
      </c>
      <c r="K4833" s="4">
        <v>10000</v>
      </c>
    </row>
    <row r="4834" spans="1:11" hidden="1" outlineLevel="2" x14ac:dyDescent="0.35">
      <c r="A4834" t="s">
        <v>2337</v>
      </c>
      <c r="B4834" s="1">
        <v>45736</v>
      </c>
      <c r="C4834" t="str">
        <f>"812"</f>
        <v>812</v>
      </c>
      <c r="E4834" t="str">
        <f>"17468"</f>
        <v>17468</v>
      </c>
      <c r="F4834" t="str">
        <f t="shared" si="169"/>
        <v>57110200</v>
      </c>
      <c r="H4834" t="s">
        <v>2556</v>
      </c>
      <c r="K4834" s="4">
        <v>15000</v>
      </c>
    </row>
    <row r="4835" spans="1:11" hidden="1" outlineLevel="2" x14ac:dyDescent="0.35">
      <c r="A4835" t="s">
        <v>2337</v>
      </c>
      <c r="B4835" s="1">
        <v>45736</v>
      </c>
      <c r="C4835" t="str">
        <f>"813"</f>
        <v>813</v>
      </c>
      <c r="E4835" t="str">
        <f>"17469"</f>
        <v>17469</v>
      </c>
      <c r="F4835" t="str">
        <f t="shared" si="169"/>
        <v>57110200</v>
      </c>
      <c r="H4835" t="s">
        <v>2488</v>
      </c>
      <c r="K4835" s="4">
        <v>53500</v>
      </c>
    </row>
    <row r="4836" spans="1:11" hidden="1" outlineLevel="2" x14ac:dyDescent="0.35">
      <c r="A4836" t="s">
        <v>2337</v>
      </c>
      <c r="B4836" s="1">
        <v>45736</v>
      </c>
      <c r="C4836" t="str">
        <f>"814"</f>
        <v>814</v>
      </c>
      <c r="E4836" t="str">
        <f>"17470"</f>
        <v>17470</v>
      </c>
      <c r="F4836" t="str">
        <f t="shared" si="169"/>
        <v>57110200</v>
      </c>
      <c r="H4836" t="s">
        <v>2557</v>
      </c>
      <c r="K4836" s="4">
        <v>150000</v>
      </c>
    </row>
    <row r="4837" spans="1:11" hidden="1" outlineLevel="2" x14ac:dyDescent="0.35">
      <c r="A4837" t="s">
        <v>2337</v>
      </c>
      <c r="B4837" s="1">
        <v>45736</v>
      </c>
      <c r="C4837" t="str">
        <f>"815"</f>
        <v>815</v>
      </c>
      <c r="E4837" t="str">
        <f>"17471"</f>
        <v>17471</v>
      </c>
      <c r="F4837" t="str">
        <f t="shared" si="169"/>
        <v>57110200</v>
      </c>
      <c r="H4837" t="s">
        <v>2558</v>
      </c>
      <c r="K4837" s="4">
        <v>55000</v>
      </c>
    </row>
    <row r="4838" spans="1:11" hidden="1" outlineLevel="2" x14ac:dyDescent="0.35">
      <c r="A4838" t="s">
        <v>2337</v>
      </c>
      <c r="B4838" s="1">
        <v>45737</v>
      </c>
      <c r="C4838" t="str">
        <f>"816"</f>
        <v>816</v>
      </c>
      <c r="E4838" t="str">
        <f>"17472"</f>
        <v>17472</v>
      </c>
      <c r="F4838" t="str">
        <f t="shared" si="169"/>
        <v>57110200</v>
      </c>
      <c r="H4838" t="s">
        <v>2559</v>
      </c>
      <c r="K4838" s="4">
        <v>95250</v>
      </c>
    </row>
    <row r="4839" spans="1:11" hidden="1" outlineLevel="2" x14ac:dyDescent="0.35">
      <c r="A4839" t="s">
        <v>2337</v>
      </c>
      <c r="B4839" s="1">
        <v>45737</v>
      </c>
      <c r="C4839" t="str">
        <f>"817"</f>
        <v>817</v>
      </c>
      <c r="E4839" t="str">
        <f>"17473"</f>
        <v>17473</v>
      </c>
      <c r="F4839" t="str">
        <f t="shared" si="169"/>
        <v>57110200</v>
      </c>
      <c r="H4839" t="s">
        <v>2564</v>
      </c>
      <c r="K4839" s="4">
        <v>10000</v>
      </c>
    </row>
    <row r="4840" spans="1:11" hidden="1" outlineLevel="2" x14ac:dyDescent="0.35">
      <c r="A4840" t="s">
        <v>2337</v>
      </c>
      <c r="B4840" s="1">
        <v>45737</v>
      </c>
      <c r="C4840" t="str">
        <f>"818"</f>
        <v>818</v>
      </c>
      <c r="E4840" t="str">
        <f>"17474"</f>
        <v>17474</v>
      </c>
      <c r="F4840" t="str">
        <f t="shared" si="169"/>
        <v>57110200</v>
      </c>
      <c r="H4840" t="s">
        <v>2565</v>
      </c>
      <c r="K4840" s="4">
        <v>49000</v>
      </c>
    </row>
    <row r="4841" spans="1:11" hidden="1" outlineLevel="2" x14ac:dyDescent="0.35">
      <c r="A4841" t="s">
        <v>2337</v>
      </c>
      <c r="B4841" s="1">
        <v>45737</v>
      </c>
      <c r="C4841" t="str">
        <f>"819"</f>
        <v>819</v>
      </c>
      <c r="E4841" t="str">
        <f>"17475"</f>
        <v>17475</v>
      </c>
      <c r="F4841" t="str">
        <f t="shared" si="169"/>
        <v>57110200</v>
      </c>
      <c r="H4841" t="s">
        <v>2567</v>
      </c>
      <c r="K4841" s="4">
        <v>100000</v>
      </c>
    </row>
    <row r="4842" spans="1:11" hidden="1" outlineLevel="2" x14ac:dyDescent="0.35">
      <c r="A4842" t="s">
        <v>2337</v>
      </c>
      <c r="B4842" s="1">
        <v>45737</v>
      </c>
      <c r="C4842" t="str">
        <f>"820"</f>
        <v>820</v>
      </c>
      <c r="E4842" t="str">
        <f>"17476"</f>
        <v>17476</v>
      </c>
      <c r="F4842" t="str">
        <f t="shared" si="169"/>
        <v>57110200</v>
      </c>
      <c r="H4842" t="s">
        <v>2568</v>
      </c>
      <c r="K4842" s="4">
        <v>432500</v>
      </c>
    </row>
    <row r="4843" spans="1:11" hidden="1" outlineLevel="2" x14ac:dyDescent="0.35">
      <c r="A4843" t="s">
        <v>2337</v>
      </c>
      <c r="B4843" s="1">
        <v>45737</v>
      </c>
      <c r="C4843" t="str">
        <f>"821"</f>
        <v>821</v>
      </c>
      <c r="E4843" t="str">
        <f>"17477"</f>
        <v>17477</v>
      </c>
      <c r="F4843" t="str">
        <f t="shared" si="169"/>
        <v>57110200</v>
      </c>
      <c r="H4843" t="s">
        <v>2574</v>
      </c>
      <c r="K4843" s="4">
        <v>55000</v>
      </c>
    </row>
    <row r="4844" spans="1:11" hidden="1" outlineLevel="2" x14ac:dyDescent="0.35">
      <c r="A4844" t="s">
        <v>2337</v>
      </c>
      <c r="B4844" s="1">
        <v>45737</v>
      </c>
      <c r="C4844" t="str">
        <f>"822"</f>
        <v>822</v>
      </c>
      <c r="E4844" t="str">
        <f>"17478"</f>
        <v>17478</v>
      </c>
      <c r="F4844" t="str">
        <f t="shared" si="169"/>
        <v>57110200</v>
      </c>
      <c r="H4844" t="s">
        <v>2575</v>
      </c>
      <c r="K4844" s="4">
        <v>282000</v>
      </c>
    </row>
    <row r="4845" spans="1:11" hidden="1" outlineLevel="2" x14ac:dyDescent="0.35">
      <c r="A4845" t="s">
        <v>2337</v>
      </c>
      <c r="B4845" s="1">
        <v>45737</v>
      </c>
      <c r="C4845" t="str">
        <f>"823"</f>
        <v>823</v>
      </c>
      <c r="E4845" t="str">
        <f>"17479"</f>
        <v>17479</v>
      </c>
      <c r="F4845" t="str">
        <f t="shared" si="169"/>
        <v>57110200</v>
      </c>
      <c r="H4845" t="s">
        <v>2577</v>
      </c>
      <c r="K4845" s="4">
        <v>180390</v>
      </c>
    </row>
    <row r="4846" spans="1:11" hidden="1" outlineLevel="2" x14ac:dyDescent="0.35">
      <c r="A4846" t="s">
        <v>2337</v>
      </c>
      <c r="B4846" s="1">
        <v>45737</v>
      </c>
      <c r="C4846" t="str">
        <f>"824"</f>
        <v>824</v>
      </c>
      <c r="E4846" t="str">
        <f>"17480"</f>
        <v>17480</v>
      </c>
      <c r="F4846" t="str">
        <f t="shared" si="169"/>
        <v>57110200</v>
      </c>
      <c r="H4846" t="s">
        <v>2580</v>
      </c>
      <c r="K4846" s="4">
        <v>132000</v>
      </c>
    </row>
    <row r="4847" spans="1:11" hidden="1" outlineLevel="2" x14ac:dyDescent="0.35">
      <c r="A4847" t="s">
        <v>2337</v>
      </c>
      <c r="B4847" s="1">
        <v>45737</v>
      </c>
      <c r="C4847" t="str">
        <f>"825"</f>
        <v>825</v>
      </c>
      <c r="E4847" t="str">
        <f>"17481"</f>
        <v>17481</v>
      </c>
      <c r="F4847" t="str">
        <f t="shared" si="169"/>
        <v>57110200</v>
      </c>
      <c r="H4847" t="s">
        <v>2435</v>
      </c>
      <c r="K4847" s="4">
        <v>10000</v>
      </c>
    </row>
    <row r="4848" spans="1:11" hidden="1" outlineLevel="2" x14ac:dyDescent="0.35">
      <c r="A4848" t="s">
        <v>2337</v>
      </c>
      <c r="B4848" s="1">
        <v>45737</v>
      </c>
      <c r="C4848" t="str">
        <f>"826"</f>
        <v>826</v>
      </c>
      <c r="E4848" t="str">
        <f>"17482"</f>
        <v>17482</v>
      </c>
      <c r="F4848" t="str">
        <f t="shared" si="169"/>
        <v>57110200</v>
      </c>
      <c r="H4848" t="s">
        <v>2581</v>
      </c>
      <c r="K4848" s="4">
        <v>15000</v>
      </c>
    </row>
    <row r="4849" spans="1:11" hidden="1" outlineLevel="2" x14ac:dyDescent="0.35">
      <c r="A4849" t="s">
        <v>2337</v>
      </c>
      <c r="B4849" s="1">
        <v>45737</v>
      </c>
      <c r="C4849" t="str">
        <f>"827"</f>
        <v>827</v>
      </c>
      <c r="E4849" t="str">
        <f>"17483"</f>
        <v>17483</v>
      </c>
      <c r="F4849" t="str">
        <f t="shared" si="169"/>
        <v>57110200</v>
      </c>
      <c r="H4849" t="s">
        <v>2582</v>
      </c>
      <c r="K4849" s="4">
        <v>140000</v>
      </c>
    </row>
    <row r="4850" spans="1:11" hidden="1" outlineLevel="2" x14ac:dyDescent="0.35">
      <c r="A4850" t="s">
        <v>2337</v>
      </c>
      <c r="B4850" s="1">
        <v>45737</v>
      </c>
      <c r="C4850" t="str">
        <f>"828"</f>
        <v>828</v>
      </c>
      <c r="E4850" t="str">
        <f>"17484"</f>
        <v>17484</v>
      </c>
      <c r="F4850" t="str">
        <f t="shared" si="169"/>
        <v>57110200</v>
      </c>
      <c r="H4850" t="s">
        <v>2583</v>
      </c>
      <c r="K4850" s="4">
        <v>20000</v>
      </c>
    </row>
    <row r="4851" spans="1:11" hidden="1" outlineLevel="2" x14ac:dyDescent="0.35">
      <c r="A4851" t="s">
        <v>2337</v>
      </c>
      <c r="B4851" s="1">
        <v>45737</v>
      </c>
      <c r="C4851" t="str">
        <f>"829"</f>
        <v>829</v>
      </c>
      <c r="E4851" t="str">
        <f>"17485"</f>
        <v>17485</v>
      </c>
      <c r="F4851" t="str">
        <f t="shared" si="169"/>
        <v>57110200</v>
      </c>
      <c r="H4851" t="s">
        <v>2584</v>
      </c>
      <c r="K4851" s="4">
        <v>79000</v>
      </c>
    </row>
    <row r="4852" spans="1:11" hidden="1" outlineLevel="2" x14ac:dyDescent="0.35">
      <c r="A4852" t="s">
        <v>2337</v>
      </c>
      <c r="B4852" s="1">
        <v>45737</v>
      </c>
      <c r="C4852" t="str">
        <f>"830"</f>
        <v>830</v>
      </c>
      <c r="E4852" t="str">
        <f>"17486"</f>
        <v>17486</v>
      </c>
      <c r="F4852" t="str">
        <f t="shared" si="169"/>
        <v>57110200</v>
      </c>
      <c r="H4852" t="s">
        <v>2585</v>
      </c>
      <c r="K4852" s="4">
        <v>155000</v>
      </c>
    </row>
    <row r="4853" spans="1:11" hidden="1" outlineLevel="2" x14ac:dyDescent="0.35">
      <c r="A4853" t="s">
        <v>2337</v>
      </c>
      <c r="B4853" s="1">
        <v>45737</v>
      </c>
      <c r="C4853" t="str">
        <f>"831"</f>
        <v>831</v>
      </c>
      <c r="E4853" t="str">
        <f>"17487"</f>
        <v>17487</v>
      </c>
      <c r="F4853" t="str">
        <f t="shared" si="169"/>
        <v>57110200</v>
      </c>
      <c r="H4853" t="s">
        <v>2586</v>
      </c>
      <c r="K4853" s="4">
        <v>90000</v>
      </c>
    </row>
    <row r="4854" spans="1:11" hidden="1" outlineLevel="2" x14ac:dyDescent="0.35">
      <c r="A4854" t="s">
        <v>2337</v>
      </c>
      <c r="B4854" s="1">
        <v>45737</v>
      </c>
      <c r="C4854" t="str">
        <f>"832"</f>
        <v>832</v>
      </c>
      <c r="E4854" t="str">
        <f>"17488"</f>
        <v>17488</v>
      </c>
      <c r="F4854" t="str">
        <f t="shared" si="169"/>
        <v>57110200</v>
      </c>
      <c r="H4854" t="s">
        <v>2587</v>
      </c>
      <c r="K4854" s="4">
        <v>50000</v>
      </c>
    </row>
    <row r="4855" spans="1:11" hidden="1" outlineLevel="2" x14ac:dyDescent="0.35">
      <c r="A4855" t="s">
        <v>2337</v>
      </c>
      <c r="B4855" s="1">
        <v>45740</v>
      </c>
      <c r="C4855" t="str">
        <f>"833"</f>
        <v>833</v>
      </c>
      <c r="E4855" t="str">
        <f>"17489"</f>
        <v>17489</v>
      </c>
      <c r="F4855" t="str">
        <f t="shared" si="169"/>
        <v>57110200</v>
      </c>
      <c r="H4855" t="s">
        <v>2588</v>
      </c>
      <c r="K4855" s="4">
        <v>70000</v>
      </c>
    </row>
    <row r="4856" spans="1:11" hidden="1" outlineLevel="2" x14ac:dyDescent="0.35">
      <c r="A4856" t="s">
        <v>2337</v>
      </c>
      <c r="B4856" s="1">
        <v>45740</v>
      </c>
      <c r="C4856" t="str">
        <f>"834"</f>
        <v>834</v>
      </c>
      <c r="E4856" t="str">
        <f>"17490"</f>
        <v>17490</v>
      </c>
      <c r="F4856" t="str">
        <f t="shared" si="169"/>
        <v>57110200</v>
      </c>
      <c r="H4856" t="s">
        <v>2589</v>
      </c>
      <c r="K4856" s="4">
        <v>35000</v>
      </c>
    </row>
    <row r="4857" spans="1:11" hidden="1" outlineLevel="2" x14ac:dyDescent="0.35">
      <c r="A4857" t="s">
        <v>2337</v>
      </c>
      <c r="B4857" s="1">
        <v>45740</v>
      </c>
      <c r="C4857" t="str">
        <f>"835"</f>
        <v>835</v>
      </c>
      <c r="E4857" t="str">
        <f>"17491"</f>
        <v>17491</v>
      </c>
      <c r="F4857" t="str">
        <f t="shared" ref="F4857:F4907" si="170">"57110200"</f>
        <v>57110200</v>
      </c>
      <c r="H4857" t="s">
        <v>2590</v>
      </c>
      <c r="K4857" s="4">
        <v>40000</v>
      </c>
    </row>
    <row r="4858" spans="1:11" hidden="1" outlineLevel="2" x14ac:dyDescent="0.35">
      <c r="A4858" t="s">
        <v>2337</v>
      </c>
      <c r="B4858" s="1">
        <v>45740</v>
      </c>
      <c r="C4858" t="str">
        <f>"836"</f>
        <v>836</v>
      </c>
      <c r="E4858" t="str">
        <f>"17492"</f>
        <v>17492</v>
      </c>
      <c r="F4858" t="str">
        <f t="shared" si="170"/>
        <v>57110200</v>
      </c>
      <c r="H4858" t="s">
        <v>2591</v>
      </c>
      <c r="K4858" s="4">
        <v>-3500</v>
      </c>
    </row>
    <row r="4859" spans="1:11" hidden="1" outlineLevel="2" x14ac:dyDescent="0.35">
      <c r="A4859" t="s">
        <v>2337</v>
      </c>
      <c r="B4859" s="1">
        <v>45740</v>
      </c>
      <c r="C4859" t="str">
        <f>"837"</f>
        <v>837</v>
      </c>
      <c r="E4859" t="str">
        <f>"17493"</f>
        <v>17493</v>
      </c>
      <c r="F4859" t="str">
        <f t="shared" si="170"/>
        <v>57110200</v>
      </c>
      <c r="H4859" t="s">
        <v>2592</v>
      </c>
      <c r="K4859" s="4">
        <v>49000</v>
      </c>
    </row>
    <row r="4860" spans="1:11" hidden="1" outlineLevel="2" x14ac:dyDescent="0.35">
      <c r="A4860" t="s">
        <v>2337</v>
      </c>
      <c r="B4860" s="1">
        <v>45740</v>
      </c>
      <c r="C4860" t="str">
        <f>"838"</f>
        <v>838</v>
      </c>
      <c r="E4860" t="str">
        <f>"17494"</f>
        <v>17494</v>
      </c>
      <c r="F4860" t="str">
        <f t="shared" si="170"/>
        <v>57110200</v>
      </c>
      <c r="H4860" t="s">
        <v>2593</v>
      </c>
      <c r="K4860" s="4">
        <v>45000</v>
      </c>
    </row>
    <row r="4861" spans="1:11" hidden="1" outlineLevel="2" x14ac:dyDescent="0.35">
      <c r="A4861" t="s">
        <v>2337</v>
      </c>
      <c r="B4861" s="1">
        <v>45740</v>
      </c>
      <c r="C4861" t="str">
        <f>"839"</f>
        <v>839</v>
      </c>
      <c r="E4861" t="str">
        <f>"17495"</f>
        <v>17495</v>
      </c>
      <c r="F4861" t="str">
        <f t="shared" si="170"/>
        <v>57110200</v>
      </c>
      <c r="H4861" t="s">
        <v>2594</v>
      </c>
      <c r="K4861" s="4">
        <v>52920</v>
      </c>
    </row>
    <row r="4862" spans="1:11" hidden="1" outlineLevel="2" x14ac:dyDescent="0.35">
      <c r="A4862" t="s">
        <v>2337</v>
      </c>
      <c r="B4862" s="1">
        <v>45740</v>
      </c>
      <c r="C4862" t="str">
        <f>"840"</f>
        <v>840</v>
      </c>
      <c r="E4862" t="str">
        <f>"17496"</f>
        <v>17496</v>
      </c>
      <c r="F4862" t="str">
        <f t="shared" si="170"/>
        <v>57110200</v>
      </c>
      <c r="H4862" t="s">
        <v>2595</v>
      </c>
      <c r="K4862" s="4">
        <v>51000</v>
      </c>
    </row>
    <row r="4863" spans="1:11" hidden="1" outlineLevel="2" x14ac:dyDescent="0.35">
      <c r="A4863" t="s">
        <v>2337</v>
      </c>
      <c r="B4863" s="1">
        <v>45740</v>
      </c>
      <c r="C4863" t="str">
        <f>"841"</f>
        <v>841</v>
      </c>
      <c r="E4863" t="str">
        <f>"17497"</f>
        <v>17497</v>
      </c>
      <c r="F4863" t="str">
        <f t="shared" si="170"/>
        <v>57110200</v>
      </c>
      <c r="H4863" t="s">
        <v>2596</v>
      </c>
      <c r="K4863" s="4">
        <v>11000</v>
      </c>
    </row>
    <row r="4864" spans="1:11" hidden="1" outlineLevel="2" x14ac:dyDescent="0.35">
      <c r="A4864" t="s">
        <v>2337</v>
      </c>
      <c r="B4864" s="1">
        <v>45740</v>
      </c>
      <c r="C4864" t="str">
        <f>"842"</f>
        <v>842</v>
      </c>
      <c r="E4864" t="str">
        <f>"17498"</f>
        <v>17498</v>
      </c>
      <c r="F4864" t="str">
        <f t="shared" si="170"/>
        <v>57110200</v>
      </c>
      <c r="H4864" t="s">
        <v>2597</v>
      </c>
      <c r="K4864" s="4">
        <v>45000</v>
      </c>
    </row>
    <row r="4865" spans="1:11" hidden="1" outlineLevel="2" x14ac:dyDescent="0.35">
      <c r="A4865" t="s">
        <v>2337</v>
      </c>
      <c r="B4865" s="1">
        <v>45740</v>
      </c>
      <c r="C4865" t="str">
        <f>"843"</f>
        <v>843</v>
      </c>
      <c r="E4865" t="str">
        <f>"17499"</f>
        <v>17499</v>
      </c>
      <c r="F4865" t="str">
        <f t="shared" si="170"/>
        <v>57110200</v>
      </c>
      <c r="H4865" t="s">
        <v>2598</v>
      </c>
      <c r="K4865" s="4">
        <v>14000</v>
      </c>
    </row>
    <row r="4866" spans="1:11" hidden="1" outlineLevel="2" x14ac:dyDescent="0.35">
      <c r="A4866" t="s">
        <v>2337</v>
      </c>
      <c r="B4866" s="1">
        <v>45740</v>
      </c>
      <c r="C4866" t="str">
        <f>"844"</f>
        <v>844</v>
      </c>
      <c r="E4866" t="str">
        <f>"17500"</f>
        <v>17500</v>
      </c>
      <c r="F4866" t="str">
        <f t="shared" si="170"/>
        <v>57110200</v>
      </c>
      <c r="H4866" t="s">
        <v>2599</v>
      </c>
      <c r="K4866" s="4">
        <v>20000</v>
      </c>
    </row>
    <row r="4867" spans="1:11" hidden="1" outlineLevel="2" x14ac:dyDescent="0.35">
      <c r="A4867" t="s">
        <v>2337</v>
      </c>
      <c r="B4867" s="1">
        <v>45740</v>
      </c>
      <c r="C4867" t="str">
        <f>"845"</f>
        <v>845</v>
      </c>
      <c r="E4867" t="str">
        <f>"15854"</f>
        <v>15854</v>
      </c>
      <c r="F4867" t="str">
        <f t="shared" si="170"/>
        <v>57110200</v>
      </c>
      <c r="H4867" t="s">
        <v>2600</v>
      </c>
      <c r="K4867" s="4">
        <v>30000</v>
      </c>
    </row>
    <row r="4868" spans="1:11" hidden="1" outlineLevel="2" x14ac:dyDescent="0.35">
      <c r="A4868" t="s">
        <v>2337</v>
      </c>
      <c r="B4868" s="1">
        <v>45740</v>
      </c>
      <c r="C4868" t="str">
        <f>"846"</f>
        <v>846</v>
      </c>
      <c r="E4868" t="str">
        <f>"15855"</f>
        <v>15855</v>
      </c>
      <c r="F4868" t="str">
        <f t="shared" si="170"/>
        <v>57110200</v>
      </c>
      <c r="H4868" t="s">
        <v>2601</v>
      </c>
      <c r="K4868" s="4">
        <v>138000</v>
      </c>
    </row>
    <row r="4869" spans="1:11" hidden="1" outlineLevel="2" x14ac:dyDescent="0.35">
      <c r="A4869" t="s">
        <v>2337</v>
      </c>
      <c r="B4869" s="1">
        <v>45740</v>
      </c>
      <c r="C4869" t="str">
        <f>"847"</f>
        <v>847</v>
      </c>
      <c r="E4869" t="str">
        <f>"15856"</f>
        <v>15856</v>
      </c>
      <c r="F4869" t="str">
        <f t="shared" si="170"/>
        <v>57110200</v>
      </c>
      <c r="H4869" t="s">
        <v>2602</v>
      </c>
      <c r="K4869" s="4">
        <v>60000</v>
      </c>
    </row>
    <row r="4870" spans="1:11" hidden="1" outlineLevel="2" x14ac:dyDescent="0.35">
      <c r="A4870" t="s">
        <v>2337</v>
      </c>
      <c r="B4870" s="1">
        <v>45740</v>
      </c>
      <c r="C4870" t="str">
        <f>"848"</f>
        <v>848</v>
      </c>
      <c r="E4870" t="str">
        <f>"15857"</f>
        <v>15857</v>
      </c>
      <c r="F4870" t="str">
        <f t="shared" si="170"/>
        <v>57110200</v>
      </c>
      <c r="H4870" t="s">
        <v>2603</v>
      </c>
      <c r="K4870" s="4">
        <v>40000</v>
      </c>
    </row>
    <row r="4871" spans="1:11" hidden="1" outlineLevel="2" x14ac:dyDescent="0.35">
      <c r="A4871" t="s">
        <v>2337</v>
      </c>
      <c r="B4871" s="1">
        <v>45741</v>
      </c>
      <c r="C4871" t="str">
        <f>"849"</f>
        <v>849</v>
      </c>
      <c r="E4871" t="str">
        <f>"1321"</f>
        <v>1321</v>
      </c>
      <c r="F4871" t="str">
        <f t="shared" si="170"/>
        <v>57110200</v>
      </c>
      <c r="H4871" t="s">
        <v>2399</v>
      </c>
      <c r="J4871" s="4">
        <v>1064000</v>
      </c>
    </row>
    <row r="4872" spans="1:11" hidden="1" outlineLevel="2" x14ac:dyDescent="0.35">
      <c r="A4872" t="s">
        <v>2337</v>
      </c>
      <c r="B4872" s="1">
        <v>45741</v>
      </c>
      <c r="C4872" t="str">
        <f>"850"</f>
        <v>850</v>
      </c>
      <c r="E4872" t="str">
        <f>"15858"</f>
        <v>15858</v>
      </c>
      <c r="F4872" t="str">
        <f t="shared" si="170"/>
        <v>57110200</v>
      </c>
      <c r="H4872" t="s">
        <v>2606</v>
      </c>
      <c r="K4872" s="4">
        <v>15000</v>
      </c>
    </row>
    <row r="4873" spans="1:11" hidden="1" outlineLevel="2" x14ac:dyDescent="0.35">
      <c r="A4873" t="s">
        <v>2337</v>
      </c>
      <c r="B4873" s="1">
        <v>45741</v>
      </c>
      <c r="C4873" t="str">
        <f>"851"</f>
        <v>851</v>
      </c>
      <c r="E4873" t="str">
        <f>"15859"</f>
        <v>15859</v>
      </c>
      <c r="F4873" t="str">
        <f t="shared" si="170"/>
        <v>57110200</v>
      </c>
      <c r="H4873" t="s">
        <v>2607</v>
      </c>
      <c r="K4873" s="4">
        <v>50000</v>
      </c>
    </row>
    <row r="4874" spans="1:11" hidden="1" outlineLevel="2" x14ac:dyDescent="0.35">
      <c r="A4874" t="s">
        <v>2337</v>
      </c>
      <c r="B4874" s="1">
        <v>45741</v>
      </c>
      <c r="C4874" t="str">
        <f>"852"</f>
        <v>852</v>
      </c>
      <c r="E4874" t="str">
        <f>"15860"</f>
        <v>15860</v>
      </c>
      <c r="F4874" t="str">
        <f t="shared" si="170"/>
        <v>57110200</v>
      </c>
      <c r="H4874" t="s">
        <v>2608</v>
      </c>
      <c r="K4874" s="4">
        <v>55460</v>
      </c>
    </row>
    <row r="4875" spans="1:11" hidden="1" outlineLevel="2" x14ac:dyDescent="0.35">
      <c r="A4875" t="s">
        <v>2337</v>
      </c>
      <c r="B4875" s="1">
        <v>45741</v>
      </c>
      <c r="C4875" t="str">
        <f>"853"</f>
        <v>853</v>
      </c>
      <c r="E4875" t="str">
        <f>"15861"</f>
        <v>15861</v>
      </c>
      <c r="F4875" t="str">
        <f t="shared" si="170"/>
        <v>57110200</v>
      </c>
      <c r="H4875" t="s">
        <v>2609</v>
      </c>
      <c r="K4875" s="4">
        <v>15000</v>
      </c>
    </row>
    <row r="4876" spans="1:11" hidden="1" outlineLevel="2" x14ac:dyDescent="0.35">
      <c r="A4876" t="s">
        <v>2337</v>
      </c>
      <c r="B4876" s="1">
        <v>45741</v>
      </c>
      <c r="C4876" t="str">
        <f>"854"</f>
        <v>854</v>
      </c>
      <c r="E4876" t="str">
        <f>"15862"</f>
        <v>15862</v>
      </c>
      <c r="F4876" t="str">
        <f t="shared" si="170"/>
        <v>57110200</v>
      </c>
      <c r="H4876" t="s">
        <v>2610</v>
      </c>
      <c r="K4876" s="4">
        <v>60000</v>
      </c>
    </row>
    <row r="4877" spans="1:11" hidden="1" outlineLevel="2" x14ac:dyDescent="0.35">
      <c r="A4877" t="s">
        <v>2337</v>
      </c>
      <c r="B4877" s="1">
        <v>45741</v>
      </c>
      <c r="C4877" t="str">
        <f>"855"</f>
        <v>855</v>
      </c>
      <c r="E4877" t="str">
        <f>"15863"</f>
        <v>15863</v>
      </c>
      <c r="F4877" t="str">
        <f t="shared" si="170"/>
        <v>57110200</v>
      </c>
      <c r="H4877" t="s">
        <v>2611</v>
      </c>
      <c r="K4877" s="4">
        <v>85000</v>
      </c>
    </row>
    <row r="4878" spans="1:11" hidden="1" outlineLevel="2" x14ac:dyDescent="0.35">
      <c r="A4878" t="s">
        <v>2337</v>
      </c>
      <c r="B4878" s="1">
        <v>45741</v>
      </c>
      <c r="C4878" t="str">
        <f>"856"</f>
        <v>856</v>
      </c>
      <c r="E4878" t="str">
        <f>"15864"</f>
        <v>15864</v>
      </c>
      <c r="F4878" t="str">
        <f t="shared" si="170"/>
        <v>57110200</v>
      </c>
      <c r="H4878" t="s">
        <v>2612</v>
      </c>
      <c r="K4878" s="4">
        <v>19515</v>
      </c>
    </row>
    <row r="4879" spans="1:11" hidden="1" outlineLevel="2" x14ac:dyDescent="0.35">
      <c r="A4879" t="s">
        <v>2337</v>
      </c>
      <c r="B4879" s="1">
        <v>45741</v>
      </c>
      <c r="C4879" t="str">
        <f>"857"</f>
        <v>857</v>
      </c>
      <c r="E4879" t="str">
        <f>"15865"</f>
        <v>15865</v>
      </c>
      <c r="F4879" t="str">
        <f t="shared" si="170"/>
        <v>57110200</v>
      </c>
      <c r="H4879" t="s">
        <v>2613</v>
      </c>
      <c r="K4879" s="4">
        <v>7800</v>
      </c>
    </row>
    <row r="4880" spans="1:11" hidden="1" outlineLevel="2" x14ac:dyDescent="0.35">
      <c r="A4880" t="s">
        <v>2337</v>
      </c>
      <c r="B4880" s="1">
        <v>45742</v>
      </c>
      <c r="C4880" t="str">
        <f>"858"</f>
        <v>858</v>
      </c>
      <c r="F4880" t="str">
        <f t="shared" si="170"/>
        <v>57110200</v>
      </c>
      <c r="H4880" t="s">
        <v>2614</v>
      </c>
      <c r="J4880" s="4">
        <v>10000000</v>
      </c>
    </row>
    <row r="4881" spans="1:11" hidden="1" outlineLevel="2" x14ac:dyDescent="0.35">
      <c r="A4881" t="s">
        <v>2337</v>
      </c>
      <c r="B4881" s="1">
        <v>45742</v>
      </c>
      <c r="C4881" t="str">
        <f>"859"</f>
        <v>859</v>
      </c>
      <c r="E4881" t="str">
        <f>"15866"</f>
        <v>15866</v>
      </c>
      <c r="F4881" t="str">
        <f t="shared" si="170"/>
        <v>57110200</v>
      </c>
      <c r="H4881" t="s">
        <v>2615</v>
      </c>
      <c r="K4881" s="4">
        <v>18900</v>
      </c>
    </row>
    <row r="4882" spans="1:11" hidden="1" outlineLevel="2" x14ac:dyDescent="0.35">
      <c r="A4882" t="s">
        <v>2337</v>
      </c>
      <c r="B4882" s="1">
        <v>45742</v>
      </c>
      <c r="C4882" t="str">
        <f>"860"</f>
        <v>860</v>
      </c>
      <c r="E4882" t="str">
        <f>"15867"</f>
        <v>15867</v>
      </c>
      <c r="F4882" t="str">
        <f t="shared" si="170"/>
        <v>57110200</v>
      </c>
      <c r="H4882" t="s">
        <v>2616</v>
      </c>
      <c r="K4882" s="4">
        <v>13900</v>
      </c>
    </row>
    <row r="4883" spans="1:11" hidden="1" outlineLevel="2" x14ac:dyDescent="0.35">
      <c r="A4883" t="s">
        <v>2337</v>
      </c>
      <c r="B4883" s="1">
        <v>45742</v>
      </c>
      <c r="C4883" t="str">
        <f>"861"</f>
        <v>861</v>
      </c>
      <c r="E4883" t="str">
        <f>"15868"</f>
        <v>15868</v>
      </c>
      <c r="F4883" t="str">
        <f t="shared" si="170"/>
        <v>57110200</v>
      </c>
      <c r="H4883" t="s">
        <v>2617</v>
      </c>
      <c r="K4883" s="4">
        <v>9500</v>
      </c>
    </row>
    <row r="4884" spans="1:11" hidden="1" outlineLevel="2" x14ac:dyDescent="0.35">
      <c r="A4884" t="s">
        <v>2337</v>
      </c>
      <c r="B4884" s="1">
        <v>45742</v>
      </c>
      <c r="C4884" t="str">
        <f>"862"</f>
        <v>862</v>
      </c>
      <c r="E4884" t="str">
        <f>"15869"</f>
        <v>15869</v>
      </c>
      <c r="F4884" t="str">
        <f t="shared" si="170"/>
        <v>57110200</v>
      </c>
      <c r="H4884" t="s">
        <v>2618</v>
      </c>
      <c r="K4884" s="4">
        <v>15000</v>
      </c>
    </row>
    <row r="4885" spans="1:11" hidden="1" outlineLevel="2" x14ac:dyDescent="0.35">
      <c r="A4885" t="s">
        <v>2337</v>
      </c>
      <c r="B4885" s="1">
        <v>45742</v>
      </c>
      <c r="C4885" t="str">
        <f>"863"</f>
        <v>863</v>
      </c>
      <c r="E4885" t="str">
        <f>"15870"</f>
        <v>15870</v>
      </c>
      <c r="F4885" t="str">
        <f t="shared" si="170"/>
        <v>57110200</v>
      </c>
      <c r="H4885" t="s">
        <v>2619</v>
      </c>
      <c r="K4885" s="4">
        <v>97500</v>
      </c>
    </row>
    <row r="4886" spans="1:11" hidden="1" outlineLevel="2" x14ac:dyDescent="0.35">
      <c r="A4886" t="s">
        <v>2337</v>
      </c>
      <c r="B4886" s="1">
        <v>45742</v>
      </c>
      <c r="C4886" t="str">
        <f>"864"</f>
        <v>864</v>
      </c>
      <c r="E4886" t="str">
        <f>"15871"</f>
        <v>15871</v>
      </c>
      <c r="F4886" t="str">
        <f t="shared" si="170"/>
        <v>57110200</v>
      </c>
      <c r="H4886" t="s">
        <v>2620</v>
      </c>
      <c r="K4886" s="4">
        <v>34000</v>
      </c>
    </row>
    <row r="4887" spans="1:11" hidden="1" outlineLevel="2" x14ac:dyDescent="0.35">
      <c r="A4887" t="s">
        <v>2337</v>
      </c>
      <c r="B4887" s="1">
        <v>45742</v>
      </c>
      <c r="C4887" t="str">
        <f>"865"</f>
        <v>865</v>
      </c>
      <c r="E4887" t="str">
        <f>"15872"</f>
        <v>15872</v>
      </c>
      <c r="F4887" t="str">
        <f t="shared" si="170"/>
        <v>57110200</v>
      </c>
      <c r="H4887" t="s">
        <v>2621</v>
      </c>
      <c r="K4887" s="4">
        <v>15000</v>
      </c>
    </row>
    <row r="4888" spans="1:11" hidden="1" outlineLevel="2" x14ac:dyDescent="0.35">
      <c r="A4888" t="s">
        <v>2337</v>
      </c>
      <c r="B4888" s="1">
        <v>45742</v>
      </c>
      <c r="C4888" t="str">
        <f>"866"</f>
        <v>866</v>
      </c>
      <c r="E4888" t="str">
        <f>"15873"</f>
        <v>15873</v>
      </c>
      <c r="F4888" t="str">
        <f t="shared" si="170"/>
        <v>57110200</v>
      </c>
      <c r="H4888" t="s">
        <v>2622</v>
      </c>
      <c r="K4888" s="4">
        <v>108000</v>
      </c>
    </row>
    <row r="4889" spans="1:11" hidden="1" outlineLevel="2" x14ac:dyDescent="0.35">
      <c r="A4889" t="s">
        <v>2337</v>
      </c>
      <c r="B4889" s="1">
        <v>45742</v>
      </c>
      <c r="C4889" t="str">
        <f>"867"</f>
        <v>867</v>
      </c>
      <c r="E4889" t="str">
        <f>"15874"</f>
        <v>15874</v>
      </c>
      <c r="F4889" t="str">
        <f t="shared" si="170"/>
        <v>57110200</v>
      </c>
      <c r="H4889" t="s">
        <v>2623</v>
      </c>
      <c r="K4889" s="4">
        <v>186300</v>
      </c>
    </row>
    <row r="4890" spans="1:11" hidden="1" outlineLevel="2" x14ac:dyDescent="0.35">
      <c r="A4890" t="s">
        <v>2337</v>
      </c>
      <c r="B4890" s="1">
        <v>45744</v>
      </c>
      <c r="C4890" t="str">
        <f>"868"</f>
        <v>868</v>
      </c>
      <c r="E4890" t="str">
        <f>"1322"</f>
        <v>1322</v>
      </c>
      <c r="F4890" t="str">
        <f t="shared" si="170"/>
        <v>57110200</v>
      </c>
      <c r="H4890" t="s">
        <v>2626</v>
      </c>
      <c r="J4890" s="4">
        <v>2149600</v>
      </c>
    </row>
    <row r="4891" spans="1:11" hidden="1" outlineLevel="2" x14ac:dyDescent="0.35">
      <c r="A4891" t="s">
        <v>2337</v>
      </c>
      <c r="B4891" s="1">
        <v>45744</v>
      </c>
      <c r="C4891" t="str">
        <f>"869"</f>
        <v>869</v>
      </c>
      <c r="E4891" t="str">
        <f>"15875"</f>
        <v>15875</v>
      </c>
      <c r="F4891" t="str">
        <f t="shared" si="170"/>
        <v>57110200</v>
      </c>
      <c r="H4891" t="s">
        <v>2627</v>
      </c>
      <c r="K4891" s="4">
        <v>-25200</v>
      </c>
    </row>
    <row r="4892" spans="1:11" hidden="1" outlineLevel="2" x14ac:dyDescent="0.35">
      <c r="A4892" t="s">
        <v>2337</v>
      </c>
      <c r="B4892" s="1">
        <v>45744</v>
      </c>
      <c r="C4892" t="str">
        <f>"870"</f>
        <v>870</v>
      </c>
      <c r="E4892" t="str">
        <f>"15876"</f>
        <v>15876</v>
      </c>
      <c r="F4892" t="str">
        <f t="shared" si="170"/>
        <v>57110200</v>
      </c>
      <c r="H4892" t="s">
        <v>2628</v>
      </c>
      <c r="K4892" s="4">
        <v>15366</v>
      </c>
    </row>
    <row r="4893" spans="1:11" hidden="1" outlineLevel="2" x14ac:dyDescent="0.35">
      <c r="A4893" t="s">
        <v>2337</v>
      </c>
      <c r="B4893" s="1">
        <v>45744</v>
      </c>
      <c r="C4893" t="str">
        <f>"871"</f>
        <v>871</v>
      </c>
      <c r="E4893" t="str">
        <f>"15877"</f>
        <v>15877</v>
      </c>
      <c r="F4893" t="str">
        <f t="shared" si="170"/>
        <v>57110200</v>
      </c>
      <c r="H4893" t="s">
        <v>2629</v>
      </c>
      <c r="K4893" s="4">
        <v>30000</v>
      </c>
    </row>
    <row r="4894" spans="1:11" hidden="1" outlineLevel="2" x14ac:dyDescent="0.35">
      <c r="A4894" t="s">
        <v>2337</v>
      </c>
      <c r="B4894" s="1">
        <v>45744</v>
      </c>
      <c r="C4894" t="str">
        <f>"872"</f>
        <v>872</v>
      </c>
      <c r="E4894" t="str">
        <f>"15878"</f>
        <v>15878</v>
      </c>
      <c r="F4894" t="str">
        <f t="shared" si="170"/>
        <v>57110200</v>
      </c>
      <c r="H4894" t="s">
        <v>2632</v>
      </c>
      <c r="K4894" s="4">
        <v>15000</v>
      </c>
    </row>
    <row r="4895" spans="1:11" hidden="1" outlineLevel="2" x14ac:dyDescent="0.35">
      <c r="A4895" t="s">
        <v>2337</v>
      </c>
      <c r="B4895" s="1">
        <v>45744</v>
      </c>
      <c r="C4895" t="str">
        <f>"873"</f>
        <v>873</v>
      </c>
      <c r="E4895" t="str">
        <f>"15879"</f>
        <v>15879</v>
      </c>
      <c r="F4895" t="str">
        <f t="shared" si="170"/>
        <v>57110200</v>
      </c>
      <c r="H4895" t="s">
        <v>2633</v>
      </c>
      <c r="K4895" s="4">
        <v>140000</v>
      </c>
    </row>
    <row r="4896" spans="1:11" hidden="1" outlineLevel="2" x14ac:dyDescent="0.35">
      <c r="A4896" t="s">
        <v>2337</v>
      </c>
      <c r="B4896" s="1">
        <v>45744</v>
      </c>
      <c r="C4896" t="str">
        <f>"874"</f>
        <v>874</v>
      </c>
      <c r="E4896" t="str">
        <f>"15880"</f>
        <v>15880</v>
      </c>
      <c r="F4896" t="str">
        <f t="shared" si="170"/>
        <v>57110200</v>
      </c>
      <c r="H4896" t="s">
        <v>2634</v>
      </c>
      <c r="K4896" s="4">
        <v>58000</v>
      </c>
    </row>
    <row r="4897" spans="1:11" hidden="1" outlineLevel="2" x14ac:dyDescent="0.35">
      <c r="A4897" t="s">
        <v>2337</v>
      </c>
      <c r="B4897" s="1">
        <v>45744</v>
      </c>
      <c r="C4897" t="str">
        <f>"875"</f>
        <v>875</v>
      </c>
      <c r="E4897" t="str">
        <f>"15881"</f>
        <v>15881</v>
      </c>
      <c r="F4897" t="str">
        <f t="shared" si="170"/>
        <v>57110200</v>
      </c>
      <c r="H4897" t="s">
        <v>2635</v>
      </c>
      <c r="K4897" s="4">
        <v>10000</v>
      </c>
    </row>
    <row r="4898" spans="1:11" hidden="1" outlineLevel="2" x14ac:dyDescent="0.35">
      <c r="A4898" t="s">
        <v>2337</v>
      </c>
      <c r="B4898" s="1">
        <v>45744</v>
      </c>
      <c r="C4898" t="str">
        <f>"876"</f>
        <v>876</v>
      </c>
      <c r="E4898" t="str">
        <f>"15882"</f>
        <v>15882</v>
      </c>
      <c r="F4898" t="str">
        <f t="shared" si="170"/>
        <v>57110200</v>
      </c>
      <c r="H4898" t="s">
        <v>2636</v>
      </c>
      <c r="K4898" s="4">
        <v>59000</v>
      </c>
    </row>
    <row r="4899" spans="1:11" hidden="1" outlineLevel="2" x14ac:dyDescent="0.35">
      <c r="A4899" t="s">
        <v>2337</v>
      </c>
      <c r="B4899" s="1">
        <v>45744</v>
      </c>
      <c r="C4899" t="str">
        <f>"877"</f>
        <v>877</v>
      </c>
      <c r="E4899" t="str">
        <f>"15883"</f>
        <v>15883</v>
      </c>
      <c r="F4899" t="str">
        <f t="shared" si="170"/>
        <v>57110200</v>
      </c>
      <c r="H4899" t="s">
        <v>2637</v>
      </c>
      <c r="K4899" s="4">
        <v>181000</v>
      </c>
    </row>
    <row r="4900" spans="1:11" hidden="1" outlineLevel="2" x14ac:dyDescent="0.35">
      <c r="A4900" t="s">
        <v>2337</v>
      </c>
      <c r="B4900" s="1">
        <v>45744</v>
      </c>
      <c r="C4900" t="str">
        <f>"878"</f>
        <v>878</v>
      </c>
      <c r="E4900" t="str">
        <f>"15884"</f>
        <v>15884</v>
      </c>
      <c r="F4900" t="str">
        <f t="shared" si="170"/>
        <v>57110200</v>
      </c>
      <c r="H4900" t="s">
        <v>2641</v>
      </c>
      <c r="K4900" s="4">
        <v>105000</v>
      </c>
    </row>
    <row r="4901" spans="1:11" hidden="1" outlineLevel="2" x14ac:dyDescent="0.35">
      <c r="A4901" t="s">
        <v>2337</v>
      </c>
      <c r="B4901" s="1">
        <v>45744</v>
      </c>
      <c r="C4901" t="str">
        <f>"879"</f>
        <v>879</v>
      </c>
      <c r="E4901" t="str">
        <f>"15885"</f>
        <v>15885</v>
      </c>
      <c r="F4901" t="str">
        <f t="shared" si="170"/>
        <v>57110200</v>
      </c>
      <c r="H4901" t="s">
        <v>2642</v>
      </c>
      <c r="K4901" s="4">
        <v>292500</v>
      </c>
    </row>
    <row r="4902" spans="1:11" hidden="1" outlineLevel="2" x14ac:dyDescent="0.35">
      <c r="A4902" t="s">
        <v>2337</v>
      </c>
      <c r="B4902" s="1">
        <v>45744</v>
      </c>
      <c r="C4902" t="str">
        <f>"880"</f>
        <v>880</v>
      </c>
      <c r="E4902" t="str">
        <f>"15886"</f>
        <v>15886</v>
      </c>
      <c r="F4902" t="str">
        <f t="shared" si="170"/>
        <v>57110200</v>
      </c>
      <c r="H4902" t="s">
        <v>2648</v>
      </c>
      <c r="K4902" s="4">
        <v>395000</v>
      </c>
    </row>
    <row r="4903" spans="1:11" hidden="1" outlineLevel="2" x14ac:dyDescent="0.35">
      <c r="A4903" t="s">
        <v>2337</v>
      </c>
      <c r="B4903" s="1">
        <v>45744</v>
      </c>
      <c r="C4903" t="str">
        <f>"881"</f>
        <v>881</v>
      </c>
      <c r="E4903" t="str">
        <f>"15887"</f>
        <v>15887</v>
      </c>
      <c r="F4903" t="str">
        <f t="shared" si="170"/>
        <v>57110200</v>
      </c>
      <c r="H4903" t="s">
        <v>2651</v>
      </c>
      <c r="K4903" s="4">
        <v>1000000</v>
      </c>
    </row>
    <row r="4904" spans="1:11" hidden="1" outlineLevel="2" x14ac:dyDescent="0.35">
      <c r="A4904" t="s">
        <v>2337</v>
      </c>
      <c r="B4904" s="1">
        <v>45744</v>
      </c>
      <c r="C4904" t="str">
        <f>"882"</f>
        <v>882</v>
      </c>
      <c r="E4904" t="str">
        <f>"15888"</f>
        <v>15888</v>
      </c>
      <c r="F4904" t="str">
        <f t="shared" si="170"/>
        <v>57110200</v>
      </c>
      <c r="H4904" t="s">
        <v>2488</v>
      </c>
      <c r="K4904" s="4">
        <v>28500</v>
      </c>
    </row>
    <row r="4905" spans="1:11" hidden="1" outlineLevel="2" x14ac:dyDescent="0.35">
      <c r="A4905" t="s">
        <v>2337</v>
      </c>
      <c r="B4905" s="1">
        <v>45744</v>
      </c>
      <c r="C4905" t="str">
        <f>"883"</f>
        <v>883</v>
      </c>
      <c r="E4905" t="str">
        <f>"15889"</f>
        <v>15889</v>
      </c>
      <c r="F4905" t="str">
        <f t="shared" si="170"/>
        <v>57110200</v>
      </c>
      <c r="H4905" t="s">
        <v>2652</v>
      </c>
      <c r="K4905" s="4">
        <v>313500</v>
      </c>
    </row>
    <row r="4906" spans="1:11" hidden="1" outlineLevel="2" x14ac:dyDescent="0.35">
      <c r="A4906" t="s">
        <v>2337</v>
      </c>
      <c r="B4906" s="1">
        <v>45744</v>
      </c>
      <c r="C4906" t="str">
        <f>"884"</f>
        <v>884</v>
      </c>
      <c r="E4906" t="str">
        <f>"15890"</f>
        <v>15890</v>
      </c>
      <c r="F4906" t="str">
        <f t="shared" si="170"/>
        <v>57110200</v>
      </c>
      <c r="H4906" t="s">
        <v>2654</v>
      </c>
      <c r="K4906" s="4">
        <v>44000</v>
      </c>
    </row>
    <row r="4907" spans="1:11" hidden="1" outlineLevel="2" x14ac:dyDescent="0.35">
      <c r="A4907" t="s">
        <v>2337</v>
      </c>
      <c r="B4907" s="1">
        <v>45744</v>
      </c>
      <c r="C4907" t="str">
        <f>"885"</f>
        <v>885</v>
      </c>
      <c r="E4907" t="str">
        <f>"15891"</f>
        <v>15891</v>
      </c>
      <c r="F4907" t="str">
        <f t="shared" si="170"/>
        <v>57110200</v>
      </c>
      <c r="H4907" t="s">
        <v>2655</v>
      </c>
      <c r="K4907" s="4">
        <v>300000</v>
      </c>
    </row>
    <row r="4908" spans="1:11" outlineLevel="1" collapsed="1" x14ac:dyDescent="0.35">
      <c r="B4908" s="1"/>
      <c r="F4908" s="3" t="s">
        <v>6599</v>
      </c>
      <c r="J4908" s="4">
        <f>SUBTOTAL(9,J4665:J4907)</f>
        <v>23992760</v>
      </c>
      <c r="K4908" s="4">
        <f>SUBTOTAL(9,K4665:K4907)</f>
        <v>27381173</v>
      </c>
    </row>
    <row r="4909" spans="1:11" hidden="1" outlineLevel="2" x14ac:dyDescent="0.35">
      <c r="A4909" t="s">
        <v>2016</v>
      </c>
      <c r="B4909" s="1">
        <v>45741</v>
      </c>
      <c r="C4909" t="str">
        <f>"6"</f>
        <v>6</v>
      </c>
      <c r="F4909" t="str">
        <f>"57210100"</f>
        <v>57210100</v>
      </c>
      <c r="H4909" t="s">
        <v>2017</v>
      </c>
      <c r="K4909" s="4">
        <v>6185</v>
      </c>
    </row>
    <row r="4910" spans="1:11" outlineLevel="1" collapsed="1" x14ac:dyDescent="0.35">
      <c r="B4910" s="1"/>
      <c r="F4910" s="3" t="s">
        <v>6600</v>
      </c>
      <c r="J4910" s="4">
        <f>SUBTOTAL(9,J4909:J4909)</f>
        <v>0</v>
      </c>
      <c r="K4910" s="4">
        <f>SUBTOTAL(9,K4909:K4909)</f>
        <v>6185</v>
      </c>
    </row>
    <row r="4911" spans="1:11" hidden="1" outlineLevel="2" x14ac:dyDescent="0.35">
      <c r="A4911" t="s">
        <v>2219</v>
      </c>
      <c r="B4911" s="1">
        <v>45717</v>
      </c>
      <c r="C4911" t="str">
        <f>"401"</f>
        <v>401</v>
      </c>
      <c r="F4911" t="str">
        <f t="shared" ref="F4911:F4942" si="171">"57210200"</f>
        <v>57210200</v>
      </c>
      <c r="H4911" t="s">
        <v>2220</v>
      </c>
      <c r="K4911" s="4">
        <v>5000</v>
      </c>
    </row>
    <row r="4912" spans="1:11" hidden="1" outlineLevel="2" x14ac:dyDescent="0.35">
      <c r="A4912" t="s">
        <v>2219</v>
      </c>
      <c r="B4912" s="1">
        <v>45717</v>
      </c>
      <c r="C4912" t="str">
        <f>"402"</f>
        <v>402</v>
      </c>
      <c r="F4912" t="str">
        <f t="shared" si="171"/>
        <v>57210200</v>
      </c>
      <c r="H4912" t="s">
        <v>2221</v>
      </c>
      <c r="K4912" s="4">
        <v>8000</v>
      </c>
    </row>
    <row r="4913" spans="1:11" hidden="1" outlineLevel="2" x14ac:dyDescent="0.35">
      <c r="A4913" t="s">
        <v>2219</v>
      </c>
      <c r="B4913" s="1">
        <v>45717</v>
      </c>
      <c r="C4913" t="str">
        <f>"403"</f>
        <v>403</v>
      </c>
      <c r="F4913" t="str">
        <f t="shared" si="171"/>
        <v>57210200</v>
      </c>
      <c r="H4913" t="s">
        <v>2222</v>
      </c>
      <c r="K4913" s="4">
        <v>19000</v>
      </c>
    </row>
    <row r="4914" spans="1:11" hidden="1" outlineLevel="2" x14ac:dyDescent="0.35">
      <c r="A4914" t="s">
        <v>2219</v>
      </c>
      <c r="B4914" s="1">
        <v>45717</v>
      </c>
      <c r="C4914" t="str">
        <f>"404"</f>
        <v>404</v>
      </c>
      <c r="F4914" t="str">
        <f t="shared" si="171"/>
        <v>57210200</v>
      </c>
      <c r="H4914" t="s">
        <v>2223</v>
      </c>
      <c r="K4914" s="4">
        <v>19000</v>
      </c>
    </row>
    <row r="4915" spans="1:11" hidden="1" outlineLevel="2" x14ac:dyDescent="0.35">
      <c r="A4915" t="s">
        <v>2219</v>
      </c>
      <c r="B4915" s="1">
        <v>45717</v>
      </c>
      <c r="C4915" t="str">
        <f>"405"</f>
        <v>405</v>
      </c>
      <c r="F4915" t="str">
        <f t="shared" si="171"/>
        <v>57210200</v>
      </c>
      <c r="H4915" t="s">
        <v>2224</v>
      </c>
      <c r="K4915" s="4">
        <v>14000</v>
      </c>
    </row>
    <row r="4916" spans="1:11" hidden="1" outlineLevel="2" x14ac:dyDescent="0.35">
      <c r="A4916" t="s">
        <v>2219</v>
      </c>
      <c r="B4916" s="1">
        <v>45717</v>
      </c>
      <c r="C4916" t="str">
        <f>"406"</f>
        <v>406</v>
      </c>
      <c r="F4916" t="str">
        <f t="shared" si="171"/>
        <v>57210200</v>
      </c>
      <c r="H4916" t="s">
        <v>2225</v>
      </c>
      <c r="K4916" s="4">
        <v>12000</v>
      </c>
    </row>
    <row r="4917" spans="1:11" hidden="1" outlineLevel="2" x14ac:dyDescent="0.35">
      <c r="A4917" t="s">
        <v>2219</v>
      </c>
      <c r="B4917" s="1">
        <v>45717</v>
      </c>
      <c r="C4917" t="str">
        <f>"407"</f>
        <v>407</v>
      </c>
      <c r="F4917" t="str">
        <f t="shared" si="171"/>
        <v>57210200</v>
      </c>
      <c r="H4917" t="s">
        <v>2226</v>
      </c>
      <c r="K4917" s="4">
        <v>12000</v>
      </c>
    </row>
    <row r="4918" spans="1:11" hidden="1" outlineLevel="2" x14ac:dyDescent="0.35">
      <c r="A4918" t="s">
        <v>2219</v>
      </c>
      <c r="B4918" s="1">
        <v>45719</v>
      </c>
      <c r="C4918" t="str">
        <f>"408"</f>
        <v>408</v>
      </c>
      <c r="F4918" t="str">
        <f t="shared" si="171"/>
        <v>57210200</v>
      </c>
      <c r="H4918" t="s">
        <v>2227</v>
      </c>
      <c r="K4918" s="4">
        <v>7500</v>
      </c>
    </row>
    <row r="4919" spans="1:11" hidden="1" outlineLevel="2" x14ac:dyDescent="0.35">
      <c r="A4919" t="s">
        <v>2219</v>
      </c>
      <c r="B4919" s="1">
        <v>45719</v>
      </c>
      <c r="C4919" t="str">
        <f>"409"</f>
        <v>409</v>
      </c>
      <c r="F4919" t="str">
        <f t="shared" si="171"/>
        <v>57210200</v>
      </c>
      <c r="H4919" t="s">
        <v>2228</v>
      </c>
      <c r="K4919" s="4">
        <v>5000</v>
      </c>
    </row>
    <row r="4920" spans="1:11" hidden="1" outlineLevel="2" x14ac:dyDescent="0.35">
      <c r="A4920" t="s">
        <v>2219</v>
      </c>
      <c r="B4920" s="1">
        <v>45719</v>
      </c>
      <c r="C4920" t="str">
        <f>"410"</f>
        <v>410</v>
      </c>
      <c r="F4920" t="str">
        <f t="shared" si="171"/>
        <v>57210200</v>
      </c>
      <c r="H4920" t="s">
        <v>2229</v>
      </c>
      <c r="K4920" s="4">
        <v>10000</v>
      </c>
    </row>
    <row r="4921" spans="1:11" hidden="1" outlineLevel="2" x14ac:dyDescent="0.35">
      <c r="A4921" t="s">
        <v>2219</v>
      </c>
      <c r="B4921" s="1">
        <v>45719</v>
      </c>
      <c r="C4921" t="str">
        <f>"411"</f>
        <v>411</v>
      </c>
      <c r="F4921" t="str">
        <f t="shared" si="171"/>
        <v>57210200</v>
      </c>
      <c r="H4921" t="s">
        <v>2224</v>
      </c>
      <c r="K4921" s="4">
        <v>12000</v>
      </c>
    </row>
    <row r="4922" spans="1:11" hidden="1" outlineLevel="2" x14ac:dyDescent="0.35">
      <c r="A4922" t="s">
        <v>2219</v>
      </c>
      <c r="B4922" s="1">
        <v>45719</v>
      </c>
      <c r="C4922" t="str">
        <f>"412"</f>
        <v>412</v>
      </c>
      <c r="F4922" t="str">
        <f t="shared" si="171"/>
        <v>57210200</v>
      </c>
      <c r="H4922" t="s">
        <v>2225</v>
      </c>
      <c r="K4922" s="4">
        <v>19000</v>
      </c>
    </row>
    <row r="4923" spans="1:11" hidden="1" outlineLevel="2" x14ac:dyDescent="0.35">
      <c r="A4923" t="s">
        <v>2219</v>
      </c>
      <c r="B4923" s="1">
        <v>45719</v>
      </c>
      <c r="C4923" t="str">
        <f>"413"</f>
        <v>413</v>
      </c>
      <c r="F4923" t="str">
        <f t="shared" si="171"/>
        <v>57210200</v>
      </c>
      <c r="H4923" t="s">
        <v>2230</v>
      </c>
      <c r="K4923" s="4">
        <v>14000</v>
      </c>
    </row>
    <row r="4924" spans="1:11" hidden="1" outlineLevel="2" x14ac:dyDescent="0.35">
      <c r="A4924" t="s">
        <v>2219</v>
      </c>
      <c r="B4924" s="1">
        <v>45719</v>
      </c>
      <c r="C4924" t="str">
        <f>"414"</f>
        <v>414</v>
      </c>
      <c r="F4924" t="str">
        <f t="shared" si="171"/>
        <v>57210200</v>
      </c>
      <c r="H4924" t="s">
        <v>2231</v>
      </c>
      <c r="K4924" s="4">
        <v>19000</v>
      </c>
    </row>
    <row r="4925" spans="1:11" hidden="1" outlineLevel="2" x14ac:dyDescent="0.35">
      <c r="A4925" t="s">
        <v>2219</v>
      </c>
      <c r="B4925" s="1">
        <v>45719</v>
      </c>
      <c r="C4925" t="str">
        <f>"415"</f>
        <v>415</v>
      </c>
      <c r="F4925" t="str">
        <f t="shared" si="171"/>
        <v>57210200</v>
      </c>
      <c r="H4925" t="s">
        <v>2232</v>
      </c>
      <c r="K4925" s="4">
        <v>10000</v>
      </c>
    </row>
    <row r="4926" spans="1:11" hidden="1" outlineLevel="2" x14ac:dyDescent="0.35">
      <c r="A4926" t="s">
        <v>2219</v>
      </c>
      <c r="B4926" s="1">
        <v>45720</v>
      </c>
      <c r="C4926" t="str">
        <f>"416"</f>
        <v>416</v>
      </c>
      <c r="F4926" t="str">
        <f t="shared" si="171"/>
        <v>57210200</v>
      </c>
      <c r="H4926" t="s">
        <v>2233</v>
      </c>
      <c r="K4926" s="4">
        <v>141495</v>
      </c>
    </row>
    <row r="4927" spans="1:11" hidden="1" outlineLevel="2" x14ac:dyDescent="0.35">
      <c r="A4927" t="s">
        <v>2219</v>
      </c>
      <c r="B4927" s="1">
        <v>45720</v>
      </c>
      <c r="C4927" t="str">
        <f>"417"</f>
        <v>417</v>
      </c>
      <c r="F4927" t="str">
        <f t="shared" si="171"/>
        <v>57210200</v>
      </c>
      <c r="H4927" t="s">
        <v>2234</v>
      </c>
      <c r="K4927" s="4">
        <v>28570</v>
      </c>
    </row>
    <row r="4928" spans="1:11" hidden="1" outlineLevel="2" x14ac:dyDescent="0.35">
      <c r="A4928" t="s">
        <v>2219</v>
      </c>
      <c r="B4928" s="1">
        <v>45720</v>
      </c>
      <c r="C4928" t="str">
        <f>"418"</f>
        <v>418</v>
      </c>
      <c r="F4928" t="str">
        <f t="shared" si="171"/>
        <v>57210200</v>
      </c>
      <c r="H4928" t="s">
        <v>2227</v>
      </c>
      <c r="K4928" s="4">
        <v>15000</v>
      </c>
    </row>
    <row r="4929" spans="1:11" hidden="1" outlineLevel="2" x14ac:dyDescent="0.35">
      <c r="A4929" t="s">
        <v>2219</v>
      </c>
      <c r="B4929" s="1">
        <v>45720</v>
      </c>
      <c r="C4929" t="str">
        <f>"419"</f>
        <v>419</v>
      </c>
      <c r="F4929" t="str">
        <f t="shared" si="171"/>
        <v>57210200</v>
      </c>
      <c r="H4929" t="s">
        <v>2235</v>
      </c>
      <c r="K4929" s="4">
        <v>10000</v>
      </c>
    </row>
    <row r="4930" spans="1:11" hidden="1" outlineLevel="2" x14ac:dyDescent="0.35">
      <c r="A4930" t="s">
        <v>2219</v>
      </c>
      <c r="B4930" s="1">
        <v>45720</v>
      </c>
      <c r="C4930" t="str">
        <f>"420"</f>
        <v>420</v>
      </c>
      <c r="F4930" t="str">
        <f t="shared" si="171"/>
        <v>57210200</v>
      </c>
      <c r="H4930" t="s">
        <v>2236</v>
      </c>
      <c r="K4930" s="4">
        <v>5000</v>
      </c>
    </row>
    <row r="4931" spans="1:11" hidden="1" outlineLevel="2" x14ac:dyDescent="0.35">
      <c r="A4931" t="s">
        <v>2219</v>
      </c>
      <c r="B4931" s="1">
        <v>45720</v>
      </c>
      <c r="C4931" t="str">
        <f>"421"</f>
        <v>421</v>
      </c>
      <c r="F4931" t="str">
        <f t="shared" si="171"/>
        <v>57210200</v>
      </c>
      <c r="H4931" t="s">
        <v>2237</v>
      </c>
      <c r="K4931" s="4">
        <v>15000</v>
      </c>
    </row>
    <row r="4932" spans="1:11" hidden="1" outlineLevel="2" x14ac:dyDescent="0.35">
      <c r="A4932" t="s">
        <v>2219</v>
      </c>
      <c r="B4932" s="1">
        <v>45720</v>
      </c>
      <c r="C4932" t="str">
        <f>"422"</f>
        <v>422</v>
      </c>
      <c r="F4932" t="str">
        <f t="shared" si="171"/>
        <v>57210200</v>
      </c>
      <c r="H4932" t="s">
        <v>2238</v>
      </c>
      <c r="K4932" s="4">
        <v>14000</v>
      </c>
    </row>
    <row r="4933" spans="1:11" hidden="1" outlineLevel="2" x14ac:dyDescent="0.35">
      <c r="A4933" t="s">
        <v>2219</v>
      </c>
      <c r="B4933" s="1">
        <v>45720</v>
      </c>
      <c r="C4933" t="str">
        <f>"423"</f>
        <v>423</v>
      </c>
      <c r="F4933" t="str">
        <f t="shared" si="171"/>
        <v>57210200</v>
      </c>
      <c r="H4933" t="s">
        <v>2239</v>
      </c>
      <c r="K4933" s="4">
        <v>14000</v>
      </c>
    </row>
    <row r="4934" spans="1:11" hidden="1" outlineLevel="2" x14ac:dyDescent="0.35">
      <c r="A4934" t="s">
        <v>2219</v>
      </c>
      <c r="B4934" s="1">
        <v>45721</v>
      </c>
      <c r="C4934" t="str">
        <f>"424"</f>
        <v>424</v>
      </c>
      <c r="F4934" t="str">
        <f t="shared" si="171"/>
        <v>57210200</v>
      </c>
      <c r="H4934" t="s">
        <v>2227</v>
      </c>
      <c r="K4934" s="4">
        <v>15000</v>
      </c>
    </row>
    <row r="4935" spans="1:11" hidden="1" outlineLevel="2" x14ac:dyDescent="0.35">
      <c r="A4935" t="s">
        <v>2219</v>
      </c>
      <c r="B4935" s="1">
        <v>45721</v>
      </c>
      <c r="C4935" t="str">
        <f>"425"</f>
        <v>425</v>
      </c>
      <c r="F4935" t="str">
        <f t="shared" si="171"/>
        <v>57210200</v>
      </c>
      <c r="H4935" t="s">
        <v>2240</v>
      </c>
      <c r="K4935" s="4">
        <v>10000</v>
      </c>
    </row>
    <row r="4936" spans="1:11" hidden="1" outlineLevel="2" x14ac:dyDescent="0.35">
      <c r="A4936" t="s">
        <v>2219</v>
      </c>
      <c r="B4936" s="1">
        <v>45721</v>
      </c>
      <c r="C4936" t="str">
        <f>"426"</f>
        <v>426</v>
      </c>
      <c r="F4936" t="str">
        <f t="shared" si="171"/>
        <v>57210200</v>
      </c>
      <c r="H4936" t="s">
        <v>2241</v>
      </c>
      <c r="K4936" s="4">
        <v>10000</v>
      </c>
    </row>
    <row r="4937" spans="1:11" hidden="1" outlineLevel="2" x14ac:dyDescent="0.35">
      <c r="A4937" t="s">
        <v>2219</v>
      </c>
      <c r="B4937" s="1">
        <v>45721</v>
      </c>
      <c r="C4937" t="str">
        <f>"427"</f>
        <v>427</v>
      </c>
      <c r="F4937" t="str">
        <f t="shared" si="171"/>
        <v>57210200</v>
      </c>
      <c r="H4937" t="s">
        <v>2242</v>
      </c>
      <c r="K4937" s="4">
        <v>5000</v>
      </c>
    </row>
    <row r="4938" spans="1:11" hidden="1" outlineLevel="2" x14ac:dyDescent="0.35">
      <c r="A4938" t="s">
        <v>2219</v>
      </c>
      <c r="B4938" s="1">
        <v>45721</v>
      </c>
      <c r="C4938" t="str">
        <f>"428"</f>
        <v>428</v>
      </c>
      <c r="F4938" t="str">
        <f t="shared" si="171"/>
        <v>57210200</v>
      </c>
      <c r="H4938" t="s">
        <v>2243</v>
      </c>
      <c r="K4938" s="4">
        <v>10000</v>
      </c>
    </row>
    <row r="4939" spans="1:11" hidden="1" outlineLevel="2" x14ac:dyDescent="0.35">
      <c r="A4939" t="s">
        <v>2219</v>
      </c>
      <c r="B4939" s="1">
        <v>45721</v>
      </c>
      <c r="C4939" t="str">
        <f>"429"</f>
        <v>429</v>
      </c>
      <c r="F4939" t="str">
        <f t="shared" si="171"/>
        <v>57210200</v>
      </c>
      <c r="H4939" t="s">
        <v>2244</v>
      </c>
      <c r="K4939" s="4">
        <v>5000</v>
      </c>
    </row>
    <row r="4940" spans="1:11" hidden="1" outlineLevel="2" x14ac:dyDescent="0.35">
      <c r="A4940" t="s">
        <v>2219</v>
      </c>
      <c r="B4940" s="1">
        <v>45722</v>
      </c>
      <c r="C4940" t="str">
        <f>"430"</f>
        <v>430</v>
      </c>
      <c r="F4940" t="str">
        <f t="shared" si="171"/>
        <v>57210200</v>
      </c>
      <c r="H4940" t="s">
        <v>2245</v>
      </c>
      <c r="K4940" s="4">
        <v>169000</v>
      </c>
    </row>
    <row r="4941" spans="1:11" hidden="1" outlineLevel="2" x14ac:dyDescent="0.35">
      <c r="A4941" t="s">
        <v>2219</v>
      </c>
      <c r="B4941" s="1">
        <v>45722</v>
      </c>
      <c r="C4941" t="str">
        <f>"431"</f>
        <v>431</v>
      </c>
      <c r="F4941" t="str">
        <f t="shared" si="171"/>
        <v>57210200</v>
      </c>
      <c r="H4941" t="s">
        <v>2227</v>
      </c>
      <c r="K4941" s="4">
        <v>12500</v>
      </c>
    </row>
    <row r="4942" spans="1:11" hidden="1" outlineLevel="2" x14ac:dyDescent="0.35">
      <c r="A4942" t="s">
        <v>2219</v>
      </c>
      <c r="B4942" s="1">
        <v>45722</v>
      </c>
      <c r="C4942" t="str">
        <f>"432"</f>
        <v>432</v>
      </c>
      <c r="F4942" t="str">
        <f t="shared" si="171"/>
        <v>57210200</v>
      </c>
      <c r="H4942" t="s">
        <v>2228</v>
      </c>
      <c r="K4942" s="4">
        <v>5000</v>
      </c>
    </row>
    <row r="4943" spans="1:11" hidden="1" outlineLevel="2" x14ac:dyDescent="0.35">
      <c r="A4943" t="s">
        <v>2219</v>
      </c>
      <c r="B4943" s="1">
        <v>45722</v>
      </c>
      <c r="C4943" t="str">
        <f>"433"</f>
        <v>433</v>
      </c>
      <c r="F4943" t="str">
        <f t="shared" ref="F4943:F4974" si="172">"57210200"</f>
        <v>57210200</v>
      </c>
      <c r="H4943" t="s">
        <v>2246</v>
      </c>
      <c r="K4943" s="4">
        <v>5000</v>
      </c>
    </row>
    <row r="4944" spans="1:11" hidden="1" outlineLevel="2" x14ac:dyDescent="0.35">
      <c r="A4944" t="s">
        <v>2219</v>
      </c>
      <c r="B4944" s="1">
        <v>45722</v>
      </c>
      <c r="C4944" t="str">
        <f>"434"</f>
        <v>434</v>
      </c>
      <c r="F4944" t="str">
        <f t="shared" si="172"/>
        <v>57210200</v>
      </c>
      <c r="H4944" t="s">
        <v>2247</v>
      </c>
      <c r="K4944" s="4">
        <v>10000</v>
      </c>
    </row>
    <row r="4945" spans="1:11" hidden="1" outlineLevel="2" x14ac:dyDescent="0.35">
      <c r="A4945" t="s">
        <v>2219</v>
      </c>
      <c r="B4945" s="1">
        <v>45722</v>
      </c>
      <c r="C4945" t="str">
        <f>"435"</f>
        <v>435</v>
      </c>
      <c r="F4945" t="str">
        <f t="shared" si="172"/>
        <v>57210200</v>
      </c>
      <c r="H4945" t="s">
        <v>2248</v>
      </c>
      <c r="K4945" s="4">
        <v>10000</v>
      </c>
    </row>
    <row r="4946" spans="1:11" hidden="1" outlineLevel="2" x14ac:dyDescent="0.35">
      <c r="A4946" t="s">
        <v>2219</v>
      </c>
      <c r="B4946" s="1">
        <v>45722</v>
      </c>
      <c r="C4946" t="str">
        <f>"436"</f>
        <v>436</v>
      </c>
      <c r="F4946" t="str">
        <f t="shared" si="172"/>
        <v>57210200</v>
      </c>
      <c r="H4946" t="s">
        <v>2249</v>
      </c>
      <c r="K4946" s="4">
        <v>5000</v>
      </c>
    </row>
    <row r="4947" spans="1:11" hidden="1" outlineLevel="2" x14ac:dyDescent="0.35">
      <c r="A4947" t="s">
        <v>2219</v>
      </c>
      <c r="B4947" s="1">
        <v>45723</v>
      </c>
      <c r="C4947" t="str">
        <f>"437"</f>
        <v>437</v>
      </c>
      <c r="F4947" t="str">
        <f t="shared" si="172"/>
        <v>57210200</v>
      </c>
      <c r="H4947" t="s">
        <v>2250</v>
      </c>
      <c r="K4947" s="4">
        <v>20900</v>
      </c>
    </row>
    <row r="4948" spans="1:11" hidden="1" outlineLevel="2" x14ac:dyDescent="0.35">
      <c r="A4948" t="s">
        <v>2219</v>
      </c>
      <c r="B4948" s="1">
        <v>45723</v>
      </c>
      <c r="C4948" t="str">
        <f>"438"</f>
        <v>438</v>
      </c>
      <c r="F4948" t="str">
        <f t="shared" si="172"/>
        <v>57210200</v>
      </c>
      <c r="H4948" t="s">
        <v>2251</v>
      </c>
      <c r="K4948" s="4">
        <v>30100</v>
      </c>
    </row>
    <row r="4949" spans="1:11" hidden="1" outlineLevel="2" x14ac:dyDescent="0.35">
      <c r="A4949" t="s">
        <v>2219</v>
      </c>
      <c r="B4949" s="1">
        <v>45723</v>
      </c>
      <c r="C4949" t="str">
        <f>"439"</f>
        <v>439</v>
      </c>
      <c r="F4949" t="str">
        <f t="shared" si="172"/>
        <v>57210200</v>
      </c>
      <c r="H4949" t="s">
        <v>2252</v>
      </c>
      <c r="K4949" s="4">
        <v>30100</v>
      </c>
    </row>
    <row r="4950" spans="1:11" hidden="1" outlineLevel="2" x14ac:dyDescent="0.35">
      <c r="A4950" t="s">
        <v>2219</v>
      </c>
      <c r="B4950" s="1">
        <v>45723</v>
      </c>
      <c r="C4950" t="str">
        <f>"440"</f>
        <v>440</v>
      </c>
      <c r="F4950" t="str">
        <f t="shared" si="172"/>
        <v>57210200</v>
      </c>
      <c r="H4950" t="s">
        <v>2227</v>
      </c>
      <c r="K4950" s="4">
        <v>17500</v>
      </c>
    </row>
    <row r="4951" spans="1:11" hidden="1" outlineLevel="2" x14ac:dyDescent="0.35">
      <c r="A4951" t="s">
        <v>2219</v>
      </c>
      <c r="B4951" s="1">
        <v>45723</v>
      </c>
      <c r="C4951" t="str">
        <f>"441"</f>
        <v>441</v>
      </c>
      <c r="F4951" t="str">
        <f t="shared" si="172"/>
        <v>57210200</v>
      </c>
      <c r="H4951" t="s">
        <v>2253</v>
      </c>
      <c r="K4951" s="4">
        <v>5000</v>
      </c>
    </row>
    <row r="4952" spans="1:11" hidden="1" outlineLevel="2" x14ac:dyDescent="0.35">
      <c r="A4952" t="s">
        <v>2219</v>
      </c>
      <c r="B4952" s="1">
        <v>45723</v>
      </c>
      <c r="C4952" t="str">
        <f>"442"</f>
        <v>442</v>
      </c>
      <c r="F4952" t="str">
        <f t="shared" si="172"/>
        <v>57210200</v>
      </c>
      <c r="H4952" t="s">
        <v>2254</v>
      </c>
      <c r="K4952" s="4">
        <v>15000</v>
      </c>
    </row>
    <row r="4953" spans="1:11" hidden="1" outlineLevel="2" x14ac:dyDescent="0.35">
      <c r="A4953" t="s">
        <v>2219</v>
      </c>
      <c r="B4953" s="1">
        <v>45723</v>
      </c>
      <c r="C4953" t="str">
        <f>"443"</f>
        <v>443</v>
      </c>
      <c r="F4953" t="str">
        <f t="shared" si="172"/>
        <v>57210200</v>
      </c>
      <c r="H4953" t="s">
        <v>2255</v>
      </c>
      <c r="K4953" s="4">
        <v>15000</v>
      </c>
    </row>
    <row r="4954" spans="1:11" hidden="1" outlineLevel="2" x14ac:dyDescent="0.35">
      <c r="A4954" t="s">
        <v>2219</v>
      </c>
      <c r="B4954" s="1">
        <v>45724</v>
      </c>
      <c r="C4954" t="str">
        <f>"444"</f>
        <v>444</v>
      </c>
      <c r="F4954" t="str">
        <f t="shared" si="172"/>
        <v>57210200</v>
      </c>
      <c r="H4954" t="s">
        <v>2227</v>
      </c>
      <c r="K4954" s="4">
        <v>12500</v>
      </c>
    </row>
    <row r="4955" spans="1:11" hidden="1" outlineLevel="2" x14ac:dyDescent="0.35">
      <c r="A4955" t="s">
        <v>2219</v>
      </c>
      <c r="B4955" s="1">
        <v>45724</v>
      </c>
      <c r="C4955" t="str">
        <f>"445"</f>
        <v>445</v>
      </c>
      <c r="F4955" t="str">
        <f t="shared" si="172"/>
        <v>57210200</v>
      </c>
      <c r="H4955" t="s">
        <v>2256</v>
      </c>
      <c r="K4955" s="4">
        <v>5000</v>
      </c>
    </row>
    <row r="4956" spans="1:11" hidden="1" outlineLevel="2" x14ac:dyDescent="0.35">
      <c r="A4956" t="s">
        <v>2219</v>
      </c>
      <c r="B4956" s="1">
        <v>45724</v>
      </c>
      <c r="C4956" t="str">
        <f>"446"</f>
        <v>446</v>
      </c>
      <c r="F4956" t="str">
        <f t="shared" si="172"/>
        <v>57210200</v>
      </c>
      <c r="H4956" t="s">
        <v>2257</v>
      </c>
      <c r="K4956" s="4">
        <v>10000</v>
      </c>
    </row>
    <row r="4957" spans="1:11" hidden="1" outlineLevel="2" x14ac:dyDescent="0.35">
      <c r="A4957" t="s">
        <v>2219</v>
      </c>
      <c r="B4957" s="1">
        <v>45724</v>
      </c>
      <c r="C4957" t="str">
        <f>"447"</f>
        <v>447</v>
      </c>
      <c r="F4957" t="str">
        <f t="shared" si="172"/>
        <v>57210200</v>
      </c>
      <c r="H4957" t="s">
        <v>2258</v>
      </c>
      <c r="K4957" s="4">
        <v>8000</v>
      </c>
    </row>
    <row r="4958" spans="1:11" hidden="1" outlineLevel="2" x14ac:dyDescent="0.35">
      <c r="A4958" t="s">
        <v>2219</v>
      </c>
      <c r="B4958" s="1">
        <v>45726</v>
      </c>
      <c r="C4958" t="str">
        <f>"448"</f>
        <v>448</v>
      </c>
      <c r="F4958" t="str">
        <f t="shared" si="172"/>
        <v>57210200</v>
      </c>
      <c r="H4958" t="s">
        <v>2259</v>
      </c>
      <c r="J4958" s="4">
        <v>1500000</v>
      </c>
    </row>
    <row r="4959" spans="1:11" hidden="1" outlineLevel="2" x14ac:dyDescent="0.35">
      <c r="A4959" t="s">
        <v>2219</v>
      </c>
      <c r="B4959" s="1">
        <v>45726</v>
      </c>
      <c r="C4959" t="str">
        <f>"449"</f>
        <v>449</v>
      </c>
      <c r="F4959" t="str">
        <f t="shared" si="172"/>
        <v>57210200</v>
      </c>
      <c r="H4959" t="s">
        <v>2227</v>
      </c>
      <c r="K4959" s="4">
        <v>15000</v>
      </c>
    </row>
    <row r="4960" spans="1:11" hidden="1" outlineLevel="2" x14ac:dyDescent="0.35">
      <c r="A4960" t="s">
        <v>2219</v>
      </c>
      <c r="B4960" s="1">
        <v>45726</v>
      </c>
      <c r="C4960" t="str">
        <f>"450"</f>
        <v>450</v>
      </c>
      <c r="F4960" t="str">
        <f t="shared" si="172"/>
        <v>57210200</v>
      </c>
      <c r="H4960" t="s">
        <v>2228</v>
      </c>
      <c r="K4960" s="4">
        <v>5000</v>
      </c>
    </row>
    <row r="4961" spans="1:11" hidden="1" outlineLevel="2" x14ac:dyDescent="0.35">
      <c r="A4961" t="s">
        <v>2219</v>
      </c>
      <c r="B4961" s="1">
        <v>45726</v>
      </c>
      <c r="C4961" t="str">
        <f>"451"</f>
        <v>451</v>
      </c>
      <c r="F4961" t="str">
        <f t="shared" si="172"/>
        <v>57210200</v>
      </c>
      <c r="H4961" t="s">
        <v>2260</v>
      </c>
      <c r="K4961" s="4">
        <v>15000</v>
      </c>
    </row>
    <row r="4962" spans="1:11" hidden="1" outlineLevel="2" x14ac:dyDescent="0.35">
      <c r="A4962" t="s">
        <v>2219</v>
      </c>
      <c r="B4962" s="1">
        <v>45726</v>
      </c>
      <c r="C4962" t="str">
        <f>"452"</f>
        <v>452</v>
      </c>
      <c r="F4962" t="str">
        <f t="shared" si="172"/>
        <v>57210200</v>
      </c>
      <c r="H4962" t="s">
        <v>2261</v>
      </c>
      <c r="K4962" s="4">
        <v>10000</v>
      </c>
    </row>
    <row r="4963" spans="1:11" hidden="1" outlineLevel="2" x14ac:dyDescent="0.35">
      <c r="A4963" t="s">
        <v>2219</v>
      </c>
      <c r="B4963" s="1">
        <v>45726</v>
      </c>
      <c r="C4963" t="str">
        <f>"453"</f>
        <v>453</v>
      </c>
      <c r="F4963" t="str">
        <f t="shared" si="172"/>
        <v>57210200</v>
      </c>
      <c r="H4963" t="s">
        <v>2262</v>
      </c>
      <c r="K4963" s="4">
        <v>19000</v>
      </c>
    </row>
    <row r="4964" spans="1:11" hidden="1" outlineLevel="2" x14ac:dyDescent="0.35">
      <c r="A4964" t="s">
        <v>2219</v>
      </c>
      <c r="B4964" s="1">
        <v>45726</v>
      </c>
      <c r="C4964" t="str">
        <f>"454"</f>
        <v>454</v>
      </c>
      <c r="F4964" t="str">
        <f t="shared" si="172"/>
        <v>57210200</v>
      </c>
      <c r="H4964" t="s">
        <v>2263</v>
      </c>
      <c r="K4964" s="4">
        <v>250000</v>
      </c>
    </row>
    <row r="4965" spans="1:11" hidden="1" outlineLevel="2" x14ac:dyDescent="0.35">
      <c r="A4965" t="s">
        <v>2219</v>
      </c>
      <c r="B4965" s="1">
        <v>45727</v>
      </c>
      <c r="C4965" t="str">
        <f>"455"</f>
        <v>455</v>
      </c>
      <c r="F4965" t="str">
        <f t="shared" si="172"/>
        <v>57210200</v>
      </c>
      <c r="H4965" t="s">
        <v>2264</v>
      </c>
      <c r="K4965" s="4">
        <v>90000</v>
      </c>
    </row>
    <row r="4966" spans="1:11" hidden="1" outlineLevel="2" x14ac:dyDescent="0.35">
      <c r="A4966" t="s">
        <v>2219</v>
      </c>
      <c r="B4966" s="1">
        <v>45727</v>
      </c>
      <c r="C4966" t="str">
        <f>"456"</f>
        <v>456</v>
      </c>
      <c r="F4966" t="str">
        <f t="shared" si="172"/>
        <v>57210200</v>
      </c>
      <c r="H4966" t="s">
        <v>2227</v>
      </c>
      <c r="K4966" s="4">
        <v>10000</v>
      </c>
    </row>
    <row r="4967" spans="1:11" hidden="1" outlineLevel="2" x14ac:dyDescent="0.35">
      <c r="A4967" t="s">
        <v>2219</v>
      </c>
      <c r="B4967" s="1">
        <v>45727</v>
      </c>
      <c r="C4967" t="str">
        <f>"457"</f>
        <v>457</v>
      </c>
      <c r="F4967" t="str">
        <f t="shared" si="172"/>
        <v>57210200</v>
      </c>
      <c r="H4967" t="s">
        <v>2265</v>
      </c>
      <c r="K4967" s="4">
        <v>5000</v>
      </c>
    </row>
    <row r="4968" spans="1:11" hidden="1" outlineLevel="2" x14ac:dyDescent="0.35">
      <c r="A4968" t="s">
        <v>2219</v>
      </c>
      <c r="B4968" s="1">
        <v>45727</v>
      </c>
      <c r="C4968" t="str">
        <f>"458"</f>
        <v>458</v>
      </c>
      <c r="F4968" t="str">
        <f t="shared" si="172"/>
        <v>57210200</v>
      </c>
      <c r="H4968" t="s">
        <v>2266</v>
      </c>
      <c r="K4968" s="4">
        <v>10000</v>
      </c>
    </row>
    <row r="4969" spans="1:11" hidden="1" outlineLevel="2" x14ac:dyDescent="0.35">
      <c r="A4969" t="s">
        <v>2219</v>
      </c>
      <c r="B4969" s="1">
        <v>45727</v>
      </c>
      <c r="C4969" t="str">
        <f>"459"</f>
        <v>459</v>
      </c>
      <c r="F4969" t="str">
        <f t="shared" si="172"/>
        <v>57210200</v>
      </c>
      <c r="H4969" t="s">
        <v>2267</v>
      </c>
      <c r="K4969" s="4">
        <v>10000</v>
      </c>
    </row>
    <row r="4970" spans="1:11" hidden="1" outlineLevel="2" x14ac:dyDescent="0.35">
      <c r="A4970" t="s">
        <v>2219</v>
      </c>
      <c r="B4970" s="1">
        <v>45727</v>
      </c>
      <c r="C4970" t="str">
        <f>"460"</f>
        <v>460</v>
      </c>
      <c r="F4970" t="str">
        <f t="shared" si="172"/>
        <v>57210200</v>
      </c>
      <c r="H4970" t="s">
        <v>2268</v>
      </c>
      <c r="K4970" s="4">
        <v>5000</v>
      </c>
    </row>
    <row r="4971" spans="1:11" hidden="1" outlineLevel="2" x14ac:dyDescent="0.35">
      <c r="A4971" t="s">
        <v>2219</v>
      </c>
      <c r="B4971" s="1">
        <v>45728</v>
      </c>
      <c r="C4971" t="str">
        <f>"461"</f>
        <v>461</v>
      </c>
      <c r="F4971" t="str">
        <f t="shared" si="172"/>
        <v>57210200</v>
      </c>
      <c r="H4971" t="s">
        <v>2227</v>
      </c>
      <c r="K4971" s="4">
        <v>17500</v>
      </c>
    </row>
    <row r="4972" spans="1:11" hidden="1" outlineLevel="2" x14ac:dyDescent="0.35">
      <c r="A4972" t="s">
        <v>2219</v>
      </c>
      <c r="B4972" s="1">
        <v>45728</v>
      </c>
      <c r="C4972" t="str">
        <f>"462"</f>
        <v>462</v>
      </c>
      <c r="F4972" t="str">
        <f t="shared" si="172"/>
        <v>57210200</v>
      </c>
      <c r="H4972" t="s">
        <v>2269</v>
      </c>
      <c r="K4972" s="4">
        <v>50000</v>
      </c>
    </row>
    <row r="4973" spans="1:11" hidden="1" outlineLevel="2" x14ac:dyDescent="0.35">
      <c r="A4973" t="s">
        <v>2219</v>
      </c>
      <c r="B4973" s="1">
        <v>45728</v>
      </c>
      <c r="C4973" t="str">
        <f>"463"</f>
        <v>463</v>
      </c>
      <c r="F4973" t="str">
        <f t="shared" si="172"/>
        <v>57210200</v>
      </c>
      <c r="H4973" t="s">
        <v>2270</v>
      </c>
      <c r="K4973" s="4">
        <v>10000</v>
      </c>
    </row>
    <row r="4974" spans="1:11" hidden="1" outlineLevel="2" x14ac:dyDescent="0.35">
      <c r="A4974" t="s">
        <v>2219</v>
      </c>
      <c r="B4974" s="1">
        <v>45728</v>
      </c>
      <c r="C4974" t="str">
        <f>"464"</f>
        <v>464</v>
      </c>
      <c r="F4974" t="str">
        <f t="shared" si="172"/>
        <v>57210200</v>
      </c>
      <c r="H4974" t="s">
        <v>2271</v>
      </c>
      <c r="K4974" s="4">
        <v>5000</v>
      </c>
    </row>
    <row r="4975" spans="1:11" hidden="1" outlineLevel="2" x14ac:dyDescent="0.35">
      <c r="A4975" t="s">
        <v>2219</v>
      </c>
      <c r="B4975" s="1">
        <v>45728</v>
      </c>
      <c r="C4975" t="str">
        <f>"465"</f>
        <v>465</v>
      </c>
      <c r="F4975" t="str">
        <f t="shared" ref="F4975:F5006" si="173">"57210200"</f>
        <v>57210200</v>
      </c>
      <c r="H4975" t="s">
        <v>2272</v>
      </c>
      <c r="K4975" s="4">
        <v>5000</v>
      </c>
    </row>
    <row r="4976" spans="1:11" hidden="1" outlineLevel="2" x14ac:dyDescent="0.35">
      <c r="A4976" t="s">
        <v>2219</v>
      </c>
      <c r="B4976" s="1">
        <v>45729</v>
      </c>
      <c r="C4976" t="str">
        <f>"466"</f>
        <v>466</v>
      </c>
      <c r="F4976" t="str">
        <f t="shared" si="173"/>
        <v>57210200</v>
      </c>
      <c r="H4976" t="s">
        <v>2273</v>
      </c>
      <c r="K4976" s="4">
        <v>168000</v>
      </c>
    </row>
    <row r="4977" spans="1:11" hidden="1" outlineLevel="2" x14ac:dyDescent="0.35">
      <c r="A4977" t="s">
        <v>2219</v>
      </c>
      <c r="B4977" s="1">
        <v>45729</v>
      </c>
      <c r="C4977" t="str">
        <f>"467"</f>
        <v>467</v>
      </c>
      <c r="F4977" t="str">
        <f t="shared" si="173"/>
        <v>57210200</v>
      </c>
      <c r="H4977" t="s">
        <v>2274</v>
      </c>
      <c r="K4977" s="4">
        <v>50000</v>
      </c>
    </row>
    <row r="4978" spans="1:11" hidden="1" outlineLevel="2" x14ac:dyDescent="0.35">
      <c r="A4978" t="s">
        <v>2219</v>
      </c>
      <c r="B4978" s="1">
        <v>45729</v>
      </c>
      <c r="C4978" t="str">
        <f>"468"</f>
        <v>468</v>
      </c>
      <c r="F4978" t="str">
        <f t="shared" si="173"/>
        <v>57210200</v>
      </c>
      <c r="H4978" t="s">
        <v>2275</v>
      </c>
      <c r="K4978" s="4">
        <v>30100</v>
      </c>
    </row>
    <row r="4979" spans="1:11" hidden="1" outlineLevel="2" x14ac:dyDescent="0.35">
      <c r="A4979" t="s">
        <v>2219</v>
      </c>
      <c r="B4979" s="1">
        <v>45729</v>
      </c>
      <c r="C4979" t="str">
        <f>"469"</f>
        <v>469</v>
      </c>
      <c r="F4979" t="str">
        <f t="shared" si="173"/>
        <v>57210200</v>
      </c>
      <c r="H4979" t="s">
        <v>2227</v>
      </c>
      <c r="K4979" s="4">
        <v>10000</v>
      </c>
    </row>
    <row r="4980" spans="1:11" hidden="1" outlineLevel="2" x14ac:dyDescent="0.35">
      <c r="A4980" t="s">
        <v>2219</v>
      </c>
      <c r="B4980" s="1">
        <v>45729</v>
      </c>
      <c r="C4980" t="str">
        <f>"470"</f>
        <v>470</v>
      </c>
      <c r="F4980" t="str">
        <f t="shared" si="173"/>
        <v>57210200</v>
      </c>
      <c r="H4980" t="s">
        <v>2276</v>
      </c>
      <c r="K4980" s="4">
        <v>19000</v>
      </c>
    </row>
    <row r="4981" spans="1:11" hidden="1" outlineLevel="2" x14ac:dyDescent="0.35">
      <c r="A4981" t="s">
        <v>2219</v>
      </c>
      <c r="B4981" s="1">
        <v>45729</v>
      </c>
      <c r="C4981" t="str">
        <f>"471"</f>
        <v>471</v>
      </c>
      <c r="F4981" t="str">
        <f t="shared" si="173"/>
        <v>57210200</v>
      </c>
      <c r="H4981" t="s">
        <v>2277</v>
      </c>
      <c r="K4981" s="4">
        <v>15000</v>
      </c>
    </row>
    <row r="4982" spans="1:11" hidden="1" outlineLevel="2" x14ac:dyDescent="0.35">
      <c r="A4982" t="s">
        <v>2219</v>
      </c>
      <c r="B4982" s="1">
        <v>45729</v>
      </c>
      <c r="C4982" t="str">
        <f>"472"</f>
        <v>472</v>
      </c>
      <c r="F4982" t="str">
        <f t="shared" si="173"/>
        <v>57210200</v>
      </c>
      <c r="H4982" t="s">
        <v>2278</v>
      </c>
      <c r="K4982" s="4">
        <v>5000</v>
      </c>
    </row>
    <row r="4983" spans="1:11" hidden="1" outlineLevel="2" x14ac:dyDescent="0.35">
      <c r="A4983" t="s">
        <v>2219</v>
      </c>
      <c r="B4983" s="1">
        <v>45729</v>
      </c>
      <c r="C4983" t="str">
        <f>"473"</f>
        <v>473</v>
      </c>
      <c r="F4983" t="str">
        <f t="shared" si="173"/>
        <v>57210200</v>
      </c>
      <c r="H4983" t="s">
        <v>2279</v>
      </c>
      <c r="K4983" s="4">
        <v>15000</v>
      </c>
    </row>
    <row r="4984" spans="1:11" hidden="1" outlineLevel="2" x14ac:dyDescent="0.35">
      <c r="A4984" t="s">
        <v>2219</v>
      </c>
      <c r="B4984" s="1">
        <v>45730</v>
      </c>
      <c r="C4984" t="str">
        <f>"474"</f>
        <v>474</v>
      </c>
      <c r="F4984" t="str">
        <f t="shared" si="173"/>
        <v>57210200</v>
      </c>
      <c r="H4984" t="s">
        <v>2227</v>
      </c>
      <c r="K4984" s="4">
        <v>17500</v>
      </c>
    </row>
    <row r="4985" spans="1:11" hidden="1" outlineLevel="2" x14ac:dyDescent="0.35">
      <c r="A4985" t="s">
        <v>2219</v>
      </c>
      <c r="B4985" s="1">
        <v>45730</v>
      </c>
      <c r="C4985" t="str">
        <f>"475"</f>
        <v>475</v>
      </c>
      <c r="F4985" t="str">
        <f t="shared" si="173"/>
        <v>57210200</v>
      </c>
      <c r="H4985" t="s">
        <v>2253</v>
      </c>
      <c r="K4985" s="4">
        <v>5000</v>
      </c>
    </row>
    <row r="4986" spans="1:11" hidden="1" outlineLevel="2" x14ac:dyDescent="0.35">
      <c r="A4986" t="s">
        <v>2219</v>
      </c>
      <c r="B4986" s="1">
        <v>45730</v>
      </c>
      <c r="C4986" t="str">
        <f>"476"</f>
        <v>476</v>
      </c>
      <c r="F4986" t="str">
        <f t="shared" si="173"/>
        <v>57210200</v>
      </c>
      <c r="H4986" t="s">
        <v>2280</v>
      </c>
      <c r="K4986" s="4">
        <v>15000</v>
      </c>
    </row>
    <row r="4987" spans="1:11" hidden="1" outlineLevel="2" x14ac:dyDescent="0.35">
      <c r="A4987" t="s">
        <v>2219</v>
      </c>
      <c r="B4987" s="1">
        <v>45730</v>
      </c>
      <c r="C4987" t="str">
        <f>"477"</f>
        <v>477</v>
      </c>
      <c r="F4987" t="str">
        <f t="shared" si="173"/>
        <v>57210200</v>
      </c>
      <c r="H4987" t="s">
        <v>2281</v>
      </c>
      <c r="K4987" s="4">
        <v>5000</v>
      </c>
    </row>
    <row r="4988" spans="1:11" hidden="1" outlineLevel="2" x14ac:dyDescent="0.35">
      <c r="A4988" t="s">
        <v>2219</v>
      </c>
      <c r="B4988" s="1">
        <v>45733</v>
      </c>
      <c r="C4988" t="str">
        <f>"478"</f>
        <v>478</v>
      </c>
      <c r="F4988" t="str">
        <f t="shared" si="173"/>
        <v>57210200</v>
      </c>
      <c r="H4988" t="s">
        <v>2227</v>
      </c>
      <c r="K4988" s="4">
        <v>12500</v>
      </c>
    </row>
    <row r="4989" spans="1:11" hidden="1" outlineLevel="2" x14ac:dyDescent="0.35">
      <c r="A4989" t="s">
        <v>2219</v>
      </c>
      <c r="B4989" s="1">
        <v>45733</v>
      </c>
      <c r="C4989" t="str">
        <f>"479"</f>
        <v>479</v>
      </c>
      <c r="F4989" t="str">
        <f t="shared" si="173"/>
        <v>57210200</v>
      </c>
      <c r="H4989" t="s">
        <v>2282</v>
      </c>
      <c r="K4989" s="4">
        <v>8000</v>
      </c>
    </row>
    <row r="4990" spans="1:11" hidden="1" outlineLevel="2" x14ac:dyDescent="0.35">
      <c r="A4990" t="s">
        <v>2219</v>
      </c>
      <c r="B4990" s="1">
        <v>45733</v>
      </c>
      <c r="C4990" t="str">
        <f>"480"</f>
        <v>480</v>
      </c>
      <c r="F4990" t="str">
        <f t="shared" si="173"/>
        <v>57210200</v>
      </c>
      <c r="H4990" t="s">
        <v>2283</v>
      </c>
      <c r="K4990" s="4">
        <v>5000</v>
      </c>
    </row>
    <row r="4991" spans="1:11" hidden="1" outlineLevel="2" x14ac:dyDescent="0.35">
      <c r="A4991" t="s">
        <v>2219</v>
      </c>
      <c r="B4991" s="1">
        <v>45733</v>
      </c>
      <c r="C4991" t="str">
        <f>"481"</f>
        <v>481</v>
      </c>
      <c r="F4991" t="str">
        <f t="shared" si="173"/>
        <v>57210200</v>
      </c>
      <c r="H4991" t="s">
        <v>2284</v>
      </c>
      <c r="K4991" s="4">
        <v>15000</v>
      </c>
    </row>
    <row r="4992" spans="1:11" hidden="1" outlineLevel="2" x14ac:dyDescent="0.35">
      <c r="A4992" t="s">
        <v>2219</v>
      </c>
      <c r="B4992" s="1">
        <v>45733</v>
      </c>
      <c r="C4992" t="str">
        <f>"482"</f>
        <v>482</v>
      </c>
      <c r="F4992" t="str">
        <f t="shared" si="173"/>
        <v>57210200</v>
      </c>
      <c r="H4992" t="s">
        <v>2285</v>
      </c>
      <c r="K4992" s="4">
        <v>10000</v>
      </c>
    </row>
    <row r="4993" spans="1:11" hidden="1" outlineLevel="2" x14ac:dyDescent="0.35">
      <c r="A4993" t="s">
        <v>2219</v>
      </c>
      <c r="B4993" s="1">
        <v>45734</v>
      </c>
      <c r="C4993" t="str">
        <f>"483"</f>
        <v>483</v>
      </c>
      <c r="F4993" t="str">
        <f t="shared" si="173"/>
        <v>57210200</v>
      </c>
      <c r="H4993" t="s">
        <v>2227</v>
      </c>
      <c r="K4993" s="4">
        <v>17500</v>
      </c>
    </row>
    <row r="4994" spans="1:11" hidden="1" outlineLevel="2" x14ac:dyDescent="0.35">
      <c r="A4994" t="s">
        <v>2219</v>
      </c>
      <c r="B4994" s="1">
        <v>45734</v>
      </c>
      <c r="C4994" t="str">
        <f>"484"</f>
        <v>484</v>
      </c>
      <c r="F4994" t="str">
        <f t="shared" si="173"/>
        <v>57210200</v>
      </c>
      <c r="H4994" t="s">
        <v>2286</v>
      </c>
      <c r="K4994" s="4">
        <v>5000</v>
      </c>
    </row>
    <row r="4995" spans="1:11" hidden="1" outlineLevel="2" x14ac:dyDescent="0.35">
      <c r="A4995" t="s">
        <v>2219</v>
      </c>
      <c r="B4995" s="1">
        <v>45734</v>
      </c>
      <c r="C4995" t="str">
        <f>"485"</f>
        <v>485</v>
      </c>
      <c r="F4995" t="str">
        <f t="shared" si="173"/>
        <v>57210200</v>
      </c>
      <c r="H4995" t="s">
        <v>2287</v>
      </c>
      <c r="K4995" s="4">
        <v>10000</v>
      </c>
    </row>
    <row r="4996" spans="1:11" hidden="1" outlineLevel="2" x14ac:dyDescent="0.35">
      <c r="A4996" t="s">
        <v>2219</v>
      </c>
      <c r="B4996" s="1">
        <v>45734</v>
      </c>
      <c r="C4996" t="str">
        <f>"486"</f>
        <v>486</v>
      </c>
      <c r="F4996" t="str">
        <f t="shared" si="173"/>
        <v>57210200</v>
      </c>
      <c r="H4996" t="s">
        <v>2288</v>
      </c>
      <c r="K4996" s="4">
        <v>10000</v>
      </c>
    </row>
    <row r="4997" spans="1:11" hidden="1" outlineLevel="2" x14ac:dyDescent="0.35">
      <c r="A4997" t="s">
        <v>2219</v>
      </c>
      <c r="B4997" s="1">
        <v>45734</v>
      </c>
      <c r="C4997" t="str">
        <f>"487"</f>
        <v>487</v>
      </c>
      <c r="F4997" t="str">
        <f t="shared" si="173"/>
        <v>57210200</v>
      </c>
      <c r="H4997" t="s">
        <v>2289</v>
      </c>
      <c r="K4997" s="4">
        <v>5000</v>
      </c>
    </row>
    <row r="4998" spans="1:11" hidden="1" outlineLevel="2" x14ac:dyDescent="0.35">
      <c r="A4998" t="s">
        <v>2219</v>
      </c>
      <c r="B4998" s="1">
        <v>45735</v>
      </c>
      <c r="C4998" t="str">
        <f>"488"</f>
        <v>488</v>
      </c>
      <c r="F4998" t="str">
        <f t="shared" si="173"/>
        <v>57210200</v>
      </c>
      <c r="H4998" t="s">
        <v>2259</v>
      </c>
      <c r="J4998" s="4">
        <v>500000</v>
      </c>
    </row>
    <row r="4999" spans="1:11" hidden="1" outlineLevel="2" x14ac:dyDescent="0.35">
      <c r="A4999" t="s">
        <v>2219</v>
      </c>
      <c r="B4999" s="1">
        <v>45735</v>
      </c>
      <c r="C4999" t="str">
        <f>"489"</f>
        <v>489</v>
      </c>
      <c r="F4999" t="str">
        <f t="shared" si="173"/>
        <v>57210200</v>
      </c>
      <c r="H4999" t="s">
        <v>2227</v>
      </c>
      <c r="K4999" s="4">
        <v>7500</v>
      </c>
    </row>
    <row r="5000" spans="1:11" hidden="1" outlineLevel="2" x14ac:dyDescent="0.35">
      <c r="A5000" t="s">
        <v>2219</v>
      </c>
      <c r="B5000" s="1">
        <v>45735</v>
      </c>
      <c r="C5000" t="str">
        <f>"490"</f>
        <v>490</v>
      </c>
      <c r="F5000" t="str">
        <f t="shared" si="173"/>
        <v>57210200</v>
      </c>
      <c r="H5000" t="s">
        <v>2290</v>
      </c>
      <c r="K5000" s="4">
        <v>5000</v>
      </c>
    </row>
    <row r="5001" spans="1:11" hidden="1" outlineLevel="2" x14ac:dyDescent="0.35">
      <c r="A5001" t="s">
        <v>2219</v>
      </c>
      <c r="B5001" s="1">
        <v>45735</v>
      </c>
      <c r="C5001" t="str">
        <f>"491"</f>
        <v>491</v>
      </c>
      <c r="F5001" t="str">
        <f t="shared" si="173"/>
        <v>57210200</v>
      </c>
      <c r="H5001" t="s">
        <v>2291</v>
      </c>
      <c r="K5001" s="4">
        <v>10000</v>
      </c>
    </row>
    <row r="5002" spans="1:11" hidden="1" outlineLevel="2" x14ac:dyDescent="0.35">
      <c r="A5002" t="s">
        <v>2219</v>
      </c>
      <c r="B5002" s="1">
        <v>45736</v>
      </c>
      <c r="C5002" t="str">
        <f>"492"</f>
        <v>492</v>
      </c>
      <c r="F5002" t="str">
        <f t="shared" si="173"/>
        <v>57210200</v>
      </c>
      <c r="H5002" t="s">
        <v>2227</v>
      </c>
      <c r="K5002" s="4">
        <v>22500</v>
      </c>
    </row>
    <row r="5003" spans="1:11" hidden="1" outlineLevel="2" x14ac:dyDescent="0.35">
      <c r="A5003" t="s">
        <v>2219</v>
      </c>
      <c r="B5003" s="1">
        <v>45736</v>
      </c>
      <c r="C5003" t="str">
        <f>"493"</f>
        <v>493</v>
      </c>
      <c r="F5003" t="str">
        <f t="shared" si="173"/>
        <v>57210200</v>
      </c>
      <c r="H5003" t="s">
        <v>2292</v>
      </c>
      <c r="K5003" s="4">
        <v>15000</v>
      </c>
    </row>
    <row r="5004" spans="1:11" hidden="1" outlineLevel="2" x14ac:dyDescent="0.35">
      <c r="A5004" t="s">
        <v>2219</v>
      </c>
      <c r="B5004" s="1">
        <v>45736</v>
      </c>
      <c r="C5004" t="str">
        <f>"494"</f>
        <v>494</v>
      </c>
      <c r="F5004" t="str">
        <f t="shared" si="173"/>
        <v>57210200</v>
      </c>
      <c r="H5004" t="s">
        <v>2293</v>
      </c>
      <c r="K5004" s="4">
        <v>15000</v>
      </c>
    </row>
    <row r="5005" spans="1:11" hidden="1" outlineLevel="2" x14ac:dyDescent="0.35">
      <c r="A5005" t="s">
        <v>2219</v>
      </c>
      <c r="B5005" s="1">
        <v>45736</v>
      </c>
      <c r="C5005" t="str">
        <f>"495"</f>
        <v>495</v>
      </c>
      <c r="F5005" t="str">
        <f t="shared" si="173"/>
        <v>57210200</v>
      </c>
      <c r="H5005" t="s">
        <v>2294</v>
      </c>
      <c r="K5005" s="4">
        <v>10000</v>
      </c>
    </row>
    <row r="5006" spans="1:11" hidden="1" outlineLevel="2" x14ac:dyDescent="0.35">
      <c r="A5006" t="s">
        <v>2219</v>
      </c>
      <c r="B5006" s="1">
        <v>45736</v>
      </c>
      <c r="C5006" t="str">
        <f>"496"</f>
        <v>496</v>
      </c>
      <c r="F5006" t="str">
        <f t="shared" si="173"/>
        <v>57210200</v>
      </c>
      <c r="H5006" t="s">
        <v>2295</v>
      </c>
      <c r="K5006" s="4">
        <v>5000</v>
      </c>
    </row>
    <row r="5007" spans="1:11" hidden="1" outlineLevel="2" x14ac:dyDescent="0.35">
      <c r="A5007" t="s">
        <v>2219</v>
      </c>
      <c r="B5007" s="1">
        <v>45736</v>
      </c>
      <c r="C5007" t="str">
        <f>"497"</f>
        <v>497</v>
      </c>
      <c r="F5007" t="str">
        <f t="shared" ref="F5007:F5035" si="174">"57210200"</f>
        <v>57210200</v>
      </c>
      <c r="H5007" t="s">
        <v>2257</v>
      </c>
      <c r="K5007" s="4">
        <v>10000</v>
      </c>
    </row>
    <row r="5008" spans="1:11" hidden="1" outlineLevel="2" x14ac:dyDescent="0.35">
      <c r="A5008" t="s">
        <v>2219</v>
      </c>
      <c r="B5008" s="1">
        <v>45736</v>
      </c>
      <c r="C5008" t="str">
        <f>"498"</f>
        <v>498</v>
      </c>
      <c r="F5008" t="str">
        <f t="shared" si="174"/>
        <v>57210200</v>
      </c>
      <c r="H5008" t="s">
        <v>2296</v>
      </c>
      <c r="K5008" s="4">
        <v>140000</v>
      </c>
    </row>
    <row r="5009" spans="1:11" hidden="1" outlineLevel="2" x14ac:dyDescent="0.35">
      <c r="A5009" t="s">
        <v>2219</v>
      </c>
      <c r="B5009" s="1">
        <v>45737</v>
      </c>
      <c r="C5009" t="str">
        <f>"499"</f>
        <v>499</v>
      </c>
      <c r="F5009" t="str">
        <f t="shared" si="174"/>
        <v>57210200</v>
      </c>
      <c r="H5009" t="s">
        <v>2227</v>
      </c>
      <c r="K5009" s="4">
        <v>12500</v>
      </c>
    </row>
    <row r="5010" spans="1:11" hidden="1" outlineLevel="2" x14ac:dyDescent="0.35">
      <c r="A5010" t="s">
        <v>2219</v>
      </c>
      <c r="B5010" s="1">
        <v>45737</v>
      </c>
      <c r="C5010" t="str">
        <f>"500"</f>
        <v>500</v>
      </c>
      <c r="F5010" t="str">
        <f t="shared" si="174"/>
        <v>57210200</v>
      </c>
      <c r="H5010" t="s">
        <v>2297</v>
      </c>
      <c r="K5010" s="4">
        <v>5000</v>
      </c>
    </row>
    <row r="5011" spans="1:11" hidden="1" outlineLevel="2" x14ac:dyDescent="0.35">
      <c r="A5011" t="s">
        <v>2219</v>
      </c>
      <c r="B5011" s="1">
        <v>45737</v>
      </c>
      <c r="C5011" t="str">
        <f>"501"</f>
        <v>501</v>
      </c>
      <c r="F5011" t="str">
        <f t="shared" si="174"/>
        <v>57210200</v>
      </c>
      <c r="H5011" t="s">
        <v>2298</v>
      </c>
      <c r="K5011" s="4">
        <v>5000</v>
      </c>
    </row>
    <row r="5012" spans="1:11" hidden="1" outlineLevel="2" x14ac:dyDescent="0.35">
      <c r="A5012" t="s">
        <v>2219</v>
      </c>
      <c r="B5012" s="1">
        <v>45740</v>
      </c>
      <c r="C5012" t="str">
        <f>"502"</f>
        <v>502</v>
      </c>
      <c r="F5012" t="str">
        <f t="shared" si="174"/>
        <v>57210200</v>
      </c>
      <c r="H5012" t="s">
        <v>2227</v>
      </c>
      <c r="K5012" s="4">
        <v>15000</v>
      </c>
    </row>
    <row r="5013" spans="1:11" hidden="1" outlineLevel="2" x14ac:dyDescent="0.35">
      <c r="A5013" t="s">
        <v>2219</v>
      </c>
      <c r="B5013" s="1">
        <v>45740</v>
      </c>
      <c r="C5013" t="str">
        <f>"503"</f>
        <v>503</v>
      </c>
      <c r="F5013" t="str">
        <f t="shared" si="174"/>
        <v>57210200</v>
      </c>
      <c r="H5013" t="s">
        <v>2299</v>
      </c>
      <c r="K5013" s="4">
        <v>60000</v>
      </c>
    </row>
    <row r="5014" spans="1:11" hidden="1" outlineLevel="2" x14ac:dyDescent="0.35">
      <c r="A5014" t="s">
        <v>2219</v>
      </c>
      <c r="B5014" s="1">
        <v>45740</v>
      </c>
      <c r="C5014" t="str">
        <f>"504"</f>
        <v>504</v>
      </c>
      <c r="F5014" t="str">
        <f t="shared" si="174"/>
        <v>57210200</v>
      </c>
      <c r="H5014" t="s">
        <v>2300</v>
      </c>
      <c r="K5014" s="4">
        <v>10000</v>
      </c>
    </row>
    <row r="5015" spans="1:11" hidden="1" outlineLevel="2" x14ac:dyDescent="0.35">
      <c r="A5015" t="s">
        <v>2219</v>
      </c>
      <c r="B5015" s="1">
        <v>45740</v>
      </c>
      <c r="C5015" t="str">
        <f>"506"</f>
        <v>506</v>
      </c>
      <c r="F5015" t="str">
        <f t="shared" si="174"/>
        <v>57210200</v>
      </c>
      <c r="H5015" t="s">
        <v>2301</v>
      </c>
      <c r="K5015" s="4">
        <v>10000</v>
      </c>
    </row>
    <row r="5016" spans="1:11" hidden="1" outlineLevel="2" x14ac:dyDescent="0.35">
      <c r="A5016" t="s">
        <v>2219</v>
      </c>
      <c r="B5016" s="1">
        <v>45741</v>
      </c>
      <c r="C5016" t="str">
        <f>"505"</f>
        <v>505</v>
      </c>
      <c r="F5016" t="str">
        <f t="shared" si="174"/>
        <v>57210200</v>
      </c>
      <c r="H5016" t="s">
        <v>2302</v>
      </c>
      <c r="K5016" s="4">
        <v>15000</v>
      </c>
    </row>
    <row r="5017" spans="1:11" hidden="1" outlineLevel="2" x14ac:dyDescent="0.35">
      <c r="A5017" t="s">
        <v>2219</v>
      </c>
      <c r="B5017" s="1">
        <v>45741</v>
      </c>
      <c r="C5017" t="str">
        <f>"507"</f>
        <v>507</v>
      </c>
      <c r="F5017" t="str">
        <f t="shared" si="174"/>
        <v>57210200</v>
      </c>
      <c r="H5017" t="s">
        <v>2227</v>
      </c>
      <c r="K5017" s="4">
        <v>12500</v>
      </c>
    </row>
    <row r="5018" spans="1:11" hidden="1" outlineLevel="2" x14ac:dyDescent="0.35">
      <c r="A5018" t="s">
        <v>2219</v>
      </c>
      <c r="B5018" s="1">
        <v>45741</v>
      </c>
      <c r="C5018" t="str">
        <f>"508"</f>
        <v>508</v>
      </c>
      <c r="F5018" t="str">
        <f t="shared" si="174"/>
        <v>57210200</v>
      </c>
      <c r="H5018" t="s">
        <v>2303</v>
      </c>
      <c r="K5018" s="4">
        <v>156000</v>
      </c>
    </row>
    <row r="5019" spans="1:11" hidden="1" outlineLevel="2" x14ac:dyDescent="0.35">
      <c r="A5019" t="s">
        <v>2219</v>
      </c>
      <c r="B5019" s="1">
        <v>45741</v>
      </c>
      <c r="C5019" t="str">
        <f>"509"</f>
        <v>509</v>
      </c>
      <c r="F5019" t="str">
        <f t="shared" si="174"/>
        <v>57210200</v>
      </c>
      <c r="H5019" t="s">
        <v>2304</v>
      </c>
      <c r="K5019" s="4">
        <v>5000</v>
      </c>
    </row>
    <row r="5020" spans="1:11" hidden="1" outlineLevel="2" x14ac:dyDescent="0.35">
      <c r="A5020" t="s">
        <v>2219</v>
      </c>
      <c r="B5020" s="1">
        <v>45741</v>
      </c>
      <c r="C5020" t="str">
        <f>"510"</f>
        <v>510</v>
      </c>
      <c r="F5020" t="str">
        <f t="shared" si="174"/>
        <v>57210200</v>
      </c>
      <c r="H5020" t="s">
        <v>2297</v>
      </c>
      <c r="K5020" s="4">
        <v>5000</v>
      </c>
    </row>
    <row r="5021" spans="1:11" hidden="1" outlineLevel="2" x14ac:dyDescent="0.35">
      <c r="A5021" t="s">
        <v>2219</v>
      </c>
      <c r="B5021" s="1">
        <v>45742</v>
      </c>
      <c r="C5021" t="str">
        <f>"511"</f>
        <v>511</v>
      </c>
      <c r="F5021" t="str">
        <f t="shared" si="174"/>
        <v>57210200</v>
      </c>
      <c r="H5021" t="s">
        <v>2227</v>
      </c>
      <c r="K5021" s="4">
        <v>22500</v>
      </c>
    </row>
    <row r="5022" spans="1:11" hidden="1" outlineLevel="2" x14ac:dyDescent="0.35">
      <c r="A5022" t="s">
        <v>2219</v>
      </c>
      <c r="B5022" s="1">
        <v>45742</v>
      </c>
      <c r="C5022" t="str">
        <f>"512"</f>
        <v>512</v>
      </c>
      <c r="F5022" t="str">
        <f t="shared" si="174"/>
        <v>57210200</v>
      </c>
      <c r="H5022" t="s">
        <v>2305</v>
      </c>
      <c r="K5022" s="4">
        <v>5000</v>
      </c>
    </row>
    <row r="5023" spans="1:11" hidden="1" outlineLevel="2" x14ac:dyDescent="0.35">
      <c r="A5023" t="s">
        <v>2219</v>
      </c>
      <c r="B5023" s="1">
        <v>45742</v>
      </c>
      <c r="C5023" t="str">
        <f>"513"</f>
        <v>513</v>
      </c>
      <c r="F5023" t="str">
        <f t="shared" si="174"/>
        <v>57210200</v>
      </c>
      <c r="H5023" t="s">
        <v>2306</v>
      </c>
      <c r="K5023" s="4">
        <v>15000</v>
      </c>
    </row>
    <row r="5024" spans="1:11" hidden="1" outlineLevel="2" x14ac:dyDescent="0.35">
      <c r="A5024" t="s">
        <v>2219</v>
      </c>
      <c r="B5024" s="1">
        <v>45742</v>
      </c>
      <c r="C5024" t="str">
        <f>"514"</f>
        <v>514</v>
      </c>
      <c r="F5024" t="str">
        <f t="shared" si="174"/>
        <v>57210200</v>
      </c>
      <c r="H5024" t="s">
        <v>2307</v>
      </c>
      <c r="K5024" s="4">
        <v>10000</v>
      </c>
    </row>
    <row r="5025" spans="1:11" hidden="1" outlineLevel="2" x14ac:dyDescent="0.35">
      <c r="A5025" t="s">
        <v>2219</v>
      </c>
      <c r="B5025" s="1">
        <v>45742</v>
      </c>
      <c r="C5025" t="str">
        <f>"515"</f>
        <v>515</v>
      </c>
      <c r="F5025" t="str">
        <f t="shared" si="174"/>
        <v>57210200</v>
      </c>
      <c r="H5025" t="s">
        <v>2308</v>
      </c>
      <c r="K5025" s="4">
        <v>10000</v>
      </c>
    </row>
    <row r="5026" spans="1:11" hidden="1" outlineLevel="2" x14ac:dyDescent="0.35">
      <c r="A5026" t="s">
        <v>2219</v>
      </c>
      <c r="B5026" s="1">
        <v>45742</v>
      </c>
      <c r="C5026" t="str">
        <f>"516"</f>
        <v>516</v>
      </c>
      <c r="F5026" t="str">
        <f t="shared" si="174"/>
        <v>57210200</v>
      </c>
      <c r="H5026" t="s">
        <v>2309</v>
      </c>
      <c r="K5026" s="4">
        <v>5000</v>
      </c>
    </row>
    <row r="5027" spans="1:11" hidden="1" outlineLevel="2" x14ac:dyDescent="0.35">
      <c r="A5027" t="s">
        <v>2219</v>
      </c>
      <c r="B5027" s="1">
        <v>45742</v>
      </c>
      <c r="C5027" t="str">
        <f>"517"</f>
        <v>517</v>
      </c>
      <c r="F5027" t="str">
        <f t="shared" si="174"/>
        <v>57210200</v>
      </c>
      <c r="H5027" t="s">
        <v>2310</v>
      </c>
      <c r="K5027" s="4">
        <v>5000</v>
      </c>
    </row>
    <row r="5028" spans="1:11" hidden="1" outlineLevel="2" x14ac:dyDescent="0.35">
      <c r="A5028" t="s">
        <v>2219</v>
      </c>
      <c r="B5028" s="1">
        <v>45743</v>
      </c>
      <c r="C5028" t="str">
        <f>"518"</f>
        <v>518</v>
      </c>
      <c r="F5028" t="str">
        <f t="shared" si="174"/>
        <v>57210200</v>
      </c>
      <c r="H5028" t="s">
        <v>2311</v>
      </c>
      <c r="K5028" s="4">
        <v>15000</v>
      </c>
    </row>
    <row r="5029" spans="1:11" hidden="1" outlineLevel="2" x14ac:dyDescent="0.35">
      <c r="A5029" t="s">
        <v>2219</v>
      </c>
      <c r="B5029" s="1">
        <v>45744</v>
      </c>
      <c r="C5029" t="str">
        <f>"519"</f>
        <v>519</v>
      </c>
      <c r="F5029" t="str">
        <f t="shared" si="174"/>
        <v>57210200</v>
      </c>
      <c r="H5029" t="s">
        <v>2227</v>
      </c>
      <c r="K5029" s="4">
        <v>10000</v>
      </c>
    </row>
    <row r="5030" spans="1:11" hidden="1" outlineLevel="2" x14ac:dyDescent="0.35">
      <c r="A5030" t="s">
        <v>2219</v>
      </c>
      <c r="B5030" s="1">
        <v>45744</v>
      </c>
      <c r="C5030" t="str">
        <f>"520"</f>
        <v>520</v>
      </c>
      <c r="F5030" t="str">
        <f t="shared" si="174"/>
        <v>57210200</v>
      </c>
      <c r="H5030" t="s">
        <v>2312</v>
      </c>
      <c r="K5030" s="4">
        <v>10000</v>
      </c>
    </row>
    <row r="5031" spans="1:11" hidden="1" outlineLevel="2" x14ac:dyDescent="0.35">
      <c r="A5031" t="s">
        <v>2219</v>
      </c>
      <c r="B5031" s="1">
        <v>45744</v>
      </c>
      <c r="C5031" t="str">
        <f>"521"</f>
        <v>521</v>
      </c>
      <c r="F5031" t="str">
        <f t="shared" si="174"/>
        <v>57210200</v>
      </c>
      <c r="H5031" t="s">
        <v>2313</v>
      </c>
      <c r="K5031" s="4">
        <v>10000</v>
      </c>
    </row>
    <row r="5032" spans="1:11" hidden="1" outlineLevel="2" x14ac:dyDescent="0.35">
      <c r="A5032" t="s">
        <v>2219</v>
      </c>
      <c r="B5032" s="1">
        <v>45744</v>
      </c>
      <c r="C5032" t="str">
        <f>"522"</f>
        <v>522</v>
      </c>
      <c r="F5032" t="str">
        <f t="shared" si="174"/>
        <v>57210200</v>
      </c>
      <c r="H5032" t="s">
        <v>2314</v>
      </c>
      <c r="K5032" s="4">
        <v>15000</v>
      </c>
    </row>
    <row r="5033" spans="1:11" hidden="1" outlineLevel="2" x14ac:dyDescent="0.35">
      <c r="A5033" t="s">
        <v>2219</v>
      </c>
      <c r="B5033" s="1">
        <v>45744</v>
      </c>
      <c r="C5033" t="str">
        <f>"523"</f>
        <v>523</v>
      </c>
      <c r="F5033" t="str">
        <f t="shared" si="174"/>
        <v>57210200</v>
      </c>
      <c r="H5033" t="s">
        <v>2315</v>
      </c>
      <c r="K5033" s="4">
        <v>5000</v>
      </c>
    </row>
    <row r="5034" spans="1:11" hidden="1" outlineLevel="2" x14ac:dyDescent="0.35">
      <c r="A5034" t="s">
        <v>2219</v>
      </c>
      <c r="B5034" s="1">
        <v>45744</v>
      </c>
      <c r="C5034" t="str">
        <f>"524"</f>
        <v>524</v>
      </c>
      <c r="F5034" t="str">
        <f t="shared" si="174"/>
        <v>57210200</v>
      </c>
      <c r="H5034" t="s">
        <v>2316</v>
      </c>
      <c r="K5034" s="4">
        <v>10000</v>
      </c>
    </row>
    <row r="5035" spans="1:11" hidden="1" outlineLevel="2" x14ac:dyDescent="0.35">
      <c r="A5035" t="s">
        <v>2219</v>
      </c>
      <c r="B5035" s="1">
        <v>45744</v>
      </c>
      <c r="C5035" t="str">
        <f>"525"</f>
        <v>525</v>
      </c>
      <c r="F5035" t="str">
        <f t="shared" si="174"/>
        <v>57210200</v>
      </c>
      <c r="H5035" t="s">
        <v>2317</v>
      </c>
      <c r="K5035" s="4">
        <v>5000</v>
      </c>
    </row>
    <row r="5036" spans="1:11" outlineLevel="1" collapsed="1" x14ac:dyDescent="0.35">
      <c r="B5036" s="1"/>
      <c r="F5036" s="3" t="s">
        <v>6601</v>
      </c>
      <c r="J5036" s="4">
        <f>SUBTOTAL(9,J4911:J5035)</f>
        <v>2000000</v>
      </c>
      <c r="K5036" s="4">
        <f>SUBTOTAL(9,K4911:K5035)</f>
        <v>2556765</v>
      </c>
    </row>
    <row r="5037" spans="1:11" hidden="1" outlineLevel="2" x14ac:dyDescent="0.35">
      <c r="A5037" t="s">
        <v>2318</v>
      </c>
      <c r="B5037" s="1">
        <v>45717</v>
      </c>
      <c r="C5037" t="str">
        <f>"39"</f>
        <v>39</v>
      </c>
      <c r="F5037" t="str">
        <f t="shared" ref="F5037:F5054" si="175">"57210300"</f>
        <v>57210300</v>
      </c>
      <c r="H5037" t="s">
        <v>2319</v>
      </c>
      <c r="K5037" s="4">
        <v>1000</v>
      </c>
    </row>
    <row r="5038" spans="1:11" hidden="1" outlineLevel="2" x14ac:dyDescent="0.35">
      <c r="A5038" t="s">
        <v>2318</v>
      </c>
      <c r="B5038" s="1">
        <v>45717</v>
      </c>
      <c r="C5038" t="str">
        <f>"40"</f>
        <v>40</v>
      </c>
      <c r="F5038" t="str">
        <f t="shared" si="175"/>
        <v>57210300</v>
      </c>
      <c r="H5038" t="s">
        <v>2320</v>
      </c>
      <c r="K5038" s="4">
        <v>1000</v>
      </c>
    </row>
    <row r="5039" spans="1:11" hidden="1" outlineLevel="2" x14ac:dyDescent="0.35">
      <c r="A5039" t="s">
        <v>2318</v>
      </c>
      <c r="B5039" s="1">
        <v>45719</v>
      </c>
      <c r="C5039" t="str">
        <f>"41"</f>
        <v>41</v>
      </c>
      <c r="F5039" t="str">
        <f t="shared" si="175"/>
        <v>57210300</v>
      </c>
      <c r="H5039" t="s">
        <v>2321</v>
      </c>
      <c r="K5039" s="4">
        <v>2000</v>
      </c>
    </row>
    <row r="5040" spans="1:11" hidden="1" outlineLevel="2" x14ac:dyDescent="0.35">
      <c r="A5040" t="s">
        <v>2318</v>
      </c>
      <c r="B5040" s="1">
        <v>45719</v>
      </c>
      <c r="C5040" t="str">
        <f>"42"</f>
        <v>42</v>
      </c>
      <c r="F5040" t="str">
        <f t="shared" si="175"/>
        <v>57210300</v>
      </c>
      <c r="H5040" t="s">
        <v>2322</v>
      </c>
      <c r="K5040" s="4">
        <v>8700</v>
      </c>
    </row>
    <row r="5041" spans="1:11" hidden="1" outlineLevel="2" x14ac:dyDescent="0.35">
      <c r="A5041" t="s">
        <v>2318</v>
      </c>
      <c r="B5041" s="1">
        <v>45719</v>
      </c>
      <c r="C5041" t="str">
        <f>"43"</f>
        <v>43</v>
      </c>
      <c r="F5041" t="str">
        <f t="shared" si="175"/>
        <v>57210300</v>
      </c>
      <c r="H5041" t="s">
        <v>2323</v>
      </c>
      <c r="K5041" s="4">
        <v>6700</v>
      </c>
    </row>
    <row r="5042" spans="1:11" hidden="1" outlineLevel="2" x14ac:dyDescent="0.35">
      <c r="A5042" t="s">
        <v>2318</v>
      </c>
      <c r="B5042" s="1">
        <v>45724</v>
      </c>
      <c r="C5042" t="str">
        <f>"44"</f>
        <v>44</v>
      </c>
      <c r="F5042" t="str">
        <f t="shared" si="175"/>
        <v>57210300</v>
      </c>
      <c r="H5042" t="s">
        <v>2324</v>
      </c>
      <c r="K5042" s="4">
        <v>35000</v>
      </c>
    </row>
    <row r="5043" spans="1:11" hidden="1" outlineLevel="2" x14ac:dyDescent="0.35">
      <c r="A5043" t="s">
        <v>2318</v>
      </c>
      <c r="B5043" s="1">
        <v>45724</v>
      </c>
      <c r="C5043" t="str">
        <f>"45"</f>
        <v>45</v>
      </c>
      <c r="F5043" t="str">
        <f t="shared" si="175"/>
        <v>57210300</v>
      </c>
      <c r="H5043" t="s">
        <v>2325</v>
      </c>
      <c r="K5043" s="4">
        <v>4500</v>
      </c>
    </row>
    <row r="5044" spans="1:11" hidden="1" outlineLevel="2" x14ac:dyDescent="0.35">
      <c r="A5044" t="s">
        <v>2318</v>
      </c>
      <c r="B5044" s="1">
        <v>45726</v>
      </c>
      <c r="C5044" t="str">
        <f>"46"</f>
        <v>46</v>
      </c>
      <c r="F5044" t="str">
        <f t="shared" si="175"/>
        <v>57210300</v>
      </c>
      <c r="H5044" t="s">
        <v>2326</v>
      </c>
      <c r="K5044" s="4">
        <v>1000</v>
      </c>
    </row>
    <row r="5045" spans="1:11" hidden="1" outlineLevel="2" x14ac:dyDescent="0.35">
      <c r="A5045" t="s">
        <v>2318</v>
      </c>
      <c r="B5045" s="1">
        <v>45729</v>
      </c>
      <c r="C5045" t="str">
        <f>"47"</f>
        <v>47</v>
      </c>
      <c r="F5045" t="str">
        <f t="shared" si="175"/>
        <v>57210300</v>
      </c>
      <c r="H5045" t="s">
        <v>2327</v>
      </c>
      <c r="J5045" s="4">
        <v>236000</v>
      </c>
    </row>
    <row r="5046" spans="1:11" hidden="1" outlineLevel="2" x14ac:dyDescent="0.35">
      <c r="A5046" t="s">
        <v>2318</v>
      </c>
      <c r="B5046" s="1">
        <v>45731</v>
      </c>
      <c r="C5046" t="str">
        <f>"48"</f>
        <v>48</v>
      </c>
      <c r="F5046" t="str">
        <f t="shared" si="175"/>
        <v>57210300</v>
      </c>
      <c r="H5046" t="s">
        <v>2328</v>
      </c>
      <c r="K5046" s="4">
        <v>6000</v>
      </c>
    </row>
    <row r="5047" spans="1:11" hidden="1" outlineLevel="2" x14ac:dyDescent="0.35">
      <c r="A5047" t="s">
        <v>2318</v>
      </c>
      <c r="B5047" s="1">
        <v>45732</v>
      </c>
      <c r="C5047" t="str">
        <f>"49"</f>
        <v>49</v>
      </c>
      <c r="F5047" t="str">
        <f t="shared" si="175"/>
        <v>57210300</v>
      </c>
      <c r="H5047" t="s">
        <v>2329</v>
      </c>
      <c r="K5047" s="4">
        <v>4000</v>
      </c>
    </row>
    <row r="5048" spans="1:11" hidden="1" outlineLevel="2" x14ac:dyDescent="0.35">
      <c r="A5048" t="s">
        <v>2318</v>
      </c>
      <c r="B5048" s="1">
        <v>45735</v>
      </c>
      <c r="C5048" t="str">
        <f>"50"</f>
        <v>50</v>
      </c>
      <c r="F5048" t="str">
        <f t="shared" si="175"/>
        <v>57210300</v>
      </c>
      <c r="H5048" t="s">
        <v>2330</v>
      </c>
      <c r="K5048" s="4">
        <v>5000</v>
      </c>
    </row>
    <row r="5049" spans="1:11" hidden="1" outlineLevel="2" x14ac:dyDescent="0.35">
      <c r="A5049" t="s">
        <v>2318</v>
      </c>
      <c r="B5049" s="1">
        <v>45738</v>
      </c>
      <c r="C5049" t="str">
        <f>"51"</f>
        <v>51</v>
      </c>
      <c r="F5049" t="str">
        <f t="shared" si="175"/>
        <v>57210300</v>
      </c>
      <c r="H5049" t="s">
        <v>2331</v>
      </c>
      <c r="K5049" s="4">
        <v>60060</v>
      </c>
    </row>
    <row r="5050" spans="1:11" hidden="1" outlineLevel="2" x14ac:dyDescent="0.35">
      <c r="A5050" t="s">
        <v>2318</v>
      </c>
      <c r="B5050" s="1">
        <v>45742</v>
      </c>
      <c r="C5050" t="str">
        <f>"52"</f>
        <v>52</v>
      </c>
      <c r="F5050" t="str">
        <f t="shared" si="175"/>
        <v>57210300</v>
      </c>
      <c r="H5050" t="s">
        <v>2332</v>
      </c>
      <c r="K5050" s="4">
        <v>2000</v>
      </c>
    </row>
    <row r="5051" spans="1:11" hidden="1" outlineLevel="2" x14ac:dyDescent="0.35">
      <c r="A5051" t="s">
        <v>2318</v>
      </c>
      <c r="B5051" s="1">
        <v>45744</v>
      </c>
      <c r="C5051" t="str">
        <f>"53"</f>
        <v>53</v>
      </c>
      <c r="F5051" t="str">
        <f t="shared" si="175"/>
        <v>57210300</v>
      </c>
      <c r="H5051" t="s">
        <v>2333</v>
      </c>
      <c r="J5051" s="4">
        <v>6503907</v>
      </c>
    </row>
    <row r="5052" spans="1:11" hidden="1" outlineLevel="2" x14ac:dyDescent="0.35">
      <c r="A5052" t="s">
        <v>2318</v>
      </c>
      <c r="B5052" s="1">
        <v>45744</v>
      </c>
      <c r="C5052" t="str">
        <f>"54"</f>
        <v>54</v>
      </c>
      <c r="F5052" t="str">
        <f t="shared" si="175"/>
        <v>57210300</v>
      </c>
      <c r="H5052" t="s">
        <v>2334</v>
      </c>
      <c r="K5052" s="4">
        <v>6503907</v>
      </c>
    </row>
    <row r="5053" spans="1:11" hidden="1" outlineLevel="2" x14ac:dyDescent="0.35">
      <c r="A5053" t="s">
        <v>2318</v>
      </c>
      <c r="B5053" s="1">
        <v>45744</v>
      </c>
      <c r="C5053" t="str">
        <f>"56"</f>
        <v>56</v>
      </c>
      <c r="F5053" t="str">
        <f t="shared" si="175"/>
        <v>57210300</v>
      </c>
      <c r="H5053" t="s">
        <v>2335</v>
      </c>
      <c r="K5053" s="4">
        <v>65039</v>
      </c>
    </row>
    <row r="5054" spans="1:11" hidden="1" outlineLevel="2" x14ac:dyDescent="0.35">
      <c r="A5054" t="s">
        <v>2318</v>
      </c>
      <c r="B5054" s="1">
        <v>45745</v>
      </c>
      <c r="C5054" t="str">
        <f>"55"</f>
        <v>55</v>
      </c>
      <c r="F5054" t="str">
        <f t="shared" si="175"/>
        <v>57210300</v>
      </c>
      <c r="H5054" t="s">
        <v>2336</v>
      </c>
      <c r="K5054" s="4">
        <v>262750</v>
      </c>
    </row>
    <row r="5055" spans="1:11" outlineLevel="1" collapsed="1" x14ac:dyDescent="0.35">
      <c r="B5055" s="1"/>
      <c r="F5055" s="3" t="s">
        <v>6602</v>
      </c>
      <c r="J5055" s="4">
        <f>SUBTOTAL(9,J5037:J5054)</f>
        <v>6739907</v>
      </c>
      <c r="K5055" s="4">
        <f>SUBTOTAL(9,K5037:K5054)</f>
        <v>6968656</v>
      </c>
    </row>
    <row r="5056" spans="1:11" hidden="1" outlineLevel="2" x14ac:dyDescent="0.35">
      <c r="A5056" t="s">
        <v>2018</v>
      </c>
      <c r="B5056" s="1">
        <v>45719</v>
      </c>
      <c r="C5056" t="str">
        <f>"344"</f>
        <v>344</v>
      </c>
      <c r="F5056" t="str">
        <f t="shared" ref="F5056:F5087" si="176">"57210400"</f>
        <v>57210400</v>
      </c>
      <c r="H5056" t="s">
        <v>2019</v>
      </c>
      <c r="K5056" s="4">
        <v>47000</v>
      </c>
    </row>
    <row r="5057" spans="1:11" hidden="1" outlineLevel="2" x14ac:dyDescent="0.35">
      <c r="A5057" t="s">
        <v>2018</v>
      </c>
      <c r="B5057" s="1">
        <v>45720</v>
      </c>
      <c r="C5057" t="str">
        <f>"345"</f>
        <v>345</v>
      </c>
      <c r="F5057" t="str">
        <f t="shared" si="176"/>
        <v>57210400</v>
      </c>
      <c r="H5057" t="s">
        <v>2020</v>
      </c>
      <c r="K5057" s="4">
        <v>30000</v>
      </c>
    </row>
    <row r="5058" spans="1:11" hidden="1" outlineLevel="2" x14ac:dyDescent="0.35">
      <c r="A5058" t="s">
        <v>2018</v>
      </c>
      <c r="B5058" s="1">
        <v>45720</v>
      </c>
      <c r="C5058" t="str">
        <f>"346"</f>
        <v>346</v>
      </c>
      <c r="F5058" t="str">
        <f t="shared" si="176"/>
        <v>57210400</v>
      </c>
      <c r="H5058" t="s">
        <v>2021</v>
      </c>
      <c r="K5058" s="4">
        <v>25025</v>
      </c>
    </row>
    <row r="5059" spans="1:11" hidden="1" outlineLevel="2" x14ac:dyDescent="0.35">
      <c r="A5059" t="s">
        <v>2018</v>
      </c>
      <c r="B5059" s="1">
        <v>45720</v>
      </c>
      <c r="C5059" t="str">
        <f>"347"</f>
        <v>347</v>
      </c>
      <c r="F5059" t="str">
        <f t="shared" si="176"/>
        <v>57210400</v>
      </c>
      <c r="H5059" t="s">
        <v>2022</v>
      </c>
      <c r="K5059" s="4">
        <v>280000</v>
      </c>
    </row>
    <row r="5060" spans="1:11" hidden="1" outlineLevel="2" x14ac:dyDescent="0.35">
      <c r="A5060" t="s">
        <v>2018</v>
      </c>
      <c r="B5060" s="1">
        <v>45721</v>
      </c>
      <c r="C5060" t="str">
        <f>"348"</f>
        <v>348</v>
      </c>
      <c r="F5060" t="str">
        <f t="shared" si="176"/>
        <v>57210400</v>
      </c>
      <c r="H5060" t="s">
        <v>2023</v>
      </c>
      <c r="K5060" s="4">
        <v>17500</v>
      </c>
    </row>
    <row r="5061" spans="1:11" hidden="1" outlineLevel="2" x14ac:dyDescent="0.35">
      <c r="A5061" t="s">
        <v>2018</v>
      </c>
      <c r="B5061" s="1">
        <v>45721</v>
      </c>
      <c r="C5061" t="str">
        <f>"349"</f>
        <v>349</v>
      </c>
      <c r="F5061" t="str">
        <f t="shared" si="176"/>
        <v>57210400</v>
      </c>
      <c r="H5061" t="s">
        <v>2026</v>
      </c>
      <c r="K5061" s="4">
        <v>14000</v>
      </c>
    </row>
    <row r="5062" spans="1:11" hidden="1" outlineLevel="2" x14ac:dyDescent="0.35">
      <c r="A5062" t="s">
        <v>2018</v>
      </c>
      <c r="B5062" s="1">
        <v>45721</v>
      </c>
      <c r="C5062" t="str">
        <f>"350"</f>
        <v>350</v>
      </c>
      <c r="F5062" t="str">
        <f t="shared" si="176"/>
        <v>57210400</v>
      </c>
      <c r="H5062" t="s">
        <v>2029</v>
      </c>
      <c r="K5062" s="4">
        <v>10000</v>
      </c>
    </row>
    <row r="5063" spans="1:11" hidden="1" outlineLevel="2" x14ac:dyDescent="0.35">
      <c r="A5063" t="s">
        <v>2018</v>
      </c>
      <c r="B5063" s="1">
        <v>45721</v>
      </c>
      <c r="C5063" t="str">
        <f>"351"</f>
        <v>351</v>
      </c>
      <c r="F5063" t="str">
        <f t="shared" si="176"/>
        <v>57210400</v>
      </c>
      <c r="H5063" t="s">
        <v>2031</v>
      </c>
      <c r="K5063" s="4">
        <v>42000</v>
      </c>
    </row>
    <row r="5064" spans="1:11" hidden="1" outlineLevel="2" x14ac:dyDescent="0.35">
      <c r="A5064" t="s">
        <v>2018</v>
      </c>
      <c r="B5064" s="1">
        <v>45721</v>
      </c>
      <c r="C5064" t="str">
        <f>"352"</f>
        <v>352</v>
      </c>
      <c r="F5064" t="str">
        <f t="shared" si="176"/>
        <v>57210400</v>
      </c>
      <c r="H5064" t="s">
        <v>2034</v>
      </c>
      <c r="K5064" s="4">
        <v>40000</v>
      </c>
    </row>
    <row r="5065" spans="1:11" hidden="1" outlineLevel="2" x14ac:dyDescent="0.35">
      <c r="A5065" t="s">
        <v>2018</v>
      </c>
      <c r="B5065" s="1">
        <v>45722</v>
      </c>
      <c r="C5065" t="str">
        <f>"353"</f>
        <v>353</v>
      </c>
      <c r="F5065" t="str">
        <f t="shared" si="176"/>
        <v>57210400</v>
      </c>
      <c r="H5065" t="s">
        <v>2035</v>
      </c>
      <c r="K5065" s="4">
        <v>5600</v>
      </c>
    </row>
    <row r="5066" spans="1:11" hidden="1" outlineLevel="2" x14ac:dyDescent="0.35">
      <c r="A5066" t="s">
        <v>2018</v>
      </c>
      <c r="B5066" s="1">
        <v>45722</v>
      </c>
      <c r="C5066" t="str">
        <f>"354"</f>
        <v>354</v>
      </c>
      <c r="F5066" t="str">
        <f t="shared" si="176"/>
        <v>57210400</v>
      </c>
      <c r="H5066" t="s">
        <v>2036</v>
      </c>
      <c r="K5066" s="4">
        <v>12000</v>
      </c>
    </row>
    <row r="5067" spans="1:11" hidden="1" outlineLevel="2" x14ac:dyDescent="0.35">
      <c r="A5067" t="s">
        <v>2018</v>
      </c>
      <c r="B5067" s="1">
        <v>45722</v>
      </c>
      <c r="C5067" t="str">
        <f>"355"</f>
        <v>355</v>
      </c>
      <c r="F5067" t="str">
        <f t="shared" si="176"/>
        <v>57210400</v>
      </c>
      <c r="H5067" t="s">
        <v>2037</v>
      </c>
      <c r="K5067" s="4">
        <v>12000</v>
      </c>
    </row>
    <row r="5068" spans="1:11" hidden="1" outlineLevel="2" x14ac:dyDescent="0.35">
      <c r="A5068" t="s">
        <v>2018</v>
      </c>
      <c r="B5068" s="1">
        <v>45722</v>
      </c>
      <c r="C5068" t="str">
        <f>"356"</f>
        <v>356</v>
      </c>
      <c r="F5068" t="str">
        <f t="shared" si="176"/>
        <v>57210400</v>
      </c>
      <c r="H5068" t="s">
        <v>2040</v>
      </c>
      <c r="K5068" s="4">
        <v>12000</v>
      </c>
    </row>
    <row r="5069" spans="1:11" hidden="1" outlineLevel="2" x14ac:dyDescent="0.35">
      <c r="A5069" t="s">
        <v>2018</v>
      </c>
      <c r="B5069" s="1">
        <v>45722</v>
      </c>
      <c r="C5069" t="str">
        <f>"357"</f>
        <v>357</v>
      </c>
      <c r="F5069" t="str">
        <f t="shared" si="176"/>
        <v>57210400</v>
      </c>
      <c r="H5069" t="s">
        <v>2026</v>
      </c>
      <c r="K5069" s="4">
        <v>12000</v>
      </c>
    </row>
    <row r="5070" spans="1:11" hidden="1" outlineLevel="2" x14ac:dyDescent="0.35">
      <c r="A5070" t="s">
        <v>2018</v>
      </c>
      <c r="B5070" s="1">
        <v>45723</v>
      </c>
      <c r="C5070" t="str">
        <f>"358"</f>
        <v>358</v>
      </c>
      <c r="F5070" t="str">
        <f t="shared" si="176"/>
        <v>57210400</v>
      </c>
      <c r="H5070" t="s">
        <v>2043</v>
      </c>
      <c r="K5070" s="4">
        <v>100000</v>
      </c>
    </row>
    <row r="5071" spans="1:11" hidden="1" outlineLevel="2" x14ac:dyDescent="0.35">
      <c r="A5071" t="s">
        <v>2018</v>
      </c>
      <c r="B5071" s="1">
        <v>45723</v>
      </c>
      <c r="C5071" t="str">
        <f>"359"</f>
        <v>359</v>
      </c>
      <c r="F5071" t="str">
        <f t="shared" si="176"/>
        <v>57210400</v>
      </c>
      <c r="H5071" t="s">
        <v>2044</v>
      </c>
      <c r="K5071" s="4">
        <v>2000</v>
      </c>
    </row>
    <row r="5072" spans="1:11" hidden="1" outlineLevel="2" x14ac:dyDescent="0.35">
      <c r="A5072" t="s">
        <v>2018</v>
      </c>
      <c r="B5072" s="1">
        <v>45723</v>
      </c>
      <c r="C5072" t="str">
        <f>"360"</f>
        <v>360</v>
      </c>
      <c r="F5072" t="str">
        <f t="shared" si="176"/>
        <v>57210400</v>
      </c>
      <c r="H5072" t="s">
        <v>2045</v>
      </c>
      <c r="K5072" s="4">
        <v>5000</v>
      </c>
    </row>
    <row r="5073" spans="1:11" hidden="1" outlineLevel="2" x14ac:dyDescent="0.35">
      <c r="A5073" t="s">
        <v>2018</v>
      </c>
      <c r="B5073" s="1">
        <v>45724</v>
      </c>
      <c r="C5073" t="str">
        <f>"361"</f>
        <v>361</v>
      </c>
      <c r="F5073" t="str">
        <f t="shared" si="176"/>
        <v>57210400</v>
      </c>
      <c r="H5073" t="s">
        <v>2046</v>
      </c>
      <c r="K5073" s="4">
        <v>10000</v>
      </c>
    </row>
    <row r="5074" spans="1:11" hidden="1" outlineLevel="2" x14ac:dyDescent="0.35">
      <c r="A5074" t="s">
        <v>2018</v>
      </c>
      <c r="B5074" s="1">
        <v>45724</v>
      </c>
      <c r="C5074" t="str">
        <f>"362"</f>
        <v>362</v>
      </c>
      <c r="F5074" t="str">
        <f t="shared" si="176"/>
        <v>57210400</v>
      </c>
      <c r="H5074" t="s">
        <v>2047</v>
      </c>
      <c r="K5074" s="4">
        <v>5000</v>
      </c>
    </row>
    <row r="5075" spans="1:11" hidden="1" outlineLevel="2" x14ac:dyDescent="0.35">
      <c r="A5075" t="s">
        <v>2018</v>
      </c>
      <c r="B5075" s="1">
        <v>45724</v>
      </c>
      <c r="C5075" t="str">
        <f>"363"</f>
        <v>363</v>
      </c>
      <c r="F5075" t="str">
        <f t="shared" si="176"/>
        <v>57210400</v>
      </c>
      <c r="H5075" t="s">
        <v>2048</v>
      </c>
      <c r="K5075" s="4">
        <v>13500</v>
      </c>
    </row>
    <row r="5076" spans="1:11" hidden="1" outlineLevel="2" x14ac:dyDescent="0.35">
      <c r="A5076" t="s">
        <v>2018</v>
      </c>
      <c r="B5076" s="1">
        <v>45724</v>
      </c>
      <c r="C5076" t="str">
        <f>"364"</f>
        <v>364</v>
      </c>
      <c r="F5076" t="str">
        <f t="shared" si="176"/>
        <v>57210400</v>
      </c>
      <c r="H5076" t="s">
        <v>2051</v>
      </c>
      <c r="K5076" s="4">
        <v>15000</v>
      </c>
    </row>
    <row r="5077" spans="1:11" hidden="1" outlineLevel="2" x14ac:dyDescent="0.35">
      <c r="A5077" t="s">
        <v>2018</v>
      </c>
      <c r="B5077" s="1">
        <v>45726</v>
      </c>
      <c r="C5077" t="str">
        <f>"365"</f>
        <v>365</v>
      </c>
      <c r="F5077" t="str">
        <f t="shared" si="176"/>
        <v>57210400</v>
      </c>
      <c r="H5077" t="s">
        <v>2052</v>
      </c>
      <c r="J5077" s="4">
        <v>3000000</v>
      </c>
    </row>
    <row r="5078" spans="1:11" hidden="1" outlineLevel="2" x14ac:dyDescent="0.35">
      <c r="A5078" t="s">
        <v>2018</v>
      </c>
      <c r="B5078" s="1">
        <v>45726</v>
      </c>
      <c r="C5078" t="str">
        <f>"366"</f>
        <v>366</v>
      </c>
      <c r="F5078" t="str">
        <f t="shared" si="176"/>
        <v>57210400</v>
      </c>
      <c r="H5078" t="s">
        <v>2053</v>
      </c>
      <c r="K5078" s="4">
        <v>10000</v>
      </c>
    </row>
    <row r="5079" spans="1:11" hidden="1" outlineLevel="2" x14ac:dyDescent="0.35">
      <c r="A5079" t="s">
        <v>2018</v>
      </c>
      <c r="B5079" s="1">
        <v>45726</v>
      </c>
      <c r="C5079" t="str">
        <f>"367"</f>
        <v>367</v>
      </c>
      <c r="F5079" t="str">
        <f t="shared" si="176"/>
        <v>57210400</v>
      </c>
      <c r="H5079" t="s">
        <v>2054</v>
      </c>
      <c r="K5079" s="4">
        <v>25000</v>
      </c>
    </row>
    <row r="5080" spans="1:11" hidden="1" outlineLevel="2" x14ac:dyDescent="0.35">
      <c r="A5080" t="s">
        <v>2018</v>
      </c>
      <c r="B5080" s="1">
        <v>45726</v>
      </c>
      <c r="C5080" t="str">
        <f>"368"</f>
        <v>368</v>
      </c>
      <c r="F5080" t="str">
        <f t="shared" si="176"/>
        <v>57210400</v>
      </c>
      <c r="H5080" t="s">
        <v>2055</v>
      </c>
      <c r="K5080" s="4">
        <v>80000</v>
      </c>
    </row>
    <row r="5081" spans="1:11" hidden="1" outlineLevel="2" x14ac:dyDescent="0.35">
      <c r="A5081" t="s">
        <v>2018</v>
      </c>
      <c r="B5081" s="1">
        <v>45726</v>
      </c>
      <c r="C5081" t="str">
        <f>"369"</f>
        <v>369</v>
      </c>
      <c r="F5081" t="str">
        <f t="shared" si="176"/>
        <v>57210400</v>
      </c>
      <c r="H5081" t="s">
        <v>2056</v>
      </c>
      <c r="K5081" s="4">
        <v>52000</v>
      </c>
    </row>
    <row r="5082" spans="1:11" hidden="1" outlineLevel="2" x14ac:dyDescent="0.35">
      <c r="A5082" t="s">
        <v>2018</v>
      </c>
      <c r="B5082" s="1">
        <v>45726</v>
      </c>
      <c r="C5082" t="str">
        <f>"370"</f>
        <v>370</v>
      </c>
      <c r="F5082" t="str">
        <f t="shared" si="176"/>
        <v>57210400</v>
      </c>
      <c r="H5082" t="s">
        <v>2057</v>
      </c>
      <c r="K5082" s="4">
        <v>4000</v>
      </c>
    </row>
    <row r="5083" spans="1:11" hidden="1" outlineLevel="2" x14ac:dyDescent="0.35">
      <c r="A5083" t="s">
        <v>2018</v>
      </c>
      <c r="B5083" s="1">
        <v>45726</v>
      </c>
      <c r="C5083" t="str">
        <f>"371"</f>
        <v>371</v>
      </c>
      <c r="F5083" t="str">
        <f t="shared" si="176"/>
        <v>57210400</v>
      </c>
      <c r="H5083" t="s">
        <v>2060</v>
      </c>
      <c r="K5083" s="4">
        <v>5000</v>
      </c>
    </row>
    <row r="5084" spans="1:11" hidden="1" outlineLevel="2" x14ac:dyDescent="0.35">
      <c r="A5084" t="s">
        <v>2018</v>
      </c>
      <c r="B5084" s="1">
        <v>45726</v>
      </c>
      <c r="C5084" t="str">
        <f>"372"</f>
        <v>372</v>
      </c>
      <c r="F5084" t="str">
        <f t="shared" si="176"/>
        <v>57210400</v>
      </c>
      <c r="H5084" t="s">
        <v>2061</v>
      </c>
      <c r="K5084" s="4">
        <v>52480</v>
      </c>
    </row>
    <row r="5085" spans="1:11" hidden="1" outlineLevel="2" x14ac:dyDescent="0.35">
      <c r="A5085" t="s">
        <v>2018</v>
      </c>
      <c r="B5085" s="1">
        <v>45726</v>
      </c>
      <c r="C5085" t="str">
        <f>"373"</f>
        <v>373</v>
      </c>
      <c r="F5085" t="str">
        <f t="shared" si="176"/>
        <v>57210400</v>
      </c>
      <c r="H5085" t="s">
        <v>2062</v>
      </c>
      <c r="K5085" s="4">
        <v>17000</v>
      </c>
    </row>
    <row r="5086" spans="1:11" hidden="1" outlineLevel="2" x14ac:dyDescent="0.35">
      <c r="A5086" t="s">
        <v>2018</v>
      </c>
      <c r="B5086" s="1">
        <v>45726</v>
      </c>
      <c r="C5086" t="str">
        <f>"374"</f>
        <v>374</v>
      </c>
      <c r="F5086" t="str">
        <f t="shared" si="176"/>
        <v>57210400</v>
      </c>
      <c r="H5086" t="s">
        <v>2065</v>
      </c>
      <c r="K5086" s="4">
        <v>5000</v>
      </c>
    </row>
    <row r="5087" spans="1:11" hidden="1" outlineLevel="2" x14ac:dyDescent="0.35">
      <c r="A5087" t="s">
        <v>2018</v>
      </c>
      <c r="B5087" s="1">
        <v>45726</v>
      </c>
      <c r="C5087" t="str">
        <f>"375"</f>
        <v>375</v>
      </c>
      <c r="F5087" t="str">
        <f t="shared" si="176"/>
        <v>57210400</v>
      </c>
      <c r="H5087" t="s">
        <v>2066</v>
      </c>
      <c r="K5087" s="4">
        <v>12000</v>
      </c>
    </row>
    <row r="5088" spans="1:11" hidden="1" outlineLevel="2" x14ac:dyDescent="0.35">
      <c r="A5088" t="s">
        <v>2018</v>
      </c>
      <c r="B5088" s="1">
        <v>45726</v>
      </c>
      <c r="C5088" t="str">
        <f>"376"</f>
        <v>376</v>
      </c>
      <c r="F5088" t="str">
        <f t="shared" ref="F5088:F5119" si="177">"57210400"</f>
        <v>57210400</v>
      </c>
      <c r="H5088" t="s">
        <v>2069</v>
      </c>
      <c r="K5088" s="4">
        <v>6000</v>
      </c>
    </row>
    <row r="5089" spans="1:11" hidden="1" outlineLevel="2" x14ac:dyDescent="0.35">
      <c r="A5089" t="s">
        <v>2018</v>
      </c>
      <c r="B5089" s="1">
        <v>45727</v>
      </c>
      <c r="C5089" t="str">
        <f>"377"</f>
        <v>377</v>
      </c>
      <c r="F5089" t="str">
        <f t="shared" si="177"/>
        <v>57210400</v>
      </c>
      <c r="H5089" t="s">
        <v>2070</v>
      </c>
      <c r="K5089" s="4">
        <v>15000</v>
      </c>
    </row>
    <row r="5090" spans="1:11" hidden="1" outlineLevel="2" x14ac:dyDescent="0.35">
      <c r="A5090" t="s">
        <v>2018</v>
      </c>
      <c r="B5090" s="1">
        <v>45727</v>
      </c>
      <c r="C5090" t="str">
        <f>"378"</f>
        <v>378</v>
      </c>
      <c r="F5090" t="str">
        <f t="shared" si="177"/>
        <v>57210400</v>
      </c>
      <c r="H5090" t="s">
        <v>2071</v>
      </c>
      <c r="K5090" s="4">
        <v>22000</v>
      </c>
    </row>
    <row r="5091" spans="1:11" hidden="1" outlineLevel="2" x14ac:dyDescent="0.35">
      <c r="A5091" t="s">
        <v>2018</v>
      </c>
      <c r="B5091" s="1">
        <v>45727</v>
      </c>
      <c r="C5091" t="str">
        <f>"379"</f>
        <v>379</v>
      </c>
      <c r="F5091" t="str">
        <f t="shared" si="177"/>
        <v>57210400</v>
      </c>
      <c r="H5091" t="s">
        <v>2074</v>
      </c>
      <c r="K5091" s="4">
        <v>12000</v>
      </c>
    </row>
    <row r="5092" spans="1:11" hidden="1" outlineLevel="2" x14ac:dyDescent="0.35">
      <c r="A5092" t="s">
        <v>2018</v>
      </c>
      <c r="B5092" s="1">
        <v>45727</v>
      </c>
      <c r="C5092" t="str">
        <f>"380"</f>
        <v>380</v>
      </c>
      <c r="F5092" t="str">
        <f t="shared" si="177"/>
        <v>57210400</v>
      </c>
      <c r="H5092" t="s">
        <v>2029</v>
      </c>
      <c r="K5092" s="4">
        <v>12000</v>
      </c>
    </row>
    <row r="5093" spans="1:11" hidden="1" outlineLevel="2" x14ac:dyDescent="0.35">
      <c r="A5093" t="s">
        <v>2018</v>
      </c>
      <c r="B5093" s="1">
        <v>45727</v>
      </c>
      <c r="C5093" t="str">
        <f>"381"</f>
        <v>381</v>
      </c>
      <c r="F5093" t="str">
        <f t="shared" si="177"/>
        <v>57210400</v>
      </c>
      <c r="H5093" t="s">
        <v>2078</v>
      </c>
      <c r="K5093" s="4">
        <v>28000</v>
      </c>
    </row>
    <row r="5094" spans="1:11" hidden="1" outlineLevel="2" x14ac:dyDescent="0.35">
      <c r="A5094" t="s">
        <v>2018</v>
      </c>
      <c r="B5094" s="1">
        <v>45728</v>
      </c>
      <c r="C5094" t="str">
        <f>"382"</f>
        <v>382</v>
      </c>
      <c r="F5094" t="str">
        <f t="shared" si="177"/>
        <v>57210400</v>
      </c>
      <c r="H5094" t="s">
        <v>2081</v>
      </c>
      <c r="K5094" s="4">
        <v>10000</v>
      </c>
    </row>
    <row r="5095" spans="1:11" hidden="1" outlineLevel="2" x14ac:dyDescent="0.35">
      <c r="A5095" t="s">
        <v>2018</v>
      </c>
      <c r="B5095" s="1">
        <v>45728</v>
      </c>
      <c r="C5095" t="str">
        <f>"383"</f>
        <v>383</v>
      </c>
      <c r="F5095" t="str">
        <f t="shared" si="177"/>
        <v>57210400</v>
      </c>
      <c r="H5095" t="s">
        <v>2082</v>
      </c>
      <c r="K5095" s="4">
        <v>5000</v>
      </c>
    </row>
    <row r="5096" spans="1:11" hidden="1" outlineLevel="2" x14ac:dyDescent="0.35">
      <c r="A5096" t="s">
        <v>2018</v>
      </c>
      <c r="B5096" s="1">
        <v>45728</v>
      </c>
      <c r="C5096" t="str">
        <f>"384"</f>
        <v>384</v>
      </c>
      <c r="F5096" t="str">
        <f t="shared" si="177"/>
        <v>57210400</v>
      </c>
      <c r="H5096" t="s">
        <v>2054</v>
      </c>
      <c r="K5096" s="4">
        <v>17500</v>
      </c>
    </row>
    <row r="5097" spans="1:11" hidden="1" outlineLevel="2" x14ac:dyDescent="0.35">
      <c r="A5097" t="s">
        <v>2018</v>
      </c>
      <c r="B5097" s="1">
        <v>45728</v>
      </c>
      <c r="C5097" t="str">
        <f>"385"</f>
        <v>385</v>
      </c>
      <c r="F5097" t="str">
        <f t="shared" si="177"/>
        <v>57210400</v>
      </c>
      <c r="H5097" t="s">
        <v>2083</v>
      </c>
      <c r="K5097" s="4">
        <v>5000</v>
      </c>
    </row>
    <row r="5098" spans="1:11" hidden="1" outlineLevel="2" x14ac:dyDescent="0.35">
      <c r="A5098" t="s">
        <v>2018</v>
      </c>
      <c r="B5098" s="1">
        <v>45728</v>
      </c>
      <c r="C5098" t="str">
        <f>"386"</f>
        <v>386</v>
      </c>
      <c r="F5098" t="str">
        <f t="shared" si="177"/>
        <v>57210400</v>
      </c>
      <c r="H5098" t="s">
        <v>2084</v>
      </c>
      <c r="K5098" s="4">
        <v>15000</v>
      </c>
    </row>
    <row r="5099" spans="1:11" hidden="1" outlineLevel="2" x14ac:dyDescent="0.35">
      <c r="A5099" t="s">
        <v>2018</v>
      </c>
      <c r="B5099" s="1">
        <v>45728</v>
      </c>
      <c r="C5099" t="str">
        <f>"387"</f>
        <v>387</v>
      </c>
      <c r="F5099" t="str">
        <f t="shared" si="177"/>
        <v>57210400</v>
      </c>
      <c r="H5099" t="s">
        <v>2085</v>
      </c>
      <c r="K5099" s="4">
        <v>17200</v>
      </c>
    </row>
    <row r="5100" spans="1:11" hidden="1" outlineLevel="2" x14ac:dyDescent="0.35">
      <c r="A5100" t="s">
        <v>2018</v>
      </c>
      <c r="B5100" s="1">
        <v>45728</v>
      </c>
      <c r="C5100" t="str">
        <f>"388"</f>
        <v>388</v>
      </c>
      <c r="F5100" t="str">
        <f t="shared" si="177"/>
        <v>57210400</v>
      </c>
      <c r="H5100" t="s">
        <v>2088</v>
      </c>
      <c r="K5100" s="4">
        <v>15300</v>
      </c>
    </row>
    <row r="5101" spans="1:11" hidden="1" outlineLevel="2" x14ac:dyDescent="0.35">
      <c r="A5101" t="s">
        <v>2018</v>
      </c>
      <c r="B5101" s="1">
        <v>45728</v>
      </c>
      <c r="C5101" t="str">
        <f>"389"</f>
        <v>389</v>
      </c>
      <c r="F5101" t="str">
        <f t="shared" si="177"/>
        <v>57210400</v>
      </c>
      <c r="H5101" t="s">
        <v>2040</v>
      </c>
      <c r="K5101" s="4">
        <v>12000</v>
      </c>
    </row>
    <row r="5102" spans="1:11" hidden="1" outlineLevel="2" x14ac:dyDescent="0.35">
      <c r="A5102" t="s">
        <v>2018</v>
      </c>
      <c r="B5102" s="1">
        <v>45728</v>
      </c>
      <c r="C5102" t="str">
        <f>"390"</f>
        <v>390</v>
      </c>
      <c r="F5102" t="str">
        <f t="shared" si="177"/>
        <v>57210400</v>
      </c>
      <c r="H5102" t="s">
        <v>2037</v>
      </c>
      <c r="K5102" s="4">
        <v>12000</v>
      </c>
    </row>
    <row r="5103" spans="1:11" hidden="1" outlineLevel="2" x14ac:dyDescent="0.35">
      <c r="A5103" t="s">
        <v>2018</v>
      </c>
      <c r="B5103" s="1">
        <v>45728</v>
      </c>
      <c r="C5103" t="str">
        <f>"391"</f>
        <v>391</v>
      </c>
      <c r="F5103" t="str">
        <f t="shared" si="177"/>
        <v>57210400</v>
      </c>
      <c r="H5103" t="s">
        <v>2091</v>
      </c>
      <c r="K5103" s="4">
        <v>12000</v>
      </c>
    </row>
    <row r="5104" spans="1:11" hidden="1" outlineLevel="2" x14ac:dyDescent="0.35">
      <c r="A5104" t="s">
        <v>2018</v>
      </c>
      <c r="B5104" s="1">
        <v>45728</v>
      </c>
      <c r="C5104" t="str">
        <f>"392"</f>
        <v>392</v>
      </c>
      <c r="F5104" t="str">
        <f t="shared" si="177"/>
        <v>57210400</v>
      </c>
      <c r="H5104" t="s">
        <v>2093</v>
      </c>
      <c r="K5104" s="4">
        <v>32000</v>
      </c>
    </row>
    <row r="5105" spans="1:11" hidden="1" outlineLevel="2" x14ac:dyDescent="0.35">
      <c r="A5105" t="s">
        <v>2018</v>
      </c>
      <c r="B5105" s="1">
        <v>45729</v>
      </c>
      <c r="C5105" t="str">
        <f>"393"</f>
        <v>393</v>
      </c>
      <c r="F5105" t="str">
        <f t="shared" si="177"/>
        <v>57210400</v>
      </c>
      <c r="H5105" t="s">
        <v>2026</v>
      </c>
      <c r="K5105" s="4">
        <v>22000</v>
      </c>
    </row>
    <row r="5106" spans="1:11" hidden="1" outlineLevel="2" x14ac:dyDescent="0.35">
      <c r="A5106" t="s">
        <v>2018</v>
      </c>
      <c r="B5106" s="1">
        <v>45729</v>
      </c>
      <c r="C5106" t="str">
        <f>"394"</f>
        <v>394</v>
      </c>
      <c r="F5106" t="str">
        <f t="shared" si="177"/>
        <v>57210400</v>
      </c>
      <c r="H5106" t="s">
        <v>2097</v>
      </c>
      <c r="K5106" s="4">
        <v>12000</v>
      </c>
    </row>
    <row r="5107" spans="1:11" hidden="1" outlineLevel="2" x14ac:dyDescent="0.35">
      <c r="A5107" t="s">
        <v>2018</v>
      </c>
      <c r="B5107" s="1">
        <v>45729</v>
      </c>
      <c r="C5107" t="str">
        <f>"395"</f>
        <v>395</v>
      </c>
      <c r="F5107" t="str">
        <f t="shared" si="177"/>
        <v>57210400</v>
      </c>
      <c r="H5107" t="s">
        <v>2098</v>
      </c>
      <c r="K5107" s="4">
        <v>12000</v>
      </c>
    </row>
    <row r="5108" spans="1:11" hidden="1" outlineLevel="2" x14ac:dyDescent="0.35">
      <c r="A5108" t="s">
        <v>2018</v>
      </c>
      <c r="B5108" s="1">
        <v>45730</v>
      </c>
      <c r="C5108" t="str">
        <f>"396"</f>
        <v>396</v>
      </c>
      <c r="F5108" t="str">
        <f t="shared" si="177"/>
        <v>57210400</v>
      </c>
      <c r="H5108" t="s">
        <v>2099</v>
      </c>
      <c r="K5108" s="4">
        <v>15000</v>
      </c>
    </row>
    <row r="5109" spans="1:11" hidden="1" outlineLevel="2" x14ac:dyDescent="0.35">
      <c r="A5109" t="s">
        <v>2018</v>
      </c>
      <c r="B5109" s="1">
        <v>45730</v>
      </c>
      <c r="C5109" t="str">
        <f>"397"</f>
        <v>397</v>
      </c>
      <c r="F5109" t="str">
        <f t="shared" si="177"/>
        <v>57210400</v>
      </c>
      <c r="H5109" t="s">
        <v>2094</v>
      </c>
      <c r="K5109" s="4">
        <v>10000</v>
      </c>
    </row>
    <row r="5110" spans="1:11" hidden="1" outlineLevel="2" x14ac:dyDescent="0.35">
      <c r="A5110" t="s">
        <v>2018</v>
      </c>
      <c r="B5110" s="1">
        <v>45730</v>
      </c>
      <c r="C5110" t="str">
        <f>"398"</f>
        <v>398</v>
      </c>
      <c r="F5110" t="str">
        <f t="shared" si="177"/>
        <v>57210400</v>
      </c>
      <c r="H5110" t="s">
        <v>2037</v>
      </c>
      <c r="K5110" s="4">
        <v>12000</v>
      </c>
    </row>
    <row r="5111" spans="1:11" hidden="1" outlineLevel="2" x14ac:dyDescent="0.35">
      <c r="A5111" t="s">
        <v>2018</v>
      </c>
      <c r="B5111" s="1">
        <v>45730</v>
      </c>
      <c r="C5111" t="str">
        <f>"399"</f>
        <v>399</v>
      </c>
      <c r="F5111" t="str">
        <f t="shared" si="177"/>
        <v>57210400</v>
      </c>
      <c r="H5111" t="s">
        <v>2100</v>
      </c>
      <c r="K5111" s="4">
        <v>12000</v>
      </c>
    </row>
    <row r="5112" spans="1:11" hidden="1" outlineLevel="2" x14ac:dyDescent="0.35">
      <c r="A5112" t="s">
        <v>2018</v>
      </c>
      <c r="B5112" s="1">
        <v>45730</v>
      </c>
      <c r="C5112" t="str">
        <f>"400"</f>
        <v>400</v>
      </c>
      <c r="F5112" t="str">
        <f t="shared" si="177"/>
        <v>57210400</v>
      </c>
      <c r="H5112" t="s">
        <v>2054</v>
      </c>
      <c r="K5112" s="4">
        <v>12500</v>
      </c>
    </row>
    <row r="5113" spans="1:11" hidden="1" outlineLevel="2" x14ac:dyDescent="0.35">
      <c r="A5113" t="s">
        <v>2018</v>
      </c>
      <c r="B5113" s="1">
        <v>45730</v>
      </c>
      <c r="C5113" t="str">
        <f>"401"</f>
        <v>401</v>
      </c>
      <c r="F5113" t="str">
        <f t="shared" si="177"/>
        <v>57210400</v>
      </c>
      <c r="H5113" t="s">
        <v>2081</v>
      </c>
      <c r="K5113" s="4">
        <v>10000</v>
      </c>
    </row>
    <row r="5114" spans="1:11" hidden="1" outlineLevel="2" x14ac:dyDescent="0.35">
      <c r="A5114" t="s">
        <v>2018</v>
      </c>
      <c r="B5114" s="1">
        <v>45731</v>
      </c>
      <c r="C5114" t="str">
        <f>"402"</f>
        <v>402</v>
      </c>
      <c r="F5114" t="str">
        <f t="shared" si="177"/>
        <v>57210400</v>
      </c>
      <c r="H5114" t="s">
        <v>2102</v>
      </c>
      <c r="K5114" s="4">
        <v>10000</v>
      </c>
    </row>
    <row r="5115" spans="1:11" hidden="1" outlineLevel="2" x14ac:dyDescent="0.35">
      <c r="A5115" t="s">
        <v>2018</v>
      </c>
      <c r="B5115" s="1">
        <v>45731</v>
      </c>
      <c r="C5115" t="str">
        <f>"403"</f>
        <v>403</v>
      </c>
      <c r="F5115" t="str">
        <f t="shared" si="177"/>
        <v>57210400</v>
      </c>
      <c r="H5115" t="s">
        <v>2103</v>
      </c>
      <c r="K5115" s="4">
        <v>10000</v>
      </c>
    </row>
    <row r="5116" spans="1:11" hidden="1" outlineLevel="2" x14ac:dyDescent="0.35">
      <c r="A5116" t="s">
        <v>2018</v>
      </c>
      <c r="B5116" s="1">
        <v>45731</v>
      </c>
      <c r="C5116" t="str">
        <f>"404"</f>
        <v>404</v>
      </c>
      <c r="F5116" t="str">
        <f t="shared" si="177"/>
        <v>57210400</v>
      </c>
      <c r="H5116" t="s">
        <v>2104</v>
      </c>
      <c r="K5116" s="4">
        <v>10000</v>
      </c>
    </row>
    <row r="5117" spans="1:11" hidden="1" outlineLevel="2" x14ac:dyDescent="0.35">
      <c r="A5117" t="s">
        <v>2018</v>
      </c>
      <c r="B5117" s="1">
        <v>45731</v>
      </c>
      <c r="C5117" t="str">
        <f>"405"</f>
        <v>405</v>
      </c>
      <c r="F5117" t="str">
        <f t="shared" si="177"/>
        <v>57210400</v>
      </c>
      <c r="H5117" t="s">
        <v>2105</v>
      </c>
      <c r="K5117" s="4">
        <v>10000</v>
      </c>
    </row>
    <row r="5118" spans="1:11" hidden="1" outlineLevel="2" x14ac:dyDescent="0.35">
      <c r="A5118" t="s">
        <v>2018</v>
      </c>
      <c r="B5118" s="1">
        <v>45731</v>
      </c>
      <c r="C5118" t="str">
        <f>"406"</f>
        <v>406</v>
      </c>
      <c r="F5118" t="str">
        <f t="shared" si="177"/>
        <v>57210400</v>
      </c>
      <c r="H5118" t="s">
        <v>2106</v>
      </c>
      <c r="K5118" s="4">
        <v>10000</v>
      </c>
    </row>
    <row r="5119" spans="1:11" hidden="1" outlineLevel="2" x14ac:dyDescent="0.35">
      <c r="A5119" t="s">
        <v>2018</v>
      </c>
      <c r="B5119" s="1">
        <v>45731</v>
      </c>
      <c r="C5119" t="str">
        <f>"407"</f>
        <v>407</v>
      </c>
      <c r="F5119" t="str">
        <f t="shared" si="177"/>
        <v>57210400</v>
      </c>
      <c r="H5119" t="s">
        <v>2107</v>
      </c>
      <c r="K5119" s="4">
        <v>930000</v>
      </c>
    </row>
    <row r="5120" spans="1:11" hidden="1" outlineLevel="2" x14ac:dyDescent="0.35">
      <c r="A5120" t="s">
        <v>2018</v>
      </c>
      <c r="B5120" s="1">
        <v>45731</v>
      </c>
      <c r="C5120" t="str">
        <f>"408"</f>
        <v>408</v>
      </c>
      <c r="F5120" t="str">
        <f t="shared" ref="F5120:F5151" si="178">"57210400"</f>
        <v>57210400</v>
      </c>
      <c r="H5120" t="s">
        <v>2110</v>
      </c>
      <c r="K5120" s="4">
        <v>930000</v>
      </c>
    </row>
    <row r="5121" spans="1:11" hidden="1" outlineLevel="2" x14ac:dyDescent="0.35">
      <c r="A5121" t="s">
        <v>2018</v>
      </c>
      <c r="B5121" s="1">
        <v>45732</v>
      </c>
      <c r="C5121" t="str">
        <f>"409"</f>
        <v>409</v>
      </c>
      <c r="F5121" t="str">
        <f t="shared" si="178"/>
        <v>57210400</v>
      </c>
      <c r="H5121" t="s">
        <v>2113</v>
      </c>
      <c r="K5121" s="4">
        <v>3000</v>
      </c>
    </row>
    <row r="5122" spans="1:11" hidden="1" outlineLevel="2" x14ac:dyDescent="0.35">
      <c r="A5122" t="s">
        <v>2018</v>
      </c>
      <c r="B5122" s="1">
        <v>45732</v>
      </c>
      <c r="C5122" t="str">
        <f>"410"</f>
        <v>410</v>
      </c>
      <c r="F5122" t="str">
        <f t="shared" si="178"/>
        <v>57210400</v>
      </c>
      <c r="H5122" t="s">
        <v>2114</v>
      </c>
      <c r="K5122" s="4">
        <v>3000</v>
      </c>
    </row>
    <row r="5123" spans="1:11" hidden="1" outlineLevel="2" x14ac:dyDescent="0.35">
      <c r="A5123" t="s">
        <v>2018</v>
      </c>
      <c r="B5123" s="1">
        <v>45733</v>
      </c>
      <c r="C5123" t="str">
        <f>"411"</f>
        <v>411</v>
      </c>
      <c r="F5123" t="str">
        <f t="shared" si="178"/>
        <v>57210400</v>
      </c>
      <c r="H5123" t="s">
        <v>2115</v>
      </c>
      <c r="K5123" s="4">
        <v>5000</v>
      </c>
    </row>
    <row r="5124" spans="1:11" hidden="1" outlineLevel="2" x14ac:dyDescent="0.35">
      <c r="A5124" t="s">
        <v>2018</v>
      </c>
      <c r="B5124" s="1">
        <v>45733</v>
      </c>
      <c r="C5124" t="str">
        <f>"412"</f>
        <v>412</v>
      </c>
      <c r="F5124" t="str">
        <f t="shared" si="178"/>
        <v>57210400</v>
      </c>
      <c r="H5124" t="s">
        <v>2116</v>
      </c>
      <c r="K5124" s="4">
        <v>62225</v>
      </c>
    </row>
    <row r="5125" spans="1:11" hidden="1" outlineLevel="2" x14ac:dyDescent="0.35">
      <c r="A5125" t="s">
        <v>2018</v>
      </c>
      <c r="B5125" s="1">
        <v>45734</v>
      </c>
      <c r="C5125" t="str">
        <f>"413"</f>
        <v>413</v>
      </c>
      <c r="F5125" t="str">
        <f t="shared" si="178"/>
        <v>57210400</v>
      </c>
      <c r="H5125" t="s">
        <v>2117</v>
      </c>
      <c r="K5125" s="4">
        <v>12000</v>
      </c>
    </row>
    <row r="5126" spans="1:11" hidden="1" outlineLevel="2" x14ac:dyDescent="0.35">
      <c r="A5126" t="s">
        <v>2018</v>
      </c>
      <c r="B5126" s="1">
        <v>45734</v>
      </c>
      <c r="C5126" t="str">
        <f>"414"</f>
        <v>414</v>
      </c>
      <c r="F5126" t="str">
        <f t="shared" si="178"/>
        <v>57210400</v>
      </c>
      <c r="H5126" t="s">
        <v>2120</v>
      </c>
      <c r="K5126" s="4">
        <v>12000</v>
      </c>
    </row>
    <row r="5127" spans="1:11" hidden="1" outlineLevel="2" x14ac:dyDescent="0.35">
      <c r="A5127" t="s">
        <v>2018</v>
      </c>
      <c r="B5127" s="1">
        <v>45734</v>
      </c>
      <c r="C5127" t="str">
        <f>"415"</f>
        <v>415</v>
      </c>
      <c r="F5127" t="str">
        <f t="shared" si="178"/>
        <v>57210400</v>
      </c>
      <c r="H5127" t="s">
        <v>2122</v>
      </c>
      <c r="K5127" s="4">
        <v>50500</v>
      </c>
    </row>
    <row r="5128" spans="1:11" hidden="1" outlineLevel="2" x14ac:dyDescent="0.35">
      <c r="A5128" t="s">
        <v>2018</v>
      </c>
      <c r="B5128" s="1">
        <v>45734</v>
      </c>
      <c r="C5128" t="str">
        <f>"416"</f>
        <v>416</v>
      </c>
      <c r="F5128" t="str">
        <f t="shared" si="178"/>
        <v>57210400</v>
      </c>
      <c r="H5128" t="s">
        <v>2123</v>
      </c>
      <c r="K5128" s="4">
        <v>2000</v>
      </c>
    </row>
    <row r="5129" spans="1:11" hidden="1" outlineLevel="2" x14ac:dyDescent="0.35">
      <c r="A5129" t="s">
        <v>2018</v>
      </c>
      <c r="B5129" s="1">
        <v>45734</v>
      </c>
      <c r="C5129" t="str">
        <f>"417"</f>
        <v>417</v>
      </c>
      <c r="F5129" t="str">
        <f t="shared" si="178"/>
        <v>57210400</v>
      </c>
      <c r="H5129" t="s">
        <v>2056</v>
      </c>
      <c r="K5129" s="4">
        <v>45200</v>
      </c>
    </row>
    <row r="5130" spans="1:11" hidden="1" outlineLevel="2" x14ac:dyDescent="0.35">
      <c r="A5130" t="s">
        <v>2018</v>
      </c>
      <c r="B5130" s="1">
        <v>45734</v>
      </c>
      <c r="C5130" t="str">
        <f>"418"</f>
        <v>418</v>
      </c>
      <c r="F5130" t="str">
        <f t="shared" si="178"/>
        <v>57210400</v>
      </c>
      <c r="H5130" t="s">
        <v>2124</v>
      </c>
      <c r="K5130" s="4">
        <v>72500</v>
      </c>
    </row>
    <row r="5131" spans="1:11" hidden="1" outlineLevel="2" x14ac:dyDescent="0.35">
      <c r="A5131" t="s">
        <v>2018</v>
      </c>
      <c r="B5131" s="1">
        <v>45734</v>
      </c>
      <c r="C5131" t="str">
        <f>"419"</f>
        <v>419</v>
      </c>
      <c r="F5131" t="str">
        <f t="shared" si="178"/>
        <v>57210400</v>
      </c>
      <c r="H5131" t="s">
        <v>2125</v>
      </c>
      <c r="K5131" s="4">
        <v>2000</v>
      </c>
    </row>
    <row r="5132" spans="1:11" hidden="1" outlineLevel="2" x14ac:dyDescent="0.35">
      <c r="A5132" t="s">
        <v>2018</v>
      </c>
      <c r="B5132" s="1">
        <v>45734</v>
      </c>
      <c r="C5132" t="str">
        <f>"420"</f>
        <v>420</v>
      </c>
      <c r="F5132" t="str">
        <f t="shared" si="178"/>
        <v>57210400</v>
      </c>
      <c r="H5132" t="s">
        <v>2126</v>
      </c>
      <c r="K5132" s="4">
        <v>17170</v>
      </c>
    </row>
    <row r="5133" spans="1:11" hidden="1" outlineLevel="2" x14ac:dyDescent="0.35">
      <c r="A5133" t="s">
        <v>2018</v>
      </c>
      <c r="B5133" s="1">
        <v>45734</v>
      </c>
      <c r="C5133" t="str">
        <f>"421"</f>
        <v>421</v>
      </c>
      <c r="F5133" t="str">
        <f t="shared" si="178"/>
        <v>57210400</v>
      </c>
      <c r="H5133" t="s">
        <v>2129</v>
      </c>
      <c r="K5133" s="4">
        <v>17170</v>
      </c>
    </row>
    <row r="5134" spans="1:11" hidden="1" outlineLevel="2" x14ac:dyDescent="0.35">
      <c r="A5134" t="s">
        <v>2018</v>
      </c>
      <c r="B5134" s="1">
        <v>45734</v>
      </c>
      <c r="C5134" t="str">
        <f>"422"</f>
        <v>422</v>
      </c>
      <c r="F5134" t="str">
        <f t="shared" si="178"/>
        <v>57210400</v>
      </c>
      <c r="H5134" t="s">
        <v>2067</v>
      </c>
      <c r="K5134" s="4">
        <v>10000</v>
      </c>
    </row>
    <row r="5135" spans="1:11" hidden="1" outlineLevel="2" x14ac:dyDescent="0.35">
      <c r="A5135" t="s">
        <v>2018</v>
      </c>
      <c r="B5135" s="1">
        <v>45734</v>
      </c>
      <c r="C5135" t="str">
        <f>"423"</f>
        <v>423</v>
      </c>
      <c r="F5135" t="str">
        <f t="shared" si="178"/>
        <v>57210400</v>
      </c>
      <c r="H5135" t="s">
        <v>2132</v>
      </c>
      <c r="K5135" s="4">
        <v>12120</v>
      </c>
    </row>
    <row r="5136" spans="1:11" hidden="1" outlineLevel="2" x14ac:dyDescent="0.35">
      <c r="A5136" t="s">
        <v>2018</v>
      </c>
      <c r="B5136" s="1">
        <v>45734</v>
      </c>
      <c r="C5136" t="str">
        <f>"424"</f>
        <v>424</v>
      </c>
      <c r="F5136" t="str">
        <f t="shared" si="178"/>
        <v>57210400</v>
      </c>
      <c r="H5136" t="s">
        <v>2135</v>
      </c>
      <c r="K5136" s="4">
        <v>10100</v>
      </c>
    </row>
    <row r="5137" spans="1:11" hidden="1" outlineLevel="2" x14ac:dyDescent="0.35">
      <c r="A5137" t="s">
        <v>2018</v>
      </c>
      <c r="B5137" s="1">
        <v>45735</v>
      </c>
      <c r="C5137" t="str">
        <f>"425"</f>
        <v>425</v>
      </c>
      <c r="F5137" t="str">
        <f t="shared" si="178"/>
        <v>57210400</v>
      </c>
      <c r="H5137" t="s">
        <v>2136</v>
      </c>
      <c r="K5137" s="4">
        <v>10000</v>
      </c>
    </row>
    <row r="5138" spans="1:11" hidden="1" outlineLevel="2" x14ac:dyDescent="0.35">
      <c r="A5138" t="s">
        <v>2018</v>
      </c>
      <c r="B5138" s="1">
        <v>45735</v>
      </c>
      <c r="C5138" t="str">
        <f>"426"</f>
        <v>426</v>
      </c>
      <c r="F5138" t="str">
        <f t="shared" si="178"/>
        <v>57210400</v>
      </c>
      <c r="H5138" t="s">
        <v>2137</v>
      </c>
      <c r="K5138" s="4">
        <v>12000</v>
      </c>
    </row>
    <row r="5139" spans="1:11" hidden="1" outlineLevel="2" x14ac:dyDescent="0.35">
      <c r="A5139" t="s">
        <v>2018</v>
      </c>
      <c r="B5139" s="1">
        <v>45735</v>
      </c>
      <c r="C5139" t="str">
        <f>"427"</f>
        <v>427</v>
      </c>
      <c r="F5139" t="str">
        <f t="shared" si="178"/>
        <v>57210400</v>
      </c>
      <c r="H5139" t="s">
        <v>2052</v>
      </c>
      <c r="J5139" s="4">
        <v>1000000</v>
      </c>
    </row>
    <row r="5140" spans="1:11" hidden="1" outlineLevel="2" x14ac:dyDescent="0.35">
      <c r="A5140" t="s">
        <v>2018</v>
      </c>
      <c r="B5140" s="1">
        <v>45735</v>
      </c>
      <c r="C5140" t="str">
        <f>"428"</f>
        <v>428</v>
      </c>
      <c r="F5140" t="str">
        <f t="shared" si="178"/>
        <v>57210400</v>
      </c>
      <c r="H5140" t="s">
        <v>2043</v>
      </c>
      <c r="K5140" s="4">
        <v>100000</v>
      </c>
    </row>
    <row r="5141" spans="1:11" hidden="1" outlineLevel="2" x14ac:dyDescent="0.35">
      <c r="A5141" t="s">
        <v>2018</v>
      </c>
      <c r="B5141" s="1">
        <v>45735</v>
      </c>
      <c r="C5141" t="str">
        <f>"429"</f>
        <v>429</v>
      </c>
      <c r="F5141" t="str">
        <f t="shared" si="178"/>
        <v>57210400</v>
      </c>
      <c r="H5141" t="s">
        <v>2125</v>
      </c>
      <c r="K5141" s="4">
        <v>30000</v>
      </c>
    </row>
    <row r="5142" spans="1:11" hidden="1" outlineLevel="2" x14ac:dyDescent="0.35">
      <c r="A5142" t="s">
        <v>2018</v>
      </c>
      <c r="B5142" s="1">
        <v>45735</v>
      </c>
      <c r="C5142" t="str">
        <f>"430"</f>
        <v>430</v>
      </c>
      <c r="F5142" t="str">
        <f t="shared" si="178"/>
        <v>57210400</v>
      </c>
      <c r="H5142" t="s">
        <v>2140</v>
      </c>
      <c r="K5142" s="4">
        <v>930000</v>
      </c>
    </row>
    <row r="5143" spans="1:11" hidden="1" outlineLevel="2" x14ac:dyDescent="0.35">
      <c r="A5143" t="s">
        <v>2018</v>
      </c>
      <c r="B5143" s="1">
        <v>45735</v>
      </c>
      <c r="C5143" t="str">
        <f>"431"</f>
        <v>431</v>
      </c>
      <c r="F5143" t="str">
        <f t="shared" si="178"/>
        <v>57210400</v>
      </c>
      <c r="H5143" t="s">
        <v>2143</v>
      </c>
      <c r="K5143" s="4">
        <v>17170</v>
      </c>
    </row>
    <row r="5144" spans="1:11" hidden="1" outlineLevel="2" x14ac:dyDescent="0.35">
      <c r="A5144" t="s">
        <v>2018</v>
      </c>
      <c r="B5144" s="1">
        <v>45736</v>
      </c>
      <c r="C5144" t="str">
        <f>"432"</f>
        <v>432</v>
      </c>
      <c r="F5144" t="str">
        <f t="shared" si="178"/>
        <v>57210400</v>
      </c>
      <c r="H5144" t="s">
        <v>2146</v>
      </c>
      <c r="K5144" s="4">
        <v>58580</v>
      </c>
    </row>
    <row r="5145" spans="1:11" hidden="1" outlineLevel="2" x14ac:dyDescent="0.35">
      <c r="A5145" t="s">
        <v>2018</v>
      </c>
      <c r="B5145" s="1">
        <v>45736</v>
      </c>
      <c r="C5145" t="str">
        <f>"433"</f>
        <v>433</v>
      </c>
      <c r="F5145" t="str">
        <f t="shared" si="178"/>
        <v>57210400</v>
      </c>
      <c r="H5145" t="s">
        <v>2149</v>
      </c>
      <c r="K5145" s="4">
        <v>15150</v>
      </c>
    </row>
    <row r="5146" spans="1:11" hidden="1" outlineLevel="2" x14ac:dyDescent="0.35">
      <c r="A5146" t="s">
        <v>2018</v>
      </c>
      <c r="B5146" s="1">
        <v>45736</v>
      </c>
      <c r="C5146" t="str">
        <f>"434"</f>
        <v>434</v>
      </c>
      <c r="F5146" t="str">
        <f t="shared" si="178"/>
        <v>57210400</v>
      </c>
      <c r="H5146" t="s">
        <v>2054</v>
      </c>
      <c r="K5146" s="4">
        <v>15000</v>
      </c>
    </row>
    <row r="5147" spans="1:11" hidden="1" outlineLevel="2" x14ac:dyDescent="0.35">
      <c r="A5147" t="s">
        <v>2018</v>
      </c>
      <c r="B5147" s="1">
        <v>45736</v>
      </c>
      <c r="C5147" t="str">
        <f>"435"</f>
        <v>435</v>
      </c>
      <c r="F5147" t="str">
        <f t="shared" si="178"/>
        <v>57210400</v>
      </c>
      <c r="H5147" t="s">
        <v>2069</v>
      </c>
      <c r="K5147" s="4">
        <v>6000</v>
      </c>
    </row>
    <row r="5148" spans="1:11" hidden="1" outlineLevel="2" x14ac:dyDescent="0.35">
      <c r="A5148" t="s">
        <v>2018</v>
      </c>
      <c r="B5148" s="1">
        <v>45736</v>
      </c>
      <c r="C5148" t="str">
        <f>"436"</f>
        <v>436</v>
      </c>
      <c r="F5148" t="str">
        <f t="shared" si="178"/>
        <v>57210400</v>
      </c>
      <c r="H5148" t="s">
        <v>2150</v>
      </c>
      <c r="K5148" s="4">
        <v>17170</v>
      </c>
    </row>
    <row r="5149" spans="1:11" hidden="1" outlineLevel="2" x14ac:dyDescent="0.35">
      <c r="A5149" t="s">
        <v>2018</v>
      </c>
      <c r="B5149" s="1">
        <v>45736</v>
      </c>
      <c r="C5149" t="str">
        <f>"437"</f>
        <v>437</v>
      </c>
      <c r="F5149" t="str">
        <f t="shared" si="178"/>
        <v>57210400</v>
      </c>
      <c r="H5149" t="s">
        <v>2151</v>
      </c>
      <c r="K5149" s="4">
        <v>45450</v>
      </c>
    </row>
    <row r="5150" spans="1:11" hidden="1" outlineLevel="2" x14ac:dyDescent="0.35">
      <c r="A5150" t="s">
        <v>2018</v>
      </c>
      <c r="B5150" s="1">
        <v>45737</v>
      </c>
      <c r="C5150" t="str">
        <f>"438"</f>
        <v>438</v>
      </c>
      <c r="F5150" t="str">
        <f t="shared" si="178"/>
        <v>57210400</v>
      </c>
      <c r="H5150" t="s">
        <v>2052</v>
      </c>
      <c r="J5150" s="4">
        <v>1000000</v>
      </c>
    </row>
    <row r="5151" spans="1:11" hidden="1" outlineLevel="2" x14ac:dyDescent="0.35">
      <c r="A5151" t="s">
        <v>2018</v>
      </c>
      <c r="B5151" s="1">
        <v>45737</v>
      </c>
      <c r="C5151" t="str">
        <f>"439"</f>
        <v>439</v>
      </c>
      <c r="F5151" t="str">
        <f t="shared" si="178"/>
        <v>57210400</v>
      </c>
      <c r="H5151" t="s">
        <v>2154</v>
      </c>
      <c r="K5151" s="4">
        <v>12030</v>
      </c>
    </row>
    <row r="5152" spans="1:11" hidden="1" outlineLevel="2" x14ac:dyDescent="0.35">
      <c r="A5152" t="s">
        <v>2018</v>
      </c>
      <c r="B5152" s="1">
        <v>45737</v>
      </c>
      <c r="C5152" t="str">
        <f>"440"</f>
        <v>440</v>
      </c>
      <c r="F5152" t="str">
        <f t="shared" ref="F5152:F5183" si="179">"57210400"</f>
        <v>57210400</v>
      </c>
      <c r="H5152" t="s">
        <v>2157</v>
      </c>
      <c r="K5152" s="4">
        <v>5000</v>
      </c>
    </row>
    <row r="5153" spans="1:11" hidden="1" outlineLevel="2" x14ac:dyDescent="0.35">
      <c r="A5153" t="s">
        <v>2018</v>
      </c>
      <c r="B5153" s="1">
        <v>45737</v>
      </c>
      <c r="C5153" t="str">
        <f>"441"</f>
        <v>441</v>
      </c>
      <c r="F5153" t="str">
        <f t="shared" si="179"/>
        <v>57210400</v>
      </c>
      <c r="H5153" t="s">
        <v>2158</v>
      </c>
      <c r="K5153" s="4">
        <v>58000</v>
      </c>
    </row>
    <row r="5154" spans="1:11" hidden="1" outlineLevel="2" x14ac:dyDescent="0.35">
      <c r="A5154" t="s">
        <v>2018</v>
      </c>
      <c r="B5154" s="1">
        <v>45737</v>
      </c>
      <c r="C5154" t="str">
        <f>"442"</f>
        <v>442</v>
      </c>
      <c r="F5154" t="str">
        <f t="shared" si="179"/>
        <v>57210400</v>
      </c>
      <c r="H5154" t="s">
        <v>2161</v>
      </c>
      <c r="K5154" s="4">
        <v>17170</v>
      </c>
    </row>
    <row r="5155" spans="1:11" hidden="1" outlineLevel="2" x14ac:dyDescent="0.35">
      <c r="A5155" t="s">
        <v>2018</v>
      </c>
      <c r="B5155" s="1">
        <v>45737</v>
      </c>
      <c r="C5155" t="str">
        <f>"443"</f>
        <v>443</v>
      </c>
      <c r="F5155" t="str">
        <f t="shared" si="179"/>
        <v>57210400</v>
      </c>
      <c r="H5155" t="s">
        <v>2164</v>
      </c>
      <c r="K5155" s="4">
        <v>17170</v>
      </c>
    </row>
    <row r="5156" spans="1:11" hidden="1" outlineLevel="2" x14ac:dyDescent="0.35">
      <c r="A5156" t="s">
        <v>2018</v>
      </c>
      <c r="B5156" s="1">
        <v>45737</v>
      </c>
      <c r="C5156" t="str">
        <f>"444"</f>
        <v>444</v>
      </c>
      <c r="F5156" t="str">
        <f t="shared" si="179"/>
        <v>57210400</v>
      </c>
      <c r="H5156" t="s">
        <v>2067</v>
      </c>
      <c r="K5156" s="4">
        <v>10000</v>
      </c>
    </row>
    <row r="5157" spans="1:11" hidden="1" outlineLevel="2" x14ac:dyDescent="0.35">
      <c r="A5157" t="s">
        <v>2018</v>
      </c>
      <c r="B5157" s="1">
        <v>45738</v>
      </c>
      <c r="C5157" t="str">
        <f>"445"</f>
        <v>445</v>
      </c>
      <c r="F5157" t="str">
        <f t="shared" si="179"/>
        <v>57210400</v>
      </c>
      <c r="H5157" t="s">
        <v>2167</v>
      </c>
      <c r="K5157" s="4">
        <v>10000</v>
      </c>
    </row>
    <row r="5158" spans="1:11" hidden="1" outlineLevel="2" x14ac:dyDescent="0.35">
      <c r="A5158" t="s">
        <v>2018</v>
      </c>
      <c r="B5158" s="1">
        <v>45738</v>
      </c>
      <c r="C5158" t="str">
        <f>"446"</f>
        <v>446</v>
      </c>
      <c r="F5158" t="str">
        <f t="shared" si="179"/>
        <v>57210400</v>
      </c>
      <c r="H5158" t="s">
        <v>2168</v>
      </c>
      <c r="K5158" s="4">
        <v>10000</v>
      </c>
    </row>
    <row r="5159" spans="1:11" hidden="1" outlineLevel="2" x14ac:dyDescent="0.35">
      <c r="A5159" t="s">
        <v>2018</v>
      </c>
      <c r="B5159" s="1">
        <v>45738</v>
      </c>
      <c r="C5159" t="str">
        <f>"447"</f>
        <v>447</v>
      </c>
      <c r="F5159" t="str">
        <f t="shared" si="179"/>
        <v>57210400</v>
      </c>
      <c r="H5159" t="s">
        <v>2169</v>
      </c>
      <c r="K5159" s="4">
        <v>10100</v>
      </c>
    </row>
    <row r="5160" spans="1:11" hidden="1" outlineLevel="2" x14ac:dyDescent="0.35">
      <c r="A5160" t="s">
        <v>2018</v>
      </c>
      <c r="B5160" s="1">
        <v>45738</v>
      </c>
      <c r="C5160" t="str">
        <f>"448"</f>
        <v>448</v>
      </c>
      <c r="F5160" t="str">
        <f t="shared" si="179"/>
        <v>57210400</v>
      </c>
      <c r="H5160" t="s">
        <v>2170</v>
      </c>
      <c r="K5160" s="4">
        <v>10000</v>
      </c>
    </row>
    <row r="5161" spans="1:11" hidden="1" outlineLevel="2" x14ac:dyDescent="0.35">
      <c r="A5161" t="s">
        <v>2018</v>
      </c>
      <c r="B5161" s="1">
        <v>45738</v>
      </c>
      <c r="C5161" t="str">
        <f>"449"</f>
        <v>449</v>
      </c>
      <c r="F5161" t="str">
        <f t="shared" si="179"/>
        <v>57210400</v>
      </c>
      <c r="H5161" t="s">
        <v>2171</v>
      </c>
      <c r="K5161" s="4">
        <v>10000</v>
      </c>
    </row>
    <row r="5162" spans="1:11" hidden="1" outlineLevel="2" x14ac:dyDescent="0.35">
      <c r="A5162" t="s">
        <v>2018</v>
      </c>
      <c r="B5162" s="1">
        <v>45738</v>
      </c>
      <c r="C5162" t="str">
        <f>"450"</f>
        <v>450</v>
      </c>
      <c r="F5162" t="str">
        <f t="shared" si="179"/>
        <v>57210400</v>
      </c>
      <c r="H5162" t="s">
        <v>2154</v>
      </c>
      <c r="K5162" s="4">
        <v>12000</v>
      </c>
    </row>
    <row r="5163" spans="1:11" hidden="1" outlineLevel="2" x14ac:dyDescent="0.35">
      <c r="A5163" t="s">
        <v>2018</v>
      </c>
      <c r="B5163" s="1">
        <v>45738</v>
      </c>
      <c r="C5163" t="str">
        <f>"451"</f>
        <v>451</v>
      </c>
      <c r="F5163" t="str">
        <f t="shared" si="179"/>
        <v>57210400</v>
      </c>
      <c r="H5163" t="s">
        <v>2172</v>
      </c>
      <c r="K5163" s="4">
        <v>12000</v>
      </c>
    </row>
    <row r="5164" spans="1:11" hidden="1" outlineLevel="2" x14ac:dyDescent="0.35">
      <c r="A5164" t="s">
        <v>2018</v>
      </c>
      <c r="B5164" s="1">
        <v>45738</v>
      </c>
      <c r="C5164" t="str">
        <f>"452"</f>
        <v>452</v>
      </c>
      <c r="F5164" t="str">
        <f t="shared" si="179"/>
        <v>57210400</v>
      </c>
      <c r="H5164" t="s">
        <v>2175</v>
      </c>
      <c r="K5164" s="4">
        <v>939300</v>
      </c>
    </row>
    <row r="5165" spans="1:11" hidden="1" outlineLevel="2" x14ac:dyDescent="0.35">
      <c r="A5165" t="s">
        <v>2018</v>
      </c>
      <c r="B5165" s="1">
        <v>45738</v>
      </c>
      <c r="C5165" t="str">
        <f>"453"</f>
        <v>453</v>
      </c>
      <c r="F5165" t="str">
        <f t="shared" si="179"/>
        <v>57210400</v>
      </c>
      <c r="H5165" t="s">
        <v>2056</v>
      </c>
      <c r="K5165" s="4">
        <v>50500</v>
      </c>
    </row>
    <row r="5166" spans="1:11" hidden="1" outlineLevel="2" x14ac:dyDescent="0.35">
      <c r="A5166" t="s">
        <v>2018</v>
      </c>
      <c r="B5166" s="1">
        <v>45738</v>
      </c>
      <c r="C5166" t="str">
        <f>"454"</f>
        <v>454</v>
      </c>
      <c r="F5166" t="str">
        <f t="shared" si="179"/>
        <v>57210400</v>
      </c>
      <c r="H5166" t="s">
        <v>2069</v>
      </c>
      <c r="K5166" s="4">
        <v>8000</v>
      </c>
    </row>
    <row r="5167" spans="1:11" hidden="1" outlineLevel="2" x14ac:dyDescent="0.35">
      <c r="A5167" t="s">
        <v>2018</v>
      </c>
      <c r="B5167" s="1">
        <v>45740</v>
      </c>
      <c r="C5167" t="str">
        <f>"455"</f>
        <v>455</v>
      </c>
      <c r="F5167" t="str">
        <f t="shared" si="179"/>
        <v>57210400</v>
      </c>
      <c r="H5167" t="s">
        <v>2054</v>
      </c>
      <c r="K5167" s="4">
        <v>12500</v>
      </c>
    </row>
    <row r="5168" spans="1:11" hidden="1" outlineLevel="2" x14ac:dyDescent="0.35">
      <c r="A5168" t="s">
        <v>2018</v>
      </c>
      <c r="B5168" s="1">
        <v>45740</v>
      </c>
      <c r="C5168" t="str">
        <f>"456"</f>
        <v>456</v>
      </c>
      <c r="F5168" t="str">
        <f t="shared" si="179"/>
        <v>57210400</v>
      </c>
      <c r="H5168" t="s">
        <v>2178</v>
      </c>
      <c r="K5168" s="4">
        <v>12120</v>
      </c>
    </row>
    <row r="5169" spans="1:11" hidden="1" outlineLevel="2" x14ac:dyDescent="0.35">
      <c r="A5169" t="s">
        <v>2018</v>
      </c>
      <c r="B5169" s="1">
        <v>45740</v>
      </c>
      <c r="C5169" t="str">
        <f>"457"</f>
        <v>457</v>
      </c>
      <c r="F5169" t="str">
        <f t="shared" si="179"/>
        <v>57210400</v>
      </c>
      <c r="H5169" t="s">
        <v>2179</v>
      </c>
      <c r="K5169" s="4">
        <v>14140</v>
      </c>
    </row>
    <row r="5170" spans="1:11" hidden="1" outlineLevel="2" x14ac:dyDescent="0.35">
      <c r="A5170" t="s">
        <v>2018</v>
      </c>
      <c r="B5170" s="1">
        <v>45740</v>
      </c>
      <c r="C5170" t="str">
        <f>"458"</f>
        <v>458</v>
      </c>
      <c r="F5170" t="str">
        <f t="shared" si="179"/>
        <v>57210400</v>
      </c>
      <c r="H5170" t="s">
        <v>2180</v>
      </c>
      <c r="K5170" s="4">
        <v>10100</v>
      </c>
    </row>
    <row r="5171" spans="1:11" hidden="1" outlineLevel="2" x14ac:dyDescent="0.35">
      <c r="A5171" t="s">
        <v>2018</v>
      </c>
      <c r="B5171" s="1">
        <v>45740</v>
      </c>
      <c r="C5171" t="str">
        <f>"459"</f>
        <v>459</v>
      </c>
      <c r="F5171" t="str">
        <f t="shared" si="179"/>
        <v>57210400</v>
      </c>
      <c r="H5171" t="s">
        <v>2183</v>
      </c>
      <c r="K5171" s="4">
        <v>60600</v>
      </c>
    </row>
    <row r="5172" spans="1:11" hidden="1" outlineLevel="2" x14ac:dyDescent="0.35">
      <c r="A5172" t="s">
        <v>2018</v>
      </c>
      <c r="B5172" s="1">
        <v>45740</v>
      </c>
      <c r="C5172" t="str">
        <f>"460"</f>
        <v>460</v>
      </c>
      <c r="F5172" t="str">
        <f t="shared" si="179"/>
        <v>57210400</v>
      </c>
      <c r="H5172" t="s">
        <v>2174</v>
      </c>
      <c r="K5172" s="4">
        <v>12120</v>
      </c>
    </row>
    <row r="5173" spans="1:11" hidden="1" outlineLevel="2" x14ac:dyDescent="0.35">
      <c r="A5173" t="s">
        <v>2018</v>
      </c>
      <c r="B5173" s="1">
        <v>45740</v>
      </c>
      <c r="C5173" t="str">
        <f>"461"</f>
        <v>461</v>
      </c>
      <c r="F5173" t="str">
        <f t="shared" si="179"/>
        <v>57210400</v>
      </c>
      <c r="H5173" t="s">
        <v>2187</v>
      </c>
      <c r="K5173" s="4">
        <v>12120</v>
      </c>
    </row>
    <row r="5174" spans="1:11" hidden="1" outlineLevel="2" x14ac:dyDescent="0.35">
      <c r="A5174" t="s">
        <v>2018</v>
      </c>
      <c r="B5174" s="1">
        <v>45741</v>
      </c>
      <c r="C5174" t="str">
        <f>"462"</f>
        <v>462</v>
      </c>
      <c r="F5174" t="str">
        <f t="shared" si="179"/>
        <v>57210400</v>
      </c>
      <c r="H5174" t="s">
        <v>2188</v>
      </c>
      <c r="K5174" s="4">
        <v>12120</v>
      </c>
    </row>
    <row r="5175" spans="1:11" hidden="1" outlineLevel="2" x14ac:dyDescent="0.35">
      <c r="A5175" t="s">
        <v>2018</v>
      </c>
      <c r="B5175" s="1">
        <v>45741</v>
      </c>
      <c r="C5175" t="str">
        <f>"463"</f>
        <v>463</v>
      </c>
      <c r="F5175" t="str">
        <f t="shared" si="179"/>
        <v>57210400</v>
      </c>
      <c r="H5175" t="s">
        <v>2191</v>
      </c>
      <c r="K5175" s="4">
        <v>12120</v>
      </c>
    </row>
    <row r="5176" spans="1:11" hidden="1" outlineLevel="2" x14ac:dyDescent="0.35">
      <c r="A5176" t="s">
        <v>2018</v>
      </c>
      <c r="B5176" s="1">
        <v>45741</v>
      </c>
      <c r="C5176" t="str">
        <f>"464"</f>
        <v>464</v>
      </c>
      <c r="F5176" t="str">
        <f t="shared" si="179"/>
        <v>57210400</v>
      </c>
      <c r="H5176" t="s">
        <v>2192</v>
      </c>
      <c r="K5176" s="4">
        <v>12120</v>
      </c>
    </row>
    <row r="5177" spans="1:11" hidden="1" outlineLevel="2" x14ac:dyDescent="0.35">
      <c r="A5177" t="s">
        <v>2018</v>
      </c>
      <c r="B5177" s="1">
        <v>45741</v>
      </c>
      <c r="C5177" t="str">
        <f>"465"</f>
        <v>465</v>
      </c>
      <c r="F5177" t="str">
        <f t="shared" si="179"/>
        <v>57210400</v>
      </c>
      <c r="H5177" t="s">
        <v>2193</v>
      </c>
      <c r="K5177" s="4">
        <v>12120</v>
      </c>
    </row>
    <row r="5178" spans="1:11" hidden="1" outlineLevel="2" x14ac:dyDescent="0.35">
      <c r="A5178" t="s">
        <v>2018</v>
      </c>
      <c r="B5178" s="1">
        <v>45741</v>
      </c>
      <c r="C5178" t="str">
        <f>"466"</f>
        <v>466</v>
      </c>
      <c r="F5178" t="str">
        <f t="shared" si="179"/>
        <v>57210400</v>
      </c>
      <c r="H5178" t="s">
        <v>2196</v>
      </c>
      <c r="K5178" s="4">
        <v>12000</v>
      </c>
    </row>
    <row r="5179" spans="1:11" hidden="1" outlineLevel="2" x14ac:dyDescent="0.35">
      <c r="A5179" t="s">
        <v>2018</v>
      </c>
      <c r="B5179" s="1">
        <v>45741</v>
      </c>
      <c r="C5179" t="str">
        <f>"467"</f>
        <v>467</v>
      </c>
      <c r="F5179" t="str">
        <f t="shared" si="179"/>
        <v>57210400</v>
      </c>
      <c r="H5179" t="s">
        <v>2199</v>
      </c>
      <c r="K5179" s="4">
        <v>14140</v>
      </c>
    </row>
    <row r="5180" spans="1:11" hidden="1" outlineLevel="2" x14ac:dyDescent="0.35">
      <c r="A5180" t="s">
        <v>2018</v>
      </c>
      <c r="B5180" s="1">
        <v>45742</v>
      </c>
      <c r="C5180" t="str">
        <f>"468"</f>
        <v>468</v>
      </c>
      <c r="F5180" t="str">
        <f t="shared" si="179"/>
        <v>57210400</v>
      </c>
      <c r="H5180" t="s">
        <v>2200</v>
      </c>
      <c r="K5180" s="4">
        <v>10000</v>
      </c>
    </row>
    <row r="5181" spans="1:11" hidden="1" outlineLevel="2" x14ac:dyDescent="0.35">
      <c r="A5181" t="s">
        <v>2018</v>
      </c>
      <c r="B5181" s="1">
        <v>45742</v>
      </c>
      <c r="C5181" t="str">
        <f>"469"</f>
        <v>469</v>
      </c>
      <c r="F5181" t="str">
        <f t="shared" si="179"/>
        <v>57210400</v>
      </c>
      <c r="H5181" t="s">
        <v>2056</v>
      </c>
      <c r="K5181" s="4">
        <v>22000</v>
      </c>
    </row>
    <row r="5182" spans="1:11" hidden="1" outlineLevel="2" x14ac:dyDescent="0.35">
      <c r="A5182" t="s">
        <v>2018</v>
      </c>
      <c r="B5182" s="1">
        <v>45742</v>
      </c>
      <c r="C5182" t="str">
        <f>"470"</f>
        <v>470</v>
      </c>
      <c r="F5182" t="str">
        <f t="shared" si="179"/>
        <v>57210400</v>
      </c>
      <c r="H5182" t="s">
        <v>2052</v>
      </c>
      <c r="J5182" s="4">
        <v>2000000</v>
      </c>
    </row>
    <row r="5183" spans="1:11" hidden="1" outlineLevel="2" x14ac:dyDescent="0.35">
      <c r="A5183" t="s">
        <v>2018</v>
      </c>
      <c r="B5183" s="1">
        <v>45742</v>
      </c>
      <c r="C5183" t="str">
        <f>"471"</f>
        <v>471</v>
      </c>
      <c r="F5183" t="str">
        <f t="shared" si="179"/>
        <v>57210400</v>
      </c>
      <c r="H5183" t="s">
        <v>2201</v>
      </c>
      <c r="K5183" s="4">
        <v>930000</v>
      </c>
    </row>
    <row r="5184" spans="1:11" hidden="1" outlineLevel="2" x14ac:dyDescent="0.35">
      <c r="A5184" t="s">
        <v>2018</v>
      </c>
      <c r="B5184" s="1">
        <v>45742</v>
      </c>
      <c r="C5184" t="str">
        <f>"472"</f>
        <v>472</v>
      </c>
      <c r="F5184" t="str">
        <f t="shared" ref="F5184:F5200" si="180">"57210400"</f>
        <v>57210400</v>
      </c>
      <c r="H5184" t="s">
        <v>2204</v>
      </c>
      <c r="K5184" s="4">
        <v>12120</v>
      </c>
    </row>
    <row r="5185" spans="1:11" hidden="1" outlineLevel="2" x14ac:dyDescent="0.35">
      <c r="A5185" t="s">
        <v>2018</v>
      </c>
      <c r="B5185" s="1">
        <v>45742</v>
      </c>
      <c r="C5185" t="str">
        <f>"473"</f>
        <v>473</v>
      </c>
      <c r="F5185" t="str">
        <f t="shared" si="180"/>
        <v>57210400</v>
      </c>
      <c r="H5185" t="s">
        <v>2205</v>
      </c>
      <c r="K5185" s="4">
        <v>14140</v>
      </c>
    </row>
    <row r="5186" spans="1:11" hidden="1" outlineLevel="2" x14ac:dyDescent="0.35">
      <c r="A5186" t="s">
        <v>2018</v>
      </c>
      <c r="B5186" s="1">
        <v>45742</v>
      </c>
      <c r="C5186" t="str">
        <f>"474"</f>
        <v>474</v>
      </c>
      <c r="F5186" t="str">
        <f t="shared" si="180"/>
        <v>57210400</v>
      </c>
      <c r="H5186" t="s">
        <v>2188</v>
      </c>
      <c r="K5186" s="4">
        <v>12120</v>
      </c>
    </row>
    <row r="5187" spans="1:11" hidden="1" outlineLevel="2" x14ac:dyDescent="0.35">
      <c r="A5187" t="s">
        <v>2018</v>
      </c>
      <c r="B5187" s="1">
        <v>45743</v>
      </c>
      <c r="C5187" t="str">
        <f>"475"</f>
        <v>475</v>
      </c>
      <c r="F5187" t="str">
        <f t="shared" si="180"/>
        <v>57210400</v>
      </c>
      <c r="H5187" t="s">
        <v>2206</v>
      </c>
      <c r="K5187" s="4">
        <v>3030</v>
      </c>
    </row>
    <row r="5188" spans="1:11" hidden="1" outlineLevel="2" x14ac:dyDescent="0.35">
      <c r="A5188" t="s">
        <v>2018</v>
      </c>
      <c r="B5188" s="1">
        <v>45743</v>
      </c>
      <c r="C5188" t="str">
        <f>"476"</f>
        <v>476</v>
      </c>
      <c r="F5188" t="str">
        <f t="shared" si="180"/>
        <v>57210400</v>
      </c>
      <c r="H5188" t="s">
        <v>2207</v>
      </c>
      <c r="K5188" s="4">
        <v>3030</v>
      </c>
    </row>
    <row r="5189" spans="1:11" hidden="1" outlineLevel="2" x14ac:dyDescent="0.35">
      <c r="A5189" t="s">
        <v>2018</v>
      </c>
      <c r="B5189" s="1">
        <v>45743</v>
      </c>
      <c r="C5189" t="str">
        <f>"477"</f>
        <v>477</v>
      </c>
      <c r="F5189" t="str">
        <f t="shared" si="180"/>
        <v>57210400</v>
      </c>
      <c r="H5189" t="s">
        <v>2208</v>
      </c>
      <c r="K5189" s="4">
        <v>3030</v>
      </c>
    </row>
    <row r="5190" spans="1:11" hidden="1" outlineLevel="2" x14ac:dyDescent="0.35">
      <c r="A5190" t="s">
        <v>2018</v>
      </c>
      <c r="B5190" s="1">
        <v>45743</v>
      </c>
      <c r="C5190" t="str">
        <f>"478"</f>
        <v>478</v>
      </c>
      <c r="F5190" t="str">
        <f t="shared" si="180"/>
        <v>57210400</v>
      </c>
      <c r="H5190" t="s">
        <v>2209</v>
      </c>
      <c r="K5190" s="4">
        <v>3030</v>
      </c>
    </row>
    <row r="5191" spans="1:11" hidden="1" outlineLevel="2" x14ac:dyDescent="0.35">
      <c r="A5191" t="s">
        <v>2018</v>
      </c>
      <c r="B5191" s="1">
        <v>45743</v>
      </c>
      <c r="C5191" t="str">
        <f>"479"</f>
        <v>479</v>
      </c>
      <c r="F5191" t="str">
        <f t="shared" si="180"/>
        <v>57210400</v>
      </c>
      <c r="H5191" t="s">
        <v>2210</v>
      </c>
      <c r="K5191" s="4">
        <v>5000</v>
      </c>
    </row>
    <row r="5192" spans="1:11" hidden="1" outlineLevel="2" x14ac:dyDescent="0.35">
      <c r="A5192" t="s">
        <v>2018</v>
      </c>
      <c r="B5192" s="1">
        <v>45743</v>
      </c>
      <c r="C5192" t="str">
        <f>"480"</f>
        <v>480</v>
      </c>
      <c r="F5192" t="str">
        <f t="shared" si="180"/>
        <v>57210400</v>
      </c>
      <c r="H5192" t="s">
        <v>2211</v>
      </c>
      <c r="K5192" s="4">
        <v>10000</v>
      </c>
    </row>
    <row r="5193" spans="1:11" hidden="1" outlineLevel="2" x14ac:dyDescent="0.35">
      <c r="A5193" t="s">
        <v>2018</v>
      </c>
      <c r="B5193" s="1">
        <v>45744</v>
      </c>
      <c r="C5193" t="str">
        <f>"481"</f>
        <v>481</v>
      </c>
      <c r="F5193" t="str">
        <f t="shared" si="180"/>
        <v>57210400</v>
      </c>
      <c r="H5193" t="s">
        <v>2212</v>
      </c>
      <c r="K5193" s="4">
        <v>10100</v>
      </c>
    </row>
    <row r="5194" spans="1:11" hidden="1" outlineLevel="2" x14ac:dyDescent="0.35">
      <c r="A5194" t="s">
        <v>2018</v>
      </c>
      <c r="B5194" s="1">
        <v>45744</v>
      </c>
      <c r="C5194" t="str">
        <f>"482"</f>
        <v>482</v>
      </c>
      <c r="F5194" t="str">
        <f t="shared" si="180"/>
        <v>57210400</v>
      </c>
      <c r="H5194" t="s">
        <v>2213</v>
      </c>
      <c r="K5194" s="4">
        <v>40000</v>
      </c>
    </row>
    <row r="5195" spans="1:11" hidden="1" outlineLevel="2" x14ac:dyDescent="0.35">
      <c r="A5195" t="s">
        <v>2018</v>
      </c>
      <c r="B5195" s="1">
        <v>45744</v>
      </c>
      <c r="C5195" t="str">
        <f>"483"</f>
        <v>483</v>
      </c>
      <c r="F5195" t="str">
        <f t="shared" si="180"/>
        <v>57210400</v>
      </c>
      <c r="H5195" t="s">
        <v>2054</v>
      </c>
      <c r="K5195" s="4">
        <v>50000</v>
      </c>
    </row>
    <row r="5196" spans="1:11" hidden="1" outlineLevel="2" x14ac:dyDescent="0.35">
      <c r="A5196" t="s">
        <v>2018</v>
      </c>
      <c r="B5196" s="1">
        <v>45745</v>
      </c>
      <c r="C5196" t="str">
        <f>"484"</f>
        <v>484</v>
      </c>
      <c r="F5196" t="str">
        <f t="shared" si="180"/>
        <v>57210400</v>
      </c>
      <c r="H5196" t="s">
        <v>2214</v>
      </c>
      <c r="K5196" s="4">
        <v>280000</v>
      </c>
    </row>
    <row r="5197" spans="1:11" hidden="1" outlineLevel="2" x14ac:dyDescent="0.35">
      <c r="A5197" t="s">
        <v>2018</v>
      </c>
      <c r="B5197" s="1">
        <v>45745</v>
      </c>
      <c r="C5197" t="str">
        <f>"485"</f>
        <v>485</v>
      </c>
      <c r="F5197" t="str">
        <f t="shared" si="180"/>
        <v>57210400</v>
      </c>
      <c r="H5197" t="s">
        <v>2052</v>
      </c>
      <c r="J5197" s="4">
        <v>1000000</v>
      </c>
    </row>
    <row r="5198" spans="1:11" hidden="1" outlineLevel="2" x14ac:dyDescent="0.35">
      <c r="A5198" t="s">
        <v>2018</v>
      </c>
      <c r="B5198" s="1">
        <v>45745</v>
      </c>
      <c r="C5198" t="str">
        <f>"486"</f>
        <v>486</v>
      </c>
      <c r="F5198" t="str">
        <f t="shared" si="180"/>
        <v>57210400</v>
      </c>
      <c r="H5198" t="s">
        <v>2215</v>
      </c>
      <c r="K5198" s="4">
        <v>939300</v>
      </c>
    </row>
    <row r="5199" spans="1:11" hidden="1" outlineLevel="2" x14ac:dyDescent="0.35">
      <c r="A5199" t="s">
        <v>2018</v>
      </c>
      <c r="B5199" s="1">
        <v>45745</v>
      </c>
      <c r="C5199" t="str">
        <f>"487"</f>
        <v>487</v>
      </c>
      <c r="F5199" t="str">
        <f t="shared" si="180"/>
        <v>57210400</v>
      </c>
      <c r="H5199" t="s">
        <v>2056</v>
      </c>
      <c r="K5199" s="4">
        <v>50000</v>
      </c>
    </row>
    <row r="5200" spans="1:11" hidden="1" outlineLevel="2" x14ac:dyDescent="0.35">
      <c r="A5200" t="s">
        <v>2018</v>
      </c>
      <c r="B5200" s="1">
        <v>45745</v>
      </c>
      <c r="C5200" t="str">
        <f>"488"</f>
        <v>488</v>
      </c>
      <c r="F5200" t="str">
        <f t="shared" si="180"/>
        <v>57210400</v>
      </c>
      <c r="H5200" t="s">
        <v>2218</v>
      </c>
      <c r="K5200" s="4">
        <v>167500</v>
      </c>
    </row>
    <row r="5201" spans="1:11" outlineLevel="1" collapsed="1" x14ac:dyDescent="0.35">
      <c r="B5201" s="1"/>
      <c r="F5201" s="3" t="s">
        <v>6603</v>
      </c>
      <c r="J5201" s="4">
        <f>SUBTOTAL(9,J5056:J5200)</f>
        <v>8000000</v>
      </c>
      <c r="K5201" s="4">
        <f>SUBTOTAL(9,K5056:K5200)</f>
        <v>8804100</v>
      </c>
    </row>
    <row r="5202" spans="1:11" hidden="1" outlineLevel="2" x14ac:dyDescent="0.35">
      <c r="A5202" t="s">
        <v>1790</v>
      </c>
      <c r="B5202" s="1">
        <v>45721</v>
      </c>
      <c r="C5202" t="str">
        <f>"154"</f>
        <v>154</v>
      </c>
      <c r="F5202" t="str">
        <f t="shared" ref="F5202:F5232" si="181">"58500000"</f>
        <v>58500000</v>
      </c>
      <c r="H5202" t="s">
        <v>1798</v>
      </c>
      <c r="J5202" s="4">
        <v>25000000</v>
      </c>
    </row>
    <row r="5203" spans="1:11" hidden="1" outlineLevel="2" x14ac:dyDescent="0.35">
      <c r="A5203" t="s">
        <v>1790</v>
      </c>
      <c r="B5203" s="1">
        <v>45730</v>
      </c>
      <c r="C5203" t="str">
        <f>"163"</f>
        <v>163</v>
      </c>
      <c r="F5203" t="str">
        <f t="shared" si="181"/>
        <v>58500000</v>
      </c>
      <c r="H5203" t="s">
        <v>1808</v>
      </c>
      <c r="K5203" s="4">
        <v>120458050</v>
      </c>
    </row>
    <row r="5204" spans="1:11" hidden="1" outlineLevel="2" x14ac:dyDescent="0.35">
      <c r="A5204" t="s">
        <v>1790</v>
      </c>
      <c r="B5204" s="1">
        <v>45733</v>
      </c>
      <c r="C5204" t="str">
        <f>"159"</f>
        <v>159</v>
      </c>
      <c r="F5204" t="str">
        <f t="shared" si="181"/>
        <v>58500000</v>
      </c>
      <c r="H5204" t="s">
        <v>1808</v>
      </c>
      <c r="K5204" s="4">
        <v>15707360</v>
      </c>
    </row>
    <row r="5205" spans="1:11" hidden="1" outlineLevel="2" x14ac:dyDescent="0.35">
      <c r="A5205" t="s">
        <v>1790</v>
      </c>
      <c r="B5205" s="1">
        <v>45735</v>
      </c>
      <c r="C5205" t="str">
        <f>"176"</f>
        <v>176</v>
      </c>
      <c r="F5205" t="str">
        <f t="shared" si="181"/>
        <v>58500000</v>
      </c>
      <c r="H5205" t="s">
        <v>1823</v>
      </c>
      <c r="J5205" s="4">
        <v>20000000</v>
      </c>
    </row>
    <row r="5206" spans="1:11" hidden="1" outlineLevel="2" x14ac:dyDescent="0.35">
      <c r="A5206" t="s">
        <v>1873</v>
      </c>
      <c r="B5206" s="1">
        <v>45726</v>
      </c>
      <c r="C5206" t="str">
        <f>"56"</f>
        <v>56</v>
      </c>
      <c r="F5206" t="str">
        <f t="shared" si="181"/>
        <v>58500000</v>
      </c>
      <c r="H5206" t="s">
        <v>1886</v>
      </c>
      <c r="J5206" s="4">
        <v>10000000</v>
      </c>
    </row>
    <row r="5207" spans="1:11" hidden="1" outlineLevel="2" x14ac:dyDescent="0.35">
      <c r="A5207" t="s">
        <v>1892</v>
      </c>
      <c r="B5207" s="1">
        <v>45721</v>
      </c>
      <c r="C5207" t="str">
        <f>"49"</f>
        <v>49</v>
      </c>
      <c r="F5207" t="str">
        <f t="shared" si="181"/>
        <v>58500000</v>
      </c>
      <c r="H5207" t="s">
        <v>1897</v>
      </c>
      <c r="K5207" s="4">
        <v>25000000</v>
      </c>
    </row>
    <row r="5208" spans="1:11" hidden="1" outlineLevel="2" x14ac:dyDescent="0.35">
      <c r="A5208" t="s">
        <v>1892</v>
      </c>
      <c r="B5208" s="1">
        <v>45721</v>
      </c>
      <c r="C5208" t="str">
        <f>"72"</f>
        <v>72</v>
      </c>
      <c r="F5208" t="str">
        <f t="shared" si="181"/>
        <v>58500000</v>
      </c>
      <c r="H5208" t="s">
        <v>1898</v>
      </c>
      <c r="K5208" s="4">
        <v>50000000</v>
      </c>
    </row>
    <row r="5209" spans="1:11" hidden="1" outlineLevel="2" x14ac:dyDescent="0.35">
      <c r="A5209" t="s">
        <v>1892</v>
      </c>
      <c r="B5209" s="1">
        <v>45733</v>
      </c>
      <c r="C5209" t="str">
        <f>"60"</f>
        <v>60</v>
      </c>
      <c r="F5209" t="str">
        <f t="shared" si="181"/>
        <v>58500000</v>
      </c>
      <c r="H5209" t="s">
        <v>1903</v>
      </c>
      <c r="K5209" s="4">
        <v>15000000</v>
      </c>
    </row>
    <row r="5210" spans="1:11" hidden="1" outlineLevel="2" x14ac:dyDescent="0.35">
      <c r="A5210" t="s">
        <v>1911</v>
      </c>
      <c r="B5210" s="1">
        <v>45721</v>
      </c>
      <c r="C5210" t="str">
        <f>"173"</f>
        <v>173</v>
      </c>
      <c r="F5210" t="str">
        <f t="shared" si="181"/>
        <v>58500000</v>
      </c>
      <c r="H5210" t="s">
        <v>1921</v>
      </c>
      <c r="J5210" s="4">
        <v>50000000</v>
      </c>
    </row>
    <row r="5211" spans="1:11" hidden="1" outlineLevel="2" x14ac:dyDescent="0.35">
      <c r="A5211" t="s">
        <v>1911</v>
      </c>
      <c r="B5211" s="1">
        <v>45728</v>
      </c>
      <c r="C5211" t="str">
        <f>"175"</f>
        <v>175</v>
      </c>
      <c r="F5211" t="str">
        <f t="shared" si="181"/>
        <v>58500000</v>
      </c>
      <c r="H5211" t="s">
        <v>1929</v>
      </c>
      <c r="J5211" s="4">
        <v>15000000</v>
      </c>
    </row>
    <row r="5212" spans="1:11" hidden="1" outlineLevel="2" x14ac:dyDescent="0.35">
      <c r="A5212" t="s">
        <v>1911</v>
      </c>
      <c r="B5212" s="1">
        <v>45744</v>
      </c>
      <c r="C5212" t="str">
        <f>"205"</f>
        <v>205</v>
      </c>
      <c r="F5212" t="str">
        <f t="shared" si="181"/>
        <v>58500000</v>
      </c>
      <c r="H5212" t="s">
        <v>1981</v>
      </c>
      <c r="J5212" s="4">
        <v>6503907</v>
      </c>
    </row>
    <row r="5213" spans="1:11" hidden="1" outlineLevel="2" x14ac:dyDescent="0.35">
      <c r="A5213" t="s">
        <v>1911</v>
      </c>
      <c r="B5213" s="1">
        <v>45744</v>
      </c>
      <c r="C5213" t="str">
        <f>"241"</f>
        <v>241</v>
      </c>
      <c r="F5213" t="str">
        <f t="shared" si="181"/>
        <v>58500000</v>
      </c>
      <c r="H5213" t="s">
        <v>1983</v>
      </c>
      <c r="J5213" s="4">
        <v>10000000</v>
      </c>
    </row>
    <row r="5214" spans="1:11" hidden="1" outlineLevel="2" x14ac:dyDescent="0.35">
      <c r="A5214" t="s">
        <v>1911</v>
      </c>
      <c r="B5214" s="1">
        <v>45744</v>
      </c>
      <c r="C5214" t="str">
        <f>"242"</f>
        <v>242</v>
      </c>
      <c r="F5214" t="str">
        <f t="shared" si="181"/>
        <v>58500000</v>
      </c>
      <c r="H5214" t="s">
        <v>1984</v>
      </c>
      <c r="J5214" s="4">
        <v>10000000</v>
      </c>
    </row>
    <row r="5215" spans="1:11" hidden="1" outlineLevel="2" x14ac:dyDescent="0.35">
      <c r="A5215" t="s">
        <v>1911</v>
      </c>
      <c r="B5215" s="1">
        <v>45744</v>
      </c>
      <c r="C5215" t="str">
        <f>"243"</f>
        <v>243</v>
      </c>
      <c r="F5215" t="str">
        <f t="shared" si="181"/>
        <v>58500000</v>
      </c>
      <c r="H5215" t="s">
        <v>1985</v>
      </c>
      <c r="J5215" s="4">
        <v>40582866</v>
      </c>
    </row>
    <row r="5216" spans="1:11" hidden="1" outlineLevel="2" x14ac:dyDescent="0.35">
      <c r="A5216" t="s">
        <v>1986</v>
      </c>
      <c r="B5216" s="1">
        <v>45736</v>
      </c>
      <c r="C5216" t="str">
        <f>"66"</f>
        <v>66</v>
      </c>
      <c r="F5216" t="str">
        <f t="shared" si="181"/>
        <v>58500000</v>
      </c>
      <c r="H5216" t="s">
        <v>2006</v>
      </c>
      <c r="K5216" s="4">
        <v>20000000</v>
      </c>
    </row>
    <row r="5217" spans="1:11" hidden="1" outlineLevel="2" x14ac:dyDescent="0.35">
      <c r="A5217" t="s">
        <v>2018</v>
      </c>
      <c r="B5217" s="1">
        <v>45726</v>
      </c>
      <c r="C5217" t="str">
        <f>"365"</f>
        <v>365</v>
      </c>
      <c r="F5217" t="str">
        <f t="shared" si="181"/>
        <v>58500000</v>
      </c>
      <c r="H5217" t="s">
        <v>2052</v>
      </c>
      <c r="K5217" s="4">
        <v>3000000</v>
      </c>
    </row>
    <row r="5218" spans="1:11" hidden="1" outlineLevel="2" x14ac:dyDescent="0.35">
      <c r="A5218" t="s">
        <v>2018</v>
      </c>
      <c r="B5218" s="1">
        <v>45735</v>
      </c>
      <c r="C5218" t="str">
        <f>"427"</f>
        <v>427</v>
      </c>
      <c r="F5218" t="str">
        <f t="shared" si="181"/>
        <v>58500000</v>
      </c>
      <c r="H5218" t="s">
        <v>2052</v>
      </c>
      <c r="K5218" s="4">
        <v>1000000</v>
      </c>
    </row>
    <row r="5219" spans="1:11" hidden="1" outlineLevel="2" x14ac:dyDescent="0.35">
      <c r="A5219" t="s">
        <v>2018</v>
      </c>
      <c r="B5219" s="1">
        <v>45737</v>
      </c>
      <c r="C5219" t="str">
        <f>"438"</f>
        <v>438</v>
      </c>
      <c r="F5219" t="str">
        <f t="shared" si="181"/>
        <v>58500000</v>
      </c>
      <c r="H5219" t="s">
        <v>2052</v>
      </c>
      <c r="K5219" s="4">
        <v>1000000</v>
      </c>
    </row>
    <row r="5220" spans="1:11" hidden="1" outlineLevel="2" x14ac:dyDescent="0.35">
      <c r="A5220" t="s">
        <v>2018</v>
      </c>
      <c r="B5220" s="1">
        <v>45742</v>
      </c>
      <c r="C5220" t="str">
        <f>"470"</f>
        <v>470</v>
      </c>
      <c r="F5220" t="str">
        <f t="shared" si="181"/>
        <v>58500000</v>
      </c>
      <c r="H5220" t="s">
        <v>2052</v>
      </c>
      <c r="K5220" s="4">
        <v>2000000</v>
      </c>
    </row>
    <row r="5221" spans="1:11" hidden="1" outlineLevel="2" x14ac:dyDescent="0.35">
      <c r="A5221" t="s">
        <v>2018</v>
      </c>
      <c r="B5221" s="1">
        <v>45745</v>
      </c>
      <c r="C5221" t="str">
        <f>"485"</f>
        <v>485</v>
      </c>
      <c r="F5221" t="str">
        <f t="shared" si="181"/>
        <v>58500000</v>
      </c>
      <c r="H5221" t="s">
        <v>2052</v>
      </c>
      <c r="K5221" s="4">
        <v>1000000</v>
      </c>
    </row>
    <row r="5222" spans="1:11" hidden="1" outlineLevel="2" x14ac:dyDescent="0.35">
      <c r="A5222" t="s">
        <v>2219</v>
      </c>
      <c r="B5222" s="1">
        <v>45726</v>
      </c>
      <c r="C5222" t="str">
        <f>"448"</f>
        <v>448</v>
      </c>
      <c r="F5222" t="str">
        <f t="shared" si="181"/>
        <v>58500000</v>
      </c>
      <c r="H5222" t="s">
        <v>2259</v>
      </c>
      <c r="K5222" s="4">
        <v>1500000</v>
      </c>
    </row>
    <row r="5223" spans="1:11" hidden="1" outlineLevel="2" x14ac:dyDescent="0.35">
      <c r="A5223" t="s">
        <v>2219</v>
      </c>
      <c r="B5223" s="1">
        <v>45735</v>
      </c>
      <c r="C5223" t="str">
        <f>"488"</f>
        <v>488</v>
      </c>
      <c r="F5223" t="str">
        <f t="shared" si="181"/>
        <v>58500000</v>
      </c>
      <c r="H5223" t="s">
        <v>2259</v>
      </c>
      <c r="K5223" s="4">
        <v>500000</v>
      </c>
    </row>
    <row r="5224" spans="1:11" hidden="1" outlineLevel="2" x14ac:dyDescent="0.35">
      <c r="A5224" t="s">
        <v>2318</v>
      </c>
      <c r="B5224" s="1">
        <v>45744</v>
      </c>
      <c r="C5224" t="str">
        <f>"53"</f>
        <v>53</v>
      </c>
      <c r="F5224" t="str">
        <f t="shared" si="181"/>
        <v>58500000</v>
      </c>
      <c r="H5224" t="s">
        <v>2333</v>
      </c>
      <c r="K5224" s="4">
        <v>6503907</v>
      </c>
    </row>
    <row r="5225" spans="1:11" hidden="1" outlineLevel="2" x14ac:dyDescent="0.35">
      <c r="A5225" t="s">
        <v>3056</v>
      </c>
      <c r="B5225" s="1">
        <v>45726</v>
      </c>
      <c r="C5225" t="str">
        <f>"144"</f>
        <v>144</v>
      </c>
      <c r="F5225" t="str">
        <f t="shared" si="181"/>
        <v>58500000</v>
      </c>
      <c r="H5225" t="s">
        <v>3070</v>
      </c>
      <c r="K5225" s="4">
        <v>10000000</v>
      </c>
    </row>
    <row r="5226" spans="1:11" hidden="1" outlineLevel="2" x14ac:dyDescent="0.35">
      <c r="A5226" t="s">
        <v>3056</v>
      </c>
      <c r="B5226" s="1">
        <v>45726</v>
      </c>
      <c r="C5226" t="str">
        <f>"157"</f>
        <v>157</v>
      </c>
      <c r="F5226" t="str">
        <f t="shared" si="181"/>
        <v>58500000</v>
      </c>
      <c r="H5226" t="s">
        <v>3071</v>
      </c>
      <c r="J5226" s="4">
        <v>3000000</v>
      </c>
    </row>
    <row r="5227" spans="1:11" hidden="1" outlineLevel="2" x14ac:dyDescent="0.35">
      <c r="A5227" t="s">
        <v>3056</v>
      </c>
      <c r="B5227" s="1">
        <v>45726</v>
      </c>
      <c r="C5227" t="str">
        <f>"158"</f>
        <v>158</v>
      </c>
      <c r="F5227" t="str">
        <f t="shared" si="181"/>
        <v>58500000</v>
      </c>
      <c r="H5227" t="s">
        <v>3072</v>
      </c>
      <c r="J5227" s="4">
        <v>1500000</v>
      </c>
    </row>
    <row r="5228" spans="1:11" hidden="1" outlineLevel="2" x14ac:dyDescent="0.35">
      <c r="A5228" t="s">
        <v>3056</v>
      </c>
      <c r="B5228" s="1">
        <v>45735</v>
      </c>
      <c r="C5228" t="str">
        <f>"171"</f>
        <v>171</v>
      </c>
      <c r="F5228" t="str">
        <f t="shared" si="181"/>
        <v>58500000</v>
      </c>
      <c r="H5228" t="s">
        <v>3086</v>
      </c>
      <c r="J5228" s="4">
        <v>500000</v>
      </c>
    </row>
    <row r="5229" spans="1:11" hidden="1" outlineLevel="2" x14ac:dyDescent="0.35">
      <c r="A5229" t="s">
        <v>3056</v>
      </c>
      <c r="B5229" s="1">
        <v>45735</v>
      </c>
      <c r="C5229" t="str">
        <f>"172"</f>
        <v>172</v>
      </c>
      <c r="F5229" t="str">
        <f t="shared" si="181"/>
        <v>58500000</v>
      </c>
      <c r="H5229" t="s">
        <v>3087</v>
      </c>
      <c r="J5229" s="4">
        <v>1000000</v>
      </c>
    </row>
    <row r="5230" spans="1:11" hidden="1" outlineLevel="2" x14ac:dyDescent="0.35">
      <c r="A5230" t="s">
        <v>3056</v>
      </c>
      <c r="B5230" s="1">
        <v>45737</v>
      </c>
      <c r="C5230" t="str">
        <f>"189"</f>
        <v>189</v>
      </c>
      <c r="F5230" t="str">
        <f t="shared" si="181"/>
        <v>58500000</v>
      </c>
      <c r="H5230" t="s">
        <v>3087</v>
      </c>
      <c r="J5230" s="4">
        <v>1000000</v>
      </c>
    </row>
    <row r="5231" spans="1:11" hidden="1" outlineLevel="2" x14ac:dyDescent="0.35">
      <c r="A5231" t="s">
        <v>3056</v>
      </c>
      <c r="B5231" s="1">
        <v>45742</v>
      </c>
      <c r="C5231" t="str">
        <f>"198"</f>
        <v>198</v>
      </c>
      <c r="F5231" t="str">
        <f t="shared" si="181"/>
        <v>58500000</v>
      </c>
      <c r="H5231" t="s">
        <v>3109</v>
      </c>
      <c r="J5231" s="4">
        <v>2000000</v>
      </c>
    </row>
    <row r="5232" spans="1:11" hidden="1" outlineLevel="2" x14ac:dyDescent="0.35">
      <c r="A5232" t="s">
        <v>3056</v>
      </c>
      <c r="B5232" s="1">
        <v>45744</v>
      </c>
      <c r="C5232" t="str">
        <f>"206"</f>
        <v>206</v>
      </c>
      <c r="F5232" t="str">
        <f t="shared" si="181"/>
        <v>58500000</v>
      </c>
      <c r="H5232" t="s">
        <v>3093</v>
      </c>
      <c r="K5232" s="4">
        <v>500000</v>
      </c>
    </row>
    <row r="5233" spans="1:11" outlineLevel="1" collapsed="1" x14ac:dyDescent="0.35">
      <c r="B5233" s="1"/>
      <c r="F5233" s="3" t="s">
        <v>6604</v>
      </c>
      <c r="J5233" s="4">
        <f>SUBTOTAL(9,J5202:J5232)</f>
        <v>196086773</v>
      </c>
      <c r="K5233" s="4">
        <f>SUBTOTAL(9,K5202:K5232)</f>
        <v>273169317</v>
      </c>
    </row>
    <row r="5234" spans="1:11" hidden="1" outlineLevel="2" x14ac:dyDescent="0.35">
      <c r="A5234" t="s">
        <v>101</v>
      </c>
      <c r="B5234" s="1">
        <v>45747</v>
      </c>
      <c r="C5234" t="str">
        <f>"1"</f>
        <v>1</v>
      </c>
      <c r="F5234" t="str">
        <f t="shared" ref="F5234:F5265" si="182">"60410000"</f>
        <v>60410000</v>
      </c>
      <c r="H5234" t="s">
        <v>2827</v>
      </c>
      <c r="J5234" s="4">
        <v>16671267</v>
      </c>
    </row>
    <row r="5235" spans="1:11" hidden="1" outlineLevel="2" x14ac:dyDescent="0.35">
      <c r="A5235" t="s">
        <v>3115</v>
      </c>
      <c r="B5235" s="1">
        <v>45717</v>
      </c>
      <c r="C5235" t="str">
        <f>"1180"</f>
        <v>1180</v>
      </c>
      <c r="D5235" t="s">
        <v>3136</v>
      </c>
      <c r="E5235" t="str">
        <f>"182481"</f>
        <v>182481</v>
      </c>
      <c r="F5235" t="str">
        <f t="shared" si="182"/>
        <v>60410000</v>
      </c>
      <c r="G5235" t="str">
        <f>"60440004"</f>
        <v>60440004</v>
      </c>
      <c r="H5235" t="s">
        <v>3137</v>
      </c>
      <c r="J5235" s="4">
        <v>750</v>
      </c>
    </row>
    <row r="5236" spans="1:11" hidden="1" outlineLevel="2" x14ac:dyDescent="0.35">
      <c r="A5236" t="s">
        <v>3115</v>
      </c>
      <c r="B5236" s="1">
        <v>45717</v>
      </c>
      <c r="C5236" t="str">
        <f>"1183"</f>
        <v>1183</v>
      </c>
      <c r="D5236" t="s">
        <v>3142</v>
      </c>
      <c r="E5236" t="str">
        <f>"180374"</f>
        <v>180374</v>
      </c>
      <c r="F5236" t="str">
        <f t="shared" si="182"/>
        <v>60410000</v>
      </c>
      <c r="G5236" t="str">
        <f t="shared" ref="G5236:G5267" si="183">"60440002"</f>
        <v>60440002</v>
      </c>
      <c r="H5236" t="s">
        <v>3143</v>
      </c>
      <c r="J5236" s="4">
        <v>7864</v>
      </c>
    </row>
    <row r="5237" spans="1:11" hidden="1" outlineLevel="2" x14ac:dyDescent="0.35">
      <c r="A5237" t="s">
        <v>3115</v>
      </c>
      <c r="B5237" s="1">
        <v>45718</v>
      </c>
      <c r="C5237" t="str">
        <f>"1153"</f>
        <v>1153</v>
      </c>
      <c r="D5237" t="s">
        <v>3156</v>
      </c>
      <c r="E5237" t="str">
        <f>"180348"</f>
        <v>180348</v>
      </c>
      <c r="F5237" t="str">
        <f t="shared" si="182"/>
        <v>60410000</v>
      </c>
      <c r="G5237" t="str">
        <f t="shared" si="183"/>
        <v>60440002</v>
      </c>
      <c r="H5237" t="s">
        <v>3157</v>
      </c>
      <c r="J5237" s="4">
        <v>6597</v>
      </c>
    </row>
    <row r="5238" spans="1:11" hidden="1" outlineLevel="2" x14ac:dyDescent="0.35">
      <c r="A5238" t="s">
        <v>3115</v>
      </c>
      <c r="B5238" s="1">
        <v>45719</v>
      </c>
      <c r="C5238" t="str">
        <f>"789"</f>
        <v>789</v>
      </c>
      <c r="D5238" t="s">
        <v>3230</v>
      </c>
      <c r="E5238" t="str">
        <f>"181230"</f>
        <v>181230</v>
      </c>
      <c r="F5238" t="str">
        <f t="shared" si="182"/>
        <v>60410000</v>
      </c>
      <c r="G5238" t="str">
        <f t="shared" si="183"/>
        <v>60440002</v>
      </c>
      <c r="H5238" t="s">
        <v>3231</v>
      </c>
      <c r="J5238" s="4">
        <v>1649</v>
      </c>
    </row>
    <row r="5239" spans="1:11" hidden="1" outlineLevel="2" x14ac:dyDescent="0.35">
      <c r="A5239" t="s">
        <v>3115</v>
      </c>
      <c r="B5239" s="1">
        <v>45719</v>
      </c>
      <c r="C5239" t="str">
        <f>"798"</f>
        <v>798</v>
      </c>
      <c r="D5239" t="s">
        <v>3248</v>
      </c>
      <c r="E5239" t="str">
        <f>"182188"</f>
        <v>182188</v>
      </c>
      <c r="F5239" t="str">
        <f t="shared" si="182"/>
        <v>60410000</v>
      </c>
      <c r="G5239" t="str">
        <f t="shared" si="183"/>
        <v>60440002</v>
      </c>
      <c r="H5239" t="s">
        <v>3249</v>
      </c>
      <c r="J5239" s="4">
        <v>6356</v>
      </c>
    </row>
    <row r="5240" spans="1:11" hidden="1" outlineLevel="2" x14ac:dyDescent="0.35">
      <c r="A5240" t="s">
        <v>3115</v>
      </c>
      <c r="B5240" s="1">
        <v>45719</v>
      </c>
      <c r="C5240" t="str">
        <f>"817"</f>
        <v>817</v>
      </c>
      <c r="D5240" t="s">
        <v>3286</v>
      </c>
      <c r="E5240" t="str">
        <f>"182187"</f>
        <v>182187</v>
      </c>
      <c r="F5240" t="str">
        <f t="shared" si="182"/>
        <v>60410000</v>
      </c>
      <c r="G5240" t="str">
        <f t="shared" si="183"/>
        <v>60440002</v>
      </c>
      <c r="H5240" t="s">
        <v>3287</v>
      </c>
      <c r="J5240" s="4">
        <v>4290</v>
      </c>
    </row>
    <row r="5241" spans="1:11" hidden="1" outlineLevel="2" x14ac:dyDescent="0.35">
      <c r="A5241" t="s">
        <v>3115</v>
      </c>
      <c r="B5241" s="1">
        <v>45720</v>
      </c>
      <c r="C5241" t="str">
        <f>"841"</f>
        <v>841</v>
      </c>
      <c r="D5241" t="s">
        <v>3334</v>
      </c>
      <c r="E5241" t="str">
        <f>"170685"</f>
        <v>170685</v>
      </c>
      <c r="F5241" t="str">
        <f t="shared" si="182"/>
        <v>60410000</v>
      </c>
      <c r="G5241" t="str">
        <f t="shared" si="183"/>
        <v>60440002</v>
      </c>
      <c r="H5241" t="s">
        <v>3335</v>
      </c>
      <c r="J5241" s="4">
        <v>3178</v>
      </c>
    </row>
    <row r="5242" spans="1:11" hidden="1" outlineLevel="2" x14ac:dyDescent="0.35">
      <c r="A5242" t="s">
        <v>3115</v>
      </c>
      <c r="B5242" s="1">
        <v>45720</v>
      </c>
      <c r="C5242" t="str">
        <f>"842"</f>
        <v>842</v>
      </c>
      <c r="D5242" t="s">
        <v>3336</v>
      </c>
      <c r="E5242" t="str">
        <f>"170683"</f>
        <v>170683</v>
      </c>
      <c r="F5242" t="str">
        <f t="shared" si="182"/>
        <v>60410000</v>
      </c>
      <c r="G5242" t="str">
        <f t="shared" si="183"/>
        <v>60440002</v>
      </c>
      <c r="H5242" t="s">
        <v>3337</v>
      </c>
      <c r="J5242" s="4">
        <v>10594</v>
      </c>
    </row>
    <row r="5243" spans="1:11" hidden="1" outlineLevel="2" x14ac:dyDescent="0.35">
      <c r="A5243" t="s">
        <v>3115</v>
      </c>
      <c r="B5243" s="1">
        <v>45720</v>
      </c>
      <c r="C5243" t="str">
        <f>"846"</f>
        <v>846</v>
      </c>
      <c r="D5243" t="s">
        <v>3344</v>
      </c>
      <c r="E5243" t="str">
        <f>"181785"</f>
        <v>181785</v>
      </c>
      <c r="F5243" t="str">
        <f t="shared" si="182"/>
        <v>60410000</v>
      </c>
      <c r="G5243" t="str">
        <f t="shared" si="183"/>
        <v>60440002</v>
      </c>
      <c r="H5243" t="s">
        <v>3345</v>
      </c>
      <c r="J5243" s="4">
        <v>2800000</v>
      </c>
    </row>
    <row r="5244" spans="1:11" hidden="1" outlineLevel="2" x14ac:dyDescent="0.35">
      <c r="A5244" t="s">
        <v>3115</v>
      </c>
      <c r="B5244" s="1">
        <v>45720</v>
      </c>
      <c r="C5244" t="str">
        <f>"847"</f>
        <v>847</v>
      </c>
      <c r="D5244" t="s">
        <v>3346</v>
      </c>
      <c r="E5244" t="str">
        <f>"181784"</f>
        <v>181784</v>
      </c>
      <c r="F5244" t="str">
        <f t="shared" si="182"/>
        <v>60410000</v>
      </c>
      <c r="G5244" t="str">
        <f t="shared" si="183"/>
        <v>60440002</v>
      </c>
      <c r="H5244" t="s">
        <v>3347</v>
      </c>
      <c r="J5244" s="4">
        <v>2800000</v>
      </c>
    </row>
    <row r="5245" spans="1:11" hidden="1" outlineLevel="2" x14ac:dyDescent="0.35">
      <c r="A5245" t="s">
        <v>3115</v>
      </c>
      <c r="B5245" s="1">
        <v>45720</v>
      </c>
      <c r="C5245" t="str">
        <f>"849"</f>
        <v>849</v>
      </c>
      <c r="D5245" t="s">
        <v>3350</v>
      </c>
      <c r="E5245" t="str">
        <f>"181764"</f>
        <v>181764</v>
      </c>
      <c r="F5245" t="str">
        <f t="shared" si="182"/>
        <v>60410000</v>
      </c>
      <c r="G5245" t="str">
        <f t="shared" si="183"/>
        <v>60440002</v>
      </c>
      <c r="H5245" t="s">
        <v>3351</v>
      </c>
      <c r="J5245" s="4">
        <v>1980000</v>
      </c>
    </row>
    <row r="5246" spans="1:11" hidden="1" outlineLevel="2" x14ac:dyDescent="0.35">
      <c r="A5246" t="s">
        <v>3115</v>
      </c>
      <c r="B5246" s="1">
        <v>45720</v>
      </c>
      <c r="C5246" t="str">
        <f>"850"</f>
        <v>850</v>
      </c>
      <c r="D5246" t="s">
        <v>3352</v>
      </c>
      <c r="E5246" t="str">
        <f>"181000"</f>
        <v>181000</v>
      </c>
      <c r="F5246" t="str">
        <f t="shared" si="182"/>
        <v>60410000</v>
      </c>
      <c r="G5246" t="str">
        <f t="shared" si="183"/>
        <v>60440002</v>
      </c>
      <c r="H5246" t="s">
        <v>3353</v>
      </c>
      <c r="J5246" s="4">
        <v>990000</v>
      </c>
    </row>
    <row r="5247" spans="1:11" hidden="1" outlineLevel="2" x14ac:dyDescent="0.35">
      <c r="A5247" t="s">
        <v>3115</v>
      </c>
      <c r="B5247" s="1">
        <v>45720</v>
      </c>
      <c r="C5247" t="str">
        <f>"852"</f>
        <v>852</v>
      </c>
      <c r="D5247" t="s">
        <v>3356</v>
      </c>
      <c r="E5247" t="str">
        <f>"181754"</f>
        <v>181754</v>
      </c>
      <c r="F5247" t="str">
        <f t="shared" si="182"/>
        <v>60410000</v>
      </c>
      <c r="G5247" t="str">
        <f t="shared" si="183"/>
        <v>60440002</v>
      </c>
      <c r="H5247" t="s">
        <v>3357</v>
      </c>
      <c r="J5247" s="4">
        <v>3220000</v>
      </c>
    </row>
    <row r="5248" spans="1:11" hidden="1" outlineLevel="2" x14ac:dyDescent="0.35">
      <c r="A5248" t="s">
        <v>3115</v>
      </c>
      <c r="B5248" s="1">
        <v>45720</v>
      </c>
      <c r="C5248" t="str">
        <f>"855"</f>
        <v>855</v>
      </c>
      <c r="D5248" t="s">
        <v>3362</v>
      </c>
      <c r="E5248" t="str">
        <f>"181776"</f>
        <v>181776</v>
      </c>
      <c r="F5248" t="str">
        <f t="shared" si="182"/>
        <v>60410000</v>
      </c>
      <c r="G5248" t="str">
        <f t="shared" si="183"/>
        <v>60440002</v>
      </c>
      <c r="H5248" t="s">
        <v>3363</v>
      </c>
      <c r="J5248" s="4">
        <v>3220000</v>
      </c>
    </row>
    <row r="5249" spans="1:10" hidden="1" outlineLevel="2" x14ac:dyDescent="0.35">
      <c r="A5249" t="s">
        <v>3115</v>
      </c>
      <c r="B5249" s="1">
        <v>45720</v>
      </c>
      <c r="C5249" t="str">
        <f>"857"</f>
        <v>857</v>
      </c>
      <c r="D5249" t="s">
        <v>3366</v>
      </c>
      <c r="E5249" t="str">
        <f>"181777"</f>
        <v>181777</v>
      </c>
      <c r="F5249" t="str">
        <f t="shared" si="182"/>
        <v>60410000</v>
      </c>
      <c r="G5249" t="str">
        <f t="shared" si="183"/>
        <v>60440002</v>
      </c>
      <c r="H5249" t="s">
        <v>3367</v>
      </c>
      <c r="J5249" s="4">
        <v>2240000</v>
      </c>
    </row>
    <row r="5250" spans="1:10" hidden="1" outlineLevel="2" x14ac:dyDescent="0.35">
      <c r="A5250" t="s">
        <v>3115</v>
      </c>
      <c r="B5250" s="1">
        <v>45720</v>
      </c>
      <c r="C5250" t="str">
        <f>"907"</f>
        <v>907</v>
      </c>
      <c r="D5250" t="s">
        <v>3466</v>
      </c>
      <c r="E5250" t="str">
        <f>"182190"</f>
        <v>182190</v>
      </c>
      <c r="F5250" t="str">
        <f t="shared" si="182"/>
        <v>60410000</v>
      </c>
      <c r="G5250" t="str">
        <f t="shared" si="183"/>
        <v>60440002</v>
      </c>
      <c r="H5250" t="s">
        <v>3467</v>
      </c>
      <c r="J5250" s="4">
        <v>33600</v>
      </c>
    </row>
    <row r="5251" spans="1:10" hidden="1" outlineLevel="2" x14ac:dyDescent="0.35">
      <c r="A5251" t="s">
        <v>3115</v>
      </c>
      <c r="B5251" s="1">
        <v>45720</v>
      </c>
      <c r="C5251" t="str">
        <f>"909"</f>
        <v>909</v>
      </c>
      <c r="D5251" t="s">
        <v>3470</v>
      </c>
      <c r="E5251" t="str">
        <f>"182189"</f>
        <v>182189</v>
      </c>
      <c r="F5251" t="str">
        <f t="shared" si="182"/>
        <v>60410000</v>
      </c>
      <c r="G5251" t="str">
        <f t="shared" si="183"/>
        <v>60440002</v>
      </c>
      <c r="H5251" t="s">
        <v>3471</v>
      </c>
      <c r="J5251" s="4">
        <v>9213</v>
      </c>
    </row>
    <row r="5252" spans="1:10" hidden="1" outlineLevel="2" x14ac:dyDescent="0.35">
      <c r="A5252" t="s">
        <v>3115</v>
      </c>
      <c r="B5252" s="1">
        <v>45720</v>
      </c>
      <c r="C5252" t="str">
        <f>"925"</f>
        <v>925</v>
      </c>
      <c r="D5252" t="s">
        <v>3502</v>
      </c>
      <c r="E5252" t="str">
        <f>"180350"</f>
        <v>180350</v>
      </c>
      <c r="F5252" t="str">
        <f t="shared" si="182"/>
        <v>60410000</v>
      </c>
      <c r="G5252" t="str">
        <f t="shared" si="183"/>
        <v>60440002</v>
      </c>
      <c r="H5252" t="s">
        <v>3503</v>
      </c>
      <c r="J5252" s="4">
        <v>2917</v>
      </c>
    </row>
    <row r="5253" spans="1:10" hidden="1" outlineLevel="2" x14ac:dyDescent="0.35">
      <c r="A5253" t="s">
        <v>3115</v>
      </c>
      <c r="B5253" s="1">
        <v>45720</v>
      </c>
      <c r="C5253" t="str">
        <f>"926"</f>
        <v>926</v>
      </c>
      <c r="D5253" t="s">
        <v>3504</v>
      </c>
      <c r="E5253" t="str">
        <f>"180349"</f>
        <v>180349</v>
      </c>
      <c r="F5253" t="str">
        <f t="shared" si="182"/>
        <v>60410000</v>
      </c>
      <c r="G5253" t="str">
        <f t="shared" si="183"/>
        <v>60440002</v>
      </c>
      <c r="H5253" t="s">
        <v>3505</v>
      </c>
      <c r="J5253" s="4">
        <v>4947</v>
      </c>
    </row>
    <row r="5254" spans="1:10" hidden="1" outlineLevel="2" x14ac:dyDescent="0.35">
      <c r="A5254" t="s">
        <v>3115</v>
      </c>
      <c r="B5254" s="1">
        <v>45721</v>
      </c>
      <c r="C5254" t="str">
        <f>"956"</f>
        <v>956</v>
      </c>
      <c r="D5254" t="s">
        <v>3564</v>
      </c>
      <c r="E5254" t="str">
        <f>"182251"</f>
        <v>182251</v>
      </c>
      <c r="F5254" t="str">
        <f t="shared" si="182"/>
        <v>60410000</v>
      </c>
      <c r="G5254" t="str">
        <f t="shared" si="183"/>
        <v>60440002</v>
      </c>
      <c r="H5254" t="s">
        <v>3565</v>
      </c>
      <c r="J5254" s="4">
        <v>11840</v>
      </c>
    </row>
    <row r="5255" spans="1:10" hidden="1" outlineLevel="2" x14ac:dyDescent="0.35">
      <c r="A5255" t="s">
        <v>3115</v>
      </c>
      <c r="B5255" s="1">
        <v>45721</v>
      </c>
      <c r="C5255" t="str">
        <f>"957"</f>
        <v>957</v>
      </c>
      <c r="D5255" t="s">
        <v>3566</v>
      </c>
      <c r="E5255" t="str">
        <f>"182252"</f>
        <v>182252</v>
      </c>
      <c r="F5255" t="str">
        <f t="shared" si="182"/>
        <v>60410000</v>
      </c>
      <c r="G5255" t="str">
        <f t="shared" si="183"/>
        <v>60440002</v>
      </c>
      <c r="H5255" t="s">
        <v>3567</v>
      </c>
      <c r="J5255" s="4">
        <v>4947</v>
      </c>
    </row>
    <row r="5256" spans="1:10" hidden="1" outlineLevel="2" x14ac:dyDescent="0.35">
      <c r="A5256" t="s">
        <v>3115</v>
      </c>
      <c r="B5256" s="1">
        <v>45722</v>
      </c>
      <c r="C5256" t="str">
        <f>"974"</f>
        <v>974</v>
      </c>
      <c r="D5256" t="s">
        <v>3600</v>
      </c>
      <c r="E5256" t="str">
        <f>"170686"</f>
        <v>170686</v>
      </c>
      <c r="F5256" t="str">
        <f t="shared" si="182"/>
        <v>60410000</v>
      </c>
      <c r="G5256" t="str">
        <f t="shared" si="183"/>
        <v>60440002</v>
      </c>
      <c r="H5256" t="s">
        <v>3601</v>
      </c>
      <c r="J5256" s="4">
        <v>3178</v>
      </c>
    </row>
    <row r="5257" spans="1:10" hidden="1" outlineLevel="2" x14ac:dyDescent="0.35">
      <c r="A5257" t="s">
        <v>3115</v>
      </c>
      <c r="B5257" s="1">
        <v>45722</v>
      </c>
      <c r="C5257" t="str">
        <f>"976"</f>
        <v>976</v>
      </c>
      <c r="D5257" t="s">
        <v>3604</v>
      </c>
      <c r="E5257" t="str">
        <f>"179803"</f>
        <v>179803</v>
      </c>
      <c r="F5257" t="str">
        <f t="shared" si="182"/>
        <v>60410000</v>
      </c>
      <c r="G5257" t="str">
        <f t="shared" si="183"/>
        <v>60440002</v>
      </c>
      <c r="H5257" t="s">
        <v>3605</v>
      </c>
      <c r="J5257" s="4">
        <v>1650000</v>
      </c>
    </row>
    <row r="5258" spans="1:10" hidden="1" outlineLevel="2" x14ac:dyDescent="0.35">
      <c r="A5258" t="s">
        <v>3115</v>
      </c>
      <c r="B5258" s="1">
        <v>45722</v>
      </c>
      <c r="C5258" t="str">
        <f>"983"</f>
        <v>983</v>
      </c>
      <c r="D5258" t="s">
        <v>3618</v>
      </c>
      <c r="E5258" t="str">
        <f>"182194"</f>
        <v>182194</v>
      </c>
      <c r="F5258" t="str">
        <f t="shared" si="182"/>
        <v>60410000</v>
      </c>
      <c r="G5258" t="str">
        <f t="shared" si="183"/>
        <v>60440002</v>
      </c>
      <c r="H5258" t="s">
        <v>3619</v>
      </c>
      <c r="J5258" s="4">
        <v>39465</v>
      </c>
    </row>
    <row r="5259" spans="1:10" hidden="1" outlineLevel="2" x14ac:dyDescent="0.35">
      <c r="A5259" t="s">
        <v>3115</v>
      </c>
      <c r="B5259" s="1">
        <v>45722</v>
      </c>
      <c r="C5259" t="str">
        <f>"984"</f>
        <v>984</v>
      </c>
      <c r="D5259" t="s">
        <v>3620</v>
      </c>
      <c r="E5259" t="str">
        <f>"182193"</f>
        <v>182193</v>
      </c>
      <c r="F5259" t="str">
        <f t="shared" si="182"/>
        <v>60410000</v>
      </c>
      <c r="G5259" t="str">
        <f t="shared" si="183"/>
        <v>60440002</v>
      </c>
      <c r="H5259" t="s">
        <v>3621</v>
      </c>
      <c r="J5259" s="4">
        <v>6356</v>
      </c>
    </row>
    <row r="5260" spans="1:10" hidden="1" outlineLevel="2" x14ac:dyDescent="0.35">
      <c r="A5260" t="s">
        <v>3115</v>
      </c>
      <c r="B5260" s="1">
        <v>45722</v>
      </c>
      <c r="C5260" t="str">
        <f>"985"</f>
        <v>985</v>
      </c>
      <c r="D5260" t="s">
        <v>3622</v>
      </c>
      <c r="E5260" t="str">
        <f>"182192"</f>
        <v>182192</v>
      </c>
      <c r="F5260" t="str">
        <f t="shared" si="182"/>
        <v>60410000</v>
      </c>
      <c r="G5260" t="str">
        <f t="shared" si="183"/>
        <v>60440002</v>
      </c>
      <c r="H5260" t="s">
        <v>3623</v>
      </c>
      <c r="J5260" s="4">
        <v>3298</v>
      </c>
    </row>
    <row r="5261" spans="1:10" hidden="1" outlineLevel="2" x14ac:dyDescent="0.35">
      <c r="A5261" t="s">
        <v>3115</v>
      </c>
      <c r="B5261" s="1">
        <v>45722</v>
      </c>
      <c r="C5261" t="str">
        <f>"995"</f>
        <v>995</v>
      </c>
      <c r="D5261" t="s">
        <v>3642</v>
      </c>
      <c r="E5261" t="str">
        <f>"182253"</f>
        <v>182253</v>
      </c>
      <c r="F5261" t="str">
        <f t="shared" si="182"/>
        <v>60410000</v>
      </c>
      <c r="G5261" t="str">
        <f t="shared" si="183"/>
        <v>60440002</v>
      </c>
      <c r="H5261" t="s">
        <v>3643</v>
      </c>
      <c r="J5261" s="4">
        <v>43005</v>
      </c>
    </row>
    <row r="5262" spans="1:10" hidden="1" outlineLevel="2" x14ac:dyDescent="0.35">
      <c r="A5262" t="s">
        <v>3115</v>
      </c>
      <c r="B5262" s="1">
        <v>45723</v>
      </c>
      <c r="C5262" t="str">
        <f>"1080"</f>
        <v>1080</v>
      </c>
      <c r="D5262" t="s">
        <v>3812</v>
      </c>
      <c r="E5262" t="str">
        <f>"182254"</f>
        <v>182254</v>
      </c>
      <c r="F5262" t="str">
        <f t="shared" si="182"/>
        <v>60410000</v>
      </c>
      <c r="G5262" t="str">
        <f t="shared" si="183"/>
        <v>60440002</v>
      </c>
      <c r="H5262" t="s">
        <v>3813</v>
      </c>
      <c r="J5262" s="4">
        <v>3889</v>
      </c>
    </row>
    <row r="5263" spans="1:10" hidden="1" outlineLevel="2" x14ac:dyDescent="0.35">
      <c r="A5263" t="s">
        <v>3115</v>
      </c>
      <c r="B5263" s="1">
        <v>45723</v>
      </c>
      <c r="C5263" t="str">
        <f>"1089"</f>
        <v>1089</v>
      </c>
      <c r="D5263" t="s">
        <v>3830</v>
      </c>
      <c r="E5263" t="str">
        <f>"182255"</f>
        <v>182255</v>
      </c>
      <c r="F5263" t="str">
        <f t="shared" si="182"/>
        <v>60410000</v>
      </c>
      <c r="G5263" t="str">
        <f t="shared" si="183"/>
        <v>60440002</v>
      </c>
      <c r="H5263" t="s">
        <v>3831</v>
      </c>
      <c r="J5263" s="4">
        <v>6720</v>
      </c>
    </row>
    <row r="5264" spans="1:10" hidden="1" outlineLevel="2" x14ac:dyDescent="0.35">
      <c r="A5264" t="s">
        <v>3115</v>
      </c>
      <c r="B5264" s="1">
        <v>45724</v>
      </c>
      <c r="C5264" t="str">
        <f>"1122"</f>
        <v>1122</v>
      </c>
      <c r="D5264" t="s">
        <v>3896</v>
      </c>
      <c r="E5264" t="str">
        <f>"182256"</f>
        <v>182256</v>
      </c>
      <c r="F5264" t="str">
        <f t="shared" si="182"/>
        <v>60410000</v>
      </c>
      <c r="G5264" t="str">
        <f t="shared" si="183"/>
        <v>60440002</v>
      </c>
      <c r="H5264" t="s">
        <v>3897</v>
      </c>
      <c r="J5264" s="4">
        <v>3889</v>
      </c>
    </row>
    <row r="5265" spans="1:10" hidden="1" outlineLevel="2" x14ac:dyDescent="0.35">
      <c r="A5265" t="s">
        <v>3115</v>
      </c>
      <c r="B5265" s="1">
        <v>45724</v>
      </c>
      <c r="C5265" t="str">
        <f>"1123"</f>
        <v>1123</v>
      </c>
      <c r="D5265" t="s">
        <v>3898</v>
      </c>
      <c r="E5265" t="str">
        <f>"182257"</f>
        <v>182257</v>
      </c>
      <c r="F5265" t="str">
        <f t="shared" si="182"/>
        <v>60410000</v>
      </c>
      <c r="G5265" t="str">
        <f t="shared" si="183"/>
        <v>60440002</v>
      </c>
      <c r="H5265" t="s">
        <v>3899</v>
      </c>
      <c r="J5265" s="4">
        <v>4947</v>
      </c>
    </row>
    <row r="5266" spans="1:10" hidden="1" outlineLevel="2" x14ac:dyDescent="0.35">
      <c r="A5266" t="s">
        <v>3115</v>
      </c>
      <c r="B5266" s="1">
        <v>45724</v>
      </c>
      <c r="C5266" t="str">
        <f>"1124"</f>
        <v>1124</v>
      </c>
      <c r="D5266" t="s">
        <v>3900</v>
      </c>
      <c r="E5266" t="str">
        <f>"182258"</f>
        <v>182258</v>
      </c>
      <c r="F5266" t="str">
        <f t="shared" ref="F5266:F5297" si="184">"60410000"</f>
        <v>60410000</v>
      </c>
      <c r="G5266" t="str">
        <f t="shared" si="183"/>
        <v>60440002</v>
      </c>
      <c r="H5266" t="s">
        <v>3901</v>
      </c>
      <c r="J5266" s="4">
        <v>8836</v>
      </c>
    </row>
    <row r="5267" spans="1:10" hidden="1" outlineLevel="2" x14ac:dyDescent="0.35">
      <c r="A5267" t="s">
        <v>3115</v>
      </c>
      <c r="B5267" s="1">
        <v>45725</v>
      </c>
      <c r="C5267" t="str">
        <f>"1137"</f>
        <v>1137</v>
      </c>
      <c r="D5267" t="s">
        <v>3926</v>
      </c>
      <c r="E5267" t="str">
        <f>"182259"</f>
        <v>182259</v>
      </c>
      <c r="F5267" t="str">
        <f t="shared" si="184"/>
        <v>60410000</v>
      </c>
      <c r="G5267" t="str">
        <f t="shared" si="183"/>
        <v>60440002</v>
      </c>
      <c r="H5267" t="s">
        <v>3927</v>
      </c>
      <c r="J5267" s="4">
        <v>3889</v>
      </c>
    </row>
    <row r="5268" spans="1:10" hidden="1" outlineLevel="2" x14ac:dyDescent="0.35">
      <c r="A5268" t="s">
        <v>3115</v>
      </c>
      <c r="B5268" s="1">
        <v>45725</v>
      </c>
      <c r="C5268" t="str">
        <f>"1138"</f>
        <v>1138</v>
      </c>
      <c r="D5268" t="s">
        <v>3928</v>
      </c>
      <c r="E5268" t="str">
        <f>"182260"</f>
        <v>182260</v>
      </c>
      <c r="F5268" t="str">
        <f t="shared" si="184"/>
        <v>60410000</v>
      </c>
      <c r="G5268" t="str">
        <f t="shared" ref="G5268:G5299" si="185">"60440002"</f>
        <v>60440002</v>
      </c>
      <c r="H5268" t="s">
        <v>3929</v>
      </c>
      <c r="J5268" s="4">
        <v>3298</v>
      </c>
    </row>
    <row r="5269" spans="1:10" hidden="1" outlineLevel="2" x14ac:dyDescent="0.35">
      <c r="A5269" t="s">
        <v>3115</v>
      </c>
      <c r="B5269" s="1">
        <v>45725</v>
      </c>
      <c r="C5269" t="str">
        <f>"1139"</f>
        <v>1139</v>
      </c>
      <c r="D5269" t="s">
        <v>3930</v>
      </c>
      <c r="E5269" t="str">
        <f>"182261"</f>
        <v>182261</v>
      </c>
      <c r="F5269" t="str">
        <f t="shared" si="184"/>
        <v>60410000</v>
      </c>
      <c r="G5269" t="str">
        <f t="shared" si="185"/>
        <v>60440002</v>
      </c>
      <c r="H5269" t="s">
        <v>3931</v>
      </c>
      <c r="J5269" s="4">
        <v>12712</v>
      </c>
    </row>
    <row r="5270" spans="1:10" hidden="1" outlineLevel="2" x14ac:dyDescent="0.35">
      <c r="A5270" t="s">
        <v>3115</v>
      </c>
      <c r="B5270" s="1">
        <v>45725</v>
      </c>
      <c r="C5270" t="str">
        <f>"1140"</f>
        <v>1140</v>
      </c>
      <c r="D5270" t="s">
        <v>3932</v>
      </c>
      <c r="E5270" t="str">
        <f>"182262"</f>
        <v>182262</v>
      </c>
      <c r="F5270" t="str">
        <f t="shared" si="184"/>
        <v>60410000</v>
      </c>
      <c r="G5270" t="str">
        <f t="shared" si="185"/>
        <v>60440002</v>
      </c>
      <c r="H5270" t="s">
        <v>3933</v>
      </c>
      <c r="J5270" s="4">
        <v>2857</v>
      </c>
    </row>
    <row r="5271" spans="1:10" hidden="1" outlineLevel="2" x14ac:dyDescent="0.35">
      <c r="A5271" t="s">
        <v>3115</v>
      </c>
      <c r="B5271" s="1">
        <v>45726</v>
      </c>
      <c r="C5271" t="str">
        <f>"507"</f>
        <v>507</v>
      </c>
      <c r="D5271" t="s">
        <v>3934</v>
      </c>
      <c r="E5271" t="str">
        <f>"170688"</f>
        <v>170688</v>
      </c>
      <c r="F5271" t="str">
        <f t="shared" si="184"/>
        <v>60410000</v>
      </c>
      <c r="G5271" t="str">
        <f t="shared" si="185"/>
        <v>60440002</v>
      </c>
      <c r="H5271" t="s">
        <v>3935</v>
      </c>
      <c r="J5271" s="4">
        <v>7650</v>
      </c>
    </row>
    <row r="5272" spans="1:10" hidden="1" outlineLevel="2" x14ac:dyDescent="0.35">
      <c r="A5272" t="s">
        <v>3115</v>
      </c>
      <c r="B5272" s="1">
        <v>45726</v>
      </c>
      <c r="C5272" t="str">
        <f>"542"</f>
        <v>542</v>
      </c>
      <c r="D5272" t="s">
        <v>4004</v>
      </c>
      <c r="E5272" t="str">
        <f>"182264"</f>
        <v>182264</v>
      </c>
      <c r="F5272" t="str">
        <f t="shared" si="184"/>
        <v>60410000</v>
      </c>
      <c r="G5272" t="str">
        <f t="shared" si="185"/>
        <v>60440002</v>
      </c>
      <c r="H5272" t="s">
        <v>4005</v>
      </c>
      <c r="J5272" s="4">
        <v>6597</v>
      </c>
    </row>
    <row r="5273" spans="1:10" hidden="1" outlineLevel="2" x14ac:dyDescent="0.35">
      <c r="A5273" t="s">
        <v>3115</v>
      </c>
      <c r="B5273" s="1">
        <v>45726</v>
      </c>
      <c r="C5273" t="str">
        <f>"558"</f>
        <v>558</v>
      </c>
      <c r="D5273" t="s">
        <v>4036</v>
      </c>
      <c r="E5273" t="str">
        <f>"180990"</f>
        <v>180990</v>
      </c>
      <c r="F5273" t="str">
        <f t="shared" si="184"/>
        <v>60410000</v>
      </c>
      <c r="G5273" t="str">
        <f t="shared" si="185"/>
        <v>60440002</v>
      </c>
      <c r="H5273" t="s">
        <v>4037</v>
      </c>
      <c r="J5273" s="4">
        <v>6596</v>
      </c>
    </row>
    <row r="5274" spans="1:10" hidden="1" outlineLevel="2" x14ac:dyDescent="0.35">
      <c r="A5274" t="s">
        <v>3115</v>
      </c>
      <c r="B5274" s="1">
        <v>45727</v>
      </c>
      <c r="C5274" t="str">
        <f>"564"</f>
        <v>564</v>
      </c>
      <c r="D5274" t="s">
        <v>4048</v>
      </c>
      <c r="E5274" t="str">
        <f>"170690"</f>
        <v>170690</v>
      </c>
      <c r="F5274" t="str">
        <f t="shared" si="184"/>
        <v>60410000</v>
      </c>
      <c r="G5274" t="str">
        <f t="shared" si="185"/>
        <v>60440002</v>
      </c>
      <c r="H5274" t="s">
        <v>4049</v>
      </c>
      <c r="J5274" s="4">
        <v>3360</v>
      </c>
    </row>
    <row r="5275" spans="1:10" hidden="1" outlineLevel="2" x14ac:dyDescent="0.35">
      <c r="A5275" t="s">
        <v>3115</v>
      </c>
      <c r="B5275" s="1">
        <v>45727</v>
      </c>
      <c r="C5275" t="str">
        <f>"574"</f>
        <v>574</v>
      </c>
      <c r="D5275" t="s">
        <v>4068</v>
      </c>
      <c r="E5275" t="str">
        <f>"183655"</f>
        <v>183655</v>
      </c>
      <c r="F5275" t="str">
        <f t="shared" si="184"/>
        <v>60410000</v>
      </c>
      <c r="G5275" t="str">
        <f t="shared" si="185"/>
        <v>60440002</v>
      </c>
      <c r="H5275" t="s">
        <v>4069</v>
      </c>
      <c r="J5275" s="4">
        <v>5242</v>
      </c>
    </row>
    <row r="5276" spans="1:10" hidden="1" outlineLevel="2" x14ac:dyDescent="0.35">
      <c r="A5276" t="s">
        <v>3115</v>
      </c>
      <c r="B5276" s="1">
        <v>45727</v>
      </c>
      <c r="C5276" t="str">
        <f>"592"</f>
        <v>592</v>
      </c>
      <c r="D5276" t="s">
        <v>4104</v>
      </c>
      <c r="E5276" t="str">
        <f>"183351"</f>
        <v>183351</v>
      </c>
      <c r="F5276" t="str">
        <f t="shared" si="184"/>
        <v>60410000</v>
      </c>
      <c r="G5276" t="str">
        <f t="shared" si="185"/>
        <v>60440002</v>
      </c>
      <c r="H5276" t="s">
        <v>4105</v>
      </c>
      <c r="J5276" s="4">
        <v>5715</v>
      </c>
    </row>
    <row r="5277" spans="1:10" hidden="1" outlineLevel="2" x14ac:dyDescent="0.35">
      <c r="A5277" t="s">
        <v>3115</v>
      </c>
      <c r="B5277" s="1">
        <v>45727</v>
      </c>
      <c r="C5277" t="str">
        <f>"593"</f>
        <v>593</v>
      </c>
      <c r="D5277" t="s">
        <v>4106</v>
      </c>
      <c r="E5277" t="str">
        <f>"183653"</f>
        <v>183653</v>
      </c>
      <c r="F5277" t="str">
        <f t="shared" si="184"/>
        <v>60410000</v>
      </c>
      <c r="G5277" t="str">
        <f t="shared" si="185"/>
        <v>60440002</v>
      </c>
      <c r="H5277" t="s">
        <v>4107</v>
      </c>
      <c r="J5277" s="4">
        <v>6356</v>
      </c>
    </row>
    <row r="5278" spans="1:10" hidden="1" outlineLevel="2" x14ac:dyDescent="0.35">
      <c r="A5278" t="s">
        <v>3115</v>
      </c>
      <c r="B5278" s="1">
        <v>45727</v>
      </c>
      <c r="C5278" t="str">
        <f>"594"</f>
        <v>594</v>
      </c>
      <c r="D5278" t="s">
        <v>4108</v>
      </c>
      <c r="E5278" t="str">
        <f>"183652"</f>
        <v>183652</v>
      </c>
      <c r="F5278" t="str">
        <f t="shared" si="184"/>
        <v>60410000</v>
      </c>
      <c r="G5278" t="str">
        <f t="shared" si="185"/>
        <v>60440002</v>
      </c>
      <c r="H5278" t="s">
        <v>4109</v>
      </c>
      <c r="J5278" s="4">
        <v>3298</v>
      </c>
    </row>
    <row r="5279" spans="1:10" hidden="1" outlineLevel="2" x14ac:dyDescent="0.35">
      <c r="A5279" t="s">
        <v>3115</v>
      </c>
      <c r="B5279" s="1">
        <v>45727</v>
      </c>
      <c r="C5279" t="str">
        <f>"595"</f>
        <v>595</v>
      </c>
      <c r="D5279" t="s">
        <v>4110</v>
      </c>
      <c r="E5279" t="str">
        <f>"183654"</f>
        <v>183654</v>
      </c>
      <c r="F5279" t="str">
        <f t="shared" si="184"/>
        <v>60410000</v>
      </c>
      <c r="G5279" t="str">
        <f t="shared" si="185"/>
        <v>60440002</v>
      </c>
      <c r="H5279" t="s">
        <v>4111</v>
      </c>
      <c r="J5279" s="4">
        <v>2936</v>
      </c>
    </row>
    <row r="5280" spans="1:10" hidden="1" outlineLevel="2" x14ac:dyDescent="0.35">
      <c r="A5280" t="s">
        <v>3115</v>
      </c>
      <c r="B5280" s="1">
        <v>45728</v>
      </c>
      <c r="C5280" t="str">
        <f>"598"</f>
        <v>598</v>
      </c>
      <c r="D5280" t="s">
        <v>4116</v>
      </c>
      <c r="E5280" t="str">
        <f>"170691"</f>
        <v>170691</v>
      </c>
      <c r="F5280" t="str">
        <f t="shared" si="184"/>
        <v>60410000</v>
      </c>
      <c r="G5280" t="str">
        <f t="shared" si="185"/>
        <v>60440002</v>
      </c>
      <c r="H5280" t="s">
        <v>4117</v>
      </c>
      <c r="J5280" s="4">
        <v>3360</v>
      </c>
    </row>
    <row r="5281" spans="1:10" hidden="1" outlineLevel="2" x14ac:dyDescent="0.35">
      <c r="A5281" t="s">
        <v>3115</v>
      </c>
      <c r="B5281" s="1">
        <v>45728</v>
      </c>
      <c r="C5281" t="str">
        <f>"631"</f>
        <v>631</v>
      </c>
      <c r="D5281" t="s">
        <v>4182</v>
      </c>
      <c r="E5281" t="str">
        <f>"183661"</f>
        <v>183661</v>
      </c>
      <c r="F5281" t="str">
        <f t="shared" si="184"/>
        <v>60410000</v>
      </c>
      <c r="G5281" t="str">
        <f t="shared" si="185"/>
        <v>60440002</v>
      </c>
      <c r="H5281" t="s">
        <v>4183</v>
      </c>
      <c r="J5281" s="4">
        <v>3298</v>
      </c>
    </row>
    <row r="5282" spans="1:10" hidden="1" outlineLevel="2" x14ac:dyDescent="0.35">
      <c r="A5282" t="s">
        <v>3115</v>
      </c>
      <c r="B5282" s="1">
        <v>45728</v>
      </c>
      <c r="C5282" t="str">
        <f>"632"</f>
        <v>632</v>
      </c>
      <c r="D5282" t="s">
        <v>4184</v>
      </c>
      <c r="E5282" t="str">
        <f>"183659"</f>
        <v>183659</v>
      </c>
      <c r="F5282" t="str">
        <f t="shared" si="184"/>
        <v>60410000</v>
      </c>
      <c r="G5282" t="str">
        <f t="shared" si="185"/>
        <v>60440002</v>
      </c>
      <c r="H5282" t="s">
        <v>4185</v>
      </c>
      <c r="J5282" s="4">
        <v>1649</v>
      </c>
    </row>
    <row r="5283" spans="1:10" hidden="1" outlineLevel="2" x14ac:dyDescent="0.35">
      <c r="A5283" t="s">
        <v>3115</v>
      </c>
      <c r="B5283" s="1">
        <v>45728</v>
      </c>
      <c r="C5283" t="str">
        <f>"633"</f>
        <v>633</v>
      </c>
      <c r="D5283" t="s">
        <v>4186</v>
      </c>
      <c r="E5283" t="str">
        <f>"183660"</f>
        <v>183660</v>
      </c>
      <c r="F5283" t="str">
        <f t="shared" si="184"/>
        <v>60410000</v>
      </c>
      <c r="G5283" t="str">
        <f t="shared" si="185"/>
        <v>60440002</v>
      </c>
      <c r="H5283" t="s">
        <v>4187</v>
      </c>
      <c r="J5283" s="4">
        <v>6356</v>
      </c>
    </row>
    <row r="5284" spans="1:10" hidden="1" outlineLevel="2" x14ac:dyDescent="0.35">
      <c r="A5284" t="s">
        <v>3115</v>
      </c>
      <c r="B5284" s="1">
        <v>45728</v>
      </c>
      <c r="C5284" t="str">
        <f>"634"</f>
        <v>634</v>
      </c>
      <c r="D5284" t="s">
        <v>4188</v>
      </c>
      <c r="E5284" t="str">
        <f>"182265"</f>
        <v>182265</v>
      </c>
      <c r="F5284" t="str">
        <f t="shared" si="184"/>
        <v>60410000</v>
      </c>
      <c r="G5284" t="str">
        <f t="shared" si="185"/>
        <v>60440002</v>
      </c>
      <c r="H5284" t="s">
        <v>4189</v>
      </c>
      <c r="J5284" s="4">
        <v>5242</v>
      </c>
    </row>
    <row r="5285" spans="1:10" hidden="1" outlineLevel="2" x14ac:dyDescent="0.35">
      <c r="A5285" t="s">
        <v>3115</v>
      </c>
      <c r="B5285" s="1">
        <v>45728</v>
      </c>
      <c r="C5285" t="str">
        <f>"635"</f>
        <v>635</v>
      </c>
      <c r="D5285" t="s">
        <v>4190</v>
      </c>
      <c r="E5285" t="str">
        <f>"182266"</f>
        <v>182266</v>
      </c>
      <c r="F5285" t="str">
        <f t="shared" si="184"/>
        <v>60410000</v>
      </c>
      <c r="G5285" t="str">
        <f t="shared" si="185"/>
        <v>60440002</v>
      </c>
      <c r="H5285" t="s">
        <v>4191</v>
      </c>
      <c r="J5285" s="4">
        <v>2917</v>
      </c>
    </row>
    <row r="5286" spans="1:10" hidden="1" outlineLevel="2" x14ac:dyDescent="0.35">
      <c r="A5286" t="s">
        <v>3115</v>
      </c>
      <c r="B5286" s="1">
        <v>45729</v>
      </c>
      <c r="C5286" t="str">
        <f>"647"</f>
        <v>647</v>
      </c>
      <c r="D5286" t="s">
        <v>4214</v>
      </c>
      <c r="E5286" t="str">
        <f>"170692"</f>
        <v>170692</v>
      </c>
      <c r="F5286" t="str">
        <f t="shared" si="184"/>
        <v>60410000</v>
      </c>
      <c r="G5286" t="str">
        <f t="shared" si="185"/>
        <v>60440002</v>
      </c>
      <c r="H5286" t="s">
        <v>4215</v>
      </c>
      <c r="J5286" s="4">
        <v>3360</v>
      </c>
    </row>
    <row r="5287" spans="1:10" hidden="1" outlineLevel="2" x14ac:dyDescent="0.35">
      <c r="A5287" t="s">
        <v>3115</v>
      </c>
      <c r="B5287" s="1">
        <v>45729</v>
      </c>
      <c r="C5287" t="str">
        <f>"684"</f>
        <v>684</v>
      </c>
      <c r="D5287" t="s">
        <v>4288</v>
      </c>
      <c r="E5287" t="str">
        <f>"182267"</f>
        <v>182267</v>
      </c>
      <c r="F5287" t="str">
        <f t="shared" si="184"/>
        <v>60410000</v>
      </c>
      <c r="G5287" t="str">
        <f t="shared" si="185"/>
        <v>60440002</v>
      </c>
      <c r="H5287" t="s">
        <v>4289</v>
      </c>
      <c r="J5287" s="4">
        <v>5242</v>
      </c>
    </row>
    <row r="5288" spans="1:10" hidden="1" outlineLevel="2" x14ac:dyDescent="0.35">
      <c r="A5288" t="s">
        <v>3115</v>
      </c>
      <c r="B5288" s="1">
        <v>45730</v>
      </c>
      <c r="C5288" t="str">
        <f>"181"</f>
        <v>181</v>
      </c>
      <c r="D5288" t="s">
        <v>4328</v>
      </c>
      <c r="E5288" t="str">
        <f>"182271"</f>
        <v>182271</v>
      </c>
      <c r="F5288" t="str">
        <f t="shared" si="184"/>
        <v>60410000</v>
      </c>
      <c r="G5288" t="str">
        <f t="shared" si="185"/>
        <v>60440002</v>
      </c>
      <c r="H5288" t="s">
        <v>4329</v>
      </c>
      <c r="J5288" s="4">
        <v>4947</v>
      </c>
    </row>
    <row r="5289" spans="1:10" hidden="1" outlineLevel="2" x14ac:dyDescent="0.35">
      <c r="A5289" t="s">
        <v>3115</v>
      </c>
      <c r="B5289" s="1">
        <v>45730</v>
      </c>
      <c r="C5289" t="str">
        <f>"182"</f>
        <v>182</v>
      </c>
      <c r="D5289" t="s">
        <v>4330</v>
      </c>
      <c r="E5289" t="str">
        <f>"170472"</f>
        <v>170472</v>
      </c>
      <c r="F5289" t="str">
        <f t="shared" si="184"/>
        <v>60410000</v>
      </c>
      <c r="G5289" t="str">
        <f t="shared" si="185"/>
        <v>60440002</v>
      </c>
      <c r="H5289" t="s">
        <v>4331</v>
      </c>
      <c r="J5289" s="4">
        <v>35000</v>
      </c>
    </row>
    <row r="5290" spans="1:10" hidden="1" outlineLevel="2" x14ac:dyDescent="0.35">
      <c r="A5290" t="s">
        <v>3115</v>
      </c>
      <c r="B5290" s="1">
        <v>45730</v>
      </c>
      <c r="C5290" t="str">
        <f>"183"</f>
        <v>183</v>
      </c>
      <c r="D5290" t="s">
        <v>4332</v>
      </c>
      <c r="E5290" t="str">
        <f>"170653"</f>
        <v>170653</v>
      </c>
      <c r="F5290" t="str">
        <f t="shared" si="184"/>
        <v>60410000</v>
      </c>
      <c r="G5290" t="str">
        <f t="shared" si="185"/>
        <v>60440002</v>
      </c>
      <c r="H5290" t="s">
        <v>4333</v>
      </c>
      <c r="J5290" s="4">
        <v>35000</v>
      </c>
    </row>
    <row r="5291" spans="1:10" hidden="1" outlineLevel="2" x14ac:dyDescent="0.35">
      <c r="A5291" t="s">
        <v>3115</v>
      </c>
      <c r="B5291" s="1">
        <v>45730</v>
      </c>
      <c r="C5291" t="str">
        <f>"198"</f>
        <v>198</v>
      </c>
      <c r="D5291" t="s">
        <v>4362</v>
      </c>
      <c r="E5291" t="str">
        <f>"181246"</f>
        <v>181246</v>
      </c>
      <c r="F5291" t="str">
        <f t="shared" si="184"/>
        <v>60410000</v>
      </c>
      <c r="G5291" t="str">
        <f t="shared" si="185"/>
        <v>60440002</v>
      </c>
      <c r="H5291" t="s">
        <v>4363</v>
      </c>
      <c r="J5291" s="4">
        <v>3178</v>
      </c>
    </row>
    <row r="5292" spans="1:10" hidden="1" outlineLevel="2" x14ac:dyDescent="0.35">
      <c r="A5292" t="s">
        <v>3115</v>
      </c>
      <c r="B5292" s="1">
        <v>45730</v>
      </c>
      <c r="C5292" t="str">
        <f>"1145"</f>
        <v>1145</v>
      </c>
      <c r="D5292" t="s">
        <v>4390</v>
      </c>
      <c r="E5292" t="str">
        <f>"183683"</f>
        <v>183683</v>
      </c>
      <c r="F5292" t="str">
        <f t="shared" si="184"/>
        <v>60410000</v>
      </c>
      <c r="G5292" t="str">
        <f t="shared" si="185"/>
        <v>60440002</v>
      </c>
      <c r="H5292" t="s">
        <v>4391</v>
      </c>
      <c r="J5292" s="4">
        <v>3298</v>
      </c>
    </row>
    <row r="5293" spans="1:10" hidden="1" outlineLevel="2" x14ac:dyDescent="0.35">
      <c r="A5293" t="s">
        <v>3115</v>
      </c>
      <c r="B5293" s="1">
        <v>45730</v>
      </c>
      <c r="C5293" t="str">
        <f>"1146"</f>
        <v>1146</v>
      </c>
      <c r="D5293" t="s">
        <v>4392</v>
      </c>
      <c r="E5293" t="str">
        <f>"183684"</f>
        <v>183684</v>
      </c>
      <c r="F5293" t="str">
        <f t="shared" si="184"/>
        <v>60410000</v>
      </c>
      <c r="G5293" t="str">
        <f t="shared" si="185"/>
        <v>60440002</v>
      </c>
      <c r="H5293" t="s">
        <v>4393</v>
      </c>
      <c r="J5293" s="4">
        <v>6356</v>
      </c>
    </row>
    <row r="5294" spans="1:10" hidden="1" outlineLevel="2" x14ac:dyDescent="0.35">
      <c r="A5294" t="s">
        <v>3115</v>
      </c>
      <c r="B5294" s="1">
        <v>45730</v>
      </c>
      <c r="C5294" t="str">
        <f>"1147"</f>
        <v>1147</v>
      </c>
      <c r="D5294" t="s">
        <v>4394</v>
      </c>
      <c r="E5294" t="str">
        <f>"182269"</f>
        <v>182269</v>
      </c>
      <c r="F5294" t="str">
        <f t="shared" si="184"/>
        <v>60410000</v>
      </c>
      <c r="G5294" t="str">
        <f t="shared" si="185"/>
        <v>60440002</v>
      </c>
      <c r="H5294" t="s">
        <v>4395</v>
      </c>
      <c r="J5294" s="4">
        <v>5242</v>
      </c>
    </row>
    <row r="5295" spans="1:10" hidden="1" outlineLevel="2" x14ac:dyDescent="0.35">
      <c r="A5295" t="s">
        <v>3115</v>
      </c>
      <c r="B5295" s="1">
        <v>45730</v>
      </c>
      <c r="C5295" t="str">
        <f>"1148"</f>
        <v>1148</v>
      </c>
      <c r="D5295" t="s">
        <v>4396</v>
      </c>
      <c r="E5295" t="str">
        <f>"182270"</f>
        <v>182270</v>
      </c>
      <c r="F5295" t="str">
        <f t="shared" si="184"/>
        <v>60410000</v>
      </c>
      <c r="G5295" t="str">
        <f t="shared" si="185"/>
        <v>60440002</v>
      </c>
      <c r="H5295" t="s">
        <v>4397</v>
      </c>
      <c r="J5295" s="4">
        <v>10018</v>
      </c>
    </row>
    <row r="5296" spans="1:10" hidden="1" outlineLevel="2" x14ac:dyDescent="0.35">
      <c r="A5296" t="s">
        <v>3115</v>
      </c>
      <c r="B5296" s="1">
        <v>45731</v>
      </c>
      <c r="C5296" t="str">
        <f>"767"</f>
        <v>767</v>
      </c>
      <c r="D5296" t="s">
        <v>4428</v>
      </c>
      <c r="E5296" t="str">
        <f>"181247"</f>
        <v>181247</v>
      </c>
      <c r="F5296" t="str">
        <f t="shared" si="184"/>
        <v>60410000</v>
      </c>
      <c r="G5296" t="str">
        <f t="shared" si="185"/>
        <v>60440002</v>
      </c>
      <c r="H5296" t="s">
        <v>4429</v>
      </c>
      <c r="J5296" s="4">
        <v>1649</v>
      </c>
    </row>
    <row r="5297" spans="1:10" hidden="1" outlineLevel="2" x14ac:dyDescent="0.35">
      <c r="A5297" t="s">
        <v>3115</v>
      </c>
      <c r="B5297" s="1">
        <v>45732</v>
      </c>
      <c r="C5297" t="str">
        <f>"755"</f>
        <v>755</v>
      </c>
      <c r="D5297" t="s">
        <v>4442</v>
      </c>
      <c r="E5297" t="str">
        <f>"182272"</f>
        <v>182272</v>
      </c>
      <c r="F5297" t="str">
        <f t="shared" si="184"/>
        <v>60410000</v>
      </c>
      <c r="G5297" t="str">
        <f t="shared" si="185"/>
        <v>60440002</v>
      </c>
      <c r="H5297" t="s">
        <v>4443</v>
      </c>
      <c r="J5297" s="4">
        <v>3889</v>
      </c>
    </row>
    <row r="5298" spans="1:10" hidden="1" outlineLevel="2" x14ac:dyDescent="0.35">
      <c r="A5298" t="s">
        <v>3115</v>
      </c>
      <c r="B5298" s="1">
        <v>45733</v>
      </c>
      <c r="C5298" t="str">
        <f>"705"</f>
        <v>705</v>
      </c>
      <c r="D5298" t="s">
        <v>4472</v>
      </c>
      <c r="E5298" t="str">
        <f>"183685"</f>
        <v>183685</v>
      </c>
      <c r="F5298" t="str">
        <f t="shared" ref="F5298:F5329" si="186">"60410000"</f>
        <v>60410000</v>
      </c>
      <c r="G5298" t="str">
        <f t="shared" si="185"/>
        <v>60440002</v>
      </c>
      <c r="H5298" t="s">
        <v>4473</v>
      </c>
      <c r="J5298" s="4">
        <v>992</v>
      </c>
    </row>
    <row r="5299" spans="1:10" hidden="1" outlineLevel="2" x14ac:dyDescent="0.35">
      <c r="A5299" t="s">
        <v>3115</v>
      </c>
      <c r="B5299" s="1">
        <v>45733</v>
      </c>
      <c r="C5299" t="str">
        <f>"712"</f>
        <v>712</v>
      </c>
      <c r="D5299" t="s">
        <v>4486</v>
      </c>
      <c r="E5299" t="str">
        <f>"181249"</f>
        <v>181249</v>
      </c>
      <c r="F5299" t="str">
        <f t="shared" si="186"/>
        <v>60410000</v>
      </c>
      <c r="G5299" t="str">
        <f t="shared" si="185"/>
        <v>60440002</v>
      </c>
      <c r="H5299" t="s">
        <v>4487</v>
      </c>
      <c r="J5299" s="4">
        <v>1649</v>
      </c>
    </row>
    <row r="5300" spans="1:10" hidden="1" outlineLevel="2" x14ac:dyDescent="0.35">
      <c r="A5300" t="s">
        <v>3115</v>
      </c>
      <c r="B5300" s="1">
        <v>45733</v>
      </c>
      <c r="C5300" t="str">
        <f>"713"</f>
        <v>713</v>
      </c>
      <c r="D5300" t="s">
        <v>4488</v>
      </c>
      <c r="E5300" t="str">
        <f>"182273"</f>
        <v>182273</v>
      </c>
      <c r="F5300" t="str">
        <f t="shared" si="186"/>
        <v>60410000</v>
      </c>
      <c r="G5300" t="str">
        <f t="shared" ref="G5300:G5331" si="187">"60440002"</f>
        <v>60440002</v>
      </c>
      <c r="H5300" t="s">
        <v>4489</v>
      </c>
      <c r="J5300" s="4">
        <v>2917</v>
      </c>
    </row>
    <row r="5301" spans="1:10" hidden="1" outlineLevel="2" x14ac:dyDescent="0.35">
      <c r="A5301" t="s">
        <v>3115</v>
      </c>
      <c r="B5301" s="1">
        <v>45733</v>
      </c>
      <c r="C5301" t="str">
        <f>"714"</f>
        <v>714</v>
      </c>
      <c r="D5301" t="s">
        <v>4490</v>
      </c>
      <c r="E5301" t="str">
        <f>"182274"</f>
        <v>182274</v>
      </c>
      <c r="F5301" t="str">
        <f t="shared" si="186"/>
        <v>60410000</v>
      </c>
      <c r="G5301" t="str">
        <f t="shared" si="187"/>
        <v>60440002</v>
      </c>
      <c r="H5301" t="s">
        <v>4491</v>
      </c>
      <c r="J5301" s="4">
        <v>4947</v>
      </c>
    </row>
    <row r="5302" spans="1:10" hidden="1" outlineLevel="2" x14ac:dyDescent="0.35">
      <c r="A5302" t="s">
        <v>3115</v>
      </c>
      <c r="B5302" s="1">
        <v>45733</v>
      </c>
      <c r="C5302" t="str">
        <f>"715"</f>
        <v>715</v>
      </c>
      <c r="D5302" t="s">
        <v>4492</v>
      </c>
      <c r="E5302" t="str">
        <f>"181248"</f>
        <v>181248</v>
      </c>
      <c r="F5302" t="str">
        <f t="shared" si="186"/>
        <v>60410000</v>
      </c>
      <c r="G5302" t="str">
        <f t="shared" si="187"/>
        <v>60440002</v>
      </c>
      <c r="H5302" t="s">
        <v>4493</v>
      </c>
      <c r="J5302" s="4">
        <v>1649</v>
      </c>
    </row>
    <row r="5303" spans="1:10" hidden="1" outlineLevel="2" x14ac:dyDescent="0.35">
      <c r="A5303" t="s">
        <v>3115</v>
      </c>
      <c r="B5303" s="1">
        <v>45733</v>
      </c>
      <c r="C5303" t="str">
        <f>"716"</f>
        <v>716</v>
      </c>
      <c r="D5303" t="s">
        <v>4494</v>
      </c>
      <c r="E5303" t="str">
        <f>"182275"</f>
        <v>182275</v>
      </c>
      <c r="F5303" t="str">
        <f t="shared" si="186"/>
        <v>60410000</v>
      </c>
      <c r="G5303" t="str">
        <f t="shared" si="187"/>
        <v>60440002</v>
      </c>
      <c r="H5303" t="s">
        <v>4495</v>
      </c>
      <c r="J5303" s="4">
        <v>2917</v>
      </c>
    </row>
    <row r="5304" spans="1:10" hidden="1" outlineLevel="2" x14ac:dyDescent="0.35">
      <c r="A5304" t="s">
        <v>3115</v>
      </c>
      <c r="B5304" s="1">
        <v>45733</v>
      </c>
      <c r="C5304" t="str">
        <f>"717"</f>
        <v>717</v>
      </c>
      <c r="D5304" t="s">
        <v>4496</v>
      </c>
      <c r="E5304" t="str">
        <f>"170698"</f>
        <v>170698</v>
      </c>
      <c r="F5304" t="str">
        <f t="shared" si="186"/>
        <v>60410000</v>
      </c>
      <c r="G5304" t="str">
        <f t="shared" si="187"/>
        <v>60440002</v>
      </c>
      <c r="H5304" t="s">
        <v>4497</v>
      </c>
      <c r="J5304" s="4">
        <v>35000</v>
      </c>
    </row>
    <row r="5305" spans="1:10" hidden="1" outlineLevel="2" x14ac:dyDescent="0.35">
      <c r="A5305" t="s">
        <v>3115</v>
      </c>
      <c r="B5305" s="1">
        <v>45733</v>
      </c>
      <c r="C5305" t="str">
        <f>"722"</f>
        <v>722</v>
      </c>
      <c r="D5305" t="s">
        <v>4506</v>
      </c>
      <c r="E5305" t="str">
        <f>"183687"</f>
        <v>183687</v>
      </c>
      <c r="F5305" t="str">
        <f t="shared" si="186"/>
        <v>60410000</v>
      </c>
      <c r="G5305" t="str">
        <f t="shared" si="187"/>
        <v>60440002</v>
      </c>
      <c r="H5305" t="s">
        <v>4507</v>
      </c>
      <c r="J5305" s="4">
        <v>3298</v>
      </c>
    </row>
    <row r="5306" spans="1:10" hidden="1" outlineLevel="2" x14ac:dyDescent="0.35">
      <c r="A5306" t="s">
        <v>3115</v>
      </c>
      <c r="B5306" s="1">
        <v>45733</v>
      </c>
      <c r="C5306" t="str">
        <f>"723"</f>
        <v>723</v>
      </c>
      <c r="D5306" t="s">
        <v>4508</v>
      </c>
      <c r="E5306" t="str">
        <f>"183688"</f>
        <v>183688</v>
      </c>
      <c r="F5306" t="str">
        <f t="shared" si="186"/>
        <v>60410000</v>
      </c>
      <c r="G5306" t="str">
        <f t="shared" si="187"/>
        <v>60440002</v>
      </c>
      <c r="H5306" t="s">
        <v>4509</v>
      </c>
      <c r="J5306" s="4">
        <v>3298</v>
      </c>
    </row>
    <row r="5307" spans="1:10" hidden="1" outlineLevel="2" x14ac:dyDescent="0.35">
      <c r="A5307" t="s">
        <v>3115</v>
      </c>
      <c r="B5307" s="1">
        <v>45734</v>
      </c>
      <c r="C5307" t="str">
        <f>"460"</f>
        <v>460</v>
      </c>
      <c r="D5307" t="s">
        <v>4588</v>
      </c>
      <c r="E5307" t="str">
        <f>"183692"</f>
        <v>183692</v>
      </c>
      <c r="F5307" t="str">
        <f t="shared" si="186"/>
        <v>60410000</v>
      </c>
      <c r="G5307" t="str">
        <f t="shared" si="187"/>
        <v>60440002</v>
      </c>
      <c r="H5307" t="s">
        <v>4589</v>
      </c>
      <c r="J5307" s="4">
        <v>9654</v>
      </c>
    </row>
    <row r="5308" spans="1:10" hidden="1" outlineLevel="2" x14ac:dyDescent="0.35">
      <c r="A5308" t="s">
        <v>3115</v>
      </c>
      <c r="B5308" s="1">
        <v>45734</v>
      </c>
      <c r="C5308" t="str">
        <f>"461"</f>
        <v>461</v>
      </c>
      <c r="D5308" t="s">
        <v>4590</v>
      </c>
      <c r="E5308" t="str">
        <f>"183690"</f>
        <v>183690</v>
      </c>
      <c r="F5308" t="str">
        <f t="shared" si="186"/>
        <v>60410000</v>
      </c>
      <c r="G5308" t="str">
        <f t="shared" si="187"/>
        <v>60440002</v>
      </c>
      <c r="H5308" t="s">
        <v>4591</v>
      </c>
      <c r="J5308" s="4">
        <v>6476</v>
      </c>
    </row>
    <row r="5309" spans="1:10" hidden="1" outlineLevel="2" x14ac:dyDescent="0.35">
      <c r="A5309" t="s">
        <v>3115</v>
      </c>
      <c r="B5309" s="1">
        <v>45734</v>
      </c>
      <c r="C5309" t="str">
        <f>"462"</f>
        <v>462</v>
      </c>
      <c r="D5309" t="s">
        <v>4592</v>
      </c>
      <c r="E5309" t="str">
        <f>"183691"</f>
        <v>183691</v>
      </c>
      <c r="F5309" t="str">
        <f t="shared" si="186"/>
        <v>60410000</v>
      </c>
      <c r="G5309" t="str">
        <f t="shared" si="187"/>
        <v>60440002</v>
      </c>
      <c r="H5309" t="s">
        <v>4593</v>
      </c>
      <c r="J5309" s="4">
        <v>36600</v>
      </c>
    </row>
    <row r="5310" spans="1:10" hidden="1" outlineLevel="2" x14ac:dyDescent="0.35">
      <c r="A5310" t="s">
        <v>3115</v>
      </c>
      <c r="B5310" s="1">
        <v>45735</v>
      </c>
      <c r="C5310" t="str">
        <f>"350"</f>
        <v>350</v>
      </c>
      <c r="D5310" t="s">
        <v>4662</v>
      </c>
      <c r="E5310" t="str">
        <f>"182281"</f>
        <v>182281</v>
      </c>
      <c r="F5310" t="str">
        <f t="shared" si="186"/>
        <v>60410000</v>
      </c>
      <c r="G5310" t="str">
        <f t="shared" si="187"/>
        <v>60440002</v>
      </c>
      <c r="H5310" t="s">
        <v>4663</v>
      </c>
      <c r="J5310" s="4">
        <v>1944</v>
      </c>
    </row>
    <row r="5311" spans="1:10" hidden="1" outlineLevel="2" x14ac:dyDescent="0.35">
      <c r="A5311" t="s">
        <v>3115</v>
      </c>
      <c r="B5311" s="1">
        <v>45735</v>
      </c>
      <c r="C5311" t="str">
        <f>"351"</f>
        <v>351</v>
      </c>
      <c r="D5311" t="s">
        <v>4664</v>
      </c>
      <c r="E5311" t="str">
        <f>"182282"</f>
        <v>182282</v>
      </c>
      <c r="F5311" t="str">
        <f t="shared" si="186"/>
        <v>60410000</v>
      </c>
      <c r="G5311" t="str">
        <f t="shared" si="187"/>
        <v>60440002</v>
      </c>
      <c r="H5311" t="s">
        <v>4665</v>
      </c>
      <c r="J5311" s="4">
        <v>1944</v>
      </c>
    </row>
    <row r="5312" spans="1:10" hidden="1" outlineLevel="2" x14ac:dyDescent="0.35">
      <c r="A5312" t="s">
        <v>3115</v>
      </c>
      <c r="B5312" s="1">
        <v>45735</v>
      </c>
      <c r="C5312" t="str">
        <f>"356"</f>
        <v>356</v>
      </c>
      <c r="D5312" t="s">
        <v>4674</v>
      </c>
      <c r="E5312" t="str">
        <f>"183696"</f>
        <v>183696</v>
      </c>
      <c r="F5312" t="str">
        <f t="shared" si="186"/>
        <v>60410000</v>
      </c>
      <c r="G5312" t="str">
        <f t="shared" si="187"/>
        <v>60440002</v>
      </c>
      <c r="H5312" t="s">
        <v>4675</v>
      </c>
      <c r="J5312" s="4">
        <v>992</v>
      </c>
    </row>
    <row r="5313" spans="1:10" hidden="1" outlineLevel="2" x14ac:dyDescent="0.35">
      <c r="A5313" t="s">
        <v>3115</v>
      </c>
      <c r="B5313" s="1">
        <v>45735</v>
      </c>
      <c r="C5313" t="str">
        <f>"357"</f>
        <v>357</v>
      </c>
      <c r="D5313" t="s">
        <v>4676</v>
      </c>
      <c r="E5313" t="str">
        <f>"183695"</f>
        <v>183695</v>
      </c>
      <c r="F5313" t="str">
        <f t="shared" si="186"/>
        <v>60410000</v>
      </c>
      <c r="G5313" t="str">
        <f t="shared" si="187"/>
        <v>60440002</v>
      </c>
      <c r="H5313" t="s">
        <v>4677</v>
      </c>
      <c r="J5313" s="4">
        <v>4827</v>
      </c>
    </row>
    <row r="5314" spans="1:10" hidden="1" outlineLevel="2" x14ac:dyDescent="0.35">
      <c r="A5314" t="s">
        <v>3115</v>
      </c>
      <c r="B5314" s="1">
        <v>45735</v>
      </c>
      <c r="C5314" t="str">
        <f>"373"</f>
        <v>373</v>
      </c>
      <c r="D5314" t="s">
        <v>4708</v>
      </c>
      <c r="E5314" t="str">
        <f>"183694"</f>
        <v>183694</v>
      </c>
      <c r="F5314" t="str">
        <f t="shared" si="186"/>
        <v>60410000</v>
      </c>
      <c r="G5314" t="str">
        <f t="shared" si="187"/>
        <v>60440002</v>
      </c>
      <c r="H5314" t="s">
        <v>4709</v>
      </c>
      <c r="J5314" s="4">
        <v>6356</v>
      </c>
    </row>
    <row r="5315" spans="1:10" hidden="1" outlineLevel="2" x14ac:dyDescent="0.35">
      <c r="A5315" t="s">
        <v>3115</v>
      </c>
      <c r="B5315" s="1">
        <v>45735</v>
      </c>
      <c r="C5315" t="str">
        <f>"388"</f>
        <v>388</v>
      </c>
      <c r="D5315" t="s">
        <v>4738</v>
      </c>
      <c r="E5315" t="str">
        <f>"182277"</f>
        <v>182277</v>
      </c>
      <c r="F5315" t="str">
        <f t="shared" si="186"/>
        <v>60410000</v>
      </c>
      <c r="G5315" t="str">
        <f t="shared" si="187"/>
        <v>60440002</v>
      </c>
      <c r="H5315" t="s">
        <v>4739</v>
      </c>
      <c r="J5315" s="4">
        <v>2917</v>
      </c>
    </row>
    <row r="5316" spans="1:10" hidden="1" outlineLevel="2" x14ac:dyDescent="0.35">
      <c r="A5316" t="s">
        <v>3115</v>
      </c>
      <c r="B5316" s="1">
        <v>45735</v>
      </c>
      <c r="C5316" t="str">
        <f>"390"</f>
        <v>390</v>
      </c>
      <c r="D5316" t="s">
        <v>4742</v>
      </c>
      <c r="E5316" t="str">
        <f>"182278"</f>
        <v>182278</v>
      </c>
      <c r="F5316" t="str">
        <f t="shared" si="186"/>
        <v>60410000</v>
      </c>
      <c r="G5316" t="str">
        <f t="shared" si="187"/>
        <v>60440002</v>
      </c>
      <c r="H5316" t="s">
        <v>4743</v>
      </c>
      <c r="J5316" s="4">
        <v>36944</v>
      </c>
    </row>
    <row r="5317" spans="1:10" hidden="1" outlineLevel="2" x14ac:dyDescent="0.35">
      <c r="A5317" t="s">
        <v>3115</v>
      </c>
      <c r="B5317" s="1">
        <v>45735</v>
      </c>
      <c r="C5317" t="str">
        <f>"391"</f>
        <v>391</v>
      </c>
      <c r="D5317" t="s">
        <v>4744</v>
      </c>
      <c r="E5317" t="str">
        <f>"182279"</f>
        <v>182279</v>
      </c>
      <c r="F5317" t="str">
        <f t="shared" si="186"/>
        <v>60410000</v>
      </c>
      <c r="G5317" t="str">
        <f t="shared" si="187"/>
        <v>60440002</v>
      </c>
      <c r="H5317" t="s">
        <v>4745</v>
      </c>
      <c r="J5317" s="4">
        <v>4947</v>
      </c>
    </row>
    <row r="5318" spans="1:10" hidden="1" outlineLevel="2" x14ac:dyDescent="0.35">
      <c r="A5318" t="s">
        <v>3115</v>
      </c>
      <c r="B5318" s="1">
        <v>45735</v>
      </c>
      <c r="C5318" t="str">
        <f>"393"</f>
        <v>393</v>
      </c>
      <c r="D5318" t="s">
        <v>4748</v>
      </c>
      <c r="E5318" t="str">
        <f>"182280"</f>
        <v>182280</v>
      </c>
      <c r="F5318" t="str">
        <f t="shared" si="186"/>
        <v>60410000</v>
      </c>
      <c r="G5318" t="str">
        <f t="shared" si="187"/>
        <v>60440002</v>
      </c>
      <c r="H5318" t="s">
        <v>4749</v>
      </c>
      <c r="J5318" s="4">
        <v>1944</v>
      </c>
    </row>
    <row r="5319" spans="1:10" hidden="1" outlineLevel="2" x14ac:dyDescent="0.35">
      <c r="A5319" t="s">
        <v>3115</v>
      </c>
      <c r="B5319" s="1">
        <v>45736</v>
      </c>
      <c r="C5319" t="str">
        <f>"326"</f>
        <v>326</v>
      </c>
      <c r="D5319" t="s">
        <v>4858</v>
      </c>
      <c r="E5319" t="str">
        <f>"182283"</f>
        <v>182283</v>
      </c>
      <c r="F5319" t="str">
        <f t="shared" si="186"/>
        <v>60410000</v>
      </c>
      <c r="G5319" t="str">
        <f t="shared" si="187"/>
        <v>60440002</v>
      </c>
      <c r="H5319" t="s">
        <v>4859</v>
      </c>
      <c r="J5319" s="4">
        <v>6597</v>
      </c>
    </row>
    <row r="5320" spans="1:10" hidden="1" outlineLevel="2" x14ac:dyDescent="0.35">
      <c r="A5320" t="s">
        <v>3115</v>
      </c>
      <c r="B5320" s="1">
        <v>45736</v>
      </c>
      <c r="C5320" t="str">
        <f>"327"</f>
        <v>327</v>
      </c>
      <c r="D5320" t="s">
        <v>4860</v>
      </c>
      <c r="E5320" t="str">
        <f>"182284"</f>
        <v>182284</v>
      </c>
      <c r="F5320" t="str">
        <f t="shared" si="186"/>
        <v>60410000</v>
      </c>
      <c r="G5320" t="str">
        <f t="shared" si="187"/>
        <v>60440002</v>
      </c>
      <c r="H5320" t="s">
        <v>4861</v>
      </c>
      <c r="J5320" s="4">
        <v>3889</v>
      </c>
    </row>
    <row r="5321" spans="1:10" hidden="1" outlineLevel="2" x14ac:dyDescent="0.35">
      <c r="A5321" t="s">
        <v>3115</v>
      </c>
      <c r="B5321" s="1">
        <v>45736</v>
      </c>
      <c r="C5321" t="str">
        <f>"332"</f>
        <v>332</v>
      </c>
      <c r="D5321" t="s">
        <v>4870</v>
      </c>
      <c r="E5321" t="str">
        <f>"183699"</f>
        <v>183699</v>
      </c>
      <c r="F5321" t="str">
        <f t="shared" si="186"/>
        <v>60410000</v>
      </c>
      <c r="G5321" t="str">
        <f t="shared" si="187"/>
        <v>60440002</v>
      </c>
      <c r="H5321" t="s">
        <v>4871</v>
      </c>
      <c r="J5321" s="4">
        <v>3298</v>
      </c>
    </row>
    <row r="5322" spans="1:10" hidden="1" outlineLevel="2" x14ac:dyDescent="0.35">
      <c r="A5322" t="s">
        <v>3115</v>
      </c>
      <c r="B5322" s="1">
        <v>45736</v>
      </c>
      <c r="C5322" t="str">
        <f>"333"</f>
        <v>333</v>
      </c>
      <c r="D5322" t="s">
        <v>4872</v>
      </c>
      <c r="E5322" t="str">
        <f>"183697"</f>
        <v>183697</v>
      </c>
      <c r="F5322" t="str">
        <f t="shared" si="186"/>
        <v>60410000</v>
      </c>
      <c r="G5322" t="str">
        <f t="shared" si="187"/>
        <v>60440002</v>
      </c>
      <c r="H5322" t="s">
        <v>4873</v>
      </c>
      <c r="J5322" s="4">
        <v>5715</v>
      </c>
    </row>
    <row r="5323" spans="1:10" hidden="1" outlineLevel="2" x14ac:dyDescent="0.35">
      <c r="A5323" t="s">
        <v>3115</v>
      </c>
      <c r="B5323" s="1">
        <v>45736</v>
      </c>
      <c r="C5323" t="str">
        <f>"337"</f>
        <v>337</v>
      </c>
      <c r="D5323" t="s">
        <v>4880</v>
      </c>
      <c r="E5323" t="str">
        <f>"147303"</f>
        <v>147303</v>
      </c>
      <c r="F5323" t="str">
        <f t="shared" si="186"/>
        <v>60410000</v>
      </c>
      <c r="G5323" t="str">
        <f t="shared" si="187"/>
        <v>60440002</v>
      </c>
      <c r="H5323" t="s">
        <v>4881</v>
      </c>
      <c r="J5323" s="4">
        <v>11010</v>
      </c>
    </row>
    <row r="5324" spans="1:10" hidden="1" outlineLevel="2" x14ac:dyDescent="0.35">
      <c r="A5324" t="s">
        <v>3115</v>
      </c>
      <c r="B5324" s="1">
        <v>45736</v>
      </c>
      <c r="C5324" t="str">
        <f>"443"</f>
        <v>443</v>
      </c>
      <c r="D5324" t="s">
        <v>4956</v>
      </c>
      <c r="E5324" t="str">
        <f>"183698"</f>
        <v>183698</v>
      </c>
      <c r="F5324" t="str">
        <f t="shared" si="186"/>
        <v>60410000</v>
      </c>
      <c r="G5324" t="str">
        <f t="shared" si="187"/>
        <v>60440002</v>
      </c>
      <c r="H5324" t="s">
        <v>4957</v>
      </c>
      <c r="J5324" s="4">
        <v>6356</v>
      </c>
    </row>
    <row r="5325" spans="1:10" hidden="1" outlineLevel="2" x14ac:dyDescent="0.35">
      <c r="A5325" t="s">
        <v>3115</v>
      </c>
      <c r="B5325" s="1">
        <v>45737</v>
      </c>
      <c r="C5325" t="str">
        <f>"278"</f>
        <v>278</v>
      </c>
      <c r="D5325" t="s">
        <v>4996</v>
      </c>
      <c r="E5325" t="str">
        <f>"183700"</f>
        <v>183700</v>
      </c>
      <c r="F5325" t="str">
        <f t="shared" si="186"/>
        <v>60410000</v>
      </c>
      <c r="G5325" t="str">
        <f t="shared" si="187"/>
        <v>60440002</v>
      </c>
      <c r="H5325" t="s">
        <v>4997</v>
      </c>
      <c r="J5325" s="4">
        <v>13892</v>
      </c>
    </row>
    <row r="5326" spans="1:10" hidden="1" outlineLevel="2" x14ac:dyDescent="0.35">
      <c r="A5326" t="s">
        <v>3115</v>
      </c>
      <c r="B5326" s="1">
        <v>45737</v>
      </c>
      <c r="C5326" t="str">
        <f>"284"</f>
        <v>284</v>
      </c>
      <c r="D5326" t="s">
        <v>5008</v>
      </c>
      <c r="E5326" t="str">
        <f>"181222"</f>
        <v>181222</v>
      </c>
      <c r="F5326" t="str">
        <f t="shared" si="186"/>
        <v>60410000</v>
      </c>
      <c r="G5326" t="str">
        <f t="shared" si="187"/>
        <v>60440002</v>
      </c>
      <c r="H5326" t="s">
        <v>5009</v>
      </c>
      <c r="J5326" s="4">
        <v>1649</v>
      </c>
    </row>
    <row r="5327" spans="1:10" hidden="1" outlineLevel="2" x14ac:dyDescent="0.35">
      <c r="A5327" t="s">
        <v>3115</v>
      </c>
      <c r="B5327" s="1">
        <v>45737</v>
      </c>
      <c r="C5327" t="str">
        <f>"290"</f>
        <v>290</v>
      </c>
      <c r="D5327" t="s">
        <v>5020</v>
      </c>
      <c r="E5327" t="str">
        <f>"184651"</f>
        <v>184651</v>
      </c>
      <c r="F5327" t="str">
        <f t="shared" si="186"/>
        <v>60410000</v>
      </c>
      <c r="G5327" t="str">
        <f t="shared" si="187"/>
        <v>60440002</v>
      </c>
      <c r="H5327" t="s">
        <v>5021</v>
      </c>
      <c r="J5327" s="4">
        <v>6476</v>
      </c>
    </row>
    <row r="5328" spans="1:10" hidden="1" outlineLevel="2" x14ac:dyDescent="0.35">
      <c r="A5328" t="s">
        <v>3115</v>
      </c>
      <c r="B5328" s="1">
        <v>45738</v>
      </c>
      <c r="C5328" t="str">
        <f>"275"</f>
        <v>275</v>
      </c>
      <c r="D5328" t="s">
        <v>5054</v>
      </c>
      <c r="E5328" t="str">
        <f>"181301"</f>
        <v>181301</v>
      </c>
      <c r="F5328" t="str">
        <f t="shared" si="186"/>
        <v>60410000</v>
      </c>
      <c r="G5328" t="str">
        <f t="shared" si="187"/>
        <v>60440002</v>
      </c>
      <c r="H5328" t="s">
        <v>5055</v>
      </c>
      <c r="J5328" s="4">
        <v>1649</v>
      </c>
    </row>
    <row r="5329" spans="1:10" hidden="1" outlineLevel="2" x14ac:dyDescent="0.35">
      <c r="A5329" t="s">
        <v>3115</v>
      </c>
      <c r="B5329" s="1">
        <v>45740</v>
      </c>
      <c r="C5329" t="str">
        <f>"217"</f>
        <v>217</v>
      </c>
      <c r="D5329" t="s">
        <v>5078</v>
      </c>
      <c r="E5329" t="str">
        <f>"181304"</f>
        <v>181304</v>
      </c>
      <c r="F5329" t="str">
        <f t="shared" si="186"/>
        <v>60410000</v>
      </c>
      <c r="G5329" t="str">
        <f t="shared" si="187"/>
        <v>60440002</v>
      </c>
      <c r="H5329" t="s">
        <v>5079</v>
      </c>
      <c r="J5329" s="4">
        <v>6356</v>
      </c>
    </row>
    <row r="5330" spans="1:10" hidden="1" outlineLevel="2" x14ac:dyDescent="0.35">
      <c r="A5330" t="s">
        <v>3115</v>
      </c>
      <c r="B5330" s="1">
        <v>45740</v>
      </c>
      <c r="C5330" t="str">
        <f>"230"</f>
        <v>230</v>
      </c>
      <c r="D5330" t="s">
        <v>5104</v>
      </c>
      <c r="E5330" t="str">
        <f>"181228"</f>
        <v>181228</v>
      </c>
      <c r="F5330" t="str">
        <f t="shared" ref="F5330:F5350" si="188">"60410000"</f>
        <v>60410000</v>
      </c>
      <c r="G5330" t="str">
        <f t="shared" si="187"/>
        <v>60440002</v>
      </c>
      <c r="H5330" t="s">
        <v>5105</v>
      </c>
      <c r="J5330" s="4">
        <v>3178</v>
      </c>
    </row>
    <row r="5331" spans="1:10" hidden="1" outlineLevel="2" x14ac:dyDescent="0.35">
      <c r="A5331" t="s">
        <v>3115</v>
      </c>
      <c r="B5331" s="1">
        <v>45740</v>
      </c>
      <c r="C5331" t="str">
        <f>"234"</f>
        <v>234</v>
      </c>
      <c r="D5331" t="s">
        <v>5112</v>
      </c>
      <c r="E5331" t="str">
        <f>"182285"</f>
        <v>182285</v>
      </c>
      <c r="F5331" t="str">
        <f t="shared" si="188"/>
        <v>60410000</v>
      </c>
      <c r="G5331" t="str">
        <f t="shared" si="187"/>
        <v>60440002</v>
      </c>
      <c r="H5331" t="s">
        <v>5113</v>
      </c>
      <c r="J5331" s="4">
        <v>1944</v>
      </c>
    </row>
    <row r="5332" spans="1:10" hidden="1" outlineLevel="2" x14ac:dyDescent="0.35">
      <c r="A5332" t="s">
        <v>3115</v>
      </c>
      <c r="B5332" s="1">
        <v>45740</v>
      </c>
      <c r="C5332" t="str">
        <f>"236"</f>
        <v>236</v>
      </c>
      <c r="D5332" t="s">
        <v>5116</v>
      </c>
      <c r="E5332" t="str">
        <f>"184659"</f>
        <v>184659</v>
      </c>
      <c r="F5332" t="str">
        <f t="shared" si="188"/>
        <v>60410000</v>
      </c>
      <c r="G5332" t="str">
        <f t="shared" ref="G5332:G5350" si="189">"60440002"</f>
        <v>60440002</v>
      </c>
      <c r="H5332" t="s">
        <v>5117</v>
      </c>
      <c r="J5332" s="4">
        <v>4290</v>
      </c>
    </row>
    <row r="5333" spans="1:10" hidden="1" outlineLevel="2" x14ac:dyDescent="0.35">
      <c r="A5333" t="s">
        <v>3115</v>
      </c>
      <c r="B5333" s="1">
        <v>45740</v>
      </c>
      <c r="C5333" t="str">
        <f>"237"</f>
        <v>237</v>
      </c>
      <c r="D5333" t="s">
        <v>5118</v>
      </c>
      <c r="E5333" t="str">
        <f>"184658"</f>
        <v>184658</v>
      </c>
      <c r="F5333" t="str">
        <f t="shared" si="188"/>
        <v>60410000</v>
      </c>
      <c r="G5333" t="str">
        <f t="shared" si="189"/>
        <v>60440002</v>
      </c>
      <c r="H5333" t="s">
        <v>5119</v>
      </c>
      <c r="J5333" s="4">
        <v>33600</v>
      </c>
    </row>
    <row r="5334" spans="1:10" hidden="1" outlineLevel="2" x14ac:dyDescent="0.35">
      <c r="A5334" t="s">
        <v>3115</v>
      </c>
      <c r="B5334" s="1">
        <v>45740</v>
      </c>
      <c r="C5334" t="str">
        <f>"238"</f>
        <v>238</v>
      </c>
      <c r="D5334" t="s">
        <v>5120</v>
      </c>
      <c r="E5334" t="str">
        <f>"184657"</f>
        <v>184657</v>
      </c>
      <c r="F5334" t="str">
        <f t="shared" si="188"/>
        <v>60410000</v>
      </c>
      <c r="G5334" t="str">
        <f t="shared" si="189"/>
        <v>60440002</v>
      </c>
      <c r="H5334" t="s">
        <v>5121</v>
      </c>
      <c r="J5334" s="4">
        <v>3298</v>
      </c>
    </row>
    <row r="5335" spans="1:10" hidden="1" outlineLevel="2" x14ac:dyDescent="0.35">
      <c r="A5335" t="s">
        <v>3115</v>
      </c>
      <c r="B5335" s="1">
        <v>45740</v>
      </c>
      <c r="C5335" t="str">
        <f>"239"</f>
        <v>239</v>
      </c>
      <c r="D5335" t="s">
        <v>5122</v>
      </c>
      <c r="E5335" t="str">
        <f>"184656"</f>
        <v>184656</v>
      </c>
      <c r="F5335" t="str">
        <f t="shared" si="188"/>
        <v>60410000</v>
      </c>
      <c r="G5335" t="str">
        <f t="shared" si="189"/>
        <v>60440002</v>
      </c>
      <c r="H5335" t="s">
        <v>5123</v>
      </c>
      <c r="J5335" s="4">
        <v>6356</v>
      </c>
    </row>
    <row r="5336" spans="1:10" hidden="1" outlineLevel="2" x14ac:dyDescent="0.35">
      <c r="A5336" t="s">
        <v>3115</v>
      </c>
      <c r="B5336" s="1">
        <v>45740</v>
      </c>
      <c r="C5336" t="str">
        <f>"240"</f>
        <v>240</v>
      </c>
      <c r="D5336" t="s">
        <v>5124</v>
      </c>
      <c r="E5336" t="str">
        <f>"184653"</f>
        <v>184653</v>
      </c>
      <c r="F5336" t="str">
        <f t="shared" si="188"/>
        <v>60410000</v>
      </c>
      <c r="G5336" t="str">
        <f t="shared" si="189"/>
        <v>60440002</v>
      </c>
      <c r="H5336" t="s">
        <v>5125</v>
      </c>
      <c r="J5336" s="4">
        <v>3298</v>
      </c>
    </row>
    <row r="5337" spans="1:10" hidden="1" outlineLevel="2" x14ac:dyDescent="0.35">
      <c r="A5337" t="s">
        <v>3115</v>
      </c>
      <c r="B5337" s="1">
        <v>45740</v>
      </c>
      <c r="C5337" t="str">
        <f>"241"</f>
        <v>241</v>
      </c>
      <c r="D5337" t="s">
        <v>5126</v>
      </c>
      <c r="E5337" t="str">
        <f>"184654"</f>
        <v>184654</v>
      </c>
      <c r="F5337" t="str">
        <f t="shared" si="188"/>
        <v>60410000</v>
      </c>
      <c r="G5337" t="str">
        <f t="shared" si="189"/>
        <v>60440002</v>
      </c>
      <c r="H5337" t="s">
        <v>5127</v>
      </c>
      <c r="J5337" s="4">
        <v>5715</v>
      </c>
    </row>
    <row r="5338" spans="1:10" hidden="1" outlineLevel="2" x14ac:dyDescent="0.35">
      <c r="A5338" t="s">
        <v>3115</v>
      </c>
      <c r="B5338" s="1">
        <v>45740</v>
      </c>
      <c r="C5338" t="str">
        <f>"242"</f>
        <v>242</v>
      </c>
      <c r="D5338" t="s">
        <v>5128</v>
      </c>
      <c r="E5338" t="str">
        <f>"184652"</f>
        <v>184652</v>
      </c>
      <c r="F5338" t="str">
        <f t="shared" si="188"/>
        <v>60410000</v>
      </c>
      <c r="G5338" t="str">
        <f t="shared" si="189"/>
        <v>60440002</v>
      </c>
      <c r="H5338" t="s">
        <v>5129</v>
      </c>
      <c r="J5338" s="4">
        <v>6356</v>
      </c>
    </row>
    <row r="5339" spans="1:10" hidden="1" outlineLevel="2" x14ac:dyDescent="0.35">
      <c r="A5339" t="s">
        <v>3115</v>
      </c>
      <c r="B5339" s="1">
        <v>45740</v>
      </c>
      <c r="C5339" t="str">
        <f>"243"</f>
        <v>243</v>
      </c>
      <c r="D5339" t="s">
        <v>5130</v>
      </c>
      <c r="E5339" t="str">
        <f>"184655"</f>
        <v>184655</v>
      </c>
      <c r="F5339" t="str">
        <f t="shared" si="188"/>
        <v>60410000</v>
      </c>
      <c r="G5339" t="str">
        <f t="shared" si="189"/>
        <v>60440002</v>
      </c>
      <c r="H5339" t="s">
        <v>5131</v>
      </c>
      <c r="J5339" s="4">
        <v>1649</v>
      </c>
    </row>
    <row r="5340" spans="1:10" hidden="1" outlineLevel="2" x14ac:dyDescent="0.35">
      <c r="A5340" t="s">
        <v>3115</v>
      </c>
      <c r="B5340" s="1">
        <v>45741</v>
      </c>
      <c r="C5340" t="str">
        <f>"58"</f>
        <v>58</v>
      </c>
      <c r="D5340" t="s">
        <v>5242</v>
      </c>
      <c r="E5340" t="str">
        <f>"184661"</f>
        <v>184661</v>
      </c>
      <c r="F5340" t="str">
        <f t="shared" si="188"/>
        <v>60410000</v>
      </c>
      <c r="G5340" t="str">
        <f t="shared" si="189"/>
        <v>60440002</v>
      </c>
      <c r="H5340" t="s">
        <v>5243</v>
      </c>
      <c r="J5340" s="4">
        <v>1649</v>
      </c>
    </row>
    <row r="5341" spans="1:10" hidden="1" outlineLevel="2" x14ac:dyDescent="0.35">
      <c r="A5341" t="s">
        <v>3115</v>
      </c>
      <c r="B5341" s="1">
        <v>45741</v>
      </c>
      <c r="C5341" t="str">
        <f>"59"</f>
        <v>59</v>
      </c>
      <c r="D5341" t="s">
        <v>5244</v>
      </c>
      <c r="E5341" t="str">
        <f>"184660"</f>
        <v>184660</v>
      </c>
      <c r="F5341" t="str">
        <f t="shared" si="188"/>
        <v>60410000</v>
      </c>
      <c r="G5341" t="str">
        <f t="shared" si="189"/>
        <v>60440002</v>
      </c>
      <c r="H5341" t="s">
        <v>5245</v>
      </c>
      <c r="J5341" s="4">
        <v>9654</v>
      </c>
    </row>
    <row r="5342" spans="1:10" hidden="1" outlineLevel="2" x14ac:dyDescent="0.35">
      <c r="A5342" t="s">
        <v>3115</v>
      </c>
      <c r="B5342" s="1">
        <v>45741</v>
      </c>
      <c r="C5342" t="str">
        <f>"61"</f>
        <v>61</v>
      </c>
      <c r="D5342" t="s">
        <v>5248</v>
      </c>
      <c r="E5342" t="str">
        <f>"182286"</f>
        <v>182286</v>
      </c>
      <c r="F5342" t="str">
        <f t="shared" si="188"/>
        <v>60410000</v>
      </c>
      <c r="G5342" t="str">
        <f t="shared" si="189"/>
        <v>60440002</v>
      </c>
      <c r="H5342" t="s">
        <v>5249</v>
      </c>
      <c r="J5342" s="4">
        <v>4947</v>
      </c>
    </row>
    <row r="5343" spans="1:10" hidden="1" outlineLevel="2" x14ac:dyDescent="0.35">
      <c r="A5343" t="s">
        <v>3115</v>
      </c>
      <c r="B5343" s="1">
        <v>45741</v>
      </c>
      <c r="C5343" t="str">
        <f>"62"</f>
        <v>62</v>
      </c>
      <c r="D5343" t="s">
        <v>5250</v>
      </c>
      <c r="E5343" t="str">
        <f>"182287"</f>
        <v>182287</v>
      </c>
      <c r="F5343" t="str">
        <f t="shared" si="188"/>
        <v>60410000</v>
      </c>
      <c r="G5343" t="str">
        <f t="shared" si="189"/>
        <v>60440002</v>
      </c>
      <c r="H5343" t="s">
        <v>5251</v>
      </c>
      <c r="J5343" s="4">
        <v>2917</v>
      </c>
    </row>
    <row r="5344" spans="1:10" hidden="1" outlineLevel="2" x14ac:dyDescent="0.35">
      <c r="A5344" t="s">
        <v>3115</v>
      </c>
      <c r="B5344" s="1">
        <v>45741</v>
      </c>
      <c r="C5344" t="str">
        <f>"67"</f>
        <v>67</v>
      </c>
      <c r="D5344" t="s">
        <v>5260</v>
      </c>
      <c r="E5344" t="str">
        <f>"182288"</f>
        <v>182288</v>
      </c>
      <c r="F5344" t="str">
        <f t="shared" si="188"/>
        <v>60410000</v>
      </c>
      <c r="G5344" t="str">
        <f t="shared" si="189"/>
        <v>60440002</v>
      </c>
      <c r="H5344" t="s">
        <v>5261</v>
      </c>
      <c r="J5344" s="4">
        <v>13440</v>
      </c>
    </row>
    <row r="5345" spans="1:11" hidden="1" outlineLevel="2" x14ac:dyDescent="0.35">
      <c r="A5345" t="s">
        <v>3115</v>
      </c>
      <c r="B5345" s="1">
        <v>45742</v>
      </c>
      <c r="C5345" t="str">
        <f>"131"</f>
        <v>131</v>
      </c>
      <c r="D5345" t="s">
        <v>5388</v>
      </c>
      <c r="E5345" t="str">
        <f>"184662"</f>
        <v>184662</v>
      </c>
      <c r="F5345" t="str">
        <f t="shared" si="188"/>
        <v>60410000</v>
      </c>
      <c r="G5345" t="str">
        <f t="shared" si="189"/>
        <v>60440002</v>
      </c>
      <c r="H5345" t="s">
        <v>5389</v>
      </c>
      <c r="J5345" s="4">
        <v>3298</v>
      </c>
    </row>
    <row r="5346" spans="1:11" hidden="1" outlineLevel="2" x14ac:dyDescent="0.35">
      <c r="A5346" t="s">
        <v>3115</v>
      </c>
      <c r="B5346" s="1">
        <v>45742</v>
      </c>
      <c r="C5346" t="str">
        <f>"136"</f>
        <v>136</v>
      </c>
      <c r="D5346" t="s">
        <v>5398</v>
      </c>
      <c r="E5346" t="str">
        <f>"184664"</f>
        <v>184664</v>
      </c>
      <c r="F5346" t="str">
        <f t="shared" si="188"/>
        <v>60410000</v>
      </c>
      <c r="G5346" t="str">
        <f t="shared" si="189"/>
        <v>60440002</v>
      </c>
      <c r="H5346" t="s">
        <v>5399</v>
      </c>
      <c r="J5346" s="4">
        <v>6356</v>
      </c>
    </row>
    <row r="5347" spans="1:11" hidden="1" outlineLevel="2" x14ac:dyDescent="0.35">
      <c r="A5347" t="s">
        <v>3115</v>
      </c>
      <c r="B5347" s="1">
        <v>45742</v>
      </c>
      <c r="C5347" t="str">
        <f>"137"</f>
        <v>137</v>
      </c>
      <c r="D5347" t="s">
        <v>5400</v>
      </c>
      <c r="E5347" t="str">
        <f>"184663"</f>
        <v>184663</v>
      </c>
      <c r="F5347" t="str">
        <f t="shared" si="188"/>
        <v>60410000</v>
      </c>
      <c r="G5347" t="str">
        <f t="shared" si="189"/>
        <v>60440002</v>
      </c>
      <c r="H5347" t="s">
        <v>5401</v>
      </c>
      <c r="J5347" s="4">
        <v>3298</v>
      </c>
    </row>
    <row r="5348" spans="1:11" hidden="1" outlineLevel="2" x14ac:dyDescent="0.35">
      <c r="A5348" t="s">
        <v>3115</v>
      </c>
      <c r="B5348" s="1">
        <v>45744</v>
      </c>
      <c r="C5348" t="str">
        <f>"6"</f>
        <v>6</v>
      </c>
      <c r="D5348" t="s">
        <v>5436</v>
      </c>
      <c r="E5348" t="str">
        <f>"184665"</f>
        <v>184665</v>
      </c>
      <c r="F5348" t="str">
        <f t="shared" si="188"/>
        <v>60410000</v>
      </c>
      <c r="G5348" t="str">
        <f t="shared" si="189"/>
        <v>60440002</v>
      </c>
      <c r="H5348" t="s">
        <v>5437</v>
      </c>
      <c r="J5348" s="4">
        <v>35000</v>
      </c>
    </row>
    <row r="5349" spans="1:11" hidden="1" outlineLevel="2" x14ac:dyDescent="0.35">
      <c r="A5349" t="s">
        <v>3115</v>
      </c>
      <c r="B5349" s="1">
        <v>45744</v>
      </c>
      <c r="C5349" t="str">
        <f>"157"</f>
        <v>157</v>
      </c>
      <c r="D5349" t="s">
        <v>5470</v>
      </c>
      <c r="E5349" t="str">
        <f>"184666"</f>
        <v>184666</v>
      </c>
      <c r="F5349" t="str">
        <f t="shared" si="188"/>
        <v>60410000</v>
      </c>
      <c r="G5349" t="str">
        <f t="shared" si="189"/>
        <v>60440002</v>
      </c>
      <c r="H5349" t="s">
        <v>5471</v>
      </c>
      <c r="J5349" s="4">
        <v>2641</v>
      </c>
    </row>
    <row r="5350" spans="1:11" hidden="1" outlineLevel="2" x14ac:dyDescent="0.35">
      <c r="A5350" t="s">
        <v>3115</v>
      </c>
      <c r="B5350" s="1">
        <v>45744</v>
      </c>
      <c r="C5350" t="str">
        <f>"165"</f>
        <v>165</v>
      </c>
      <c r="D5350" t="s">
        <v>5486</v>
      </c>
      <c r="E5350" t="str">
        <f>"184667"</f>
        <v>184667</v>
      </c>
      <c r="F5350" t="str">
        <f t="shared" si="188"/>
        <v>60410000</v>
      </c>
      <c r="G5350" t="str">
        <f t="shared" si="189"/>
        <v>60440002</v>
      </c>
      <c r="H5350" t="s">
        <v>5487</v>
      </c>
      <c r="J5350" s="4">
        <v>992</v>
      </c>
    </row>
    <row r="5351" spans="1:11" outlineLevel="1" collapsed="1" x14ac:dyDescent="0.35">
      <c r="B5351" s="1"/>
      <c r="F5351" s="3" t="s">
        <v>6605</v>
      </c>
      <c r="J5351" s="4">
        <f>SUBTOTAL(9,J5234:J5350)</f>
        <v>36407074</v>
      </c>
      <c r="K5351" s="4">
        <f>SUBTOTAL(9,K5234:K5350)</f>
        <v>0</v>
      </c>
    </row>
    <row r="5352" spans="1:11" hidden="1" outlineLevel="2" x14ac:dyDescent="0.35">
      <c r="A5352" t="s">
        <v>2018</v>
      </c>
      <c r="B5352" s="1">
        <v>45719</v>
      </c>
      <c r="C5352" t="str">
        <f>"344"</f>
        <v>344</v>
      </c>
      <c r="F5352" t="str">
        <f t="shared" ref="F5352:F5369" si="190">"60420000"</f>
        <v>60420000</v>
      </c>
      <c r="H5352" t="s">
        <v>2019</v>
      </c>
      <c r="J5352" s="4">
        <v>47000</v>
      </c>
    </row>
    <row r="5353" spans="1:11" hidden="1" outlineLevel="2" x14ac:dyDescent="0.35">
      <c r="A5353" t="s">
        <v>2018</v>
      </c>
      <c r="B5353" s="1">
        <v>45731</v>
      </c>
      <c r="C5353" t="str">
        <f>"407"</f>
        <v>407</v>
      </c>
      <c r="F5353" t="str">
        <f t="shared" si="190"/>
        <v>60420000</v>
      </c>
      <c r="H5353" t="s">
        <v>2108</v>
      </c>
      <c r="J5353" s="4">
        <v>400000</v>
      </c>
    </row>
    <row r="5354" spans="1:11" hidden="1" outlineLevel="2" x14ac:dyDescent="0.35">
      <c r="A5354" t="s">
        <v>2018</v>
      </c>
      <c r="B5354" s="1">
        <v>45731</v>
      </c>
      <c r="C5354" t="str">
        <f>"408"</f>
        <v>408</v>
      </c>
      <c r="F5354" t="str">
        <f t="shared" si="190"/>
        <v>60420000</v>
      </c>
      <c r="H5354" t="s">
        <v>2111</v>
      </c>
      <c r="J5354" s="4">
        <v>400000</v>
      </c>
    </row>
    <row r="5355" spans="1:11" hidden="1" outlineLevel="2" x14ac:dyDescent="0.35">
      <c r="A5355" t="s">
        <v>2018</v>
      </c>
      <c r="B5355" s="1">
        <v>45735</v>
      </c>
      <c r="C5355" t="str">
        <f>"430"</f>
        <v>430</v>
      </c>
      <c r="F5355" t="str">
        <f t="shared" si="190"/>
        <v>60420000</v>
      </c>
      <c r="H5355" t="s">
        <v>2141</v>
      </c>
      <c r="J5355" s="4">
        <v>400000</v>
      </c>
    </row>
    <row r="5356" spans="1:11" hidden="1" outlineLevel="2" x14ac:dyDescent="0.35">
      <c r="A5356" t="s">
        <v>2018</v>
      </c>
      <c r="B5356" s="1">
        <v>45736</v>
      </c>
      <c r="C5356" t="str">
        <f>"432"</f>
        <v>432</v>
      </c>
      <c r="F5356" t="str">
        <f t="shared" si="190"/>
        <v>60420000</v>
      </c>
      <c r="H5356" t="s">
        <v>2147</v>
      </c>
      <c r="J5356" s="4">
        <v>43430</v>
      </c>
    </row>
    <row r="5357" spans="1:11" hidden="1" outlineLevel="2" x14ac:dyDescent="0.35">
      <c r="A5357" t="s">
        <v>2018</v>
      </c>
      <c r="B5357" s="1">
        <v>45736</v>
      </c>
      <c r="C5357" t="str">
        <f>"437"</f>
        <v>437</v>
      </c>
      <c r="F5357" t="str">
        <f t="shared" si="190"/>
        <v>60420000</v>
      </c>
      <c r="H5357" t="s">
        <v>2152</v>
      </c>
      <c r="J5357" s="4">
        <v>43430</v>
      </c>
    </row>
    <row r="5358" spans="1:11" hidden="1" outlineLevel="2" x14ac:dyDescent="0.35">
      <c r="A5358" t="s">
        <v>2018</v>
      </c>
      <c r="B5358" s="1">
        <v>45737</v>
      </c>
      <c r="C5358" t="str">
        <f>"441"</f>
        <v>441</v>
      </c>
      <c r="F5358" t="str">
        <f t="shared" si="190"/>
        <v>60420000</v>
      </c>
      <c r="H5358" t="s">
        <v>2159</v>
      </c>
      <c r="J5358" s="4">
        <v>43000</v>
      </c>
    </row>
    <row r="5359" spans="1:11" hidden="1" outlineLevel="2" x14ac:dyDescent="0.35">
      <c r="A5359" t="s">
        <v>2018</v>
      </c>
      <c r="B5359" s="1">
        <v>45738</v>
      </c>
      <c r="C5359" t="str">
        <f>"452"</f>
        <v>452</v>
      </c>
      <c r="F5359" t="str">
        <f t="shared" si="190"/>
        <v>60420000</v>
      </c>
      <c r="H5359" t="s">
        <v>2176</v>
      </c>
      <c r="J5359" s="4">
        <v>404000</v>
      </c>
    </row>
    <row r="5360" spans="1:11" hidden="1" outlineLevel="2" x14ac:dyDescent="0.35">
      <c r="A5360" t="s">
        <v>2018</v>
      </c>
      <c r="B5360" s="1">
        <v>45740</v>
      </c>
      <c r="C5360" t="str">
        <f>"459"</f>
        <v>459</v>
      </c>
      <c r="F5360" t="str">
        <f t="shared" si="190"/>
        <v>60420000</v>
      </c>
      <c r="H5360" t="s">
        <v>2184</v>
      </c>
      <c r="J5360" s="4">
        <v>43430</v>
      </c>
    </row>
    <row r="5361" spans="1:11" hidden="1" outlineLevel="2" x14ac:dyDescent="0.35">
      <c r="A5361" t="s">
        <v>2018</v>
      </c>
      <c r="B5361" s="1">
        <v>45742</v>
      </c>
      <c r="C5361" t="str">
        <f>"471"</f>
        <v>471</v>
      </c>
      <c r="F5361" t="str">
        <f t="shared" si="190"/>
        <v>60420000</v>
      </c>
      <c r="H5361" t="s">
        <v>2202</v>
      </c>
      <c r="J5361" s="4">
        <v>400000</v>
      </c>
    </row>
    <row r="5362" spans="1:11" hidden="1" outlineLevel="2" x14ac:dyDescent="0.35">
      <c r="A5362" t="s">
        <v>2018</v>
      </c>
      <c r="B5362" s="1">
        <v>45745</v>
      </c>
      <c r="C5362" t="str">
        <f>"486"</f>
        <v>486</v>
      </c>
      <c r="F5362" t="str">
        <f t="shared" si="190"/>
        <v>60420000</v>
      </c>
      <c r="H5362" t="s">
        <v>2216</v>
      </c>
      <c r="J5362" s="4">
        <v>404000</v>
      </c>
    </row>
    <row r="5363" spans="1:11" hidden="1" outlineLevel="2" x14ac:dyDescent="0.35">
      <c r="A5363" t="s">
        <v>2318</v>
      </c>
      <c r="B5363" s="1">
        <v>45738</v>
      </c>
      <c r="C5363" t="str">
        <f>"51"</f>
        <v>51</v>
      </c>
      <c r="F5363" t="str">
        <f t="shared" si="190"/>
        <v>60420000</v>
      </c>
      <c r="H5363" t="s">
        <v>2331</v>
      </c>
      <c r="J5363" s="4">
        <v>60060</v>
      </c>
    </row>
    <row r="5364" spans="1:11" hidden="1" outlineLevel="2" x14ac:dyDescent="0.35">
      <c r="A5364" t="s">
        <v>2337</v>
      </c>
      <c r="B5364" s="1">
        <v>45720</v>
      </c>
      <c r="C5364" t="str">
        <f>"657"</f>
        <v>657</v>
      </c>
      <c r="E5364" t="str">
        <f>"17276"</f>
        <v>17276</v>
      </c>
      <c r="F5364" t="str">
        <f t="shared" si="190"/>
        <v>60420000</v>
      </c>
      <c r="H5364" t="s">
        <v>2355</v>
      </c>
      <c r="J5364" s="4">
        <v>10000</v>
      </c>
    </row>
    <row r="5365" spans="1:11" hidden="1" outlineLevel="2" x14ac:dyDescent="0.35">
      <c r="A5365" t="s">
        <v>2337</v>
      </c>
      <c r="B5365" s="1">
        <v>45728</v>
      </c>
      <c r="C5365" t="str">
        <f>"736"</f>
        <v>736</v>
      </c>
      <c r="E5365" t="str">
        <f>"17355"</f>
        <v>17355</v>
      </c>
      <c r="F5365" t="str">
        <f t="shared" si="190"/>
        <v>60420000</v>
      </c>
      <c r="H5365" t="s">
        <v>2466</v>
      </c>
      <c r="J5365" s="4">
        <v>35000</v>
      </c>
    </row>
    <row r="5366" spans="1:11" hidden="1" outlineLevel="2" x14ac:dyDescent="0.35">
      <c r="A5366" t="s">
        <v>2337</v>
      </c>
      <c r="B5366" s="1">
        <v>45737</v>
      </c>
      <c r="C5366" t="str">
        <f>"816"</f>
        <v>816</v>
      </c>
      <c r="E5366" t="str">
        <f>"17472"</f>
        <v>17472</v>
      </c>
      <c r="F5366" t="str">
        <f t="shared" si="190"/>
        <v>60420000</v>
      </c>
      <c r="H5366" t="s">
        <v>2560</v>
      </c>
      <c r="J5366" s="4">
        <v>43750</v>
      </c>
    </row>
    <row r="5367" spans="1:11" hidden="1" outlineLevel="2" x14ac:dyDescent="0.35">
      <c r="A5367" t="s">
        <v>2337</v>
      </c>
      <c r="B5367" s="1">
        <v>45737</v>
      </c>
      <c r="C5367" t="str">
        <f>"823"</f>
        <v>823</v>
      </c>
      <c r="E5367" t="str">
        <f>"17479"</f>
        <v>17479</v>
      </c>
      <c r="F5367" t="str">
        <f t="shared" si="190"/>
        <v>60420000</v>
      </c>
      <c r="H5367" t="s">
        <v>2578</v>
      </c>
      <c r="J5367" s="4">
        <v>32890</v>
      </c>
    </row>
    <row r="5368" spans="1:11" hidden="1" outlineLevel="2" x14ac:dyDescent="0.35">
      <c r="A5368" t="s">
        <v>101</v>
      </c>
      <c r="B5368" s="1">
        <v>45747</v>
      </c>
      <c r="C5368" t="str">
        <f>"17"</f>
        <v>17</v>
      </c>
      <c r="F5368" t="str">
        <f t="shared" si="190"/>
        <v>60420000</v>
      </c>
      <c r="H5368" t="s">
        <v>2864</v>
      </c>
      <c r="J5368" s="4">
        <v>180701546</v>
      </c>
    </row>
    <row r="5369" spans="1:11" hidden="1" outlineLevel="2" x14ac:dyDescent="0.35">
      <c r="A5369" t="s">
        <v>101</v>
      </c>
      <c r="B5369" s="1">
        <v>45747</v>
      </c>
      <c r="C5369" t="str">
        <f>"17"</f>
        <v>17</v>
      </c>
      <c r="F5369" t="str">
        <f t="shared" si="190"/>
        <v>60420000</v>
      </c>
      <c r="H5369" t="s">
        <v>2865</v>
      </c>
      <c r="J5369" s="4">
        <v>1</v>
      </c>
    </row>
    <row r="5370" spans="1:11" outlineLevel="1" collapsed="1" x14ac:dyDescent="0.35">
      <c r="B5370" s="1"/>
      <c r="F5370" s="3" t="s">
        <v>6606</v>
      </c>
      <c r="J5370" s="4">
        <f>SUBTOTAL(9,J5352:J5369)</f>
        <v>183511537</v>
      </c>
      <c r="K5370" s="4">
        <f>SUBTOTAL(9,K5352:K5369)</f>
        <v>0</v>
      </c>
    </row>
    <row r="5371" spans="1:11" hidden="1" outlineLevel="2" x14ac:dyDescent="0.35">
      <c r="A5371" t="s">
        <v>3115</v>
      </c>
      <c r="B5371" s="1">
        <v>45717</v>
      </c>
      <c r="C5371" t="str">
        <f>"1184"</f>
        <v>1184</v>
      </c>
      <c r="D5371" t="s">
        <v>3144</v>
      </c>
      <c r="E5371" t="str">
        <f>"181196"</f>
        <v>181196</v>
      </c>
      <c r="F5371" t="str">
        <f t="shared" ref="F5371:F5402" si="191">"60430000"</f>
        <v>60430000</v>
      </c>
      <c r="G5371" t="str">
        <f t="shared" ref="G5371:G5402" si="192">"60440003"</f>
        <v>60440003</v>
      </c>
      <c r="H5371" t="s">
        <v>3145</v>
      </c>
      <c r="J5371" s="4">
        <v>120400</v>
      </c>
    </row>
    <row r="5372" spans="1:11" hidden="1" outlineLevel="2" x14ac:dyDescent="0.35">
      <c r="A5372" t="s">
        <v>3115</v>
      </c>
      <c r="B5372" s="1">
        <v>45717</v>
      </c>
      <c r="C5372" t="str">
        <f>"1185"</f>
        <v>1185</v>
      </c>
      <c r="D5372" t="s">
        <v>3146</v>
      </c>
      <c r="E5372" t="str">
        <f>"181190"</f>
        <v>181190</v>
      </c>
      <c r="F5372" t="str">
        <f t="shared" si="191"/>
        <v>60430000</v>
      </c>
      <c r="G5372" t="str">
        <f t="shared" si="192"/>
        <v>60440003</v>
      </c>
      <c r="H5372" t="s">
        <v>3147</v>
      </c>
      <c r="J5372" s="4">
        <v>114380</v>
      </c>
    </row>
    <row r="5373" spans="1:11" hidden="1" outlineLevel="2" x14ac:dyDescent="0.35">
      <c r="A5373" t="s">
        <v>3115</v>
      </c>
      <c r="B5373" s="1">
        <v>45717</v>
      </c>
      <c r="C5373" t="str">
        <f>"1189"</f>
        <v>1189</v>
      </c>
      <c r="D5373" t="s">
        <v>3154</v>
      </c>
      <c r="E5373" t="str">
        <f>"181172"</f>
        <v>181172</v>
      </c>
      <c r="F5373" t="str">
        <f t="shared" si="191"/>
        <v>60430000</v>
      </c>
      <c r="G5373" t="str">
        <f t="shared" si="192"/>
        <v>60440003</v>
      </c>
      <c r="H5373" t="s">
        <v>3155</v>
      </c>
      <c r="J5373" s="4">
        <v>154910</v>
      </c>
    </row>
    <row r="5374" spans="1:11" hidden="1" outlineLevel="2" x14ac:dyDescent="0.35">
      <c r="A5374" t="s">
        <v>3115</v>
      </c>
      <c r="B5374" s="1">
        <v>45718</v>
      </c>
      <c r="C5374" t="str">
        <f>"1155"</f>
        <v>1155</v>
      </c>
      <c r="D5374" t="s">
        <v>3160</v>
      </c>
      <c r="E5374" t="str">
        <f>"182482"</f>
        <v>182482</v>
      </c>
      <c r="F5374" t="str">
        <f t="shared" si="191"/>
        <v>60430000</v>
      </c>
      <c r="G5374" t="str">
        <f t="shared" si="192"/>
        <v>60440003</v>
      </c>
      <c r="H5374" t="s">
        <v>3161</v>
      </c>
      <c r="J5374" s="4">
        <v>12150</v>
      </c>
    </row>
    <row r="5375" spans="1:11" hidden="1" outlineLevel="2" x14ac:dyDescent="0.35">
      <c r="A5375" t="s">
        <v>3115</v>
      </c>
      <c r="B5375" s="1">
        <v>45719</v>
      </c>
      <c r="C5375" t="str">
        <f>"771"</f>
        <v>771</v>
      </c>
      <c r="D5375" t="s">
        <v>3194</v>
      </c>
      <c r="E5375" t="str">
        <f>"181233"</f>
        <v>181233</v>
      </c>
      <c r="F5375" t="str">
        <f t="shared" si="191"/>
        <v>60430000</v>
      </c>
      <c r="G5375" t="str">
        <f t="shared" si="192"/>
        <v>60440003</v>
      </c>
      <c r="H5375" t="s">
        <v>3195</v>
      </c>
      <c r="J5375" s="4">
        <v>78260</v>
      </c>
    </row>
    <row r="5376" spans="1:11" hidden="1" outlineLevel="2" x14ac:dyDescent="0.35">
      <c r="A5376" t="s">
        <v>3115</v>
      </c>
      <c r="B5376" s="1">
        <v>45719</v>
      </c>
      <c r="C5376" t="str">
        <f>"774"</f>
        <v>774</v>
      </c>
      <c r="D5376" t="s">
        <v>3200</v>
      </c>
      <c r="E5376" t="str">
        <f>"183501"</f>
        <v>183501</v>
      </c>
      <c r="F5376" t="str">
        <f t="shared" si="191"/>
        <v>60430000</v>
      </c>
      <c r="G5376" t="str">
        <f t="shared" si="192"/>
        <v>60440003</v>
      </c>
      <c r="H5376" t="s">
        <v>3201</v>
      </c>
      <c r="J5376" s="4">
        <v>120400</v>
      </c>
    </row>
    <row r="5377" spans="1:10" hidden="1" outlineLevel="2" x14ac:dyDescent="0.35">
      <c r="A5377" t="s">
        <v>3115</v>
      </c>
      <c r="B5377" s="1">
        <v>45719</v>
      </c>
      <c r="C5377" t="str">
        <f>"776"</f>
        <v>776</v>
      </c>
      <c r="D5377" t="s">
        <v>3204</v>
      </c>
      <c r="E5377" t="str">
        <f>"181189"</f>
        <v>181189</v>
      </c>
      <c r="F5377" t="str">
        <f t="shared" si="191"/>
        <v>60430000</v>
      </c>
      <c r="G5377" t="str">
        <f t="shared" si="192"/>
        <v>60440003</v>
      </c>
      <c r="H5377" t="s">
        <v>3205</v>
      </c>
      <c r="J5377" s="4">
        <v>48160</v>
      </c>
    </row>
    <row r="5378" spans="1:10" hidden="1" outlineLevel="2" x14ac:dyDescent="0.35">
      <c r="A5378" t="s">
        <v>3115</v>
      </c>
      <c r="B5378" s="1">
        <v>45719</v>
      </c>
      <c r="C5378" t="str">
        <f>"787"</f>
        <v>787</v>
      </c>
      <c r="D5378" t="s">
        <v>3226</v>
      </c>
      <c r="E5378" t="str">
        <f>"181235"</f>
        <v>181235</v>
      </c>
      <c r="F5378" t="str">
        <f t="shared" si="191"/>
        <v>60430000</v>
      </c>
      <c r="G5378" t="str">
        <f t="shared" si="192"/>
        <v>60440003</v>
      </c>
      <c r="H5378" t="s">
        <v>3227</v>
      </c>
      <c r="J5378" s="4">
        <v>120400</v>
      </c>
    </row>
    <row r="5379" spans="1:10" hidden="1" outlineLevel="2" x14ac:dyDescent="0.35">
      <c r="A5379" t="s">
        <v>3115</v>
      </c>
      <c r="B5379" s="1">
        <v>45719</v>
      </c>
      <c r="C5379" t="str">
        <f>"790"</f>
        <v>790</v>
      </c>
      <c r="D5379" t="s">
        <v>3232</v>
      </c>
      <c r="E5379" t="str">
        <f>"181236"</f>
        <v>181236</v>
      </c>
      <c r="F5379" t="str">
        <f t="shared" si="191"/>
        <v>60430000</v>
      </c>
      <c r="G5379" t="str">
        <f t="shared" si="192"/>
        <v>60440003</v>
      </c>
      <c r="H5379" t="s">
        <v>3233</v>
      </c>
      <c r="J5379" s="4">
        <v>120400</v>
      </c>
    </row>
    <row r="5380" spans="1:10" hidden="1" outlineLevel="2" x14ac:dyDescent="0.35">
      <c r="A5380" t="s">
        <v>3115</v>
      </c>
      <c r="B5380" s="1">
        <v>45719</v>
      </c>
      <c r="C5380" t="str">
        <f>"791"</f>
        <v>791</v>
      </c>
      <c r="D5380" t="s">
        <v>3234</v>
      </c>
      <c r="E5380" t="str">
        <f>"182494"</f>
        <v>182494</v>
      </c>
      <c r="F5380" t="str">
        <f t="shared" si="191"/>
        <v>60430000</v>
      </c>
      <c r="G5380" t="str">
        <f t="shared" si="192"/>
        <v>60440003</v>
      </c>
      <c r="H5380" t="s">
        <v>3235</v>
      </c>
      <c r="J5380" s="4">
        <v>2741</v>
      </c>
    </row>
    <row r="5381" spans="1:10" hidden="1" outlineLevel="2" x14ac:dyDescent="0.35">
      <c r="A5381" t="s">
        <v>3115</v>
      </c>
      <c r="B5381" s="1">
        <v>45719</v>
      </c>
      <c r="C5381" t="str">
        <f>"792"</f>
        <v>792</v>
      </c>
      <c r="D5381" t="s">
        <v>3236</v>
      </c>
      <c r="E5381" t="str">
        <f>"181234"</f>
        <v>181234</v>
      </c>
      <c r="F5381" t="str">
        <f t="shared" si="191"/>
        <v>60430000</v>
      </c>
      <c r="G5381" t="str">
        <f t="shared" si="192"/>
        <v>60440003</v>
      </c>
      <c r="H5381" t="s">
        <v>3237</v>
      </c>
      <c r="J5381" s="4">
        <v>78260</v>
      </c>
    </row>
    <row r="5382" spans="1:10" hidden="1" outlineLevel="2" x14ac:dyDescent="0.35">
      <c r="A5382" t="s">
        <v>3115</v>
      </c>
      <c r="B5382" s="1">
        <v>45719</v>
      </c>
      <c r="C5382" t="str">
        <f>"800"</f>
        <v>800</v>
      </c>
      <c r="D5382" t="s">
        <v>3252</v>
      </c>
      <c r="E5382" t="str">
        <f>"183502"</f>
        <v>183502</v>
      </c>
      <c r="F5382" t="str">
        <f t="shared" si="191"/>
        <v>60430000</v>
      </c>
      <c r="G5382" t="str">
        <f t="shared" si="192"/>
        <v>60440003</v>
      </c>
      <c r="H5382" t="s">
        <v>3253</v>
      </c>
      <c r="J5382" s="4">
        <v>96320</v>
      </c>
    </row>
    <row r="5383" spans="1:10" hidden="1" outlineLevel="2" x14ac:dyDescent="0.35">
      <c r="A5383" t="s">
        <v>3115</v>
      </c>
      <c r="B5383" s="1">
        <v>45719</v>
      </c>
      <c r="C5383" t="str">
        <f>"809"</f>
        <v>809</v>
      </c>
      <c r="D5383" t="s">
        <v>3270</v>
      </c>
      <c r="E5383" t="str">
        <f>"181187"</f>
        <v>181187</v>
      </c>
      <c r="F5383" t="str">
        <f t="shared" si="191"/>
        <v>60430000</v>
      </c>
      <c r="G5383" t="str">
        <f t="shared" si="192"/>
        <v>60440003</v>
      </c>
      <c r="H5383" t="s">
        <v>3271</v>
      </c>
      <c r="J5383" s="4">
        <v>114380</v>
      </c>
    </row>
    <row r="5384" spans="1:10" hidden="1" outlineLevel="2" x14ac:dyDescent="0.35">
      <c r="A5384" t="s">
        <v>3115</v>
      </c>
      <c r="B5384" s="1">
        <v>45719</v>
      </c>
      <c r="C5384" t="str">
        <f>"815"</f>
        <v>815</v>
      </c>
      <c r="D5384" t="s">
        <v>3282</v>
      </c>
      <c r="E5384" t="str">
        <f>"181186"</f>
        <v>181186</v>
      </c>
      <c r="F5384" t="str">
        <f t="shared" si="191"/>
        <v>60430000</v>
      </c>
      <c r="G5384" t="str">
        <f t="shared" si="192"/>
        <v>60440003</v>
      </c>
      <c r="H5384" t="s">
        <v>3283</v>
      </c>
      <c r="J5384" s="4">
        <v>114380</v>
      </c>
    </row>
    <row r="5385" spans="1:10" hidden="1" outlineLevel="2" x14ac:dyDescent="0.35">
      <c r="A5385" t="s">
        <v>3115</v>
      </c>
      <c r="B5385" s="1">
        <v>45719</v>
      </c>
      <c r="C5385" t="str">
        <f>"816"</f>
        <v>816</v>
      </c>
      <c r="D5385" t="s">
        <v>3284</v>
      </c>
      <c r="E5385" t="str">
        <f>"182493"</f>
        <v>182493</v>
      </c>
      <c r="F5385" t="str">
        <f t="shared" si="191"/>
        <v>60430000</v>
      </c>
      <c r="G5385" t="str">
        <f t="shared" si="192"/>
        <v>60440003</v>
      </c>
      <c r="H5385" t="s">
        <v>3285</v>
      </c>
      <c r="J5385" s="4">
        <v>66825</v>
      </c>
    </row>
    <row r="5386" spans="1:10" hidden="1" outlineLevel="2" x14ac:dyDescent="0.35">
      <c r="A5386" t="s">
        <v>3115</v>
      </c>
      <c r="B5386" s="1">
        <v>45719</v>
      </c>
      <c r="C5386" t="str">
        <f>"833"</f>
        <v>833</v>
      </c>
      <c r="D5386" t="s">
        <v>3318</v>
      </c>
      <c r="E5386" t="str">
        <f>"181168"</f>
        <v>181168</v>
      </c>
      <c r="F5386" t="str">
        <f t="shared" si="191"/>
        <v>60430000</v>
      </c>
      <c r="G5386" t="str">
        <f t="shared" si="192"/>
        <v>60440003</v>
      </c>
      <c r="H5386" t="s">
        <v>3319</v>
      </c>
      <c r="J5386" s="4">
        <v>114380</v>
      </c>
    </row>
    <row r="5387" spans="1:10" hidden="1" outlineLevel="2" x14ac:dyDescent="0.35">
      <c r="A5387" t="s">
        <v>3115</v>
      </c>
      <c r="B5387" s="1">
        <v>45719</v>
      </c>
      <c r="C5387" t="str">
        <f>"835"</f>
        <v>835</v>
      </c>
      <c r="D5387" t="s">
        <v>3322</v>
      </c>
      <c r="E5387" t="str">
        <f>"181169"</f>
        <v>181169</v>
      </c>
      <c r="F5387" t="str">
        <f t="shared" si="191"/>
        <v>60430000</v>
      </c>
      <c r="G5387" t="str">
        <f t="shared" si="192"/>
        <v>60440003</v>
      </c>
      <c r="H5387" t="s">
        <v>3323</v>
      </c>
      <c r="J5387" s="4">
        <v>114380</v>
      </c>
    </row>
    <row r="5388" spans="1:10" hidden="1" outlineLevel="2" x14ac:dyDescent="0.35">
      <c r="A5388" t="s">
        <v>3115</v>
      </c>
      <c r="B5388" s="1">
        <v>45720</v>
      </c>
      <c r="C5388" t="str">
        <f>"908"</f>
        <v>908</v>
      </c>
      <c r="D5388" t="s">
        <v>3468</v>
      </c>
      <c r="E5388" t="str">
        <f>"182500"</f>
        <v>182500</v>
      </c>
      <c r="F5388" t="str">
        <f t="shared" si="191"/>
        <v>60430000</v>
      </c>
      <c r="G5388" t="str">
        <f t="shared" si="192"/>
        <v>60440003</v>
      </c>
      <c r="H5388" t="s">
        <v>3469</v>
      </c>
      <c r="J5388" s="4">
        <v>14175</v>
      </c>
    </row>
    <row r="5389" spans="1:10" hidden="1" outlineLevel="2" x14ac:dyDescent="0.35">
      <c r="A5389" t="s">
        <v>3115</v>
      </c>
      <c r="B5389" s="1">
        <v>45720</v>
      </c>
      <c r="C5389" t="str">
        <f>"916"</f>
        <v>916</v>
      </c>
      <c r="D5389" t="s">
        <v>3484</v>
      </c>
      <c r="E5389" t="str">
        <f>"177502"</f>
        <v>177502</v>
      </c>
      <c r="F5389" t="str">
        <f t="shared" si="191"/>
        <v>60430000</v>
      </c>
      <c r="G5389" t="str">
        <f t="shared" si="192"/>
        <v>60440003</v>
      </c>
      <c r="H5389" t="s">
        <v>3485</v>
      </c>
      <c r="J5389" s="4">
        <v>10125</v>
      </c>
    </row>
    <row r="5390" spans="1:10" hidden="1" outlineLevel="2" x14ac:dyDescent="0.35">
      <c r="A5390" t="s">
        <v>3115</v>
      </c>
      <c r="B5390" s="1">
        <v>45720</v>
      </c>
      <c r="C5390" t="str">
        <f>"917"</f>
        <v>917</v>
      </c>
      <c r="D5390" t="s">
        <v>3486</v>
      </c>
      <c r="E5390" t="str">
        <f>"177503"</f>
        <v>177503</v>
      </c>
      <c r="F5390" t="str">
        <f t="shared" si="191"/>
        <v>60430000</v>
      </c>
      <c r="G5390" t="str">
        <f t="shared" si="192"/>
        <v>60440003</v>
      </c>
      <c r="H5390" t="s">
        <v>3487</v>
      </c>
      <c r="J5390" s="4">
        <v>10125</v>
      </c>
    </row>
    <row r="5391" spans="1:10" hidden="1" outlineLevel="2" x14ac:dyDescent="0.35">
      <c r="A5391" t="s">
        <v>3115</v>
      </c>
      <c r="B5391" s="1">
        <v>45720</v>
      </c>
      <c r="C5391" t="str">
        <f>"920"</f>
        <v>920</v>
      </c>
      <c r="D5391" t="s">
        <v>3492</v>
      </c>
      <c r="E5391" t="str">
        <f>"177504"</f>
        <v>177504</v>
      </c>
      <c r="F5391" t="str">
        <f t="shared" si="191"/>
        <v>60430000</v>
      </c>
      <c r="G5391" t="str">
        <f t="shared" si="192"/>
        <v>60440003</v>
      </c>
      <c r="H5391" t="s">
        <v>3493</v>
      </c>
      <c r="J5391" s="4">
        <v>66825</v>
      </c>
    </row>
    <row r="5392" spans="1:10" hidden="1" outlineLevel="2" x14ac:dyDescent="0.35">
      <c r="A5392" t="s">
        <v>3115</v>
      </c>
      <c r="B5392" s="1">
        <v>45721</v>
      </c>
      <c r="C5392" t="str">
        <f>"938"</f>
        <v>938</v>
      </c>
      <c r="D5392" t="s">
        <v>3528</v>
      </c>
      <c r="E5392" t="str">
        <f>"183503"</f>
        <v>183503</v>
      </c>
      <c r="F5392" t="str">
        <f t="shared" si="191"/>
        <v>60430000</v>
      </c>
      <c r="G5392" t="str">
        <f t="shared" si="192"/>
        <v>60440003</v>
      </c>
      <c r="H5392" t="s">
        <v>3529</v>
      </c>
      <c r="J5392" s="4">
        <v>64800</v>
      </c>
    </row>
    <row r="5393" spans="1:10" hidden="1" outlineLevel="2" x14ac:dyDescent="0.35">
      <c r="A5393" t="s">
        <v>3115</v>
      </c>
      <c r="B5393" s="1">
        <v>45721</v>
      </c>
      <c r="C5393" t="str">
        <f>"941"</f>
        <v>941</v>
      </c>
      <c r="D5393" t="s">
        <v>3534</v>
      </c>
      <c r="E5393" t="str">
        <f>"180069"</f>
        <v>180069</v>
      </c>
      <c r="F5393" t="str">
        <f t="shared" si="191"/>
        <v>60430000</v>
      </c>
      <c r="G5393" t="str">
        <f t="shared" si="192"/>
        <v>60440003</v>
      </c>
      <c r="H5393" t="s">
        <v>3535</v>
      </c>
      <c r="J5393" s="4">
        <v>10963</v>
      </c>
    </row>
    <row r="5394" spans="1:10" hidden="1" outlineLevel="2" x14ac:dyDescent="0.35">
      <c r="A5394" t="s">
        <v>3115</v>
      </c>
      <c r="B5394" s="1">
        <v>45721</v>
      </c>
      <c r="C5394" t="str">
        <f>"965"</f>
        <v>965</v>
      </c>
      <c r="D5394" t="s">
        <v>3582</v>
      </c>
      <c r="E5394" t="str">
        <f>"180845"</f>
        <v>180845</v>
      </c>
      <c r="F5394" t="str">
        <f t="shared" si="191"/>
        <v>60430000</v>
      </c>
      <c r="G5394" t="str">
        <f t="shared" si="192"/>
        <v>60440003</v>
      </c>
      <c r="H5394" t="s">
        <v>3583</v>
      </c>
      <c r="J5394" s="4">
        <v>32500</v>
      </c>
    </row>
    <row r="5395" spans="1:10" hidden="1" outlineLevel="2" x14ac:dyDescent="0.35">
      <c r="A5395" t="s">
        <v>3115</v>
      </c>
      <c r="B5395" s="1">
        <v>45721</v>
      </c>
      <c r="C5395" t="str">
        <f>"968"</f>
        <v>968</v>
      </c>
      <c r="D5395" t="s">
        <v>3588</v>
      </c>
      <c r="E5395" t="str">
        <f>"180846"</f>
        <v>180846</v>
      </c>
      <c r="F5395" t="str">
        <f t="shared" si="191"/>
        <v>60430000</v>
      </c>
      <c r="G5395" t="str">
        <f t="shared" si="192"/>
        <v>60440003</v>
      </c>
      <c r="H5395" t="s">
        <v>3589</v>
      </c>
      <c r="J5395" s="4">
        <v>48750</v>
      </c>
    </row>
    <row r="5396" spans="1:10" hidden="1" outlineLevel="2" x14ac:dyDescent="0.35">
      <c r="A5396" t="s">
        <v>3115</v>
      </c>
      <c r="B5396" s="1">
        <v>45722</v>
      </c>
      <c r="C5396" t="str">
        <f>"990"</f>
        <v>990</v>
      </c>
      <c r="D5396" t="s">
        <v>3632</v>
      </c>
      <c r="E5396" t="str">
        <f>"177521"</f>
        <v>177521</v>
      </c>
      <c r="F5396" t="str">
        <f t="shared" si="191"/>
        <v>60430000</v>
      </c>
      <c r="G5396" t="str">
        <f t="shared" si="192"/>
        <v>60440003</v>
      </c>
      <c r="H5396" t="s">
        <v>3633</v>
      </c>
      <c r="J5396" s="4">
        <v>66825</v>
      </c>
    </row>
    <row r="5397" spans="1:10" hidden="1" outlineLevel="2" x14ac:dyDescent="0.35">
      <c r="A5397" t="s">
        <v>3115</v>
      </c>
      <c r="B5397" s="1">
        <v>45722</v>
      </c>
      <c r="C5397" t="str">
        <f>"991"</f>
        <v>991</v>
      </c>
      <c r="D5397" t="s">
        <v>3634</v>
      </c>
      <c r="E5397" t="str">
        <f>"177522"</f>
        <v>177522</v>
      </c>
      <c r="F5397" t="str">
        <f t="shared" si="191"/>
        <v>60430000</v>
      </c>
      <c r="G5397" t="str">
        <f t="shared" si="192"/>
        <v>60440003</v>
      </c>
      <c r="H5397" t="s">
        <v>3635</v>
      </c>
      <c r="J5397" s="4">
        <v>2550</v>
      </c>
    </row>
    <row r="5398" spans="1:10" hidden="1" outlineLevel="2" x14ac:dyDescent="0.35">
      <c r="A5398" t="s">
        <v>3115</v>
      </c>
      <c r="B5398" s="1">
        <v>45722</v>
      </c>
      <c r="C5398" t="str">
        <f>"997"</f>
        <v>997</v>
      </c>
      <c r="D5398" t="s">
        <v>3646</v>
      </c>
      <c r="E5398" t="str">
        <f>"177518"</f>
        <v>177518</v>
      </c>
      <c r="F5398" t="str">
        <f t="shared" si="191"/>
        <v>60430000</v>
      </c>
      <c r="G5398" t="str">
        <f t="shared" si="192"/>
        <v>60440003</v>
      </c>
      <c r="H5398" t="s">
        <v>3647</v>
      </c>
      <c r="J5398" s="4">
        <v>66825</v>
      </c>
    </row>
    <row r="5399" spans="1:10" hidden="1" outlineLevel="2" x14ac:dyDescent="0.35">
      <c r="A5399" t="s">
        <v>3115</v>
      </c>
      <c r="B5399" s="1">
        <v>45723</v>
      </c>
      <c r="C5399" t="str">
        <f>"1085"</f>
        <v>1085</v>
      </c>
      <c r="D5399" t="s">
        <v>3822</v>
      </c>
      <c r="E5399" t="str">
        <f>"177528"</f>
        <v>177528</v>
      </c>
      <c r="F5399" t="str">
        <f t="shared" si="191"/>
        <v>60430000</v>
      </c>
      <c r="G5399" t="str">
        <f t="shared" si="192"/>
        <v>60440003</v>
      </c>
      <c r="H5399" t="s">
        <v>3823</v>
      </c>
      <c r="J5399" s="4">
        <v>66825</v>
      </c>
    </row>
    <row r="5400" spans="1:10" hidden="1" outlineLevel="2" x14ac:dyDescent="0.35">
      <c r="A5400" t="s">
        <v>3115</v>
      </c>
      <c r="B5400" s="1">
        <v>45723</v>
      </c>
      <c r="C5400" t="str">
        <f>"1107"</f>
        <v>1107</v>
      </c>
      <c r="D5400" t="s">
        <v>3866</v>
      </c>
      <c r="E5400" t="str">
        <f>"179593"</f>
        <v>179593</v>
      </c>
      <c r="F5400" t="str">
        <f t="shared" si="191"/>
        <v>60430000</v>
      </c>
      <c r="G5400" t="str">
        <f t="shared" si="192"/>
        <v>60440003</v>
      </c>
      <c r="H5400" t="s">
        <v>3867</v>
      </c>
      <c r="J5400" s="4">
        <v>20250</v>
      </c>
    </row>
    <row r="5401" spans="1:10" hidden="1" outlineLevel="2" x14ac:dyDescent="0.35">
      <c r="A5401" t="s">
        <v>3115</v>
      </c>
      <c r="B5401" s="1">
        <v>45725</v>
      </c>
      <c r="C5401" t="str">
        <f>"1134"</f>
        <v>1134</v>
      </c>
      <c r="D5401" t="s">
        <v>3920</v>
      </c>
      <c r="E5401" t="str">
        <f>"177535"</f>
        <v>177535</v>
      </c>
      <c r="F5401" t="str">
        <f t="shared" si="191"/>
        <v>60430000</v>
      </c>
      <c r="G5401" t="str">
        <f t="shared" si="192"/>
        <v>60440003</v>
      </c>
      <c r="H5401" t="s">
        <v>3921</v>
      </c>
      <c r="J5401" s="4">
        <v>66825</v>
      </c>
    </row>
    <row r="5402" spans="1:10" hidden="1" outlineLevel="2" x14ac:dyDescent="0.35">
      <c r="A5402" t="s">
        <v>3115</v>
      </c>
      <c r="B5402" s="1">
        <v>45726</v>
      </c>
      <c r="C5402" t="str">
        <f>"527"</f>
        <v>527</v>
      </c>
      <c r="D5402" t="s">
        <v>3974</v>
      </c>
      <c r="E5402" t="str">
        <f>"183504"</f>
        <v>183504</v>
      </c>
      <c r="F5402" t="str">
        <f t="shared" si="191"/>
        <v>60430000</v>
      </c>
      <c r="G5402" t="str">
        <f t="shared" si="192"/>
        <v>60440003</v>
      </c>
      <c r="H5402" t="s">
        <v>3975</v>
      </c>
      <c r="J5402" s="4">
        <v>96320</v>
      </c>
    </row>
    <row r="5403" spans="1:10" hidden="1" outlineLevel="2" x14ac:dyDescent="0.35">
      <c r="A5403" t="s">
        <v>3115</v>
      </c>
      <c r="B5403" s="1">
        <v>45726</v>
      </c>
      <c r="C5403" t="str">
        <f>"533"</f>
        <v>533</v>
      </c>
      <c r="D5403" t="s">
        <v>3986</v>
      </c>
      <c r="E5403" t="str">
        <f>"177539"</f>
        <v>177539</v>
      </c>
      <c r="F5403" t="str">
        <f t="shared" ref="F5403:F5434" si="193">"60430000"</f>
        <v>60430000</v>
      </c>
      <c r="G5403" t="str">
        <f t="shared" ref="G5403:G5434" si="194">"60440003"</f>
        <v>60440003</v>
      </c>
      <c r="H5403" t="s">
        <v>3987</v>
      </c>
      <c r="J5403" s="4">
        <v>66825</v>
      </c>
    </row>
    <row r="5404" spans="1:10" hidden="1" outlineLevel="2" x14ac:dyDescent="0.35">
      <c r="A5404" t="s">
        <v>3115</v>
      </c>
      <c r="B5404" s="1">
        <v>45726</v>
      </c>
      <c r="C5404" t="str">
        <f>"543"</f>
        <v>543</v>
      </c>
      <c r="D5404" t="s">
        <v>4006</v>
      </c>
      <c r="E5404" t="str">
        <f>"162590"</f>
        <v>162590</v>
      </c>
      <c r="F5404" t="str">
        <f t="shared" si="193"/>
        <v>60430000</v>
      </c>
      <c r="G5404" t="str">
        <f t="shared" si="194"/>
        <v>60440003</v>
      </c>
      <c r="H5404" t="s">
        <v>4007</v>
      </c>
      <c r="J5404" s="4">
        <v>45034</v>
      </c>
    </row>
    <row r="5405" spans="1:10" hidden="1" outlineLevel="2" x14ac:dyDescent="0.35">
      <c r="A5405" t="s">
        <v>3115</v>
      </c>
      <c r="B5405" s="1">
        <v>45726</v>
      </c>
      <c r="C5405" t="str">
        <f>"547"</f>
        <v>547</v>
      </c>
      <c r="D5405" t="s">
        <v>4014</v>
      </c>
      <c r="E5405" t="str">
        <f>"182018"</f>
        <v>182018</v>
      </c>
      <c r="F5405" t="str">
        <f t="shared" si="193"/>
        <v>60430000</v>
      </c>
      <c r="G5405" t="str">
        <f t="shared" si="194"/>
        <v>60440003</v>
      </c>
      <c r="H5405" t="s">
        <v>4015</v>
      </c>
      <c r="J5405" s="4">
        <v>1450</v>
      </c>
    </row>
    <row r="5406" spans="1:10" hidden="1" outlineLevel="2" x14ac:dyDescent="0.35">
      <c r="A5406" t="s">
        <v>3115</v>
      </c>
      <c r="B5406" s="1">
        <v>45727</v>
      </c>
      <c r="C5406" t="str">
        <f>"569"</f>
        <v>569</v>
      </c>
      <c r="D5406" t="s">
        <v>4058</v>
      </c>
      <c r="E5406" t="str">
        <f>"177543"</f>
        <v>177543</v>
      </c>
      <c r="F5406" t="str">
        <f t="shared" si="193"/>
        <v>60430000</v>
      </c>
      <c r="G5406" t="str">
        <f t="shared" si="194"/>
        <v>60440003</v>
      </c>
      <c r="H5406" t="s">
        <v>4059</v>
      </c>
      <c r="J5406" s="4">
        <v>66825</v>
      </c>
    </row>
    <row r="5407" spans="1:10" hidden="1" outlineLevel="2" x14ac:dyDescent="0.35">
      <c r="A5407" t="s">
        <v>3115</v>
      </c>
      <c r="B5407" s="1">
        <v>45727</v>
      </c>
      <c r="C5407" t="str">
        <f>"585"</f>
        <v>585</v>
      </c>
      <c r="D5407" t="s">
        <v>4090</v>
      </c>
      <c r="E5407" t="str">
        <f>"179596"</f>
        <v>179596</v>
      </c>
      <c r="F5407" t="str">
        <f t="shared" si="193"/>
        <v>60430000</v>
      </c>
      <c r="G5407" t="str">
        <f t="shared" si="194"/>
        <v>60440003</v>
      </c>
      <c r="H5407" t="s">
        <v>4091</v>
      </c>
      <c r="J5407" s="4">
        <v>20250</v>
      </c>
    </row>
    <row r="5408" spans="1:10" hidden="1" outlineLevel="2" x14ac:dyDescent="0.35">
      <c r="A5408" t="s">
        <v>3115</v>
      </c>
      <c r="B5408" s="1">
        <v>45727</v>
      </c>
      <c r="C5408" t="str">
        <f>"586"</f>
        <v>586</v>
      </c>
      <c r="D5408" t="s">
        <v>4092</v>
      </c>
      <c r="E5408" t="str">
        <f>"179595"</f>
        <v>179595</v>
      </c>
      <c r="F5408" t="str">
        <f t="shared" si="193"/>
        <v>60430000</v>
      </c>
      <c r="G5408" t="str">
        <f t="shared" si="194"/>
        <v>60440003</v>
      </c>
      <c r="H5408" t="s">
        <v>4093</v>
      </c>
      <c r="J5408" s="4">
        <v>40500</v>
      </c>
    </row>
    <row r="5409" spans="1:10" hidden="1" outlineLevel="2" x14ac:dyDescent="0.35">
      <c r="A5409" t="s">
        <v>3115</v>
      </c>
      <c r="B5409" s="1">
        <v>45728</v>
      </c>
      <c r="C5409" t="str">
        <f>"628"</f>
        <v>628</v>
      </c>
      <c r="D5409" t="s">
        <v>4176</v>
      </c>
      <c r="E5409" t="str">
        <f>"183505"</f>
        <v>183505</v>
      </c>
      <c r="F5409" t="str">
        <f t="shared" si="193"/>
        <v>60430000</v>
      </c>
      <c r="G5409" t="str">
        <f t="shared" si="194"/>
        <v>60440003</v>
      </c>
      <c r="H5409" t="s">
        <v>4177</v>
      </c>
      <c r="J5409" s="4">
        <v>114380</v>
      </c>
    </row>
    <row r="5410" spans="1:10" hidden="1" outlineLevel="2" x14ac:dyDescent="0.35">
      <c r="A5410" t="s">
        <v>3115</v>
      </c>
      <c r="B5410" s="1">
        <v>45729</v>
      </c>
      <c r="C5410" t="str">
        <f>"641"</f>
        <v>641</v>
      </c>
      <c r="D5410" t="s">
        <v>4202</v>
      </c>
      <c r="E5410" t="str">
        <f>"183506"</f>
        <v>183506</v>
      </c>
      <c r="F5410" t="str">
        <f t="shared" si="193"/>
        <v>60430000</v>
      </c>
      <c r="G5410" t="str">
        <f t="shared" si="194"/>
        <v>60440003</v>
      </c>
      <c r="H5410" t="s">
        <v>4203</v>
      </c>
      <c r="J5410" s="4">
        <v>114380</v>
      </c>
    </row>
    <row r="5411" spans="1:10" hidden="1" outlineLevel="2" x14ac:dyDescent="0.35">
      <c r="A5411" t="s">
        <v>3115</v>
      </c>
      <c r="B5411" s="1">
        <v>45729</v>
      </c>
      <c r="C5411" t="str">
        <f>"662"</f>
        <v>662</v>
      </c>
      <c r="D5411" t="s">
        <v>4244</v>
      </c>
      <c r="E5411" t="str">
        <f>"180849"</f>
        <v>180849</v>
      </c>
      <c r="F5411" t="str">
        <f t="shared" si="193"/>
        <v>60430000</v>
      </c>
      <c r="G5411" t="str">
        <f t="shared" si="194"/>
        <v>60440003</v>
      </c>
      <c r="H5411" t="s">
        <v>4245</v>
      </c>
      <c r="J5411" s="4">
        <v>37375</v>
      </c>
    </row>
    <row r="5412" spans="1:10" hidden="1" outlineLevel="2" x14ac:dyDescent="0.35">
      <c r="A5412" t="s">
        <v>3115</v>
      </c>
      <c r="B5412" s="1">
        <v>45729</v>
      </c>
      <c r="C5412" t="str">
        <f>"671"</f>
        <v>671</v>
      </c>
      <c r="D5412" t="s">
        <v>4262</v>
      </c>
      <c r="E5412" t="str">
        <f>"183507"</f>
        <v>183507</v>
      </c>
      <c r="F5412" t="str">
        <f t="shared" si="193"/>
        <v>60430000</v>
      </c>
      <c r="G5412" t="str">
        <f t="shared" si="194"/>
        <v>60440003</v>
      </c>
      <c r="H5412" t="s">
        <v>4263</v>
      </c>
      <c r="J5412" s="4">
        <v>114380</v>
      </c>
    </row>
    <row r="5413" spans="1:10" hidden="1" outlineLevel="2" x14ac:dyDescent="0.35">
      <c r="A5413" t="s">
        <v>3115</v>
      </c>
      <c r="B5413" s="1">
        <v>45729</v>
      </c>
      <c r="C5413" t="str">
        <f>"680"</f>
        <v>680</v>
      </c>
      <c r="D5413" t="s">
        <v>4280</v>
      </c>
      <c r="E5413" t="str">
        <f>"183508"</f>
        <v>183508</v>
      </c>
      <c r="F5413" t="str">
        <f t="shared" si="193"/>
        <v>60430000</v>
      </c>
      <c r="G5413" t="str">
        <f t="shared" si="194"/>
        <v>60440003</v>
      </c>
      <c r="H5413" t="s">
        <v>4281</v>
      </c>
      <c r="J5413" s="4">
        <v>114380</v>
      </c>
    </row>
    <row r="5414" spans="1:10" hidden="1" outlineLevel="2" x14ac:dyDescent="0.35">
      <c r="A5414" t="s">
        <v>3115</v>
      </c>
      <c r="B5414" s="1">
        <v>45729</v>
      </c>
      <c r="C5414" t="str">
        <f>"685"</f>
        <v>685</v>
      </c>
      <c r="D5414" t="s">
        <v>4290</v>
      </c>
      <c r="E5414" t="str">
        <f>"182268"</f>
        <v>182268</v>
      </c>
      <c r="F5414" t="str">
        <f t="shared" si="193"/>
        <v>60430000</v>
      </c>
      <c r="G5414" t="str">
        <f t="shared" si="194"/>
        <v>60440003</v>
      </c>
      <c r="H5414" t="s">
        <v>4291</v>
      </c>
      <c r="J5414" s="4">
        <v>5304</v>
      </c>
    </row>
    <row r="5415" spans="1:10" hidden="1" outlineLevel="2" x14ac:dyDescent="0.35">
      <c r="A5415" t="s">
        <v>3115</v>
      </c>
      <c r="B5415" s="1">
        <v>45730</v>
      </c>
      <c r="C5415" t="str">
        <f>"186"</f>
        <v>186</v>
      </c>
      <c r="D5415" t="s">
        <v>4338</v>
      </c>
      <c r="E5415" t="str">
        <f>"176324"</f>
        <v>176324</v>
      </c>
      <c r="F5415" t="str">
        <f t="shared" si="193"/>
        <v>60430000</v>
      </c>
      <c r="G5415" t="str">
        <f t="shared" si="194"/>
        <v>60440003</v>
      </c>
      <c r="H5415" t="s">
        <v>4339</v>
      </c>
      <c r="J5415" s="4">
        <v>115375</v>
      </c>
    </row>
    <row r="5416" spans="1:10" hidden="1" outlineLevel="2" x14ac:dyDescent="0.35">
      <c r="A5416" t="s">
        <v>3115</v>
      </c>
      <c r="B5416" s="1">
        <v>45730</v>
      </c>
      <c r="C5416" t="str">
        <f>"206"</f>
        <v>206</v>
      </c>
      <c r="D5416" t="s">
        <v>4378</v>
      </c>
      <c r="E5416" t="str">
        <f>"182207"</f>
        <v>182207</v>
      </c>
      <c r="F5416" t="str">
        <f t="shared" si="193"/>
        <v>60430000</v>
      </c>
      <c r="G5416" t="str">
        <f t="shared" si="194"/>
        <v>60440003</v>
      </c>
      <c r="H5416" t="s">
        <v>4379</v>
      </c>
      <c r="J5416" s="4">
        <v>6075</v>
      </c>
    </row>
    <row r="5417" spans="1:10" hidden="1" outlineLevel="2" x14ac:dyDescent="0.35">
      <c r="A5417" t="s">
        <v>3115</v>
      </c>
      <c r="B5417" s="1">
        <v>45730</v>
      </c>
      <c r="C5417" t="str">
        <f>"207"</f>
        <v>207</v>
      </c>
      <c r="D5417" t="s">
        <v>4380</v>
      </c>
      <c r="E5417" t="str">
        <f>"176326"</f>
        <v>176326</v>
      </c>
      <c r="F5417" t="str">
        <f t="shared" si="193"/>
        <v>60430000</v>
      </c>
      <c r="G5417" t="str">
        <f t="shared" si="194"/>
        <v>60440003</v>
      </c>
      <c r="H5417" t="s">
        <v>4381</v>
      </c>
      <c r="J5417" s="4">
        <v>66406</v>
      </c>
    </row>
    <row r="5418" spans="1:10" hidden="1" outlineLevel="2" x14ac:dyDescent="0.35">
      <c r="A5418" t="s">
        <v>3115</v>
      </c>
      <c r="B5418" s="1">
        <v>45731</v>
      </c>
      <c r="C5418" t="str">
        <f>"766"</f>
        <v>766</v>
      </c>
      <c r="D5418" t="s">
        <v>4426</v>
      </c>
      <c r="E5418" t="str">
        <f>"183509"</f>
        <v>183509</v>
      </c>
      <c r="F5418" t="str">
        <f t="shared" si="193"/>
        <v>60430000</v>
      </c>
      <c r="G5418" t="str">
        <f t="shared" si="194"/>
        <v>60440003</v>
      </c>
      <c r="H5418" t="s">
        <v>4427</v>
      </c>
      <c r="J5418" s="4">
        <v>96320</v>
      </c>
    </row>
    <row r="5419" spans="1:10" hidden="1" outlineLevel="2" x14ac:dyDescent="0.35">
      <c r="A5419" t="s">
        <v>3115</v>
      </c>
      <c r="B5419" s="1">
        <v>45733</v>
      </c>
      <c r="C5419" t="str">
        <f>"702"</f>
        <v>702</v>
      </c>
      <c r="D5419" t="s">
        <v>4466</v>
      </c>
      <c r="E5419" t="str">
        <f>"147269"</f>
        <v>147269</v>
      </c>
      <c r="F5419" t="str">
        <f t="shared" si="193"/>
        <v>60430000</v>
      </c>
      <c r="G5419" t="str">
        <f t="shared" si="194"/>
        <v>60440003</v>
      </c>
      <c r="H5419" t="s">
        <v>4467</v>
      </c>
      <c r="J5419" s="4">
        <v>207400</v>
      </c>
    </row>
    <row r="5420" spans="1:10" hidden="1" outlineLevel="2" x14ac:dyDescent="0.35">
      <c r="A5420" t="s">
        <v>3115</v>
      </c>
      <c r="B5420" s="1">
        <v>45733</v>
      </c>
      <c r="C5420" t="str">
        <f>"703"</f>
        <v>703</v>
      </c>
      <c r="D5420" t="s">
        <v>4468</v>
      </c>
      <c r="E5420" t="str">
        <f>"147271"</f>
        <v>147271</v>
      </c>
      <c r="F5420" t="str">
        <f t="shared" si="193"/>
        <v>60430000</v>
      </c>
      <c r="G5420" t="str">
        <f t="shared" si="194"/>
        <v>60440003</v>
      </c>
      <c r="H5420" t="s">
        <v>4469</v>
      </c>
      <c r="J5420" s="4">
        <v>250900</v>
      </c>
    </row>
    <row r="5421" spans="1:10" hidden="1" outlineLevel="2" x14ac:dyDescent="0.35">
      <c r="A5421" t="s">
        <v>3115</v>
      </c>
      <c r="B5421" s="1">
        <v>45733</v>
      </c>
      <c r="C5421" t="str">
        <f>"710"</f>
        <v>710</v>
      </c>
      <c r="D5421" t="s">
        <v>4482</v>
      </c>
      <c r="E5421" t="str">
        <f>"176329"</f>
        <v>176329</v>
      </c>
      <c r="F5421" t="str">
        <f t="shared" si="193"/>
        <v>60430000</v>
      </c>
      <c r="G5421" t="str">
        <f t="shared" si="194"/>
        <v>60440003</v>
      </c>
      <c r="H5421" t="s">
        <v>4483</v>
      </c>
      <c r="J5421" s="4">
        <v>41110</v>
      </c>
    </row>
    <row r="5422" spans="1:10" hidden="1" outlineLevel="2" x14ac:dyDescent="0.35">
      <c r="A5422" t="s">
        <v>3115</v>
      </c>
      <c r="B5422" s="1">
        <v>45734</v>
      </c>
      <c r="C5422" t="str">
        <f>"453"</f>
        <v>453</v>
      </c>
      <c r="D5422" t="s">
        <v>4574</v>
      </c>
      <c r="E5422" t="str">
        <f>"183514"</f>
        <v>183514</v>
      </c>
      <c r="F5422" t="str">
        <f t="shared" si="193"/>
        <v>60430000</v>
      </c>
      <c r="G5422" t="str">
        <f t="shared" si="194"/>
        <v>60440003</v>
      </c>
      <c r="H5422" t="s">
        <v>4575</v>
      </c>
      <c r="J5422" s="4">
        <v>162121</v>
      </c>
    </row>
    <row r="5423" spans="1:10" hidden="1" outlineLevel="2" x14ac:dyDescent="0.35">
      <c r="A5423" t="s">
        <v>3115</v>
      </c>
      <c r="B5423" s="1">
        <v>45734</v>
      </c>
      <c r="C5423" t="str">
        <f>"465"</f>
        <v>465</v>
      </c>
      <c r="D5423" t="s">
        <v>4598</v>
      </c>
      <c r="E5423" t="str">
        <f>"182220"</f>
        <v>182220</v>
      </c>
      <c r="F5423" t="str">
        <f t="shared" si="193"/>
        <v>60430000</v>
      </c>
      <c r="G5423" t="str">
        <f t="shared" si="194"/>
        <v>60440003</v>
      </c>
      <c r="H5423" t="s">
        <v>4599</v>
      </c>
      <c r="J5423" s="4">
        <v>2550</v>
      </c>
    </row>
    <row r="5424" spans="1:10" hidden="1" outlineLevel="2" x14ac:dyDescent="0.35">
      <c r="A5424" t="s">
        <v>3115</v>
      </c>
      <c r="B5424" s="1">
        <v>45734</v>
      </c>
      <c r="C5424" t="str">
        <f>"469"</f>
        <v>469</v>
      </c>
      <c r="D5424" t="s">
        <v>4606</v>
      </c>
      <c r="E5424" t="str">
        <f>"182223"</f>
        <v>182223</v>
      </c>
      <c r="F5424" t="str">
        <f t="shared" si="193"/>
        <v>60430000</v>
      </c>
      <c r="G5424" t="str">
        <f t="shared" si="194"/>
        <v>60440003</v>
      </c>
      <c r="H5424" t="s">
        <v>4607</v>
      </c>
      <c r="J5424" s="4">
        <v>66825</v>
      </c>
    </row>
    <row r="5425" spans="1:10" hidden="1" outlineLevel="2" x14ac:dyDescent="0.35">
      <c r="A5425" t="s">
        <v>3115</v>
      </c>
      <c r="B5425" s="1">
        <v>45734</v>
      </c>
      <c r="C5425" t="str">
        <f>"481"</f>
        <v>481</v>
      </c>
      <c r="D5425" t="s">
        <v>4630</v>
      </c>
      <c r="E5425" t="str">
        <f>"183513"</f>
        <v>183513</v>
      </c>
      <c r="F5425" t="str">
        <f t="shared" si="193"/>
        <v>60430000</v>
      </c>
      <c r="G5425" t="str">
        <f t="shared" si="194"/>
        <v>60440003</v>
      </c>
      <c r="H5425" t="s">
        <v>4631</v>
      </c>
      <c r="J5425" s="4">
        <v>114380</v>
      </c>
    </row>
    <row r="5426" spans="1:10" hidden="1" outlineLevel="2" x14ac:dyDescent="0.35">
      <c r="A5426" t="s">
        <v>3115</v>
      </c>
      <c r="B5426" s="1">
        <v>45735</v>
      </c>
      <c r="C5426" t="str">
        <f>"339"</f>
        <v>339</v>
      </c>
      <c r="D5426" t="s">
        <v>4640</v>
      </c>
      <c r="E5426" t="str">
        <f>"147275"</f>
        <v>147275</v>
      </c>
      <c r="F5426" t="str">
        <f t="shared" si="193"/>
        <v>60430000</v>
      </c>
      <c r="G5426" t="str">
        <f t="shared" si="194"/>
        <v>60440003</v>
      </c>
      <c r="H5426" t="s">
        <v>4641</v>
      </c>
      <c r="J5426" s="4">
        <v>250900</v>
      </c>
    </row>
    <row r="5427" spans="1:10" hidden="1" outlineLevel="2" x14ac:dyDescent="0.35">
      <c r="A5427" t="s">
        <v>3115</v>
      </c>
      <c r="B5427" s="1">
        <v>45735</v>
      </c>
      <c r="C5427" t="str">
        <f>"359"</f>
        <v>359</v>
      </c>
      <c r="D5427" t="s">
        <v>4680</v>
      </c>
      <c r="E5427" t="str">
        <f>"183516"</f>
        <v>183516</v>
      </c>
      <c r="F5427" t="str">
        <f t="shared" si="193"/>
        <v>60430000</v>
      </c>
      <c r="G5427" t="str">
        <f t="shared" si="194"/>
        <v>60440003</v>
      </c>
      <c r="H5427" t="s">
        <v>4681</v>
      </c>
      <c r="J5427" s="4">
        <v>120400</v>
      </c>
    </row>
    <row r="5428" spans="1:10" hidden="1" outlineLevel="2" x14ac:dyDescent="0.35">
      <c r="A5428" t="s">
        <v>3115</v>
      </c>
      <c r="B5428" s="1">
        <v>45736</v>
      </c>
      <c r="C5428" t="str">
        <f>"328"</f>
        <v>328</v>
      </c>
      <c r="D5428" t="s">
        <v>4862</v>
      </c>
      <c r="E5428" t="str">
        <f>"183515"</f>
        <v>183515</v>
      </c>
      <c r="F5428" t="str">
        <f t="shared" si="193"/>
        <v>60430000</v>
      </c>
      <c r="G5428" t="str">
        <f t="shared" si="194"/>
        <v>60440003</v>
      </c>
      <c r="H5428" t="s">
        <v>4863</v>
      </c>
      <c r="J5428" s="4">
        <v>282521</v>
      </c>
    </row>
    <row r="5429" spans="1:10" hidden="1" outlineLevel="2" x14ac:dyDescent="0.35">
      <c r="A5429" t="s">
        <v>3115</v>
      </c>
      <c r="B5429" s="1">
        <v>45737</v>
      </c>
      <c r="C5429" t="str">
        <f>"261"</f>
        <v>261</v>
      </c>
      <c r="D5429" t="s">
        <v>4966</v>
      </c>
      <c r="E5429" t="str">
        <f>"147277"</f>
        <v>147277</v>
      </c>
      <c r="F5429" t="str">
        <f t="shared" si="193"/>
        <v>60430000</v>
      </c>
      <c r="G5429" t="str">
        <f t="shared" si="194"/>
        <v>60440003</v>
      </c>
      <c r="H5429" t="s">
        <v>4967</v>
      </c>
      <c r="J5429" s="4">
        <v>15050</v>
      </c>
    </row>
    <row r="5430" spans="1:10" hidden="1" outlineLevel="2" x14ac:dyDescent="0.35">
      <c r="A5430" t="s">
        <v>3115</v>
      </c>
      <c r="B5430" s="1">
        <v>45737</v>
      </c>
      <c r="C5430" t="str">
        <f>"266"</f>
        <v>266</v>
      </c>
      <c r="D5430" t="s">
        <v>4976</v>
      </c>
      <c r="E5430" t="str">
        <f>"183519"</f>
        <v>183519</v>
      </c>
      <c r="F5430" t="str">
        <f t="shared" si="193"/>
        <v>60430000</v>
      </c>
      <c r="G5430" t="str">
        <f t="shared" si="194"/>
        <v>60440003</v>
      </c>
      <c r="H5430" t="s">
        <v>4977</v>
      </c>
      <c r="J5430" s="4">
        <v>235804</v>
      </c>
    </row>
    <row r="5431" spans="1:10" hidden="1" outlineLevel="2" x14ac:dyDescent="0.35">
      <c r="A5431" t="s">
        <v>3115</v>
      </c>
      <c r="B5431" s="1">
        <v>45737</v>
      </c>
      <c r="C5431" t="str">
        <f>"271"</f>
        <v>271</v>
      </c>
      <c r="D5431" t="s">
        <v>4986</v>
      </c>
      <c r="E5431" t="str">
        <f>"181223"</f>
        <v>181223</v>
      </c>
      <c r="F5431" t="str">
        <f t="shared" si="193"/>
        <v>60430000</v>
      </c>
      <c r="G5431" t="str">
        <f t="shared" si="194"/>
        <v>60440003</v>
      </c>
      <c r="H5431" t="s">
        <v>4987</v>
      </c>
      <c r="J5431" s="4">
        <v>120400</v>
      </c>
    </row>
    <row r="5432" spans="1:10" hidden="1" outlineLevel="2" x14ac:dyDescent="0.35">
      <c r="A5432" t="s">
        <v>3115</v>
      </c>
      <c r="B5432" s="1">
        <v>45737</v>
      </c>
      <c r="C5432" t="str">
        <f>"273"</f>
        <v>273</v>
      </c>
      <c r="D5432" t="s">
        <v>4990</v>
      </c>
      <c r="E5432" t="str">
        <f>"162598"</f>
        <v>162598</v>
      </c>
      <c r="F5432" t="str">
        <f t="shared" si="193"/>
        <v>60430000</v>
      </c>
      <c r="G5432" t="str">
        <f t="shared" si="194"/>
        <v>60440003</v>
      </c>
      <c r="H5432" t="s">
        <v>4991</v>
      </c>
      <c r="J5432" s="4">
        <v>10963</v>
      </c>
    </row>
    <row r="5433" spans="1:10" hidden="1" outlineLevel="2" x14ac:dyDescent="0.35">
      <c r="A5433" t="s">
        <v>3115</v>
      </c>
      <c r="B5433" s="1">
        <v>45740</v>
      </c>
      <c r="C5433" t="str">
        <f>"220"</f>
        <v>220</v>
      </c>
      <c r="D5433" t="s">
        <v>5084</v>
      </c>
      <c r="E5433" t="str">
        <f>"176334"</f>
        <v>176334</v>
      </c>
      <c r="F5433" t="str">
        <f t="shared" si="193"/>
        <v>60430000</v>
      </c>
      <c r="G5433" t="str">
        <f t="shared" si="194"/>
        <v>60440003</v>
      </c>
      <c r="H5433" t="s">
        <v>5085</v>
      </c>
      <c r="J5433" s="4">
        <v>162500</v>
      </c>
    </row>
    <row r="5434" spans="1:10" hidden="1" outlineLevel="2" x14ac:dyDescent="0.35">
      <c r="A5434" t="s">
        <v>3115</v>
      </c>
      <c r="B5434" s="1">
        <v>45740</v>
      </c>
      <c r="C5434" t="str">
        <f>"222"</f>
        <v>222</v>
      </c>
      <c r="D5434" t="s">
        <v>5088</v>
      </c>
      <c r="E5434" t="str">
        <f>"184552"</f>
        <v>184552</v>
      </c>
      <c r="F5434" t="str">
        <f t="shared" si="193"/>
        <v>60430000</v>
      </c>
      <c r="G5434" t="str">
        <f t="shared" si="194"/>
        <v>60440003</v>
      </c>
      <c r="H5434" t="s">
        <v>5089</v>
      </c>
      <c r="J5434" s="4">
        <v>65000</v>
      </c>
    </row>
    <row r="5435" spans="1:10" hidden="1" outlineLevel="2" x14ac:dyDescent="0.35">
      <c r="A5435" t="s">
        <v>3115</v>
      </c>
      <c r="B5435" s="1">
        <v>45740</v>
      </c>
      <c r="C5435" t="str">
        <f>"224"</f>
        <v>224</v>
      </c>
      <c r="D5435" t="s">
        <v>5092</v>
      </c>
      <c r="E5435" t="str">
        <f>"183521"</f>
        <v>183521</v>
      </c>
      <c r="F5435" t="str">
        <f t="shared" ref="F5435:F5441" si="195">"60430000"</f>
        <v>60430000</v>
      </c>
      <c r="G5435" t="str">
        <f t="shared" ref="G5435:G5441" si="196">"60440003"</f>
        <v>60440003</v>
      </c>
      <c r="H5435" t="s">
        <v>5093</v>
      </c>
      <c r="J5435" s="4">
        <v>120400</v>
      </c>
    </row>
    <row r="5436" spans="1:10" hidden="1" outlineLevel="2" x14ac:dyDescent="0.35">
      <c r="A5436" t="s">
        <v>3115</v>
      </c>
      <c r="B5436" s="1">
        <v>45740</v>
      </c>
      <c r="C5436" t="str">
        <f>"228"</f>
        <v>228</v>
      </c>
      <c r="D5436" t="s">
        <v>5100</v>
      </c>
      <c r="E5436" t="str">
        <f>"184551"</f>
        <v>184551</v>
      </c>
      <c r="F5436" t="str">
        <f t="shared" si="195"/>
        <v>60430000</v>
      </c>
      <c r="G5436" t="str">
        <f t="shared" si="196"/>
        <v>60440003</v>
      </c>
      <c r="H5436" t="s">
        <v>5101</v>
      </c>
      <c r="J5436" s="4">
        <v>32500</v>
      </c>
    </row>
    <row r="5437" spans="1:10" hidden="1" outlineLevel="2" x14ac:dyDescent="0.35">
      <c r="A5437" t="s">
        <v>3115</v>
      </c>
      <c r="B5437" s="1">
        <v>45741</v>
      </c>
      <c r="C5437" t="str">
        <f>"20"</f>
        <v>20</v>
      </c>
      <c r="D5437" t="s">
        <v>5166</v>
      </c>
      <c r="E5437" t="str">
        <f>"147282"</f>
        <v>147282</v>
      </c>
      <c r="F5437" t="str">
        <f t="shared" si="195"/>
        <v>60430000</v>
      </c>
      <c r="G5437" t="str">
        <f t="shared" si="196"/>
        <v>60440003</v>
      </c>
      <c r="H5437" t="s">
        <v>5167</v>
      </c>
      <c r="J5437" s="4">
        <v>155200</v>
      </c>
    </row>
    <row r="5438" spans="1:10" hidden="1" outlineLevel="2" x14ac:dyDescent="0.35">
      <c r="A5438" t="s">
        <v>3115</v>
      </c>
      <c r="B5438" s="1">
        <v>45741</v>
      </c>
      <c r="C5438" t="str">
        <f>"76"</f>
        <v>76</v>
      </c>
      <c r="D5438" t="s">
        <v>5278</v>
      </c>
      <c r="E5438" t="str">
        <f>"183524"</f>
        <v>183524</v>
      </c>
      <c r="F5438" t="str">
        <f t="shared" si="195"/>
        <v>60430000</v>
      </c>
      <c r="G5438" t="str">
        <f t="shared" si="196"/>
        <v>60440003</v>
      </c>
      <c r="H5438" t="s">
        <v>5279</v>
      </c>
      <c r="J5438" s="4">
        <v>96320</v>
      </c>
    </row>
    <row r="5439" spans="1:10" hidden="1" outlineLevel="2" x14ac:dyDescent="0.35">
      <c r="A5439" t="s">
        <v>3115</v>
      </c>
      <c r="B5439" s="1">
        <v>45741</v>
      </c>
      <c r="C5439" t="str">
        <f>"80"</f>
        <v>80</v>
      </c>
      <c r="D5439" t="s">
        <v>5286</v>
      </c>
      <c r="E5439" t="str">
        <f>"183521"</f>
        <v>183521</v>
      </c>
      <c r="F5439" t="str">
        <f t="shared" si="195"/>
        <v>60430000</v>
      </c>
      <c r="G5439" t="str">
        <f t="shared" si="196"/>
        <v>60440003</v>
      </c>
      <c r="H5439" t="s">
        <v>5287</v>
      </c>
      <c r="J5439" s="4">
        <v>162121</v>
      </c>
    </row>
    <row r="5440" spans="1:10" hidden="1" outlineLevel="2" x14ac:dyDescent="0.35">
      <c r="A5440" t="s">
        <v>3115</v>
      </c>
      <c r="B5440" s="1">
        <v>45741</v>
      </c>
      <c r="C5440" t="str">
        <f>"93"</f>
        <v>93</v>
      </c>
      <c r="D5440" t="s">
        <v>5312</v>
      </c>
      <c r="E5440" t="str">
        <f>"183523"</f>
        <v>183523</v>
      </c>
      <c r="F5440" t="str">
        <f t="shared" si="195"/>
        <v>60430000</v>
      </c>
      <c r="G5440" t="str">
        <f t="shared" si="196"/>
        <v>60440003</v>
      </c>
      <c r="H5440" t="s">
        <v>5313</v>
      </c>
      <c r="J5440" s="4">
        <v>120400</v>
      </c>
    </row>
    <row r="5441" spans="1:11" hidden="1" outlineLevel="2" x14ac:dyDescent="0.35">
      <c r="A5441" t="s">
        <v>3115</v>
      </c>
      <c r="B5441" s="1">
        <v>45744</v>
      </c>
      <c r="C5441" t="str">
        <f>"13"</f>
        <v>13</v>
      </c>
      <c r="D5441" t="s">
        <v>5450</v>
      </c>
      <c r="E5441" t="str">
        <f>"178684"</f>
        <v>178684</v>
      </c>
      <c r="F5441" t="str">
        <f t="shared" si="195"/>
        <v>60430000</v>
      </c>
      <c r="G5441" t="str">
        <f t="shared" si="196"/>
        <v>60440003</v>
      </c>
      <c r="H5441" t="s">
        <v>5451</v>
      </c>
      <c r="J5441" s="4">
        <v>120400</v>
      </c>
    </row>
    <row r="5442" spans="1:11" outlineLevel="1" collapsed="1" x14ac:dyDescent="0.35">
      <c r="B5442" s="1"/>
      <c r="F5442" s="3" t="s">
        <v>6607</v>
      </c>
      <c r="J5442" s="4">
        <f>SUBTOTAL(9,J5371:J5441)</f>
        <v>6177233</v>
      </c>
      <c r="K5442" s="4">
        <f>SUBTOTAL(9,K5371:K5441)</f>
        <v>0</v>
      </c>
    </row>
    <row r="5443" spans="1:11" hidden="1" outlineLevel="2" x14ac:dyDescent="0.35">
      <c r="A5443" t="s">
        <v>3115</v>
      </c>
      <c r="B5443" s="1">
        <v>45717</v>
      </c>
      <c r="C5443" t="str">
        <f>"1170"</f>
        <v>1170</v>
      </c>
      <c r="D5443" t="s">
        <v>3116</v>
      </c>
      <c r="E5443" t="str">
        <f>"181173"</f>
        <v>181173</v>
      </c>
      <c r="F5443" t="str">
        <f t="shared" ref="F5443:F5506" si="197">"60440000"</f>
        <v>60440000</v>
      </c>
      <c r="G5443" t="str">
        <f t="shared" ref="G5443:G5506" si="198">"60440001"</f>
        <v>60440001</v>
      </c>
      <c r="H5443" t="s">
        <v>3117</v>
      </c>
      <c r="J5443" s="4">
        <v>43950</v>
      </c>
    </row>
    <row r="5444" spans="1:11" hidden="1" outlineLevel="2" x14ac:dyDescent="0.35">
      <c r="A5444" t="s">
        <v>3115</v>
      </c>
      <c r="B5444" s="1">
        <v>45717</v>
      </c>
      <c r="C5444" t="str">
        <f>"1171"</f>
        <v>1171</v>
      </c>
      <c r="D5444" t="s">
        <v>3118</v>
      </c>
      <c r="E5444" t="str">
        <f>"181165"</f>
        <v>181165</v>
      </c>
      <c r="F5444" t="str">
        <f t="shared" si="197"/>
        <v>60440000</v>
      </c>
      <c r="G5444" t="str">
        <f t="shared" si="198"/>
        <v>60440001</v>
      </c>
      <c r="H5444" t="s">
        <v>3119</v>
      </c>
      <c r="J5444" s="4">
        <v>33979</v>
      </c>
    </row>
    <row r="5445" spans="1:11" hidden="1" outlineLevel="2" x14ac:dyDescent="0.35">
      <c r="A5445" t="s">
        <v>3115</v>
      </c>
      <c r="B5445" s="1">
        <v>45717</v>
      </c>
      <c r="C5445" t="str">
        <f>"1172"</f>
        <v>1172</v>
      </c>
      <c r="D5445" t="s">
        <v>3120</v>
      </c>
      <c r="E5445" t="str">
        <f>"181196"</f>
        <v>181196</v>
      </c>
      <c r="F5445" t="str">
        <f t="shared" si="197"/>
        <v>60440000</v>
      </c>
      <c r="G5445" t="str">
        <f t="shared" si="198"/>
        <v>60440001</v>
      </c>
      <c r="H5445" t="s">
        <v>3121</v>
      </c>
      <c r="J5445" s="4">
        <v>43950</v>
      </c>
    </row>
    <row r="5446" spans="1:11" hidden="1" outlineLevel="2" x14ac:dyDescent="0.35">
      <c r="A5446" t="s">
        <v>3115</v>
      </c>
      <c r="B5446" s="1">
        <v>45717</v>
      </c>
      <c r="C5446" t="str">
        <f>"1173"</f>
        <v>1173</v>
      </c>
      <c r="D5446" t="s">
        <v>3122</v>
      </c>
      <c r="E5446" t="str">
        <f>"181179"</f>
        <v>181179</v>
      </c>
      <c r="F5446" t="str">
        <f t="shared" si="197"/>
        <v>60440000</v>
      </c>
      <c r="G5446" t="str">
        <f t="shared" si="198"/>
        <v>60440001</v>
      </c>
      <c r="H5446" t="s">
        <v>3123</v>
      </c>
      <c r="J5446" s="4">
        <v>43950</v>
      </c>
    </row>
    <row r="5447" spans="1:11" hidden="1" outlineLevel="2" x14ac:dyDescent="0.35">
      <c r="A5447" t="s">
        <v>3115</v>
      </c>
      <c r="B5447" s="1">
        <v>45717</v>
      </c>
      <c r="C5447" t="str">
        <f>"1174"</f>
        <v>1174</v>
      </c>
      <c r="D5447" t="s">
        <v>3124</v>
      </c>
      <c r="E5447" t="str">
        <f>"183406"</f>
        <v>183406</v>
      </c>
      <c r="F5447" t="str">
        <f t="shared" si="197"/>
        <v>60440000</v>
      </c>
      <c r="G5447" t="str">
        <f t="shared" si="198"/>
        <v>60440001</v>
      </c>
      <c r="H5447" t="s">
        <v>3125</v>
      </c>
      <c r="J5447" s="4">
        <v>30961</v>
      </c>
    </row>
    <row r="5448" spans="1:11" hidden="1" outlineLevel="2" x14ac:dyDescent="0.35">
      <c r="A5448" t="s">
        <v>3115</v>
      </c>
      <c r="B5448" s="1">
        <v>45717</v>
      </c>
      <c r="C5448" t="str">
        <f>"1175"</f>
        <v>1175</v>
      </c>
      <c r="D5448" t="s">
        <v>3126</v>
      </c>
      <c r="E5448" t="str">
        <f>"181167"</f>
        <v>181167</v>
      </c>
      <c r="F5448" t="str">
        <f t="shared" si="197"/>
        <v>60440000</v>
      </c>
      <c r="G5448" t="str">
        <f t="shared" si="198"/>
        <v>60440001</v>
      </c>
      <c r="H5448" t="s">
        <v>3127</v>
      </c>
      <c r="J5448" s="4">
        <v>22959</v>
      </c>
    </row>
    <row r="5449" spans="1:11" hidden="1" outlineLevel="2" x14ac:dyDescent="0.35">
      <c r="A5449" t="s">
        <v>3115</v>
      </c>
      <c r="B5449" s="1">
        <v>45717</v>
      </c>
      <c r="C5449" t="str">
        <f>"1176"</f>
        <v>1176</v>
      </c>
      <c r="D5449" t="s">
        <v>3128</v>
      </c>
      <c r="E5449" t="str">
        <f>"181190"</f>
        <v>181190</v>
      </c>
      <c r="F5449" t="str">
        <f t="shared" si="197"/>
        <v>60440000</v>
      </c>
      <c r="G5449" t="str">
        <f t="shared" si="198"/>
        <v>60440001</v>
      </c>
      <c r="H5449" t="s">
        <v>3129</v>
      </c>
      <c r="J5449" s="4">
        <v>181701</v>
      </c>
    </row>
    <row r="5450" spans="1:11" hidden="1" outlineLevel="2" x14ac:dyDescent="0.35">
      <c r="A5450" t="s">
        <v>3115</v>
      </c>
      <c r="B5450" s="1">
        <v>45717</v>
      </c>
      <c r="C5450" t="str">
        <f>"1177"</f>
        <v>1177</v>
      </c>
      <c r="D5450" t="s">
        <v>3130</v>
      </c>
      <c r="E5450" t="str">
        <f>"181176"</f>
        <v>181176</v>
      </c>
      <c r="F5450" t="str">
        <f t="shared" si="197"/>
        <v>60440000</v>
      </c>
      <c r="G5450" t="str">
        <f t="shared" si="198"/>
        <v>60440001</v>
      </c>
      <c r="H5450" t="s">
        <v>3131</v>
      </c>
      <c r="J5450" s="4">
        <v>40801</v>
      </c>
    </row>
    <row r="5451" spans="1:11" hidden="1" outlineLevel="2" x14ac:dyDescent="0.35">
      <c r="A5451" t="s">
        <v>3115</v>
      </c>
      <c r="B5451" s="1">
        <v>45717</v>
      </c>
      <c r="C5451" t="str">
        <f>"1178"</f>
        <v>1178</v>
      </c>
      <c r="D5451" t="s">
        <v>3132</v>
      </c>
      <c r="E5451" t="str">
        <f>"182309"</f>
        <v>182309</v>
      </c>
      <c r="F5451" t="str">
        <f t="shared" si="197"/>
        <v>60440000</v>
      </c>
      <c r="G5451" t="str">
        <f t="shared" si="198"/>
        <v>60440001</v>
      </c>
      <c r="H5451" t="s">
        <v>3133</v>
      </c>
      <c r="J5451" s="4">
        <v>3017</v>
      </c>
    </row>
    <row r="5452" spans="1:11" hidden="1" outlineLevel="2" x14ac:dyDescent="0.35">
      <c r="A5452" t="s">
        <v>3115</v>
      </c>
      <c r="B5452" s="1">
        <v>45717</v>
      </c>
      <c r="C5452" t="str">
        <f>"1186"</f>
        <v>1186</v>
      </c>
      <c r="D5452" t="s">
        <v>3148</v>
      </c>
      <c r="E5452" t="str">
        <f>"181182"</f>
        <v>181182</v>
      </c>
      <c r="F5452" t="str">
        <f t="shared" si="197"/>
        <v>60440000</v>
      </c>
      <c r="G5452" t="str">
        <f t="shared" si="198"/>
        <v>60440001</v>
      </c>
      <c r="H5452" t="s">
        <v>3149</v>
      </c>
      <c r="J5452" s="4">
        <v>70516</v>
      </c>
    </row>
    <row r="5453" spans="1:11" hidden="1" outlineLevel="2" x14ac:dyDescent="0.35">
      <c r="A5453" t="s">
        <v>3115</v>
      </c>
      <c r="B5453" s="1">
        <v>45717</v>
      </c>
      <c r="C5453" t="str">
        <f>"1187"</f>
        <v>1187</v>
      </c>
      <c r="D5453" t="s">
        <v>3150</v>
      </c>
      <c r="E5453" t="str">
        <f>"182311"</f>
        <v>182311</v>
      </c>
      <c r="F5453" t="str">
        <f t="shared" si="197"/>
        <v>60440000</v>
      </c>
      <c r="G5453" t="str">
        <f t="shared" si="198"/>
        <v>60440001</v>
      </c>
      <c r="H5453" t="s">
        <v>3151</v>
      </c>
      <c r="J5453" s="4">
        <v>328</v>
      </c>
    </row>
    <row r="5454" spans="1:11" hidden="1" outlineLevel="2" x14ac:dyDescent="0.35">
      <c r="A5454" t="s">
        <v>3115</v>
      </c>
      <c r="B5454" s="1">
        <v>45717</v>
      </c>
      <c r="C5454" t="str">
        <f>"1188"</f>
        <v>1188</v>
      </c>
      <c r="D5454" t="s">
        <v>3152</v>
      </c>
      <c r="E5454" t="str">
        <f>"182312"</f>
        <v>182312</v>
      </c>
      <c r="F5454" t="str">
        <f t="shared" si="197"/>
        <v>60440000</v>
      </c>
      <c r="G5454" t="str">
        <f t="shared" si="198"/>
        <v>60440001</v>
      </c>
      <c r="H5454" t="s">
        <v>3153</v>
      </c>
      <c r="J5454" s="4">
        <v>525</v>
      </c>
    </row>
    <row r="5455" spans="1:11" hidden="1" outlineLevel="2" x14ac:dyDescent="0.35">
      <c r="A5455" t="s">
        <v>3115</v>
      </c>
      <c r="B5455" s="1">
        <v>45718</v>
      </c>
      <c r="C5455" t="str">
        <f>"1154"</f>
        <v>1154</v>
      </c>
      <c r="D5455" t="s">
        <v>3158</v>
      </c>
      <c r="E5455" t="str">
        <f>"182482"</f>
        <v>182482</v>
      </c>
      <c r="F5455" t="str">
        <f t="shared" si="197"/>
        <v>60440000</v>
      </c>
      <c r="G5455" t="str">
        <f t="shared" si="198"/>
        <v>60440001</v>
      </c>
      <c r="H5455" t="s">
        <v>3159</v>
      </c>
      <c r="J5455" s="4">
        <v>16858</v>
      </c>
    </row>
    <row r="5456" spans="1:11" hidden="1" outlineLevel="2" x14ac:dyDescent="0.35">
      <c r="A5456" t="s">
        <v>3115</v>
      </c>
      <c r="B5456" s="1">
        <v>45718</v>
      </c>
      <c r="C5456" t="str">
        <f>"1156"</f>
        <v>1156</v>
      </c>
      <c r="D5456" t="s">
        <v>3162</v>
      </c>
      <c r="E5456" t="str">
        <f>"182485"</f>
        <v>182485</v>
      </c>
      <c r="F5456" t="str">
        <f t="shared" si="197"/>
        <v>60440000</v>
      </c>
      <c r="G5456" t="str">
        <f t="shared" si="198"/>
        <v>60440001</v>
      </c>
      <c r="H5456" t="s">
        <v>3163</v>
      </c>
      <c r="J5456" s="4">
        <v>224535</v>
      </c>
    </row>
    <row r="5457" spans="1:10" hidden="1" outlineLevel="2" x14ac:dyDescent="0.35">
      <c r="A5457" t="s">
        <v>3115</v>
      </c>
      <c r="B5457" s="1">
        <v>45718</v>
      </c>
      <c r="C5457" t="str">
        <f>"1159"</f>
        <v>1159</v>
      </c>
      <c r="D5457" t="s">
        <v>3168</v>
      </c>
      <c r="E5457" t="str">
        <f>"182483"</f>
        <v>182483</v>
      </c>
      <c r="F5457" t="str">
        <f t="shared" si="197"/>
        <v>60440000</v>
      </c>
      <c r="G5457" t="str">
        <f t="shared" si="198"/>
        <v>60440001</v>
      </c>
      <c r="H5457" t="s">
        <v>3169</v>
      </c>
      <c r="J5457" s="4">
        <v>130536</v>
      </c>
    </row>
    <row r="5458" spans="1:10" hidden="1" outlineLevel="2" x14ac:dyDescent="0.35">
      <c r="A5458" t="s">
        <v>3115</v>
      </c>
      <c r="B5458" s="1">
        <v>45718</v>
      </c>
      <c r="C5458" t="str">
        <f>"1160"</f>
        <v>1160</v>
      </c>
      <c r="D5458" t="s">
        <v>3170</v>
      </c>
      <c r="E5458" t="str">
        <f>"182486"</f>
        <v>182486</v>
      </c>
      <c r="F5458" t="str">
        <f t="shared" si="197"/>
        <v>60440000</v>
      </c>
      <c r="G5458" t="str">
        <f t="shared" si="198"/>
        <v>60440001</v>
      </c>
      <c r="H5458" t="s">
        <v>3171</v>
      </c>
      <c r="J5458" s="4">
        <v>50509</v>
      </c>
    </row>
    <row r="5459" spans="1:10" hidden="1" outlineLevel="2" x14ac:dyDescent="0.35">
      <c r="A5459" t="s">
        <v>3115</v>
      </c>
      <c r="B5459" s="1">
        <v>45718</v>
      </c>
      <c r="C5459" t="str">
        <f>"1164"</f>
        <v>1164</v>
      </c>
      <c r="D5459" t="s">
        <v>3178</v>
      </c>
      <c r="E5459" t="str">
        <f>"182489"</f>
        <v>182489</v>
      </c>
      <c r="F5459" t="str">
        <f t="shared" si="197"/>
        <v>60440000</v>
      </c>
      <c r="G5459" t="str">
        <f t="shared" si="198"/>
        <v>60440001</v>
      </c>
      <c r="H5459" t="s">
        <v>3179</v>
      </c>
      <c r="J5459" s="4">
        <v>3936</v>
      </c>
    </row>
    <row r="5460" spans="1:10" hidden="1" outlineLevel="2" x14ac:dyDescent="0.35">
      <c r="A5460" t="s">
        <v>3115</v>
      </c>
      <c r="B5460" s="1">
        <v>45718</v>
      </c>
      <c r="C5460" t="str">
        <f>"1166"</f>
        <v>1166</v>
      </c>
      <c r="D5460" t="s">
        <v>3182</v>
      </c>
      <c r="E5460" t="str">
        <f>"182313"</f>
        <v>182313</v>
      </c>
      <c r="F5460" t="str">
        <f t="shared" si="197"/>
        <v>60440000</v>
      </c>
      <c r="G5460" t="str">
        <f t="shared" si="198"/>
        <v>60440001</v>
      </c>
      <c r="H5460" t="s">
        <v>3183</v>
      </c>
      <c r="J5460" s="4">
        <v>8003</v>
      </c>
    </row>
    <row r="5461" spans="1:10" hidden="1" outlineLevel="2" x14ac:dyDescent="0.35">
      <c r="A5461" t="s">
        <v>3115</v>
      </c>
      <c r="B5461" s="1">
        <v>45718</v>
      </c>
      <c r="C5461" t="str">
        <f>"1167"</f>
        <v>1167</v>
      </c>
      <c r="D5461" t="s">
        <v>3184</v>
      </c>
      <c r="E5461" t="str">
        <f>"182314"</f>
        <v>182314</v>
      </c>
      <c r="F5461" t="str">
        <f t="shared" si="197"/>
        <v>60440000</v>
      </c>
      <c r="G5461" t="str">
        <f t="shared" si="198"/>
        <v>60440001</v>
      </c>
      <c r="H5461" t="s">
        <v>3185</v>
      </c>
      <c r="J5461" s="4">
        <v>6137</v>
      </c>
    </row>
    <row r="5462" spans="1:10" hidden="1" outlineLevel="2" x14ac:dyDescent="0.35">
      <c r="A5462" t="s">
        <v>3115</v>
      </c>
      <c r="B5462" s="1">
        <v>45719</v>
      </c>
      <c r="C5462" t="str">
        <f>"769"</f>
        <v>769</v>
      </c>
      <c r="D5462" t="s">
        <v>3190</v>
      </c>
      <c r="E5462" t="str">
        <f>"147254"</f>
        <v>147254</v>
      </c>
      <c r="F5462" t="str">
        <f t="shared" si="197"/>
        <v>60440000</v>
      </c>
      <c r="G5462" t="str">
        <f t="shared" si="198"/>
        <v>60440001</v>
      </c>
      <c r="H5462" t="s">
        <v>3191</v>
      </c>
      <c r="J5462" s="4">
        <v>95508</v>
      </c>
    </row>
    <row r="5463" spans="1:10" hidden="1" outlineLevel="2" x14ac:dyDescent="0.35">
      <c r="A5463" t="s">
        <v>3115</v>
      </c>
      <c r="B5463" s="1">
        <v>45719</v>
      </c>
      <c r="C5463" t="str">
        <f>"770"</f>
        <v>770</v>
      </c>
      <c r="D5463" t="s">
        <v>3192</v>
      </c>
      <c r="E5463" t="str">
        <f>"181234"</f>
        <v>181234</v>
      </c>
      <c r="F5463" t="str">
        <f t="shared" si="197"/>
        <v>60440000</v>
      </c>
      <c r="G5463" t="str">
        <f t="shared" si="198"/>
        <v>60440001</v>
      </c>
      <c r="H5463" t="s">
        <v>3193</v>
      </c>
      <c r="J5463" s="4">
        <v>17973</v>
      </c>
    </row>
    <row r="5464" spans="1:10" hidden="1" outlineLevel="2" x14ac:dyDescent="0.35">
      <c r="A5464" t="s">
        <v>3115</v>
      </c>
      <c r="B5464" s="1">
        <v>45719</v>
      </c>
      <c r="C5464" t="str">
        <f>"772"</f>
        <v>772</v>
      </c>
      <c r="D5464" t="s">
        <v>3196</v>
      </c>
      <c r="E5464" t="str">
        <f>"181233"</f>
        <v>181233</v>
      </c>
      <c r="F5464" t="str">
        <f t="shared" si="197"/>
        <v>60440000</v>
      </c>
      <c r="G5464" t="str">
        <f t="shared" si="198"/>
        <v>60440001</v>
      </c>
      <c r="H5464" t="s">
        <v>3197</v>
      </c>
      <c r="J5464" s="4">
        <v>17973</v>
      </c>
    </row>
    <row r="5465" spans="1:10" hidden="1" outlineLevel="2" x14ac:dyDescent="0.35">
      <c r="A5465" t="s">
        <v>3115</v>
      </c>
      <c r="B5465" s="1">
        <v>45719</v>
      </c>
      <c r="C5465" t="str">
        <f>"775"</f>
        <v>775</v>
      </c>
      <c r="D5465" t="s">
        <v>3202</v>
      </c>
      <c r="E5465" t="str">
        <f>"181189"</f>
        <v>181189</v>
      </c>
      <c r="F5465" t="str">
        <f t="shared" si="197"/>
        <v>60440000</v>
      </c>
      <c r="G5465" t="str">
        <f t="shared" si="198"/>
        <v>60440001</v>
      </c>
      <c r="H5465" t="s">
        <v>3203</v>
      </c>
      <c r="J5465" s="4">
        <v>181701</v>
      </c>
    </row>
    <row r="5466" spans="1:10" hidden="1" outlineLevel="2" x14ac:dyDescent="0.35">
      <c r="A5466" t="s">
        <v>3115</v>
      </c>
      <c r="B5466" s="1">
        <v>45719</v>
      </c>
      <c r="C5466" t="str">
        <f>"777"</f>
        <v>777</v>
      </c>
      <c r="D5466" t="s">
        <v>3206</v>
      </c>
      <c r="E5466" t="str">
        <f>"181183"</f>
        <v>181183</v>
      </c>
      <c r="F5466" t="str">
        <f t="shared" si="197"/>
        <v>60440000</v>
      </c>
      <c r="G5466" t="str">
        <f t="shared" si="198"/>
        <v>60440001</v>
      </c>
      <c r="H5466" t="s">
        <v>3207</v>
      </c>
      <c r="J5466" s="4">
        <v>181701</v>
      </c>
    </row>
    <row r="5467" spans="1:10" hidden="1" outlineLevel="2" x14ac:dyDescent="0.35">
      <c r="A5467" t="s">
        <v>3115</v>
      </c>
      <c r="B5467" s="1">
        <v>45719</v>
      </c>
      <c r="C5467" t="str">
        <f>"778"</f>
        <v>778</v>
      </c>
      <c r="D5467" t="s">
        <v>3208</v>
      </c>
      <c r="E5467" t="str">
        <f>"181199"</f>
        <v>181199</v>
      </c>
      <c r="F5467" t="str">
        <f t="shared" si="197"/>
        <v>60440000</v>
      </c>
      <c r="G5467" t="str">
        <f t="shared" si="198"/>
        <v>60440001</v>
      </c>
      <c r="H5467" t="s">
        <v>3209</v>
      </c>
      <c r="J5467" s="4">
        <v>17973</v>
      </c>
    </row>
    <row r="5468" spans="1:10" hidden="1" outlineLevel="2" x14ac:dyDescent="0.35">
      <c r="A5468" t="s">
        <v>3115</v>
      </c>
      <c r="B5468" s="1">
        <v>45719</v>
      </c>
      <c r="C5468" t="str">
        <f>"779"</f>
        <v>779</v>
      </c>
      <c r="D5468" t="s">
        <v>3210</v>
      </c>
      <c r="E5468" t="str">
        <f>"181193"</f>
        <v>181193</v>
      </c>
      <c r="F5468" t="str">
        <f t="shared" si="197"/>
        <v>60440000</v>
      </c>
      <c r="G5468" t="str">
        <f t="shared" si="198"/>
        <v>60440001</v>
      </c>
      <c r="H5468" t="s">
        <v>3211</v>
      </c>
      <c r="J5468" s="4">
        <v>12988</v>
      </c>
    </row>
    <row r="5469" spans="1:10" hidden="1" outlineLevel="2" x14ac:dyDescent="0.35">
      <c r="A5469" t="s">
        <v>3115</v>
      </c>
      <c r="B5469" s="1">
        <v>45719</v>
      </c>
      <c r="C5469" t="str">
        <f>"780"</f>
        <v>780</v>
      </c>
      <c r="D5469" t="s">
        <v>3212</v>
      </c>
      <c r="E5469" t="str">
        <f>"181192"</f>
        <v>181192</v>
      </c>
      <c r="F5469" t="str">
        <f t="shared" si="197"/>
        <v>60440000</v>
      </c>
      <c r="G5469" t="str">
        <f t="shared" si="198"/>
        <v>60440001</v>
      </c>
      <c r="H5469" t="s">
        <v>3213</v>
      </c>
      <c r="J5469" s="4">
        <v>30961</v>
      </c>
    </row>
    <row r="5470" spans="1:10" hidden="1" outlineLevel="2" x14ac:dyDescent="0.35">
      <c r="A5470" t="s">
        <v>3115</v>
      </c>
      <c r="B5470" s="1">
        <v>45719</v>
      </c>
      <c r="C5470" t="str">
        <f>"781"</f>
        <v>781</v>
      </c>
      <c r="D5470" t="s">
        <v>3214</v>
      </c>
      <c r="E5470" t="str">
        <f>"182015"</f>
        <v>182015</v>
      </c>
      <c r="F5470" t="str">
        <f t="shared" si="197"/>
        <v>60440000</v>
      </c>
      <c r="G5470" t="str">
        <f t="shared" si="198"/>
        <v>60440001</v>
      </c>
      <c r="H5470" t="s">
        <v>3215</v>
      </c>
      <c r="J5470" s="4">
        <v>17974</v>
      </c>
    </row>
    <row r="5471" spans="1:10" hidden="1" outlineLevel="2" x14ac:dyDescent="0.35">
      <c r="A5471" t="s">
        <v>3115</v>
      </c>
      <c r="B5471" s="1">
        <v>45719</v>
      </c>
      <c r="C5471" t="str">
        <f>"782"</f>
        <v>782</v>
      </c>
      <c r="D5471" t="s">
        <v>3216</v>
      </c>
      <c r="E5471" t="str">
        <f>"182073"</f>
        <v>182073</v>
      </c>
      <c r="F5471" t="str">
        <f t="shared" si="197"/>
        <v>60440000</v>
      </c>
      <c r="G5471" t="str">
        <f t="shared" si="198"/>
        <v>60440001</v>
      </c>
      <c r="H5471" t="s">
        <v>3217</v>
      </c>
      <c r="J5471" s="4">
        <v>3477</v>
      </c>
    </row>
    <row r="5472" spans="1:10" hidden="1" outlineLevel="2" x14ac:dyDescent="0.35">
      <c r="A5472" t="s">
        <v>3115</v>
      </c>
      <c r="B5472" s="1">
        <v>45719</v>
      </c>
      <c r="C5472" t="str">
        <f>"784"</f>
        <v>784</v>
      </c>
      <c r="D5472" t="s">
        <v>3220</v>
      </c>
      <c r="E5472" t="str">
        <f>"181235"</f>
        <v>181235</v>
      </c>
      <c r="F5472" t="str">
        <f t="shared" si="197"/>
        <v>60440000</v>
      </c>
      <c r="G5472" t="str">
        <f t="shared" si="198"/>
        <v>60440001</v>
      </c>
      <c r="H5472" t="s">
        <v>3221</v>
      </c>
      <c r="J5472" s="4">
        <v>86390</v>
      </c>
    </row>
    <row r="5473" spans="1:10" hidden="1" outlineLevel="2" x14ac:dyDescent="0.35">
      <c r="A5473" t="s">
        <v>3115</v>
      </c>
      <c r="B5473" s="1">
        <v>45719</v>
      </c>
      <c r="C5473" t="str">
        <f>"785"</f>
        <v>785</v>
      </c>
      <c r="D5473" t="s">
        <v>3222</v>
      </c>
      <c r="E5473" t="str">
        <f>"181837"</f>
        <v>181837</v>
      </c>
      <c r="F5473" t="str">
        <f t="shared" si="197"/>
        <v>60440000</v>
      </c>
      <c r="G5473" t="str">
        <f t="shared" si="198"/>
        <v>60440001</v>
      </c>
      <c r="H5473" t="s">
        <v>3223</v>
      </c>
      <c r="J5473" s="4">
        <v>12464</v>
      </c>
    </row>
    <row r="5474" spans="1:10" hidden="1" outlineLevel="2" x14ac:dyDescent="0.35">
      <c r="A5474" t="s">
        <v>3115</v>
      </c>
      <c r="B5474" s="1">
        <v>45719</v>
      </c>
      <c r="C5474" t="str">
        <f>"786"</f>
        <v>786</v>
      </c>
      <c r="D5474" t="s">
        <v>3224</v>
      </c>
      <c r="E5474" t="str">
        <f>"180947"</f>
        <v>180947</v>
      </c>
      <c r="F5474" t="str">
        <f t="shared" si="197"/>
        <v>60440000</v>
      </c>
      <c r="G5474" t="str">
        <f t="shared" si="198"/>
        <v>60440001</v>
      </c>
      <c r="H5474" t="s">
        <v>3225</v>
      </c>
      <c r="J5474" s="4">
        <v>10000</v>
      </c>
    </row>
    <row r="5475" spans="1:10" hidden="1" outlineLevel="2" x14ac:dyDescent="0.35">
      <c r="A5475" t="s">
        <v>3115</v>
      </c>
      <c r="B5475" s="1">
        <v>45719</v>
      </c>
      <c r="C5475" t="str">
        <f>"788"</f>
        <v>788</v>
      </c>
      <c r="D5475" t="s">
        <v>3228</v>
      </c>
      <c r="E5475" t="str">
        <f>"181236"</f>
        <v>181236</v>
      </c>
      <c r="F5475" t="str">
        <f t="shared" si="197"/>
        <v>60440000</v>
      </c>
      <c r="G5475" t="str">
        <f t="shared" si="198"/>
        <v>60440001</v>
      </c>
      <c r="H5475" t="s">
        <v>3229</v>
      </c>
      <c r="J5475" s="4">
        <v>38439</v>
      </c>
    </row>
    <row r="5476" spans="1:10" hidden="1" outlineLevel="2" x14ac:dyDescent="0.35">
      <c r="A5476" t="s">
        <v>3115</v>
      </c>
      <c r="B5476" s="1">
        <v>45719</v>
      </c>
      <c r="C5476" t="str">
        <f>"793"</f>
        <v>793</v>
      </c>
      <c r="D5476" t="s">
        <v>3238</v>
      </c>
      <c r="E5476" t="str">
        <f>"182495"</f>
        <v>182495</v>
      </c>
      <c r="F5476" t="str">
        <f t="shared" si="197"/>
        <v>60440000</v>
      </c>
      <c r="G5476" t="str">
        <f t="shared" si="198"/>
        <v>60440001</v>
      </c>
      <c r="H5476" t="s">
        <v>3239</v>
      </c>
      <c r="J5476" s="4">
        <v>99968</v>
      </c>
    </row>
    <row r="5477" spans="1:10" hidden="1" outlineLevel="2" x14ac:dyDescent="0.35">
      <c r="A5477" t="s">
        <v>3115</v>
      </c>
      <c r="B5477" s="1">
        <v>45719</v>
      </c>
      <c r="C5477" t="str">
        <f>"794"</f>
        <v>794</v>
      </c>
      <c r="D5477" t="s">
        <v>3240</v>
      </c>
      <c r="E5477" t="str">
        <f>"182496"</f>
        <v>182496</v>
      </c>
      <c r="F5477" t="str">
        <f t="shared" si="197"/>
        <v>60440000</v>
      </c>
      <c r="G5477" t="str">
        <f t="shared" si="198"/>
        <v>60440001</v>
      </c>
      <c r="H5477" t="s">
        <v>3241</v>
      </c>
      <c r="J5477" s="4">
        <v>3149</v>
      </c>
    </row>
    <row r="5478" spans="1:10" hidden="1" outlineLevel="2" x14ac:dyDescent="0.35">
      <c r="A5478" t="s">
        <v>3115</v>
      </c>
      <c r="B5478" s="1">
        <v>45719</v>
      </c>
      <c r="C5478" t="str">
        <f>"796"</f>
        <v>796</v>
      </c>
      <c r="D5478" t="s">
        <v>3244</v>
      </c>
      <c r="E5478" t="str">
        <f>"182497"</f>
        <v>182497</v>
      </c>
      <c r="F5478" t="str">
        <f t="shared" si="197"/>
        <v>60440000</v>
      </c>
      <c r="G5478" t="str">
        <f t="shared" si="198"/>
        <v>60440001</v>
      </c>
      <c r="H5478" t="s">
        <v>3245</v>
      </c>
      <c r="J5478" s="4">
        <v>3477</v>
      </c>
    </row>
    <row r="5479" spans="1:10" hidden="1" outlineLevel="2" x14ac:dyDescent="0.35">
      <c r="A5479" t="s">
        <v>3115</v>
      </c>
      <c r="B5479" s="1">
        <v>45719</v>
      </c>
      <c r="C5479" t="str">
        <f>"804"</f>
        <v>804</v>
      </c>
      <c r="D5479" t="s">
        <v>3260</v>
      </c>
      <c r="E5479" t="str">
        <f>"182490"</f>
        <v>182490</v>
      </c>
      <c r="F5479" t="str">
        <f t="shared" si="197"/>
        <v>60440000</v>
      </c>
      <c r="G5479" t="str">
        <f t="shared" si="198"/>
        <v>60440001</v>
      </c>
      <c r="H5479" t="s">
        <v>3261</v>
      </c>
      <c r="J5479" s="4">
        <v>29387</v>
      </c>
    </row>
    <row r="5480" spans="1:10" hidden="1" outlineLevel="2" x14ac:dyDescent="0.35">
      <c r="A5480" t="s">
        <v>3115</v>
      </c>
      <c r="B5480" s="1">
        <v>45719</v>
      </c>
      <c r="C5480" t="str">
        <f>"805"</f>
        <v>805</v>
      </c>
      <c r="D5480" t="s">
        <v>3262</v>
      </c>
      <c r="E5480" t="str">
        <f>"181187"</f>
        <v>181187</v>
      </c>
      <c r="F5480" t="str">
        <f t="shared" si="197"/>
        <v>60440000</v>
      </c>
      <c r="G5480" t="str">
        <f t="shared" si="198"/>
        <v>60440001</v>
      </c>
      <c r="H5480" t="s">
        <v>3263</v>
      </c>
      <c r="J5480" s="4">
        <v>165696</v>
      </c>
    </row>
    <row r="5481" spans="1:10" hidden="1" outlineLevel="2" x14ac:dyDescent="0.35">
      <c r="A5481" t="s">
        <v>3115</v>
      </c>
      <c r="B5481" s="1">
        <v>45719</v>
      </c>
      <c r="C5481" t="str">
        <f>"811"</f>
        <v>811</v>
      </c>
      <c r="D5481" t="s">
        <v>3274</v>
      </c>
      <c r="E5481" t="str">
        <f>"182493"</f>
        <v>182493</v>
      </c>
      <c r="F5481" t="str">
        <f t="shared" si="197"/>
        <v>60440000</v>
      </c>
      <c r="G5481" t="str">
        <f t="shared" si="198"/>
        <v>60440001</v>
      </c>
      <c r="H5481" t="s">
        <v>3275</v>
      </c>
      <c r="J5481" s="4">
        <v>159791</v>
      </c>
    </row>
    <row r="5482" spans="1:10" hidden="1" outlineLevel="2" x14ac:dyDescent="0.35">
      <c r="A5482" t="s">
        <v>3115</v>
      </c>
      <c r="B5482" s="1">
        <v>45719</v>
      </c>
      <c r="C5482" t="str">
        <f>"813"</f>
        <v>813</v>
      </c>
      <c r="D5482" t="s">
        <v>3278</v>
      </c>
      <c r="E5482" t="str">
        <f>"181186"</f>
        <v>181186</v>
      </c>
      <c r="F5482" t="str">
        <f t="shared" si="197"/>
        <v>60440000</v>
      </c>
      <c r="G5482" t="str">
        <f t="shared" si="198"/>
        <v>60440001</v>
      </c>
      <c r="H5482" t="s">
        <v>3279</v>
      </c>
      <c r="J5482" s="4">
        <v>165696</v>
      </c>
    </row>
    <row r="5483" spans="1:10" hidden="1" outlineLevel="2" x14ac:dyDescent="0.35">
      <c r="A5483" t="s">
        <v>3115</v>
      </c>
      <c r="B5483" s="1">
        <v>45719</v>
      </c>
      <c r="C5483" t="str">
        <f>"818"</f>
        <v>818</v>
      </c>
      <c r="D5483" t="s">
        <v>3288</v>
      </c>
      <c r="E5483" t="str">
        <f>"183502"</f>
        <v>183502</v>
      </c>
      <c r="F5483" t="str">
        <f t="shared" si="197"/>
        <v>60440000</v>
      </c>
      <c r="G5483" t="str">
        <f t="shared" si="198"/>
        <v>60440001</v>
      </c>
      <c r="H5483" t="s">
        <v>3289</v>
      </c>
      <c r="J5483" s="4">
        <v>93802</v>
      </c>
    </row>
    <row r="5484" spans="1:10" hidden="1" outlineLevel="2" x14ac:dyDescent="0.35">
      <c r="A5484" t="s">
        <v>3115</v>
      </c>
      <c r="B5484" s="1">
        <v>45719</v>
      </c>
      <c r="C5484" t="str">
        <f>"820"</f>
        <v>820</v>
      </c>
      <c r="D5484" t="s">
        <v>3292</v>
      </c>
      <c r="E5484" t="str">
        <f>"183501"</f>
        <v>183501</v>
      </c>
      <c r="F5484" t="str">
        <f t="shared" si="197"/>
        <v>60440000</v>
      </c>
      <c r="G5484" t="str">
        <f t="shared" si="198"/>
        <v>60440001</v>
      </c>
      <c r="H5484" t="s">
        <v>3293</v>
      </c>
      <c r="J5484" s="4">
        <v>43950</v>
      </c>
    </row>
    <row r="5485" spans="1:10" hidden="1" outlineLevel="2" x14ac:dyDescent="0.35">
      <c r="A5485" t="s">
        <v>3115</v>
      </c>
      <c r="B5485" s="1">
        <v>45719</v>
      </c>
      <c r="C5485" t="str">
        <f>"821"</f>
        <v>821</v>
      </c>
      <c r="D5485" t="s">
        <v>3294</v>
      </c>
      <c r="E5485" t="str">
        <f>"181918"</f>
        <v>181918</v>
      </c>
      <c r="F5485" t="str">
        <f t="shared" si="197"/>
        <v>60440000</v>
      </c>
      <c r="G5485" t="str">
        <f t="shared" si="198"/>
        <v>60440001</v>
      </c>
      <c r="H5485" t="s">
        <v>3295</v>
      </c>
      <c r="J5485" s="4">
        <v>21580</v>
      </c>
    </row>
    <row r="5486" spans="1:10" hidden="1" outlineLevel="2" x14ac:dyDescent="0.35">
      <c r="A5486" t="s">
        <v>3115</v>
      </c>
      <c r="B5486" s="1">
        <v>45719</v>
      </c>
      <c r="C5486" t="str">
        <f>"822"</f>
        <v>822</v>
      </c>
      <c r="D5486" t="s">
        <v>3296</v>
      </c>
      <c r="E5486" t="str">
        <f>"181919"</f>
        <v>181919</v>
      </c>
      <c r="F5486" t="str">
        <f t="shared" si="197"/>
        <v>60440000</v>
      </c>
      <c r="G5486" t="str">
        <f t="shared" si="198"/>
        <v>60440001</v>
      </c>
      <c r="H5486" t="s">
        <v>3297</v>
      </c>
      <c r="J5486" s="4">
        <v>1050</v>
      </c>
    </row>
    <row r="5487" spans="1:10" hidden="1" outlineLevel="2" x14ac:dyDescent="0.35">
      <c r="A5487" t="s">
        <v>3115</v>
      </c>
      <c r="B5487" s="1">
        <v>45719</v>
      </c>
      <c r="C5487" t="str">
        <f>"823"</f>
        <v>823</v>
      </c>
      <c r="D5487" t="s">
        <v>3298</v>
      </c>
      <c r="E5487" t="str">
        <f>"182317"</f>
        <v>182317</v>
      </c>
      <c r="F5487" t="str">
        <f t="shared" si="197"/>
        <v>60440000</v>
      </c>
      <c r="G5487" t="str">
        <f t="shared" si="198"/>
        <v>60440001</v>
      </c>
      <c r="H5487" t="s">
        <v>3299</v>
      </c>
      <c r="J5487" s="4">
        <v>3153</v>
      </c>
    </row>
    <row r="5488" spans="1:10" hidden="1" outlineLevel="2" x14ac:dyDescent="0.35">
      <c r="A5488" t="s">
        <v>3115</v>
      </c>
      <c r="B5488" s="1">
        <v>45719</v>
      </c>
      <c r="C5488" t="str">
        <f>"825"</f>
        <v>825</v>
      </c>
      <c r="D5488" t="s">
        <v>3302</v>
      </c>
      <c r="E5488" t="str">
        <f>"182315"</f>
        <v>182315</v>
      </c>
      <c r="F5488" t="str">
        <f t="shared" si="197"/>
        <v>60440000</v>
      </c>
      <c r="G5488" t="str">
        <f t="shared" si="198"/>
        <v>60440001</v>
      </c>
      <c r="H5488" t="s">
        <v>3303</v>
      </c>
      <c r="J5488" s="4">
        <v>3411</v>
      </c>
    </row>
    <row r="5489" spans="1:10" hidden="1" outlineLevel="2" x14ac:dyDescent="0.35">
      <c r="A5489" t="s">
        <v>3115</v>
      </c>
      <c r="B5489" s="1">
        <v>45719</v>
      </c>
      <c r="C5489" t="str">
        <f>"827"</f>
        <v>827</v>
      </c>
      <c r="D5489" t="s">
        <v>3306</v>
      </c>
      <c r="E5489" t="str">
        <f>"182316"</f>
        <v>182316</v>
      </c>
      <c r="F5489" t="str">
        <f t="shared" si="197"/>
        <v>60440000</v>
      </c>
      <c r="G5489" t="str">
        <f t="shared" si="198"/>
        <v>60440001</v>
      </c>
      <c r="H5489" t="s">
        <v>3307</v>
      </c>
      <c r="J5489" s="4">
        <v>656</v>
      </c>
    </row>
    <row r="5490" spans="1:10" hidden="1" outlineLevel="2" x14ac:dyDescent="0.35">
      <c r="A5490" t="s">
        <v>3115</v>
      </c>
      <c r="B5490" s="1">
        <v>45719</v>
      </c>
      <c r="C5490" t="str">
        <f>"828"</f>
        <v>828</v>
      </c>
      <c r="D5490" t="s">
        <v>3308</v>
      </c>
      <c r="E5490" t="str">
        <f>"182318"</f>
        <v>182318</v>
      </c>
      <c r="F5490" t="str">
        <f t="shared" si="197"/>
        <v>60440000</v>
      </c>
      <c r="G5490" t="str">
        <f t="shared" si="198"/>
        <v>60440001</v>
      </c>
      <c r="H5490" t="s">
        <v>3309</v>
      </c>
      <c r="J5490" s="4">
        <v>1443</v>
      </c>
    </row>
    <row r="5491" spans="1:10" hidden="1" outlineLevel="2" x14ac:dyDescent="0.35">
      <c r="A5491" t="s">
        <v>3115</v>
      </c>
      <c r="B5491" s="1">
        <v>45719</v>
      </c>
      <c r="C5491" t="str">
        <f>"830"</f>
        <v>830</v>
      </c>
      <c r="D5491" t="s">
        <v>3312</v>
      </c>
      <c r="E5491" t="str">
        <f>"182319"</f>
        <v>182319</v>
      </c>
      <c r="F5491" t="str">
        <f t="shared" si="197"/>
        <v>60440000</v>
      </c>
      <c r="G5491" t="str">
        <f t="shared" si="198"/>
        <v>60440001</v>
      </c>
      <c r="H5491" t="s">
        <v>3313</v>
      </c>
      <c r="J5491" s="4">
        <v>1968</v>
      </c>
    </row>
    <row r="5492" spans="1:10" hidden="1" outlineLevel="2" x14ac:dyDescent="0.35">
      <c r="A5492" t="s">
        <v>3115</v>
      </c>
      <c r="B5492" s="1">
        <v>45719</v>
      </c>
      <c r="C5492" t="str">
        <f>"832"</f>
        <v>832</v>
      </c>
      <c r="D5492" t="s">
        <v>3316</v>
      </c>
      <c r="E5492" t="str">
        <f>"182320"</f>
        <v>182320</v>
      </c>
      <c r="F5492" t="str">
        <f t="shared" si="197"/>
        <v>60440000</v>
      </c>
      <c r="G5492" t="str">
        <f t="shared" si="198"/>
        <v>60440001</v>
      </c>
      <c r="H5492" t="s">
        <v>3317</v>
      </c>
      <c r="J5492" s="4">
        <v>3936</v>
      </c>
    </row>
    <row r="5493" spans="1:10" hidden="1" outlineLevel="2" x14ac:dyDescent="0.35">
      <c r="A5493" t="s">
        <v>3115</v>
      </c>
      <c r="B5493" s="1">
        <v>45720</v>
      </c>
      <c r="C5493" t="str">
        <f>"840"</f>
        <v>840</v>
      </c>
      <c r="D5493" t="s">
        <v>3332</v>
      </c>
      <c r="E5493" t="str">
        <f>"147256"</f>
        <v>147256</v>
      </c>
      <c r="F5493" t="str">
        <f t="shared" si="197"/>
        <v>60440000</v>
      </c>
      <c r="G5493" t="str">
        <f t="shared" si="198"/>
        <v>60440001</v>
      </c>
      <c r="H5493" t="s">
        <v>3333</v>
      </c>
      <c r="J5493" s="4">
        <v>80027</v>
      </c>
    </row>
    <row r="5494" spans="1:10" hidden="1" outlineLevel="2" x14ac:dyDescent="0.35">
      <c r="A5494" t="s">
        <v>3115</v>
      </c>
      <c r="B5494" s="1">
        <v>45720</v>
      </c>
      <c r="C5494" t="str">
        <f>"844"</f>
        <v>844</v>
      </c>
      <c r="D5494" t="s">
        <v>3340</v>
      </c>
      <c r="E5494" t="str">
        <f>"181237"</f>
        <v>181237</v>
      </c>
      <c r="F5494" t="str">
        <f t="shared" si="197"/>
        <v>60440000</v>
      </c>
      <c r="G5494" t="str">
        <f t="shared" si="198"/>
        <v>60440001</v>
      </c>
      <c r="H5494" t="s">
        <v>3341</v>
      </c>
      <c r="J5494" s="4">
        <v>262</v>
      </c>
    </row>
    <row r="5495" spans="1:10" hidden="1" outlineLevel="2" x14ac:dyDescent="0.35">
      <c r="A5495" t="s">
        <v>3115</v>
      </c>
      <c r="B5495" s="1">
        <v>45720</v>
      </c>
      <c r="C5495" t="str">
        <f>"845"</f>
        <v>845</v>
      </c>
      <c r="D5495" t="s">
        <v>3342</v>
      </c>
      <c r="E5495" t="str">
        <f>"183407"</f>
        <v>183407</v>
      </c>
      <c r="F5495" t="str">
        <f t="shared" si="197"/>
        <v>60440000</v>
      </c>
      <c r="G5495" t="str">
        <f t="shared" si="198"/>
        <v>60440001</v>
      </c>
      <c r="H5495" t="s">
        <v>3343</v>
      </c>
      <c r="J5495" s="4">
        <v>17973</v>
      </c>
    </row>
    <row r="5496" spans="1:10" hidden="1" outlineLevel="2" x14ac:dyDescent="0.35">
      <c r="A5496" t="s">
        <v>3115</v>
      </c>
      <c r="B5496" s="1">
        <v>45720</v>
      </c>
      <c r="C5496" t="str">
        <f>"853"</f>
        <v>853</v>
      </c>
      <c r="D5496" t="s">
        <v>3358</v>
      </c>
      <c r="E5496" t="str">
        <f>"162585"</f>
        <v>162585</v>
      </c>
      <c r="F5496" t="str">
        <f t="shared" si="197"/>
        <v>60440000</v>
      </c>
      <c r="G5496" t="str">
        <f t="shared" si="198"/>
        <v>60440001</v>
      </c>
      <c r="H5496" t="s">
        <v>3359</v>
      </c>
      <c r="J5496" s="4">
        <v>1985000</v>
      </c>
    </row>
    <row r="5497" spans="1:10" hidden="1" outlineLevel="2" x14ac:dyDescent="0.35">
      <c r="A5497" t="s">
        <v>3115</v>
      </c>
      <c r="B5497" s="1">
        <v>45720</v>
      </c>
      <c r="C5497" t="str">
        <f>"859"</f>
        <v>859</v>
      </c>
      <c r="D5497" t="s">
        <v>3370</v>
      </c>
      <c r="E5497" t="str">
        <f>"179578"</f>
        <v>179578</v>
      </c>
      <c r="F5497" t="str">
        <f t="shared" si="197"/>
        <v>60440000</v>
      </c>
      <c r="G5497" t="str">
        <f t="shared" si="198"/>
        <v>60440001</v>
      </c>
      <c r="H5497" t="s">
        <v>3371</v>
      </c>
      <c r="J5497" s="4">
        <v>182000</v>
      </c>
    </row>
    <row r="5498" spans="1:10" hidden="1" outlineLevel="2" x14ac:dyDescent="0.35">
      <c r="A5498" t="s">
        <v>3115</v>
      </c>
      <c r="B5498" s="1">
        <v>45720</v>
      </c>
      <c r="C5498" t="str">
        <f>"861"</f>
        <v>861</v>
      </c>
      <c r="D5498" t="s">
        <v>3374</v>
      </c>
      <c r="E5498" t="str">
        <f>"179793"</f>
        <v>179793</v>
      </c>
      <c r="F5498" t="str">
        <f t="shared" si="197"/>
        <v>60440000</v>
      </c>
      <c r="G5498" t="str">
        <f t="shared" si="198"/>
        <v>60440001</v>
      </c>
      <c r="H5498" t="s">
        <v>3375</v>
      </c>
      <c r="J5498" s="4">
        <v>111096</v>
      </c>
    </row>
    <row r="5499" spans="1:10" hidden="1" outlineLevel="2" x14ac:dyDescent="0.35">
      <c r="A5499" t="s">
        <v>3115</v>
      </c>
      <c r="B5499" s="1">
        <v>45720</v>
      </c>
      <c r="C5499" t="str">
        <f>"865"</f>
        <v>865</v>
      </c>
      <c r="D5499" t="s">
        <v>3382</v>
      </c>
      <c r="E5499" t="str">
        <f>"181888"</f>
        <v>181888</v>
      </c>
      <c r="F5499" t="str">
        <f t="shared" si="197"/>
        <v>60440000</v>
      </c>
      <c r="G5499" t="str">
        <f t="shared" si="198"/>
        <v>60440001</v>
      </c>
      <c r="H5499" t="s">
        <v>3383</v>
      </c>
      <c r="J5499" s="4">
        <v>143000</v>
      </c>
    </row>
    <row r="5500" spans="1:10" hidden="1" outlineLevel="2" x14ac:dyDescent="0.35">
      <c r="A5500" t="s">
        <v>3115</v>
      </c>
      <c r="B5500" s="1">
        <v>45720</v>
      </c>
      <c r="C5500" t="str">
        <f>"866"</f>
        <v>866</v>
      </c>
      <c r="D5500" t="s">
        <v>3384</v>
      </c>
      <c r="E5500" t="str">
        <f>"181994"</f>
        <v>181994</v>
      </c>
      <c r="F5500" t="str">
        <f t="shared" si="197"/>
        <v>60440000</v>
      </c>
      <c r="G5500" t="str">
        <f t="shared" si="198"/>
        <v>60440001</v>
      </c>
      <c r="H5500" t="s">
        <v>3385</v>
      </c>
      <c r="J5500" s="4">
        <v>240500</v>
      </c>
    </row>
    <row r="5501" spans="1:10" hidden="1" outlineLevel="2" x14ac:dyDescent="0.35">
      <c r="A5501" t="s">
        <v>3115</v>
      </c>
      <c r="B5501" s="1">
        <v>45720</v>
      </c>
      <c r="C5501" t="str">
        <f>"867"</f>
        <v>867</v>
      </c>
      <c r="D5501" t="s">
        <v>3386</v>
      </c>
      <c r="E5501" t="str">
        <f>"181880"</f>
        <v>181880</v>
      </c>
      <c r="F5501" t="str">
        <f t="shared" si="197"/>
        <v>60440000</v>
      </c>
      <c r="G5501" t="str">
        <f t="shared" si="198"/>
        <v>60440001</v>
      </c>
      <c r="H5501" t="s">
        <v>3387</v>
      </c>
      <c r="J5501" s="4">
        <v>106003</v>
      </c>
    </row>
    <row r="5502" spans="1:10" hidden="1" outlineLevel="2" x14ac:dyDescent="0.35">
      <c r="A5502" t="s">
        <v>3115</v>
      </c>
      <c r="B5502" s="1">
        <v>45720</v>
      </c>
      <c r="C5502" t="str">
        <f>"874"</f>
        <v>874</v>
      </c>
      <c r="D5502" t="s">
        <v>3400</v>
      </c>
      <c r="E5502" t="str">
        <f>"183273"</f>
        <v>183273</v>
      </c>
      <c r="F5502" t="str">
        <f t="shared" si="197"/>
        <v>60440000</v>
      </c>
      <c r="G5502" t="str">
        <f t="shared" si="198"/>
        <v>60440001</v>
      </c>
      <c r="H5502" t="s">
        <v>3401</v>
      </c>
      <c r="J5502" s="4">
        <v>3936</v>
      </c>
    </row>
    <row r="5503" spans="1:10" hidden="1" outlineLevel="2" x14ac:dyDescent="0.35">
      <c r="A5503" t="s">
        <v>3115</v>
      </c>
      <c r="B5503" s="1">
        <v>45720</v>
      </c>
      <c r="C5503" t="str">
        <f>"875"</f>
        <v>875</v>
      </c>
      <c r="D5503" t="s">
        <v>3402</v>
      </c>
      <c r="E5503" t="str">
        <f>"183272"</f>
        <v>183272</v>
      </c>
      <c r="F5503" t="str">
        <f t="shared" si="197"/>
        <v>60440000</v>
      </c>
      <c r="G5503" t="str">
        <f t="shared" si="198"/>
        <v>60440001</v>
      </c>
      <c r="H5503" t="s">
        <v>3403</v>
      </c>
      <c r="J5503" s="4">
        <v>1574</v>
      </c>
    </row>
    <row r="5504" spans="1:10" hidden="1" outlineLevel="2" x14ac:dyDescent="0.35">
      <c r="A5504" t="s">
        <v>3115</v>
      </c>
      <c r="B5504" s="1">
        <v>45720</v>
      </c>
      <c r="C5504" t="str">
        <f>"876"</f>
        <v>876</v>
      </c>
      <c r="D5504" t="s">
        <v>3404</v>
      </c>
      <c r="E5504" t="str">
        <f>"183269"</f>
        <v>183269</v>
      </c>
      <c r="F5504" t="str">
        <f t="shared" si="197"/>
        <v>60440000</v>
      </c>
      <c r="G5504" t="str">
        <f t="shared" si="198"/>
        <v>60440001</v>
      </c>
      <c r="H5504" t="s">
        <v>3405</v>
      </c>
      <c r="J5504" s="4">
        <v>2165</v>
      </c>
    </row>
    <row r="5505" spans="1:10" hidden="1" outlineLevel="2" x14ac:dyDescent="0.35">
      <c r="A5505" t="s">
        <v>3115</v>
      </c>
      <c r="B5505" s="1">
        <v>45720</v>
      </c>
      <c r="C5505" t="str">
        <f>"877"</f>
        <v>877</v>
      </c>
      <c r="D5505" t="s">
        <v>3406</v>
      </c>
      <c r="E5505" t="str">
        <f>"181921"</f>
        <v>181921</v>
      </c>
      <c r="F5505" t="str">
        <f t="shared" si="197"/>
        <v>60440000</v>
      </c>
      <c r="G5505" t="str">
        <f t="shared" si="198"/>
        <v>60440001</v>
      </c>
      <c r="H5505" t="s">
        <v>3407</v>
      </c>
      <c r="J5505" s="4">
        <v>8200</v>
      </c>
    </row>
    <row r="5506" spans="1:10" hidden="1" outlineLevel="2" x14ac:dyDescent="0.35">
      <c r="A5506" t="s">
        <v>3115</v>
      </c>
      <c r="B5506" s="1">
        <v>45720</v>
      </c>
      <c r="C5506" t="str">
        <f>"879"</f>
        <v>879</v>
      </c>
      <c r="D5506" t="s">
        <v>3410</v>
      </c>
      <c r="E5506" t="str">
        <f>"177506"</f>
        <v>177506</v>
      </c>
      <c r="F5506" t="str">
        <f t="shared" si="197"/>
        <v>60440000</v>
      </c>
      <c r="G5506" t="str">
        <f t="shared" si="198"/>
        <v>60440001</v>
      </c>
      <c r="H5506" t="s">
        <v>3411</v>
      </c>
      <c r="J5506" s="4">
        <v>3149</v>
      </c>
    </row>
    <row r="5507" spans="1:10" hidden="1" outlineLevel="2" x14ac:dyDescent="0.35">
      <c r="A5507" t="s">
        <v>3115</v>
      </c>
      <c r="B5507" s="1">
        <v>45720</v>
      </c>
      <c r="C5507" t="str">
        <f>"881"</f>
        <v>881</v>
      </c>
      <c r="D5507" t="s">
        <v>3414</v>
      </c>
      <c r="E5507" t="str">
        <f>"182011"</f>
        <v>182011</v>
      </c>
      <c r="F5507" t="str">
        <f t="shared" ref="F5507:F5570" si="199">"60440000"</f>
        <v>60440000</v>
      </c>
      <c r="G5507" t="str">
        <f t="shared" ref="G5507:G5570" si="200">"60440001"</f>
        <v>60440001</v>
      </c>
      <c r="H5507" t="s">
        <v>3415</v>
      </c>
      <c r="J5507" s="4">
        <v>3542</v>
      </c>
    </row>
    <row r="5508" spans="1:10" hidden="1" outlineLevel="2" x14ac:dyDescent="0.35">
      <c r="A5508" t="s">
        <v>3115</v>
      </c>
      <c r="B5508" s="1">
        <v>45720</v>
      </c>
      <c r="C5508" t="str">
        <f>"882"</f>
        <v>882</v>
      </c>
      <c r="D5508" t="s">
        <v>3416</v>
      </c>
      <c r="F5508" t="str">
        <f t="shared" si="199"/>
        <v>60440000</v>
      </c>
      <c r="G5508" t="str">
        <f t="shared" si="200"/>
        <v>60440001</v>
      </c>
      <c r="H5508" t="s">
        <v>3417</v>
      </c>
      <c r="J5508" s="4">
        <v>6954</v>
      </c>
    </row>
    <row r="5509" spans="1:10" hidden="1" outlineLevel="2" x14ac:dyDescent="0.35">
      <c r="A5509" t="s">
        <v>3115</v>
      </c>
      <c r="B5509" s="1">
        <v>45720</v>
      </c>
      <c r="C5509" t="str">
        <f>"884"</f>
        <v>884</v>
      </c>
      <c r="D5509" t="s">
        <v>3420</v>
      </c>
      <c r="E5509" t="str">
        <f>"182012"</f>
        <v>182012</v>
      </c>
      <c r="F5509" t="str">
        <f t="shared" si="199"/>
        <v>60440000</v>
      </c>
      <c r="G5509" t="str">
        <f t="shared" si="200"/>
        <v>60440001</v>
      </c>
      <c r="H5509" t="s">
        <v>3421</v>
      </c>
      <c r="J5509" s="4">
        <v>6035</v>
      </c>
    </row>
    <row r="5510" spans="1:10" hidden="1" outlineLevel="2" x14ac:dyDescent="0.35">
      <c r="A5510" t="s">
        <v>3115</v>
      </c>
      <c r="B5510" s="1">
        <v>45720</v>
      </c>
      <c r="C5510" t="str">
        <f>"885"</f>
        <v>885</v>
      </c>
      <c r="D5510" t="s">
        <v>3422</v>
      </c>
      <c r="E5510" t="str">
        <f>"183274"</f>
        <v>183274</v>
      </c>
      <c r="F5510" t="str">
        <f t="shared" si="199"/>
        <v>60440000</v>
      </c>
      <c r="G5510" t="str">
        <f t="shared" si="200"/>
        <v>60440001</v>
      </c>
      <c r="H5510" t="s">
        <v>3423</v>
      </c>
      <c r="J5510" s="4">
        <v>2230</v>
      </c>
    </row>
    <row r="5511" spans="1:10" hidden="1" outlineLevel="2" x14ac:dyDescent="0.35">
      <c r="A5511" t="s">
        <v>3115</v>
      </c>
      <c r="B5511" s="1">
        <v>45720</v>
      </c>
      <c r="C5511" t="str">
        <f>"887"</f>
        <v>887</v>
      </c>
      <c r="D5511" t="s">
        <v>3426</v>
      </c>
      <c r="E5511" t="str">
        <f>"182013"</f>
        <v>182013</v>
      </c>
      <c r="F5511" t="str">
        <f t="shared" si="199"/>
        <v>60440000</v>
      </c>
      <c r="G5511" t="str">
        <f t="shared" si="200"/>
        <v>60440001</v>
      </c>
      <c r="H5511" t="s">
        <v>3427</v>
      </c>
      <c r="J5511" s="4">
        <v>6035</v>
      </c>
    </row>
    <row r="5512" spans="1:10" hidden="1" outlineLevel="2" x14ac:dyDescent="0.35">
      <c r="A5512" t="s">
        <v>3115</v>
      </c>
      <c r="B5512" s="1">
        <v>45720</v>
      </c>
      <c r="C5512" t="str">
        <f>"888"</f>
        <v>888</v>
      </c>
      <c r="D5512" t="s">
        <v>3428</v>
      </c>
      <c r="E5512" t="str">
        <f>"182014"</f>
        <v>182014</v>
      </c>
      <c r="F5512" t="str">
        <f t="shared" si="199"/>
        <v>60440000</v>
      </c>
      <c r="G5512" t="str">
        <f t="shared" si="200"/>
        <v>60440001</v>
      </c>
      <c r="H5512" t="s">
        <v>3429</v>
      </c>
      <c r="J5512" s="4">
        <v>6035</v>
      </c>
    </row>
    <row r="5513" spans="1:10" hidden="1" outlineLevel="2" x14ac:dyDescent="0.35">
      <c r="A5513" t="s">
        <v>3115</v>
      </c>
      <c r="B5513" s="1">
        <v>45720</v>
      </c>
      <c r="C5513" t="str">
        <f>"889"</f>
        <v>889</v>
      </c>
      <c r="D5513" t="s">
        <v>3430</v>
      </c>
      <c r="E5513" t="str">
        <f>"182323"</f>
        <v>182323</v>
      </c>
      <c r="F5513" t="str">
        <f t="shared" si="199"/>
        <v>60440000</v>
      </c>
      <c r="G5513" t="str">
        <f t="shared" si="200"/>
        <v>60440001</v>
      </c>
      <c r="H5513" t="s">
        <v>3431</v>
      </c>
      <c r="J5513" s="4">
        <v>2465</v>
      </c>
    </row>
    <row r="5514" spans="1:10" hidden="1" outlineLevel="2" x14ac:dyDescent="0.35">
      <c r="A5514" t="s">
        <v>3115</v>
      </c>
      <c r="B5514" s="1">
        <v>45720</v>
      </c>
      <c r="C5514" t="str">
        <f>"891"</f>
        <v>891</v>
      </c>
      <c r="D5514" t="s">
        <v>3434</v>
      </c>
      <c r="E5514" t="str">
        <f>"182016"</f>
        <v>182016</v>
      </c>
      <c r="F5514" t="str">
        <f t="shared" si="199"/>
        <v>60440000</v>
      </c>
      <c r="G5514" t="str">
        <f t="shared" si="200"/>
        <v>60440001</v>
      </c>
      <c r="H5514" t="s">
        <v>3435</v>
      </c>
      <c r="J5514" s="4">
        <v>6035</v>
      </c>
    </row>
    <row r="5515" spans="1:10" hidden="1" outlineLevel="2" x14ac:dyDescent="0.35">
      <c r="A5515" t="s">
        <v>3115</v>
      </c>
      <c r="B5515" s="1">
        <v>45720</v>
      </c>
      <c r="C5515" t="str">
        <f>"893"</f>
        <v>893</v>
      </c>
      <c r="D5515" t="s">
        <v>3438</v>
      </c>
      <c r="E5515" t="str">
        <f>"182324"</f>
        <v>182324</v>
      </c>
      <c r="F5515" t="str">
        <f t="shared" si="199"/>
        <v>60440000</v>
      </c>
      <c r="G5515" t="str">
        <f t="shared" si="200"/>
        <v>60440001</v>
      </c>
      <c r="H5515" t="s">
        <v>3439</v>
      </c>
      <c r="J5515" s="4">
        <v>328</v>
      </c>
    </row>
    <row r="5516" spans="1:10" hidden="1" outlineLevel="2" x14ac:dyDescent="0.35">
      <c r="A5516" t="s">
        <v>3115</v>
      </c>
      <c r="B5516" s="1">
        <v>45720</v>
      </c>
      <c r="C5516" t="str">
        <f>"894"</f>
        <v>894</v>
      </c>
      <c r="D5516" t="s">
        <v>3440</v>
      </c>
      <c r="E5516" t="str">
        <f>"183271"</f>
        <v>183271</v>
      </c>
      <c r="F5516" t="str">
        <f t="shared" si="199"/>
        <v>60440000</v>
      </c>
      <c r="G5516" t="str">
        <f t="shared" si="200"/>
        <v>60440001</v>
      </c>
      <c r="H5516" t="s">
        <v>3441</v>
      </c>
      <c r="J5516" s="4">
        <v>1443</v>
      </c>
    </row>
    <row r="5517" spans="1:10" hidden="1" outlineLevel="2" x14ac:dyDescent="0.35">
      <c r="A5517" t="s">
        <v>3115</v>
      </c>
      <c r="B5517" s="1">
        <v>45720</v>
      </c>
      <c r="C5517" t="str">
        <f>"895"</f>
        <v>895</v>
      </c>
      <c r="D5517" t="s">
        <v>3442</v>
      </c>
      <c r="E5517" t="str">
        <f>"182325"</f>
        <v>182325</v>
      </c>
      <c r="F5517" t="str">
        <f t="shared" si="199"/>
        <v>60440000</v>
      </c>
      <c r="G5517" t="str">
        <f t="shared" si="200"/>
        <v>60440001</v>
      </c>
      <c r="H5517" t="s">
        <v>3443</v>
      </c>
      <c r="J5517" s="4">
        <v>787</v>
      </c>
    </row>
    <row r="5518" spans="1:10" hidden="1" outlineLevel="2" x14ac:dyDescent="0.35">
      <c r="A5518" t="s">
        <v>3115</v>
      </c>
      <c r="B5518" s="1">
        <v>45720</v>
      </c>
      <c r="C5518" t="str">
        <f>"896"</f>
        <v>896</v>
      </c>
      <c r="D5518" t="s">
        <v>3444</v>
      </c>
      <c r="E5518" t="str">
        <f>"183268"</f>
        <v>183268</v>
      </c>
      <c r="F5518" t="str">
        <f t="shared" si="199"/>
        <v>60440000</v>
      </c>
      <c r="G5518" t="str">
        <f t="shared" si="200"/>
        <v>60440001</v>
      </c>
      <c r="H5518" t="s">
        <v>3445</v>
      </c>
      <c r="J5518" s="4">
        <v>7084</v>
      </c>
    </row>
    <row r="5519" spans="1:10" hidden="1" outlineLevel="2" x14ac:dyDescent="0.35">
      <c r="A5519" t="s">
        <v>3115</v>
      </c>
      <c r="B5519" s="1">
        <v>45720</v>
      </c>
      <c r="C5519" t="str">
        <f>"897"</f>
        <v>897</v>
      </c>
      <c r="D5519" t="s">
        <v>3446</v>
      </c>
      <c r="E5519" t="str">
        <f>"182326"</f>
        <v>182326</v>
      </c>
      <c r="F5519" t="str">
        <f t="shared" si="199"/>
        <v>60440000</v>
      </c>
      <c r="G5519" t="str">
        <f t="shared" si="200"/>
        <v>60440001</v>
      </c>
      <c r="H5519" t="s">
        <v>3447</v>
      </c>
      <c r="J5519" s="4">
        <v>984</v>
      </c>
    </row>
    <row r="5520" spans="1:10" hidden="1" outlineLevel="2" x14ac:dyDescent="0.35">
      <c r="A5520" t="s">
        <v>3115</v>
      </c>
      <c r="B5520" s="1">
        <v>45720</v>
      </c>
      <c r="C5520" t="str">
        <f>"898"</f>
        <v>898</v>
      </c>
      <c r="D5520" t="s">
        <v>3448</v>
      </c>
      <c r="E5520" t="str">
        <f>"182327"</f>
        <v>182327</v>
      </c>
      <c r="F5520" t="str">
        <f t="shared" si="199"/>
        <v>60440000</v>
      </c>
      <c r="G5520" t="str">
        <f t="shared" si="200"/>
        <v>60440001</v>
      </c>
      <c r="H5520" t="s">
        <v>3449</v>
      </c>
      <c r="J5520" s="4">
        <v>1968</v>
      </c>
    </row>
    <row r="5521" spans="1:10" hidden="1" outlineLevel="2" x14ac:dyDescent="0.35">
      <c r="A5521" t="s">
        <v>3115</v>
      </c>
      <c r="B5521" s="1">
        <v>45720</v>
      </c>
      <c r="C5521" t="str">
        <f>"900"</f>
        <v>900</v>
      </c>
      <c r="D5521" t="s">
        <v>3452</v>
      </c>
      <c r="E5521" t="str">
        <f>"182328"</f>
        <v>182328</v>
      </c>
      <c r="F5521" t="str">
        <f t="shared" si="199"/>
        <v>60440000</v>
      </c>
      <c r="G5521" t="str">
        <f t="shared" si="200"/>
        <v>60440001</v>
      </c>
      <c r="H5521" t="s">
        <v>3453</v>
      </c>
      <c r="J5521" s="4">
        <v>6035</v>
      </c>
    </row>
    <row r="5522" spans="1:10" hidden="1" outlineLevel="2" x14ac:dyDescent="0.35">
      <c r="A5522" t="s">
        <v>3115</v>
      </c>
      <c r="B5522" s="1">
        <v>45720</v>
      </c>
      <c r="C5522" t="str">
        <f>"901"</f>
        <v>901</v>
      </c>
      <c r="D5522" t="s">
        <v>3454</v>
      </c>
      <c r="E5522" t="str">
        <f>"182329"</f>
        <v>182329</v>
      </c>
      <c r="F5522" t="str">
        <f t="shared" si="199"/>
        <v>60440000</v>
      </c>
      <c r="G5522" t="str">
        <f t="shared" si="200"/>
        <v>60440001</v>
      </c>
      <c r="H5522" t="s">
        <v>3455</v>
      </c>
      <c r="J5522" s="4">
        <v>724</v>
      </c>
    </row>
    <row r="5523" spans="1:10" hidden="1" outlineLevel="2" x14ac:dyDescent="0.35">
      <c r="A5523" t="s">
        <v>3115</v>
      </c>
      <c r="B5523" s="1">
        <v>45720</v>
      </c>
      <c r="C5523" t="str">
        <f>"902"</f>
        <v>902</v>
      </c>
      <c r="D5523" t="s">
        <v>3456</v>
      </c>
      <c r="E5523" t="str">
        <f>"183270"</f>
        <v>183270</v>
      </c>
      <c r="F5523" t="str">
        <f t="shared" si="199"/>
        <v>60440000</v>
      </c>
      <c r="G5523" t="str">
        <f t="shared" si="200"/>
        <v>60440001</v>
      </c>
      <c r="H5523" t="s">
        <v>3457</v>
      </c>
      <c r="J5523" s="4">
        <v>1837</v>
      </c>
    </row>
    <row r="5524" spans="1:10" hidden="1" outlineLevel="2" x14ac:dyDescent="0.35">
      <c r="A5524" t="s">
        <v>3115</v>
      </c>
      <c r="B5524" s="1">
        <v>45720</v>
      </c>
      <c r="C5524" t="str">
        <f>"903"</f>
        <v>903</v>
      </c>
      <c r="D5524" t="s">
        <v>3458</v>
      </c>
      <c r="E5524" t="str">
        <f>"183267"</f>
        <v>183267</v>
      </c>
      <c r="F5524" t="str">
        <f t="shared" si="199"/>
        <v>60440000</v>
      </c>
      <c r="G5524" t="str">
        <f t="shared" si="200"/>
        <v>60440001</v>
      </c>
      <c r="H5524" t="s">
        <v>3459</v>
      </c>
      <c r="J5524" s="4">
        <v>6822</v>
      </c>
    </row>
    <row r="5525" spans="1:10" hidden="1" outlineLevel="2" x14ac:dyDescent="0.35">
      <c r="A5525" t="s">
        <v>3115</v>
      </c>
      <c r="B5525" s="1">
        <v>45720</v>
      </c>
      <c r="C5525" t="str">
        <f>"906"</f>
        <v>906</v>
      </c>
      <c r="D5525" t="s">
        <v>3464</v>
      </c>
      <c r="E5525" t="str">
        <f>"182500"</f>
        <v>182500</v>
      </c>
      <c r="F5525" t="str">
        <f t="shared" si="199"/>
        <v>60440000</v>
      </c>
      <c r="G5525" t="str">
        <f t="shared" si="200"/>
        <v>60440001</v>
      </c>
      <c r="H5525" t="s">
        <v>3465</v>
      </c>
      <c r="J5525" s="4">
        <v>10495</v>
      </c>
    </row>
    <row r="5526" spans="1:10" hidden="1" outlineLevel="2" x14ac:dyDescent="0.35">
      <c r="A5526" t="s">
        <v>3115</v>
      </c>
      <c r="B5526" s="1">
        <v>45720</v>
      </c>
      <c r="C5526" t="str">
        <f>"914"</f>
        <v>914</v>
      </c>
      <c r="D5526" t="s">
        <v>3480</v>
      </c>
      <c r="E5526" t="str">
        <f>"177502"</f>
        <v>177502</v>
      </c>
      <c r="F5526" t="str">
        <f t="shared" si="199"/>
        <v>60440000</v>
      </c>
      <c r="G5526" t="str">
        <f t="shared" si="200"/>
        <v>60440001</v>
      </c>
      <c r="H5526" t="s">
        <v>3481</v>
      </c>
      <c r="J5526" s="4">
        <v>9380</v>
      </c>
    </row>
    <row r="5527" spans="1:10" hidden="1" outlineLevel="2" x14ac:dyDescent="0.35">
      <c r="A5527" t="s">
        <v>3115</v>
      </c>
      <c r="B5527" s="1">
        <v>45720</v>
      </c>
      <c r="C5527" t="str">
        <f>"915"</f>
        <v>915</v>
      </c>
      <c r="D5527" t="s">
        <v>3482</v>
      </c>
      <c r="E5527" t="str">
        <f>"181239"</f>
        <v>181239</v>
      </c>
      <c r="F5527" t="str">
        <f t="shared" si="199"/>
        <v>60440000</v>
      </c>
      <c r="G5527" t="str">
        <f t="shared" si="200"/>
        <v>60440001</v>
      </c>
      <c r="H5527" t="s">
        <v>3483</v>
      </c>
      <c r="J5527" s="4">
        <v>99968</v>
      </c>
    </row>
    <row r="5528" spans="1:10" hidden="1" outlineLevel="2" x14ac:dyDescent="0.35">
      <c r="A5528" t="s">
        <v>3115</v>
      </c>
      <c r="B5528" s="1">
        <v>45720</v>
      </c>
      <c r="C5528" t="str">
        <f>"918"</f>
        <v>918</v>
      </c>
      <c r="D5528" t="s">
        <v>3488</v>
      </c>
      <c r="E5528" t="str">
        <f>"181238"</f>
        <v>181238</v>
      </c>
      <c r="F5528" t="str">
        <f t="shared" si="199"/>
        <v>60440000</v>
      </c>
      <c r="G5528" t="str">
        <f t="shared" si="200"/>
        <v>60440001</v>
      </c>
      <c r="H5528" t="s">
        <v>3489</v>
      </c>
      <c r="J5528" s="4">
        <v>49984</v>
      </c>
    </row>
    <row r="5529" spans="1:10" hidden="1" outlineLevel="2" x14ac:dyDescent="0.35">
      <c r="A5529" t="s">
        <v>3115</v>
      </c>
      <c r="B5529" s="1">
        <v>45720</v>
      </c>
      <c r="C5529" t="str">
        <f>"919"</f>
        <v>919</v>
      </c>
      <c r="D5529" t="s">
        <v>3490</v>
      </c>
      <c r="E5529" t="str">
        <f>"177504"</f>
        <v>177504</v>
      </c>
      <c r="F5529" t="str">
        <f t="shared" si="199"/>
        <v>60440000</v>
      </c>
      <c r="G5529" t="str">
        <f t="shared" si="200"/>
        <v>60440001</v>
      </c>
      <c r="H5529" t="s">
        <v>3491</v>
      </c>
      <c r="J5529" s="4">
        <v>122270</v>
      </c>
    </row>
    <row r="5530" spans="1:10" hidden="1" outlineLevel="2" x14ac:dyDescent="0.35">
      <c r="A5530" t="s">
        <v>3115</v>
      </c>
      <c r="B5530" s="1">
        <v>45720</v>
      </c>
      <c r="C5530" t="str">
        <f>"923"</f>
        <v>923</v>
      </c>
      <c r="D5530" t="s">
        <v>3498</v>
      </c>
      <c r="E5530" t="str">
        <f>"182322"</f>
        <v>182322</v>
      </c>
      <c r="F5530" t="str">
        <f t="shared" si="199"/>
        <v>60440000</v>
      </c>
      <c r="G5530" t="str">
        <f t="shared" si="200"/>
        <v>60440001</v>
      </c>
      <c r="H5530" t="s">
        <v>3499</v>
      </c>
      <c r="J5530" s="4">
        <v>3936</v>
      </c>
    </row>
    <row r="5531" spans="1:10" hidden="1" outlineLevel="2" x14ac:dyDescent="0.35">
      <c r="A5531" t="s">
        <v>3115</v>
      </c>
      <c r="B5531" s="1">
        <v>45721</v>
      </c>
      <c r="C5531" t="str">
        <f>"927"</f>
        <v>927</v>
      </c>
      <c r="D5531" t="s">
        <v>3506</v>
      </c>
      <c r="E5531" t="str">
        <f>"147260"</f>
        <v>147260</v>
      </c>
      <c r="F5531" t="str">
        <f t="shared" si="199"/>
        <v>60440000</v>
      </c>
      <c r="G5531" t="str">
        <f t="shared" si="200"/>
        <v>60440001</v>
      </c>
      <c r="H5531" t="s">
        <v>3507</v>
      </c>
      <c r="J5531" s="4">
        <v>787</v>
      </c>
    </row>
    <row r="5532" spans="1:10" hidden="1" outlineLevel="2" x14ac:dyDescent="0.35">
      <c r="A5532" t="s">
        <v>3115</v>
      </c>
      <c r="B5532" s="1">
        <v>45721</v>
      </c>
      <c r="C5532" t="str">
        <f>"928"</f>
        <v>928</v>
      </c>
      <c r="D5532" t="s">
        <v>3508</v>
      </c>
      <c r="E5532" t="str">
        <f>"147206"</f>
        <v>147206</v>
      </c>
      <c r="F5532" t="str">
        <f t="shared" si="199"/>
        <v>60440000</v>
      </c>
      <c r="G5532" t="str">
        <f t="shared" si="200"/>
        <v>60440001</v>
      </c>
      <c r="H5532" t="s">
        <v>3509</v>
      </c>
      <c r="J5532" s="4">
        <v>919</v>
      </c>
    </row>
    <row r="5533" spans="1:10" hidden="1" outlineLevel="2" x14ac:dyDescent="0.35">
      <c r="A5533" t="s">
        <v>3115</v>
      </c>
      <c r="B5533" s="1">
        <v>45721</v>
      </c>
      <c r="C5533" t="str">
        <f>"929"</f>
        <v>929</v>
      </c>
      <c r="D5533" t="s">
        <v>3510</v>
      </c>
      <c r="E5533" t="str">
        <f>"147259"</f>
        <v>147259</v>
      </c>
      <c r="F5533" t="str">
        <f t="shared" si="199"/>
        <v>60440000</v>
      </c>
      <c r="G5533" t="str">
        <f t="shared" si="200"/>
        <v>60440001</v>
      </c>
      <c r="H5533" t="s">
        <v>3511</v>
      </c>
      <c r="J5533" s="4">
        <v>65006</v>
      </c>
    </row>
    <row r="5534" spans="1:10" hidden="1" outlineLevel="2" x14ac:dyDescent="0.35">
      <c r="A5534" t="s">
        <v>3115</v>
      </c>
      <c r="B5534" s="1">
        <v>45721</v>
      </c>
      <c r="C5534" t="str">
        <f>"930"</f>
        <v>930</v>
      </c>
      <c r="D5534" t="s">
        <v>3512</v>
      </c>
      <c r="E5534" t="str">
        <f>"183276"</f>
        <v>183276</v>
      </c>
      <c r="F5534" t="str">
        <f t="shared" si="199"/>
        <v>60440000</v>
      </c>
      <c r="G5534" t="str">
        <f t="shared" si="200"/>
        <v>60440001</v>
      </c>
      <c r="H5534" t="s">
        <v>3513</v>
      </c>
      <c r="J5534" s="4">
        <v>2230</v>
      </c>
    </row>
    <row r="5535" spans="1:10" hidden="1" outlineLevel="2" x14ac:dyDescent="0.35">
      <c r="A5535" t="s">
        <v>3115</v>
      </c>
      <c r="B5535" s="1">
        <v>45721</v>
      </c>
      <c r="C5535" t="str">
        <f>"931"</f>
        <v>931</v>
      </c>
      <c r="D5535" t="s">
        <v>3514</v>
      </c>
      <c r="E5535" t="str">
        <f>"183275"</f>
        <v>183275</v>
      </c>
      <c r="F5535" t="str">
        <f t="shared" si="199"/>
        <v>60440000</v>
      </c>
      <c r="G5535" t="str">
        <f t="shared" si="200"/>
        <v>60440001</v>
      </c>
      <c r="H5535" t="s">
        <v>3515</v>
      </c>
      <c r="J5535" s="4">
        <v>2230</v>
      </c>
    </row>
    <row r="5536" spans="1:10" hidden="1" outlineLevel="2" x14ac:dyDescent="0.35">
      <c r="A5536" t="s">
        <v>3115</v>
      </c>
      <c r="B5536" s="1">
        <v>45721</v>
      </c>
      <c r="C5536" t="str">
        <f>"932"</f>
        <v>932</v>
      </c>
      <c r="D5536" t="s">
        <v>3516</v>
      </c>
      <c r="E5536" t="str">
        <f>"183279"</f>
        <v>183279</v>
      </c>
      <c r="F5536" t="str">
        <f t="shared" si="199"/>
        <v>60440000</v>
      </c>
      <c r="G5536" t="str">
        <f t="shared" si="200"/>
        <v>60440001</v>
      </c>
      <c r="H5536" t="s">
        <v>3517</v>
      </c>
      <c r="J5536" s="4">
        <v>1312</v>
      </c>
    </row>
    <row r="5537" spans="1:10" hidden="1" outlineLevel="2" x14ac:dyDescent="0.35">
      <c r="A5537" t="s">
        <v>3115</v>
      </c>
      <c r="B5537" s="1">
        <v>45721</v>
      </c>
      <c r="C5537" t="str">
        <f>"934"</f>
        <v>934</v>
      </c>
      <c r="D5537" t="s">
        <v>3520</v>
      </c>
      <c r="E5537" t="str">
        <f>"183278"</f>
        <v>183278</v>
      </c>
      <c r="F5537" t="str">
        <f t="shared" si="199"/>
        <v>60440000</v>
      </c>
      <c r="G5537" t="str">
        <f t="shared" si="200"/>
        <v>60440001</v>
      </c>
      <c r="H5537" t="s">
        <v>3521</v>
      </c>
      <c r="J5537" s="4">
        <v>11021</v>
      </c>
    </row>
    <row r="5538" spans="1:10" hidden="1" outlineLevel="2" x14ac:dyDescent="0.35">
      <c r="A5538" t="s">
        <v>3115</v>
      </c>
      <c r="B5538" s="1">
        <v>45721</v>
      </c>
      <c r="C5538" t="str">
        <f>"936"</f>
        <v>936</v>
      </c>
      <c r="D5538" t="s">
        <v>3524</v>
      </c>
      <c r="E5538" t="str">
        <f>"183503"</f>
        <v>183503</v>
      </c>
      <c r="F5538" t="str">
        <f t="shared" si="199"/>
        <v>60440000</v>
      </c>
      <c r="G5538" t="str">
        <f t="shared" si="200"/>
        <v>60440001</v>
      </c>
      <c r="H5538" t="s">
        <v>3525</v>
      </c>
      <c r="J5538" s="4">
        <v>62054</v>
      </c>
    </row>
    <row r="5539" spans="1:10" hidden="1" outlineLevel="2" x14ac:dyDescent="0.35">
      <c r="A5539" t="s">
        <v>3115</v>
      </c>
      <c r="B5539" s="1">
        <v>45721</v>
      </c>
      <c r="C5539" t="str">
        <f>"937"</f>
        <v>937</v>
      </c>
      <c r="D5539" t="s">
        <v>3526</v>
      </c>
      <c r="E5539" t="str">
        <f>"181175"</f>
        <v>181175</v>
      </c>
      <c r="F5539" t="str">
        <f t="shared" si="199"/>
        <v>60440000</v>
      </c>
      <c r="G5539" t="str">
        <f t="shared" si="200"/>
        <v>60440001</v>
      </c>
      <c r="H5539" t="s">
        <v>3527</v>
      </c>
      <c r="J5539" s="4">
        <v>40801</v>
      </c>
    </row>
    <row r="5540" spans="1:10" hidden="1" outlineLevel="2" x14ac:dyDescent="0.35">
      <c r="A5540" t="s">
        <v>3115</v>
      </c>
      <c r="B5540" s="1">
        <v>45721</v>
      </c>
      <c r="C5540" t="str">
        <f>"945"</f>
        <v>945</v>
      </c>
      <c r="D5540" t="s">
        <v>3542</v>
      </c>
      <c r="E5540" t="str">
        <f>"182330"</f>
        <v>182330</v>
      </c>
      <c r="F5540" t="str">
        <f t="shared" si="199"/>
        <v>60440000</v>
      </c>
      <c r="G5540" t="str">
        <f t="shared" si="200"/>
        <v>60440001</v>
      </c>
      <c r="H5540" t="s">
        <v>3543</v>
      </c>
      <c r="J5540" s="4">
        <v>24336</v>
      </c>
    </row>
    <row r="5541" spans="1:10" hidden="1" outlineLevel="2" x14ac:dyDescent="0.35">
      <c r="A5541" t="s">
        <v>3115</v>
      </c>
      <c r="B5541" s="1">
        <v>45721</v>
      </c>
      <c r="C5541" t="str">
        <f>"947"</f>
        <v>947</v>
      </c>
      <c r="D5541" t="s">
        <v>3546</v>
      </c>
      <c r="E5541" t="str">
        <f>"182331"</f>
        <v>182331</v>
      </c>
      <c r="F5541" t="str">
        <f t="shared" si="199"/>
        <v>60440000</v>
      </c>
      <c r="G5541" t="str">
        <f t="shared" si="200"/>
        <v>60440001</v>
      </c>
      <c r="H5541" t="s">
        <v>3547</v>
      </c>
      <c r="J5541" s="4">
        <v>1968</v>
      </c>
    </row>
    <row r="5542" spans="1:10" hidden="1" outlineLevel="2" x14ac:dyDescent="0.35">
      <c r="A5542" t="s">
        <v>3115</v>
      </c>
      <c r="B5542" s="1">
        <v>45721</v>
      </c>
      <c r="C5542" t="str">
        <f>"948"</f>
        <v>948</v>
      </c>
      <c r="D5542" t="s">
        <v>3548</v>
      </c>
      <c r="E5542" t="str">
        <f>"182332"</f>
        <v>182332</v>
      </c>
      <c r="F5542" t="str">
        <f t="shared" si="199"/>
        <v>60440000</v>
      </c>
      <c r="G5542" t="str">
        <f t="shared" si="200"/>
        <v>60440001</v>
      </c>
      <c r="H5542" t="s">
        <v>3549</v>
      </c>
      <c r="J5542" s="4">
        <v>394</v>
      </c>
    </row>
    <row r="5543" spans="1:10" hidden="1" outlineLevel="2" x14ac:dyDescent="0.35">
      <c r="A5543" t="s">
        <v>3115</v>
      </c>
      <c r="B5543" s="1">
        <v>45721</v>
      </c>
      <c r="C5543" t="str">
        <f>"949"</f>
        <v>949</v>
      </c>
      <c r="D5543" t="s">
        <v>3550</v>
      </c>
      <c r="E5543" t="str">
        <f>"182333"</f>
        <v>182333</v>
      </c>
      <c r="F5543" t="str">
        <f t="shared" si="199"/>
        <v>60440000</v>
      </c>
      <c r="G5543" t="str">
        <f t="shared" si="200"/>
        <v>60440001</v>
      </c>
      <c r="H5543" t="s">
        <v>3551</v>
      </c>
      <c r="J5543" s="4">
        <v>787</v>
      </c>
    </row>
    <row r="5544" spans="1:10" hidden="1" outlineLevel="2" x14ac:dyDescent="0.35">
      <c r="A5544" t="s">
        <v>3115</v>
      </c>
      <c r="B5544" s="1">
        <v>45721</v>
      </c>
      <c r="C5544" t="str">
        <f>"951"</f>
        <v>951</v>
      </c>
      <c r="D5544" t="s">
        <v>3554</v>
      </c>
      <c r="E5544" t="str">
        <f>"182334"</f>
        <v>182334</v>
      </c>
      <c r="F5544" t="str">
        <f t="shared" si="199"/>
        <v>60440000</v>
      </c>
      <c r="G5544" t="str">
        <f t="shared" si="200"/>
        <v>60440001</v>
      </c>
      <c r="H5544" t="s">
        <v>3555</v>
      </c>
      <c r="J5544" s="4">
        <v>2755</v>
      </c>
    </row>
    <row r="5545" spans="1:10" hidden="1" outlineLevel="2" x14ac:dyDescent="0.35">
      <c r="A5545" t="s">
        <v>3115</v>
      </c>
      <c r="B5545" s="1">
        <v>45721</v>
      </c>
      <c r="C5545" t="str">
        <f>"952"</f>
        <v>952</v>
      </c>
      <c r="D5545" t="s">
        <v>3556</v>
      </c>
      <c r="E5545" t="str">
        <f>"182335"</f>
        <v>182335</v>
      </c>
      <c r="F5545" t="str">
        <f t="shared" si="199"/>
        <v>60440000</v>
      </c>
      <c r="G5545" t="str">
        <f t="shared" si="200"/>
        <v>60440001</v>
      </c>
      <c r="H5545" t="s">
        <v>3557</v>
      </c>
      <c r="J5545" s="4">
        <v>1181</v>
      </c>
    </row>
    <row r="5546" spans="1:10" hidden="1" outlineLevel="2" x14ac:dyDescent="0.35">
      <c r="A5546" t="s">
        <v>3115</v>
      </c>
      <c r="B5546" s="1">
        <v>45721</v>
      </c>
      <c r="C5546" t="str">
        <f>"953"</f>
        <v>953</v>
      </c>
      <c r="D5546" t="s">
        <v>3558</v>
      </c>
      <c r="E5546" t="str">
        <f>"177512"</f>
        <v>177512</v>
      </c>
      <c r="F5546" t="str">
        <f t="shared" si="199"/>
        <v>60440000</v>
      </c>
      <c r="G5546" t="str">
        <f t="shared" si="200"/>
        <v>60440001</v>
      </c>
      <c r="H5546" t="s">
        <v>3559</v>
      </c>
      <c r="J5546" s="4">
        <v>13972</v>
      </c>
    </row>
    <row r="5547" spans="1:10" hidden="1" outlineLevel="2" x14ac:dyDescent="0.35">
      <c r="A5547" t="s">
        <v>3115</v>
      </c>
      <c r="B5547" s="1">
        <v>45721</v>
      </c>
      <c r="C5547" t="str">
        <f>"955"</f>
        <v>955</v>
      </c>
      <c r="D5547" t="s">
        <v>3562</v>
      </c>
      <c r="E5547" t="str">
        <f>"177514"</f>
        <v>177514</v>
      </c>
      <c r="F5547" t="str">
        <f t="shared" si="199"/>
        <v>60440000</v>
      </c>
      <c r="G5547" t="str">
        <f t="shared" si="200"/>
        <v>60440001</v>
      </c>
      <c r="H5547" t="s">
        <v>3563</v>
      </c>
      <c r="J5547" s="4">
        <v>99968</v>
      </c>
    </row>
    <row r="5548" spans="1:10" hidden="1" outlineLevel="2" x14ac:dyDescent="0.35">
      <c r="A5548" t="s">
        <v>3115</v>
      </c>
      <c r="B5548" s="1">
        <v>45721</v>
      </c>
      <c r="C5548" t="str">
        <f>"959"</f>
        <v>959</v>
      </c>
      <c r="D5548" t="s">
        <v>3570</v>
      </c>
      <c r="E5548" t="str">
        <f>"177515"</f>
        <v>177515</v>
      </c>
      <c r="F5548" t="str">
        <f t="shared" si="199"/>
        <v>60440000</v>
      </c>
      <c r="G5548" t="str">
        <f t="shared" si="200"/>
        <v>60440001</v>
      </c>
      <c r="H5548" t="s">
        <v>3571</v>
      </c>
      <c r="J5548" s="4">
        <v>19941</v>
      </c>
    </row>
    <row r="5549" spans="1:10" hidden="1" outlineLevel="2" x14ac:dyDescent="0.35">
      <c r="A5549" t="s">
        <v>3115</v>
      </c>
      <c r="B5549" s="1">
        <v>45721</v>
      </c>
      <c r="C5549" t="str">
        <f>"961"</f>
        <v>961</v>
      </c>
      <c r="D5549" t="s">
        <v>3574</v>
      </c>
      <c r="E5549" t="str">
        <f>"177517"</f>
        <v>177517</v>
      </c>
      <c r="F5549" t="str">
        <f t="shared" si="199"/>
        <v>60440000</v>
      </c>
      <c r="G5549" t="str">
        <f t="shared" si="200"/>
        <v>60440001</v>
      </c>
      <c r="H5549" t="s">
        <v>3575</v>
      </c>
      <c r="J5549" s="4">
        <v>200002</v>
      </c>
    </row>
    <row r="5550" spans="1:10" hidden="1" outlineLevel="2" x14ac:dyDescent="0.35">
      <c r="A5550" t="s">
        <v>3115</v>
      </c>
      <c r="B5550" s="1">
        <v>45721</v>
      </c>
      <c r="C5550" t="str">
        <f>"964"</f>
        <v>964</v>
      </c>
      <c r="D5550" t="s">
        <v>3580</v>
      </c>
      <c r="E5550" t="str">
        <f>"182078"</f>
        <v>182078</v>
      </c>
      <c r="F5550" t="str">
        <f t="shared" si="199"/>
        <v>60440000</v>
      </c>
      <c r="G5550" t="str">
        <f t="shared" si="200"/>
        <v>60440001</v>
      </c>
      <c r="H5550" t="s">
        <v>3581</v>
      </c>
      <c r="J5550" s="4">
        <v>6000</v>
      </c>
    </row>
    <row r="5551" spans="1:10" hidden="1" outlineLevel="2" x14ac:dyDescent="0.35">
      <c r="A5551" t="s">
        <v>3115</v>
      </c>
      <c r="B5551" s="1">
        <v>45721</v>
      </c>
      <c r="C5551" t="str">
        <f>"970"</f>
        <v>970</v>
      </c>
      <c r="D5551" t="s">
        <v>3592</v>
      </c>
      <c r="E5551" t="str">
        <f>"182079"</f>
        <v>182079</v>
      </c>
      <c r="F5551" t="str">
        <f t="shared" si="199"/>
        <v>60440000</v>
      </c>
      <c r="G5551" t="str">
        <f t="shared" si="200"/>
        <v>60440001</v>
      </c>
      <c r="H5551" t="s">
        <v>3593</v>
      </c>
      <c r="J5551" s="4">
        <v>21122</v>
      </c>
    </row>
    <row r="5552" spans="1:10" hidden="1" outlineLevel="2" x14ac:dyDescent="0.35">
      <c r="A5552" t="s">
        <v>3115</v>
      </c>
      <c r="B5552" s="1">
        <v>45721</v>
      </c>
      <c r="C5552" t="str">
        <f>"973"</f>
        <v>973</v>
      </c>
      <c r="D5552" t="s">
        <v>3598</v>
      </c>
      <c r="E5552" t="str">
        <f>"183280"</f>
        <v>183280</v>
      </c>
      <c r="F5552" t="str">
        <f t="shared" si="199"/>
        <v>60440000</v>
      </c>
      <c r="G5552" t="str">
        <f t="shared" si="200"/>
        <v>60440001</v>
      </c>
      <c r="H5552" t="s">
        <v>3599</v>
      </c>
      <c r="J5552" s="4">
        <v>15285</v>
      </c>
    </row>
    <row r="5553" spans="1:10" hidden="1" outlineLevel="2" x14ac:dyDescent="0.35">
      <c r="A5553" t="s">
        <v>3115</v>
      </c>
      <c r="B5553" s="1">
        <v>45722</v>
      </c>
      <c r="C5553" t="str">
        <f>"975"</f>
        <v>975</v>
      </c>
      <c r="D5553" t="s">
        <v>3602</v>
      </c>
      <c r="E5553" t="str">
        <f>"147261"</f>
        <v>147261</v>
      </c>
      <c r="F5553" t="str">
        <f t="shared" si="199"/>
        <v>60440000</v>
      </c>
      <c r="G5553" t="str">
        <f t="shared" si="200"/>
        <v>60440001</v>
      </c>
      <c r="H5553" t="s">
        <v>3603</v>
      </c>
      <c r="J5553" s="4">
        <v>74976</v>
      </c>
    </row>
    <row r="5554" spans="1:10" hidden="1" outlineLevel="2" x14ac:dyDescent="0.35">
      <c r="A5554" t="s">
        <v>3115</v>
      </c>
      <c r="B5554" s="1">
        <v>45722</v>
      </c>
      <c r="C5554" t="str">
        <f>"977"</f>
        <v>977</v>
      </c>
      <c r="D5554" t="s">
        <v>3606</v>
      </c>
      <c r="E5554" t="str">
        <f>"178443"</f>
        <v>178443</v>
      </c>
      <c r="F5554" t="str">
        <f t="shared" si="199"/>
        <v>60440000</v>
      </c>
      <c r="G5554" t="str">
        <f t="shared" si="200"/>
        <v>60440001</v>
      </c>
      <c r="H5554" t="s">
        <v>3607</v>
      </c>
      <c r="J5554" s="4">
        <v>106462</v>
      </c>
    </row>
    <row r="5555" spans="1:10" hidden="1" outlineLevel="2" x14ac:dyDescent="0.35">
      <c r="A5555" t="s">
        <v>3115</v>
      </c>
      <c r="B5555" s="1">
        <v>45722</v>
      </c>
      <c r="C5555" t="str">
        <f>"978"</f>
        <v>978</v>
      </c>
      <c r="D5555" t="s">
        <v>3608</v>
      </c>
      <c r="E5555" t="str">
        <f>"178439"</f>
        <v>178439</v>
      </c>
      <c r="F5555" t="str">
        <f t="shared" si="199"/>
        <v>60440000</v>
      </c>
      <c r="G5555" t="str">
        <f t="shared" si="200"/>
        <v>60440001</v>
      </c>
      <c r="H5555" t="s">
        <v>3609</v>
      </c>
      <c r="J5555" s="4">
        <v>36204</v>
      </c>
    </row>
    <row r="5556" spans="1:10" hidden="1" outlineLevel="2" x14ac:dyDescent="0.35">
      <c r="A5556" t="s">
        <v>3115</v>
      </c>
      <c r="B5556" s="1">
        <v>45722</v>
      </c>
      <c r="C5556" t="str">
        <f>"986"</f>
        <v>986</v>
      </c>
      <c r="D5556" t="s">
        <v>3624</v>
      </c>
      <c r="E5556" t="str">
        <f>"183281"</f>
        <v>183281</v>
      </c>
      <c r="F5556" t="str">
        <f t="shared" si="199"/>
        <v>60440000</v>
      </c>
      <c r="G5556" t="str">
        <f t="shared" si="200"/>
        <v>60440001</v>
      </c>
      <c r="H5556" t="s">
        <v>3625</v>
      </c>
      <c r="J5556" s="4">
        <v>2952</v>
      </c>
    </row>
    <row r="5557" spans="1:10" hidden="1" outlineLevel="2" x14ac:dyDescent="0.35">
      <c r="A5557" t="s">
        <v>3115</v>
      </c>
      <c r="B5557" s="1">
        <v>45722</v>
      </c>
      <c r="C5557" t="str">
        <f>"987"</f>
        <v>987</v>
      </c>
      <c r="D5557" t="s">
        <v>3626</v>
      </c>
      <c r="E5557" t="str">
        <f>"183282"</f>
        <v>183282</v>
      </c>
      <c r="F5557" t="str">
        <f t="shared" si="199"/>
        <v>60440000</v>
      </c>
      <c r="G5557" t="str">
        <f t="shared" si="200"/>
        <v>60440001</v>
      </c>
      <c r="H5557" t="s">
        <v>3627</v>
      </c>
      <c r="J5557" s="4">
        <v>26567</v>
      </c>
    </row>
    <row r="5558" spans="1:10" hidden="1" outlineLevel="2" x14ac:dyDescent="0.35">
      <c r="A5558" t="s">
        <v>3115</v>
      </c>
      <c r="B5558" s="1">
        <v>45722</v>
      </c>
      <c r="C5558" t="str">
        <f>"989"</f>
        <v>989</v>
      </c>
      <c r="D5558" t="s">
        <v>3630</v>
      </c>
      <c r="E5558" t="str">
        <f>"177521"</f>
        <v>177521</v>
      </c>
      <c r="F5558" t="str">
        <f t="shared" si="199"/>
        <v>60440000</v>
      </c>
      <c r="G5558" t="str">
        <f t="shared" si="200"/>
        <v>60440001</v>
      </c>
      <c r="H5558" t="s">
        <v>3631</v>
      </c>
      <c r="J5558" s="4">
        <v>122270</v>
      </c>
    </row>
    <row r="5559" spans="1:10" hidden="1" outlineLevel="2" x14ac:dyDescent="0.35">
      <c r="A5559" t="s">
        <v>3115</v>
      </c>
      <c r="B5559" s="1">
        <v>45722</v>
      </c>
      <c r="C5559" t="str">
        <f>"996"</f>
        <v>996</v>
      </c>
      <c r="D5559" t="s">
        <v>3644</v>
      </c>
      <c r="E5559" t="str">
        <f>"177518"</f>
        <v>177518</v>
      </c>
      <c r="F5559" t="str">
        <f t="shared" si="199"/>
        <v>60440000</v>
      </c>
      <c r="G5559" t="str">
        <f t="shared" si="200"/>
        <v>60440001</v>
      </c>
      <c r="H5559" t="s">
        <v>3645</v>
      </c>
      <c r="J5559" s="4">
        <v>189310</v>
      </c>
    </row>
    <row r="5560" spans="1:10" hidden="1" outlineLevel="2" x14ac:dyDescent="0.35">
      <c r="A5560" t="s">
        <v>3115</v>
      </c>
      <c r="B5560" s="1">
        <v>45722</v>
      </c>
      <c r="C5560" t="str">
        <f>"998"</f>
        <v>998</v>
      </c>
      <c r="D5560" t="s">
        <v>3648</v>
      </c>
      <c r="E5560" t="str">
        <f>"177519"</f>
        <v>177519</v>
      </c>
      <c r="F5560" t="str">
        <f t="shared" si="199"/>
        <v>60440000</v>
      </c>
      <c r="G5560" t="str">
        <f t="shared" si="200"/>
        <v>60440001</v>
      </c>
      <c r="H5560" t="s">
        <v>3649</v>
      </c>
      <c r="J5560" s="4">
        <v>15941</v>
      </c>
    </row>
    <row r="5561" spans="1:10" hidden="1" outlineLevel="2" x14ac:dyDescent="0.35">
      <c r="A5561" t="s">
        <v>3115</v>
      </c>
      <c r="B5561" s="1">
        <v>45722</v>
      </c>
      <c r="C5561" t="str">
        <f>"999"</f>
        <v>999</v>
      </c>
      <c r="D5561" t="s">
        <v>3650</v>
      </c>
      <c r="E5561" t="str">
        <f>"177520"</f>
        <v>177520</v>
      </c>
      <c r="F5561" t="str">
        <f t="shared" si="199"/>
        <v>60440000</v>
      </c>
      <c r="G5561" t="str">
        <f t="shared" si="200"/>
        <v>60440001</v>
      </c>
      <c r="H5561" t="s">
        <v>3651</v>
      </c>
      <c r="J5561" s="4">
        <v>2886</v>
      </c>
    </row>
    <row r="5562" spans="1:10" hidden="1" outlineLevel="2" x14ac:dyDescent="0.35">
      <c r="A5562" t="s">
        <v>3115</v>
      </c>
      <c r="B5562" s="1">
        <v>45722</v>
      </c>
      <c r="C5562" t="str">
        <f>"1002"</f>
        <v>1002</v>
      </c>
      <c r="D5562" t="s">
        <v>3656</v>
      </c>
      <c r="E5562" t="str">
        <f>"180358"</f>
        <v>180358</v>
      </c>
      <c r="F5562" t="str">
        <f t="shared" si="199"/>
        <v>60440000</v>
      </c>
      <c r="G5562" t="str">
        <f t="shared" si="200"/>
        <v>60440001</v>
      </c>
      <c r="H5562" t="s">
        <v>3657</v>
      </c>
      <c r="J5562" s="4">
        <v>250000</v>
      </c>
    </row>
    <row r="5563" spans="1:10" hidden="1" outlineLevel="2" x14ac:dyDescent="0.35">
      <c r="A5563" t="s">
        <v>3115</v>
      </c>
      <c r="B5563" s="1">
        <v>45722</v>
      </c>
      <c r="C5563" t="str">
        <f>"1003"</f>
        <v>1003</v>
      </c>
      <c r="D5563" t="s">
        <v>3658</v>
      </c>
      <c r="E5563" t="str">
        <f>"180361"</f>
        <v>180361</v>
      </c>
      <c r="F5563" t="str">
        <f t="shared" si="199"/>
        <v>60440000</v>
      </c>
      <c r="G5563" t="str">
        <f t="shared" si="200"/>
        <v>60440001</v>
      </c>
      <c r="H5563" t="s">
        <v>3659</v>
      </c>
      <c r="J5563" s="4">
        <v>250000</v>
      </c>
    </row>
    <row r="5564" spans="1:10" hidden="1" outlineLevel="2" x14ac:dyDescent="0.35">
      <c r="A5564" t="s">
        <v>3115</v>
      </c>
      <c r="B5564" s="1">
        <v>45722</v>
      </c>
      <c r="C5564" t="str">
        <f>"1005"</f>
        <v>1005</v>
      </c>
      <c r="D5564" t="s">
        <v>3662</v>
      </c>
      <c r="E5564" t="str">
        <f>"177672"</f>
        <v>177672</v>
      </c>
      <c r="F5564" t="str">
        <f t="shared" si="199"/>
        <v>60440000</v>
      </c>
      <c r="G5564" t="str">
        <f t="shared" si="200"/>
        <v>60440001</v>
      </c>
      <c r="H5564" t="s">
        <v>3663</v>
      </c>
      <c r="J5564" s="4">
        <v>200002</v>
      </c>
    </row>
    <row r="5565" spans="1:10" hidden="1" outlineLevel="2" x14ac:dyDescent="0.35">
      <c r="A5565" t="s">
        <v>3115</v>
      </c>
      <c r="B5565" s="1">
        <v>45722</v>
      </c>
      <c r="C5565" t="str">
        <f>"1007"</f>
        <v>1007</v>
      </c>
      <c r="D5565" t="s">
        <v>3666</v>
      </c>
      <c r="E5565" t="str">
        <f>"181922"</f>
        <v>181922</v>
      </c>
      <c r="F5565" t="str">
        <f t="shared" si="199"/>
        <v>60440000</v>
      </c>
      <c r="G5565" t="str">
        <f t="shared" si="200"/>
        <v>60440001</v>
      </c>
      <c r="H5565" t="s">
        <v>3667</v>
      </c>
      <c r="J5565" s="4">
        <v>11677</v>
      </c>
    </row>
    <row r="5566" spans="1:10" hidden="1" outlineLevel="2" x14ac:dyDescent="0.35">
      <c r="A5566" t="s">
        <v>3115</v>
      </c>
      <c r="B5566" s="1">
        <v>45722</v>
      </c>
      <c r="C5566" t="str">
        <f>"1008"</f>
        <v>1008</v>
      </c>
      <c r="D5566" t="s">
        <v>3668</v>
      </c>
      <c r="E5566" t="str">
        <f>"183284"</f>
        <v>183284</v>
      </c>
      <c r="F5566" t="str">
        <f t="shared" si="199"/>
        <v>60440000</v>
      </c>
      <c r="G5566" t="str">
        <f t="shared" si="200"/>
        <v>60440001</v>
      </c>
      <c r="H5566" t="s">
        <v>3669</v>
      </c>
      <c r="J5566" s="4">
        <v>1837</v>
      </c>
    </row>
    <row r="5567" spans="1:10" hidden="1" outlineLevel="2" x14ac:dyDescent="0.35">
      <c r="A5567" t="s">
        <v>3115</v>
      </c>
      <c r="B5567" s="1">
        <v>45722</v>
      </c>
      <c r="C5567" t="str">
        <f>"1009"</f>
        <v>1009</v>
      </c>
      <c r="D5567" t="s">
        <v>3670</v>
      </c>
      <c r="E5567" t="str">
        <f>"183286"</f>
        <v>183286</v>
      </c>
      <c r="F5567" t="str">
        <f t="shared" si="199"/>
        <v>60440000</v>
      </c>
      <c r="G5567" t="str">
        <f t="shared" si="200"/>
        <v>60440001</v>
      </c>
      <c r="H5567" t="s">
        <v>3671</v>
      </c>
      <c r="J5567" s="4">
        <v>4002</v>
      </c>
    </row>
    <row r="5568" spans="1:10" hidden="1" outlineLevel="2" x14ac:dyDescent="0.35">
      <c r="A5568" t="s">
        <v>3115</v>
      </c>
      <c r="B5568" s="1">
        <v>45722</v>
      </c>
      <c r="C5568" t="str">
        <f>"1010"</f>
        <v>1010</v>
      </c>
      <c r="D5568" t="s">
        <v>3672</v>
      </c>
      <c r="E5568" t="str">
        <f>"183285"</f>
        <v>183285</v>
      </c>
      <c r="F5568" t="str">
        <f t="shared" si="199"/>
        <v>60440000</v>
      </c>
      <c r="G5568" t="str">
        <f t="shared" si="200"/>
        <v>60440001</v>
      </c>
      <c r="H5568" t="s">
        <v>3673</v>
      </c>
      <c r="J5568" s="4">
        <v>6166</v>
      </c>
    </row>
    <row r="5569" spans="1:10" hidden="1" outlineLevel="2" x14ac:dyDescent="0.35">
      <c r="A5569" t="s">
        <v>3115</v>
      </c>
      <c r="B5569" s="1">
        <v>45723</v>
      </c>
      <c r="C5569" t="str">
        <f>"1012"</f>
        <v>1012</v>
      </c>
      <c r="D5569" t="s">
        <v>3676</v>
      </c>
      <c r="E5569" t="str">
        <f>"179553"</f>
        <v>179553</v>
      </c>
      <c r="F5569" t="str">
        <f t="shared" si="199"/>
        <v>60440000</v>
      </c>
      <c r="G5569" t="str">
        <f t="shared" si="200"/>
        <v>60440001</v>
      </c>
      <c r="H5569" t="s">
        <v>3677</v>
      </c>
      <c r="J5569" s="4">
        <v>11539</v>
      </c>
    </row>
    <row r="5570" spans="1:10" hidden="1" outlineLevel="2" x14ac:dyDescent="0.35">
      <c r="A5570" t="s">
        <v>3115</v>
      </c>
      <c r="B5570" s="1">
        <v>45723</v>
      </c>
      <c r="C5570" t="str">
        <f>"1014"</f>
        <v>1014</v>
      </c>
      <c r="D5570" t="s">
        <v>3680</v>
      </c>
      <c r="E5570" t="str">
        <f>"182066"</f>
        <v>182066</v>
      </c>
      <c r="F5570" t="str">
        <f t="shared" si="199"/>
        <v>60440000</v>
      </c>
      <c r="G5570" t="str">
        <f t="shared" si="200"/>
        <v>60440001</v>
      </c>
      <c r="H5570" t="s">
        <v>3681</v>
      </c>
      <c r="J5570" s="4">
        <v>8000</v>
      </c>
    </row>
    <row r="5571" spans="1:10" hidden="1" outlineLevel="2" x14ac:dyDescent="0.35">
      <c r="A5571" t="s">
        <v>3115</v>
      </c>
      <c r="B5571" s="1">
        <v>45723</v>
      </c>
      <c r="C5571" t="str">
        <f>"1015"</f>
        <v>1015</v>
      </c>
      <c r="D5571" t="s">
        <v>3682</v>
      </c>
      <c r="E5571" t="str">
        <f>"180943"</f>
        <v>180943</v>
      </c>
      <c r="F5571" t="str">
        <f t="shared" ref="F5571:F5634" si="201">"60440000"</f>
        <v>60440000</v>
      </c>
      <c r="G5571" t="str">
        <f t="shared" ref="G5571:G5634" si="202">"60440001"</f>
        <v>60440001</v>
      </c>
      <c r="H5571" t="s">
        <v>3683</v>
      </c>
      <c r="J5571" s="4">
        <v>45000</v>
      </c>
    </row>
    <row r="5572" spans="1:10" hidden="1" outlineLevel="2" x14ac:dyDescent="0.35">
      <c r="A5572" t="s">
        <v>3115</v>
      </c>
      <c r="B5572" s="1">
        <v>45723</v>
      </c>
      <c r="C5572" t="str">
        <f>"1016"</f>
        <v>1016</v>
      </c>
      <c r="D5572" t="s">
        <v>3684</v>
      </c>
      <c r="E5572" t="str">
        <f>"181975"</f>
        <v>181975</v>
      </c>
      <c r="F5572" t="str">
        <f t="shared" si="201"/>
        <v>60440000</v>
      </c>
      <c r="G5572" t="str">
        <f t="shared" si="202"/>
        <v>60440001</v>
      </c>
      <c r="H5572" t="s">
        <v>3685</v>
      </c>
      <c r="J5572" s="4">
        <v>300000</v>
      </c>
    </row>
    <row r="5573" spans="1:10" hidden="1" outlineLevel="2" x14ac:dyDescent="0.35">
      <c r="A5573" t="s">
        <v>3115</v>
      </c>
      <c r="B5573" s="1">
        <v>45723</v>
      </c>
      <c r="C5573" t="str">
        <f>"1017"</f>
        <v>1017</v>
      </c>
      <c r="D5573" t="s">
        <v>3686</v>
      </c>
      <c r="E5573" t="str">
        <f>"181721"</f>
        <v>181721</v>
      </c>
      <c r="F5573" t="str">
        <f t="shared" si="201"/>
        <v>60440000</v>
      </c>
      <c r="G5573" t="str">
        <f t="shared" si="202"/>
        <v>60440001</v>
      </c>
      <c r="H5573" t="s">
        <v>3687</v>
      </c>
      <c r="J5573" s="4">
        <v>25000</v>
      </c>
    </row>
    <row r="5574" spans="1:10" hidden="1" outlineLevel="2" x14ac:dyDescent="0.35">
      <c r="A5574" t="s">
        <v>3115</v>
      </c>
      <c r="B5574" s="1">
        <v>45723</v>
      </c>
      <c r="C5574" t="str">
        <f>"1018"</f>
        <v>1018</v>
      </c>
      <c r="D5574" t="s">
        <v>3688</v>
      </c>
      <c r="E5574" t="str">
        <f>"180062"</f>
        <v>180062</v>
      </c>
      <c r="F5574" t="str">
        <f t="shared" si="201"/>
        <v>60440000</v>
      </c>
      <c r="G5574" t="str">
        <f t="shared" si="202"/>
        <v>60440001</v>
      </c>
      <c r="H5574" t="s">
        <v>3689</v>
      </c>
      <c r="J5574" s="4">
        <v>150000</v>
      </c>
    </row>
    <row r="5575" spans="1:10" hidden="1" outlineLevel="2" x14ac:dyDescent="0.35">
      <c r="A5575" t="s">
        <v>3115</v>
      </c>
      <c r="B5575" s="1">
        <v>45723</v>
      </c>
      <c r="C5575" t="str">
        <f>"1019"</f>
        <v>1019</v>
      </c>
      <c r="D5575" t="s">
        <v>3690</v>
      </c>
      <c r="E5575" t="str">
        <f>"180139"</f>
        <v>180139</v>
      </c>
      <c r="F5575" t="str">
        <f t="shared" si="201"/>
        <v>60440000</v>
      </c>
      <c r="G5575" t="str">
        <f t="shared" si="202"/>
        <v>60440001</v>
      </c>
      <c r="H5575" t="s">
        <v>3691</v>
      </c>
      <c r="J5575" s="4">
        <v>75000</v>
      </c>
    </row>
    <row r="5576" spans="1:10" hidden="1" outlineLevel="2" x14ac:dyDescent="0.35">
      <c r="A5576" t="s">
        <v>3115</v>
      </c>
      <c r="B5576" s="1">
        <v>45723</v>
      </c>
      <c r="C5576" t="str">
        <f>"1020"</f>
        <v>1020</v>
      </c>
      <c r="D5576" t="s">
        <v>3692</v>
      </c>
      <c r="E5576" t="str">
        <f>"180131"</f>
        <v>180131</v>
      </c>
      <c r="F5576" t="str">
        <f t="shared" si="201"/>
        <v>60440000</v>
      </c>
      <c r="G5576" t="str">
        <f t="shared" si="202"/>
        <v>60440001</v>
      </c>
      <c r="H5576" t="s">
        <v>3693</v>
      </c>
      <c r="J5576" s="4">
        <v>175000</v>
      </c>
    </row>
    <row r="5577" spans="1:10" hidden="1" outlineLevel="2" x14ac:dyDescent="0.35">
      <c r="A5577" t="s">
        <v>3115</v>
      </c>
      <c r="B5577" s="1">
        <v>45723</v>
      </c>
      <c r="C5577" t="str">
        <f>"1022"</f>
        <v>1022</v>
      </c>
      <c r="D5577" t="s">
        <v>3696</v>
      </c>
      <c r="E5577" t="str">
        <f>"147207"</f>
        <v>147207</v>
      </c>
      <c r="F5577" t="str">
        <f t="shared" si="201"/>
        <v>60440000</v>
      </c>
      <c r="G5577" t="str">
        <f t="shared" si="202"/>
        <v>60440001</v>
      </c>
      <c r="H5577" t="s">
        <v>3697</v>
      </c>
      <c r="J5577" s="4">
        <v>60554</v>
      </c>
    </row>
    <row r="5578" spans="1:10" hidden="1" outlineLevel="2" x14ac:dyDescent="0.35">
      <c r="A5578" t="s">
        <v>3115</v>
      </c>
      <c r="B5578" s="1">
        <v>45723</v>
      </c>
      <c r="C5578" t="str">
        <f>"1023"</f>
        <v>1023</v>
      </c>
      <c r="D5578" t="s">
        <v>3698</v>
      </c>
      <c r="E5578" t="str">
        <f>"181811"</f>
        <v>181811</v>
      </c>
      <c r="F5578" t="str">
        <f t="shared" si="201"/>
        <v>60440000</v>
      </c>
      <c r="G5578" t="str">
        <f t="shared" si="202"/>
        <v>60440001</v>
      </c>
      <c r="H5578" t="s">
        <v>3699</v>
      </c>
      <c r="J5578" s="4">
        <v>150000</v>
      </c>
    </row>
    <row r="5579" spans="1:10" hidden="1" outlineLevel="2" x14ac:dyDescent="0.35">
      <c r="A5579" t="s">
        <v>3115</v>
      </c>
      <c r="B5579" s="1">
        <v>45723</v>
      </c>
      <c r="C5579" t="str">
        <f>"1024"</f>
        <v>1024</v>
      </c>
      <c r="D5579" t="s">
        <v>3700</v>
      </c>
      <c r="E5579" t="str">
        <f>"181719"</f>
        <v>181719</v>
      </c>
      <c r="F5579" t="str">
        <f t="shared" si="201"/>
        <v>60440000</v>
      </c>
      <c r="G5579" t="str">
        <f t="shared" si="202"/>
        <v>60440001</v>
      </c>
      <c r="H5579" t="s">
        <v>3701</v>
      </c>
      <c r="J5579" s="4">
        <v>160000</v>
      </c>
    </row>
    <row r="5580" spans="1:10" hidden="1" outlineLevel="2" x14ac:dyDescent="0.35">
      <c r="A5580" t="s">
        <v>3115</v>
      </c>
      <c r="B5580" s="1">
        <v>45723</v>
      </c>
      <c r="C5580" t="str">
        <f>"1025"</f>
        <v>1025</v>
      </c>
      <c r="D5580" t="s">
        <v>3702</v>
      </c>
      <c r="E5580" t="str">
        <f>"179885"</f>
        <v>179885</v>
      </c>
      <c r="F5580" t="str">
        <f t="shared" si="201"/>
        <v>60440000</v>
      </c>
      <c r="G5580" t="str">
        <f t="shared" si="202"/>
        <v>60440001</v>
      </c>
      <c r="H5580" t="s">
        <v>3703</v>
      </c>
      <c r="J5580" s="4">
        <v>65000</v>
      </c>
    </row>
    <row r="5581" spans="1:10" hidden="1" outlineLevel="2" x14ac:dyDescent="0.35">
      <c r="A5581" t="s">
        <v>3115</v>
      </c>
      <c r="B5581" s="1">
        <v>45723</v>
      </c>
      <c r="C5581" t="str">
        <f>"1026"</f>
        <v>1026</v>
      </c>
      <c r="D5581" t="s">
        <v>3704</v>
      </c>
      <c r="E5581" t="str">
        <f>"181868"</f>
        <v>181868</v>
      </c>
      <c r="F5581" t="str">
        <f t="shared" si="201"/>
        <v>60440000</v>
      </c>
      <c r="G5581" t="str">
        <f t="shared" si="202"/>
        <v>60440001</v>
      </c>
      <c r="H5581" t="s">
        <v>3705</v>
      </c>
      <c r="J5581" s="4">
        <v>40000</v>
      </c>
    </row>
    <row r="5582" spans="1:10" hidden="1" outlineLevel="2" x14ac:dyDescent="0.35">
      <c r="A5582" t="s">
        <v>3115</v>
      </c>
      <c r="B5582" s="1">
        <v>45723</v>
      </c>
      <c r="C5582" t="str">
        <f>"1027"</f>
        <v>1027</v>
      </c>
      <c r="D5582" t="s">
        <v>3706</v>
      </c>
      <c r="E5582" t="str">
        <f>"181720"</f>
        <v>181720</v>
      </c>
      <c r="F5582" t="str">
        <f t="shared" si="201"/>
        <v>60440000</v>
      </c>
      <c r="G5582" t="str">
        <f t="shared" si="202"/>
        <v>60440001</v>
      </c>
      <c r="H5582" t="s">
        <v>3707</v>
      </c>
      <c r="J5582" s="4">
        <v>340000</v>
      </c>
    </row>
    <row r="5583" spans="1:10" hidden="1" outlineLevel="2" x14ac:dyDescent="0.35">
      <c r="A5583" t="s">
        <v>3115</v>
      </c>
      <c r="B5583" s="1">
        <v>45723</v>
      </c>
      <c r="C5583" t="str">
        <f>"1028"</f>
        <v>1028</v>
      </c>
      <c r="D5583" t="s">
        <v>3708</v>
      </c>
      <c r="E5583" t="str">
        <f>"180060"</f>
        <v>180060</v>
      </c>
      <c r="F5583" t="str">
        <f t="shared" si="201"/>
        <v>60440000</v>
      </c>
      <c r="G5583" t="str">
        <f t="shared" si="202"/>
        <v>60440001</v>
      </c>
      <c r="H5583" t="s">
        <v>3709</v>
      </c>
      <c r="J5583" s="4">
        <v>320000</v>
      </c>
    </row>
    <row r="5584" spans="1:10" hidden="1" outlineLevel="2" x14ac:dyDescent="0.35">
      <c r="A5584" t="s">
        <v>3115</v>
      </c>
      <c r="B5584" s="1">
        <v>45723</v>
      </c>
      <c r="C5584" t="str">
        <f>"1029"</f>
        <v>1029</v>
      </c>
      <c r="D5584" t="s">
        <v>3710</v>
      </c>
      <c r="E5584" t="str">
        <f>"181182"</f>
        <v>181182</v>
      </c>
      <c r="F5584" t="str">
        <f t="shared" si="201"/>
        <v>60440000</v>
      </c>
      <c r="G5584" t="str">
        <f t="shared" si="202"/>
        <v>60440001</v>
      </c>
      <c r="H5584" t="s">
        <v>3711</v>
      </c>
      <c r="J5584" s="4">
        <v>65000</v>
      </c>
    </row>
    <row r="5585" spans="1:10" hidden="1" outlineLevel="2" x14ac:dyDescent="0.35">
      <c r="A5585" t="s">
        <v>3115</v>
      </c>
      <c r="B5585" s="1">
        <v>45723</v>
      </c>
      <c r="C5585" t="str">
        <f>"1030"</f>
        <v>1030</v>
      </c>
      <c r="D5585" t="s">
        <v>3712</v>
      </c>
      <c r="E5585" t="str">
        <f>"181995"</f>
        <v>181995</v>
      </c>
      <c r="F5585" t="str">
        <f t="shared" si="201"/>
        <v>60440000</v>
      </c>
      <c r="G5585" t="str">
        <f t="shared" si="202"/>
        <v>60440001</v>
      </c>
      <c r="H5585" t="s">
        <v>3713</v>
      </c>
      <c r="J5585" s="4">
        <v>850000</v>
      </c>
    </row>
    <row r="5586" spans="1:10" hidden="1" outlineLevel="2" x14ac:dyDescent="0.35">
      <c r="A5586" t="s">
        <v>3115</v>
      </c>
      <c r="B5586" s="1">
        <v>45723</v>
      </c>
      <c r="C5586" t="str">
        <f>"1031"</f>
        <v>1031</v>
      </c>
      <c r="D5586" t="s">
        <v>3714</v>
      </c>
      <c r="E5586" t="str">
        <f>"181821"</f>
        <v>181821</v>
      </c>
      <c r="F5586" t="str">
        <f t="shared" si="201"/>
        <v>60440000</v>
      </c>
      <c r="G5586" t="str">
        <f t="shared" si="202"/>
        <v>60440001</v>
      </c>
      <c r="H5586" t="s">
        <v>3715</v>
      </c>
      <c r="J5586" s="4">
        <v>190000</v>
      </c>
    </row>
    <row r="5587" spans="1:10" hidden="1" outlineLevel="2" x14ac:dyDescent="0.35">
      <c r="A5587" t="s">
        <v>3115</v>
      </c>
      <c r="B5587" s="1">
        <v>45723</v>
      </c>
      <c r="C5587" t="str">
        <f>"1032"</f>
        <v>1032</v>
      </c>
      <c r="D5587" t="s">
        <v>3716</v>
      </c>
      <c r="E5587" t="str">
        <f>"181990"</f>
        <v>181990</v>
      </c>
      <c r="F5587" t="str">
        <f t="shared" si="201"/>
        <v>60440000</v>
      </c>
      <c r="G5587" t="str">
        <f t="shared" si="202"/>
        <v>60440001</v>
      </c>
      <c r="H5587" t="s">
        <v>3717</v>
      </c>
      <c r="J5587" s="4">
        <v>24000</v>
      </c>
    </row>
    <row r="5588" spans="1:10" hidden="1" outlineLevel="2" x14ac:dyDescent="0.35">
      <c r="A5588" t="s">
        <v>3115</v>
      </c>
      <c r="B5588" s="1">
        <v>45723</v>
      </c>
      <c r="C5588" t="str">
        <f>"1033"</f>
        <v>1033</v>
      </c>
      <c r="D5588" t="s">
        <v>3718</v>
      </c>
      <c r="E5588" t="str">
        <f>"181187"</f>
        <v>181187</v>
      </c>
      <c r="F5588" t="str">
        <f t="shared" si="201"/>
        <v>60440000</v>
      </c>
      <c r="G5588" t="str">
        <f t="shared" si="202"/>
        <v>60440001</v>
      </c>
      <c r="H5588" t="s">
        <v>3719</v>
      </c>
      <c r="J5588" s="4">
        <v>65000</v>
      </c>
    </row>
    <row r="5589" spans="1:10" hidden="1" outlineLevel="2" x14ac:dyDescent="0.35">
      <c r="A5589" t="s">
        <v>3115</v>
      </c>
      <c r="B5589" s="1">
        <v>45723</v>
      </c>
      <c r="C5589" t="str">
        <f>"1034"</f>
        <v>1034</v>
      </c>
      <c r="D5589" t="s">
        <v>3720</v>
      </c>
      <c r="E5589" t="str">
        <f>"181186"</f>
        <v>181186</v>
      </c>
      <c r="F5589" t="str">
        <f t="shared" si="201"/>
        <v>60440000</v>
      </c>
      <c r="G5589" t="str">
        <f t="shared" si="202"/>
        <v>60440001</v>
      </c>
      <c r="H5589" t="s">
        <v>3721</v>
      </c>
      <c r="J5589" s="4">
        <v>65000</v>
      </c>
    </row>
    <row r="5590" spans="1:10" hidden="1" outlineLevel="2" x14ac:dyDescent="0.35">
      <c r="A5590" t="s">
        <v>3115</v>
      </c>
      <c r="B5590" s="1">
        <v>45723</v>
      </c>
      <c r="C5590" t="str">
        <f>"1035"</f>
        <v>1035</v>
      </c>
      <c r="D5590" t="s">
        <v>3722</v>
      </c>
      <c r="E5590" t="str">
        <f>"181183"</f>
        <v>181183</v>
      </c>
      <c r="F5590" t="str">
        <f t="shared" si="201"/>
        <v>60440000</v>
      </c>
      <c r="G5590" t="str">
        <f t="shared" si="202"/>
        <v>60440001</v>
      </c>
      <c r="H5590" t="s">
        <v>3723</v>
      </c>
      <c r="J5590" s="4">
        <v>65000</v>
      </c>
    </row>
    <row r="5591" spans="1:10" hidden="1" outlineLevel="2" x14ac:dyDescent="0.35">
      <c r="A5591" t="s">
        <v>3115</v>
      </c>
      <c r="B5591" s="1">
        <v>45723</v>
      </c>
      <c r="C5591" t="str">
        <f>"1036"</f>
        <v>1036</v>
      </c>
      <c r="D5591" t="s">
        <v>3724</v>
      </c>
      <c r="E5591" t="str">
        <f>"182053"</f>
        <v>182053</v>
      </c>
      <c r="F5591" t="str">
        <f t="shared" si="201"/>
        <v>60440000</v>
      </c>
      <c r="G5591" t="str">
        <f t="shared" si="202"/>
        <v>60440001</v>
      </c>
      <c r="H5591" t="s">
        <v>3725</v>
      </c>
      <c r="J5591" s="4">
        <v>80000</v>
      </c>
    </row>
    <row r="5592" spans="1:10" hidden="1" outlineLevel="2" x14ac:dyDescent="0.35">
      <c r="A5592" t="s">
        <v>3115</v>
      </c>
      <c r="B5592" s="1">
        <v>45723</v>
      </c>
      <c r="C5592" t="str">
        <f>"1037"</f>
        <v>1037</v>
      </c>
      <c r="D5592" t="s">
        <v>3726</v>
      </c>
      <c r="E5592" t="str">
        <f>"181870"</f>
        <v>181870</v>
      </c>
      <c r="F5592" t="str">
        <f t="shared" si="201"/>
        <v>60440000</v>
      </c>
      <c r="G5592" t="str">
        <f t="shared" si="202"/>
        <v>60440001</v>
      </c>
      <c r="H5592" t="s">
        <v>3727</v>
      </c>
      <c r="J5592" s="4">
        <v>60000</v>
      </c>
    </row>
    <row r="5593" spans="1:10" hidden="1" outlineLevel="2" x14ac:dyDescent="0.35">
      <c r="A5593" t="s">
        <v>3115</v>
      </c>
      <c r="B5593" s="1">
        <v>45723</v>
      </c>
      <c r="C5593" t="str">
        <f>"1038"</f>
        <v>1038</v>
      </c>
      <c r="D5593" t="s">
        <v>3728</v>
      </c>
      <c r="E5593" t="str">
        <f>"182058"</f>
        <v>182058</v>
      </c>
      <c r="F5593" t="str">
        <f t="shared" si="201"/>
        <v>60440000</v>
      </c>
      <c r="G5593" t="str">
        <f t="shared" si="202"/>
        <v>60440001</v>
      </c>
      <c r="H5593" t="s">
        <v>3729</v>
      </c>
      <c r="J5593" s="4">
        <v>65000</v>
      </c>
    </row>
    <row r="5594" spans="1:10" hidden="1" outlineLevel="2" x14ac:dyDescent="0.35">
      <c r="A5594" t="s">
        <v>3115</v>
      </c>
      <c r="B5594" s="1">
        <v>45723</v>
      </c>
      <c r="C5594" t="str">
        <f>"1039"</f>
        <v>1039</v>
      </c>
      <c r="D5594" t="s">
        <v>3730</v>
      </c>
      <c r="E5594" t="str">
        <f>"181729"</f>
        <v>181729</v>
      </c>
      <c r="F5594" t="str">
        <f t="shared" si="201"/>
        <v>60440000</v>
      </c>
      <c r="G5594" t="str">
        <f t="shared" si="202"/>
        <v>60440001</v>
      </c>
      <c r="H5594" t="s">
        <v>3731</v>
      </c>
      <c r="J5594" s="4">
        <v>160000</v>
      </c>
    </row>
    <row r="5595" spans="1:10" hidden="1" outlineLevel="2" x14ac:dyDescent="0.35">
      <c r="A5595" t="s">
        <v>3115</v>
      </c>
      <c r="B5595" s="1">
        <v>45723</v>
      </c>
      <c r="C5595" t="str">
        <f>"1040"</f>
        <v>1040</v>
      </c>
      <c r="D5595" t="s">
        <v>3732</v>
      </c>
      <c r="E5595" t="str">
        <f>"181823"</f>
        <v>181823</v>
      </c>
      <c r="F5595" t="str">
        <f t="shared" si="201"/>
        <v>60440000</v>
      </c>
      <c r="G5595" t="str">
        <f t="shared" si="202"/>
        <v>60440001</v>
      </c>
      <c r="H5595" t="s">
        <v>3733</v>
      </c>
      <c r="J5595" s="4">
        <v>80000</v>
      </c>
    </row>
    <row r="5596" spans="1:10" hidden="1" outlineLevel="2" x14ac:dyDescent="0.35">
      <c r="A5596" t="s">
        <v>3115</v>
      </c>
      <c r="B5596" s="1">
        <v>45723</v>
      </c>
      <c r="C5596" t="str">
        <f>"1041"</f>
        <v>1041</v>
      </c>
      <c r="D5596" t="s">
        <v>3734</v>
      </c>
      <c r="E5596" t="str">
        <f>"181822"</f>
        <v>181822</v>
      </c>
      <c r="F5596" t="str">
        <f t="shared" si="201"/>
        <v>60440000</v>
      </c>
      <c r="G5596" t="str">
        <f t="shared" si="202"/>
        <v>60440001</v>
      </c>
      <c r="H5596" t="s">
        <v>3735</v>
      </c>
      <c r="J5596" s="4">
        <v>80000</v>
      </c>
    </row>
    <row r="5597" spans="1:10" hidden="1" outlineLevel="2" x14ac:dyDescent="0.35">
      <c r="A5597" t="s">
        <v>3115</v>
      </c>
      <c r="B5597" s="1">
        <v>45723</v>
      </c>
      <c r="C5597" t="str">
        <f>"1042"</f>
        <v>1042</v>
      </c>
      <c r="D5597" t="s">
        <v>3736</v>
      </c>
      <c r="E5597" t="str">
        <f>"181988"</f>
        <v>181988</v>
      </c>
      <c r="F5597" t="str">
        <f t="shared" si="201"/>
        <v>60440000</v>
      </c>
      <c r="G5597" t="str">
        <f t="shared" si="202"/>
        <v>60440001</v>
      </c>
      <c r="H5597" t="s">
        <v>3737</v>
      </c>
      <c r="J5597" s="4">
        <v>330000</v>
      </c>
    </row>
    <row r="5598" spans="1:10" hidden="1" outlineLevel="2" x14ac:dyDescent="0.35">
      <c r="A5598" t="s">
        <v>3115</v>
      </c>
      <c r="B5598" s="1">
        <v>45723</v>
      </c>
      <c r="C5598" t="str">
        <f>"1043"</f>
        <v>1043</v>
      </c>
      <c r="D5598" t="s">
        <v>3738</v>
      </c>
      <c r="E5598" t="str">
        <f>"181191"</f>
        <v>181191</v>
      </c>
      <c r="F5598" t="str">
        <f t="shared" si="201"/>
        <v>60440000</v>
      </c>
      <c r="G5598" t="str">
        <f t="shared" si="202"/>
        <v>60440001</v>
      </c>
      <c r="H5598" t="s">
        <v>3739</v>
      </c>
      <c r="J5598" s="4">
        <v>135000</v>
      </c>
    </row>
    <row r="5599" spans="1:10" hidden="1" outlineLevel="2" x14ac:dyDescent="0.35">
      <c r="A5599" t="s">
        <v>3115</v>
      </c>
      <c r="B5599" s="1">
        <v>45723</v>
      </c>
      <c r="C5599" t="str">
        <f>"1044"</f>
        <v>1044</v>
      </c>
      <c r="D5599" t="s">
        <v>3740</v>
      </c>
      <c r="E5599" t="str">
        <f>"181190"</f>
        <v>181190</v>
      </c>
      <c r="F5599" t="str">
        <f t="shared" si="201"/>
        <v>60440000</v>
      </c>
      <c r="G5599" t="str">
        <f t="shared" si="202"/>
        <v>60440001</v>
      </c>
      <c r="H5599" t="s">
        <v>3741</v>
      </c>
      <c r="J5599" s="4">
        <v>65000</v>
      </c>
    </row>
    <row r="5600" spans="1:10" hidden="1" outlineLevel="2" x14ac:dyDescent="0.35">
      <c r="A5600" t="s">
        <v>3115</v>
      </c>
      <c r="B5600" s="1">
        <v>45723</v>
      </c>
      <c r="C5600" t="str">
        <f>"1045"</f>
        <v>1045</v>
      </c>
      <c r="D5600" t="s">
        <v>3742</v>
      </c>
      <c r="E5600" t="str">
        <f>"183289"</f>
        <v>183289</v>
      </c>
      <c r="F5600" t="str">
        <f t="shared" si="201"/>
        <v>60440000</v>
      </c>
      <c r="G5600" t="str">
        <f t="shared" si="202"/>
        <v>60440001</v>
      </c>
      <c r="H5600" t="s">
        <v>3743</v>
      </c>
      <c r="J5600" s="4">
        <v>6035</v>
      </c>
    </row>
    <row r="5601" spans="1:10" hidden="1" outlineLevel="2" x14ac:dyDescent="0.35">
      <c r="A5601" t="s">
        <v>3115</v>
      </c>
      <c r="B5601" s="1">
        <v>45723</v>
      </c>
      <c r="C5601" t="str">
        <f>"1046"</f>
        <v>1046</v>
      </c>
      <c r="D5601" t="s">
        <v>3744</v>
      </c>
      <c r="E5601" t="str">
        <f>"183287"</f>
        <v>183287</v>
      </c>
      <c r="F5601" t="str">
        <f t="shared" si="201"/>
        <v>60440000</v>
      </c>
      <c r="G5601" t="str">
        <f t="shared" si="202"/>
        <v>60440001</v>
      </c>
      <c r="H5601" t="s">
        <v>3745</v>
      </c>
      <c r="J5601" s="4">
        <v>4723</v>
      </c>
    </row>
    <row r="5602" spans="1:10" hidden="1" outlineLevel="2" x14ac:dyDescent="0.35">
      <c r="A5602" t="s">
        <v>3115</v>
      </c>
      <c r="B5602" s="1">
        <v>45723</v>
      </c>
      <c r="C5602" t="str">
        <f>"1047"</f>
        <v>1047</v>
      </c>
      <c r="D5602" t="s">
        <v>3746</v>
      </c>
      <c r="E5602" t="str">
        <f>"182136"</f>
        <v>182136</v>
      </c>
      <c r="F5602" t="str">
        <f t="shared" si="201"/>
        <v>60440000</v>
      </c>
      <c r="G5602" t="str">
        <f t="shared" si="202"/>
        <v>60440001</v>
      </c>
      <c r="H5602" t="s">
        <v>3747</v>
      </c>
      <c r="J5602" s="4">
        <v>3739</v>
      </c>
    </row>
    <row r="5603" spans="1:10" hidden="1" outlineLevel="2" x14ac:dyDescent="0.35">
      <c r="A5603" t="s">
        <v>3115</v>
      </c>
      <c r="B5603" s="1">
        <v>45723</v>
      </c>
      <c r="C5603" t="str">
        <f>"1049"</f>
        <v>1049</v>
      </c>
      <c r="D5603" t="s">
        <v>3750</v>
      </c>
      <c r="E5603" t="str">
        <f>"181718"</f>
        <v>181718</v>
      </c>
      <c r="F5603" t="str">
        <f t="shared" si="201"/>
        <v>60440000</v>
      </c>
      <c r="G5603" t="str">
        <f t="shared" si="202"/>
        <v>60440001</v>
      </c>
      <c r="H5603" t="s">
        <v>3751</v>
      </c>
      <c r="J5603" s="4">
        <v>870000</v>
      </c>
    </row>
    <row r="5604" spans="1:10" hidden="1" outlineLevel="2" x14ac:dyDescent="0.35">
      <c r="A5604" t="s">
        <v>3115</v>
      </c>
      <c r="B5604" s="1">
        <v>45723</v>
      </c>
      <c r="C5604" t="str">
        <f>"1050"</f>
        <v>1050</v>
      </c>
      <c r="D5604" t="s">
        <v>3752</v>
      </c>
      <c r="E5604" t="str">
        <f>"181814"</f>
        <v>181814</v>
      </c>
      <c r="F5604" t="str">
        <f t="shared" si="201"/>
        <v>60440000</v>
      </c>
      <c r="G5604" t="str">
        <f t="shared" si="202"/>
        <v>60440001</v>
      </c>
      <c r="H5604" t="s">
        <v>3753</v>
      </c>
      <c r="J5604" s="4">
        <v>175000</v>
      </c>
    </row>
    <row r="5605" spans="1:10" hidden="1" outlineLevel="2" x14ac:dyDescent="0.35">
      <c r="A5605" t="s">
        <v>3115</v>
      </c>
      <c r="B5605" s="1">
        <v>45723</v>
      </c>
      <c r="C5605" t="str">
        <f>"1051"</f>
        <v>1051</v>
      </c>
      <c r="D5605" t="s">
        <v>3754</v>
      </c>
      <c r="E5605" t="str">
        <f>"179880"</f>
        <v>179880</v>
      </c>
      <c r="F5605" t="str">
        <f t="shared" si="201"/>
        <v>60440000</v>
      </c>
      <c r="G5605" t="str">
        <f t="shared" si="202"/>
        <v>60440001</v>
      </c>
      <c r="H5605" t="s">
        <v>3755</v>
      </c>
      <c r="J5605" s="4">
        <v>50000</v>
      </c>
    </row>
    <row r="5606" spans="1:10" hidden="1" outlineLevel="2" x14ac:dyDescent="0.35">
      <c r="A5606" t="s">
        <v>3115</v>
      </c>
      <c r="B5606" s="1">
        <v>45723</v>
      </c>
      <c r="C5606" t="str">
        <f>"1052"</f>
        <v>1052</v>
      </c>
      <c r="D5606" t="s">
        <v>3756</v>
      </c>
      <c r="E5606" t="str">
        <f>"181813"</f>
        <v>181813</v>
      </c>
      <c r="F5606" t="str">
        <f t="shared" si="201"/>
        <v>60440000</v>
      </c>
      <c r="G5606" t="str">
        <f t="shared" si="202"/>
        <v>60440001</v>
      </c>
      <c r="H5606" t="s">
        <v>3757</v>
      </c>
      <c r="J5606" s="4">
        <v>70000</v>
      </c>
    </row>
    <row r="5607" spans="1:10" hidden="1" outlineLevel="2" x14ac:dyDescent="0.35">
      <c r="A5607" t="s">
        <v>3115</v>
      </c>
      <c r="B5607" s="1">
        <v>45723</v>
      </c>
      <c r="C5607" t="str">
        <f>"1053"</f>
        <v>1053</v>
      </c>
      <c r="D5607" t="s">
        <v>3758</v>
      </c>
      <c r="E5607" t="str">
        <f>"182052"</f>
        <v>182052</v>
      </c>
      <c r="F5607" t="str">
        <f t="shared" si="201"/>
        <v>60440000</v>
      </c>
      <c r="G5607" t="str">
        <f t="shared" si="202"/>
        <v>60440001</v>
      </c>
      <c r="H5607" t="s">
        <v>3759</v>
      </c>
      <c r="J5607" s="4">
        <v>30000</v>
      </c>
    </row>
    <row r="5608" spans="1:10" hidden="1" outlineLevel="2" x14ac:dyDescent="0.35">
      <c r="A5608" t="s">
        <v>3115</v>
      </c>
      <c r="B5608" s="1">
        <v>45723</v>
      </c>
      <c r="C5608" t="str">
        <f>"1054"</f>
        <v>1054</v>
      </c>
      <c r="D5608" t="s">
        <v>3760</v>
      </c>
      <c r="E5608" t="str">
        <f>"181723"</f>
        <v>181723</v>
      </c>
      <c r="F5608" t="str">
        <f t="shared" si="201"/>
        <v>60440000</v>
      </c>
      <c r="G5608" t="str">
        <f t="shared" si="202"/>
        <v>60440001</v>
      </c>
      <c r="H5608" t="s">
        <v>3761</v>
      </c>
      <c r="J5608" s="4">
        <v>90000</v>
      </c>
    </row>
    <row r="5609" spans="1:10" hidden="1" outlineLevel="2" x14ac:dyDescent="0.35">
      <c r="A5609" t="s">
        <v>3115</v>
      </c>
      <c r="B5609" s="1">
        <v>45723</v>
      </c>
      <c r="C5609" t="str">
        <f>"1055"</f>
        <v>1055</v>
      </c>
      <c r="D5609" t="s">
        <v>3762</v>
      </c>
      <c r="E5609" t="str">
        <f>"181804"</f>
        <v>181804</v>
      </c>
      <c r="F5609" t="str">
        <f t="shared" si="201"/>
        <v>60440000</v>
      </c>
      <c r="G5609" t="str">
        <f t="shared" si="202"/>
        <v>60440001</v>
      </c>
      <c r="H5609" t="s">
        <v>3763</v>
      </c>
      <c r="J5609" s="4">
        <v>70000</v>
      </c>
    </row>
    <row r="5610" spans="1:10" hidden="1" outlineLevel="2" x14ac:dyDescent="0.35">
      <c r="A5610" t="s">
        <v>3115</v>
      </c>
      <c r="B5610" s="1">
        <v>45723</v>
      </c>
      <c r="C5610" t="str">
        <f>"1056"</f>
        <v>1056</v>
      </c>
      <c r="D5610" t="s">
        <v>3764</v>
      </c>
      <c r="E5610" t="str">
        <f>"181973"</f>
        <v>181973</v>
      </c>
      <c r="F5610" t="str">
        <f t="shared" si="201"/>
        <v>60440000</v>
      </c>
      <c r="G5610" t="str">
        <f t="shared" si="202"/>
        <v>60440001</v>
      </c>
      <c r="H5610" t="s">
        <v>3765</v>
      </c>
      <c r="J5610" s="4">
        <v>45000</v>
      </c>
    </row>
    <row r="5611" spans="1:10" hidden="1" outlineLevel="2" x14ac:dyDescent="0.35">
      <c r="A5611" t="s">
        <v>3115</v>
      </c>
      <c r="B5611" s="1">
        <v>45723</v>
      </c>
      <c r="C5611" t="str">
        <f>"1057"</f>
        <v>1057</v>
      </c>
      <c r="D5611" t="s">
        <v>3766</v>
      </c>
      <c r="E5611" t="str">
        <f>"181722"</f>
        <v>181722</v>
      </c>
      <c r="F5611" t="str">
        <f t="shared" si="201"/>
        <v>60440000</v>
      </c>
      <c r="G5611" t="str">
        <f t="shared" si="202"/>
        <v>60440001</v>
      </c>
      <c r="H5611" t="s">
        <v>3767</v>
      </c>
      <c r="J5611" s="4">
        <v>80000</v>
      </c>
    </row>
    <row r="5612" spans="1:10" hidden="1" outlineLevel="2" x14ac:dyDescent="0.35">
      <c r="A5612" t="s">
        <v>3115</v>
      </c>
      <c r="B5612" s="1">
        <v>45723</v>
      </c>
      <c r="C5612" t="str">
        <f>"1058"</f>
        <v>1058</v>
      </c>
      <c r="D5612" t="s">
        <v>3768</v>
      </c>
      <c r="E5612" t="str">
        <f>"180129"</f>
        <v>180129</v>
      </c>
      <c r="F5612" t="str">
        <f t="shared" si="201"/>
        <v>60440000</v>
      </c>
      <c r="G5612" t="str">
        <f t="shared" si="202"/>
        <v>60440001</v>
      </c>
      <c r="H5612" t="s">
        <v>3769</v>
      </c>
      <c r="J5612" s="4">
        <v>65000</v>
      </c>
    </row>
    <row r="5613" spans="1:10" hidden="1" outlineLevel="2" x14ac:dyDescent="0.35">
      <c r="A5613" t="s">
        <v>3115</v>
      </c>
      <c r="B5613" s="1">
        <v>45723</v>
      </c>
      <c r="C5613" t="str">
        <f>"1059"</f>
        <v>1059</v>
      </c>
      <c r="D5613" t="s">
        <v>3770</v>
      </c>
      <c r="E5613" t="str">
        <f>"180762"</f>
        <v>180762</v>
      </c>
      <c r="F5613" t="str">
        <f t="shared" si="201"/>
        <v>60440000</v>
      </c>
      <c r="G5613" t="str">
        <f t="shared" si="202"/>
        <v>60440001</v>
      </c>
      <c r="H5613" t="s">
        <v>3771</v>
      </c>
      <c r="J5613" s="4">
        <v>185112</v>
      </c>
    </row>
    <row r="5614" spans="1:10" hidden="1" outlineLevel="2" x14ac:dyDescent="0.35">
      <c r="A5614" t="s">
        <v>3115</v>
      </c>
      <c r="B5614" s="1">
        <v>45723</v>
      </c>
      <c r="C5614" t="str">
        <f>"1060"</f>
        <v>1060</v>
      </c>
      <c r="D5614" t="s">
        <v>3772</v>
      </c>
      <c r="E5614" t="str">
        <f>"174446"</f>
        <v>174446</v>
      </c>
      <c r="F5614" t="str">
        <f t="shared" si="201"/>
        <v>60440000</v>
      </c>
      <c r="G5614" t="str">
        <f t="shared" si="202"/>
        <v>60440001</v>
      </c>
      <c r="H5614" t="s">
        <v>3773</v>
      </c>
      <c r="J5614" s="4">
        <v>30000</v>
      </c>
    </row>
    <row r="5615" spans="1:10" hidden="1" outlineLevel="2" x14ac:dyDescent="0.35">
      <c r="A5615" t="s">
        <v>3115</v>
      </c>
      <c r="B5615" s="1">
        <v>45723</v>
      </c>
      <c r="C5615" t="str">
        <f>"1061"</f>
        <v>1061</v>
      </c>
      <c r="D5615" t="s">
        <v>3774</v>
      </c>
      <c r="E5615" t="str">
        <f>"181982"</f>
        <v>181982</v>
      </c>
      <c r="F5615" t="str">
        <f t="shared" si="201"/>
        <v>60440000</v>
      </c>
      <c r="G5615" t="str">
        <f t="shared" si="202"/>
        <v>60440001</v>
      </c>
      <c r="H5615" t="s">
        <v>3775</v>
      </c>
      <c r="J5615" s="4">
        <v>80000</v>
      </c>
    </row>
    <row r="5616" spans="1:10" hidden="1" outlineLevel="2" x14ac:dyDescent="0.35">
      <c r="A5616" t="s">
        <v>3115</v>
      </c>
      <c r="B5616" s="1">
        <v>45723</v>
      </c>
      <c r="C5616" t="str">
        <f>"1062"</f>
        <v>1062</v>
      </c>
      <c r="D5616" t="s">
        <v>3776</v>
      </c>
      <c r="E5616" t="str">
        <f>"182055"</f>
        <v>182055</v>
      </c>
      <c r="F5616" t="str">
        <f t="shared" si="201"/>
        <v>60440000</v>
      </c>
      <c r="G5616" t="str">
        <f t="shared" si="202"/>
        <v>60440001</v>
      </c>
      <c r="H5616" t="s">
        <v>3777</v>
      </c>
      <c r="J5616" s="4">
        <v>65000</v>
      </c>
    </row>
    <row r="5617" spans="1:10" hidden="1" outlineLevel="2" x14ac:dyDescent="0.35">
      <c r="A5617" t="s">
        <v>3115</v>
      </c>
      <c r="B5617" s="1">
        <v>45723</v>
      </c>
      <c r="C5617" t="str">
        <f>"1063"</f>
        <v>1063</v>
      </c>
      <c r="D5617" t="s">
        <v>3778</v>
      </c>
      <c r="E5617" t="str">
        <f>"181189"</f>
        <v>181189</v>
      </c>
      <c r="F5617" t="str">
        <f t="shared" si="201"/>
        <v>60440000</v>
      </c>
      <c r="G5617" t="str">
        <f t="shared" si="202"/>
        <v>60440001</v>
      </c>
      <c r="H5617" t="s">
        <v>3779</v>
      </c>
      <c r="J5617" s="4">
        <v>65000</v>
      </c>
    </row>
    <row r="5618" spans="1:10" hidden="1" outlineLevel="2" x14ac:dyDescent="0.35">
      <c r="A5618" t="s">
        <v>3115</v>
      </c>
      <c r="B5618" s="1">
        <v>45723</v>
      </c>
      <c r="C5618" t="str">
        <f>"1064"</f>
        <v>1064</v>
      </c>
      <c r="D5618" t="s">
        <v>3780</v>
      </c>
      <c r="E5618" t="str">
        <f>"182010"</f>
        <v>182010</v>
      </c>
      <c r="F5618" t="str">
        <f t="shared" si="201"/>
        <v>60440000</v>
      </c>
      <c r="G5618" t="str">
        <f t="shared" si="202"/>
        <v>60440001</v>
      </c>
      <c r="H5618" t="s">
        <v>3781</v>
      </c>
      <c r="J5618" s="4">
        <v>15000</v>
      </c>
    </row>
    <row r="5619" spans="1:10" hidden="1" outlineLevel="2" x14ac:dyDescent="0.35">
      <c r="A5619" t="s">
        <v>3115</v>
      </c>
      <c r="B5619" s="1">
        <v>45723</v>
      </c>
      <c r="C5619" t="str">
        <f>"1066"</f>
        <v>1066</v>
      </c>
      <c r="D5619" t="s">
        <v>3784</v>
      </c>
      <c r="E5619" t="str">
        <f>"182008"</f>
        <v>182008</v>
      </c>
      <c r="F5619" t="str">
        <f t="shared" si="201"/>
        <v>60440000</v>
      </c>
      <c r="G5619" t="str">
        <f t="shared" si="202"/>
        <v>60440001</v>
      </c>
      <c r="H5619" t="s">
        <v>3785</v>
      </c>
      <c r="J5619" s="4">
        <v>15000</v>
      </c>
    </row>
    <row r="5620" spans="1:10" hidden="1" outlineLevel="2" x14ac:dyDescent="0.35">
      <c r="A5620" t="s">
        <v>3115</v>
      </c>
      <c r="B5620" s="1">
        <v>45723</v>
      </c>
      <c r="C5620" t="str">
        <f>"1067"</f>
        <v>1067</v>
      </c>
      <c r="D5620" t="s">
        <v>3786</v>
      </c>
      <c r="E5620" t="str">
        <f>"177525"</f>
        <v>177525</v>
      </c>
      <c r="F5620" t="str">
        <f t="shared" si="201"/>
        <v>60440000</v>
      </c>
      <c r="G5620" t="str">
        <f t="shared" si="202"/>
        <v>60440001</v>
      </c>
      <c r="H5620" t="s">
        <v>3787</v>
      </c>
      <c r="J5620" s="4">
        <v>49984</v>
      </c>
    </row>
    <row r="5621" spans="1:10" hidden="1" outlineLevel="2" x14ac:dyDescent="0.35">
      <c r="A5621" t="s">
        <v>3115</v>
      </c>
      <c r="B5621" s="1">
        <v>45723</v>
      </c>
      <c r="C5621" t="str">
        <f>"1070"</f>
        <v>1070</v>
      </c>
      <c r="D5621" t="s">
        <v>3792</v>
      </c>
      <c r="E5621" t="str">
        <f>"182336"</f>
        <v>182336</v>
      </c>
      <c r="F5621" t="str">
        <f t="shared" si="201"/>
        <v>60440000</v>
      </c>
      <c r="G5621" t="str">
        <f t="shared" si="202"/>
        <v>60440001</v>
      </c>
      <c r="H5621" t="s">
        <v>3793</v>
      </c>
      <c r="J5621" s="4">
        <v>2230</v>
      </c>
    </row>
    <row r="5622" spans="1:10" hidden="1" outlineLevel="2" x14ac:dyDescent="0.35">
      <c r="A5622" t="s">
        <v>3115</v>
      </c>
      <c r="B5622" s="1">
        <v>45723</v>
      </c>
      <c r="C5622" t="str">
        <f>"1071"</f>
        <v>1071</v>
      </c>
      <c r="D5622" t="s">
        <v>3794</v>
      </c>
      <c r="E5622" t="str">
        <f>"182337"</f>
        <v>182337</v>
      </c>
      <c r="F5622" t="str">
        <f t="shared" si="201"/>
        <v>60440000</v>
      </c>
      <c r="G5622" t="str">
        <f t="shared" si="202"/>
        <v>60440001</v>
      </c>
      <c r="H5622" t="s">
        <v>3795</v>
      </c>
      <c r="J5622" s="4">
        <v>590</v>
      </c>
    </row>
    <row r="5623" spans="1:10" hidden="1" outlineLevel="2" x14ac:dyDescent="0.35">
      <c r="A5623" t="s">
        <v>3115</v>
      </c>
      <c r="B5623" s="1">
        <v>45723</v>
      </c>
      <c r="C5623" t="str">
        <f>"1072"</f>
        <v>1072</v>
      </c>
      <c r="D5623" t="s">
        <v>3796</v>
      </c>
      <c r="E5623" t="str">
        <f>"182338"</f>
        <v>182338</v>
      </c>
      <c r="F5623" t="str">
        <f t="shared" si="201"/>
        <v>60440000</v>
      </c>
      <c r="G5623" t="str">
        <f t="shared" si="202"/>
        <v>60440001</v>
      </c>
      <c r="H5623" t="s">
        <v>3797</v>
      </c>
      <c r="J5623" s="4">
        <v>60021</v>
      </c>
    </row>
    <row r="5624" spans="1:10" hidden="1" outlineLevel="2" x14ac:dyDescent="0.35">
      <c r="A5624" t="s">
        <v>3115</v>
      </c>
      <c r="B5624" s="1">
        <v>45723</v>
      </c>
      <c r="C5624" t="str">
        <f>"1073"</f>
        <v>1073</v>
      </c>
      <c r="D5624" t="s">
        <v>3798</v>
      </c>
      <c r="E5624" t="str">
        <f>"181825"</f>
        <v>181825</v>
      </c>
      <c r="F5624" t="str">
        <f t="shared" si="201"/>
        <v>60440000</v>
      </c>
      <c r="G5624" t="str">
        <f t="shared" si="202"/>
        <v>60440001</v>
      </c>
      <c r="H5624" t="s">
        <v>3799</v>
      </c>
      <c r="J5624" s="4">
        <v>300000</v>
      </c>
    </row>
    <row r="5625" spans="1:10" hidden="1" outlineLevel="2" x14ac:dyDescent="0.35">
      <c r="A5625" t="s">
        <v>3115</v>
      </c>
      <c r="B5625" s="1">
        <v>45723</v>
      </c>
      <c r="C5625" t="str">
        <f>"1077"</f>
        <v>1077</v>
      </c>
      <c r="D5625" t="s">
        <v>3806</v>
      </c>
      <c r="E5625" t="str">
        <f>"181997"</f>
        <v>181997</v>
      </c>
      <c r="F5625" t="str">
        <f t="shared" si="201"/>
        <v>60440000</v>
      </c>
      <c r="G5625" t="str">
        <f t="shared" si="202"/>
        <v>60440001</v>
      </c>
      <c r="H5625" t="s">
        <v>3807</v>
      </c>
      <c r="J5625" s="4">
        <v>200000</v>
      </c>
    </row>
    <row r="5626" spans="1:10" hidden="1" outlineLevel="2" x14ac:dyDescent="0.35">
      <c r="A5626" t="s">
        <v>3115</v>
      </c>
      <c r="B5626" s="1">
        <v>45723</v>
      </c>
      <c r="C5626" t="str">
        <f>"1079"</f>
        <v>1079</v>
      </c>
      <c r="D5626" t="s">
        <v>3810</v>
      </c>
      <c r="E5626" t="str">
        <f>"182062"</f>
        <v>182062</v>
      </c>
      <c r="F5626" t="str">
        <f t="shared" si="201"/>
        <v>60440000</v>
      </c>
      <c r="G5626" t="str">
        <f t="shared" si="202"/>
        <v>60440001</v>
      </c>
      <c r="H5626" t="s">
        <v>3811</v>
      </c>
      <c r="J5626" s="4">
        <v>3500</v>
      </c>
    </row>
    <row r="5627" spans="1:10" hidden="1" outlineLevel="2" x14ac:dyDescent="0.35">
      <c r="A5627" t="s">
        <v>3115</v>
      </c>
      <c r="B5627" s="1">
        <v>45723</v>
      </c>
      <c r="C5627" t="str">
        <f>"1081"</f>
        <v>1081</v>
      </c>
      <c r="D5627" t="s">
        <v>3814</v>
      </c>
      <c r="E5627" t="str">
        <f>"180767"</f>
        <v>180767</v>
      </c>
      <c r="F5627" t="str">
        <f t="shared" si="201"/>
        <v>60440000</v>
      </c>
      <c r="G5627" t="str">
        <f t="shared" si="202"/>
        <v>60440001</v>
      </c>
      <c r="H5627" t="s">
        <v>3815</v>
      </c>
      <c r="J5627" s="4">
        <v>270000</v>
      </c>
    </row>
    <row r="5628" spans="1:10" hidden="1" outlineLevel="2" x14ac:dyDescent="0.35">
      <c r="A5628" t="s">
        <v>3115</v>
      </c>
      <c r="B5628" s="1">
        <v>45723</v>
      </c>
      <c r="C5628" t="str">
        <f>"1082"</f>
        <v>1082</v>
      </c>
      <c r="D5628" t="s">
        <v>3816</v>
      </c>
      <c r="E5628" t="str">
        <f>"177528"</f>
        <v>177528</v>
      </c>
      <c r="F5628" t="str">
        <f t="shared" si="201"/>
        <v>60440000</v>
      </c>
      <c r="G5628" t="str">
        <f t="shared" si="202"/>
        <v>60440001</v>
      </c>
      <c r="H5628" t="s">
        <v>3817</v>
      </c>
      <c r="J5628" s="4">
        <v>122270</v>
      </c>
    </row>
    <row r="5629" spans="1:10" hidden="1" outlineLevel="2" x14ac:dyDescent="0.35">
      <c r="A5629" t="s">
        <v>3115</v>
      </c>
      <c r="B5629" s="1">
        <v>45723</v>
      </c>
      <c r="C5629" t="str">
        <f>"1083"</f>
        <v>1083</v>
      </c>
      <c r="D5629" t="s">
        <v>3818</v>
      </c>
      <c r="E5629" t="str">
        <f>"182306"</f>
        <v>182306</v>
      </c>
      <c r="F5629" t="str">
        <f t="shared" si="201"/>
        <v>60440000</v>
      </c>
      <c r="G5629" t="str">
        <f t="shared" si="202"/>
        <v>60440001</v>
      </c>
      <c r="H5629" t="s">
        <v>3819</v>
      </c>
      <c r="J5629" s="4">
        <v>261072</v>
      </c>
    </row>
    <row r="5630" spans="1:10" hidden="1" outlineLevel="2" x14ac:dyDescent="0.35">
      <c r="A5630" t="s">
        <v>3115</v>
      </c>
      <c r="B5630" s="1">
        <v>45723</v>
      </c>
      <c r="C5630" t="str">
        <f>"1084"</f>
        <v>1084</v>
      </c>
      <c r="D5630" t="s">
        <v>3820</v>
      </c>
      <c r="E5630" t="str">
        <f>"180143"</f>
        <v>180143</v>
      </c>
      <c r="F5630" t="str">
        <f t="shared" si="201"/>
        <v>60440000</v>
      </c>
      <c r="G5630" t="str">
        <f t="shared" si="202"/>
        <v>60440001</v>
      </c>
      <c r="H5630" t="s">
        <v>3821</v>
      </c>
      <c r="J5630" s="4">
        <v>1600000</v>
      </c>
    </row>
    <row r="5631" spans="1:10" hidden="1" outlineLevel="2" x14ac:dyDescent="0.35">
      <c r="A5631" t="s">
        <v>3115</v>
      </c>
      <c r="B5631" s="1">
        <v>45723</v>
      </c>
      <c r="C5631" t="str">
        <f>"1086"</f>
        <v>1086</v>
      </c>
      <c r="D5631" t="s">
        <v>3824</v>
      </c>
      <c r="E5631" t="str">
        <f>"182004"</f>
        <v>182004</v>
      </c>
      <c r="F5631" t="str">
        <f t="shared" si="201"/>
        <v>60440000</v>
      </c>
      <c r="G5631" t="str">
        <f t="shared" si="202"/>
        <v>60440001</v>
      </c>
      <c r="H5631" t="s">
        <v>3825</v>
      </c>
      <c r="J5631" s="4">
        <v>15000</v>
      </c>
    </row>
    <row r="5632" spans="1:10" hidden="1" outlineLevel="2" x14ac:dyDescent="0.35">
      <c r="A5632" t="s">
        <v>3115</v>
      </c>
      <c r="B5632" s="1">
        <v>45723</v>
      </c>
      <c r="C5632" t="str">
        <f>"1090"</f>
        <v>1090</v>
      </c>
      <c r="D5632" t="s">
        <v>3832</v>
      </c>
      <c r="E5632" t="str">
        <f>"182005"</f>
        <v>182005</v>
      </c>
      <c r="F5632" t="str">
        <f t="shared" si="201"/>
        <v>60440000</v>
      </c>
      <c r="G5632" t="str">
        <f t="shared" si="202"/>
        <v>60440001</v>
      </c>
      <c r="H5632" t="s">
        <v>3833</v>
      </c>
      <c r="J5632" s="4">
        <v>45000</v>
      </c>
    </row>
    <row r="5633" spans="1:10" hidden="1" outlineLevel="2" x14ac:dyDescent="0.35">
      <c r="A5633" t="s">
        <v>3115</v>
      </c>
      <c r="B5633" s="1">
        <v>45723</v>
      </c>
      <c r="C5633" t="str">
        <f>"1091"</f>
        <v>1091</v>
      </c>
      <c r="D5633" t="s">
        <v>3834</v>
      </c>
      <c r="E5633" t="str">
        <f>"181188"</f>
        <v>181188</v>
      </c>
      <c r="F5633" t="str">
        <f t="shared" si="201"/>
        <v>60440000</v>
      </c>
      <c r="G5633" t="str">
        <f t="shared" si="202"/>
        <v>60440001</v>
      </c>
      <c r="H5633" t="s">
        <v>3835</v>
      </c>
      <c r="J5633" s="4">
        <v>30000</v>
      </c>
    </row>
    <row r="5634" spans="1:10" hidden="1" outlineLevel="2" x14ac:dyDescent="0.35">
      <c r="A5634" t="s">
        <v>3115</v>
      </c>
      <c r="B5634" s="1">
        <v>45723</v>
      </c>
      <c r="C5634" t="str">
        <f>"1092"</f>
        <v>1092</v>
      </c>
      <c r="D5634" t="s">
        <v>3836</v>
      </c>
      <c r="E5634" t="str">
        <f>"181726"</f>
        <v>181726</v>
      </c>
      <c r="F5634" t="str">
        <f t="shared" si="201"/>
        <v>60440000</v>
      </c>
      <c r="G5634" t="str">
        <f t="shared" si="202"/>
        <v>60440001</v>
      </c>
      <c r="H5634" t="s">
        <v>3837</v>
      </c>
      <c r="J5634" s="4">
        <v>90000</v>
      </c>
    </row>
    <row r="5635" spans="1:10" hidden="1" outlineLevel="2" x14ac:dyDescent="0.35">
      <c r="A5635" t="s">
        <v>3115</v>
      </c>
      <c r="B5635" s="1">
        <v>45723</v>
      </c>
      <c r="C5635" t="str">
        <f>"1093"</f>
        <v>1093</v>
      </c>
      <c r="D5635" t="s">
        <v>3838</v>
      </c>
      <c r="E5635" t="str">
        <f>"182062"</f>
        <v>182062</v>
      </c>
      <c r="F5635" t="str">
        <f t="shared" ref="F5635:F5698" si="203">"60440000"</f>
        <v>60440000</v>
      </c>
      <c r="G5635" t="str">
        <f t="shared" ref="G5635:G5698" si="204">"60440001"</f>
        <v>60440001</v>
      </c>
      <c r="H5635" t="s">
        <v>3839</v>
      </c>
      <c r="J5635" s="4">
        <v>6000</v>
      </c>
    </row>
    <row r="5636" spans="1:10" hidden="1" outlineLevel="2" x14ac:dyDescent="0.35">
      <c r="A5636" t="s">
        <v>3115</v>
      </c>
      <c r="B5636" s="1">
        <v>45723</v>
      </c>
      <c r="C5636" t="str">
        <f>"1094"</f>
        <v>1094</v>
      </c>
      <c r="D5636" t="s">
        <v>3840</v>
      </c>
      <c r="E5636" t="str">
        <f>"180757"</f>
        <v>180757</v>
      </c>
      <c r="F5636" t="str">
        <f t="shared" si="203"/>
        <v>60440000</v>
      </c>
      <c r="G5636" t="str">
        <f t="shared" si="204"/>
        <v>60440001</v>
      </c>
      <c r="H5636" t="s">
        <v>3841</v>
      </c>
      <c r="J5636" s="4">
        <v>8000</v>
      </c>
    </row>
    <row r="5637" spans="1:10" hidden="1" outlineLevel="2" x14ac:dyDescent="0.35">
      <c r="A5637" t="s">
        <v>3115</v>
      </c>
      <c r="B5637" s="1">
        <v>45723</v>
      </c>
      <c r="C5637" t="str">
        <f>"1095"</f>
        <v>1095</v>
      </c>
      <c r="D5637" t="s">
        <v>3842</v>
      </c>
      <c r="E5637" t="str">
        <f>"180805"</f>
        <v>180805</v>
      </c>
      <c r="F5637" t="str">
        <f t="shared" si="203"/>
        <v>60440000</v>
      </c>
      <c r="G5637" t="str">
        <f t="shared" si="204"/>
        <v>60440001</v>
      </c>
      <c r="H5637" t="s">
        <v>3843</v>
      </c>
      <c r="J5637" s="4">
        <v>6000</v>
      </c>
    </row>
    <row r="5638" spans="1:10" hidden="1" outlineLevel="2" x14ac:dyDescent="0.35">
      <c r="A5638" t="s">
        <v>3115</v>
      </c>
      <c r="B5638" s="1">
        <v>45723</v>
      </c>
      <c r="C5638" t="str">
        <f>"1096"</f>
        <v>1096</v>
      </c>
      <c r="D5638" t="s">
        <v>3844</v>
      </c>
      <c r="E5638" t="str">
        <f>"179891"</f>
        <v>179891</v>
      </c>
      <c r="F5638" t="str">
        <f t="shared" si="203"/>
        <v>60440000</v>
      </c>
      <c r="G5638" t="str">
        <f t="shared" si="204"/>
        <v>60440001</v>
      </c>
      <c r="H5638" t="s">
        <v>3845</v>
      </c>
      <c r="J5638" s="4">
        <v>6000</v>
      </c>
    </row>
    <row r="5639" spans="1:10" hidden="1" outlineLevel="2" x14ac:dyDescent="0.35">
      <c r="A5639" t="s">
        <v>3115</v>
      </c>
      <c r="B5639" s="1">
        <v>45723</v>
      </c>
      <c r="C5639" t="str">
        <f>"1097"</f>
        <v>1097</v>
      </c>
      <c r="D5639" t="s">
        <v>3846</v>
      </c>
      <c r="E5639" t="str">
        <f>"180948"</f>
        <v>180948</v>
      </c>
      <c r="F5639" t="str">
        <f t="shared" si="203"/>
        <v>60440000</v>
      </c>
      <c r="G5639" t="str">
        <f t="shared" si="204"/>
        <v>60440001</v>
      </c>
      <c r="H5639" t="s">
        <v>3847</v>
      </c>
      <c r="J5639" s="4">
        <v>38000</v>
      </c>
    </row>
    <row r="5640" spans="1:10" hidden="1" outlineLevel="2" x14ac:dyDescent="0.35">
      <c r="A5640" t="s">
        <v>3115</v>
      </c>
      <c r="B5640" s="1">
        <v>45723</v>
      </c>
      <c r="C5640" t="str">
        <f>"1098"</f>
        <v>1098</v>
      </c>
      <c r="D5640" t="s">
        <v>3848</v>
      </c>
      <c r="E5640" t="str">
        <f>"182061"</f>
        <v>182061</v>
      </c>
      <c r="F5640" t="str">
        <f t="shared" si="203"/>
        <v>60440000</v>
      </c>
      <c r="G5640" t="str">
        <f t="shared" si="204"/>
        <v>60440001</v>
      </c>
      <c r="H5640" t="s">
        <v>3849</v>
      </c>
      <c r="J5640" s="4">
        <v>24000</v>
      </c>
    </row>
    <row r="5641" spans="1:10" hidden="1" outlineLevel="2" x14ac:dyDescent="0.35">
      <c r="A5641" t="s">
        <v>3115</v>
      </c>
      <c r="B5641" s="1">
        <v>45723</v>
      </c>
      <c r="C5641" t="str">
        <f>"1099"</f>
        <v>1099</v>
      </c>
      <c r="D5641" t="s">
        <v>3850</v>
      </c>
      <c r="E5641" t="str">
        <f>"181923"</f>
        <v>181923</v>
      </c>
      <c r="F5641" t="str">
        <f t="shared" si="203"/>
        <v>60440000</v>
      </c>
      <c r="G5641" t="str">
        <f t="shared" si="204"/>
        <v>60440001</v>
      </c>
      <c r="H5641" t="s">
        <v>3851</v>
      </c>
      <c r="J5641" s="4">
        <v>26501</v>
      </c>
    </row>
    <row r="5642" spans="1:10" hidden="1" outlineLevel="2" x14ac:dyDescent="0.35">
      <c r="A5642" t="s">
        <v>3115</v>
      </c>
      <c r="B5642" s="1">
        <v>45723</v>
      </c>
      <c r="C5642" t="str">
        <f>"1100"</f>
        <v>1100</v>
      </c>
      <c r="D5642" t="s">
        <v>3852</v>
      </c>
      <c r="E5642" t="str">
        <f>"180763"</f>
        <v>180763</v>
      </c>
      <c r="F5642" t="str">
        <f t="shared" si="203"/>
        <v>60440000</v>
      </c>
      <c r="G5642" t="str">
        <f t="shared" si="204"/>
        <v>60440001</v>
      </c>
      <c r="H5642" t="s">
        <v>3853</v>
      </c>
      <c r="J5642" s="4">
        <v>8000</v>
      </c>
    </row>
    <row r="5643" spans="1:10" hidden="1" outlineLevel="2" x14ac:dyDescent="0.35">
      <c r="A5643" t="s">
        <v>3115</v>
      </c>
      <c r="B5643" s="1">
        <v>45724</v>
      </c>
      <c r="C5643" t="str">
        <f>"1111"</f>
        <v>1111</v>
      </c>
      <c r="D5643" t="s">
        <v>3874</v>
      </c>
      <c r="E5643" t="str">
        <f>"147208"</f>
        <v>147208</v>
      </c>
      <c r="F5643" t="str">
        <f t="shared" si="203"/>
        <v>60440000</v>
      </c>
      <c r="G5643" t="str">
        <f t="shared" si="204"/>
        <v>60440001</v>
      </c>
      <c r="H5643" t="s">
        <v>3875</v>
      </c>
      <c r="J5643" s="4">
        <v>722</v>
      </c>
    </row>
    <row r="5644" spans="1:10" hidden="1" outlineLevel="2" x14ac:dyDescent="0.35">
      <c r="A5644" t="s">
        <v>3115</v>
      </c>
      <c r="B5644" s="1">
        <v>45724</v>
      </c>
      <c r="C5644" t="str">
        <f>"1112"</f>
        <v>1112</v>
      </c>
      <c r="D5644" t="s">
        <v>3876</v>
      </c>
      <c r="E5644" t="str">
        <f>"182343"</f>
        <v>182343</v>
      </c>
      <c r="F5644" t="str">
        <f t="shared" si="203"/>
        <v>60440000</v>
      </c>
      <c r="G5644" t="str">
        <f t="shared" si="204"/>
        <v>60440001</v>
      </c>
      <c r="H5644" t="s">
        <v>3877</v>
      </c>
      <c r="J5644" s="4">
        <v>3936</v>
      </c>
    </row>
    <row r="5645" spans="1:10" hidden="1" outlineLevel="2" x14ac:dyDescent="0.35">
      <c r="A5645" t="s">
        <v>3115</v>
      </c>
      <c r="B5645" s="1">
        <v>45724</v>
      </c>
      <c r="C5645" t="str">
        <f>"1113"</f>
        <v>1113</v>
      </c>
      <c r="D5645" t="s">
        <v>3878</v>
      </c>
      <c r="E5645" t="str">
        <f>"182344"</f>
        <v>182344</v>
      </c>
      <c r="F5645" t="str">
        <f t="shared" si="203"/>
        <v>60440000</v>
      </c>
      <c r="G5645" t="str">
        <f t="shared" si="204"/>
        <v>60440001</v>
      </c>
      <c r="H5645" t="s">
        <v>3879</v>
      </c>
      <c r="J5645" s="4">
        <v>2493</v>
      </c>
    </row>
    <row r="5646" spans="1:10" hidden="1" outlineLevel="2" x14ac:dyDescent="0.35">
      <c r="A5646" t="s">
        <v>3115</v>
      </c>
      <c r="B5646" s="1">
        <v>45724</v>
      </c>
      <c r="C5646" t="str">
        <f>"1114"</f>
        <v>1114</v>
      </c>
      <c r="D5646" t="s">
        <v>3880</v>
      </c>
      <c r="E5646" t="str">
        <f>"182345"</f>
        <v>182345</v>
      </c>
      <c r="F5646" t="str">
        <f t="shared" si="203"/>
        <v>60440000</v>
      </c>
      <c r="G5646" t="str">
        <f t="shared" si="204"/>
        <v>60440001</v>
      </c>
      <c r="H5646" t="s">
        <v>3881</v>
      </c>
      <c r="J5646" s="4">
        <v>1968</v>
      </c>
    </row>
    <row r="5647" spans="1:10" hidden="1" outlineLevel="2" x14ac:dyDescent="0.35">
      <c r="A5647" t="s">
        <v>3115</v>
      </c>
      <c r="B5647" s="1">
        <v>45724</v>
      </c>
      <c r="C5647" t="str">
        <f>"1115"</f>
        <v>1115</v>
      </c>
      <c r="D5647" t="s">
        <v>3882</v>
      </c>
      <c r="E5647" t="str">
        <f>"182346"</f>
        <v>182346</v>
      </c>
      <c r="F5647" t="str">
        <f t="shared" si="203"/>
        <v>60440000</v>
      </c>
      <c r="G5647" t="str">
        <f t="shared" si="204"/>
        <v>60440001</v>
      </c>
      <c r="H5647" t="s">
        <v>3883</v>
      </c>
      <c r="J5647" s="4">
        <v>394</v>
      </c>
    </row>
    <row r="5648" spans="1:10" hidden="1" outlineLevel="2" x14ac:dyDescent="0.35">
      <c r="A5648" t="s">
        <v>3115</v>
      </c>
      <c r="B5648" s="1">
        <v>45724</v>
      </c>
      <c r="C5648" t="str">
        <f>"1116"</f>
        <v>1116</v>
      </c>
      <c r="D5648" t="s">
        <v>3884</v>
      </c>
      <c r="E5648" t="str">
        <f>"182339"</f>
        <v>182339</v>
      </c>
      <c r="F5648" t="str">
        <f t="shared" si="203"/>
        <v>60440000</v>
      </c>
      <c r="G5648" t="str">
        <f t="shared" si="204"/>
        <v>60440001</v>
      </c>
      <c r="H5648" t="s">
        <v>3885</v>
      </c>
      <c r="J5648" s="4">
        <v>262</v>
      </c>
    </row>
    <row r="5649" spans="1:10" hidden="1" outlineLevel="2" x14ac:dyDescent="0.35">
      <c r="A5649" t="s">
        <v>3115</v>
      </c>
      <c r="B5649" s="1">
        <v>45724</v>
      </c>
      <c r="C5649" t="str">
        <f>"1117"</f>
        <v>1117</v>
      </c>
      <c r="D5649" t="s">
        <v>3886</v>
      </c>
      <c r="E5649" t="str">
        <f>"182340"</f>
        <v>182340</v>
      </c>
      <c r="F5649" t="str">
        <f t="shared" si="203"/>
        <v>60440000</v>
      </c>
      <c r="G5649" t="str">
        <f t="shared" si="204"/>
        <v>60440001</v>
      </c>
      <c r="H5649" t="s">
        <v>3887</v>
      </c>
      <c r="J5649" s="4">
        <v>3017</v>
      </c>
    </row>
    <row r="5650" spans="1:10" hidden="1" outlineLevel="2" x14ac:dyDescent="0.35">
      <c r="A5650" t="s">
        <v>3115</v>
      </c>
      <c r="B5650" s="1">
        <v>45724</v>
      </c>
      <c r="C5650" t="str">
        <f>"1118"</f>
        <v>1118</v>
      </c>
      <c r="D5650" t="s">
        <v>3888</v>
      </c>
      <c r="E5650" t="str">
        <f>"182341"</f>
        <v>182341</v>
      </c>
      <c r="F5650" t="str">
        <f t="shared" si="203"/>
        <v>60440000</v>
      </c>
      <c r="G5650" t="str">
        <f t="shared" si="204"/>
        <v>60440001</v>
      </c>
      <c r="H5650" t="s">
        <v>3889</v>
      </c>
      <c r="J5650" s="4">
        <v>787</v>
      </c>
    </row>
    <row r="5651" spans="1:10" hidden="1" outlineLevel="2" x14ac:dyDescent="0.35">
      <c r="A5651" t="s">
        <v>3115</v>
      </c>
      <c r="B5651" s="1">
        <v>45724</v>
      </c>
      <c r="C5651" t="str">
        <f>"1119"</f>
        <v>1119</v>
      </c>
      <c r="D5651" t="s">
        <v>3890</v>
      </c>
      <c r="E5651" t="str">
        <f>"182342"</f>
        <v>182342</v>
      </c>
      <c r="F5651" t="str">
        <f t="shared" si="203"/>
        <v>60440000</v>
      </c>
      <c r="G5651" t="str">
        <f t="shared" si="204"/>
        <v>60440001</v>
      </c>
      <c r="H5651" t="s">
        <v>3891</v>
      </c>
      <c r="J5651" s="4">
        <v>3936</v>
      </c>
    </row>
    <row r="5652" spans="1:10" hidden="1" outlineLevel="2" x14ac:dyDescent="0.35">
      <c r="A5652" t="s">
        <v>3115</v>
      </c>
      <c r="B5652" s="1">
        <v>45724</v>
      </c>
      <c r="C5652" t="str">
        <f>"1120"</f>
        <v>1120</v>
      </c>
      <c r="D5652" t="s">
        <v>3892</v>
      </c>
      <c r="E5652" t="str">
        <f>"177531"</f>
        <v>177531</v>
      </c>
      <c r="F5652" t="str">
        <f t="shared" si="203"/>
        <v>60440000</v>
      </c>
      <c r="G5652" t="str">
        <f t="shared" si="204"/>
        <v>60440001</v>
      </c>
      <c r="H5652" t="s">
        <v>3893</v>
      </c>
      <c r="J5652" s="4">
        <v>3149</v>
      </c>
    </row>
    <row r="5653" spans="1:10" hidden="1" outlineLevel="2" x14ac:dyDescent="0.35">
      <c r="A5653" t="s">
        <v>3115</v>
      </c>
      <c r="B5653" s="1">
        <v>45725</v>
      </c>
      <c r="C5653" t="str">
        <f>"1126"</f>
        <v>1126</v>
      </c>
      <c r="D5653" t="s">
        <v>3904</v>
      </c>
      <c r="E5653" t="str">
        <f>"182347"</f>
        <v>182347</v>
      </c>
      <c r="F5653" t="str">
        <f t="shared" si="203"/>
        <v>60440000</v>
      </c>
      <c r="G5653" t="str">
        <f t="shared" si="204"/>
        <v>60440001</v>
      </c>
      <c r="H5653" t="s">
        <v>3905</v>
      </c>
      <c r="J5653" s="4">
        <v>261072</v>
      </c>
    </row>
    <row r="5654" spans="1:10" hidden="1" outlineLevel="2" x14ac:dyDescent="0.35">
      <c r="A5654" t="s">
        <v>3115</v>
      </c>
      <c r="B5654" s="1">
        <v>45725</v>
      </c>
      <c r="C5654" t="str">
        <f>"1127"</f>
        <v>1127</v>
      </c>
      <c r="D5654" t="s">
        <v>3906</v>
      </c>
      <c r="E5654" t="str">
        <f>"182348"</f>
        <v>182348</v>
      </c>
      <c r="F5654" t="str">
        <f t="shared" si="203"/>
        <v>60440000</v>
      </c>
      <c r="G5654" t="str">
        <f t="shared" si="204"/>
        <v>60440001</v>
      </c>
      <c r="H5654" t="s">
        <v>3907</v>
      </c>
      <c r="J5654" s="4">
        <v>984</v>
      </c>
    </row>
    <row r="5655" spans="1:10" hidden="1" outlineLevel="2" x14ac:dyDescent="0.35">
      <c r="A5655" t="s">
        <v>3115</v>
      </c>
      <c r="B5655" s="1">
        <v>45725</v>
      </c>
      <c r="C5655" t="str">
        <f>"1128"</f>
        <v>1128</v>
      </c>
      <c r="D5655" t="s">
        <v>3908</v>
      </c>
      <c r="E5655" t="str">
        <f>"182349"</f>
        <v>182349</v>
      </c>
      <c r="F5655" t="str">
        <f t="shared" si="203"/>
        <v>60440000</v>
      </c>
      <c r="G5655" t="str">
        <f t="shared" si="204"/>
        <v>60440001</v>
      </c>
      <c r="H5655" t="s">
        <v>3909</v>
      </c>
      <c r="J5655" s="4">
        <v>328</v>
      </c>
    </row>
    <row r="5656" spans="1:10" hidden="1" outlineLevel="2" x14ac:dyDescent="0.35">
      <c r="A5656" t="s">
        <v>3115</v>
      </c>
      <c r="B5656" s="1">
        <v>45725</v>
      </c>
      <c r="C5656" t="str">
        <f>"1129"</f>
        <v>1129</v>
      </c>
      <c r="D5656" t="s">
        <v>3910</v>
      </c>
      <c r="E5656" t="str">
        <f>"182350"</f>
        <v>182350</v>
      </c>
      <c r="F5656" t="str">
        <f t="shared" si="203"/>
        <v>60440000</v>
      </c>
      <c r="G5656" t="str">
        <f t="shared" si="204"/>
        <v>60440001</v>
      </c>
      <c r="H5656" t="s">
        <v>3911</v>
      </c>
      <c r="J5656" s="4">
        <v>10757</v>
      </c>
    </row>
    <row r="5657" spans="1:10" hidden="1" outlineLevel="2" x14ac:dyDescent="0.35">
      <c r="A5657" t="s">
        <v>3115</v>
      </c>
      <c r="B5657" s="1">
        <v>45725</v>
      </c>
      <c r="C5657" t="str">
        <f>"1130"</f>
        <v>1130</v>
      </c>
      <c r="D5657" t="s">
        <v>3912</v>
      </c>
      <c r="E5657" t="str">
        <f>"182451"</f>
        <v>182451</v>
      </c>
      <c r="F5657" t="str">
        <f t="shared" si="203"/>
        <v>60440000</v>
      </c>
      <c r="G5657" t="str">
        <f t="shared" si="204"/>
        <v>60440001</v>
      </c>
      <c r="H5657" t="s">
        <v>3913</v>
      </c>
      <c r="J5657" s="4">
        <v>22172</v>
      </c>
    </row>
    <row r="5658" spans="1:10" hidden="1" outlineLevel="2" x14ac:dyDescent="0.35">
      <c r="A5658" t="s">
        <v>3115</v>
      </c>
      <c r="B5658" s="1">
        <v>45725</v>
      </c>
      <c r="C5658" t="str">
        <f>"1132"</f>
        <v>1132</v>
      </c>
      <c r="D5658" t="s">
        <v>3916</v>
      </c>
      <c r="E5658" t="str">
        <f>"180452"</f>
        <v>180452</v>
      </c>
      <c r="F5658" t="str">
        <f t="shared" si="203"/>
        <v>60440000</v>
      </c>
      <c r="G5658" t="str">
        <f t="shared" si="204"/>
        <v>60440001</v>
      </c>
      <c r="H5658" t="s">
        <v>3917</v>
      </c>
      <c r="J5658" s="4">
        <v>919</v>
      </c>
    </row>
    <row r="5659" spans="1:10" hidden="1" outlineLevel="2" x14ac:dyDescent="0.35">
      <c r="A5659" t="s">
        <v>3115</v>
      </c>
      <c r="B5659" s="1">
        <v>45725</v>
      </c>
      <c r="C5659" t="str">
        <f>"1135"</f>
        <v>1135</v>
      </c>
      <c r="D5659" t="s">
        <v>3922</v>
      </c>
      <c r="E5659" t="str">
        <f>"177536"</f>
        <v>177536</v>
      </c>
      <c r="F5659" t="str">
        <f t="shared" si="203"/>
        <v>60440000</v>
      </c>
      <c r="G5659" t="str">
        <f t="shared" si="204"/>
        <v>60440001</v>
      </c>
      <c r="H5659" t="s">
        <v>3923</v>
      </c>
      <c r="J5659" s="4">
        <v>3477</v>
      </c>
    </row>
    <row r="5660" spans="1:10" hidden="1" outlineLevel="2" x14ac:dyDescent="0.35">
      <c r="A5660" t="s">
        <v>3115</v>
      </c>
      <c r="B5660" s="1">
        <v>45726</v>
      </c>
      <c r="C5660" t="str">
        <f>"508"</f>
        <v>508</v>
      </c>
      <c r="D5660" t="s">
        <v>3936</v>
      </c>
      <c r="E5660" t="str">
        <f>"147209"</f>
        <v>147209</v>
      </c>
      <c r="F5660" t="str">
        <f t="shared" si="203"/>
        <v>60440000</v>
      </c>
      <c r="G5660" t="str">
        <f t="shared" si="204"/>
        <v>60440001</v>
      </c>
      <c r="H5660" t="s">
        <v>3937</v>
      </c>
      <c r="J5660" s="4">
        <v>328</v>
      </c>
    </row>
    <row r="5661" spans="1:10" hidden="1" outlineLevel="2" x14ac:dyDescent="0.35">
      <c r="A5661" t="s">
        <v>3115</v>
      </c>
      <c r="B5661" s="1">
        <v>45726</v>
      </c>
      <c r="C5661" t="str">
        <f>"509"</f>
        <v>509</v>
      </c>
      <c r="D5661" t="s">
        <v>3938</v>
      </c>
      <c r="E5661" t="str">
        <f>"147211"</f>
        <v>147211</v>
      </c>
      <c r="F5661" t="str">
        <f t="shared" si="203"/>
        <v>60440000</v>
      </c>
      <c r="G5661" t="str">
        <f t="shared" si="204"/>
        <v>60440001</v>
      </c>
      <c r="H5661" t="s">
        <v>3939</v>
      </c>
      <c r="J5661" s="4">
        <v>4723</v>
      </c>
    </row>
    <row r="5662" spans="1:10" hidden="1" outlineLevel="2" x14ac:dyDescent="0.35">
      <c r="A5662" t="s">
        <v>3115</v>
      </c>
      <c r="B5662" s="1">
        <v>45726</v>
      </c>
      <c r="C5662" t="str">
        <f>"510"</f>
        <v>510</v>
      </c>
      <c r="D5662" t="s">
        <v>3940</v>
      </c>
      <c r="E5662" t="str">
        <f>"147210"</f>
        <v>147210</v>
      </c>
      <c r="F5662" t="str">
        <f t="shared" si="203"/>
        <v>60440000</v>
      </c>
      <c r="G5662" t="str">
        <f t="shared" si="204"/>
        <v>60440001</v>
      </c>
      <c r="H5662" t="s">
        <v>3941</v>
      </c>
      <c r="J5662" s="4">
        <v>2492</v>
      </c>
    </row>
    <row r="5663" spans="1:10" hidden="1" outlineLevel="2" x14ac:dyDescent="0.35">
      <c r="A5663" t="s">
        <v>3115</v>
      </c>
      <c r="B5663" s="1">
        <v>45726</v>
      </c>
      <c r="C5663" t="str">
        <f>"513"</f>
        <v>513</v>
      </c>
      <c r="D5663" t="s">
        <v>3946</v>
      </c>
      <c r="E5663" t="str">
        <f>"147212"</f>
        <v>147212</v>
      </c>
      <c r="F5663" t="str">
        <f t="shared" si="203"/>
        <v>60440000</v>
      </c>
      <c r="G5663" t="str">
        <f t="shared" si="204"/>
        <v>60440001</v>
      </c>
      <c r="H5663" t="s">
        <v>3947</v>
      </c>
      <c r="J5663" s="4">
        <v>394</v>
      </c>
    </row>
    <row r="5664" spans="1:10" hidden="1" outlineLevel="2" x14ac:dyDescent="0.35">
      <c r="A5664" t="s">
        <v>3115</v>
      </c>
      <c r="B5664" s="1">
        <v>45726</v>
      </c>
      <c r="C5664" t="str">
        <f>"514"</f>
        <v>514</v>
      </c>
      <c r="D5664" t="s">
        <v>3948</v>
      </c>
      <c r="E5664" t="str">
        <f>"181998"</f>
        <v>181998</v>
      </c>
      <c r="F5664" t="str">
        <f t="shared" si="203"/>
        <v>60440000</v>
      </c>
      <c r="G5664" t="str">
        <f t="shared" si="204"/>
        <v>60440001</v>
      </c>
      <c r="H5664" t="s">
        <v>3949</v>
      </c>
      <c r="J5664" s="4">
        <v>11376</v>
      </c>
    </row>
    <row r="5665" spans="1:10" hidden="1" outlineLevel="2" x14ac:dyDescent="0.35">
      <c r="A5665" t="s">
        <v>3115</v>
      </c>
      <c r="B5665" s="1">
        <v>45726</v>
      </c>
      <c r="C5665" t="str">
        <f>"515"</f>
        <v>515</v>
      </c>
      <c r="D5665" t="s">
        <v>3950</v>
      </c>
      <c r="E5665" t="str">
        <f>"181735"</f>
        <v>181735</v>
      </c>
      <c r="F5665" t="str">
        <f t="shared" si="203"/>
        <v>60440000</v>
      </c>
      <c r="G5665" t="str">
        <f t="shared" si="204"/>
        <v>60440001</v>
      </c>
      <c r="H5665" t="s">
        <v>3951</v>
      </c>
      <c r="J5665" s="4">
        <v>50180</v>
      </c>
    </row>
    <row r="5666" spans="1:10" hidden="1" outlineLevel="2" x14ac:dyDescent="0.35">
      <c r="A5666" t="s">
        <v>3115</v>
      </c>
      <c r="B5666" s="1">
        <v>45726</v>
      </c>
      <c r="C5666" t="str">
        <f>"516"</f>
        <v>516</v>
      </c>
      <c r="D5666" t="s">
        <v>3952</v>
      </c>
      <c r="F5666" t="str">
        <f t="shared" si="203"/>
        <v>60440000</v>
      </c>
      <c r="G5666" t="str">
        <f t="shared" si="204"/>
        <v>60440001</v>
      </c>
      <c r="H5666" t="s">
        <v>3953</v>
      </c>
      <c r="J5666" s="4">
        <v>56700</v>
      </c>
    </row>
    <row r="5667" spans="1:10" hidden="1" outlineLevel="2" x14ac:dyDescent="0.35">
      <c r="A5667" t="s">
        <v>3115</v>
      </c>
      <c r="B5667" s="1">
        <v>45726</v>
      </c>
      <c r="C5667" t="str">
        <f>"517"</f>
        <v>517</v>
      </c>
      <c r="D5667" t="s">
        <v>3954</v>
      </c>
      <c r="E5667" t="str">
        <f>"179288"</f>
        <v>179288</v>
      </c>
      <c r="F5667" t="str">
        <f t="shared" si="203"/>
        <v>60440000</v>
      </c>
      <c r="G5667" t="str">
        <f t="shared" si="204"/>
        <v>60440001</v>
      </c>
      <c r="H5667" t="s">
        <v>3955</v>
      </c>
      <c r="J5667" s="4">
        <v>405999</v>
      </c>
    </row>
    <row r="5668" spans="1:10" hidden="1" outlineLevel="2" x14ac:dyDescent="0.35">
      <c r="A5668" t="s">
        <v>3115</v>
      </c>
      <c r="B5668" s="1">
        <v>45726</v>
      </c>
      <c r="C5668" t="str">
        <f>"518"</f>
        <v>518</v>
      </c>
      <c r="D5668" t="s">
        <v>3956</v>
      </c>
      <c r="E5668" t="str">
        <f>"181728"</f>
        <v>181728</v>
      </c>
      <c r="F5668" t="str">
        <f t="shared" si="203"/>
        <v>60440000</v>
      </c>
      <c r="G5668" t="str">
        <f t="shared" si="204"/>
        <v>60440001</v>
      </c>
      <c r="H5668" t="s">
        <v>3957</v>
      </c>
      <c r="J5668" s="4">
        <v>18900</v>
      </c>
    </row>
    <row r="5669" spans="1:10" hidden="1" outlineLevel="2" x14ac:dyDescent="0.35">
      <c r="A5669" t="s">
        <v>3115</v>
      </c>
      <c r="B5669" s="1">
        <v>45726</v>
      </c>
      <c r="C5669" t="str">
        <f>"519"</f>
        <v>519</v>
      </c>
      <c r="D5669" t="s">
        <v>3958</v>
      </c>
      <c r="E5669" t="str">
        <f>"181240"</f>
        <v>181240</v>
      </c>
      <c r="F5669" t="str">
        <f t="shared" si="203"/>
        <v>60440000</v>
      </c>
      <c r="G5669" t="str">
        <f t="shared" si="204"/>
        <v>60440001</v>
      </c>
      <c r="H5669" t="s">
        <v>3959</v>
      </c>
      <c r="J5669" s="4">
        <v>2361</v>
      </c>
    </row>
    <row r="5670" spans="1:10" hidden="1" outlineLevel="2" x14ac:dyDescent="0.35">
      <c r="A5670" t="s">
        <v>3115</v>
      </c>
      <c r="B5670" s="1">
        <v>45726</v>
      </c>
      <c r="C5670" t="str">
        <f>"521"</f>
        <v>521</v>
      </c>
      <c r="D5670" t="s">
        <v>3962</v>
      </c>
      <c r="E5670" t="str">
        <f>"181241"</f>
        <v>181241</v>
      </c>
      <c r="F5670" t="str">
        <f t="shared" si="203"/>
        <v>60440000</v>
      </c>
      <c r="G5670" t="str">
        <f t="shared" si="204"/>
        <v>60440001</v>
      </c>
      <c r="H5670" t="s">
        <v>3963</v>
      </c>
      <c r="J5670" s="4">
        <v>1049</v>
      </c>
    </row>
    <row r="5671" spans="1:10" hidden="1" outlineLevel="2" x14ac:dyDescent="0.35">
      <c r="A5671" t="s">
        <v>3115</v>
      </c>
      <c r="B5671" s="1">
        <v>45726</v>
      </c>
      <c r="C5671" t="str">
        <f>"522"</f>
        <v>522</v>
      </c>
      <c r="D5671" t="s">
        <v>3964</v>
      </c>
      <c r="E5671" t="str">
        <f>"181242"</f>
        <v>181242</v>
      </c>
      <c r="F5671" t="str">
        <f t="shared" si="203"/>
        <v>60440000</v>
      </c>
      <c r="G5671" t="str">
        <f t="shared" si="204"/>
        <v>60440001</v>
      </c>
      <c r="H5671" t="s">
        <v>3965</v>
      </c>
      <c r="J5671" s="4">
        <v>590</v>
      </c>
    </row>
    <row r="5672" spans="1:10" hidden="1" outlineLevel="2" x14ac:dyDescent="0.35">
      <c r="A5672" t="s">
        <v>3115</v>
      </c>
      <c r="B5672" s="1">
        <v>45726</v>
      </c>
      <c r="C5672" t="str">
        <f>"523"</f>
        <v>523</v>
      </c>
      <c r="D5672" t="s">
        <v>3966</v>
      </c>
      <c r="E5672" t="str">
        <f>"181242"</f>
        <v>181242</v>
      </c>
      <c r="F5672" t="str">
        <f t="shared" si="203"/>
        <v>60440000</v>
      </c>
      <c r="G5672" t="str">
        <f t="shared" si="204"/>
        <v>60440001</v>
      </c>
      <c r="H5672" t="s">
        <v>3967</v>
      </c>
      <c r="J5672" s="4">
        <v>2099</v>
      </c>
    </row>
    <row r="5673" spans="1:10" hidden="1" outlineLevel="2" x14ac:dyDescent="0.35">
      <c r="A5673" t="s">
        <v>3115</v>
      </c>
      <c r="B5673" s="1">
        <v>45726</v>
      </c>
      <c r="C5673" t="str">
        <f>"524"</f>
        <v>524</v>
      </c>
      <c r="D5673" t="s">
        <v>3968</v>
      </c>
      <c r="E5673" t="str">
        <f>"180453"</f>
        <v>180453</v>
      </c>
      <c r="F5673" t="str">
        <f t="shared" si="203"/>
        <v>60440000</v>
      </c>
      <c r="G5673" t="str">
        <f t="shared" si="204"/>
        <v>60440001</v>
      </c>
      <c r="H5673" t="s">
        <v>3969</v>
      </c>
      <c r="J5673" s="4">
        <v>8265</v>
      </c>
    </row>
    <row r="5674" spans="1:10" hidden="1" outlineLevel="2" x14ac:dyDescent="0.35">
      <c r="A5674" t="s">
        <v>3115</v>
      </c>
      <c r="B5674" s="1">
        <v>45726</v>
      </c>
      <c r="C5674" t="str">
        <f>"525"</f>
        <v>525</v>
      </c>
      <c r="D5674" t="s">
        <v>3970</v>
      </c>
      <c r="E5674" t="str">
        <f>"177542"</f>
        <v>177542</v>
      </c>
      <c r="F5674" t="str">
        <f t="shared" si="203"/>
        <v>60440000</v>
      </c>
      <c r="G5674" t="str">
        <f t="shared" si="204"/>
        <v>60440001</v>
      </c>
      <c r="H5674" t="s">
        <v>3971</v>
      </c>
      <c r="J5674" s="4">
        <v>3149</v>
      </c>
    </row>
    <row r="5675" spans="1:10" hidden="1" outlineLevel="2" x14ac:dyDescent="0.35">
      <c r="A5675" t="s">
        <v>3115</v>
      </c>
      <c r="B5675" s="1">
        <v>45726</v>
      </c>
      <c r="C5675" t="str">
        <f>"526"</f>
        <v>526</v>
      </c>
      <c r="D5675" t="s">
        <v>3972</v>
      </c>
      <c r="E5675" t="str">
        <f>"177535"</f>
        <v>177535</v>
      </c>
      <c r="F5675" t="str">
        <f t="shared" si="203"/>
        <v>60440000</v>
      </c>
      <c r="G5675" t="str">
        <f t="shared" si="204"/>
        <v>60440001</v>
      </c>
      <c r="H5675" t="s">
        <v>3973</v>
      </c>
      <c r="J5675" s="4">
        <v>122270</v>
      </c>
    </row>
    <row r="5676" spans="1:10" hidden="1" outlineLevel="2" x14ac:dyDescent="0.35">
      <c r="A5676" t="s">
        <v>3115</v>
      </c>
      <c r="B5676" s="1">
        <v>45726</v>
      </c>
      <c r="C5676" t="str">
        <f>"528"</f>
        <v>528</v>
      </c>
      <c r="D5676" t="s">
        <v>3976</v>
      </c>
      <c r="E5676" t="str">
        <f>"180454"</f>
        <v>180454</v>
      </c>
      <c r="F5676" t="str">
        <f t="shared" si="203"/>
        <v>60440000</v>
      </c>
      <c r="G5676" t="str">
        <f t="shared" si="204"/>
        <v>60440001</v>
      </c>
      <c r="H5676" t="s">
        <v>3977</v>
      </c>
      <c r="J5676" s="4">
        <v>262</v>
      </c>
    </row>
    <row r="5677" spans="1:10" hidden="1" outlineLevel="2" x14ac:dyDescent="0.35">
      <c r="A5677" t="s">
        <v>3115</v>
      </c>
      <c r="B5677" s="1">
        <v>45726</v>
      </c>
      <c r="C5677" t="str">
        <f>"529"</f>
        <v>529</v>
      </c>
      <c r="D5677" t="s">
        <v>3978</v>
      </c>
      <c r="E5677" t="str">
        <f>"180455"</f>
        <v>180455</v>
      </c>
      <c r="F5677" t="str">
        <f t="shared" si="203"/>
        <v>60440000</v>
      </c>
      <c r="G5677" t="str">
        <f t="shared" si="204"/>
        <v>60440001</v>
      </c>
      <c r="H5677" t="s">
        <v>3979</v>
      </c>
      <c r="J5677" s="4">
        <v>7544</v>
      </c>
    </row>
    <row r="5678" spans="1:10" hidden="1" outlineLevel="2" x14ac:dyDescent="0.35">
      <c r="A5678" t="s">
        <v>3115</v>
      </c>
      <c r="B5678" s="1">
        <v>45726</v>
      </c>
      <c r="C5678" t="str">
        <f>"530"</f>
        <v>530</v>
      </c>
      <c r="D5678" t="s">
        <v>3980</v>
      </c>
      <c r="E5678" t="str">
        <f>"177537"</f>
        <v>177537</v>
      </c>
      <c r="F5678" t="str">
        <f t="shared" si="203"/>
        <v>60440000</v>
      </c>
      <c r="G5678" t="str">
        <f t="shared" si="204"/>
        <v>60440001</v>
      </c>
      <c r="H5678" t="s">
        <v>3981</v>
      </c>
      <c r="J5678" s="4">
        <v>250000</v>
      </c>
    </row>
    <row r="5679" spans="1:10" hidden="1" outlineLevel="2" x14ac:dyDescent="0.35">
      <c r="A5679" t="s">
        <v>3115</v>
      </c>
      <c r="B5679" s="1">
        <v>45726</v>
      </c>
      <c r="C5679" t="str">
        <f>"531"</f>
        <v>531</v>
      </c>
      <c r="D5679" t="s">
        <v>3982</v>
      </c>
      <c r="E5679" t="str">
        <f>"180456"</f>
        <v>180456</v>
      </c>
      <c r="F5679" t="str">
        <f t="shared" si="203"/>
        <v>60440000</v>
      </c>
      <c r="G5679" t="str">
        <f t="shared" si="204"/>
        <v>60440001</v>
      </c>
      <c r="H5679" t="s">
        <v>3983</v>
      </c>
      <c r="J5679" s="4">
        <v>787</v>
      </c>
    </row>
    <row r="5680" spans="1:10" hidden="1" outlineLevel="2" x14ac:dyDescent="0.35">
      <c r="A5680" t="s">
        <v>3115</v>
      </c>
      <c r="B5680" s="1">
        <v>45726</v>
      </c>
      <c r="C5680" t="str">
        <f>"535"</f>
        <v>535</v>
      </c>
      <c r="D5680" t="s">
        <v>3990</v>
      </c>
      <c r="E5680" t="str">
        <f>"176320"</f>
        <v>176320</v>
      </c>
      <c r="F5680" t="str">
        <f t="shared" si="203"/>
        <v>60440000</v>
      </c>
      <c r="G5680" t="str">
        <f t="shared" si="204"/>
        <v>60440001</v>
      </c>
      <c r="H5680" t="s">
        <v>3991</v>
      </c>
      <c r="J5680" s="4">
        <v>114006</v>
      </c>
    </row>
    <row r="5681" spans="1:10" hidden="1" outlineLevel="2" x14ac:dyDescent="0.35">
      <c r="A5681" t="s">
        <v>3115</v>
      </c>
      <c r="B5681" s="1">
        <v>45726</v>
      </c>
      <c r="C5681" t="str">
        <f>"544"</f>
        <v>544</v>
      </c>
      <c r="D5681" t="s">
        <v>4008</v>
      </c>
      <c r="E5681" t="str">
        <f>"181925"</f>
        <v>181925</v>
      </c>
      <c r="F5681" t="str">
        <f t="shared" si="203"/>
        <v>60440000</v>
      </c>
      <c r="G5681" t="str">
        <f t="shared" si="204"/>
        <v>60440001</v>
      </c>
      <c r="H5681" t="s">
        <v>4009</v>
      </c>
      <c r="J5681" s="4">
        <v>93015</v>
      </c>
    </row>
    <row r="5682" spans="1:10" hidden="1" outlineLevel="2" x14ac:dyDescent="0.35">
      <c r="A5682" t="s">
        <v>3115</v>
      </c>
      <c r="B5682" s="1">
        <v>45726</v>
      </c>
      <c r="C5682" t="str">
        <f>"548"</f>
        <v>548</v>
      </c>
      <c r="D5682" t="s">
        <v>4016</v>
      </c>
      <c r="E5682" t="str">
        <f>"182020"</f>
        <v>182020</v>
      </c>
      <c r="F5682" t="str">
        <f t="shared" si="203"/>
        <v>60440000</v>
      </c>
      <c r="G5682" t="str">
        <f t="shared" si="204"/>
        <v>60440001</v>
      </c>
      <c r="H5682" t="s">
        <v>4017</v>
      </c>
      <c r="J5682" s="4">
        <v>4264</v>
      </c>
    </row>
    <row r="5683" spans="1:10" hidden="1" outlineLevel="2" x14ac:dyDescent="0.35">
      <c r="A5683" t="s">
        <v>3115</v>
      </c>
      <c r="B5683" s="1">
        <v>45726</v>
      </c>
      <c r="C5683" t="str">
        <f>"549"</f>
        <v>549</v>
      </c>
      <c r="D5683" t="s">
        <v>4018</v>
      </c>
      <c r="E5683" t="str">
        <f>"182019"</f>
        <v>182019</v>
      </c>
      <c r="F5683" t="str">
        <f t="shared" si="203"/>
        <v>60440000</v>
      </c>
      <c r="G5683" t="str">
        <f t="shared" si="204"/>
        <v>60440001</v>
      </c>
      <c r="H5683" t="s">
        <v>4019</v>
      </c>
      <c r="J5683" s="4">
        <v>20139</v>
      </c>
    </row>
    <row r="5684" spans="1:10" hidden="1" outlineLevel="2" x14ac:dyDescent="0.35">
      <c r="A5684" t="s">
        <v>3115</v>
      </c>
      <c r="B5684" s="1">
        <v>45726</v>
      </c>
      <c r="C5684" t="str">
        <f>"550"</f>
        <v>550</v>
      </c>
      <c r="D5684" t="s">
        <v>4020</v>
      </c>
      <c r="E5684" t="str">
        <f>"182021"</f>
        <v>182021</v>
      </c>
      <c r="F5684" t="str">
        <f t="shared" si="203"/>
        <v>60440000</v>
      </c>
      <c r="G5684" t="str">
        <f t="shared" si="204"/>
        <v>60440001</v>
      </c>
      <c r="H5684" t="s">
        <v>4021</v>
      </c>
      <c r="J5684" s="4">
        <v>3477</v>
      </c>
    </row>
    <row r="5685" spans="1:10" hidden="1" outlineLevel="2" x14ac:dyDescent="0.35">
      <c r="A5685" t="s">
        <v>3115</v>
      </c>
      <c r="B5685" s="1">
        <v>45726</v>
      </c>
      <c r="C5685" t="str">
        <f>"551"</f>
        <v>551</v>
      </c>
      <c r="D5685" t="s">
        <v>4022</v>
      </c>
      <c r="E5685" t="str">
        <f>"181926"</f>
        <v>181926</v>
      </c>
      <c r="F5685" t="str">
        <f t="shared" si="203"/>
        <v>60440000</v>
      </c>
      <c r="G5685" t="str">
        <f t="shared" si="204"/>
        <v>60440001</v>
      </c>
      <c r="H5685" t="s">
        <v>4023</v>
      </c>
      <c r="J5685" s="4">
        <v>6035</v>
      </c>
    </row>
    <row r="5686" spans="1:10" hidden="1" outlineLevel="2" x14ac:dyDescent="0.35">
      <c r="A5686" t="s">
        <v>3115</v>
      </c>
      <c r="B5686" s="1">
        <v>45726</v>
      </c>
      <c r="C5686" t="str">
        <f>"552"</f>
        <v>552</v>
      </c>
      <c r="D5686" t="s">
        <v>4024</v>
      </c>
      <c r="E5686" t="str">
        <f>"183504"</f>
        <v>183504</v>
      </c>
      <c r="F5686" t="str">
        <f t="shared" si="203"/>
        <v>60440000</v>
      </c>
      <c r="G5686" t="str">
        <f t="shared" si="204"/>
        <v>60440001</v>
      </c>
      <c r="H5686" t="s">
        <v>4025</v>
      </c>
      <c r="J5686" s="4">
        <v>93802</v>
      </c>
    </row>
    <row r="5687" spans="1:10" hidden="1" outlineLevel="2" x14ac:dyDescent="0.35">
      <c r="A5687" t="s">
        <v>3115</v>
      </c>
      <c r="B5687" s="1">
        <v>45726</v>
      </c>
      <c r="C5687" t="str">
        <f>"556"</f>
        <v>556</v>
      </c>
      <c r="D5687" t="s">
        <v>4032</v>
      </c>
      <c r="E5687" t="str">
        <f>"183292"</f>
        <v>183292</v>
      </c>
      <c r="F5687" t="str">
        <f t="shared" si="203"/>
        <v>60440000</v>
      </c>
      <c r="G5687" t="str">
        <f t="shared" si="204"/>
        <v>60440001</v>
      </c>
      <c r="H5687" t="s">
        <v>4033</v>
      </c>
      <c r="J5687" s="4">
        <v>1312</v>
      </c>
    </row>
    <row r="5688" spans="1:10" hidden="1" outlineLevel="2" x14ac:dyDescent="0.35">
      <c r="A5688" t="s">
        <v>3115</v>
      </c>
      <c r="B5688" s="1">
        <v>45726</v>
      </c>
      <c r="C5688" t="str">
        <f>"557"</f>
        <v>557</v>
      </c>
      <c r="D5688" t="s">
        <v>4034</v>
      </c>
      <c r="E5688" t="str">
        <f>"182017"</f>
        <v>182017</v>
      </c>
      <c r="F5688" t="str">
        <f t="shared" si="203"/>
        <v>60440000</v>
      </c>
      <c r="G5688" t="str">
        <f t="shared" si="204"/>
        <v>60440001</v>
      </c>
      <c r="H5688" t="s">
        <v>4035</v>
      </c>
      <c r="J5688" s="4">
        <v>1574</v>
      </c>
    </row>
    <row r="5689" spans="1:10" hidden="1" outlineLevel="2" x14ac:dyDescent="0.35">
      <c r="A5689" t="s">
        <v>3115</v>
      </c>
      <c r="B5689" s="1">
        <v>45727</v>
      </c>
      <c r="C5689" t="str">
        <f>"560"</f>
        <v>560</v>
      </c>
      <c r="D5689" t="s">
        <v>4040</v>
      </c>
      <c r="E5689" t="str">
        <f>"180842"</f>
        <v>180842</v>
      </c>
      <c r="F5689" t="str">
        <f t="shared" si="203"/>
        <v>60440000</v>
      </c>
      <c r="G5689" t="str">
        <f t="shared" si="204"/>
        <v>60440001</v>
      </c>
      <c r="H5689" t="s">
        <v>4041</v>
      </c>
      <c r="J5689" s="4">
        <v>168000</v>
      </c>
    </row>
    <row r="5690" spans="1:10" hidden="1" outlineLevel="2" x14ac:dyDescent="0.35">
      <c r="A5690" t="s">
        <v>3115</v>
      </c>
      <c r="B5690" s="1">
        <v>45727</v>
      </c>
      <c r="C5690" t="str">
        <f>"561"</f>
        <v>561</v>
      </c>
      <c r="D5690" t="s">
        <v>4042</v>
      </c>
      <c r="E5690" t="str">
        <f>"180841"</f>
        <v>180841</v>
      </c>
      <c r="F5690" t="str">
        <f t="shared" si="203"/>
        <v>60440000</v>
      </c>
      <c r="G5690" t="str">
        <f t="shared" si="204"/>
        <v>60440001</v>
      </c>
      <c r="H5690" t="s">
        <v>4043</v>
      </c>
      <c r="J5690" s="4">
        <v>58800</v>
      </c>
    </row>
    <row r="5691" spans="1:10" hidden="1" outlineLevel="2" x14ac:dyDescent="0.35">
      <c r="A5691" t="s">
        <v>3115</v>
      </c>
      <c r="B5691" s="1">
        <v>45727</v>
      </c>
      <c r="C5691" t="str">
        <f>"562"</f>
        <v>562</v>
      </c>
      <c r="D5691" t="s">
        <v>4044</v>
      </c>
      <c r="E5691" t="str">
        <f>"181195"</f>
        <v>181195</v>
      </c>
      <c r="F5691" t="str">
        <f t="shared" si="203"/>
        <v>60440000</v>
      </c>
      <c r="G5691" t="str">
        <f t="shared" si="204"/>
        <v>60440001</v>
      </c>
      <c r="H5691" t="s">
        <v>4045</v>
      </c>
      <c r="J5691" s="4">
        <v>44498</v>
      </c>
    </row>
    <row r="5692" spans="1:10" hidden="1" outlineLevel="2" x14ac:dyDescent="0.35">
      <c r="A5692" t="s">
        <v>3115</v>
      </c>
      <c r="B5692" s="1">
        <v>45727</v>
      </c>
      <c r="C5692" t="str">
        <f>"563"</f>
        <v>563</v>
      </c>
      <c r="D5692" t="s">
        <v>4046</v>
      </c>
      <c r="E5692" t="str">
        <f>"147213"</f>
        <v>147213</v>
      </c>
      <c r="F5692" t="str">
        <f t="shared" si="203"/>
        <v>60440000</v>
      </c>
      <c r="G5692" t="str">
        <f t="shared" si="204"/>
        <v>60440001</v>
      </c>
      <c r="H5692" t="s">
        <v>4047</v>
      </c>
      <c r="J5692" s="4">
        <v>3870</v>
      </c>
    </row>
    <row r="5693" spans="1:10" hidden="1" outlineLevel="2" x14ac:dyDescent="0.35">
      <c r="A5693" t="s">
        <v>3115</v>
      </c>
      <c r="B5693" s="1">
        <v>45727</v>
      </c>
      <c r="C5693" t="str">
        <f>"565"</f>
        <v>565</v>
      </c>
      <c r="D5693" t="s">
        <v>4050</v>
      </c>
      <c r="E5693" t="str">
        <f>"181243"</f>
        <v>181243</v>
      </c>
      <c r="F5693" t="str">
        <f t="shared" si="203"/>
        <v>60440000</v>
      </c>
      <c r="G5693" t="str">
        <f t="shared" si="204"/>
        <v>60440001</v>
      </c>
      <c r="H5693" t="s">
        <v>4051</v>
      </c>
      <c r="J5693" s="4">
        <v>3017</v>
      </c>
    </row>
    <row r="5694" spans="1:10" hidden="1" outlineLevel="2" x14ac:dyDescent="0.35">
      <c r="A5694" t="s">
        <v>3115</v>
      </c>
      <c r="B5694" s="1">
        <v>45727</v>
      </c>
      <c r="C5694" t="str">
        <f>"568"</f>
        <v>568</v>
      </c>
      <c r="D5694" t="s">
        <v>4056</v>
      </c>
      <c r="E5694" t="str">
        <f>"177543"</f>
        <v>177543</v>
      </c>
      <c r="F5694" t="str">
        <f t="shared" si="203"/>
        <v>60440000</v>
      </c>
      <c r="G5694" t="str">
        <f t="shared" si="204"/>
        <v>60440001</v>
      </c>
      <c r="H5694" t="s">
        <v>4057</v>
      </c>
      <c r="J5694" s="4">
        <v>122270</v>
      </c>
    </row>
    <row r="5695" spans="1:10" hidden="1" outlineLevel="2" x14ac:dyDescent="0.35">
      <c r="A5695" t="s">
        <v>3115</v>
      </c>
      <c r="B5695" s="1">
        <v>45727</v>
      </c>
      <c r="C5695" t="str">
        <f>"570"</f>
        <v>570</v>
      </c>
      <c r="D5695" t="s">
        <v>4060</v>
      </c>
      <c r="E5695" t="str">
        <f>"177544"</f>
        <v>177544</v>
      </c>
      <c r="F5695" t="str">
        <f t="shared" si="203"/>
        <v>60440000</v>
      </c>
      <c r="G5695" t="str">
        <f t="shared" si="204"/>
        <v>60440001</v>
      </c>
      <c r="H5695" t="s">
        <v>4061</v>
      </c>
      <c r="J5695" s="4">
        <v>3083</v>
      </c>
    </row>
    <row r="5696" spans="1:10" hidden="1" outlineLevel="2" x14ac:dyDescent="0.35">
      <c r="A5696" t="s">
        <v>3115</v>
      </c>
      <c r="B5696" s="1">
        <v>45727</v>
      </c>
      <c r="C5696" t="str">
        <f>"571"</f>
        <v>571</v>
      </c>
      <c r="D5696" t="s">
        <v>4062</v>
      </c>
      <c r="E5696" t="str">
        <f>"183297"</f>
        <v>183297</v>
      </c>
      <c r="F5696" t="str">
        <f t="shared" si="203"/>
        <v>60440000</v>
      </c>
      <c r="G5696" t="str">
        <f t="shared" si="204"/>
        <v>60440001</v>
      </c>
      <c r="H5696" t="s">
        <v>4063</v>
      </c>
      <c r="J5696" s="4">
        <v>15547</v>
      </c>
    </row>
    <row r="5697" spans="1:10" hidden="1" outlineLevel="2" x14ac:dyDescent="0.35">
      <c r="A5697" t="s">
        <v>3115</v>
      </c>
      <c r="B5697" s="1">
        <v>45727</v>
      </c>
      <c r="C5697" t="str">
        <f>"577"</f>
        <v>577</v>
      </c>
      <c r="D5697" t="s">
        <v>4074</v>
      </c>
      <c r="E5697" t="str">
        <f>"181929"</f>
        <v>181929</v>
      </c>
      <c r="F5697" t="str">
        <f t="shared" si="203"/>
        <v>60440000</v>
      </c>
      <c r="G5697" t="str">
        <f t="shared" si="204"/>
        <v>60440001</v>
      </c>
      <c r="H5697" t="s">
        <v>4075</v>
      </c>
      <c r="J5697" s="4">
        <v>3017</v>
      </c>
    </row>
    <row r="5698" spans="1:10" hidden="1" outlineLevel="2" x14ac:dyDescent="0.35">
      <c r="A5698" t="s">
        <v>3115</v>
      </c>
      <c r="B5698" s="1">
        <v>45727</v>
      </c>
      <c r="C5698" t="str">
        <f>"579"</f>
        <v>579</v>
      </c>
      <c r="D5698" t="s">
        <v>4078</v>
      </c>
      <c r="E5698" t="str">
        <f>"180457"</f>
        <v>180457</v>
      </c>
      <c r="F5698" t="str">
        <f t="shared" si="203"/>
        <v>60440000</v>
      </c>
      <c r="G5698" t="str">
        <f t="shared" si="204"/>
        <v>60440001</v>
      </c>
      <c r="H5698" t="s">
        <v>4079</v>
      </c>
      <c r="J5698" s="4">
        <v>6035</v>
      </c>
    </row>
    <row r="5699" spans="1:10" hidden="1" outlineLevel="2" x14ac:dyDescent="0.35">
      <c r="A5699" t="s">
        <v>3115</v>
      </c>
      <c r="B5699" s="1">
        <v>45727</v>
      </c>
      <c r="C5699" t="str">
        <f>"580"</f>
        <v>580</v>
      </c>
      <c r="D5699" t="s">
        <v>4080</v>
      </c>
      <c r="E5699" t="str">
        <f>"180458"</f>
        <v>180458</v>
      </c>
      <c r="F5699" t="str">
        <f t="shared" ref="F5699:F5762" si="205">"60440000"</f>
        <v>60440000</v>
      </c>
      <c r="G5699" t="str">
        <f t="shared" ref="G5699:G5762" si="206">"60440001"</f>
        <v>60440001</v>
      </c>
      <c r="H5699" t="s">
        <v>4081</v>
      </c>
      <c r="J5699" s="4">
        <v>298</v>
      </c>
    </row>
    <row r="5700" spans="1:10" hidden="1" outlineLevel="2" x14ac:dyDescent="0.35">
      <c r="A5700" t="s">
        <v>3115</v>
      </c>
      <c r="B5700" s="1">
        <v>45727</v>
      </c>
      <c r="C5700" t="str">
        <f>"583"</f>
        <v>583</v>
      </c>
      <c r="D5700" t="s">
        <v>4086</v>
      </c>
      <c r="E5700" t="str">
        <f>"1183294"</f>
        <v>1183294</v>
      </c>
      <c r="F5700" t="str">
        <f t="shared" si="205"/>
        <v>60440000</v>
      </c>
      <c r="G5700" t="str">
        <f t="shared" si="206"/>
        <v>60440001</v>
      </c>
      <c r="H5700" t="s">
        <v>4087</v>
      </c>
      <c r="J5700" s="4">
        <v>1443</v>
      </c>
    </row>
    <row r="5701" spans="1:10" hidden="1" outlineLevel="2" x14ac:dyDescent="0.35">
      <c r="A5701" t="s">
        <v>3115</v>
      </c>
      <c r="B5701" s="1">
        <v>45727</v>
      </c>
      <c r="C5701" t="str">
        <f>"584"</f>
        <v>584</v>
      </c>
      <c r="D5701" t="s">
        <v>4088</v>
      </c>
      <c r="E5701" t="str">
        <f>"183295"</f>
        <v>183295</v>
      </c>
      <c r="F5701" t="str">
        <f t="shared" si="205"/>
        <v>60440000</v>
      </c>
      <c r="G5701" t="str">
        <f t="shared" si="206"/>
        <v>60440001</v>
      </c>
      <c r="H5701" t="s">
        <v>4089</v>
      </c>
      <c r="J5701" s="4">
        <v>11021</v>
      </c>
    </row>
    <row r="5702" spans="1:10" hidden="1" outlineLevel="2" x14ac:dyDescent="0.35">
      <c r="A5702" t="s">
        <v>3115</v>
      </c>
      <c r="B5702" s="1">
        <v>45727</v>
      </c>
      <c r="C5702" t="str">
        <f>"588"</f>
        <v>588</v>
      </c>
      <c r="D5702" t="s">
        <v>4096</v>
      </c>
      <c r="E5702" t="str">
        <f>"183293"</f>
        <v>183293</v>
      </c>
      <c r="F5702" t="str">
        <f t="shared" si="205"/>
        <v>60440000</v>
      </c>
      <c r="G5702" t="str">
        <f t="shared" si="206"/>
        <v>60440001</v>
      </c>
      <c r="H5702" t="s">
        <v>4097</v>
      </c>
      <c r="J5702" s="4">
        <v>1837</v>
      </c>
    </row>
    <row r="5703" spans="1:10" hidden="1" outlineLevel="2" x14ac:dyDescent="0.35">
      <c r="A5703" t="s">
        <v>3115</v>
      </c>
      <c r="B5703" s="1">
        <v>45727</v>
      </c>
      <c r="C5703" t="str">
        <f>"589"</f>
        <v>589</v>
      </c>
      <c r="D5703" t="s">
        <v>4098</v>
      </c>
      <c r="E5703" t="str">
        <f>"183296"</f>
        <v>183296</v>
      </c>
      <c r="F5703" t="str">
        <f t="shared" si="205"/>
        <v>60440000</v>
      </c>
      <c r="G5703" t="str">
        <f t="shared" si="206"/>
        <v>60440001</v>
      </c>
      <c r="H5703" t="s">
        <v>4099</v>
      </c>
      <c r="J5703" s="4">
        <v>7741</v>
      </c>
    </row>
    <row r="5704" spans="1:10" hidden="1" outlineLevel="2" x14ac:dyDescent="0.35">
      <c r="A5704" t="s">
        <v>3115</v>
      </c>
      <c r="B5704" s="1">
        <v>45728</v>
      </c>
      <c r="C5704" t="str">
        <f>"604"</f>
        <v>604</v>
      </c>
      <c r="D5704" t="s">
        <v>4128</v>
      </c>
      <c r="E5704" t="str">
        <f>"181931"</f>
        <v>181931</v>
      </c>
      <c r="F5704" t="str">
        <f t="shared" si="205"/>
        <v>60440000</v>
      </c>
      <c r="G5704" t="str">
        <f t="shared" si="206"/>
        <v>60440001</v>
      </c>
      <c r="H5704" t="s">
        <v>4129</v>
      </c>
      <c r="J5704" s="4">
        <v>2493</v>
      </c>
    </row>
    <row r="5705" spans="1:10" hidden="1" outlineLevel="2" x14ac:dyDescent="0.35">
      <c r="A5705" t="s">
        <v>3115</v>
      </c>
      <c r="B5705" s="1">
        <v>45728</v>
      </c>
      <c r="C5705" t="str">
        <f>"605"</f>
        <v>605</v>
      </c>
      <c r="D5705" t="s">
        <v>4130</v>
      </c>
      <c r="E5705" t="str">
        <f>"181934"</f>
        <v>181934</v>
      </c>
      <c r="F5705" t="str">
        <f t="shared" si="205"/>
        <v>60440000</v>
      </c>
      <c r="G5705" t="str">
        <f t="shared" si="206"/>
        <v>60440001</v>
      </c>
      <c r="H5705" t="s">
        <v>4131</v>
      </c>
      <c r="J5705" s="4">
        <v>1181</v>
      </c>
    </row>
    <row r="5706" spans="1:10" hidden="1" outlineLevel="2" x14ac:dyDescent="0.35">
      <c r="A5706" t="s">
        <v>3115</v>
      </c>
      <c r="B5706" s="1">
        <v>45728</v>
      </c>
      <c r="C5706" t="str">
        <f>"606"</f>
        <v>606</v>
      </c>
      <c r="D5706" t="s">
        <v>4132</v>
      </c>
      <c r="E5706" t="str">
        <f>"181933"</f>
        <v>181933</v>
      </c>
      <c r="F5706" t="str">
        <f t="shared" si="205"/>
        <v>60440000</v>
      </c>
      <c r="G5706" t="str">
        <f t="shared" si="206"/>
        <v>60440001</v>
      </c>
      <c r="H5706" t="s">
        <v>4133</v>
      </c>
      <c r="J5706" s="4">
        <v>525</v>
      </c>
    </row>
    <row r="5707" spans="1:10" hidden="1" outlineLevel="2" x14ac:dyDescent="0.35">
      <c r="A5707" t="s">
        <v>3115</v>
      </c>
      <c r="B5707" s="1">
        <v>45728</v>
      </c>
      <c r="C5707" t="str">
        <f>"609"</f>
        <v>609</v>
      </c>
      <c r="D5707" t="s">
        <v>4138</v>
      </c>
      <c r="E5707" t="str">
        <f>"183299"</f>
        <v>183299</v>
      </c>
      <c r="F5707" t="str">
        <f t="shared" si="205"/>
        <v>60440000</v>
      </c>
      <c r="G5707" t="str">
        <f t="shared" si="206"/>
        <v>60440001</v>
      </c>
      <c r="H5707" t="s">
        <v>4139</v>
      </c>
      <c r="J5707" s="4">
        <v>6166</v>
      </c>
    </row>
    <row r="5708" spans="1:10" hidden="1" outlineLevel="2" x14ac:dyDescent="0.35">
      <c r="A5708" t="s">
        <v>3115</v>
      </c>
      <c r="B5708" s="1">
        <v>45728</v>
      </c>
      <c r="C5708" t="str">
        <f>"613"</f>
        <v>613</v>
      </c>
      <c r="D5708" t="s">
        <v>4146</v>
      </c>
      <c r="E5708" t="str">
        <f>"181932"</f>
        <v>181932</v>
      </c>
      <c r="F5708" t="str">
        <f t="shared" si="205"/>
        <v>60440000</v>
      </c>
      <c r="G5708" t="str">
        <f t="shared" si="206"/>
        <v>60440001</v>
      </c>
      <c r="H5708" t="s">
        <v>4147</v>
      </c>
      <c r="J5708" s="4">
        <v>1640</v>
      </c>
    </row>
    <row r="5709" spans="1:10" hidden="1" outlineLevel="2" x14ac:dyDescent="0.35">
      <c r="A5709" t="s">
        <v>3115</v>
      </c>
      <c r="B5709" s="1">
        <v>45728</v>
      </c>
      <c r="C5709" t="str">
        <f>"616"</f>
        <v>616</v>
      </c>
      <c r="D5709" t="s">
        <v>4152</v>
      </c>
      <c r="E5709" t="str">
        <f>"181745"</f>
        <v>181745</v>
      </c>
      <c r="F5709" t="str">
        <f t="shared" si="205"/>
        <v>60440000</v>
      </c>
      <c r="G5709" t="str">
        <f t="shared" si="206"/>
        <v>60440001</v>
      </c>
      <c r="H5709" t="s">
        <v>4153</v>
      </c>
      <c r="J5709" s="4">
        <v>19941</v>
      </c>
    </row>
    <row r="5710" spans="1:10" hidden="1" outlineLevel="2" x14ac:dyDescent="0.35">
      <c r="A5710" t="s">
        <v>3115</v>
      </c>
      <c r="B5710" s="1">
        <v>45728</v>
      </c>
      <c r="C5710" t="str">
        <f>"617"</f>
        <v>617</v>
      </c>
      <c r="D5710" t="s">
        <v>4154</v>
      </c>
      <c r="E5710" t="str">
        <f>"183300"</f>
        <v>183300</v>
      </c>
      <c r="F5710" t="str">
        <f t="shared" si="205"/>
        <v>60440000</v>
      </c>
      <c r="G5710" t="str">
        <f t="shared" si="206"/>
        <v>60440001</v>
      </c>
      <c r="H5710" t="s">
        <v>4155</v>
      </c>
      <c r="J5710" s="4">
        <v>1968</v>
      </c>
    </row>
    <row r="5711" spans="1:10" hidden="1" outlineLevel="2" x14ac:dyDescent="0.35">
      <c r="A5711" t="s">
        <v>3115</v>
      </c>
      <c r="B5711" s="1">
        <v>45728</v>
      </c>
      <c r="C5711" t="str">
        <f>"619"</f>
        <v>619</v>
      </c>
      <c r="D5711" t="s">
        <v>4158</v>
      </c>
      <c r="E5711" t="str">
        <f>"181936"</f>
        <v>181936</v>
      </c>
      <c r="F5711" t="str">
        <f t="shared" si="205"/>
        <v>60440000</v>
      </c>
      <c r="G5711" t="str">
        <f t="shared" si="206"/>
        <v>60440001</v>
      </c>
      <c r="H5711" t="s">
        <v>4159</v>
      </c>
      <c r="J5711" s="4">
        <v>93015</v>
      </c>
    </row>
    <row r="5712" spans="1:10" hidden="1" outlineLevel="2" x14ac:dyDescent="0.35">
      <c r="A5712" t="s">
        <v>3115</v>
      </c>
      <c r="B5712" s="1">
        <v>45728</v>
      </c>
      <c r="C5712" t="str">
        <f>"621"</f>
        <v>621</v>
      </c>
      <c r="D5712" t="s">
        <v>4162</v>
      </c>
      <c r="E5712" t="str">
        <f>"181182"</f>
        <v>181182</v>
      </c>
      <c r="F5712" t="str">
        <f t="shared" si="205"/>
        <v>60440000</v>
      </c>
      <c r="G5712" t="str">
        <f t="shared" si="206"/>
        <v>60440001</v>
      </c>
      <c r="H5712" t="s">
        <v>4163</v>
      </c>
      <c r="J5712" s="4">
        <v>114662</v>
      </c>
    </row>
    <row r="5713" spans="1:10" hidden="1" outlineLevel="2" x14ac:dyDescent="0.35">
      <c r="A5713" t="s">
        <v>3115</v>
      </c>
      <c r="B5713" s="1">
        <v>45728</v>
      </c>
      <c r="C5713" t="str">
        <f>"622"</f>
        <v>622</v>
      </c>
      <c r="D5713" t="s">
        <v>4164</v>
      </c>
      <c r="E5713" t="str">
        <f>"180460"</f>
        <v>180460</v>
      </c>
      <c r="F5713" t="str">
        <f t="shared" si="205"/>
        <v>60440000</v>
      </c>
      <c r="G5713" t="str">
        <f t="shared" si="206"/>
        <v>60440001</v>
      </c>
      <c r="H5713" t="s">
        <v>4165</v>
      </c>
      <c r="J5713" s="4">
        <v>328</v>
      </c>
    </row>
    <row r="5714" spans="1:10" hidden="1" outlineLevel="2" x14ac:dyDescent="0.35">
      <c r="A5714" t="s">
        <v>3115</v>
      </c>
      <c r="B5714" s="1">
        <v>45728</v>
      </c>
      <c r="C5714" t="str">
        <f>"627"</f>
        <v>627</v>
      </c>
      <c r="D5714" t="s">
        <v>4174</v>
      </c>
      <c r="E5714" t="str">
        <f>"183505"</f>
        <v>183505</v>
      </c>
      <c r="F5714" t="str">
        <f t="shared" si="205"/>
        <v>60440000</v>
      </c>
      <c r="G5714" t="str">
        <f t="shared" si="206"/>
        <v>60440001</v>
      </c>
      <c r="H5714" t="s">
        <v>4175</v>
      </c>
      <c r="J5714" s="4">
        <v>181701</v>
      </c>
    </row>
    <row r="5715" spans="1:10" hidden="1" outlineLevel="2" x14ac:dyDescent="0.35">
      <c r="A5715" t="s">
        <v>3115</v>
      </c>
      <c r="B5715" s="1">
        <v>45728</v>
      </c>
      <c r="C5715" t="str">
        <f>"629"</f>
        <v>629</v>
      </c>
      <c r="D5715" t="s">
        <v>4178</v>
      </c>
      <c r="E5715" t="str">
        <f>"181937"</f>
        <v>181937</v>
      </c>
      <c r="F5715" t="str">
        <f t="shared" si="205"/>
        <v>60440000</v>
      </c>
      <c r="G5715" t="str">
        <f t="shared" si="206"/>
        <v>60440001</v>
      </c>
      <c r="H5715" t="s">
        <v>4179</v>
      </c>
      <c r="J5715" s="4">
        <v>5117</v>
      </c>
    </row>
    <row r="5716" spans="1:10" hidden="1" outlineLevel="2" x14ac:dyDescent="0.35">
      <c r="A5716" t="s">
        <v>3115</v>
      </c>
      <c r="B5716" s="1">
        <v>45728</v>
      </c>
      <c r="C5716" t="str">
        <f>"636"</f>
        <v>636</v>
      </c>
      <c r="D5716" t="s">
        <v>4192</v>
      </c>
      <c r="E5716" t="str">
        <f>"181938"</f>
        <v>181938</v>
      </c>
      <c r="F5716" t="str">
        <f t="shared" si="205"/>
        <v>60440000</v>
      </c>
      <c r="G5716" t="str">
        <f t="shared" si="206"/>
        <v>60440001</v>
      </c>
      <c r="H5716" t="s">
        <v>4193</v>
      </c>
      <c r="J5716" s="4">
        <v>1050</v>
      </c>
    </row>
    <row r="5717" spans="1:10" hidden="1" outlineLevel="2" x14ac:dyDescent="0.35">
      <c r="A5717" t="s">
        <v>3115</v>
      </c>
      <c r="B5717" s="1">
        <v>45728</v>
      </c>
      <c r="C5717" t="str">
        <f>"637"</f>
        <v>637</v>
      </c>
      <c r="D5717" t="s">
        <v>4194</v>
      </c>
      <c r="E5717" t="str">
        <f>"181939"</f>
        <v>181939</v>
      </c>
      <c r="F5717" t="str">
        <f t="shared" si="205"/>
        <v>60440000</v>
      </c>
      <c r="G5717" t="str">
        <f t="shared" si="206"/>
        <v>60440001</v>
      </c>
      <c r="H5717" t="s">
        <v>4195</v>
      </c>
      <c r="J5717" s="4">
        <v>1050</v>
      </c>
    </row>
    <row r="5718" spans="1:10" hidden="1" outlineLevel="2" x14ac:dyDescent="0.35">
      <c r="A5718" t="s">
        <v>3115</v>
      </c>
      <c r="B5718" s="1">
        <v>45729</v>
      </c>
      <c r="C5718" t="str">
        <f>"638"</f>
        <v>638</v>
      </c>
      <c r="D5718" t="s">
        <v>4196</v>
      </c>
      <c r="E5718" t="str">
        <f>"170630"</f>
        <v>170630</v>
      </c>
      <c r="F5718" t="str">
        <f t="shared" si="205"/>
        <v>60440000</v>
      </c>
      <c r="G5718" t="str">
        <f t="shared" si="206"/>
        <v>60440001</v>
      </c>
      <c r="H5718" t="s">
        <v>4197</v>
      </c>
      <c r="J5718" s="4">
        <v>65137</v>
      </c>
    </row>
    <row r="5719" spans="1:10" hidden="1" outlineLevel="2" x14ac:dyDescent="0.35">
      <c r="A5719" t="s">
        <v>3115</v>
      </c>
      <c r="B5719" s="1">
        <v>45729</v>
      </c>
      <c r="C5719" t="str">
        <f>"639"</f>
        <v>639</v>
      </c>
      <c r="D5719" t="s">
        <v>4198</v>
      </c>
      <c r="E5719" t="str">
        <f>"170628"</f>
        <v>170628</v>
      </c>
      <c r="F5719" t="str">
        <f t="shared" si="205"/>
        <v>60440000</v>
      </c>
      <c r="G5719" t="str">
        <f t="shared" si="206"/>
        <v>60440001</v>
      </c>
      <c r="H5719" t="s">
        <v>4199</v>
      </c>
      <c r="J5719" s="4">
        <v>65137</v>
      </c>
    </row>
    <row r="5720" spans="1:10" hidden="1" outlineLevel="2" x14ac:dyDescent="0.35">
      <c r="A5720" t="s">
        <v>3115</v>
      </c>
      <c r="B5720" s="1">
        <v>45729</v>
      </c>
      <c r="C5720" t="str">
        <f>"640"</f>
        <v>640</v>
      </c>
      <c r="D5720" t="s">
        <v>4200</v>
      </c>
      <c r="E5720" t="str">
        <f>"170621"</f>
        <v>170621</v>
      </c>
      <c r="F5720" t="str">
        <f t="shared" si="205"/>
        <v>60440000</v>
      </c>
      <c r="G5720" t="str">
        <f t="shared" si="206"/>
        <v>60440001</v>
      </c>
      <c r="H5720" t="s">
        <v>4201</v>
      </c>
      <c r="J5720" s="4">
        <v>89604</v>
      </c>
    </row>
    <row r="5721" spans="1:10" hidden="1" outlineLevel="2" x14ac:dyDescent="0.35">
      <c r="A5721" t="s">
        <v>3115</v>
      </c>
      <c r="B5721" s="1">
        <v>45729</v>
      </c>
      <c r="C5721" t="str">
        <f>"642"</f>
        <v>642</v>
      </c>
      <c r="D5721" t="s">
        <v>4204</v>
      </c>
      <c r="E5721" t="str">
        <f>"170626"</f>
        <v>170626</v>
      </c>
      <c r="F5721" t="str">
        <f t="shared" si="205"/>
        <v>60440000</v>
      </c>
      <c r="G5721" t="str">
        <f t="shared" si="206"/>
        <v>60440001</v>
      </c>
      <c r="H5721" t="s">
        <v>4205</v>
      </c>
      <c r="J5721" s="4">
        <v>86390</v>
      </c>
    </row>
    <row r="5722" spans="1:10" hidden="1" outlineLevel="2" x14ac:dyDescent="0.35">
      <c r="A5722" t="s">
        <v>3115</v>
      </c>
      <c r="B5722" s="1">
        <v>45729</v>
      </c>
      <c r="C5722" t="str">
        <f>"643"</f>
        <v>643</v>
      </c>
      <c r="D5722" t="s">
        <v>4206</v>
      </c>
      <c r="E5722" t="str">
        <f>"170646"</f>
        <v>170646</v>
      </c>
      <c r="F5722" t="str">
        <f t="shared" si="205"/>
        <v>60440000</v>
      </c>
      <c r="G5722" t="str">
        <f t="shared" si="206"/>
        <v>60440001</v>
      </c>
      <c r="H5722" t="s">
        <v>4207</v>
      </c>
      <c r="J5722" s="4">
        <v>86390</v>
      </c>
    </row>
    <row r="5723" spans="1:10" hidden="1" outlineLevel="2" x14ac:dyDescent="0.35">
      <c r="A5723" t="s">
        <v>3115</v>
      </c>
      <c r="B5723" s="1">
        <v>45729</v>
      </c>
      <c r="C5723" t="str">
        <f>"644"</f>
        <v>644</v>
      </c>
      <c r="D5723" t="s">
        <v>4208</v>
      </c>
      <c r="E5723" t="str">
        <f>"170649"</f>
        <v>170649</v>
      </c>
      <c r="F5723" t="str">
        <f t="shared" si="205"/>
        <v>60440000</v>
      </c>
      <c r="G5723" t="str">
        <f t="shared" si="206"/>
        <v>60440001</v>
      </c>
      <c r="H5723" t="s">
        <v>4209</v>
      </c>
      <c r="J5723" s="4">
        <v>86390</v>
      </c>
    </row>
    <row r="5724" spans="1:10" hidden="1" outlineLevel="2" x14ac:dyDescent="0.35">
      <c r="A5724" t="s">
        <v>3115</v>
      </c>
      <c r="B5724" s="1">
        <v>45729</v>
      </c>
      <c r="C5724" t="str">
        <f>"645"</f>
        <v>645</v>
      </c>
      <c r="D5724" t="s">
        <v>4210</v>
      </c>
      <c r="E5724" t="str">
        <f>"147252"</f>
        <v>147252</v>
      </c>
      <c r="F5724" t="str">
        <f t="shared" si="205"/>
        <v>60440000</v>
      </c>
      <c r="G5724" t="str">
        <f t="shared" si="206"/>
        <v>60440001</v>
      </c>
      <c r="H5724" t="s">
        <v>4211</v>
      </c>
      <c r="J5724" s="4">
        <v>86390</v>
      </c>
    </row>
    <row r="5725" spans="1:10" hidden="1" outlineLevel="2" x14ac:dyDescent="0.35">
      <c r="A5725" t="s">
        <v>3115</v>
      </c>
      <c r="B5725" s="1">
        <v>45729</v>
      </c>
      <c r="C5725" t="str">
        <f>"648"</f>
        <v>648</v>
      </c>
      <c r="D5725" t="s">
        <v>4216</v>
      </c>
      <c r="E5725" t="str">
        <f>"147266"</f>
        <v>147266</v>
      </c>
      <c r="F5725" t="str">
        <f t="shared" si="205"/>
        <v>60440000</v>
      </c>
      <c r="G5725" t="str">
        <f t="shared" si="206"/>
        <v>60440001</v>
      </c>
      <c r="H5725" t="s">
        <v>4217</v>
      </c>
      <c r="J5725" s="4">
        <v>9315</v>
      </c>
    </row>
    <row r="5726" spans="1:10" hidden="1" outlineLevel="2" x14ac:dyDescent="0.35">
      <c r="A5726" t="s">
        <v>3115</v>
      </c>
      <c r="B5726" s="1">
        <v>45729</v>
      </c>
      <c r="C5726" t="str">
        <f>"649"</f>
        <v>649</v>
      </c>
      <c r="D5726" t="s">
        <v>4218</v>
      </c>
      <c r="E5726" t="str">
        <f>"147205"</f>
        <v>147205</v>
      </c>
      <c r="F5726" t="str">
        <f t="shared" si="205"/>
        <v>60440000</v>
      </c>
      <c r="G5726" t="str">
        <f t="shared" si="206"/>
        <v>60440001</v>
      </c>
      <c r="H5726" t="s">
        <v>4219</v>
      </c>
      <c r="J5726" s="4">
        <v>656</v>
      </c>
    </row>
    <row r="5727" spans="1:10" hidden="1" outlineLevel="2" x14ac:dyDescent="0.35">
      <c r="A5727" t="s">
        <v>3115</v>
      </c>
      <c r="B5727" s="1">
        <v>45729</v>
      </c>
      <c r="C5727" t="str">
        <f>"650"</f>
        <v>650</v>
      </c>
      <c r="D5727" t="s">
        <v>4220</v>
      </c>
      <c r="E5727" t="str">
        <f>"156869"</f>
        <v>156869</v>
      </c>
      <c r="F5727" t="str">
        <f t="shared" si="205"/>
        <v>60440000</v>
      </c>
      <c r="G5727" t="str">
        <f t="shared" si="206"/>
        <v>60440001</v>
      </c>
      <c r="H5727" t="s">
        <v>4221</v>
      </c>
      <c r="J5727" s="4">
        <v>29387</v>
      </c>
    </row>
    <row r="5728" spans="1:10" hidden="1" outlineLevel="2" x14ac:dyDescent="0.35">
      <c r="A5728" t="s">
        <v>3115</v>
      </c>
      <c r="B5728" s="1">
        <v>45729</v>
      </c>
      <c r="C5728" t="str">
        <f>"651"</f>
        <v>651</v>
      </c>
      <c r="D5728" t="s">
        <v>4222</v>
      </c>
      <c r="E5728" t="str">
        <f>"156886"</f>
        <v>156886</v>
      </c>
      <c r="F5728" t="str">
        <f t="shared" si="205"/>
        <v>60440000</v>
      </c>
      <c r="G5728" t="str">
        <f t="shared" si="206"/>
        <v>60440001</v>
      </c>
      <c r="H5728" t="s">
        <v>4223</v>
      </c>
      <c r="J5728" s="4">
        <v>29387</v>
      </c>
    </row>
    <row r="5729" spans="1:10" hidden="1" outlineLevel="2" x14ac:dyDescent="0.35">
      <c r="A5729" t="s">
        <v>3115</v>
      </c>
      <c r="B5729" s="1">
        <v>45729</v>
      </c>
      <c r="C5729" t="str">
        <f>"652"</f>
        <v>652</v>
      </c>
      <c r="D5729" t="s">
        <v>4224</v>
      </c>
      <c r="E5729" t="str">
        <f>"156999"</f>
        <v>156999</v>
      </c>
      <c r="F5729" t="str">
        <f t="shared" si="205"/>
        <v>60440000</v>
      </c>
      <c r="G5729" t="str">
        <f t="shared" si="206"/>
        <v>60440001</v>
      </c>
      <c r="H5729" t="s">
        <v>4225</v>
      </c>
      <c r="J5729" s="4">
        <v>29387</v>
      </c>
    </row>
    <row r="5730" spans="1:10" hidden="1" outlineLevel="2" x14ac:dyDescent="0.35">
      <c r="A5730" t="s">
        <v>3115</v>
      </c>
      <c r="B5730" s="1">
        <v>45729</v>
      </c>
      <c r="C5730" t="str">
        <f>"653"</f>
        <v>653</v>
      </c>
      <c r="D5730" t="s">
        <v>4226</v>
      </c>
      <c r="E5730" t="str">
        <f>"170275"</f>
        <v>170275</v>
      </c>
      <c r="F5730" t="str">
        <f t="shared" si="205"/>
        <v>60440000</v>
      </c>
      <c r="G5730" t="str">
        <f t="shared" si="206"/>
        <v>60440001</v>
      </c>
      <c r="H5730" t="s">
        <v>4227</v>
      </c>
      <c r="J5730" s="4">
        <v>29387</v>
      </c>
    </row>
    <row r="5731" spans="1:10" hidden="1" outlineLevel="2" x14ac:dyDescent="0.35">
      <c r="A5731" t="s">
        <v>3115</v>
      </c>
      <c r="B5731" s="1">
        <v>45729</v>
      </c>
      <c r="C5731" t="str">
        <f>"654"</f>
        <v>654</v>
      </c>
      <c r="D5731" t="s">
        <v>4228</v>
      </c>
      <c r="E5731" t="str">
        <f>"170649"</f>
        <v>170649</v>
      </c>
      <c r="F5731" t="str">
        <f t="shared" si="205"/>
        <v>60440000</v>
      </c>
      <c r="G5731" t="str">
        <f t="shared" si="206"/>
        <v>60440001</v>
      </c>
      <c r="H5731" t="s">
        <v>4229</v>
      </c>
      <c r="J5731" s="4">
        <v>13775</v>
      </c>
    </row>
    <row r="5732" spans="1:10" hidden="1" outlineLevel="2" x14ac:dyDescent="0.35">
      <c r="A5732" t="s">
        <v>3115</v>
      </c>
      <c r="B5732" s="1">
        <v>45729</v>
      </c>
      <c r="C5732" t="str">
        <f>"655"</f>
        <v>655</v>
      </c>
      <c r="D5732" t="s">
        <v>4230</v>
      </c>
      <c r="E5732" t="str">
        <f>"170596"</f>
        <v>170596</v>
      </c>
      <c r="F5732" t="str">
        <f t="shared" si="205"/>
        <v>60440000</v>
      </c>
      <c r="G5732" t="str">
        <f t="shared" si="206"/>
        <v>60440001</v>
      </c>
      <c r="H5732" t="s">
        <v>4231</v>
      </c>
      <c r="J5732" s="4">
        <v>337951</v>
      </c>
    </row>
    <row r="5733" spans="1:10" hidden="1" outlineLevel="2" x14ac:dyDescent="0.35">
      <c r="A5733" t="s">
        <v>3115</v>
      </c>
      <c r="B5733" s="1">
        <v>45729</v>
      </c>
      <c r="C5733" t="str">
        <f>"656"</f>
        <v>656</v>
      </c>
      <c r="D5733" t="s">
        <v>4232</v>
      </c>
      <c r="E5733" t="str">
        <f>"170326"</f>
        <v>170326</v>
      </c>
      <c r="F5733" t="str">
        <f t="shared" si="205"/>
        <v>60440000</v>
      </c>
      <c r="G5733" t="str">
        <f t="shared" si="206"/>
        <v>60440001</v>
      </c>
      <c r="H5733" t="s">
        <v>4233</v>
      </c>
      <c r="J5733" s="4">
        <v>85012</v>
      </c>
    </row>
    <row r="5734" spans="1:10" hidden="1" outlineLevel="2" x14ac:dyDescent="0.35">
      <c r="A5734" t="s">
        <v>3115</v>
      </c>
      <c r="B5734" s="1">
        <v>45729</v>
      </c>
      <c r="C5734" t="str">
        <f>"657"</f>
        <v>657</v>
      </c>
      <c r="D5734" t="s">
        <v>4234</v>
      </c>
      <c r="E5734" t="str">
        <f>"170283"</f>
        <v>170283</v>
      </c>
      <c r="F5734" t="str">
        <f t="shared" si="205"/>
        <v>60440000</v>
      </c>
      <c r="G5734" t="str">
        <f t="shared" si="206"/>
        <v>60440001</v>
      </c>
      <c r="H5734" t="s">
        <v>4235</v>
      </c>
      <c r="J5734" s="4">
        <v>85012</v>
      </c>
    </row>
    <row r="5735" spans="1:10" hidden="1" outlineLevel="2" x14ac:dyDescent="0.35">
      <c r="A5735" t="s">
        <v>3115</v>
      </c>
      <c r="B5735" s="1">
        <v>45729</v>
      </c>
      <c r="C5735" t="str">
        <f>"659"</f>
        <v>659</v>
      </c>
      <c r="D5735" t="s">
        <v>4238</v>
      </c>
      <c r="E5735" t="str">
        <f>"183509"</f>
        <v>183509</v>
      </c>
      <c r="F5735" t="str">
        <f t="shared" si="205"/>
        <v>60440000</v>
      </c>
      <c r="G5735" t="str">
        <f t="shared" si="206"/>
        <v>60440001</v>
      </c>
      <c r="H5735" t="s">
        <v>4239</v>
      </c>
      <c r="J5735" s="4">
        <v>93802</v>
      </c>
    </row>
    <row r="5736" spans="1:10" hidden="1" outlineLevel="2" x14ac:dyDescent="0.35">
      <c r="A5736" t="s">
        <v>3115</v>
      </c>
      <c r="B5736" s="1">
        <v>45729</v>
      </c>
      <c r="C5736" t="str">
        <f>"660"</f>
        <v>660</v>
      </c>
      <c r="D5736" t="s">
        <v>4240</v>
      </c>
      <c r="E5736" t="str">
        <f>"181944"</f>
        <v>181944</v>
      </c>
      <c r="F5736" t="str">
        <f t="shared" si="205"/>
        <v>60440000</v>
      </c>
      <c r="G5736" t="str">
        <f t="shared" si="206"/>
        <v>60440001</v>
      </c>
      <c r="H5736" t="s">
        <v>4241</v>
      </c>
      <c r="J5736" s="4">
        <v>8397</v>
      </c>
    </row>
    <row r="5737" spans="1:10" hidden="1" outlineLevel="2" x14ac:dyDescent="0.35">
      <c r="A5737" t="s">
        <v>3115</v>
      </c>
      <c r="B5737" s="1">
        <v>45729</v>
      </c>
      <c r="C5737" t="str">
        <f>"665"</f>
        <v>665</v>
      </c>
      <c r="D5737" t="s">
        <v>4250</v>
      </c>
      <c r="E5737" t="str">
        <f>"1811940"</f>
        <v>1811940</v>
      </c>
      <c r="F5737" t="str">
        <f t="shared" si="205"/>
        <v>60440000</v>
      </c>
      <c r="G5737" t="str">
        <f t="shared" si="206"/>
        <v>60440001</v>
      </c>
      <c r="H5737" t="s">
        <v>4251</v>
      </c>
      <c r="J5737" s="4">
        <v>1050</v>
      </c>
    </row>
    <row r="5738" spans="1:10" hidden="1" outlineLevel="2" x14ac:dyDescent="0.35">
      <c r="A5738" t="s">
        <v>3115</v>
      </c>
      <c r="B5738" s="1">
        <v>45729</v>
      </c>
      <c r="C5738" t="str">
        <f>"666"</f>
        <v>666</v>
      </c>
      <c r="D5738" t="s">
        <v>4252</v>
      </c>
      <c r="E5738" t="str">
        <f>"181942"</f>
        <v>181942</v>
      </c>
      <c r="F5738" t="str">
        <f t="shared" si="205"/>
        <v>60440000</v>
      </c>
      <c r="G5738" t="str">
        <f t="shared" si="206"/>
        <v>60440001</v>
      </c>
      <c r="H5738" t="s">
        <v>4253</v>
      </c>
      <c r="J5738" s="4">
        <v>6691</v>
      </c>
    </row>
    <row r="5739" spans="1:10" hidden="1" outlineLevel="2" x14ac:dyDescent="0.35">
      <c r="A5739" t="s">
        <v>3115</v>
      </c>
      <c r="B5739" s="1">
        <v>45729</v>
      </c>
      <c r="C5739" t="str">
        <f>"668"</f>
        <v>668</v>
      </c>
      <c r="D5739" t="s">
        <v>4256</v>
      </c>
      <c r="E5739" t="str">
        <f>"181941"</f>
        <v>181941</v>
      </c>
      <c r="F5739" t="str">
        <f t="shared" si="205"/>
        <v>60440000</v>
      </c>
      <c r="G5739" t="str">
        <f t="shared" si="206"/>
        <v>60440001</v>
      </c>
      <c r="H5739" t="s">
        <v>4257</v>
      </c>
      <c r="J5739" s="4">
        <v>11021</v>
      </c>
    </row>
    <row r="5740" spans="1:10" hidden="1" outlineLevel="2" x14ac:dyDescent="0.35">
      <c r="A5740" t="s">
        <v>3115</v>
      </c>
      <c r="B5740" s="1">
        <v>45729</v>
      </c>
      <c r="C5740" t="str">
        <f>"670"</f>
        <v>670</v>
      </c>
      <c r="D5740" t="s">
        <v>4260</v>
      </c>
      <c r="E5740" t="str">
        <f>"183507"</f>
        <v>183507</v>
      </c>
      <c r="F5740" t="str">
        <f t="shared" si="205"/>
        <v>60440000</v>
      </c>
      <c r="G5740" t="str">
        <f t="shared" si="206"/>
        <v>60440001</v>
      </c>
      <c r="H5740" t="s">
        <v>4261</v>
      </c>
      <c r="J5740" s="4">
        <v>181701</v>
      </c>
    </row>
    <row r="5741" spans="1:10" hidden="1" outlineLevel="2" x14ac:dyDescent="0.35">
      <c r="A5741" t="s">
        <v>3115</v>
      </c>
      <c r="B5741" s="1">
        <v>45729</v>
      </c>
      <c r="C5741" t="str">
        <f>"673"</f>
        <v>673</v>
      </c>
      <c r="D5741" t="s">
        <v>4266</v>
      </c>
      <c r="E5741" t="str">
        <f>"181943"</f>
        <v>181943</v>
      </c>
      <c r="F5741" t="str">
        <f t="shared" si="205"/>
        <v>60440000</v>
      </c>
      <c r="G5741" t="str">
        <f t="shared" si="206"/>
        <v>60440001</v>
      </c>
      <c r="H5741" t="s">
        <v>4267</v>
      </c>
      <c r="J5741" s="4">
        <v>3739</v>
      </c>
    </row>
    <row r="5742" spans="1:10" hidden="1" outlineLevel="2" x14ac:dyDescent="0.35">
      <c r="A5742" t="s">
        <v>3115</v>
      </c>
      <c r="B5742" s="1">
        <v>45729</v>
      </c>
      <c r="C5742" t="str">
        <f>"674"</f>
        <v>674</v>
      </c>
      <c r="D5742" t="s">
        <v>4268</v>
      </c>
      <c r="E5742" t="str">
        <f>"183506"</f>
        <v>183506</v>
      </c>
      <c r="F5742" t="str">
        <f t="shared" si="205"/>
        <v>60440000</v>
      </c>
      <c r="G5742" t="str">
        <f t="shared" si="206"/>
        <v>60440001</v>
      </c>
      <c r="H5742" t="s">
        <v>4269</v>
      </c>
      <c r="J5742" s="4">
        <v>181701</v>
      </c>
    </row>
    <row r="5743" spans="1:10" hidden="1" outlineLevel="2" x14ac:dyDescent="0.35">
      <c r="A5743" t="s">
        <v>3115</v>
      </c>
      <c r="B5743" s="1">
        <v>45729</v>
      </c>
      <c r="C5743" t="str">
        <f>"675"</f>
        <v>675</v>
      </c>
      <c r="D5743" t="s">
        <v>4270</v>
      </c>
      <c r="E5743" t="str">
        <f>"181843"</f>
        <v>181843</v>
      </c>
      <c r="F5743" t="str">
        <f t="shared" si="205"/>
        <v>60440000</v>
      </c>
      <c r="G5743" t="str">
        <f t="shared" si="206"/>
        <v>60440001</v>
      </c>
      <c r="H5743" t="s">
        <v>4271</v>
      </c>
      <c r="J5743" s="4">
        <v>277996</v>
      </c>
    </row>
    <row r="5744" spans="1:10" hidden="1" outlineLevel="2" x14ac:dyDescent="0.35">
      <c r="A5744" t="s">
        <v>3115</v>
      </c>
      <c r="B5744" s="1">
        <v>45729</v>
      </c>
      <c r="C5744" t="str">
        <f>"676"</f>
        <v>676</v>
      </c>
      <c r="D5744" t="s">
        <v>4272</v>
      </c>
      <c r="E5744" t="str">
        <f>"182085"</f>
        <v>182085</v>
      </c>
      <c r="F5744" t="str">
        <f t="shared" si="205"/>
        <v>60440000</v>
      </c>
      <c r="G5744" t="str">
        <f t="shared" si="206"/>
        <v>60440001</v>
      </c>
      <c r="H5744" t="s">
        <v>4273</v>
      </c>
      <c r="J5744" s="4">
        <v>3477</v>
      </c>
    </row>
    <row r="5745" spans="1:10" hidden="1" outlineLevel="2" x14ac:dyDescent="0.35">
      <c r="A5745" t="s">
        <v>3115</v>
      </c>
      <c r="B5745" s="1">
        <v>45729</v>
      </c>
      <c r="C5745" t="str">
        <f>"678"</f>
        <v>678</v>
      </c>
      <c r="D5745" t="s">
        <v>4276</v>
      </c>
      <c r="E5745" t="str">
        <f>"181245"</f>
        <v>181245</v>
      </c>
      <c r="F5745" t="str">
        <f t="shared" si="205"/>
        <v>60440000</v>
      </c>
      <c r="G5745" t="str">
        <f t="shared" si="206"/>
        <v>60440001</v>
      </c>
      <c r="H5745" t="s">
        <v>4277</v>
      </c>
      <c r="J5745" s="4">
        <v>787</v>
      </c>
    </row>
    <row r="5746" spans="1:10" hidden="1" outlineLevel="2" x14ac:dyDescent="0.35">
      <c r="A5746" t="s">
        <v>3115</v>
      </c>
      <c r="B5746" s="1">
        <v>45729</v>
      </c>
      <c r="C5746" t="str">
        <f>"679"</f>
        <v>679</v>
      </c>
      <c r="D5746" t="s">
        <v>4278</v>
      </c>
      <c r="E5746" t="str">
        <f>"183508"</f>
        <v>183508</v>
      </c>
      <c r="F5746" t="str">
        <f t="shared" si="205"/>
        <v>60440000</v>
      </c>
      <c r="G5746" t="str">
        <f t="shared" si="206"/>
        <v>60440001</v>
      </c>
      <c r="H5746" t="s">
        <v>4279</v>
      </c>
      <c r="J5746" s="4">
        <v>181701</v>
      </c>
    </row>
    <row r="5747" spans="1:10" hidden="1" outlineLevel="2" x14ac:dyDescent="0.35">
      <c r="A5747" t="s">
        <v>3115</v>
      </c>
      <c r="B5747" s="1">
        <v>45729</v>
      </c>
      <c r="C5747" t="str">
        <f>"681"</f>
        <v>681</v>
      </c>
      <c r="D5747" t="s">
        <v>4282</v>
      </c>
      <c r="E5747" t="str">
        <f>"180464"</f>
        <v>180464</v>
      </c>
      <c r="F5747" t="str">
        <f t="shared" si="205"/>
        <v>60440000</v>
      </c>
      <c r="G5747" t="str">
        <f t="shared" si="206"/>
        <v>60440001</v>
      </c>
      <c r="H5747" t="s">
        <v>4283</v>
      </c>
      <c r="J5747" s="4">
        <v>5248</v>
      </c>
    </row>
    <row r="5748" spans="1:10" hidden="1" outlineLevel="2" x14ac:dyDescent="0.35">
      <c r="A5748" t="s">
        <v>3115</v>
      </c>
      <c r="B5748" s="1">
        <v>45729</v>
      </c>
      <c r="C5748" t="str">
        <f>"683"</f>
        <v>683</v>
      </c>
      <c r="D5748" t="s">
        <v>4286</v>
      </c>
      <c r="E5748" t="str">
        <f>"180465"</f>
        <v>180465</v>
      </c>
      <c r="F5748" t="str">
        <f t="shared" si="205"/>
        <v>60440000</v>
      </c>
      <c r="G5748" t="str">
        <f t="shared" si="206"/>
        <v>60440001</v>
      </c>
      <c r="H5748" t="s">
        <v>4287</v>
      </c>
      <c r="J5748" s="4">
        <v>656</v>
      </c>
    </row>
    <row r="5749" spans="1:10" hidden="1" outlineLevel="2" x14ac:dyDescent="0.35">
      <c r="A5749" t="s">
        <v>3115</v>
      </c>
      <c r="B5749" s="1">
        <v>45729</v>
      </c>
      <c r="C5749" t="str">
        <f>"686"</f>
        <v>686</v>
      </c>
      <c r="D5749" t="s">
        <v>4292</v>
      </c>
      <c r="E5749" t="str">
        <f>"180463"</f>
        <v>180463</v>
      </c>
      <c r="F5749" t="str">
        <f t="shared" si="205"/>
        <v>60440000</v>
      </c>
      <c r="G5749" t="str">
        <f t="shared" si="206"/>
        <v>60440001</v>
      </c>
      <c r="H5749" t="s">
        <v>4293</v>
      </c>
      <c r="J5749" s="4">
        <v>984</v>
      </c>
    </row>
    <row r="5750" spans="1:10" hidden="1" outlineLevel="2" x14ac:dyDescent="0.35">
      <c r="A5750" t="s">
        <v>3115</v>
      </c>
      <c r="B5750" s="1">
        <v>45730</v>
      </c>
      <c r="C5750" t="str">
        <f>"168"</f>
        <v>168</v>
      </c>
      <c r="D5750" t="s">
        <v>4302</v>
      </c>
      <c r="E5750" t="str">
        <f>"176319"</f>
        <v>176319</v>
      </c>
      <c r="F5750" t="str">
        <f t="shared" si="205"/>
        <v>60440000</v>
      </c>
      <c r="G5750" t="str">
        <f t="shared" si="206"/>
        <v>60440001</v>
      </c>
      <c r="H5750" t="s">
        <v>4303</v>
      </c>
      <c r="J5750" s="4">
        <v>49246</v>
      </c>
    </row>
    <row r="5751" spans="1:10" hidden="1" outlineLevel="2" x14ac:dyDescent="0.35">
      <c r="A5751" t="s">
        <v>3115</v>
      </c>
      <c r="B5751" s="1">
        <v>45730</v>
      </c>
      <c r="C5751" t="str">
        <f>"169"</f>
        <v>169</v>
      </c>
      <c r="D5751" t="s">
        <v>4304</v>
      </c>
      <c r="E5751" t="str">
        <f>"183408"</f>
        <v>183408</v>
      </c>
      <c r="F5751" t="str">
        <f t="shared" si="205"/>
        <v>60440000</v>
      </c>
      <c r="G5751" t="str">
        <f t="shared" si="206"/>
        <v>60440001</v>
      </c>
      <c r="H5751" t="s">
        <v>4305</v>
      </c>
      <c r="J5751" s="4">
        <v>40600</v>
      </c>
    </row>
    <row r="5752" spans="1:10" hidden="1" outlineLevel="2" x14ac:dyDescent="0.35">
      <c r="A5752" t="s">
        <v>3115</v>
      </c>
      <c r="B5752" s="1">
        <v>45730</v>
      </c>
      <c r="C5752" t="str">
        <f>"170"</f>
        <v>170</v>
      </c>
      <c r="D5752" t="s">
        <v>4306</v>
      </c>
      <c r="E5752" t="str">
        <f>"181196"</f>
        <v>181196</v>
      </c>
      <c r="F5752" t="str">
        <f t="shared" si="205"/>
        <v>60440000</v>
      </c>
      <c r="G5752" t="str">
        <f t="shared" si="206"/>
        <v>60440001</v>
      </c>
      <c r="H5752" t="s">
        <v>4307</v>
      </c>
      <c r="J5752" s="4">
        <v>30947</v>
      </c>
    </row>
    <row r="5753" spans="1:10" hidden="1" outlineLevel="2" x14ac:dyDescent="0.35">
      <c r="A5753" t="s">
        <v>3115</v>
      </c>
      <c r="B5753" s="1">
        <v>45730</v>
      </c>
      <c r="C5753" t="str">
        <f>"171"</f>
        <v>171</v>
      </c>
      <c r="D5753" t="s">
        <v>4308</v>
      </c>
      <c r="E5753" t="str">
        <f>"179582"</f>
        <v>179582</v>
      </c>
      <c r="F5753" t="str">
        <f t="shared" si="205"/>
        <v>60440000</v>
      </c>
      <c r="G5753" t="str">
        <f t="shared" si="206"/>
        <v>60440001</v>
      </c>
      <c r="H5753" t="s">
        <v>4309</v>
      </c>
      <c r="J5753" s="4">
        <v>85000</v>
      </c>
    </row>
    <row r="5754" spans="1:10" hidden="1" outlineLevel="2" x14ac:dyDescent="0.35">
      <c r="A5754" t="s">
        <v>3115</v>
      </c>
      <c r="B5754" s="1">
        <v>45730</v>
      </c>
      <c r="C5754" t="str">
        <f>"172"</f>
        <v>172</v>
      </c>
      <c r="D5754" t="s">
        <v>4310</v>
      </c>
      <c r="E5754" t="str">
        <f>"179581"</f>
        <v>179581</v>
      </c>
      <c r="F5754" t="str">
        <f t="shared" si="205"/>
        <v>60440000</v>
      </c>
      <c r="G5754" t="str">
        <f t="shared" si="206"/>
        <v>60440001</v>
      </c>
      <c r="H5754" t="s">
        <v>4311</v>
      </c>
      <c r="J5754" s="4">
        <v>85000</v>
      </c>
    </row>
    <row r="5755" spans="1:10" hidden="1" outlineLevel="2" x14ac:dyDescent="0.35">
      <c r="A5755" t="s">
        <v>3115</v>
      </c>
      <c r="B5755" s="1">
        <v>45730</v>
      </c>
      <c r="C5755" t="str">
        <f>"173"</f>
        <v>173</v>
      </c>
      <c r="D5755" t="s">
        <v>4312</v>
      </c>
      <c r="E5755" t="str">
        <f>"180065"</f>
        <v>180065</v>
      </c>
      <c r="F5755" t="str">
        <f t="shared" si="205"/>
        <v>60440000</v>
      </c>
      <c r="G5755" t="str">
        <f t="shared" si="206"/>
        <v>60440001</v>
      </c>
      <c r="H5755" t="s">
        <v>4313</v>
      </c>
      <c r="J5755" s="4">
        <v>456801</v>
      </c>
    </row>
    <row r="5756" spans="1:10" hidden="1" outlineLevel="2" x14ac:dyDescent="0.35">
      <c r="A5756" t="s">
        <v>3115</v>
      </c>
      <c r="B5756" s="1">
        <v>45730</v>
      </c>
      <c r="C5756" t="str">
        <f>"174"</f>
        <v>174</v>
      </c>
      <c r="D5756" t="s">
        <v>4314</v>
      </c>
      <c r="E5756" t="str">
        <f>"183561"</f>
        <v>183561</v>
      </c>
      <c r="F5756" t="str">
        <f t="shared" si="205"/>
        <v>60440000</v>
      </c>
      <c r="G5756" t="str">
        <f t="shared" si="206"/>
        <v>60440001</v>
      </c>
      <c r="H5756" t="s">
        <v>4315</v>
      </c>
      <c r="J5756" s="4">
        <v>1706</v>
      </c>
    </row>
    <row r="5757" spans="1:10" hidden="1" outlineLevel="2" x14ac:dyDescent="0.35">
      <c r="A5757" t="s">
        <v>3115</v>
      </c>
      <c r="B5757" s="1">
        <v>45730</v>
      </c>
      <c r="C5757" t="str">
        <f>"175"</f>
        <v>175</v>
      </c>
      <c r="D5757" t="s">
        <v>4316</v>
      </c>
      <c r="E5757" t="str">
        <f>"181948"</f>
        <v>181948</v>
      </c>
      <c r="F5757" t="str">
        <f t="shared" si="205"/>
        <v>60440000</v>
      </c>
      <c r="G5757" t="str">
        <f t="shared" si="206"/>
        <v>60440001</v>
      </c>
      <c r="H5757" t="s">
        <v>4317</v>
      </c>
      <c r="J5757" s="4">
        <v>6429</v>
      </c>
    </row>
    <row r="5758" spans="1:10" hidden="1" outlineLevel="2" x14ac:dyDescent="0.35">
      <c r="A5758" t="s">
        <v>3115</v>
      </c>
      <c r="B5758" s="1">
        <v>45730</v>
      </c>
      <c r="C5758" t="str">
        <f>"176"</f>
        <v>176</v>
      </c>
      <c r="D5758" t="s">
        <v>4318</v>
      </c>
      <c r="E5758" t="str">
        <f>"183560"</f>
        <v>183560</v>
      </c>
      <c r="F5758" t="str">
        <f t="shared" si="205"/>
        <v>60440000</v>
      </c>
      <c r="G5758" t="str">
        <f t="shared" si="206"/>
        <v>60440001</v>
      </c>
      <c r="H5758" t="s">
        <v>4319</v>
      </c>
      <c r="J5758" s="4">
        <v>1574</v>
      </c>
    </row>
    <row r="5759" spans="1:10" hidden="1" outlineLevel="2" x14ac:dyDescent="0.35">
      <c r="A5759" t="s">
        <v>3115</v>
      </c>
      <c r="B5759" s="1">
        <v>45730</v>
      </c>
      <c r="C5759" t="str">
        <f>"177"</f>
        <v>177</v>
      </c>
      <c r="D5759" t="s">
        <v>4320</v>
      </c>
      <c r="E5759" t="str">
        <f>"183559"</f>
        <v>183559</v>
      </c>
      <c r="F5759" t="str">
        <f t="shared" si="205"/>
        <v>60440000</v>
      </c>
      <c r="G5759" t="str">
        <f t="shared" si="206"/>
        <v>60440001</v>
      </c>
      <c r="H5759" t="s">
        <v>4321</v>
      </c>
      <c r="J5759" s="4">
        <v>2230</v>
      </c>
    </row>
    <row r="5760" spans="1:10" hidden="1" outlineLevel="2" x14ac:dyDescent="0.35">
      <c r="A5760" t="s">
        <v>3115</v>
      </c>
      <c r="B5760" s="1">
        <v>45730</v>
      </c>
      <c r="C5760" t="str">
        <f>"184"</f>
        <v>184</v>
      </c>
      <c r="D5760" t="s">
        <v>4334</v>
      </c>
      <c r="E5760" t="str">
        <f>"181996"</f>
        <v>181996</v>
      </c>
      <c r="F5760" t="str">
        <f t="shared" si="205"/>
        <v>60440000</v>
      </c>
      <c r="G5760" t="str">
        <f t="shared" si="206"/>
        <v>60440001</v>
      </c>
      <c r="H5760" t="s">
        <v>4335</v>
      </c>
      <c r="J5760" s="4">
        <v>656</v>
      </c>
    </row>
    <row r="5761" spans="1:10" hidden="1" outlineLevel="2" x14ac:dyDescent="0.35">
      <c r="A5761" t="s">
        <v>3115</v>
      </c>
      <c r="B5761" s="1">
        <v>45730</v>
      </c>
      <c r="C5761" t="str">
        <f>"188"</f>
        <v>188</v>
      </c>
      <c r="D5761" t="s">
        <v>4342</v>
      </c>
      <c r="E5761" t="str">
        <f>"181945"</f>
        <v>181945</v>
      </c>
      <c r="F5761" t="str">
        <f t="shared" si="205"/>
        <v>60440000</v>
      </c>
      <c r="G5761" t="str">
        <f t="shared" si="206"/>
        <v>60440001</v>
      </c>
      <c r="H5761" t="s">
        <v>4343</v>
      </c>
      <c r="J5761" s="4">
        <v>1181</v>
      </c>
    </row>
    <row r="5762" spans="1:10" hidden="1" outlineLevel="2" x14ac:dyDescent="0.35">
      <c r="A5762" t="s">
        <v>3115</v>
      </c>
      <c r="B5762" s="1">
        <v>45730</v>
      </c>
      <c r="C5762" t="str">
        <f>"191"</f>
        <v>191</v>
      </c>
      <c r="D5762" t="s">
        <v>4348</v>
      </c>
      <c r="E5762" t="str">
        <f>"183557"</f>
        <v>183557</v>
      </c>
      <c r="F5762" t="str">
        <f t="shared" si="205"/>
        <v>60440000</v>
      </c>
      <c r="G5762" t="str">
        <f t="shared" si="206"/>
        <v>60440001</v>
      </c>
      <c r="H5762" t="s">
        <v>4349</v>
      </c>
      <c r="J5762" s="4">
        <v>3017</v>
      </c>
    </row>
    <row r="5763" spans="1:10" hidden="1" outlineLevel="2" x14ac:dyDescent="0.35">
      <c r="A5763" t="s">
        <v>3115</v>
      </c>
      <c r="B5763" s="1">
        <v>45730</v>
      </c>
      <c r="C5763" t="str">
        <f>"192"</f>
        <v>192</v>
      </c>
      <c r="D5763" t="s">
        <v>4350</v>
      </c>
      <c r="E5763" t="str">
        <f>"181946"</f>
        <v>181946</v>
      </c>
      <c r="F5763" t="str">
        <f t="shared" ref="F5763:F5826" si="207">"60440000"</f>
        <v>60440000</v>
      </c>
      <c r="G5763" t="str">
        <f t="shared" ref="G5763:G5826" si="208">"60440001"</f>
        <v>60440001</v>
      </c>
      <c r="H5763" t="s">
        <v>4351</v>
      </c>
      <c r="J5763" s="4">
        <v>1181</v>
      </c>
    </row>
    <row r="5764" spans="1:10" hidden="1" outlineLevel="2" x14ac:dyDescent="0.35">
      <c r="A5764" t="s">
        <v>3115</v>
      </c>
      <c r="B5764" s="1">
        <v>45730</v>
      </c>
      <c r="C5764" t="str">
        <f>"196"</f>
        <v>196</v>
      </c>
      <c r="D5764" t="s">
        <v>4358</v>
      </c>
      <c r="E5764" t="str">
        <f>"182087"</f>
        <v>182087</v>
      </c>
      <c r="F5764" t="str">
        <f t="shared" si="207"/>
        <v>60440000</v>
      </c>
      <c r="G5764" t="str">
        <f t="shared" si="208"/>
        <v>60440001</v>
      </c>
      <c r="H5764" t="s">
        <v>4359</v>
      </c>
      <c r="J5764" s="4">
        <v>12792</v>
      </c>
    </row>
    <row r="5765" spans="1:10" hidden="1" outlineLevel="2" x14ac:dyDescent="0.35">
      <c r="A5765" t="s">
        <v>3115</v>
      </c>
      <c r="B5765" s="1">
        <v>45730</v>
      </c>
      <c r="C5765" t="str">
        <f>"197"</f>
        <v>197</v>
      </c>
      <c r="D5765" t="s">
        <v>4360</v>
      </c>
      <c r="E5765" t="str">
        <f>"182203"</f>
        <v>182203</v>
      </c>
      <c r="F5765" t="str">
        <f t="shared" si="207"/>
        <v>60440000</v>
      </c>
      <c r="G5765" t="str">
        <f t="shared" si="208"/>
        <v>60440001</v>
      </c>
      <c r="H5765" t="s">
        <v>4361</v>
      </c>
      <c r="J5765" s="4">
        <v>6297</v>
      </c>
    </row>
    <row r="5766" spans="1:10" hidden="1" outlineLevel="2" x14ac:dyDescent="0.35">
      <c r="A5766" t="s">
        <v>3115</v>
      </c>
      <c r="B5766" s="1">
        <v>45730</v>
      </c>
      <c r="C5766" t="str">
        <f>"202"</f>
        <v>202</v>
      </c>
      <c r="D5766" t="s">
        <v>4370</v>
      </c>
      <c r="E5766" t="str">
        <f>"182204"</f>
        <v>182204</v>
      </c>
      <c r="F5766" t="str">
        <f t="shared" si="207"/>
        <v>60440000</v>
      </c>
      <c r="G5766" t="str">
        <f t="shared" si="208"/>
        <v>60440001</v>
      </c>
      <c r="H5766" t="s">
        <v>4371</v>
      </c>
      <c r="J5766" s="4">
        <v>15021</v>
      </c>
    </row>
    <row r="5767" spans="1:10" hidden="1" outlineLevel="2" x14ac:dyDescent="0.35">
      <c r="A5767" t="s">
        <v>3115</v>
      </c>
      <c r="B5767" s="1">
        <v>45730</v>
      </c>
      <c r="C5767" t="str">
        <f>"203"</f>
        <v>203</v>
      </c>
      <c r="D5767" t="s">
        <v>4372</v>
      </c>
      <c r="E5767" t="str">
        <f>"182205"</f>
        <v>182205</v>
      </c>
      <c r="F5767" t="str">
        <f t="shared" si="207"/>
        <v>60440000</v>
      </c>
      <c r="G5767" t="str">
        <f t="shared" si="208"/>
        <v>60440001</v>
      </c>
      <c r="H5767" t="s">
        <v>4373</v>
      </c>
      <c r="J5767" s="4">
        <v>9971</v>
      </c>
    </row>
    <row r="5768" spans="1:10" hidden="1" outlineLevel="2" x14ac:dyDescent="0.35">
      <c r="A5768" t="s">
        <v>3115</v>
      </c>
      <c r="B5768" s="1">
        <v>45730</v>
      </c>
      <c r="C5768" t="str">
        <f>"1149"</f>
        <v>1149</v>
      </c>
      <c r="D5768" t="s">
        <v>4398</v>
      </c>
      <c r="E5768" t="str">
        <f>"181746"</f>
        <v>181746</v>
      </c>
      <c r="F5768" t="str">
        <f t="shared" si="207"/>
        <v>60440000</v>
      </c>
      <c r="G5768" t="str">
        <f t="shared" si="208"/>
        <v>60440001</v>
      </c>
      <c r="H5768" t="s">
        <v>4399</v>
      </c>
      <c r="J5768" s="4">
        <v>39882</v>
      </c>
    </row>
    <row r="5769" spans="1:10" hidden="1" outlineLevel="2" x14ac:dyDescent="0.35">
      <c r="A5769" t="s">
        <v>3115</v>
      </c>
      <c r="B5769" s="1">
        <v>45730</v>
      </c>
      <c r="C5769" t="str">
        <f>"1150"</f>
        <v>1150</v>
      </c>
      <c r="D5769" t="s">
        <v>4400</v>
      </c>
      <c r="E5769" t="str">
        <f>"181947"</f>
        <v>181947</v>
      </c>
      <c r="F5769" t="str">
        <f t="shared" si="207"/>
        <v>60440000</v>
      </c>
      <c r="G5769" t="str">
        <f t="shared" si="208"/>
        <v>60440001</v>
      </c>
      <c r="H5769" t="s">
        <v>4401</v>
      </c>
      <c r="J5769" s="4">
        <v>4198</v>
      </c>
    </row>
    <row r="5770" spans="1:10" hidden="1" outlineLevel="2" x14ac:dyDescent="0.35">
      <c r="A5770" t="s">
        <v>3115</v>
      </c>
      <c r="B5770" s="1">
        <v>45730</v>
      </c>
      <c r="C5770" t="str">
        <f>"1151"</f>
        <v>1151</v>
      </c>
      <c r="D5770" t="s">
        <v>4402</v>
      </c>
      <c r="E5770" t="str">
        <f>"181950"</f>
        <v>181950</v>
      </c>
      <c r="F5770" t="str">
        <f t="shared" si="207"/>
        <v>60440000</v>
      </c>
      <c r="G5770" t="str">
        <f t="shared" si="208"/>
        <v>60440001</v>
      </c>
      <c r="H5770" t="s">
        <v>4403</v>
      </c>
      <c r="J5770" s="4">
        <v>1968</v>
      </c>
    </row>
    <row r="5771" spans="1:10" hidden="1" outlineLevel="2" x14ac:dyDescent="0.35">
      <c r="A5771" t="s">
        <v>3115</v>
      </c>
      <c r="B5771" s="1">
        <v>45730</v>
      </c>
      <c r="C5771" t="str">
        <f>"1152"</f>
        <v>1152</v>
      </c>
      <c r="D5771" t="s">
        <v>4404</v>
      </c>
      <c r="E5771" t="str">
        <f>"147267"</f>
        <v>147267</v>
      </c>
      <c r="F5771" t="str">
        <f t="shared" si="207"/>
        <v>60440000</v>
      </c>
      <c r="G5771" t="str">
        <f t="shared" si="208"/>
        <v>60440001</v>
      </c>
      <c r="H5771" t="s">
        <v>4405</v>
      </c>
      <c r="J5771" s="4">
        <v>201905</v>
      </c>
    </row>
    <row r="5772" spans="1:10" hidden="1" outlineLevel="2" x14ac:dyDescent="0.35">
      <c r="A5772" t="s">
        <v>3115</v>
      </c>
      <c r="B5772" s="1">
        <v>45731</v>
      </c>
      <c r="C5772" t="str">
        <f>"756"</f>
        <v>756</v>
      </c>
      <c r="D5772" t="s">
        <v>4406</v>
      </c>
      <c r="E5772" t="str">
        <f>"180469"</f>
        <v>180469</v>
      </c>
      <c r="F5772" t="str">
        <f t="shared" si="207"/>
        <v>60440000</v>
      </c>
      <c r="G5772" t="str">
        <f t="shared" si="208"/>
        <v>60440001</v>
      </c>
      <c r="H5772" t="s">
        <v>4407</v>
      </c>
      <c r="J5772" s="4">
        <v>4067</v>
      </c>
    </row>
    <row r="5773" spans="1:10" hidden="1" outlineLevel="2" x14ac:dyDescent="0.35">
      <c r="A5773" t="s">
        <v>3115</v>
      </c>
      <c r="B5773" s="1">
        <v>45731</v>
      </c>
      <c r="C5773" t="str">
        <f>"757"</f>
        <v>757</v>
      </c>
      <c r="D5773" t="s">
        <v>4408</v>
      </c>
      <c r="E5773" t="str">
        <f>"180470"</f>
        <v>180470</v>
      </c>
      <c r="F5773" t="str">
        <f t="shared" si="207"/>
        <v>60440000</v>
      </c>
      <c r="G5773" t="str">
        <f t="shared" si="208"/>
        <v>60440001</v>
      </c>
      <c r="H5773" t="s">
        <v>4409</v>
      </c>
      <c r="J5773" s="4">
        <v>984</v>
      </c>
    </row>
    <row r="5774" spans="1:10" hidden="1" outlineLevel="2" x14ac:dyDescent="0.35">
      <c r="A5774" t="s">
        <v>3115</v>
      </c>
      <c r="B5774" s="1">
        <v>45731</v>
      </c>
      <c r="C5774" t="str">
        <f>"758"</f>
        <v>758</v>
      </c>
      <c r="D5774" t="s">
        <v>4410</v>
      </c>
      <c r="E5774" t="str">
        <f>"180471"</f>
        <v>180471</v>
      </c>
      <c r="F5774" t="str">
        <f t="shared" si="207"/>
        <v>60440000</v>
      </c>
      <c r="G5774" t="str">
        <f t="shared" si="208"/>
        <v>60440001</v>
      </c>
      <c r="H5774" t="s">
        <v>4411</v>
      </c>
      <c r="J5774" s="4">
        <v>656</v>
      </c>
    </row>
    <row r="5775" spans="1:10" hidden="1" outlineLevel="2" x14ac:dyDescent="0.35">
      <c r="A5775" t="s">
        <v>3115</v>
      </c>
      <c r="B5775" s="1">
        <v>45731</v>
      </c>
      <c r="C5775" t="str">
        <f>"759"</f>
        <v>759</v>
      </c>
      <c r="D5775" t="s">
        <v>4412</v>
      </c>
      <c r="E5775" t="str">
        <f>"180472"</f>
        <v>180472</v>
      </c>
      <c r="F5775" t="str">
        <f t="shared" si="207"/>
        <v>60440000</v>
      </c>
      <c r="G5775" t="str">
        <f t="shared" si="208"/>
        <v>60440001</v>
      </c>
      <c r="H5775" t="s">
        <v>4413</v>
      </c>
      <c r="J5775" s="4">
        <v>22172</v>
      </c>
    </row>
    <row r="5776" spans="1:10" hidden="1" outlineLevel="2" x14ac:dyDescent="0.35">
      <c r="A5776" t="s">
        <v>3115</v>
      </c>
      <c r="B5776" s="1">
        <v>45731</v>
      </c>
      <c r="C5776" t="str">
        <f>"760"</f>
        <v>760</v>
      </c>
      <c r="D5776" t="s">
        <v>4414</v>
      </c>
      <c r="E5776" t="str">
        <f>"180473"</f>
        <v>180473</v>
      </c>
      <c r="F5776" t="str">
        <f t="shared" si="207"/>
        <v>60440000</v>
      </c>
      <c r="G5776" t="str">
        <f t="shared" si="208"/>
        <v>60440001</v>
      </c>
      <c r="H5776" t="s">
        <v>4415</v>
      </c>
      <c r="J5776" s="4">
        <v>656</v>
      </c>
    </row>
    <row r="5777" spans="1:10" hidden="1" outlineLevel="2" x14ac:dyDescent="0.35">
      <c r="A5777" t="s">
        <v>3115</v>
      </c>
      <c r="B5777" s="1">
        <v>45731</v>
      </c>
      <c r="C5777" t="str">
        <f>"761"</f>
        <v>761</v>
      </c>
      <c r="D5777" t="s">
        <v>4416</v>
      </c>
      <c r="E5777" t="str">
        <f>"180474"</f>
        <v>180474</v>
      </c>
      <c r="F5777" t="str">
        <f t="shared" si="207"/>
        <v>60440000</v>
      </c>
      <c r="G5777" t="str">
        <f t="shared" si="208"/>
        <v>60440001</v>
      </c>
      <c r="H5777" t="s">
        <v>4417</v>
      </c>
      <c r="J5777" s="4">
        <v>3017</v>
      </c>
    </row>
    <row r="5778" spans="1:10" hidden="1" outlineLevel="2" x14ac:dyDescent="0.35">
      <c r="A5778" t="s">
        <v>3115</v>
      </c>
      <c r="B5778" s="1">
        <v>45731</v>
      </c>
      <c r="C5778" t="str">
        <f>"762"</f>
        <v>762</v>
      </c>
      <c r="D5778" t="s">
        <v>4418</v>
      </c>
      <c r="E5778" t="str">
        <f>"182211"</f>
        <v>182211</v>
      </c>
      <c r="F5778" t="str">
        <f t="shared" si="207"/>
        <v>60440000</v>
      </c>
      <c r="G5778" t="str">
        <f t="shared" si="208"/>
        <v>60440001</v>
      </c>
      <c r="H5778" t="s">
        <v>4419</v>
      </c>
      <c r="J5778" s="4">
        <v>3149</v>
      </c>
    </row>
    <row r="5779" spans="1:10" hidden="1" outlineLevel="2" x14ac:dyDescent="0.35">
      <c r="A5779" t="s">
        <v>3115</v>
      </c>
      <c r="B5779" s="1">
        <v>45731</v>
      </c>
      <c r="C5779" t="str">
        <f>"765"</f>
        <v>765</v>
      </c>
      <c r="D5779" t="s">
        <v>4424</v>
      </c>
      <c r="E5779" t="str">
        <f>"182212"</f>
        <v>182212</v>
      </c>
      <c r="F5779" t="str">
        <f t="shared" si="207"/>
        <v>60440000</v>
      </c>
      <c r="G5779" t="str">
        <f t="shared" si="208"/>
        <v>60440001</v>
      </c>
      <c r="H5779" t="s">
        <v>4425</v>
      </c>
      <c r="J5779" s="4">
        <v>2886</v>
      </c>
    </row>
    <row r="5780" spans="1:10" hidden="1" outlineLevel="2" x14ac:dyDescent="0.35">
      <c r="A5780" t="s">
        <v>3115</v>
      </c>
      <c r="B5780" s="1">
        <v>45732</v>
      </c>
      <c r="C5780" t="str">
        <f>"750"</f>
        <v>750</v>
      </c>
      <c r="D5780" t="s">
        <v>4432</v>
      </c>
      <c r="E5780" t="str">
        <f>"180475"</f>
        <v>180475</v>
      </c>
      <c r="F5780" t="str">
        <f t="shared" si="207"/>
        <v>60440000</v>
      </c>
      <c r="G5780" t="str">
        <f t="shared" si="208"/>
        <v>60440001</v>
      </c>
      <c r="H5780" t="s">
        <v>4433</v>
      </c>
      <c r="J5780" s="4">
        <v>24336</v>
      </c>
    </row>
    <row r="5781" spans="1:10" hidden="1" outlineLevel="2" x14ac:dyDescent="0.35">
      <c r="A5781" t="s">
        <v>3115</v>
      </c>
      <c r="B5781" s="1">
        <v>45732</v>
      </c>
      <c r="C5781" t="str">
        <f>"751"</f>
        <v>751</v>
      </c>
      <c r="D5781" t="s">
        <v>4434</v>
      </c>
      <c r="E5781" t="str">
        <f>"180478"</f>
        <v>180478</v>
      </c>
      <c r="F5781" t="str">
        <f t="shared" si="207"/>
        <v>60440000</v>
      </c>
      <c r="G5781" t="str">
        <f t="shared" si="208"/>
        <v>60440001</v>
      </c>
      <c r="H5781" t="s">
        <v>4435</v>
      </c>
      <c r="J5781" s="4">
        <v>262</v>
      </c>
    </row>
    <row r="5782" spans="1:10" hidden="1" outlineLevel="2" x14ac:dyDescent="0.35">
      <c r="A5782" t="s">
        <v>3115</v>
      </c>
      <c r="B5782" s="1">
        <v>45733</v>
      </c>
      <c r="C5782" t="str">
        <f>"718"</f>
        <v>718</v>
      </c>
      <c r="D5782" t="s">
        <v>4498</v>
      </c>
      <c r="E5782" t="str">
        <f>"147268"</f>
        <v>147268</v>
      </c>
      <c r="F5782" t="str">
        <f t="shared" si="207"/>
        <v>60440000</v>
      </c>
      <c r="G5782" t="str">
        <f t="shared" si="208"/>
        <v>60440001</v>
      </c>
      <c r="H5782" t="s">
        <v>4499</v>
      </c>
      <c r="J5782" s="4">
        <v>174616</v>
      </c>
    </row>
    <row r="5783" spans="1:10" hidden="1" outlineLevel="2" x14ac:dyDescent="0.35">
      <c r="A5783" t="s">
        <v>3115</v>
      </c>
      <c r="B5783" s="1">
        <v>45733</v>
      </c>
      <c r="C5783" t="str">
        <f>"719"</f>
        <v>719</v>
      </c>
      <c r="D5783" t="s">
        <v>4500</v>
      </c>
      <c r="E5783" t="str">
        <f>"147270"</f>
        <v>147270</v>
      </c>
      <c r="F5783" t="str">
        <f t="shared" si="207"/>
        <v>60440000</v>
      </c>
      <c r="G5783" t="str">
        <f t="shared" si="208"/>
        <v>60440001</v>
      </c>
      <c r="H5783" t="s">
        <v>4501</v>
      </c>
      <c r="J5783" s="4">
        <v>50640</v>
      </c>
    </row>
    <row r="5784" spans="1:10" hidden="1" outlineLevel="2" x14ac:dyDescent="0.35">
      <c r="A5784" t="s">
        <v>3115</v>
      </c>
      <c r="B5784" s="1">
        <v>45733</v>
      </c>
      <c r="C5784" t="str">
        <f>"720"</f>
        <v>720</v>
      </c>
      <c r="D5784" t="s">
        <v>4502</v>
      </c>
      <c r="E5784" t="str">
        <f>"147272"</f>
        <v>147272</v>
      </c>
      <c r="F5784" t="str">
        <f t="shared" si="207"/>
        <v>60440000</v>
      </c>
      <c r="G5784" t="str">
        <f t="shared" si="208"/>
        <v>60440001</v>
      </c>
      <c r="H5784" t="s">
        <v>4503</v>
      </c>
      <c r="J5784" s="4">
        <v>74976</v>
      </c>
    </row>
    <row r="5785" spans="1:10" hidden="1" outlineLevel="2" x14ac:dyDescent="0.35">
      <c r="A5785" t="s">
        <v>3115</v>
      </c>
      <c r="B5785" s="1">
        <v>45733</v>
      </c>
      <c r="C5785" t="str">
        <f>"721"</f>
        <v>721</v>
      </c>
      <c r="D5785" t="s">
        <v>4504</v>
      </c>
      <c r="E5785" t="str">
        <f>"183510"</f>
        <v>183510</v>
      </c>
      <c r="F5785" t="str">
        <f t="shared" si="207"/>
        <v>60440000</v>
      </c>
      <c r="G5785" t="str">
        <f t="shared" si="208"/>
        <v>60440001</v>
      </c>
      <c r="H5785" t="s">
        <v>4505</v>
      </c>
      <c r="J5785" s="4">
        <v>181701</v>
      </c>
    </row>
    <row r="5786" spans="1:10" hidden="1" outlineLevel="2" x14ac:dyDescent="0.35">
      <c r="A5786" t="s">
        <v>3115</v>
      </c>
      <c r="B5786" s="1">
        <v>45733</v>
      </c>
      <c r="C5786" t="str">
        <f>"724"</f>
        <v>724</v>
      </c>
      <c r="D5786" t="s">
        <v>4510</v>
      </c>
      <c r="E5786" t="str">
        <f>"182023"</f>
        <v>182023</v>
      </c>
      <c r="F5786" t="str">
        <f t="shared" si="207"/>
        <v>60440000</v>
      </c>
      <c r="G5786" t="str">
        <f t="shared" si="208"/>
        <v>60440001</v>
      </c>
      <c r="H5786" t="s">
        <v>4511</v>
      </c>
      <c r="J5786" s="4">
        <v>1968</v>
      </c>
    </row>
    <row r="5787" spans="1:10" hidden="1" outlineLevel="2" x14ac:dyDescent="0.35">
      <c r="A5787" t="s">
        <v>3115</v>
      </c>
      <c r="B5787" s="1">
        <v>45733</v>
      </c>
      <c r="C5787" t="str">
        <f>"725"</f>
        <v>725</v>
      </c>
      <c r="D5787" t="s">
        <v>4512</v>
      </c>
      <c r="E5787" t="str">
        <f>"182024"</f>
        <v>182024</v>
      </c>
      <c r="F5787" t="str">
        <f t="shared" si="207"/>
        <v>60440000</v>
      </c>
      <c r="G5787" t="str">
        <f t="shared" si="208"/>
        <v>60440001</v>
      </c>
      <c r="H5787" t="s">
        <v>4513</v>
      </c>
      <c r="J5787" s="4">
        <v>2361</v>
      </c>
    </row>
    <row r="5788" spans="1:10" hidden="1" outlineLevel="2" x14ac:dyDescent="0.35">
      <c r="A5788" t="s">
        <v>3115</v>
      </c>
      <c r="B5788" s="1">
        <v>45733</v>
      </c>
      <c r="C5788" t="str">
        <f>"726"</f>
        <v>726</v>
      </c>
      <c r="D5788" t="s">
        <v>4514</v>
      </c>
      <c r="E5788" t="str">
        <f>"182026"</f>
        <v>182026</v>
      </c>
      <c r="F5788" t="str">
        <f t="shared" si="207"/>
        <v>60440000</v>
      </c>
      <c r="G5788" t="str">
        <f t="shared" si="208"/>
        <v>60440001</v>
      </c>
      <c r="H5788" t="s">
        <v>4515</v>
      </c>
      <c r="J5788" s="4">
        <v>20139</v>
      </c>
    </row>
    <row r="5789" spans="1:10" hidden="1" outlineLevel="2" x14ac:dyDescent="0.35">
      <c r="A5789" t="s">
        <v>3115</v>
      </c>
      <c r="B5789" s="1">
        <v>45733</v>
      </c>
      <c r="C5789" t="str">
        <f>"727"</f>
        <v>727</v>
      </c>
      <c r="D5789" t="s">
        <v>4516</v>
      </c>
      <c r="E5789" t="str">
        <f>"182025"</f>
        <v>182025</v>
      </c>
      <c r="F5789" t="str">
        <f t="shared" si="207"/>
        <v>60440000</v>
      </c>
      <c r="G5789" t="str">
        <f t="shared" si="208"/>
        <v>60440001</v>
      </c>
      <c r="H5789" t="s">
        <v>4517</v>
      </c>
      <c r="J5789" s="4">
        <v>5969</v>
      </c>
    </row>
    <row r="5790" spans="1:10" hidden="1" outlineLevel="2" x14ac:dyDescent="0.35">
      <c r="A5790" t="s">
        <v>3115</v>
      </c>
      <c r="B5790" s="1">
        <v>45733</v>
      </c>
      <c r="C5790" t="str">
        <f>"728"</f>
        <v>728</v>
      </c>
      <c r="D5790" t="s">
        <v>4518</v>
      </c>
      <c r="E5790" t="str">
        <f>"183420"</f>
        <v>183420</v>
      </c>
      <c r="F5790" t="str">
        <f t="shared" si="207"/>
        <v>60440000</v>
      </c>
      <c r="G5790" t="str">
        <f t="shared" si="208"/>
        <v>60440001</v>
      </c>
      <c r="H5790" t="s">
        <v>4519</v>
      </c>
      <c r="J5790" s="4">
        <v>4067</v>
      </c>
    </row>
    <row r="5791" spans="1:10" hidden="1" outlineLevel="2" x14ac:dyDescent="0.35">
      <c r="A5791" t="s">
        <v>3115</v>
      </c>
      <c r="B5791" s="1">
        <v>45733</v>
      </c>
      <c r="C5791" t="str">
        <f>"729"</f>
        <v>729</v>
      </c>
      <c r="D5791" t="s">
        <v>4520</v>
      </c>
      <c r="E5791" t="str">
        <f>"182070"</f>
        <v>182070</v>
      </c>
      <c r="F5791" t="str">
        <f t="shared" si="207"/>
        <v>60440000</v>
      </c>
      <c r="G5791" t="str">
        <f t="shared" si="208"/>
        <v>60440001</v>
      </c>
      <c r="H5791" t="s">
        <v>4521</v>
      </c>
      <c r="J5791" s="4">
        <v>98875</v>
      </c>
    </row>
    <row r="5792" spans="1:10" hidden="1" outlineLevel="2" x14ac:dyDescent="0.35">
      <c r="A5792" t="s">
        <v>3115</v>
      </c>
      <c r="B5792" s="1">
        <v>45733</v>
      </c>
      <c r="C5792" t="str">
        <f>"730"</f>
        <v>730</v>
      </c>
      <c r="D5792" t="s">
        <v>4522</v>
      </c>
      <c r="E5792" t="str">
        <f>"183421"</f>
        <v>183421</v>
      </c>
      <c r="F5792" t="str">
        <f t="shared" si="207"/>
        <v>60440000</v>
      </c>
      <c r="G5792" t="str">
        <f t="shared" si="208"/>
        <v>60440001</v>
      </c>
      <c r="H5792" t="s">
        <v>4523</v>
      </c>
      <c r="J5792" s="4">
        <v>24928</v>
      </c>
    </row>
    <row r="5793" spans="1:10" hidden="1" outlineLevel="2" x14ac:dyDescent="0.35">
      <c r="A5793" t="s">
        <v>3115</v>
      </c>
      <c r="B5793" s="1">
        <v>45733</v>
      </c>
      <c r="C5793" t="str">
        <f>"731"</f>
        <v>731</v>
      </c>
      <c r="D5793" t="s">
        <v>4524</v>
      </c>
      <c r="E5793" t="str">
        <f>"162593"</f>
        <v>162593</v>
      </c>
      <c r="F5793" t="str">
        <f t="shared" si="207"/>
        <v>60440000</v>
      </c>
      <c r="G5793" t="str">
        <f t="shared" si="208"/>
        <v>60440001</v>
      </c>
      <c r="H5793" t="s">
        <v>4525</v>
      </c>
      <c r="J5793" s="4">
        <v>6954</v>
      </c>
    </row>
    <row r="5794" spans="1:10" hidden="1" outlineLevel="2" x14ac:dyDescent="0.35">
      <c r="A5794" t="s">
        <v>3115</v>
      </c>
      <c r="B5794" s="1">
        <v>45733</v>
      </c>
      <c r="C5794" t="str">
        <f>"732"</f>
        <v>732</v>
      </c>
      <c r="D5794" t="s">
        <v>4526</v>
      </c>
      <c r="E5794" t="str">
        <f>"182022"</f>
        <v>182022</v>
      </c>
      <c r="F5794" t="str">
        <f t="shared" si="207"/>
        <v>60440000</v>
      </c>
      <c r="G5794" t="str">
        <f t="shared" si="208"/>
        <v>60440001</v>
      </c>
      <c r="H5794" t="s">
        <v>4527</v>
      </c>
      <c r="J5794" s="4">
        <v>787</v>
      </c>
    </row>
    <row r="5795" spans="1:10" hidden="1" outlineLevel="2" x14ac:dyDescent="0.35">
      <c r="A5795" t="s">
        <v>3115</v>
      </c>
      <c r="B5795" s="1">
        <v>45733</v>
      </c>
      <c r="C5795" t="str">
        <f>"733"</f>
        <v>733</v>
      </c>
      <c r="D5795" t="s">
        <v>4528</v>
      </c>
      <c r="E5795" t="str">
        <f>"183311"</f>
        <v>183311</v>
      </c>
      <c r="F5795" t="str">
        <f t="shared" si="207"/>
        <v>60440000</v>
      </c>
      <c r="G5795" t="str">
        <f t="shared" si="208"/>
        <v>60440001</v>
      </c>
      <c r="H5795" t="s">
        <v>4529</v>
      </c>
      <c r="J5795" s="4">
        <v>51776</v>
      </c>
    </row>
    <row r="5796" spans="1:10" hidden="1" outlineLevel="2" x14ac:dyDescent="0.35">
      <c r="A5796" t="s">
        <v>3115</v>
      </c>
      <c r="B5796" s="1">
        <v>45733</v>
      </c>
      <c r="C5796" t="str">
        <f>"734"</f>
        <v>734</v>
      </c>
      <c r="D5796" t="s">
        <v>4530</v>
      </c>
      <c r="E5796" t="str">
        <f>"182079"</f>
        <v>182079</v>
      </c>
      <c r="F5796" t="str">
        <f t="shared" si="207"/>
        <v>60440000</v>
      </c>
      <c r="G5796" t="str">
        <f t="shared" si="208"/>
        <v>60440001</v>
      </c>
      <c r="H5796" t="s">
        <v>4531</v>
      </c>
      <c r="J5796" s="4">
        <v>35000</v>
      </c>
    </row>
    <row r="5797" spans="1:10" hidden="1" outlineLevel="2" x14ac:dyDescent="0.35">
      <c r="A5797" t="s">
        <v>3115</v>
      </c>
      <c r="B5797" s="1">
        <v>45733</v>
      </c>
      <c r="C5797" t="str">
        <f>"735"</f>
        <v>735</v>
      </c>
      <c r="D5797" t="s">
        <v>4532</v>
      </c>
      <c r="E5797" t="str">
        <f>"183553"</f>
        <v>183553</v>
      </c>
      <c r="F5797" t="str">
        <f t="shared" si="207"/>
        <v>60440000</v>
      </c>
      <c r="G5797" t="str">
        <f t="shared" si="208"/>
        <v>60440001</v>
      </c>
      <c r="H5797" t="s">
        <v>4533</v>
      </c>
      <c r="J5797" s="4">
        <v>17500</v>
      </c>
    </row>
    <row r="5798" spans="1:10" hidden="1" outlineLevel="2" x14ac:dyDescent="0.35">
      <c r="A5798" t="s">
        <v>3115</v>
      </c>
      <c r="B5798" s="1">
        <v>45733</v>
      </c>
      <c r="C5798" t="str">
        <f>"736"</f>
        <v>736</v>
      </c>
      <c r="D5798" t="s">
        <v>4534</v>
      </c>
      <c r="E5798" t="str">
        <f>"183554"</f>
        <v>183554</v>
      </c>
      <c r="F5798" t="str">
        <f t="shared" si="207"/>
        <v>60440000</v>
      </c>
      <c r="G5798" t="str">
        <f t="shared" si="208"/>
        <v>60440001</v>
      </c>
      <c r="H5798" t="s">
        <v>4535</v>
      </c>
      <c r="J5798" s="4">
        <v>17500</v>
      </c>
    </row>
    <row r="5799" spans="1:10" hidden="1" outlineLevel="2" x14ac:dyDescent="0.35">
      <c r="A5799" t="s">
        <v>3115</v>
      </c>
      <c r="B5799" s="1">
        <v>45733</v>
      </c>
      <c r="C5799" t="str">
        <f>"737"</f>
        <v>737</v>
      </c>
      <c r="D5799" t="s">
        <v>4536</v>
      </c>
      <c r="E5799" t="str">
        <f>"181740"</f>
        <v>181740</v>
      </c>
      <c r="F5799" t="str">
        <f t="shared" si="207"/>
        <v>60440000</v>
      </c>
      <c r="G5799" t="str">
        <f t="shared" si="208"/>
        <v>60440001</v>
      </c>
      <c r="H5799" t="s">
        <v>4537</v>
      </c>
      <c r="J5799" s="4">
        <v>50180</v>
      </c>
    </row>
    <row r="5800" spans="1:10" hidden="1" outlineLevel="2" x14ac:dyDescent="0.35">
      <c r="A5800" t="s">
        <v>3115</v>
      </c>
      <c r="B5800" s="1">
        <v>45733</v>
      </c>
      <c r="C5800" t="str">
        <f>"738"</f>
        <v>738</v>
      </c>
      <c r="D5800" t="s">
        <v>4538</v>
      </c>
      <c r="E5800" t="str">
        <f>"181189"</f>
        <v>181189</v>
      </c>
      <c r="F5800" t="str">
        <f t="shared" si="207"/>
        <v>60440000</v>
      </c>
      <c r="G5800" t="str">
        <f t="shared" si="208"/>
        <v>60440001</v>
      </c>
      <c r="H5800" t="s">
        <v>4539</v>
      </c>
      <c r="J5800" s="4">
        <v>66185</v>
      </c>
    </row>
    <row r="5801" spans="1:10" hidden="1" outlineLevel="2" x14ac:dyDescent="0.35">
      <c r="A5801" t="s">
        <v>3115</v>
      </c>
      <c r="B5801" s="1">
        <v>45733</v>
      </c>
      <c r="C5801" t="str">
        <f>"739"</f>
        <v>739</v>
      </c>
      <c r="D5801" t="s">
        <v>4540</v>
      </c>
      <c r="E5801" t="str">
        <f>"181168"</f>
        <v>181168</v>
      </c>
      <c r="F5801" t="str">
        <f t="shared" si="207"/>
        <v>60440000</v>
      </c>
      <c r="G5801" t="str">
        <f t="shared" si="208"/>
        <v>60440001</v>
      </c>
      <c r="H5801" t="s">
        <v>4541</v>
      </c>
      <c r="J5801" s="4">
        <v>66185</v>
      </c>
    </row>
    <row r="5802" spans="1:10" hidden="1" outlineLevel="2" x14ac:dyDescent="0.35">
      <c r="A5802" t="s">
        <v>3115</v>
      </c>
      <c r="B5802" s="1">
        <v>45733</v>
      </c>
      <c r="C5802" t="str">
        <f>"740"</f>
        <v>740</v>
      </c>
      <c r="D5802" t="s">
        <v>4542</v>
      </c>
      <c r="E5802" t="str">
        <f>"178697"</f>
        <v>178697</v>
      </c>
      <c r="F5802" t="str">
        <f t="shared" si="207"/>
        <v>60440000</v>
      </c>
      <c r="G5802" t="str">
        <f t="shared" si="208"/>
        <v>60440001</v>
      </c>
      <c r="H5802" t="s">
        <v>4543</v>
      </c>
      <c r="J5802" s="4">
        <v>66185</v>
      </c>
    </row>
    <row r="5803" spans="1:10" hidden="1" outlineLevel="2" x14ac:dyDescent="0.35">
      <c r="A5803" t="s">
        <v>3115</v>
      </c>
      <c r="B5803" s="1">
        <v>45733</v>
      </c>
      <c r="C5803" t="str">
        <f>"741"</f>
        <v>741</v>
      </c>
      <c r="D5803" t="s">
        <v>4544</v>
      </c>
      <c r="E5803" t="str">
        <f>"182217"</f>
        <v>182217</v>
      </c>
      <c r="F5803" t="str">
        <f t="shared" si="207"/>
        <v>60440000</v>
      </c>
      <c r="G5803" t="str">
        <f t="shared" si="208"/>
        <v>60440001</v>
      </c>
      <c r="H5803" t="s">
        <v>4545</v>
      </c>
      <c r="J5803" s="4">
        <v>3149</v>
      </c>
    </row>
    <row r="5804" spans="1:10" hidden="1" outlineLevel="2" x14ac:dyDescent="0.35">
      <c r="A5804" t="s">
        <v>3115</v>
      </c>
      <c r="B5804" s="1">
        <v>45733</v>
      </c>
      <c r="C5804" t="str">
        <f>"742"</f>
        <v>742</v>
      </c>
      <c r="D5804" t="s">
        <v>4546</v>
      </c>
      <c r="E5804" t="str">
        <f>"183460"</f>
        <v>183460</v>
      </c>
      <c r="F5804" t="str">
        <f t="shared" si="207"/>
        <v>60440000</v>
      </c>
      <c r="G5804" t="str">
        <f t="shared" si="208"/>
        <v>60440001</v>
      </c>
      <c r="H5804" t="s">
        <v>4547</v>
      </c>
      <c r="J5804" s="4">
        <v>20391</v>
      </c>
    </row>
    <row r="5805" spans="1:10" hidden="1" outlineLevel="2" x14ac:dyDescent="0.35">
      <c r="A5805" t="s">
        <v>3115</v>
      </c>
      <c r="B5805" s="1">
        <v>45733</v>
      </c>
      <c r="C5805" t="str">
        <f>"743"</f>
        <v>743</v>
      </c>
      <c r="D5805" t="s">
        <v>4548</v>
      </c>
      <c r="E5805" t="str">
        <f>"182108"</f>
        <v>182108</v>
      </c>
      <c r="F5805" t="str">
        <f t="shared" si="207"/>
        <v>60440000</v>
      </c>
      <c r="G5805" t="str">
        <f t="shared" si="208"/>
        <v>60440001</v>
      </c>
      <c r="H5805" t="s">
        <v>4549</v>
      </c>
      <c r="J5805" s="4">
        <v>20391</v>
      </c>
    </row>
    <row r="5806" spans="1:10" hidden="1" outlineLevel="2" x14ac:dyDescent="0.35">
      <c r="A5806" t="s">
        <v>3115</v>
      </c>
      <c r="B5806" s="1">
        <v>45733</v>
      </c>
      <c r="C5806" t="str">
        <f>"744"</f>
        <v>744</v>
      </c>
      <c r="D5806" t="s">
        <v>4550</v>
      </c>
      <c r="E5806" t="str">
        <f>"182109"</f>
        <v>182109</v>
      </c>
      <c r="F5806" t="str">
        <f t="shared" si="207"/>
        <v>60440000</v>
      </c>
      <c r="G5806" t="str">
        <f t="shared" si="208"/>
        <v>60440001</v>
      </c>
      <c r="H5806" t="s">
        <v>4551</v>
      </c>
      <c r="J5806" s="4">
        <v>61173</v>
      </c>
    </row>
    <row r="5807" spans="1:10" hidden="1" outlineLevel="2" x14ac:dyDescent="0.35">
      <c r="A5807" t="s">
        <v>3115</v>
      </c>
      <c r="B5807" s="1">
        <v>45733</v>
      </c>
      <c r="C5807" t="str">
        <f>"745"</f>
        <v>745</v>
      </c>
      <c r="D5807" t="s">
        <v>4552</v>
      </c>
      <c r="E5807" t="str">
        <f>"183461"</f>
        <v>183461</v>
      </c>
      <c r="F5807" t="str">
        <f t="shared" si="207"/>
        <v>60440000</v>
      </c>
      <c r="G5807" t="str">
        <f t="shared" si="208"/>
        <v>60440001</v>
      </c>
      <c r="H5807" t="s">
        <v>4553</v>
      </c>
      <c r="J5807" s="4">
        <v>61173</v>
      </c>
    </row>
    <row r="5808" spans="1:10" hidden="1" outlineLevel="2" x14ac:dyDescent="0.35">
      <c r="A5808" t="s">
        <v>3115</v>
      </c>
      <c r="B5808" s="1">
        <v>45733</v>
      </c>
      <c r="C5808" t="str">
        <f>"746"</f>
        <v>746</v>
      </c>
      <c r="D5808" t="s">
        <v>4554</v>
      </c>
      <c r="E5808" t="str">
        <f>"183462"</f>
        <v>183462</v>
      </c>
      <c r="F5808" t="str">
        <f t="shared" si="207"/>
        <v>60440000</v>
      </c>
      <c r="G5808" t="str">
        <f t="shared" si="208"/>
        <v>60440001</v>
      </c>
      <c r="H5808" t="s">
        <v>4555</v>
      </c>
      <c r="J5808" s="4">
        <v>20391</v>
      </c>
    </row>
    <row r="5809" spans="1:10" hidden="1" outlineLevel="2" x14ac:dyDescent="0.35">
      <c r="A5809" t="s">
        <v>3115</v>
      </c>
      <c r="B5809" s="1">
        <v>45733</v>
      </c>
      <c r="C5809" t="str">
        <f>"747"</f>
        <v>747</v>
      </c>
      <c r="D5809" t="s">
        <v>4556</v>
      </c>
      <c r="E5809" t="str">
        <f>"183463"</f>
        <v>183463</v>
      </c>
      <c r="F5809" t="str">
        <f t="shared" si="207"/>
        <v>60440000</v>
      </c>
      <c r="G5809" t="str">
        <f t="shared" si="208"/>
        <v>60440001</v>
      </c>
      <c r="H5809" t="s">
        <v>4557</v>
      </c>
      <c r="J5809" s="4">
        <v>40782</v>
      </c>
    </row>
    <row r="5810" spans="1:10" hidden="1" outlineLevel="2" x14ac:dyDescent="0.35">
      <c r="A5810" t="s">
        <v>3115</v>
      </c>
      <c r="B5810" s="1">
        <v>45733</v>
      </c>
      <c r="C5810" t="str">
        <f>"748"</f>
        <v>748</v>
      </c>
      <c r="D5810" t="s">
        <v>4558</v>
      </c>
      <c r="E5810" t="str">
        <f>"182074"</f>
        <v>182074</v>
      </c>
      <c r="F5810" t="str">
        <f t="shared" si="207"/>
        <v>60440000</v>
      </c>
      <c r="G5810" t="str">
        <f t="shared" si="208"/>
        <v>60440001</v>
      </c>
      <c r="H5810" t="s">
        <v>4559</v>
      </c>
      <c r="J5810" s="4">
        <v>145250</v>
      </c>
    </row>
    <row r="5811" spans="1:10" hidden="1" outlineLevel="2" x14ac:dyDescent="0.35">
      <c r="A5811" t="s">
        <v>3115</v>
      </c>
      <c r="B5811" s="1">
        <v>45733</v>
      </c>
      <c r="C5811" t="str">
        <f>"749"</f>
        <v>749</v>
      </c>
      <c r="D5811" t="s">
        <v>4560</v>
      </c>
      <c r="E5811" t="str">
        <f>"180480"</f>
        <v>180480</v>
      </c>
      <c r="F5811" t="str">
        <f t="shared" si="207"/>
        <v>60440000</v>
      </c>
      <c r="G5811" t="str">
        <f t="shared" si="208"/>
        <v>60440001</v>
      </c>
      <c r="H5811" t="s">
        <v>4561</v>
      </c>
      <c r="J5811" s="4">
        <v>262</v>
      </c>
    </row>
    <row r="5812" spans="1:10" hidden="1" outlineLevel="2" x14ac:dyDescent="0.35">
      <c r="A5812" t="s">
        <v>3115</v>
      </c>
      <c r="B5812" s="1">
        <v>45734</v>
      </c>
      <c r="C5812" t="str">
        <f>"447"</f>
        <v>447</v>
      </c>
      <c r="D5812" t="s">
        <v>4562</v>
      </c>
      <c r="E5812" t="str">
        <f>"147214"</f>
        <v>147214</v>
      </c>
      <c r="F5812" t="str">
        <f t="shared" si="207"/>
        <v>60440000</v>
      </c>
      <c r="G5812" t="str">
        <f t="shared" si="208"/>
        <v>60440001</v>
      </c>
      <c r="H5812" t="s">
        <v>4563</v>
      </c>
      <c r="J5812" s="4">
        <v>1443</v>
      </c>
    </row>
    <row r="5813" spans="1:10" hidden="1" outlineLevel="2" x14ac:dyDescent="0.35">
      <c r="A5813" t="s">
        <v>3115</v>
      </c>
      <c r="B5813" s="1">
        <v>45734</v>
      </c>
      <c r="C5813" t="str">
        <f>"448"</f>
        <v>448</v>
      </c>
      <c r="D5813" t="s">
        <v>4564</v>
      </c>
      <c r="E5813" t="str">
        <f>"147215"</f>
        <v>147215</v>
      </c>
      <c r="F5813" t="str">
        <f t="shared" si="207"/>
        <v>60440000</v>
      </c>
      <c r="G5813" t="str">
        <f t="shared" si="208"/>
        <v>60440001</v>
      </c>
      <c r="H5813" t="s">
        <v>4565</v>
      </c>
      <c r="J5813" s="4">
        <v>29977</v>
      </c>
    </row>
    <row r="5814" spans="1:10" hidden="1" outlineLevel="2" x14ac:dyDescent="0.35">
      <c r="A5814" t="s">
        <v>3115</v>
      </c>
      <c r="B5814" s="1">
        <v>45734</v>
      </c>
      <c r="C5814" t="str">
        <f>"452"</f>
        <v>452</v>
      </c>
      <c r="D5814" t="s">
        <v>4572</v>
      </c>
      <c r="E5814" t="str">
        <f>"183513"</f>
        <v>183513</v>
      </c>
      <c r="F5814" t="str">
        <f t="shared" si="207"/>
        <v>60440000</v>
      </c>
      <c r="G5814" t="str">
        <f t="shared" si="208"/>
        <v>60440001</v>
      </c>
      <c r="H5814" t="s">
        <v>4573</v>
      </c>
      <c r="J5814" s="4">
        <v>181701</v>
      </c>
    </row>
    <row r="5815" spans="1:10" hidden="1" outlineLevel="2" x14ac:dyDescent="0.35">
      <c r="A5815" t="s">
        <v>3115</v>
      </c>
      <c r="B5815" s="1">
        <v>45734</v>
      </c>
      <c r="C5815" t="str">
        <f>"454"</f>
        <v>454</v>
      </c>
      <c r="D5815" t="s">
        <v>4576</v>
      </c>
      <c r="E5815" t="str">
        <f>"182088"</f>
        <v>182088</v>
      </c>
      <c r="F5815" t="str">
        <f t="shared" si="207"/>
        <v>60440000</v>
      </c>
      <c r="G5815" t="str">
        <f t="shared" si="208"/>
        <v>60440001</v>
      </c>
      <c r="H5815" t="s">
        <v>4577</v>
      </c>
      <c r="J5815" s="4">
        <v>3477</v>
      </c>
    </row>
    <row r="5816" spans="1:10" hidden="1" outlineLevel="2" x14ac:dyDescent="0.35">
      <c r="A5816" t="s">
        <v>3115</v>
      </c>
      <c r="B5816" s="1">
        <v>45734</v>
      </c>
      <c r="C5816" t="str">
        <f>"456"</f>
        <v>456</v>
      </c>
      <c r="D5816" t="s">
        <v>4580</v>
      </c>
      <c r="E5816" t="str">
        <f>"183565"</f>
        <v>183565</v>
      </c>
      <c r="F5816" t="str">
        <f t="shared" si="207"/>
        <v>60440000</v>
      </c>
      <c r="G5816" t="str">
        <f t="shared" si="208"/>
        <v>60440001</v>
      </c>
      <c r="H5816" t="s">
        <v>4581</v>
      </c>
      <c r="J5816" s="4">
        <v>6429</v>
      </c>
    </row>
    <row r="5817" spans="1:10" hidden="1" outlineLevel="2" x14ac:dyDescent="0.35">
      <c r="A5817" t="s">
        <v>3115</v>
      </c>
      <c r="B5817" s="1">
        <v>45734</v>
      </c>
      <c r="C5817" t="str">
        <f>"457"</f>
        <v>457</v>
      </c>
      <c r="D5817" t="s">
        <v>4582</v>
      </c>
      <c r="E5817" t="str">
        <f>"183563"</f>
        <v>183563</v>
      </c>
      <c r="F5817" t="str">
        <f t="shared" si="207"/>
        <v>60440000</v>
      </c>
      <c r="G5817" t="str">
        <f t="shared" si="208"/>
        <v>60440001</v>
      </c>
      <c r="H5817" t="s">
        <v>4583</v>
      </c>
      <c r="J5817" s="4">
        <v>2165</v>
      </c>
    </row>
    <row r="5818" spans="1:10" hidden="1" outlineLevel="2" x14ac:dyDescent="0.35">
      <c r="A5818" t="s">
        <v>3115</v>
      </c>
      <c r="B5818" s="1">
        <v>45734</v>
      </c>
      <c r="C5818" t="str">
        <f>"463"</f>
        <v>463</v>
      </c>
      <c r="D5818" t="s">
        <v>4594</v>
      </c>
      <c r="E5818" t="str">
        <f>"182091"</f>
        <v>182091</v>
      </c>
      <c r="F5818" t="str">
        <f t="shared" si="207"/>
        <v>60440000</v>
      </c>
      <c r="G5818" t="str">
        <f t="shared" si="208"/>
        <v>60440001</v>
      </c>
      <c r="H5818" t="s">
        <v>4595</v>
      </c>
      <c r="J5818" s="4">
        <v>39619</v>
      </c>
    </row>
    <row r="5819" spans="1:10" hidden="1" outlineLevel="2" x14ac:dyDescent="0.35">
      <c r="A5819" t="s">
        <v>3115</v>
      </c>
      <c r="B5819" s="1">
        <v>45734</v>
      </c>
      <c r="C5819" t="str">
        <f>"468"</f>
        <v>468</v>
      </c>
      <c r="D5819" t="s">
        <v>4604</v>
      </c>
      <c r="E5819" t="str">
        <f>"182223"</f>
        <v>182223</v>
      </c>
      <c r="F5819" t="str">
        <f t="shared" si="207"/>
        <v>60440000</v>
      </c>
      <c r="G5819" t="str">
        <f t="shared" si="208"/>
        <v>60440001</v>
      </c>
      <c r="H5819" t="s">
        <v>4605</v>
      </c>
      <c r="J5819" s="4">
        <v>122270</v>
      </c>
    </row>
    <row r="5820" spans="1:10" hidden="1" outlineLevel="2" x14ac:dyDescent="0.35">
      <c r="A5820" t="s">
        <v>3115</v>
      </c>
      <c r="B5820" s="1">
        <v>45734</v>
      </c>
      <c r="C5820" t="str">
        <f>"473"</f>
        <v>473</v>
      </c>
      <c r="D5820" t="s">
        <v>4614</v>
      </c>
      <c r="E5820" t="str">
        <f>"180483"</f>
        <v>180483</v>
      </c>
      <c r="F5820" t="str">
        <f t="shared" si="207"/>
        <v>60440000</v>
      </c>
      <c r="G5820" t="str">
        <f t="shared" si="208"/>
        <v>60440001</v>
      </c>
      <c r="H5820" t="s">
        <v>4615</v>
      </c>
      <c r="J5820" s="4">
        <v>5117</v>
      </c>
    </row>
    <row r="5821" spans="1:10" hidden="1" outlineLevel="2" x14ac:dyDescent="0.35">
      <c r="A5821" t="s">
        <v>3115</v>
      </c>
      <c r="B5821" s="1">
        <v>45734</v>
      </c>
      <c r="C5821" t="str">
        <f>"474"</f>
        <v>474</v>
      </c>
      <c r="D5821" t="s">
        <v>4616</v>
      </c>
      <c r="E5821" t="str">
        <f>"180484"</f>
        <v>180484</v>
      </c>
      <c r="F5821" t="str">
        <f t="shared" si="207"/>
        <v>60440000</v>
      </c>
      <c r="G5821" t="str">
        <f t="shared" si="208"/>
        <v>60440001</v>
      </c>
      <c r="H5821" t="s">
        <v>4617</v>
      </c>
      <c r="J5821" s="4">
        <v>1181</v>
      </c>
    </row>
    <row r="5822" spans="1:10" hidden="1" outlineLevel="2" x14ac:dyDescent="0.35">
      <c r="A5822" t="s">
        <v>3115</v>
      </c>
      <c r="B5822" s="1">
        <v>45734</v>
      </c>
      <c r="C5822" t="str">
        <f>"475"</f>
        <v>475</v>
      </c>
      <c r="D5822" t="s">
        <v>4618</v>
      </c>
      <c r="E5822" t="str">
        <f>"180485"</f>
        <v>180485</v>
      </c>
      <c r="F5822" t="str">
        <f t="shared" si="207"/>
        <v>60440000</v>
      </c>
      <c r="G5822" t="str">
        <f t="shared" si="208"/>
        <v>60440001</v>
      </c>
      <c r="H5822" t="s">
        <v>4619</v>
      </c>
      <c r="J5822" s="4">
        <v>787</v>
      </c>
    </row>
    <row r="5823" spans="1:10" hidden="1" outlineLevel="2" x14ac:dyDescent="0.35">
      <c r="A5823" t="s">
        <v>3115</v>
      </c>
      <c r="B5823" s="1">
        <v>45734</v>
      </c>
      <c r="C5823" t="str">
        <f>"478"</f>
        <v>478</v>
      </c>
      <c r="D5823" t="s">
        <v>4624</v>
      </c>
      <c r="E5823" t="str">
        <f>"181750"</f>
        <v>181750</v>
      </c>
      <c r="F5823" t="str">
        <f t="shared" si="207"/>
        <v>60440000</v>
      </c>
      <c r="G5823" t="str">
        <f t="shared" si="208"/>
        <v>60440001</v>
      </c>
      <c r="H5823" t="s">
        <v>4625</v>
      </c>
      <c r="J5823" s="4">
        <v>2493</v>
      </c>
    </row>
    <row r="5824" spans="1:10" hidden="1" outlineLevel="2" x14ac:dyDescent="0.35">
      <c r="A5824" t="s">
        <v>3115</v>
      </c>
      <c r="B5824" s="1">
        <v>45734</v>
      </c>
      <c r="C5824" t="str">
        <f>"482"</f>
        <v>482</v>
      </c>
      <c r="D5824" t="s">
        <v>4632</v>
      </c>
      <c r="E5824" t="str">
        <f>"181749"</f>
        <v>181749</v>
      </c>
      <c r="F5824" t="str">
        <f t="shared" si="207"/>
        <v>60440000</v>
      </c>
      <c r="G5824" t="str">
        <f t="shared" si="208"/>
        <v>60440001</v>
      </c>
      <c r="H5824" t="s">
        <v>4633</v>
      </c>
      <c r="J5824" s="4">
        <v>7609</v>
      </c>
    </row>
    <row r="5825" spans="1:10" hidden="1" outlineLevel="2" x14ac:dyDescent="0.35">
      <c r="A5825" t="s">
        <v>3115</v>
      </c>
      <c r="B5825" s="1">
        <v>45735</v>
      </c>
      <c r="C5825" t="str">
        <f>"338"</f>
        <v>338</v>
      </c>
      <c r="D5825" t="s">
        <v>4638</v>
      </c>
      <c r="E5825" t="str">
        <f>"147216"</f>
        <v>147216</v>
      </c>
      <c r="F5825" t="str">
        <f t="shared" si="207"/>
        <v>60440000</v>
      </c>
      <c r="G5825" t="str">
        <f t="shared" si="208"/>
        <v>60440001</v>
      </c>
      <c r="H5825" t="s">
        <v>4639</v>
      </c>
      <c r="J5825" s="4">
        <v>262</v>
      </c>
    </row>
    <row r="5826" spans="1:10" hidden="1" outlineLevel="2" x14ac:dyDescent="0.35">
      <c r="A5826" t="s">
        <v>3115</v>
      </c>
      <c r="B5826" s="1">
        <v>45735</v>
      </c>
      <c r="C5826" t="str">
        <f>"340"</f>
        <v>340</v>
      </c>
      <c r="D5826" t="s">
        <v>4642</v>
      </c>
      <c r="E5826" t="str">
        <f>"147274"</f>
        <v>147274</v>
      </c>
      <c r="F5826" t="str">
        <f t="shared" si="207"/>
        <v>60440000</v>
      </c>
      <c r="G5826" t="str">
        <f t="shared" si="208"/>
        <v>60440001</v>
      </c>
      <c r="H5826" t="s">
        <v>4643</v>
      </c>
      <c r="J5826" s="4">
        <v>1299982</v>
      </c>
    </row>
    <row r="5827" spans="1:10" hidden="1" outlineLevel="2" x14ac:dyDescent="0.35">
      <c r="A5827" t="s">
        <v>3115</v>
      </c>
      <c r="B5827" s="1">
        <v>45735</v>
      </c>
      <c r="C5827" t="str">
        <f>"341"</f>
        <v>341</v>
      </c>
      <c r="D5827" t="s">
        <v>4644</v>
      </c>
      <c r="E5827" t="str">
        <f>"183568"</f>
        <v>183568</v>
      </c>
      <c r="F5827" t="str">
        <f t="shared" ref="F5827:F5890" si="209">"60440000"</f>
        <v>60440000</v>
      </c>
      <c r="G5827" t="str">
        <f t="shared" ref="G5827:G5890" si="210">"60440001"</f>
        <v>60440001</v>
      </c>
      <c r="H5827" t="s">
        <v>4645</v>
      </c>
      <c r="J5827" s="4">
        <v>6297</v>
      </c>
    </row>
    <row r="5828" spans="1:10" hidden="1" outlineLevel="2" x14ac:dyDescent="0.35">
      <c r="A5828" t="s">
        <v>3115</v>
      </c>
      <c r="B5828" s="1">
        <v>45735</v>
      </c>
      <c r="C5828" t="str">
        <f>"343"</f>
        <v>343</v>
      </c>
      <c r="D5828" t="s">
        <v>4648</v>
      </c>
      <c r="E5828" t="str">
        <f>"183571"</f>
        <v>183571</v>
      </c>
      <c r="F5828" t="str">
        <f t="shared" si="209"/>
        <v>60440000</v>
      </c>
      <c r="G5828" t="str">
        <f t="shared" si="210"/>
        <v>60440001</v>
      </c>
      <c r="H5828" t="s">
        <v>4649</v>
      </c>
      <c r="J5828" s="4">
        <v>19941</v>
      </c>
    </row>
    <row r="5829" spans="1:10" hidden="1" outlineLevel="2" x14ac:dyDescent="0.35">
      <c r="A5829" t="s">
        <v>3115</v>
      </c>
      <c r="B5829" s="1">
        <v>45735</v>
      </c>
      <c r="C5829" t="str">
        <f>"344"</f>
        <v>344</v>
      </c>
      <c r="D5829" t="s">
        <v>4650</v>
      </c>
      <c r="E5829" t="str">
        <f>"183569"</f>
        <v>183569</v>
      </c>
      <c r="F5829" t="str">
        <f t="shared" si="209"/>
        <v>60440000</v>
      </c>
      <c r="G5829" t="str">
        <f t="shared" si="210"/>
        <v>60440001</v>
      </c>
      <c r="H5829" t="s">
        <v>4651</v>
      </c>
      <c r="J5829" s="4">
        <v>5838</v>
      </c>
    </row>
    <row r="5830" spans="1:10" hidden="1" outlineLevel="2" x14ac:dyDescent="0.35">
      <c r="A5830" t="s">
        <v>3115</v>
      </c>
      <c r="B5830" s="1">
        <v>45735</v>
      </c>
      <c r="C5830" t="str">
        <f>"353"</f>
        <v>353</v>
      </c>
      <c r="D5830" t="s">
        <v>4668</v>
      </c>
      <c r="E5830" t="str">
        <f>"183429"</f>
        <v>183429</v>
      </c>
      <c r="F5830" t="str">
        <f t="shared" si="209"/>
        <v>60440000</v>
      </c>
      <c r="G5830" t="str">
        <f t="shared" si="210"/>
        <v>60440001</v>
      </c>
      <c r="H5830" t="s">
        <v>4669</v>
      </c>
      <c r="J5830" s="4">
        <v>3936</v>
      </c>
    </row>
    <row r="5831" spans="1:10" hidden="1" outlineLevel="2" x14ac:dyDescent="0.35">
      <c r="A5831" t="s">
        <v>3115</v>
      </c>
      <c r="B5831" s="1">
        <v>45735</v>
      </c>
      <c r="C5831" t="str">
        <f>"354"</f>
        <v>354</v>
      </c>
      <c r="D5831" t="s">
        <v>4670</v>
      </c>
      <c r="E5831" t="str">
        <f>"183430"</f>
        <v>183430</v>
      </c>
      <c r="F5831" t="str">
        <f t="shared" si="209"/>
        <v>60440000</v>
      </c>
      <c r="G5831" t="str">
        <f t="shared" si="210"/>
        <v>60440001</v>
      </c>
      <c r="H5831" t="s">
        <v>4671</v>
      </c>
      <c r="J5831" s="4">
        <v>11348</v>
      </c>
    </row>
    <row r="5832" spans="1:10" hidden="1" outlineLevel="2" x14ac:dyDescent="0.35">
      <c r="A5832" t="s">
        <v>3115</v>
      </c>
      <c r="B5832" s="1">
        <v>45735</v>
      </c>
      <c r="C5832" t="str">
        <f>"358"</f>
        <v>358</v>
      </c>
      <c r="D5832" t="s">
        <v>4678</v>
      </c>
      <c r="E5832" t="str">
        <f>"183517"</f>
        <v>183517</v>
      </c>
      <c r="F5832" t="str">
        <f t="shared" si="209"/>
        <v>60440000</v>
      </c>
      <c r="G5832" t="str">
        <f t="shared" si="210"/>
        <v>60440001</v>
      </c>
      <c r="H5832" t="s">
        <v>4679</v>
      </c>
      <c r="J5832" s="4">
        <v>74911</v>
      </c>
    </row>
    <row r="5833" spans="1:10" hidden="1" outlineLevel="2" x14ac:dyDescent="0.35">
      <c r="A5833" t="s">
        <v>3115</v>
      </c>
      <c r="B5833" s="1">
        <v>45735</v>
      </c>
      <c r="C5833" t="str">
        <f>"360"</f>
        <v>360</v>
      </c>
      <c r="D5833" t="s">
        <v>4682</v>
      </c>
      <c r="E5833" t="str">
        <f>"183516"</f>
        <v>183516</v>
      </c>
      <c r="F5833" t="str">
        <f t="shared" si="209"/>
        <v>60440000</v>
      </c>
      <c r="G5833" t="str">
        <f t="shared" si="210"/>
        <v>60440001</v>
      </c>
      <c r="H5833" t="s">
        <v>4683</v>
      </c>
      <c r="J5833" s="4">
        <v>252217</v>
      </c>
    </row>
    <row r="5834" spans="1:10" hidden="1" outlineLevel="2" x14ac:dyDescent="0.35">
      <c r="A5834" t="s">
        <v>3115</v>
      </c>
      <c r="B5834" s="1">
        <v>45735</v>
      </c>
      <c r="C5834" t="str">
        <f>"361"</f>
        <v>361</v>
      </c>
      <c r="D5834" t="s">
        <v>4684</v>
      </c>
      <c r="E5834" t="str">
        <f>"183515"</f>
        <v>183515</v>
      </c>
      <c r="F5834" t="str">
        <f t="shared" si="209"/>
        <v>60440000</v>
      </c>
      <c r="G5834" t="str">
        <f t="shared" si="210"/>
        <v>60440001</v>
      </c>
      <c r="H5834" t="s">
        <v>4685</v>
      </c>
      <c r="J5834" s="4">
        <v>184915</v>
      </c>
    </row>
    <row r="5835" spans="1:10" hidden="1" outlineLevel="2" x14ac:dyDescent="0.35">
      <c r="A5835" t="s">
        <v>3115</v>
      </c>
      <c r="B5835" s="1">
        <v>45735</v>
      </c>
      <c r="C5835" t="str">
        <f>"384"</f>
        <v>384</v>
      </c>
      <c r="D5835" t="s">
        <v>4730</v>
      </c>
      <c r="E5835" t="str">
        <f>"182071"</f>
        <v>182071</v>
      </c>
      <c r="F5835" t="str">
        <f t="shared" si="209"/>
        <v>60440000</v>
      </c>
      <c r="G5835" t="str">
        <f t="shared" si="210"/>
        <v>60440001</v>
      </c>
      <c r="H5835" t="s">
        <v>4731</v>
      </c>
      <c r="J5835" s="4">
        <v>65000</v>
      </c>
    </row>
    <row r="5836" spans="1:10" hidden="1" outlineLevel="2" x14ac:dyDescent="0.35">
      <c r="A5836" t="s">
        <v>3115</v>
      </c>
      <c r="B5836" s="1">
        <v>45735</v>
      </c>
      <c r="C5836" t="str">
        <f>"385"</f>
        <v>385</v>
      </c>
      <c r="D5836" t="s">
        <v>4732</v>
      </c>
      <c r="E5836" t="str">
        <f>"183273"</f>
        <v>183273</v>
      </c>
      <c r="F5836" t="str">
        <f t="shared" si="209"/>
        <v>60440000</v>
      </c>
      <c r="G5836" t="str">
        <f t="shared" si="210"/>
        <v>60440001</v>
      </c>
      <c r="H5836" t="s">
        <v>4733</v>
      </c>
      <c r="J5836" s="4">
        <v>30000</v>
      </c>
    </row>
    <row r="5837" spans="1:10" hidden="1" outlineLevel="2" x14ac:dyDescent="0.35">
      <c r="A5837" t="s">
        <v>3115</v>
      </c>
      <c r="B5837" s="1">
        <v>45735</v>
      </c>
      <c r="C5837" t="str">
        <f>"386"</f>
        <v>386</v>
      </c>
      <c r="D5837" t="s">
        <v>4734</v>
      </c>
      <c r="E5837" t="str">
        <f>"183555"</f>
        <v>183555</v>
      </c>
      <c r="F5837" t="str">
        <f t="shared" si="209"/>
        <v>60440000</v>
      </c>
      <c r="G5837" t="str">
        <f t="shared" si="210"/>
        <v>60440001</v>
      </c>
      <c r="H5837" t="s">
        <v>4735</v>
      </c>
      <c r="J5837" s="4">
        <v>65000</v>
      </c>
    </row>
    <row r="5838" spans="1:10" hidden="1" outlineLevel="2" x14ac:dyDescent="0.35">
      <c r="A5838" t="s">
        <v>3115</v>
      </c>
      <c r="B5838" s="1">
        <v>45735</v>
      </c>
      <c r="C5838" t="str">
        <f>"392"</f>
        <v>392</v>
      </c>
      <c r="D5838" t="s">
        <v>4746</v>
      </c>
      <c r="E5838" t="str">
        <f>"181915"</f>
        <v>181915</v>
      </c>
      <c r="F5838" t="str">
        <f t="shared" si="209"/>
        <v>60440000</v>
      </c>
      <c r="G5838" t="str">
        <f t="shared" si="210"/>
        <v>60440001</v>
      </c>
      <c r="H5838" t="s">
        <v>4747</v>
      </c>
      <c r="J5838" s="4">
        <v>330000</v>
      </c>
    </row>
    <row r="5839" spans="1:10" hidden="1" outlineLevel="2" x14ac:dyDescent="0.35">
      <c r="A5839" t="s">
        <v>3115</v>
      </c>
      <c r="B5839" s="1">
        <v>45735</v>
      </c>
      <c r="C5839" t="str">
        <f>"394"</f>
        <v>394</v>
      </c>
      <c r="D5839" t="s">
        <v>4750</v>
      </c>
      <c r="E5839" t="str">
        <f>"183556"</f>
        <v>183556</v>
      </c>
      <c r="F5839" t="str">
        <f t="shared" si="209"/>
        <v>60440000</v>
      </c>
      <c r="G5839" t="str">
        <f t="shared" si="210"/>
        <v>60440001</v>
      </c>
      <c r="H5839" t="s">
        <v>4751</v>
      </c>
      <c r="J5839" s="4">
        <v>3500</v>
      </c>
    </row>
    <row r="5840" spans="1:10" hidden="1" outlineLevel="2" x14ac:dyDescent="0.35">
      <c r="A5840" t="s">
        <v>3115</v>
      </c>
      <c r="B5840" s="1">
        <v>45735</v>
      </c>
      <c r="C5840" t="str">
        <f>"396"</f>
        <v>396</v>
      </c>
      <c r="D5840" t="s">
        <v>4754</v>
      </c>
      <c r="E5840" t="str">
        <f>"181975"</f>
        <v>181975</v>
      </c>
      <c r="F5840" t="str">
        <f t="shared" si="209"/>
        <v>60440000</v>
      </c>
      <c r="G5840" t="str">
        <f t="shared" si="210"/>
        <v>60440001</v>
      </c>
      <c r="H5840" t="s">
        <v>4755</v>
      </c>
      <c r="J5840" s="4">
        <v>300000</v>
      </c>
    </row>
    <row r="5841" spans="1:10" hidden="1" outlineLevel="2" x14ac:dyDescent="0.35">
      <c r="A5841" t="s">
        <v>3115</v>
      </c>
      <c r="B5841" s="1">
        <v>45735</v>
      </c>
      <c r="C5841" t="str">
        <f>"397"</f>
        <v>397</v>
      </c>
      <c r="D5841" t="s">
        <v>4756</v>
      </c>
      <c r="E5841" t="str">
        <f>"183278"</f>
        <v>183278</v>
      </c>
      <c r="F5841" t="str">
        <f t="shared" si="209"/>
        <v>60440000</v>
      </c>
      <c r="G5841" t="str">
        <f t="shared" si="210"/>
        <v>60440001</v>
      </c>
      <c r="H5841" t="s">
        <v>4757</v>
      </c>
      <c r="J5841" s="4">
        <v>60000</v>
      </c>
    </row>
    <row r="5842" spans="1:10" hidden="1" outlineLevel="2" x14ac:dyDescent="0.35">
      <c r="A5842" t="s">
        <v>3115</v>
      </c>
      <c r="B5842" s="1">
        <v>45735</v>
      </c>
      <c r="C5842" t="str">
        <f>"398"</f>
        <v>398</v>
      </c>
      <c r="D5842" t="s">
        <v>4758</v>
      </c>
      <c r="E5842" t="str">
        <f>"181738"</f>
        <v>181738</v>
      </c>
      <c r="F5842" t="str">
        <f t="shared" si="209"/>
        <v>60440000</v>
      </c>
      <c r="G5842" t="str">
        <f t="shared" si="210"/>
        <v>60440001</v>
      </c>
      <c r="H5842" t="s">
        <v>4759</v>
      </c>
      <c r="J5842" s="4">
        <v>80000</v>
      </c>
    </row>
    <row r="5843" spans="1:10" hidden="1" outlineLevel="2" x14ac:dyDescent="0.35">
      <c r="A5843" t="s">
        <v>3115</v>
      </c>
      <c r="B5843" s="1">
        <v>45735</v>
      </c>
      <c r="C5843" t="str">
        <f>"399"</f>
        <v>399</v>
      </c>
      <c r="D5843" t="s">
        <v>4760</v>
      </c>
      <c r="E5843" t="str">
        <f>"183515"</f>
        <v>183515</v>
      </c>
      <c r="F5843" t="str">
        <f t="shared" si="209"/>
        <v>60440000</v>
      </c>
      <c r="G5843" t="str">
        <f t="shared" si="210"/>
        <v>60440001</v>
      </c>
      <c r="H5843" t="s">
        <v>4761</v>
      </c>
      <c r="J5843" s="4">
        <v>41653</v>
      </c>
    </row>
    <row r="5844" spans="1:10" hidden="1" outlineLevel="2" x14ac:dyDescent="0.35">
      <c r="A5844" t="s">
        <v>3115</v>
      </c>
      <c r="B5844" s="1">
        <v>45735</v>
      </c>
      <c r="C5844" t="str">
        <f>"402"</f>
        <v>402</v>
      </c>
      <c r="D5844" t="s">
        <v>4766</v>
      </c>
      <c r="E5844" t="str">
        <f>"181737"</f>
        <v>181737</v>
      </c>
      <c r="F5844" t="str">
        <f t="shared" si="209"/>
        <v>60440000</v>
      </c>
      <c r="G5844" t="str">
        <f t="shared" si="210"/>
        <v>60440001</v>
      </c>
      <c r="H5844" t="s">
        <v>4767</v>
      </c>
      <c r="J5844" s="4">
        <v>80000</v>
      </c>
    </row>
    <row r="5845" spans="1:10" hidden="1" outlineLevel="2" x14ac:dyDescent="0.35">
      <c r="A5845" t="s">
        <v>3115</v>
      </c>
      <c r="B5845" s="1">
        <v>45735</v>
      </c>
      <c r="C5845" t="str">
        <f>"403"</f>
        <v>403</v>
      </c>
      <c r="D5845" t="s">
        <v>4768</v>
      </c>
      <c r="E5845" t="str">
        <f>"180769"</f>
        <v>180769</v>
      </c>
      <c r="F5845" t="str">
        <f t="shared" si="209"/>
        <v>60440000</v>
      </c>
      <c r="G5845" t="str">
        <f t="shared" si="210"/>
        <v>60440001</v>
      </c>
      <c r="H5845" t="s">
        <v>4769</v>
      </c>
      <c r="J5845" s="4">
        <v>130000</v>
      </c>
    </row>
    <row r="5846" spans="1:10" hidden="1" outlineLevel="2" x14ac:dyDescent="0.35">
      <c r="A5846" t="s">
        <v>3115</v>
      </c>
      <c r="B5846" s="1">
        <v>45735</v>
      </c>
      <c r="C5846" t="str">
        <f>"485"</f>
        <v>485</v>
      </c>
      <c r="D5846" t="s">
        <v>4774</v>
      </c>
      <c r="E5846" t="str">
        <f>"183401"</f>
        <v>183401</v>
      </c>
      <c r="F5846" t="str">
        <f t="shared" si="209"/>
        <v>60440000</v>
      </c>
      <c r="G5846" t="str">
        <f t="shared" si="210"/>
        <v>60440001</v>
      </c>
      <c r="H5846" t="s">
        <v>4775</v>
      </c>
      <c r="J5846" s="4">
        <v>903000</v>
      </c>
    </row>
    <row r="5847" spans="1:10" hidden="1" outlineLevel="2" x14ac:dyDescent="0.35">
      <c r="A5847" t="s">
        <v>3115</v>
      </c>
      <c r="B5847" s="1">
        <v>45735</v>
      </c>
      <c r="C5847" t="str">
        <f>"486"</f>
        <v>486</v>
      </c>
      <c r="D5847" t="s">
        <v>4776</v>
      </c>
      <c r="E5847" t="str">
        <f>"181830"</f>
        <v>181830</v>
      </c>
      <c r="F5847" t="str">
        <f t="shared" si="209"/>
        <v>60440000</v>
      </c>
      <c r="G5847" t="str">
        <f t="shared" si="210"/>
        <v>60440001</v>
      </c>
      <c r="H5847" t="s">
        <v>4777</v>
      </c>
      <c r="J5847" s="4">
        <v>1600000</v>
      </c>
    </row>
    <row r="5848" spans="1:10" hidden="1" outlineLevel="2" x14ac:dyDescent="0.35">
      <c r="A5848" t="s">
        <v>3115</v>
      </c>
      <c r="B5848" s="1">
        <v>45735</v>
      </c>
      <c r="C5848" t="str">
        <f>"487"</f>
        <v>487</v>
      </c>
      <c r="D5848" t="s">
        <v>4778</v>
      </c>
      <c r="E5848" t="str">
        <f>"181733"</f>
        <v>181733</v>
      </c>
      <c r="F5848" t="str">
        <f t="shared" si="209"/>
        <v>60440000</v>
      </c>
      <c r="G5848" t="str">
        <f t="shared" si="210"/>
        <v>60440001</v>
      </c>
      <c r="H5848" t="s">
        <v>4779</v>
      </c>
      <c r="J5848" s="4">
        <v>70000</v>
      </c>
    </row>
    <row r="5849" spans="1:10" hidden="1" outlineLevel="2" x14ac:dyDescent="0.35">
      <c r="A5849" t="s">
        <v>3115</v>
      </c>
      <c r="B5849" s="1">
        <v>45735</v>
      </c>
      <c r="C5849" t="str">
        <f>"488"</f>
        <v>488</v>
      </c>
      <c r="D5849" t="s">
        <v>4780</v>
      </c>
      <c r="E5849" t="str">
        <f>"180840"</f>
        <v>180840</v>
      </c>
      <c r="F5849" t="str">
        <f t="shared" si="209"/>
        <v>60440000</v>
      </c>
      <c r="G5849" t="str">
        <f t="shared" si="210"/>
        <v>60440001</v>
      </c>
      <c r="H5849" t="s">
        <v>4781</v>
      </c>
      <c r="J5849" s="4">
        <v>20000</v>
      </c>
    </row>
    <row r="5850" spans="1:10" hidden="1" outlineLevel="2" x14ac:dyDescent="0.35">
      <c r="A5850" t="s">
        <v>3115</v>
      </c>
      <c r="B5850" s="1">
        <v>45735</v>
      </c>
      <c r="C5850" t="str">
        <f>"489"</f>
        <v>489</v>
      </c>
      <c r="D5850" t="s">
        <v>4782</v>
      </c>
      <c r="E5850" t="str">
        <f>"181828"</f>
        <v>181828</v>
      </c>
      <c r="F5850" t="str">
        <f t="shared" si="209"/>
        <v>60440000</v>
      </c>
      <c r="G5850" t="str">
        <f t="shared" si="210"/>
        <v>60440001</v>
      </c>
      <c r="H5850" t="s">
        <v>4783</v>
      </c>
      <c r="J5850" s="4">
        <v>150000</v>
      </c>
    </row>
    <row r="5851" spans="1:10" hidden="1" outlineLevel="2" x14ac:dyDescent="0.35">
      <c r="A5851" t="s">
        <v>3115</v>
      </c>
      <c r="B5851" s="1">
        <v>45735</v>
      </c>
      <c r="C5851" t="str">
        <f>"490"</f>
        <v>490</v>
      </c>
      <c r="D5851" t="s">
        <v>4784</v>
      </c>
      <c r="E5851" t="str">
        <f>"181829"</f>
        <v>181829</v>
      </c>
      <c r="F5851" t="str">
        <f t="shared" si="209"/>
        <v>60440000</v>
      </c>
      <c r="G5851" t="str">
        <f t="shared" si="210"/>
        <v>60440001</v>
      </c>
      <c r="H5851" t="s">
        <v>4785</v>
      </c>
      <c r="J5851" s="4">
        <v>140000</v>
      </c>
    </row>
    <row r="5852" spans="1:10" hidden="1" outlineLevel="2" x14ac:dyDescent="0.35">
      <c r="A5852" t="s">
        <v>3115</v>
      </c>
      <c r="B5852" s="1">
        <v>45735</v>
      </c>
      <c r="C5852" t="str">
        <f>"491"</f>
        <v>491</v>
      </c>
      <c r="D5852" t="s">
        <v>4786</v>
      </c>
      <c r="E5852" t="str">
        <f>"181831"</f>
        <v>181831</v>
      </c>
      <c r="F5852" t="str">
        <f t="shared" si="209"/>
        <v>60440000</v>
      </c>
      <c r="G5852" t="str">
        <f t="shared" si="210"/>
        <v>60440001</v>
      </c>
      <c r="H5852" t="s">
        <v>4787</v>
      </c>
      <c r="J5852" s="4">
        <v>75000</v>
      </c>
    </row>
    <row r="5853" spans="1:10" hidden="1" outlineLevel="2" x14ac:dyDescent="0.35">
      <c r="A5853" t="s">
        <v>3115</v>
      </c>
      <c r="B5853" s="1">
        <v>45735</v>
      </c>
      <c r="C5853" t="str">
        <f>"492"</f>
        <v>492</v>
      </c>
      <c r="D5853" t="s">
        <v>4788</v>
      </c>
      <c r="E5853" t="str">
        <f>"181736"</f>
        <v>181736</v>
      </c>
      <c r="F5853" t="str">
        <f t="shared" si="209"/>
        <v>60440000</v>
      </c>
      <c r="G5853" t="str">
        <f t="shared" si="210"/>
        <v>60440001</v>
      </c>
      <c r="H5853" t="s">
        <v>4789</v>
      </c>
      <c r="J5853" s="4">
        <v>80000</v>
      </c>
    </row>
    <row r="5854" spans="1:10" hidden="1" outlineLevel="2" x14ac:dyDescent="0.35">
      <c r="A5854" t="s">
        <v>3115</v>
      </c>
      <c r="B5854" s="1">
        <v>45735</v>
      </c>
      <c r="C5854" t="str">
        <f>"493"</f>
        <v>493</v>
      </c>
      <c r="D5854" t="s">
        <v>4790</v>
      </c>
      <c r="E5854" t="str">
        <f>"182069"</f>
        <v>182069</v>
      </c>
      <c r="F5854" t="str">
        <f t="shared" si="209"/>
        <v>60440000</v>
      </c>
      <c r="G5854" t="str">
        <f t="shared" si="210"/>
        <v>60440001</v>
      </c>
      <c r="H5854" t="s">
        <v>4791</v>
      </c>
      <c r="J5854" s="4">
        <v>3500</v>
      </c>
    </row>
    <row r="5855" spans="1:10" hidden="1" outlineLevel="2" x14ac:dyDescent="0.35">
      <c r="A5855" t="s">
        <v>3115</v>
      </c>
      <c r="B5855" s="1">
        <v>45735</v>
      </c>
      <c r="C5855" t="str">
        <f>"494"</f>
        <v>494</v>
      </c>
      <c r="D5855" t="s">
        <v>4792</v>
      </c>
      <c r="E5855" t="str">
        <f>"180068"</f>
        <v>180068</v>
      </c>
      <c r="F5855" t="str">
        <f t="shared" si="209"/>
        <v>60440000</v>
      </c>
      <c r="G5855" t="str">
        <f t="shared" si="210"/>
        <v>60440001</v>
      </c>
      <c r="H5855" t="s">
        <v>4793</v>
      </c>
      <c r="J5855" s="4">
        <v>750000</v>
      </c>
    </row>
    <row r="5856" spans="1:10" hidden="1" outlineLevel="2" x14ac:dyDescent="0.35">
      <c r="A5856" t="s">
        <v>3115</v>
      </c>
      <c r="B5856" s="1">
        <v>45735</v>
      </c>
      <c r="C5856" t="str">
        <f>"495"</f>
        <v>495</v>
      </c>
      <c r="D5856" t="s">
        <v>4794</v>
      </c>
      <c r="E5856" t="str">
        <f>"183301"</f>
        <v>183301</v>
      </c>
      <c r="F5856" t="str">
        <f t="shared" si="209"/>
        <v>60440000</v>
      </c>
      <c r="G5856" t="str">
        <f t="shared" si="210"/>
        <v>60440001</v>
      </c>
      <c r="H5856" t="s">
        <v>4795</v>
      </c>
      <c r="J5856" s="4">
        <v>170000</v>
      </c>
    </row>
    <row r="5857" spans="1:10" hidden="1" outlineLevel="2" x14ac:dyDescent="0.35">
      <c r="A5857" t="s">
        <v>3115</v>
      </c>
      <c r="B5857" s="1">
        <v>45735</v>
      </c>
      <c r="C5857" t="str">
        <f>"496"</f>
        <v>496</v>
      </c>
      <c r="D5857" t="s">
        <v>4796</v>
      </c>
      <c r="E5857" t="str">
        <f>"179892"</f>
        <v>179892</v>
      </c>
      <c r="F5857" t="str">
        <f t="shared" si="209"/>
        <v>60440000</v>
      </c>
      <c r="G5857" t="str">
        <f t="shared" si="210"/>
        <v>60440001</v>
      </c>
      <c r="H5857" t="s">
        <v>4797</v>
      </c>
      <c r="J5857" s="4">
        <v>70000</v>
      </c>
    </row>
    <row r="5858" spans="1:10" hidden="1" outlineLevel="2" x14ac:dyDescent="0.35">
      <c r="A5858" t="s">
        <v>3115</v>
      </c>
      <c r="B5858" s="1">
        <v>45735</v>
      </c>
      <c r="C5858" t="str">
        <f>"497"</f>
        <v>497</v>
      </c>
      <c r="D5858" t="s">
        <v>4798</v>
      </c>
      <c r="E5858" t="str">
        <f>"181836"</f>
        <v>181836</v>
      </c>
      <c r="F5858" t="str">
        <f t="shared" si="209"/>
        <v>60440000</v>
      </c>
      <c r="G5858" t="str">
        <f t="shared" si="210"/>
        <v>60440001</v>
      </c>
      <c r="H5858" t="s">
        <v>4799</v>
      </c>
      <c r="J5858" s="4">
        <v>75000</v>
      </c>
    </row>
    <row r="5859" spans="1:10" hidden="1" outlineLevel="2" x14ac:dyDescent="0.35">
      <c r="A5859" t="s">
        <v>3115</v>
      </c>
      <c r="B5859" s="1">
        <v>45735</v>
      </c>
      <c r="C5859" t="str">
        <f>"498"</f>
        <v>498</v>
      </c>
      <c r="D5859" t="s">
        <v>4800</v>
      </c>
      <c r="E5859" t="str">
        <f>"181897"</f>
        <v>181897</v>
      </c>
      <c r="F5859" t="str">
        <f t="shared" si="209"/>
        <v>60440000</v>
      </c>
      <c r="G5859" t="str">
        <f t="shared" si="210"/>
        <v>60440001</v>
      </c>
      <c r="H5859" t="s">
        <v>4801</v>
      </c>
      <c r="J5859" s="4">
        <v>15000</v>
      </c>
    </row>
    <row r="5860" spans="1:10" hidden="1" outlineLevel="2" x14ac:dyDescent="0.35">
      <c r="A5860" t="s">
        <v>3115</v>
      </c>
      <c r="B5860" s="1">
        <v>45735</v>
      </c>
      <c r="C5860" t="str">
        <f>"499"</f>
        <v>499</v>
      </c>
      <c r="D5860" t="s">
        <v>4802</v>
      </c>
      <c r="E5860" t="str">
        <f>"182092"</f>
        <v>182092</v>
      </c>
      <c r="F5860" t="str">
        <f t="shared" si="209"/>
        <v>60440000</v>
      </c>
      <c r="G5860" t="str">
        <f t="shared" si="210"/>
        <v>60440001</v>
      </c>
      <c r="H5860" t="s">
        <v>4803</v>
      </c>
      <c r="J5860" s="4">
        <v>3673</v>
      </c>
    </row>
    <row r="5861" spans="1:10" hidden="1" outlineLevel="2" x14ac:dyDescent="0.35">
      <c r="A5861" t="s">
        <v>3115</v>
      </c>
      <c r="B5861" s="1">
        <v>45735</v>
      </c>
      <c r="C5861" t="str">
        <f>"500"</f>
        <v>500</v>
      </c>
      <c r="D5861" t="s">
        <v>4804</v>
      </c>
      <c r="E5861" t="str">
        <f>"182227"</f>
        <v>182227</v>
      </c>
      <c r="F5861" t="str">
        <f t="shared" si="209"/>
        <v>60440000</v>
      </c>
      <c r="G5861" t="str">
        <f t="shared" si="210"/>
        <v>60440001</v>
      </c>
      <c r="H5861" t="s">
        <v>4805</v>
      </c>
      <c r="J5861" s="4">
        <v>3149</v>
      </c>
    </row>
    <row r="5862" spans="1:10" hidden="1" outlineLevel="2" x14ac:dyDescent="0.35">
      <c r="A5862" t="s">
        <v>3115</v>
      </c>
      <c r="B5862" s="1">
        <v>45735</v>
      </c>
      <c r="C5862" t="str">
        <f>"501"</f>
        <v>501</v>
      </c>
      <c r="D5862" t="s">
        <v>4806</v>
      </c>
      <c r="E5862" t="str">
        <f>"182228"</f>
        <v>182228</v>
      </c>
      <c r="F5862" t="str">
        <f t="shared" si="209"/>
        <v>60440000</v>
      </c>
      <c r="G5862" t="str">
        <f t="shared" si="210"/>
        <v>60440001</v>
      </c>
      <c r="H5862" t="s">
        <v>4807</v>
      </c>
      <c r="J5862" s="4">
        <v>15941</v>
      </c>
    </row>
    <row r="5863" spans="1:10" hidden="1" outlineLevel="2" x14ac:dyDescent="0.35">
      <c r="A5863" t="s">
        <v>3115</v>
      </c>
      <c r="B5863" s="1">
        <v>45735</v>
      </c>
      <c r="C5863" t="str">
        <f>"502"</f>
        <v>502</v>
      </c>
      <c r="D5863" t="s">
        <v>4808</v>
      </c>
      <c r="E5863" t="str">
        <f>"181734"</f>
        <v>181734</v>
      </c>
      <c r="F5863" t="str">
        <f t="shared" si="209"/>
        <v>60440000</v>
      </c>
      <c r="G5863" t="str">
        <f t="shared" si="210"/>
        <v>60440001</v>
      </c>
      <c r="H5863" t="s">
        <v>4809</v>
      </c>
      <c r="J5863" s="4">
        <v>20000</v>
      </c>
    </row>
    <row r="5864" spans="1:10" hidden="1" outlineLevel="2" x14ac:dyDescent="0.35">
      <c r="A5864" t="s">
        <v>3115</v>
      </c>
      <c r="B5864" s="1">
        <v>45735</v>
      </c>
      <c r="C5864" t="str">
        <f>"503"</f>
        <v>503</v>
      </c>
      <c r="D5864" t="s">
        <v>4810</v>
      </c>
      <c r="E5864" t="str">
        <f>"181837"</f>
        <v>181837</v>
      </c>
      <c r="F5864" t="str">
        <f t="shared" si="209"/>
        <v>60440000</v>
      </c>
      <c r="G5864" t="str">
        <f t="shared" si="210"/>
        <v>60440001</v>
      </c>
      <c r="H5864" t="s">
        <v>4811</v>
      </c>
      <c r="J5864" s="4">
        <v>75000</v>
      </c>
    </row>
    <row r="5865" spans="1:10" hidden="1" outlineLevel="2" x14ac:dyDescent="0.35">
      <c r="A5865" t="s">
        <v>3115</v>
      </c>
      <c r="B5865" s="1">
        <v>45735</v>
      </c>
      <c r="C5865" t="str">
        <f>"504"</f>
        <v>504</v>
      </c>
      <c r="D5865" t="s">
        <v>4812</v>
      </c>
      <c r="E5865" t="str">
        <f>"182128"</f>
        <v>182128</v>
      </c>
      <c r="F5865" t="str">
        <f t="shared" si="209"/>
        <v>60440000</v>
      </c>
      <c r="G5865" t="str">
        <f t="shared" si="210"/>
        <v>60440001</v>
      </c>
      <c r="H5865" t="s">
        <v>4813</v>
      </c>
      <c r="J5865" s="4">
        <v>500000</v>
      </c>
    </row>
    <row r="5866" spans="1:10" hidden="1" outlineLevel="2" x14ac:dyDescent="0.35">
      <c r="A5866" t="s">
        <v>3115</v>
      </c>
      <c r="B5866" s="1">
        <v>45735</v>
      </c>
      <c r="C5866" t="str">
        <f>"505"</f>
        <v>505</v>
      </c>
      <c r="D5866" t="s">
        <v>4814</v>
      </c>
      <c r="E5866" t="str">
        <f>"183272"</f>
        <v>183272</v>
      </c>
      <c r="F5866" t="str">
        <f t="shared" si="209"/>
        <v>60440000</v>
      </c>
      <c r="G5866" t="str">
        <f t="shared" si="210"/>
        <v>60440001</v>
      </c>
      <c r="H5866" t="s">
        <v>4815</v>
      </c>
      <c r="J5866" s="4">
        <v>45000</v>
      </c>
    </row>
    <row r="5867" spans="1:10" hidden="1" outlineLevel="2" x14ac:dyDescent="0.35">
      <c r="A5867" t="s">
        <v>3115</v>
      </c>
      <c r="B5867" s="1">
        <v>45735</v>
      </c>
      <c r="C5867" t="str">
        <f>"506"</f>
        <v>506</v>
      </c>
      <c r="D5867" t="s">
        <v>4816</v>
      </c>
      <c r="E5867" t="str">
        <f>"183265"</f>
        <v>183265</v>
      </c>
      <c r="F5867" t="str">
        <f t="shared" si="209"/>
        <v>60440000</v>
      </c>
      <c r="G5867" t="str">
        <f t="shared" si="210"/>
        <v>60440001</v>
      </c>
      <c r="H5867" t="s">
        <v>4817</v>
      </c>
      <c r="J5867" s="4">
        <v>90000</v>
      </c>
    </row>
    <row r="5868" spans="1:10" hidden="1" outlineLevel="2" x14ac:dyDescent="0.35">
      <c r="A5868" t="s">
        <v>3115</v>
      </c>
      <c r="B5868" s="1">
        <v>45736</v>
      </c>
      <c r="C5868" t="str">
        <f>"406"</f>
        <v>406</v>
      </c>
      <c r="D5868" t="s">
        <v>4882</v>
      </c>
      <c r="E5868" t="str">
        <f>"156995"</f>
        <v>156995</v>
      </c>
      <c r="F5868" t="str">
        <f t="shared" si="209"/>
        <v>60440000</v>
      </c>
      <c r="G5868" t="str">
        <f t="shared" si="210"/>
        <v>60440001</v>
      </c>
      <c r="H5868" t="s">
        <v>4883</v>
      </c>
      <c r="J5868" s="4">
        <v>80027</v>
      </c>
    </row>
    <row r="5869" spans="1:10" hidden="1" outlineLevel="2" x14ac:dyDescent="0.35">
      <c r="A5869" t="s">
        <v>3115</v>
      </c>
      <c r="B5869" s="1">
        <v>45736</v>
      </c>
      <c r="C5869" t="str">
        <f>"407"</f>
        <v>407</v>
      </c>
      <c r="D5869" t="s">
        <v>4884</v>
      </c>
      <c r="E5869" t="str">
        <f>"183308"</f>
        <v>183308</v>
      </c>
      <c r="F5869" t="str">
        <f t="shared" si="209"/>
        <v>60440000</v>
      </c>
      <c r="G5869" t="str">
        <f t="shared" si="210"/>
        <v>60440001</v>
      </c>
      <c r="H5869" t="s">
        <v>4885</v>
      </c>
      <c r="J5869" s="4">
        <v>140000</v>
      </c>
    </row>
    <row r="5870" spans="1:10" hidden="1" outlineLevel="2" x14ac:dyDescent="0.35">
      <c r="A5870" t="s">
        <v>3115</v>
      </c>
      <c r="B5870" s="1">
        <v>45736</v>
      </c>
      <c r="C5870" t="str">
        <f>"408"</f>
        <v>408</v>
      </c>
      <c r="D5870" t="s">
        <v>4886</v>
      </c>
      <c r="E5870" t="str">
        <f>"183307"</f>
        <v>183307</v>
      </c>
      <c r="F5870" t="str">
        <f t="shared" si="209"/>
        <v>60440000</v>
      </c>
      <c r="G5870" t="str">
        <f t="shared" si="210"/>
        <v>60440001</v>
      </c>
      <c r="H5870" t="s">
        <v>4887</v>
      </c>
      <c r="J5870" s="4">
        <v>260000</v>
      </c>
    </row>
    <row r="5871" spans="1:10" hidden="1" outlineLevel="2" x14ac:dyDescent="0.35">
      <c r="A5871" t="s">
        <v>3115</v>
      </c>
      <c r="B5871" s="1">
        <v>45736</v>
      </c>
      <c r="C5871" t="str">
        <f>"409"</f>
        <v>409</v>
      </c>
      <c r="D5871" t="s">
        <v>4888</v>
      </c>
      <c r="E5871" t="str">
        <f>"183262"</f>
        <v>183262</v>
      </c>
      <c r="F5871" t="str">
        <f t="shared" si="209"/>
        <v>60440000</v>
      </c>
      <c r="G5871" t="str">
        <f t="shared" si="210"/>
        <v>60440001</v>
      </c>
      <c r="H5871" t="s">
        <v>4889</v>
      </c>
      <c r="J5871" s="4">
        <v>30000</v>
      </c>
    </row>
    <row r="5872" spans="1:10" hidden="1" outlineLevel="2" x14ac:dyDescent="0.35">
      <c r="A5872" t="s">
        <v>3115</v>
      </c>
      <c r="B5872" s="1">
        <v>45736</v>
      </c>
      <c r="C5872" t="str">
        <f>"410"</f>
        <v>410</v>
      </c>
      <c r="D5872" t="s">
        <v>4890</v>
      </c>
      <c r="E5872" t="str">
        <f>"179894"</f>
        <v>179894</v>
      </c>
      <c r="F5872" t="str">
        <f t="shared" si="209"/>
        <v>60440000</v>
      </c>
      <c r="G5872" t="str">
        <f t="shared" si="210"/>
        <v>60440001</v>
      </c>
      <c r="H5872" t="s">
        <v>4891</v>
      </c>
      <c r="J5872" s="4">
        <v>2200000</v>
      </c>
    </row>
    <row r="5873" spans="1:10" hidden="1" outlineLevel="2" x14ac:dyDescent="0.35">
      <c r="A5873" t="s">
        <v>3115</v>
      </c>
      <c r="B5873" s="1">
        <v>45736</v>
      </c>
      <c r="C5873" t="str">
        <f>"411"</f>
        <v>411</v>
      </c>
      <c r="D5873" t="s">
        <v>4892</v>
      </c>
      <c r="E5873" t="str">
        <f>"183405"</f>
        <v>183405</v>
      </c>
      <c r="F5873" t="str">
        <f t="shared" si="209"/>
        <v>60440000</v>
      </c>
      <c r="G5873" t="str">
        <f t="shared" si="210"/>
        <v>60440001</v>
      </c>
      <c r="H5873" t="s">
        <v>4893</v>
      </c>
      <c r="J5873" s="4">
        <v>480000</v>
      </c>
    </row>
    <row r="5874" spans="1:10" hidden="1" outlineLevel="2" x14ac:dyDescent="0.35">
      <c r="A5874" t="s">
        <v>3115</v>
      </c>
      <c r="B5874" s="1">
        <v>45736</v>
      </c>
      <c r="C5874" t="str">
        <f>"412"</f>
        <v>412</v>
      </c>
      <c r="D5874" t="s">
        <v>4894</v>
      </c>
      <c r="E5874" t="str">
        <f>"182064"</f>
        <v>182064</v>
      </c>
      <c r="F5874" t="str">
        <f t="shared" si="209"/>
        <v>60440000</v>
      </c>
      <c r="G5874" t="str">
        <f t="shared" si="210"/>
        <v>60440001</v>
      </c>
      <c r="H5874" t="s">
        <v>4895</v>
      </c>
      <c r="J5874" s="4">
        <v>50000</v>
      </c>
    </row>
    <row r="5875" spans="1:10" hidden="1" outlineLevel="2" x14ac:dyDescent="0.35">
      <c r="A5875" t="s">
        <v>3115</v>
      </c>
      <c r="B5875" s="1">
        <v>45736</v>
      </c>
      <c r="C5875" t="str">
        <f>"413"</f>
        <v>413</v>
      </c>
      <c r="D5875" t="s">
        <v>4896</v>
      </c>
      <c r="E5875" t="str">
        <f>"181900"</f>
        <v>181900</v>
      </c>
      <c r="F5875" t="str">
        <f t="shared" si="209"/>
        <v>60440000</v>
      </c>
      <c r="G5875" t="str">
        <f t="shared" si="210"/>
        <v>60440001</v>
      </c>
      <c r="H5875" t="s">
        <v>4897</v>
      </c>
      <c r="J5875" s="4">
        <v>45000</v>
      </c>
    </row>
    <row r="5876" spans="1:10" hidden="1" outlineLevel="2" x14ac:dyDescent="0.35">
      <c r="A5876" t="s">
        <v>3115</v>
      </c>
      <c r="B5876" s="1">
        <v>45736</v>
      </c>
      <c r="C5876" t="str">
        <f>"414"</f>
        <v>414</v>
      </c>
      <c r="D5876" t="s">
        <v>4898</v>
      </c>
      <c r="E5876" t="str">
        <f>"181898"</f>
        <v>181898</v>
      </c>
      <c r="F5876" t="str">
        <f t="shared" si="209"/>
        <v>60440000</v>
      </c>
      <c r="G5876" t="str">
        <f t="shared" si="210"/>
        <v>60440001</v>
      </c>
      <c r="H5876" t="s">
        <v>4899</v>
      </c>
      <c r="J5876" s="4">
        <v>20000</v>
      </c>
    </row>
    <row r="5877" spans="1:10" hidden="1" outlineLevel="2" x14ac:dyDescent="0.35">
      <c r="A5877" t="s">
        <v>3115</v>
      </c>
      <c r="B5877" s="1">
        <v>45736</v>
      </c>
      <c r="C5877" t="str">
        <f>"415"</f>
        <v>415</v>
      </c>
      <c r="D5877" t="s">
        <v>4900</v>
      </c>
      <c r="E5877" t="str">
        <f>"180838"</f>
        <v>180838</v>
      </c>
      <c r="F5877" t="str">
        <f t="shared" si="209"/>
        <v>60440000</v>
      </c>
      <c r="G5877" t="str">
        <f t="shared" si="210"/>
        <v>60440001</v>
      </c>
      <c r="H5877" t="s">
        <v>4901</v>
      </c>
      <c r="J5877" s="4">
        <v>84000</v>
      </c>
    </row>
    <row r="5878" spans="1:10" hidden="1" outlineLevel="2" x14ac:dyDescent="0.35">
      <c r="A5878" t="s">
        <v>3115</v>
      </c>
      <c r="B5878" s="1">
        <v>45736</v>
      </c>
      <c r="C5878" t="str">
        <f>"416"</f>
        <v>416</v>
      </c>
      <c r="D5878" t="s">
        <v>4902</v>
      </c>
      <c r="E5878" t="str">
        <f>"183254"</f>
        <v>183254</v>
      </c>
      <c r="F5878" t="str">
        <f t="shared" si="209"/>
        <v>60440000</v>
      </c>
      <c r="G5878" t="str">
        <f t="shared" si="210"/>
        <v>60440001</v>
      </c>
      <c r="H5878" t="s">
        <v>4903</v>
      </c>
      <c r="J5878" s="4">
        <v>40000</v>
      </c>
    </row>
    <row r="5879" spans="1:10" hidden="1" outlineLevel="2" x14ac:dyDescent="0.35">
      <c r="A5879" t="s">
        <v>3115</v>
      </c>
      <c r="B5879" s="1">
        <v>45736</v>
      </c>
      <c r="C5879" t="str">
        <f>"417"</f>
        <v>417</v>
      </c>
      <c r="D5879" t="s">
        <v>4904</v>
      </c>
      <c r="E5879" t="str">
        <f>"181730"</f>
        <v>181730</v>
      </c>
      <c r="F5879" t="str">
        <f t="shared" si="209"/>
        <v>60440000</v>
      </c>
      <c r="G5879" t="str">
        <f t="shared" si="210"/>
        <v>60440001</v>
      </c>
      <c r="H5879" t="s">
        <v>4905</v>
      </c>
      <c r="J5879" s="4">
        <v>500000</v>
      </c>
    </row>
    <row r="5880" spans="1:10" hidden="1" outlineLevel="2" x14ac:dyDescent="0.35">
      <c r="A5880" t="s">
        <v>3115</v>
      </c>
      <c r="B5880" s="1">
        <v>45736</v>
      </c>
      <c r="C5880" t="str">
        <f>"418"</f>
        <v>418</v>
      </c>
      <c r="D5880" t="s">
        <v>4906</v>
      </c>
      <c r="E5880" t="str">
        <f>"180145"</f>
        <v>180145</v>
      </c>
      <c r="F5880" t="str">
        <f t="shared" si="209"/>
        <v>60440000</v>
      </c>
      <c r="G5880" t="str">
        <f t="shared" si="210"/>
        <v>60440001</v>
      </c>
      <c r="H5880" t="s">
        <v>4907</v>
      </c>
      <c r="J5880" s="4">
        <v>25000</v>
      </c>
    </row>
    <row r="5881" spans="1:10" hidden="1" outlineLevel="2" x14ac:dyDescent="0.35">
      <c r="A5881" t="s">
        <v>3115</v>
      </c>
      <c r="B5881" s="1">
        <v>45736</v>
      </c>
      <c r="C5881" t="str">
        <f>"419"</f>
        <v>419</v>
      </c>
      <c r="D5881" t="s">
        <v>4908</v>
      </c>
      <c r="E5881" t="str">
        <f>"181889"</f>
        <v>181889</v>
      </c>
      <c r="F5881" t="str">
        <f t="shared" si="209"/>
        <v>60440000</v>
      </c>
      <c r="G5881" t="str">
        <f t="shared" si="210"/>
        <v>60440001</v>
      </c>
      <c r="H5881" t="s">
        <v>4909</v>
      </c>
      <c r="J5881" s="4">
        <v>30000</v>
      </c>
    </row>
    <row r="5882" spans="1:10" hidden="1" outlineLevel="2" x14ac:dyDescent="0.35">
      <c r="A5882" t="s">
        <v>3115</v>
      </c>
      <c r="B5882" s="1">
        <v>45736</v>
      </c>
      <c r="C5882" t="str">
        <f>"420"</f>
        <v>420</v>
      </c>
      <c r="D5882" t="s">
        <v>4910</v>
      </c>
      <c r="E5882" t="str">
        <f>"183570"</f>
        <v>183570</v>
      </c>
      <c r="F5882" t="str">
        <f t="shared" si="209"/>
        <v>60440000</v>
      </c>
      <c r="G5882" t="str">
        <f t="shared" si="210"/>
        <v>60440001</v>
      </c>
      <c r="H5882" t="s">
        <v>4911</v>
      </c>
      <c r="J5882" s="4">
        <v>6691</v>
      </c>
    </row>
    <row r="5883" spans="1:10" hidden="1" outlineLevel="2" x14ac:dyDescent="0.35">
      <c r="A5883" t="s">
        <v>3115</v>
      </c>
      <c r="B5883" s="1">
        <v>45736</v>
      </c>
      <c r="C5883" t="str">
        <f>"421"</f>
        <v>421</v>
      </c>
      <c r="D5883" t="s">
        <v>4912</v>
      </c>
      <c r="E5883" t="str">
        <f>"180835"</f>
        <v>180835</v>
      </c>
      <c r="F5883" t="str">
        <f t="shared" si="209"/>
        <v>60440000</v>
      </c>
      <c r="G5883" t="str">
        <f t="shared" si="210"/>
        <v>60440001</v>
      </c>
      <c r="H5883" t="s">
        <v>4913</v>
      </c>
      <c r="J5883" s="4">
        <v>200000</v>
      </c>
    </row>
    <row r="5884" spans="1:10" hidden="1" outlineLevel="2" x14ac:dyDescent="0.35">
      <c r="A5884" t="s">
        <v>3115</v>
      </c>
      <c r="B5884" s="1">
        <v>45736</v>
      </c>
      <c r="C5884" t="str">
        <f>"422"</f>
        <v>422</v>
      </c>
      <c r="D5884" t="s">
        <v>4914</v>
      </c>
      <c r="E5884" t="str">
        <f>"181890"</f>
        <v>181890</v>
      </c>
      <c r="F5884" t="str">
        <f t="shared" si="209"/>
        <v>60440000</v>
      </c>
      <c r="G5884" t="str">
        <f t="shared" si="210"/>
        <v>60440001</v>
      </c>
      <c r="H5884" t="s">
        <v>4915</v>
      </c>
      <c r="J5884" s="4">
        <v>40000</v>
      </c>
    </row>
    <row r="5885" spans="1:10" hidden="1" outlineLevel="2" x14ac:dyDescent="0.35">
      <c r="A5885" t="s">
        <v>3115</v>
      </c>
      <c r="B5885" s="1">
        <v>45736</v>
      </c>
      <c r="C5885" t="str">
        <f>"423"</f>
        <v>423</v>
      </c>
      <c r="D5885" t="s">
        <v>4916</v>
      </c>
      <c r="E5885" t="str">
        <f>"182061"</f>
        <v>182061</v>
      </c>
      <c r="F5885" t="str">
        <f t="shared" si="209"/>
        <v>60440000</v>
      </c>
      <c r="G5885" t="str">
        <f t="shared" si="210"/>
        <v>60440001</v>
      </c>
      <c r="H5885" t="s">
        <v>4917</v>
      </c>
      <c r="J5885" s="4">
        <v>65000</v>
      </c>
    </row>
    <row r="5886" spans="1:10" hidden="1" outlineLevel="2" x14ac:dyDescent="0.35">
      <c r="A5886" t="s">
        <v>3115</v>
      </c>
      <c r="B5886" s="1">
        <v>45736</v>
      </c>
      <c r="C5886" t="str">
        <f>"424"</f>
        <v>424</v>
      </c>
      <c r="D5886" t="s">
        <v>4918</v>
      </c>
      <c r="E5886" t="str">
        <f>"181820"</f>
        <v>181820</v>
      </c>
      <c r="F5886" t="str">
        <f t="shared" si="209"/>
        <v>60440000</v>
      </c>
      <c r="G5886" t="str">
        <f t="shared" si="210"/>
        <v>60440001</v>
      </c>
      <c r="H5886" t="s">
        <v>4919</v>
      </c>
      <c r="J5886" s="4">
        <v>50000</v>
      </c>
    </row>
    <row r="5887" spans="1:10" hidden="1" outlineLevel="2" x14ac:dyDescent="0.35">
      <c r="A5887" t="s">
        <v>3115</v>
      </c>
      <c r="B5887" s="1">
        <v>45736</v>
      </c>
      <c r="C5887" t="str">
        <f>"425"</f>
        <v>425</v>
      </c>
      <c r="D5887" t="s">
        <v>4920</v>
      </c>
      <c r="E5887" t="str">
        <f>"181731"</f>
        <v>181731</v>
      </c>
      <c r="F5887" t="str">
        <f t="shared" si="209"/>
        <v>60440000</v>
      </c>
      <c r="G5887" t="str">
        <f t="shared" si="210"/>
        <v>60440001</v>
      </c>
      <c r="H5887" t="s">
        <v>4921</v>
      </c>
      <c r="J5887" s="4">
        <v>90000</v>
      </c>
    </row>
    <row r="5888" spans="1:10" hidden="1" outlineLevel="2" x14ac:dyDescent="0.35">
      <c r="A5888" t="s">
        <v>3115</v>
      </c>
      <c r="B5888" s="1">
        <v>45736</v>
      </c>
      <c r="C5888" t="str">
        <f>"426"</f>
        <v>426</v>
      </c>
      <c r="D5888" t="s">
        <v>4922</v>
      </c>
      <c r="E5888" t="str">
        <f>"181732"</f>
        <v>181732</v>
      </c>
      <c r="F5888" t="str">
        <f t="shared" si="209"/>
        <v>60440000</v>
      </c>
      <c r="G5888" t="str">
        <f t="shared" si="210"/>
        <v>60440001</v>
      </c>
      <c r="H5888" t="s">
        <v>4923</v>
      </c>
      <c r="J5888" s="4">
        <v>90000</v>
      </c>
    </row>
    <row r="5889" spans="1:10" hidden="1" outlineLevel="2" x14ac:dyDescent="0.35">
      <c r="A5889" t="s">
        <v>3115</v>
      </c>
      <c r="B5889" s="1">
        <v>45736</v>
      </c>
      <c r="C5889" t="str">
        <f>"427"</f>
        <v>427</v>
      </c>
      <c r="D5889" t="s">
        <v>4924</v>
      </c>
      <c r="E5889" t="str">
        <f>"180764"</f>
        <v>180764</v>
      </c>
      <c r="F5889" t="str">
        <f t="shared" si="209"/>
        <v>60440000</v>
      </c>
      <c r="G5889" t="str">
        <f t="shared" si="210"/>
        <v>60440001</v>
      </c>
      <c r="H5889" t="s">
        <v>4925</v>
      </c>
      <c r="J5889" s="4">
        <v>130000</v>
      </c>
    </row>
    <row r="5890" spans="1:10" hidden="1" outlineLevel="2" x14ac:dyDescent="0.35">
      <c r="A5890" t="s">
        <v>3115</v>
      </c>
      <c r="B5890" s="1">
        <v>45736</v>
      </c>
      <c r="C5890" t="str">
        <f>"428"</f>
        <v>428</v>
      </c>
      <c r="D5890" t="s">
        <v>4926</v>
      </c>
      <c r="E5890" t="str">
        <f>"181827"</f>
        <v>181827</v>
      </c>
      <c r="F5890" t="str">
        <f t="shared" si="209"/>
        <v>60440000</v>
      </c>
      <c r="G5890" t="str">
        <f t="shared" si="210"/>
        <v>60440001</v>
      </c>
      <c r="H5890" t="s">
        <v>4927</v>
      </c>
      <c r="J5890" s="4">
        <v>150000</v>
      </c>
    </row>
    <row r="5891" spans="1:10" hidden="1" outlineLevel="2" x14ac:dyDescent="0.35">
      <c r="A5891" t="s">
        <v>3115</v>
      </c>
      <c r="B5891" s="1">
        <v>45736</v>
      </c>
      <c r="C5891" t="str">
        <f>"429"</f>
        <v>429</v>
      </c>
      <c r="D5891" t="s">
        <v>4928</v>
      </c>
      <c r="E5891" t="str">
        <f>"162586"</f>
        <v>162586</v>
      </c>
      <c r="F5891" t="str">
        <f t="shared" ref="F5891:F5954" si="211">"60440000"</f>
        <v>60440000</v>
      </c>
      <c r="G5891" t="str">
        <f t="shared" ref="G5891:G5954" si="212">"60440001"</f>
        <v>60440001</v>
      </c>
      <c r="H5891" t="s">
        <v>4929</v>
      </c>
      <c r="J5891" s="4">
        <v>12000</v>
      </c>
    </row>
    <row r="5892" spans="1:10" hidden="1" outlineLevel="2" x14ac:dyDescent="0.35">
      <c r="A5892" t="s">
        <v>3115</v>
      </c>
      <c r="B5892" s="1">
        <v>45736</v>
      </c>
      <c r="C5892" t="str">
        <f>"430"</f>
        <v>430</v>
      </c>
      <c r="D5892" t="s">
        <v>4930</v>
      </c>
      <c r="E5892" t="str">
        <f>"183566"</f>
        <v>183566</v>
      </c>
      <c r="F5892" t="str">
        <f t="shared" si="211"/>
        <v>60440000</v>
      </c>
      <c r="G5892" t="str">
        <f t="shared" si="212"/>
        <v>60440001</v>
      </c>
      <c r="H5892" t="s">
        <v>4931</v>
      </c>
      <c r="J5892" s="4">
        <v>5773</v>
      </c>
    </row>
    <row r="5893" spans="1:10" hidden="1" outlineLevel="2" x14ac:dyDescent="0.35">
      <c r="A5893" t="s">
        <v>3115</v>
      </c>
      <c r="B5893" s="1">
        <v>45736</v>
      </c>
      <c r="C5893" t="str">
        <f>"431"</f>
        <v>431</v>
      </c>
      <c r="D5893" t="s">
        <v>4932</v>
      </c>
      <c r="E5893" t="str">
        <f>"176316"</f>
        <v>176316</v>
      </c>
      <c r="F5893" t="str">
        <f t="shared" si="211"/>
        <v>60440000</v>
      </c>
      <c r="G5893" t="str">
        <f t="shared" si="212"/>
        <v>60440001</v>
      </c>
      <c r="H5893" t="s">
        <v>4933</v>
      </c>
      <c r="J5893" s="4">
        <v>30000</v>
      </c>
    </row>
    <row r="5894" spans="1:10" hidden="1" outlineLevel="2" x14ac:dyDescent="0.35">
      <c r="A5894" t="s">
        <v>3115</v>
      </c>
      <c r="B5894" s="1">
        <v>45736</v>
      </c>
      <c r="C5894" t="str">
        <f>"432"</f>
        <v>432</v>
      </c>
      <c r="D5894" t="s">
        <v>4934</v>
      </c>
      <c r="E5894" t="str">
        <f>"180144"</f>
        <v>180144</v>
      </c>
      <c r="F5894" t="str">
        <f t="shared" si="211"/>
        <v>60440000</v>
      </c>
      <c r="G5894" t="str">
        <f t="shared" si="212"/>
        <v>60440001</v>
      </c>
      <c r="H5894" t="s">
        <v>4935</v>
      </c>
      <c r="J5894" s="4">
        <v>500000</v>
      </c>
    </row>
    <row r="5895" spans="1:10" hidden="1" outlineLevel="2" x14ac:dyDescent="0.35">
      <c r="A5895" t="s">
        <v>3115</v>
      </c>
      <c r="B5895" s="1">
        <v>45736</v>
      </c>
      <c r="C5895" t="str">
        <f>"433"</f>
        <v>433</v>
      </c>
      <c r="D5895" t="s">
        <v>4936</v>
      </c>
      <c r="E5895" t="str">
        <f>"179893"</f>
        <v>179893</v>
      </c>
      <c r="F5895" t="str">
        <f t="shared" si="211"/>
        <v>60440000</v>
      </c>
      <c r="G5895" t="str">
        <f t="shared" si="212"/>
        <v>60440001</v>
      </c>
      <c r="H5895" t="s">
        <v>4937</v>
      </c>
      <c r="J5895" s="4">
        <v>58000</v>
      </c>
    </row>
    <row r="5896" spans="1:10" hidden="1" outlineLevel="2" x14ac:dyDescent="0.35">
      <c r="A5896" t="s">
        <v>3115</v>
      </c>
      <c r="B5896" s="1">
        <v>45736</v>
      </c>
      <c r="C5896" t="str">
        <f>"434"</f>
        <v>434</v>
      </c>
      <c r="D5896" t="s">
        <v>4938</v>
      </c>
      <c r="E5896" t="str">
        <f>"182067"</f>
        <v>182067</v>
      </c>
      <c r="F5896" t="str">
        <f t="shared" si="211"/>
        <v>60440000</v>
      </c>
      <c r="G5896" t="str">
        <f t="shared" si="212"/>
        <v>60440001</v>
      </c>
      <c r="H5896" t="s">
        <v>4939</v>
      </c>
      <c r="J5896" s="4">
        <v>12000</v>
      </c>
    </row>
    <row r="5897" spans="1:10" hidden="1" outlineLevel="2" x14ac:dyDescent="0.35">
      <c r="A5897" t="s">
        <v>3115</v>
      </c>
      <c r="B5897" s="1">
        <v>45736</v>
      </c>
      <c r="C5897" t="str">
        <f>"435"</f>
        <v>435</v>
      </c>
      <c r="D5897" t="s">
        <v>4940</v>
      </c>
      <c r="E5897" t="str">
        <f>"181834"</f>
        <v>181834</v>
      </c>
      <c r="F5897" t="str">
        <f t="shared" si="211"/>
        <v>60440000</v>
      </c>
      <c r="G5897" t="str">
        <f t="shared" si="212"/>
        <v>60440001</v>
      </c>
      <c r="H5897" t="s">
        <v>4941</v>
      </c>
      <c r="J5897" s="4">
        <v>32431</v>
      </c>
    </row>
    <row r="5898" spans="1:10" hidden="1" outlineLevel="2" x14ac:dyDescent="0.35">
      <c r="A5898" t="s">
        <v>3115</v>
      </c>
      <c r="B5898" s="1">
        <v>45736</v>
      </c>
      <c r="C5898" t="str">
        <f>"436"</f>
        <v>436</v>
      </c>
      <c r="D5898" t="s">
        <v>4942</v>
      </c>
      <c r="E5898" t="str">
        <f>"182060"</f>
        <v>182060</v>
      </c>
      <c r="F5898" t="str">
        <f t="shared" si="211"/>
        <v>60440000</v>
      </c>
      <c r="G5898" t="str">
        <f t="shared" si="212"/>
        <v>60440001</v>
      </c>
      <c r="H5898" t="s">
        <v>4943</v>
      </c>
      <c r="J5898" s="4">
        <v>12000</v>
      </c>
    </row>
    <row r="5899" spans="1:10" hidden="1" outlineLevel="2" x14ac:dyDescent="0.35">
      <c r="A5899" t="s">
        <v>3115</v>
      </c>
      <c r="B5899" s="1">
        <v>45736</v>
      </c>
      <c r="C5899" t="str">
        <f>"437"</f>
        <v>437</v>
      </c>
      <c r="D5899" t="s">
        <v>4944</v>
      </c>
      <c r="E5899" t="str">
        <f>"182063"</f>
        <v>182063</v>
      </c>
      <c r="F5899" t="str">
        <f t="shared" si="211"/>
        <v>60440000</v>
      </c>
      <c r="G5899" t="str">
        <f t="shared" si="212"/>
        <v>60440001</v>
      </c>
      <c r="H5899" t="s">
        <v>4945</v>
      </c>
      <c r="J5899" s="4">
        <v>13000</v>
      </c>
    </row>
    <row r="5900" spans="1:10" hidden="1" outlineLevel="2" x14ac:dyDescent="0.35">
      <c r="A5900" t="s">
        <v>3115</v>
      </c>
      <c r="B5900" s="1">
        <v>45736</v>
      </c>
      <c r="C5900" t="str">
        <f>"438"</f>
        <v>438</v>
      </c>
      <c r="D5900" t="s">
        <v>4946</v>
      </c>
      <c r="E5900" t="str">
        <f>"179416"</f>
        <v>179416</v>
      </c>
      <c r="F5900" t="str">
        <f t="shared" si="211"/>
        <v>60440000</v>
      </c>
      <c r="G5900" t="str">
        <f t="shared" si="212"/>
        <v>60440001</v>
      </c>
      <c r="H5900" t="s">
        <v>4947</v>
      </c>
      <c r="J5900" s="4">
        <v>24000</v>
      </c>
    </row>
    <row r="5901" spans="1:10" hidden="1" outlineLevel="2" x14ac:dyDescent="0.35">
      <c r="A5901" t="s">
        <v>3115</v>
      </c>
      <c r="B5901" s="1">
        <v>45736</v>
      </c>
      <c r="C5901" t="str">
        <f>"439"</f>
        <v>439</v>
      </c>
      <c r="D5901" t="s">
        <v>4948</v>
      </c>
      <c r="E5901" t="str">
        <f>"183428"</f>
        <v>183428</v>
      </c>
      <c r="F5901" t="str">
        <f t="shared" si="211"/>
        <v>60440000</v>
      </c>
      <c r="G5901" t="str">
        <f t="shared" si="212"/>
        <v>60440001</v>
      </c>
      <c r="H5901" t="s">
        <v>4949</v>
      </c>
      <c r="J5901" s="4">
        <v>3673</v>
      </c>
    </row>
    <row r="5902" spans="1:10" hidden="1" outlineLevel="2" x14ac:dyDescent="0.35">
      <c r="A5902" t="s">
        <v>3115</v>
      </c>
      <c r="B5902" s="1">
        <v>45736</v>
      </c>
      <c r="C5902" t="str">
        <f>"440"</f>
        <v>440</v>
      </c>
      <c r="D5902" t="s">
        <v>4950</v>
      </c>
      <c r="E5902" t="str">
        <f>"180151"</f>
        <v>180151</v>
      </c>
      <c r="F5902" t="str">
        <f t="shared" si="211"/>
        <v>60440000</v>
      </c>
      <c r="G5902" t="str">
        <f t="shared" si="212"/>
        <v>60440001</v>
      </c>
      <c r="H5902" t="s">
        <v>4951</v>
      </c>
      <c r="J5902" s="4">
        <v>360000</v>
      </c>
    </row>
    <row r="5903" spans="1:10" hidden="1" outlineLevel="2" x14ac:dyDescent="0.35">
      <c r="A5903" t="s">
        <v>3115</v>
      </c>
      <c r="B5903" s="1">
        <v>45736</v>
      </c>
      <c r="C5903" t="str">
        <f>"441"</f>
        <v>441</v>
      </c>
      <c r="D5903" t="s">
        <v>4952</v>
      </c>
      <c r="E5903" t="str">
        <f>"183427"</f>
        <v>183427</v>
      </c>
      <c r="F5903" t="str">
        <f t="shared" si="211"/>
        <v>60440000</v>
      </c>
      <c r="G5903" t="str">
        <f t="shared" si="212"/>
        <v>60440001</v>
      </c>
      <c r="H5903" t="s">
        <v>4953</v>
      </c>
      <c r="J5903" s="4">
        <v>14563</v>
      </c>
    </row>
    <row r="5904" spans="1:10" hidden="1" outlineLevel="2" x14ac:dyDescent="0.35">
      <c r="A5904" t="s">
        <v>3115</v>
      </c>
      <c r="B5904" s="1">
        <v>45736</v>
      </c>
      <c r="C5904" t="str">
        <f>"442"</f>
        <v>442</v>
      </c>
      <c r="D5904" t="s">
        <v>4954</v>
      </c>
      <c r="E5904" t="str">
        <f>"182141"</f>
        <v>182141</v>
      </c>
      <c r="F5904" t="str">
        <f t="shared" si="211"/>
        <v>60440000</v>
      </c>
      <c r="G5904" t="str">
        <f t="shared" si="212"/>
        <v>60440001</v>
      </c>
      <c r="H5904" t="s">
        <v>4955</v>
      </c>
      <c r="J5904" s="4">
        <v>195000</v>
      </c>
    </row>
    <row r="5905" spans="1:10" hidden="1" outlineLevel="2" x14ac:dyDescent="0.35">
      <c r="A5905" t="s">
        <v>3115</v>
      </c>
      <c r="B5905" s="1">
        <v>45736</v>
      </c>
      <c r="C5905" t="str">
        <f>"444"</f>
        <v>444</v>
      </c>
      <c r="D5905" t="s">
        <v>4958</v>
      </c>
      <c r="E5905" t="str">
        <f>"183518"</f>
        <v>183518</v>
      </c>
      <c r="F5905" t="str">
        <f t="shared" si="211"/>
        <v>60440000</v>
      </c>
      <c r="G5905" t="str">
        <f t="shared" si="212"/>
        <v>60440001</v>
      </c>
      <c r="H5905" t="s">
        <v>4959</v>
      </c>
      <c r="J5905" s="4">
        <v>74911</v>
      </c>
    </row>
    <row r="5906" spans="1:10" hidden="1" outlineLevel="2" x14ac:dyDescent="0.35">
      <c r="A5906" t="s">
        <v>3115</v>
      </c>
      <c r="B5906" s="1">
        <v>45736</v>
      </c>
      <c r="C5906" t="str">
        <f>"445"</f>
        <v>445</v>
      </c>
      <c r="D5906" t="s">
        <v>4960</v>
      </c>
      <c r="E5906" t="str">
        <f>"184502"</f>
        <v>184502</v>
      </c>
      <c r="F5906" t="str">
        <f t="shared" si="211"/>
        <v>60440000</v>
      </c>
      <c r="G5906" t="str">
        <f t="shared" si="212"/>
        <v>60440001</v>
      </c>
      <c r="H5906" t="s">
        <v>4961</v>
      </c>
      <c r="J5906" s="4">
        <v>4591</v>
      </c>
    </row>
    <row r="5907" spans="1:10" hidden="1" outlineLevel="2" x14ac:dyDescent="0.35">
      <c r="A5907" t="s">
        <v>3115</v>
      </c>
      <c r="B5907" s="1">
        <v>45736</v>
      </c>
      <c r="C5907" t="str">
        <f>"446"</f>
        <v>446</v>
      </c>
      <c r="D5907" t="s">
        <v>4962</v>
      </c>
      <c r="E5907" t="str">
        <f>"179888"</f>
        <v>179888</v>
      </c>
      <c r="F5907" t="str">
        <f t="shared" si="211"/>
        <v>60440000</v>
      </c>
      <c r="G5907" t="str">
        <f t="shared" si="212"/>
        <v>60440001</v>
      </c>
      <c r="H5907" t="s">
        <v>4963</v>
      </c>
      <c r="J5907" s="4">
        <v>121045</v>
      </c>
    </row>
    <row r="5908" spans="1:10" hidden="1" outlineLevel="2" x14ac:dyDescent="0.35">
      <c r="A5908" t="s">
        <v>3115</v>
      </c>
      <c r="B5908" s="1">
        <v>45737</v>
      </c>
      <c r="C5908" t="str">
        <f>"276"</f>
        <v>276</v>
      </c>
      <c r="D5908" t="s">
        <v>4992</v>
      </c>
      <c r="E5908" t="str">
        <f>"178448"</f>
        <v>178448</v>
      </c>
      <c r="F5908" t="str">
        <f t="shared" si="211"/>
        <v>60440000</v>
      </c>
      <c r="G5908" t="str">
        <f t="shared" si="212"/>
        <v>60440001</v>
      </c>
      <c r="H5908" t="s">
        <v>4993</v>
      </c>
      <c r="J5908" s="4">
        <v>120859</v>
      </c>
    </row>
    <row r="5909" spans="1:10" hidden="1" outlineLevel="2" x14ac:dyDescent="0.35">
      <c r="A5909" t="s">
        <v>3115</v>
      </c>
      <c r="B5909" s="1">
        <v>45737</v>
      </c>
      <c r="C5909" t="str">
        <f>"277"</f>
        <v>277</v>
      </c>
      <c r="D5909" t="s">
        <v>4994</v>
      </c>
      <c r="E5909" t="str">
        <f>"179878"</f>
        <v>179878</v>
      </c>
      <c r="F5909" t="str">
        <f t="shared" si="211"/>
        <v>60440000</v>
      </c>
      <c r="G5909" t="str">
        <f t="shared" si="212"/>
        <v>60440001</v>
      </c>
      <c r="H5909" t="s">
        <v>4995</v>
      </c>
      <c r="J5909" s="4">
        <v>435885</v>
      </c>
    </row>
    <row r="5910" spans="1:10" hidden="1" outlineLevel="2" x14ac:dyDescent="0.35">
      <c r="A5910" t="s">
        <v>3115</v>
      </c>
      <c r="B5910" s="1">
        <v>45737</v>
      </c>
      <c r="C5910" t="str">
        <f>"279"</f>
        <v>279</v>
      </c>
      <c r="D5910" t="s">
        <v>4998</v>
      </c>
      <c r="E5910" t="str">
        <f>"183431"</f>
        <v>183431</v>
      </c>
      <c r="F5910" t="str">
        <f t="shared" si="211"/>
        <v>60440000</v>
      </c>
      <c r="G5910" t="str">
        <f t="shared" si="212"/>
        <v>60440001</v>
      </c>
      <c r="H5910" t="s">
        <v>4999</v>
      </c>
      <c r="J5910" s="4">
        <v>1640</v>
      </c>
    </row>
    <row r="5911" spans="1:10" hidden="1" outlineLevel="2" x14ac:dyDescent="0.35">
      <c r="A5911" t="s">
        <v>3115</v>
      </c>
      <c r="B5911" s="1">
        <v>45737</v>
      </c>
      <c r="C5911" t="str">
        <f>"280"</f>
        <v>280</v>
      </c>
      <c r="D5911" t="s">
        <v>5000</v>
      </c>
      <c r="E5911" t="str">
        <f>"183432"</f>
        <v>183432</v>
      </c>
      <c r="F5911" t="str">
        <f t="shared" si="211"/>
        <v>60440000</v>
      </c>
      <c r="G5911" t="str">
        <f t="shared" si="212"/>
        <v>60440001</v>
      </c>
      <c r="H5911" t="s">
        <v>5001</v>
      </c>
      <c r="J5911" s="4">
        <v>1443</v>
      </c>
    </row>
    <row r="5912" spans="1:10" hidden="1" outlineLevel="2" x14ac:dyDescent="0.35">
      <c r="A5912" t="s">
        <v>3115</v>
      </c>
      <c r="B5912" s="1">
        <v>45737</v>
      </c>
      <c r="C5912" t="str">
        <f>"281"</f>
        <v>281</v>
      </c>
      <c r="D5912" t="s">
        <v>5002</v>
      </c>
      <c r="E5912" t="str">
        <f>"184503"</f>
        <v>184503</v>
      </c>
      <c r="F5912" t="str">
        <f t="shared" si="211"/>
        <v>60440000</v>
      </c>
      <c r="G5912" t="str">
        <f t="shared" si="212"/>
        <v>60440001</v>
      </c>
      <c r="H5912" t="s">
        <v>5003</v>
      </c>
      <c r="J5912" s="4">
        <v>1443</v>
      </c>
    </row>
    <row r="5913" spans="1:10" hidden="1" outlineLevel="2" x14ac:dyDescent="0.35">
      <c r="A5913" t="s">
        <v>3115</v>
      </c>
      <c r="B5913" s="1">
        <v>45737</v>
      </c>
      <c r="C5913" t="str">
        <f>"282"</f>
        <v>282</v>
      </c>
      <c r="D5913" t="s">
        <v>5004</v>
      </c>
      <c r="E5913" t="str">
        <f>"183520"</f>
        <v>183520</v>
      </c>
      <c r="F5913" t="str">
        <f t="shared" si="211"/>
        <v>60440000</v>
      </c>
      <c r="G5913" t="str">
        <f t="shared" si="212"/>
        <v>60440001</v>
      </c>
      <c r="H5913" t="s">
        <v>5005</v>
      </c>
      <c r="J5913" s="4">
        <v>43950</v>
      </c>
    </row>
    <row r="5914" spans="1:10" hidden="1" outlineLevel="2" x14ac:dyDescent="0.35">
      <c r="A5914" t="s">
        <v>3115</v>
      </c>
      <c r="B5914" s="1">
        <v>45737</v>
      </c>
      <c r="C5914" t="str">
        <f>"283"</f>
        <v>283</v>
      </c>
      <c r="D5914" t="s">
        <v>5006</v>
      </c>
      <c r="E5914" t="str">
        <f>"181232"</f>
        <v>181232</v>
      </c>
      <c r="F5914" t="str">
        <f t="shared" si="211"/>
        <v>60440000</v>
      </c>
      <c r="G5914" t="str">
        <f t="shared" si="212"/>
        <v>60440001</v>
      </c>
      <c r="H5914" t="s">
        <v>5007</v>
      </c>
      <c r="J5914" s="4">
        <v>787</v>
      </c>
    </row>
    <row r="5915" spans="1:10" hidden="1" outlineLevel="2" x14ac:dyDescent="0.35">
      <c r="A5915" t="s">
        <v>3115</v>
      </c>
      <c r="B5915" s="1">
        <v>45737</v>
      </c>
      <c r="C5915" t="str">
        <f>"285"</f>
        <v>285</v>
      </c>
      <c r="D5915" t="s">
        <v>5010</v>
      </c>
      <c r="E5915" t="str">
        <f>"181223"</f>
        <v>181223</v>
      </c>
      <c r="F5915" t="str">
        <f t="shared" si="211"/>
        <v>60440000</v>
      </c>
      <c r="G5915" t="str">
        <f t="shared" si="212"/>
        <v>60440001</v>
      </c>
      <c r="H5915" t="s">
        <v>5011</v>
      </c>
      <c r="J5915" s="4">
        <v>38439</v>
      </c>
    </row>
    <row r="5916" spans="1:10" hidden="1" outlineLevel="2" x14ac:dyDescent="0.35">
      <c r="A5916" t="s">
        <v>3115</v>
      </c>
      <c r="B5916" s="1">
        <v>45737</v>
      </c>
      <c r="C5916" t="str">
        <f>"286"</f>
        <v>286</v>
      </c>
      <c r="D5916" t="s">
        <v>5012</v>
      </c>
      <c r="E5916" t="str">
        <f>"181226"</f>
        <v>181226</v>
      </c>
      <c r="F5916" t="str">
        <f t="shared" si="211"/>
        <v>60440000</v>
      </c>
      <c r="G5916" t="str">
        <f t="shared" si="212"/>
        <v>60440001</v>
      </c>
      <c r="H5916" t="s">
        <v>5013</v>
      </c>
      <c r="J5916" s="4">
        <v>65006</v>
      </c>
    </row>
    <row r="5917" spans="1:10" hidden="1" outlineLevel="2" x14ac:dyDescent="0.35">
      <c r="A5917" t="s">
        <v>3115</v>
      </c>
      <c r="B5917" s="1">
        <v>45737</v>
      </c>
      <c r="C5917" t="str">
        <f>"287"</f>
        <v>287</v>
      </c>
      <c r="D5917" t="s">
        <v>5014</v>
      </c>
      <c r="E5917" t="str">
        <f>"180490"</f>
        <v>180490</v>
      </c>
      <c r="F5917" t="str">
        <f t="shared" si="211"/>
        <v>60440000</v>
      </c>
      <c r="G5917" t="str">
        <f t="shared" si="212"/>
        <v>60440001</v>
      </c>
      <c r="H5917" t="s">
        <v>5015</v>
      </c>
      <c r="J5917" s="4">
        <v>46442</v>
      </c>
    </row>
    <row r="5918" spans="1:10" hidden="1" outlineLevel="2" x14ac:dyDescent="0.35">
      <c r="A5918" t="s">
        <v>3115</v>
      </c>
      <c r="B5918" s="1">
        <v>45737</v>
      </c>
      <c r="C5918" t="str">
        <f>"288"</f>
        <v>288</v>
      </c>
      <c r="D5918" t="s">
        <v>5016</v>
      </c>
      <c r="E5918" t="str">
        <f>"162599"</f>
        <v>162599</v>
      </c>
      <c r="F5918" t="str">
        <f t="shared" si="211"/>
        <v>60440000</v>
      </c>
      <c r="G5918" t="str">
        <f t="shared" si="212"/>
        <v>60440001</v>
      </c>
      <c r="H5918" t="s">
        <v>5017</v>
      </c>
      <c r="J5918" s="4">
        <v>3214</v>
      </c>
    </row>
    <row r="5919" spans="1:10" hidden="1" outlineLevel="2" x14ac:dyDescent="0.35">
      <c r="A5919" t="s">
        <v>3115</v>
      </c>
      <c r="B5919" s="1">
        <v>45737</v>
      </c>
      <c r="C5919" t="str">
        <f>"289"</f>
        <v>289</v>
      </c>
      <c r="D5919" t="s">
        <v>5018</v>
      </c>
      <c r="E5919" t="str">
        <f>"182041"</f>
        <v>182041</v>
      </c>
      <c r="F5919" t="str">
        <f t="shared" si="211"/>
        <v>60440000</v>
      </c>
      <c r="G5919" t="str">
        <f t="shared" si="212"/>
        <v>60440001</v>
      </c>
      <c r="H5919" t="s">
        <v>5019</v>
      </c>
      <c r="J5919" s="4">
        <v>2099</v>
      </c>
    </row>
    <row r="5920" spans="1:10" hidden="1" outlineLevel="2" x14ac:dyDescent="0.35">
      <c r="A5920" t="s">
        <v>3115</v>
      </c>
      <c r="B5920" s="1">
        <v>45737</v>
      </c>
      <c r="C5920" t="str">
        <f>"291"</f>
        <v>291</v>
      </c>
      <c r="D5920" t="s">
        <v>5022</v>
      </c>
      <c r="E5920" t="str">
        <f>"14507"</f>
        <v>14507</v>
      </c>
      <c r="F5920" t="str">
        <f t="shared" si="211"/>
        <v>60440000</v>
      </c>
      <c r="G5920" t="str">
        <f t="shared" si="212"/>
        <v>60440001</v>
      </c>
      <c r="H5920" t="s">
        <v>5023</v>
      </c>
      <c r="J5920" s="4">
        <v>21580</v>
      </c>
    </row>
    <row r="5921" spans="1:10" hidden="1" outlineLevel="2" x14ac:dyDescent="0.35">
      <c r="A5921" t="s">
        <v>3115</v>
      </c>
      <c r="B5921" s="1">
        <v>45737</v>
      </c>
      <c r="C5921" t="str">
        <f>"292"</f>
        <v>292</v>
      </c>
      <c r="D5921" t="s">
        <v>5024</v>
      </c>
      <c r="E5921" t="str">
        <f>"181225"</f>
        <v>181225</v>
      </c>
      <c r="F5921" t="str">
        <f t="shared" si="211"/>
        <v>60440000</v>
      </c>
      <c r="G5921" t="str">
        <f t="shared" si="212"/>
        <v>60440001</v>
      </c>
      <c r="H5921" t="s">
        <v>5025</v>
      </c>
      <c r="J5921" s="4">
        <v>262</v>
      </c>
    </row>
    <row r="5922" spans="1:10" hidden="1" outlineLevel="2" x14ac:dyDescent="0.35">
      <c r="A5922" t="s">
        <v>3115</v>
      </c>
      <c r="B5922" s="1">
        <v>45737</v>
      </c>
      <c r="C5922" t="str">
        <f>"293"</f>
        <v>293</v>
      </c>
      <c r="D5922" t="s">
        <v>5026</v>
      </c>
      <c r="E5922" t="str">
        <f>"182000"</f>
        <v>182000</v>
      </c>
      <c r="F5922" t="str">
        <f t="shared" si="211"/>
        <v>60440000</v>
      </c>
      <c r="G5922" t="str">
        <f t="shared" si="212"/>
        <v>60440001</v>
      </c>
      <c r="H5922" t="s">
        <v>5027</v>
      </c>
      <c r="J5922" s="4">
        <v>71500</v>
      </c>
    </row>
    <row r="5923" spans="1:10" hidden="1" outlineLevel="2" x14ac:dyDescent="0.35">
      <c r="A5923" t="s">
        <v>3115</v>
      </c>
      <c r="B5923" s="1">
        <v>45737</v>
      </c>
      <c r="C5923" t="str">
        <f>"294"</f>
        <v>294</v>
      </c>
      <c r="D5923" t="s">
        <v>5028</v>
      </c>
      <c r="E5923" t="str">
        <f>"183502"</f>
        <v>183502</v>
      </c>
      <c r="F5923" t="str">
        <f t="shared" si="211"/>
        <v>60440000</v>
      </c>
      <c r="G5923" t="str">
        <f t="shared" si="212"/>
        <v>60440001</v>
      </c>
      <c r="H5923" t="s">
        <v>5029</v>
      </c>
      <c r="J5923" s="4">
        <v>9677</v>
      </c>
    </row>
    <row r="5924" spans="1:10" hidden="1" outlineLevel="2" x14ac:dyDescent="0.35">
      <c r="A5924" t="s">
        <v>3115</v>
      </c>
      <c r="B5924" s="1">
        <v>45737</v>
      </c>
      <c r="C5924" t="str">
        <f>"295"</f>
        <v>295</v>
      </c>
      <c r="D5924" t="s">
        <v>5030</v>
      </c>
      <c r="E5924" t="str">
        <f>"147276"</f>
        <v>147276</v>
      </c>
      <c r="F5924" t="str">
        <f t="shared" si="211"/>
        <v>60440000</v>
      </c>
      <c r="G5924" t="str">
        <f t="shared" si="212"/>
        <v>60440001</v>
      </c>
      <c r="H5924" t="s">
        <v>5031</v>
      </c>
      <c r="J5924" s="4">
        <v>20859</v>
      </c>
    </row>
    <row r="5925" spans="1:10" hidden="1" outlineLevel="2" x14ac:dyDescent="0.35">
      <c r="A5925" t="s">
        <v>3115</v>
      </c>
      <c r="B5925" s="1">
        <v>45737</v>
      </c>
      <c r="C5925" t="str">
        <f>"296"</f>
        <v>296</v>
      </c>
      <c r="D5925" t="s">
        <v>5032</v>
      </c>
      <c r="E5925" t="str">
        <f>"181188"</f>
        <v>181188</v>
      </c>
      <c r="F5925" t="str">
        <f t="shared" si="211"/>
        <v>60440000</v>
      </c>
      <c r="G5925" t="str">
        <f t="shared" si="212"/>
        <v>60440001</v>
      </c>
      <c r="H5925" t="s">
        <v>5033</v>
      </c>
      <c r="J5925" s="4">
        <v>9677</v>
      </c>
    </row>
    <row r="5926" spans="1:10" hidden="1" outlineLevel="2" x14ac:dyDescent="0.35">
      <c r="A5926" t="s">
        <v>3115</v>
      </c>
      <c r="B5926" s="1">
        <v>45737</v>
      </c>
      <c r="C5926" t="str">
        <f>"297"</f>
        <v>297</v>
      </c>
      <c r="D5926" t="s">
        <v>5034</v>
      </c>
      <c r="E5926" t="str">
        <f>"180489"</f>
        <v>180489</v>
      </c>
      <c r="F5926" t="str">
        <f t="shared" si="211"/>
        <v>60440000</v>
      </c>
      <c r="G5926" t="str">
        <f t="shared" si="212"/>
        <v>60440001</v>
      </c>
      <c r="H5926" t="s">
        <v>5035</v>
      </c>
      <c r="J5926" s="4">
        <v>656</v>
      </c>
    </row>
    <row r="5927" spans="1:10" hidden="1" outlineLevel="2" x14ac:dyDescent="0.35">
      <c r="A5927" t="s">
        <v>3115</v>
      </c>
      <c r="B5927" s="1">
        <v>45737</v>
      </c>
      <c r="C5927" t="str">
        <f>"298"</f>
        <v>298</v>
      </c>
      <c r="D5927" t="s">
        <v>5036</v>
      </c>
      <c r="E5927" t="str">
        <f>"183436"</f>
        <v>183436</v>
      </c>
      <c r="F5927" t="str">
        <f t="shared" si="211"/>
        <v>60440000</v>
      </c>
      <c r="G5927" t="str">
        <f t="shared" si="212"/>
        <v>60440001</v>
      </c>
      <c r="H5927" t="s">
        <v>5037</v>
      </c>
      <c r="J5927" s="4">
        <v>21580</v>
      </c>
    </row>
    <row r="5928" spans="1:10" hidden="1" outlineLevel="2" x14ac:dyDescent="0.35">
      <c r="A5928" t="s">
        <v>3115</v>
      </c>
      <c r="B5928" s="1">
        <v>45737</v>
      </c>
      <c r="C5928" t="str">
        <f>"299"</f>
        <v>299</v>
      </c>
      <c r="D5928" t="s">
        <v>5038</v>
      </c>
      <c r="E5928" t="str">
        <f>"184506"</f>
        <v>184506</v>
      </c>
      <c r="F5928" t="str">
        <f t="shared" si="211"/>
        <v>60440000</v>
      </c>
      <c r="G5928" t="str">
        <f t="shared" si="212"/>
        <v>60440001</v>
      </c>
      <c r="H5928" t="s">
        <v>5039</v>
      </c>
      <c r="J5928" s="4">
        <v>6887</v>
      </c>
    </row>
    <row r="5929" spans="1:10" hidden="1" outlineLevel="2" x14ac:dyDescent="0.35">
      <c r="A5929" t="s">
        <v>3115</v>
      </c>
      <c r="B5929" s="1">
        <v>45737</v>
      </c>
      <c r="C5929" t="str">
        <f>"300"</f>
        <v>300</v>
      </c>
      <c r="D5929" t="s">
        <v>5040</v>
      </c>
      <c r="E5929" t="str">
        <f>"181224"</f>
        <v>181224</v>
      </c>
      <c r="F5929" t="str">
        <f t="shared" si="211"/>
        <v>60440000</v>
      </c>
      <c r="G5929" t="str">
        <f t="shared" si="212"/>
        <v>60440001</v>
      </c>
      <c r="H5929" t="s">
        <v>5041</v>
      </c>
      <c r="J5929" s="4">
        <v>328</v>
      </c>
    </row>
    <row r="5930" spans="1:10" hidden="1" outlineLevel="2" x14ac:dyDescent="0.35">
      <c r="A5930" t="s">
        <v>3115</v>
      </c>
      <c r="B5930" s="1">
        <v>45737</v>
      </c>
      <c r="C5930" t="str">
        <f>"301"</f>
        <v>301</v>
      </c>
      <c r="D5930" t="s">
        <v>5042</v>
      </c>
      <c r="E5930" t="str">
        <f>"184505"</f>
        <v>184505</v>
      </c>
      <c r="F5930" t="str">
        <f t="shared" si="211"/>
        <v>60440000</v>
      </c>
      <c r="G5930" t="str">
        <f t="shared" si="212"/>
        <v>60440001</v>
      </c>
      <c r="H5930" t="s">
        <v>5043</v>
      </c>
      <c r="J5930" s="4">
        <v>2099</v>
      </c>
    </row>
    <row r="5931" spans="1:10" hidden="1" outlineLevel="2" x14ac:dyDescent="0.35">
      <c r="A5931" t="s">
        <v>3115</v>
      </c>
      <c r="B5931" s="1">
        <v>45737</v>
      </c>
      <c r="C5931" t="str">
        <f>"302"</f>
        <v>302</v>
      </c>
      <c r="D5931" t="s">
        <v>5044</v>
      </c>
      <c r="E5931" t="str">
        <f>"183433"</f>
        <v>183433</v>
      </c>
      <c r="F5931" t="str">
        <f t="shared" si="211"/>
        <v>60440000</v>
      </c>
      <c r="G5931" t="str">
        <f t="shared" si="212"/>
        <v>60440001</v>
      </c>
      <c r="H5931" t="s">
        <v>5045</v>
      </c>
      <c r="J5931" s="4">
        <v>1574</v>
      </c>
    </row>
    <row r="5932" spans="1:10" hidden="1" outlineLevel="2" x14ac:dyDescent="0.35">
      <c r="A5932" t="s">
        <v>3115</v>
      </c>
      <c r="B5932" s="1">
        <v>45737</v>
      </c>
      <c r="C5932" t="str">
        <f>"303"</f>
        <v>303</v>
      </c>
      <c r="D5932" t="s">
        <v>5046</v>
      </c>
      <c r="E5932" t="str">
        <f>"183434"</f>
        <v>183434</v>
      </c>
      <c r="F5932" t="str">
        <f t="shared" si="211"/>
        <v>60440000</v>
      </c>
      <c r="G5932" t="str">
        <f t="shared" si="212"/>
        <v>60440001</v>
      </c>
      <c r="H5932" t="s">
        <v>5047</v>
      </c>
      <c r="J5932" s="4">
        <v>8921</v>
      </c>
    </row>
    <row r="5933" spans="1:10" hidden="1" outlineLevel="2" x14ac:dyDescent="0.35">
      <c r="A5933" t="s">
        <v>3115</v>
      </c>
      <c r="B5933" s="1">
        <v>45737</v>
      </c>
      <c r="C5933" t="str">
        <f>"304"</f>
        <v>304</v>
      </c>
      <c r="D5933" t="s">
        <v>5048</v>
      </c>
      <c r="E5933" t="str">
        <f>"184203"</f>
        <v>184203</v>
      </c>
      <c r="F5933" t="str">
        <f t="shared" si="211"/>
        <v>60440000</v>
      </c>
      <c r="G5933" t="str">
        <f t="shared" si="212"/>
        <v>60440001</v>
      </c>
      <c r="H5933" t="s">
        <v>5049</v>
      </c>
      <c r="J5933" s="4">
        <v>24928</v>
      </c>
    </row>
    <row r="5934" spans="1:10" hidden="1" outlineLevel="2" x14ac:dyDescent="0.35">
      <c r="A5934" t="s">
        <v>3115</v>
      </c>
      <c r="B5934" s="1">
        <v>45737</v>
      </c>
      <c r="C5934" t="str">
        <f>"305"</f>
        <v>305</v>
      </c>
      <c r="D5934" t="s">
        <v>5050</v>
      </c>
      <c r="E5934" t="str">
        <f>"184202"</f>
        <v>184202</v>
      </c>
      <c r="F5934" t="str">
        <f t="shared" si="211"/>
        <v>60440000</v>
      </c>
      <c r="G5934" t="str">
        <f t="shared" si="212"/>
        <v>60440001</v>
      </c>
      <c r="H5934" t="s">
        <v>5051</v>
      </c>
      <c r="J5934" s="4">
        <v>24928</v>
      </c>
    </row>
    <row r="5935" spans="1:10" hidden="1" outlineLevel="2" x14ac:dyDescent="0.35">
      <c r="A5935" t="s">
        <v>3115</v>
      </c>
      <c r="B5935" s="1">
        <v>45738</v>
      </c>
      <c r="C5935" t="str">
        <f>"274"</f>
        <v>274</v>
      </c>
      <c r="D5935" t="s">
        <v>5052</v>
      </c>
      <c r="E5935" t="str">
        <f>"181221"</f>
        <v>181221</v>
      </c>
      <c r="F5935" t="str">
        <f t="shared" si="211"/>
        <v>60440000</v>
      </c>
      <c r="G5935" t="str">
        <f t="shared" si="212"/>
        <v>60440001</v>
      </c>
      <c r="H5935" t="s">
        <v>5053</v>
      </c>
      <c r="J5935" s="4">
        <v>656</v>
      </c>
    </row>
    <row r="5936" spans="1:10" hidden="1" outlineLevel="2" x14ac:dyDescent="0.35">
      <c r="A5936" t="s">
        <v>3115</v>
      </c>
      <c r="B5936" s="1">
        <v>45740</v>
      </c>
      <c r="C5936" t="str">
        <f>"229"</f>
        <v>229</v>
      </c>
      <c r="D5936" t="s">
        <v>5102</v>
      </c>
      <c r="E5936" t="str">
        <f>"182234"</f>
        <v>182234</v>
      </c>
      <c r="F5936" t="str">
        <f t="shared" si="211"/>
        <v>60440000</v>
      </c>
      <c r="G5936" t="str">
        <f t="shared" si="212"/>
        <v>60440001</v>
      </c>
      <c r="H5936" t="s">
        <v>5103</v>
      </c>
      <c r="J5936" s="4">
        <v>119975</v>
      </c>
    </row>
    <row r="5937" spans="1:10" hidden="1" outlineLevel="2" x14ac:dyDescent="0.35">
      <c r="A5937" t="s">
        <v>3115</v>
      </c>
      <c r="B5937" s="1">
        <v>45740</v>
      </c>
      <c r="C5937" t="str">
        <f>"231"</f>
        <v>231</v>
      </c>
      <c r="D5937" t="s">
        <v>5106</v>
      </c>
      <c r="E5937" t="str">
        <f>"182035"</f>
        <v>182035</v>
      </c>
      <c r="F5937" t="str">
        <f t="shared" si="211"/>
        <v>60440000</v>
      </c>
      <c r="G5937" t="str">
        <f t="shared" si="212"/>
        <v>60440001</v>
      </c>
      <c r="H5937" t="s">
        <v>5107</v>
      </c>
      <c r="J5937" s="4">
        <v>6954</v>
      </c>
    </row>
    <row r="5938" spans="1:10" hidden="1" outlineLevel="2" x14ac:dyDescent="0.35">
      <c r="A5938" t="s">
        <v>3115</v>
      </c>
      <c r="B5938" s="1">
        <v>45740</v>
      </c>
      <c r="C5938" t="str">
        <f>"232"</f>
        <v>232</v>
      </c>
      <c r="D5938" t="s">
        <v>5108</v>
      </c>
      <c r="E5938" t="str">
        <f>"182031"</f>
        <v>182031</v>
      </c>
      <c r="F5938" t="str">
        <f t="shared" si="211"/>
        <v>60440000</v>
      </c>
      <c r="G5938" t="str">
        <f t="shared" si="212"/>
        <v>60440001</v>
      </c>
      <c r="H5938" t="s">
        <v>5109</v>
      </c>
      <c r="J5938" s="4">
        <v>6954</v>
      </c>
    </row>
    <row r="5939" spans="1:10" hidden="1" outlineLevel="2" x14ac:dyDescent="0.35">
      <c r="A5939" t="s">
        <v>3115</v>
      </c>
      <c r="B5939" s="1">
        <v>45740</v>
      </c>
      <c r="C5939" t="str">
        <f>"233"</f>
        <v>233</v>
      </c>
      <c r="D5939" t="s">
        <v>5110</v>
      </c>
      <c r="E5939" t="str">
        <f>"182030"</f>
        <v>182030</v>
      </c>
      <c r="F5939" t="str">
        <f t="shared" si="211"/>
        <v>60440000</v>
      </c>
      <c r="G5939" t="str">
        <f t="shared" si="212"/>
        <v>60440001</v>
      </c>
      <c r="H5939" t="s">
        <v>5111</v>
      </c>
      <c r="J5939" s="4">
        <v>2100</v>
      </c>
    </row>
    <row r="5940" spans="1:10" hidden="1" outlineLevel="2" x14ac:dyDescent="0.35">
      <c r="A5940" t="s">
        <v>3115</v>
      </c>
      <c r="B5940" s="1">
        <v>45740</v>
      </c>
      <c r="C5940" t="str">
        <f>"235"</f>
        <v>235</v>
      </c>
      <c r="D5940" t="s">
        <v>5114</v>
      </c>
      <c r="E5940" t="str">
        <f>"181302"</f>
        <v>181302</v>
      </c>
      <c r="F5940" t="str">
        <f t="shared" si="211"/>
        <v>60440000</v>
      </c>
      <c r="G5940" t="str">
        <f t="shared" si="212"/>
        <v>60440001</v>
      </c>
      <c r="H5940" t="s">
        <v>5115</v>
      </c>
      <c r="J5940" s="4">
        <v>3017</v>
      </c>
    </row>
    <row r="5941" spans="1:10" hidden="1" outlineLevel="2" x14ac:dyDescent="0.35">
      <c r="A5941" t="s">
        <v>3115</v>
      </c>
      <c r="B5941" s="1">
        <v>45740</v>
      </c>
      <c r="C5941" t="str">
        <f>"244"</f>
        <v>244</v>
      </c>
      <c r="D5941" t="s">
        <v>5132</v>
      </c>
      <c r="E5941" t="str">
        <f>"147280"</f>
        <v>147280</v>
      </c>
      <c r="F5941" t="str">
        <f t="shared" si="211"/>
        <v>60440000</v>
      </c>
      <c r="G5941" t="str">
        <f t="shared" si="212"/>
        <v>60440001</v>
      </c>
      <c r="H5941" t="s">
        <v>5133</v>
      </c>
      <c r="J5941" s="4">
        <v>2099</v>
      </c>
    </row>
    <row r="5942" spans="1:10" hidden="1" outlineLevel="2" x14ac:dyDescent="0.35">
      <c r="A5942" t="s">
        <v>3115</v>
      </c>
      <c r="B5942" s="1">
        <v>45740</v>
      </c>
      <c r="C5942" t="str">
        <f>"245"</f>
        <v>245</v>
      </c>
      <c r="D5942" t="s">
        <v>5134</v>
      </c>
      <c r="E5942" t="str">
        <f>"147217"</f>
        <v>147217</v>
      </c>
      <c r="F5942" t="str">
        <f t="shared" si="211"/>
        <v>60440000</v>
      </c>
      <c r="G5942" t="str">
        <f t="shared" si="212"/>
        <v>60440001</v>
      </c>
      <c r="H5942" t="s">
        <v>5135</v>
      </c>
      <c r="J5942" s="4">
        <v>3673</v>
      </c>
    </row>
    <row r="5943" spans="1:10" hidden="1" outlineLevel="2" x14ac:dyDescent="0.35">
      <c r="A5943" t="s">
        <v>3115</v>
      </c>
      <c r="B5943" s="1">
        <v>45740</v>
      </c>
      <c r="C5943" t="str">
        <f>"246"</f>
        <v>246</v>
      </c>
      <c r="D5943" t="s">
        <v>5136</v>
      </c>
      <c r="E5943" t="str">
        <f>"178445"</f>
        <v>178445</v>
      </c>
      <c r="F5943" t="str">
        <f t="shared" si="211"/>
        <v>60440000</v>
      </c>
      <c r="G5943" t="str">
        <f t="shared" si="212"/>
        <v>60440001</v>
      </c>
      <c r="H5943" t="s">
        <v>5137</v>
      </c>
      <c r="J5943" s="4">
        <v>36204</v>
      </c>
    </row>
    <row r="5944" spans="1:10" hidden="1" outlineLevel="2" x14ac:dyDescent="0.35">
      <c r="A5944" t="s">
        <v>3115</v>
      </c>
      <c r="B5944" s="1">
        <v>45740</v>
      </c>
      <c r="C5944" t="str">
        <f>"247"</f>
        <v>247</v>
      </c>
      <c r="D5944" t="s">
        <v>5138</v>
      </c>
      <c r="E5944" t="str">
        <f>"181227"</f>
        <v>181227</v>
      </c>
      <c r="F5944" t="str">
        <f t="shared" si="211"/>
        <v>60440000</v>
      </c>
      <c r="G5944" t="str">
        <f t="shared" si="212"/>
        <v>60440001</v>
      </c>
      <c r="H5944" t="s">
        <v>5139</v>
      </c>
      <c r="J5944" s="4">
        <v>69138</v>
      </c>
    </row>
    <row r="5945" spans="1:10" hidden="1" outlineLevel="2" x14ac:dyDescent="0.35">
      <c r="A5945" t="s">
        <v>3115</v>
      </c>
      <c r="B5945" s="1">
        <v>45740</v>
      </c>
      <c r="C5945" t="str">
        <f>"248"</f>
        <v>248</v>
      </c>
      <c r="D5945" t="s">
        <v>5140</v>
      </c>
      <c r="E5945" t="str">
        <f>"178447"</f>
        <v>178447</v>
      </c>
      <c r="F5945" t="str">
        <f t="shared" si="211"/>
        <v>60440000</v>
      </c>
      <c r="G5945" t="str">
        <f t="shared" si="212"/>
        <v>60440001</v>
      </c>
      <c r="H5945" t="s">
        <v>5141</v>
      </c>
      <c r="J5945" s="4">
        <v>114862</v>
      </c>
    </row>
    <row r="5946" spans="1:10" hidden="1" outlineLevel="2" x14ac:dyDescent="0.35">
      <c r="A5946" t="s">
        <v>3115</v>
      </c>
      <c r="B5946" s="1">
        <v>45740</v>
      </c>
      <c r="C5946" t="str">
        <f>"249"</f>
        <v>249</v>
      </c>
      <c r="D5946" t="s">
        <v>5142</v>
      </c>
      <c r="E5946" t="str">
        <f>"181229"</f>
        <v>181229</v>
      </c>
      <c r="F5946" t="str">
        <f t="shared" si="211"/>
        <v>60440000</v>
      </c>
      <c r="G5946" t="str">
        <f t="shared" si="212"/>
        <v>60440001</v>
      </c>
      <c r="H5946" t="s">
        <v>5143</v>
      </c>
      <c r="J5946" s="4">
        <v>12464</v>
      </c>
    </row>
    <row r="5947" spans="1:10" hidden="1" outlineLevel="2" x14ac:dyDescent="0.35">
      <c r="A5947" t="s">
        <v>3115</v>
      </c>
      <c r="B5947" s="1">
        <v>45740</v>
      </c>
      <c r="C5947" t="str">
        <f>"250"</f>
        <v>250</v>
      </c>
      <c r="D5947" t="s">
        <v>5144</v>
      </c>
      <c r="E5947" t="str">
        <f>"182032"</f>
        <v>182032</v>
      </c>
      <c r="F5947" t="str">
        <f t="shared" si="211"/>
        <v>60440000</v>
      </c>
      <c r="G5947" t="str">
        <f t="shared" si="212"/>
        <v>60440001</v>
      </c>
      <c r="H5947" t="s">
        <v>5145</v>
      </c>
      <c r="J5947" s="4">
        <v>2099</v>
      </c>
    </row>
    <row r="5948" spans="1:10" hidden="1" outlineLevel="2" x14ac:dyDescent="0.35">
      <c r="A5948" t="s">
        <v>3115</v>
      </c>
      <c r="B5948" s="1">
        <v>45740</v>
      </c>
      <c r="C5948" t="str">
        <f>"251"</f>
        <v>251</v>
      </c>
      <c r="D5948" t="s">
        <v>5146</v>
      </c>
      <c r="E5948" t="str">
        <f>"184509"</f>
        <v>184509</v>
      </c>
      <c r="F5948" t="str">
        <f t="shared" si="211"/>
        <v>60440000</v>
      </c>
      <c r="G5948" t="str">
        <f t="shared" si="212"/>
        <v>60440001</v>
      </c>
      <c r="H5948" t="s">
        <v>5147</v>
      </c>
      <c r="J5948" s="4">
        <v>1443</v>
      </c>
    </row>
    <row r="5949" spans="1:10" hidden="1" outlineLevel="2" x14ac:dyDescent="0.35">
      <c r="A5949" t="s">
        <v>3115</v>
      </c>
      <c r="B5949" s="1">
        <v>45740</v>
      </c>
      <c r="C5949" t="str">
        <f>"252"</f>
        <v>252</v>
      </c>
      <c r="D5949" t="s">
        <v>5148</v>
      </c>
      <c r="E5949" t="str">
        <f>"181843"</f>
        <v>181843</v>
      </c>
      <c r="F5949" t="str">
        <f t="shared" si="211"/>
        <v>60440000</v>
      </c>
      <c r="G5949" t="str">
        <f t="shared" si="212"/>
        <v>60440001</v>
      </c>
      <c r="H5949" t="s">
        <v>5149</v>
      </c>
      <c r="J5949" s="4">
        <v>2600</v>
      </c>
    </row>
    <row r="5950" spans="1:10" hidden="1" outlineLevel="2" x14ac:dyDescent="0.35">
      <c r="A5950" t="s">
        <v>3115</v>
      </c>
      <c r="B5950" s="1">
        <v>45740</v>
      </c>
      <c r="C5950" t="str">
        <f>"253"</f>
        <v>253</v>
      </c>
      <c r="D5950" t="s">
        <v>5150</v>
      </c>
      <c r="E5950" t="str">
        <f>"181927"</f>
        <v>181927</v>
      </c>
      <c r="F5950" t="str">
        <f t="shared" si="211"/>
        <v>60440000</v>
      </c>
      <c r="G5950" t="str">
        <f t="shared" si="212"/>
        <v>60440001</v>
      </c>
      <c r="H5950" t="s">
        <v>5151</v>
      </c>
      <c r="J5950" s="4">
        <v>57237</v>
      </c>
    </row>
    <row r="5951" spans="1:10" hidden="1" outlineLevel="2" x14ac:dyDescent="0.35">
      <c r="A5951" t="s">
        <v>3115</v>
      </c>
      <c r="B5951" s="1">
        <v>45740</v>
      </c>
      <c r="C5951" t="str">
        <f>"254"</f>
        <v>254</v>
      </c>
      <c r="D5951" t="s">
        <v>5152</v>
      </c>
      <c r="E5951" t="str">
        <f>"183438"</f>
        <v>183438</v>
      </c>
      <c r="F5951" t="str">
        <f t="shared" si="211"/>
        <v>60440000</v>
      </c>
      <c r="G5951" t="str">
        <f t="shared" si="212"/>
        <v>60440001</v>
      </c>
      <c r="H5951" t="s">
        <v>5153</v>
      </c>
      <c r="J5951" s="4">
        <v>6756</v>
      </c>
    </row>
    <row r="5952" spans="1:10" hidden="1" outlineLevel="2" x14ac:dyDescent="0.35">
      <c r="A5952" t="s">
        <v>3115</v>
      </c>
      <c r="B5952" s="1">
        <v>45740</v>
      </c>
      <c r="C5952" t="str">
        <f>"255"</f>
        <v>255</v>
      </c>
      <c r="D5952" t="s">
        <v>5154</v>
      </c>
      <c r="E5952" t="str">
        <f>"183562"</f>
        <v>183562</v>
      </c>
      <c r="F5952" t="str">
        <f t="shared" si="211"/>
        <v>60440000</v>
      </c>
      <c r="G5952" t="str">
        <f t="shared" si="212"/>
        <v>60440001</v>
      </c>
      <c r="H5952" t="s">
        <v>5155</v>
      </c>
      <c r="J5952" s="4">
        <v>57237</v>
      </c>
    </row>
    <row r="5953" spans="1:10" hidden="1" outlineLevel="2" x14ac:dyDescent="0.35">
      <c r="A5953" t="s">
        <v>3115</v>
      </c>
      <c r="B5953" s="1">
        <v>45740</v>
      </c>
      <c r="C5953" t="str">
        <f>"256"</f>
        <v>256</v>
      </c>
      <c r="D5953" t="s">
        <v>5156</v>
      </c>
      <c r="E5953" t="str">
        <f>"183415"</f>
        <v>183415</v>
      </c>
      <c r="F5953" t="str">
        <f t="shared" si="211"/>
        <v>60440000</v>
      </c>
      <c r="G5953" t="str">
        <f t="shared" si="212"/>
        <v>60440001</v>
      </c>
      <c r="H5953" t="s">
        <v>5157</v>
      </c>
      <c r="J5953" s="4">
        <v>738302</v>
      </c>
    </row>
    <row r="5954" spans="1:10" hidden="1" outlineLevel="2" x14ac:dyDescent="0.35">
      <c r="A5954" t="s">
        <v>3115</v>
      </c>
      <c r="B5954" s="1">
        <v>45740</v>
      </c>
      <c r="C5954" t="str">
        <f>"257"</f>
        <v>257</v>
      </c>
      <c r="D5954" t="s">
        <v>5158</v>
      </c>
      <c r="E5954" t="str">
        <f>"182028"</f>
        <v>182028</v>
      </c>
      <c r="F5954" t="str">
        <f t="shared" si="211"/>
        <v>60440000</v>
      </c>
      <c r="G5954" t="str">
        <f t="shared" si="212"/>
        <v>60440001</v>
      </c>
      <c r="H5954" t="s">
        <v>5159</v>
      </c>
      <c r="J5954" s="4">
        <v>17973</v>
      </c>
    </row>
    <row r="5955" spans="1:10" hidden="1" outlineLevel="2" x14ac:dyDescent="0.35">
      <c r="A5955" t="s">
        <v>3115</v>
      </c>
      <c r="B5955" s="1">
        <v>45740</v>
      </c>
      <c r="C5955" t="str">
        <f>"258"</f>
        <v>258</v>
      </c>
      <c r="D5955" t="s">
        <v>5160</v>
      </c>
      <c r="E5955" t="str">
        <f>"182036"</f>
        <v>182036</v>
      </c>
      <c r="F5955" t="str">
        <f t="shared" ref="F5955:F6018" si="213">"60440000"</f>
        <v>60440000</v>
      </c>
      <c r="G5955" t="str">
        <f t="shared" ref="G5955:G6018" si="214">"60440001"</f>
        <v>60440001</v>
      </c>
      <c r="H5955" t="s">
        <v>5161</v>
      </c>
      <c r="J5955" s="4">
        <v>656</v>
      </c>
    </row>
    <row r="5956" spans="1:10" hidden="1" outlineLevel="2" x14ac:dyDescent="0.35">
      <c r="A5956" t="s">
        <v>3115</v>
      </c>
      <c r="B5956" s="1">
        <v>45740</v>
      </c>
      <c r="C5956" t="str">
        <f>"259"</f>
        <v>259</v>
      </c>
      <c r="D5956" t="s">
        <v>5162</v>
      </c>
      <c r="E5956" t="str">
        <f>"182033"</f>
        <v>182033</v>
      </c>
      <c r="F5956" t="str">
        <f t="shared" si="213"/>
        <v>60440000</v>
      </c>
      <c r="G5956" t="str">
        <f t="shared" si="214"/>
        <v>60440001</v>
      </c>
      <c r="H5956" t="s">
        <v>5163</v>
      </c>
      <c r="J5956" s="4">
        <v>2099</v>
      </c>
    </row>
    <row r="5957" spans="1:10" hidden="1" outlineLevel="2" x14ac:dyDescent="0.35">
      <c r="A5957" t="s">
        <v>3115</v>
      </c>
      <c r="B5957" s="1">
        <v>45741</v>
      </c>
      <c r="C5957" t="str">
        <f>"19"</f>
        <v>19</v>
      </c>
      <c r="D5957" t="s">
        <v>5164</v>
      </c>
      <c r="E5957" t="str">
        <f>"147218"</f>
        <v>147218</v>
      </c>
      <c r="F5957" t="str">
        <f t="shared" si="213"/>
        <v>60440000</v>
      </c>
      <c r="G5957" t="str">
        <f t="shared" si="214"/>
        <v>60440001</v>
      </c>
      <c r="H5957" t="s">
        <v>5165</v>
      </c>
      <c r="J5957" s="4">
        <v>394</v>
      </c>
    </row>
    <row r="5958" spans="1:10" hidden="1" outlineLevel="2" x14ac:dyDescent="0.35">
      <c r="A5958" t="s">
        <v>3115</v>
      </c>
      <c r="B5958" s="1">
        <v>45741</v>
      </c>
      <c r="C5958" t="str">
        <f>"21"</f>
        <v>21</v>
      </c>
      <c r="D5958" t="s">
        <v>5168</v>
      </c>
      <c r="E5958" t="str">
        <f>"180063"</f>
        <v>180063</v>
      </c>
      <c r="F5958" t="str">
        <f t="shared" si="213"/>
        <v>60440000</v>
      </c>
      <c r="G5958" t="str">
        <f t="shared" si="214"/>
        <v>60440001</v>
      </c>
      <c r="H5958" t="s">
        <v>5169</v>
      </c>
      <c r="J5958" s="4">
        <v>575342</v>
      </c>
    </row>
    <row r="5959" spans="1:10" hidden="1" outlineLevel="2" x14ac:dyDescent="0.35">
      <c r="A5959" t="s">
        <v>3115</v>
      </c>
      <c r="B5959" s="1">
        <v>45741</v>
      </c>
      <c r="C5959" t="str">
        <f>"22"</f>
        <v>22</v>
      </c>
      <c r="D5959" t="s">
        <v>5170</v>
      </c>
      <c r="E5959" t="str">
        <f>"180149"</f>
        <v>180149</v>
      </c>
      <c r="F5959" t="str">
        <f t="shared" si="213"/>
        <v>60440000</v>
      </c>
      <c r="G5959" t="str">
        <f t="shared" si="214"/>
        <v>60440001</v>
      </c>
      <c r="H5959" t="s">
        <v>5171</v>
      </c>
      <c r="J5959" s="4">
        <v>200000</v>
      </c>
    </row>
    <row r="5960" spans="1:10" hidden="1" outlineLevel="2" x14ac:dyDescent="0.35">
      <c r="A5960" t="s">
        <v>3115</v>
      </c>
      <c r="B5960" s="1">
        <v>45741</v>
      </c>
      <c r="C5960" t="str">
        <f>"24"</f>
        <v>24</v>
      </c>
      <c r="D5960" t="s">
        <v>5174</v>
      </c>
      <c r="E5960" t="str">
        <f>"181985"</f>
        <v>181985</v>
      </c>
      <c r="F5960" t="str">
        <f t="shared" si="213"/>
        <v>60440000</v>
      </c>
      <c r="G5960" t="str">
        <f t="shared" si="214"/>
        <v>60440001</v>
      </c>
      <c r="H5960" t="s">
        <v>5175</v>
      </c>
      <c r="J5960" s="4">
        <v>450000</v>
      </c>
    </row>
    <row r="5961" spans="1:10" hidden="1" outlineLevel="2" x14ac:dyDescent="0.35">
      <c r="A5961" t="s">
        <v>3115</v>
      </c>
      <c r="B5961" s="1">
        <v>45741</v>
      </c>
      <c r="C5961" t="str">
        <f>"25"</f>
        <v>25</v>
      </c>
      <c r="D5961" t="s">
        <v>5176</v>
      </c>
      <c r="E5961" t="str">
        <f>"181983"</f>
        <v>181983</v>
      </c>
      <c r="F5961" t="str">
        <f t="shared" si="213"/>
        <v>60440000</v>
      </c>
      <c r="G5961" t="str">
        <f t="shared" si="214"/>
        <v>60440001</v>
      </c>
      <c r="H5961" t="s">
        <v>5177</v>
      </c>
      <c r="J5961" s="4">
        <v>450000</v>
      </c>
    </row>
    <row r="5962" spans="1:10" hidden="1" outlineLevel="2" x14ac:dyDescent="0.35">
      <c r="A5962" t="s">
        <v>3115</v>
      </c>
      <c r="B5962" s="1">
        <v>45741</v>
      </c>
      <c r="C5962" t="str">
        <f>"27"</f>
        <v>27</v>
      </c>
      <c r="D5962" t="s">
        <v>5180</v>
      </c>
      <c r="E5962" t="str">
        <f>"183505"</f>
        <v>183505</v>
      </c>
      <c r="F5962" t="str">
        <f t="shared" si="213"/>
        <v>60440000</v>
      </c>
      <c r="G5962" t="str">
        <f t="shared" si="214"/>
        <v>60440001</v>
      </c>
      <c r="H5962" t="s">
        <v>5181</v>
      </c>
      <c r="J5962" s="4">
        <v>65000</v>
      </c>
    </row>
    <row r="5963" spans="1:10" hidden="1" outlineLevel="2" x14ac:dyDescent="0.35">
      <c r="A5963" t="s">
        <v>3115</v>
      </c>
      <c r="B5963" s="1">
        <v>45741</v>
      </c>
      <c r="C5963" t="str">
        <f>"29"</f>
        <v>29</v>
      </c>
      <c r="D5963" t="s">
        <v>5184</v>
      </c>
      <c r="E5963" t="str">
        <f>"183506"</f>
        <v>183506</v>
      </c>
      <c r="F5963" t="str">
        <f t="shared" si="213"/>
        <v>60440000</v>
      </c>
      <c r="G5963" t="str">
        <f t="shared" si="214"/>
        <v>60440001</v>
      </c>
      <c r="H5963" t="s">
        <v>5185</v>
      </c>
      <c r="J5963" s="4">
        <v>65000</v>
      </c>
    </row>
    <row r="5964" spans="1:10" hidden="1" outlineLevel="2" x14ac:dyDescent="0.35">
      <c r="A5964" t="s">
        <v>3115</v>
      </c>
      <c r="B5964" s="1">
        <v>45741</v>
      </c>
      <c r="C5964" t="str">
        <f>"30"</f>
        <v>30</v>
      </c>
      <c r="D5964" t="s">
        <v>5186</v>
      </c>
      <c r="E5964" t="str">
        <f>"181744"</f>
        <v>181744</v>
      </c>
      <c r="F5964" t="str">
        <f t="shared" si="213"/>
        <v>60440000</v>
      </c>
      <c r="G5964" t="str">
        <f t="shared" si="214"/>
        <v>60440001</v>
      </c>
      <c r="H5964" t="s">
        <v>5187</v>
      </c>
      <c r="J5964" s="4">
        <v>90000</v>
      </c>
    </row>
    <row r="5965" spans="1:10" hidden="1" outlineLevel="2" x14ac:dyDescent="0.35">
      <c r="A5965" t="s">
        <v>3115</v>
      </c>
      <c r="B5965" s="1">
        <v>45741</v>
      </c>
      <c r="C5965" t="str">
        <f>"32"</f>
        <v>32</v>
      </c>
      <c r="D5965" t="s">
        <v>5190</v>
      </c>
      <c r="E5965" t="str">
        <f>"181743"</f>
        <v>181743</v>
      </c>
      <c r="F5965" t="str">
        <f t="shared" si="213"/>
        <v>60440000</v>
      </c>
      <c r="G5965" t="str">
        <f t="shared" si="214"/>
        <v>60440001</v>
      </c>
      <c r="H5965" t="s">
        <v>5191</v>
      </c>
      <c r="J5965" s="4">
        <v>200000</v>
      </c>
    </row>
    <row r="5966" spans="1:10" hidden="1" outlineLevel="2" x14ac:dyDescent="0.35">
      <c r="A5966" t="s">
        <v>3115</v>
      </c>
      <c r="B5966" s="1">
        <v>45741</v>
      </c>
      <c r="C5966" t="str">
        <f>"34"</f>
        <v>34</v>
      </c>
      <c r="D5966" t="s">
        <v>5194</v>
      </c>
      <c r="E5966" t="str">
        <f>"182019"</f>
        <v>182019</v>
      </c>
      <c r="F5966" t="str">
        <f t="shared" si="213"/>
        <v>60440000</v>
      </c>
      <c r="G5966" t="str">
        <f t="shared" si="214"/>
        <v>60440001</v>
      </c>
      <c r="H5966" t="s">
        <v>5195</v>
      </c>
      <c r="J5966" s="4">
        <v>80000</v>
      </c>
    </row>
    <row r="5967" spans="1:10" hidden="1" outlineLevel="2" x14ac:dyDescent="0.35">
      <c r="A5967" t="s">
        <v>3115</v>
      </c>
      <c r="B5967" s="1">
        <v>45741</v>
      </c>
      <c r="C5967" t="str">
        <f>"36"</f>
        <v>36</v>
      </c>
      <c r="D5967" t="s">
        <v>5198</v>
      </c>
      <c r="E5967" t="str">
        <f>"181926"</f>
        <v>181926</v>
      </c>
      <c r="F5967" t="str">
        <f t="shared" si="213"/>
        <v>60440000</v>
      </c>
      <c r="G5967" t="str">
        <f t="shared" si="214"/>
        <v>60440001</v>
      </c>
      <c r="H5967" t="s">
        <v>5199</v>
      </c>
      <c r="J5967" s="4">
        <v>20000</v>
      </c>
    </row>
    <row r="5968" spans="1:10" hidden="1" outlineLevel="2" x14ac:dyDescent="0.35">
      <c r="A5968" t="s">
        <v>3115</v>
      </c>
      <c r="B5968" s="1">
        <v>45741</v>
      </c>
      <c r="C5968" t="str">
        <f>"37"</f>
        <v>37</v>
      </c>
      <c r="D5968" t="s">
        <v>5200</v>
      </c>
      <c r="E5968" t="str">
        <f>"182020"</f>
        <v>182020</v>
      </c>
      <c r="F5968" t="str">
        <f t="shared" si="213"/>
        <v>60440000</v>
      </c>
      <c r="G5968" t="str">
        <f t="shared" si="214"/>
        <v>60440001</v>
      </c>
      <c r="H5968" t="s">
        <v>5201</v>
      </c>
      <c r="J5968" s="4">
        <v>45000</v>
      </c>
    </row>
    <row r="5969" spans="1:10" hidden="1" outlineLevel="2" x14ac:dyDescent="0.35">
      <c r="A5969" t="s">
        <v>3115</v>
      </c>
      <c r="B5969" s="1">
        <v>45741</v>
      </c>
      <c r="C5969" t="str">
        <f>"38"</f>
        <v>38</v>
      </c>
      <c r="D5969" t="s">
        <v>5202</v>
      </c>
      <c r="E5969" t="str">
        <f>"182018"</f>
        <v>182018</v>
      </c>
      <c r="F5969" t="str">
        <f t="shared" si="213"/>
        <v>60440000</v>
      </c>
      <c r="G5969" t="str">
        <f t="shared" si="214"/>
        <v>60440001</v>
      </c>
      <c r="H5969" t="s">
        <v>5203</v>
      </c>
      <c r="J5969" s="4">
        <v>15000</v>
      </c>
    </row>
    <row r="5970" spans="1:10" hidden="1" outlineLevel="2" x14ac:dyDescent="0.35">
      <c r="A5970" t="s">
        <v>3115</v>
      </c>
      <c r="B5970" s="1">
        <v>45741</v>
      </c>
      <c r="C5970" t="str">
        <f>"40"</f>
        <v>40</v>
      </c>
      <c r="D5970" t="s">
        <v>5206</v>
      </c>
      <c r="E5970" t="str">
        <f>"183291"</f>
        <v>183291</v>
      </c>
      <c r="F5970" t="str">
        <f t="shared" si="213"/>
        <v>60440000</v>
      </c>
      <c r="G5970" t="str">
        <f t="shared" si="214"/>
        <v>60440001</v>
      </c>
      <c r="H5970" t="s">
        <v>5207</v>
      </c>
      <c r="J5970" s="4">
        <v>15000</v>
      </c>
    </row>
    <row r="5971" spans="1:10" hidden="1" outlineLevel="2" x14ac:dyDescent="0.35">
      <c r="A5971" t="s">
        <v>3115</v>
      </c>
      <c r="B5971" s="1">
        <v>45741</v>
      </c>
      <c r="C5971" t="str">
        <f>"41"</f>
        <v>41</v>
      </c>
      <c r="D5971" t="s">
        <v>5208</v>
      </c>
      <c r="E5971" t="str">
        <f>"183290"</f>
        <v>183290</v>
      </c>
      <c r="F5971" t="str">
        <f t="shared" si="213"/>
        <v>60440000</v>
      </c>
      <c r="G5971" t="str">
        <f t="shared" si="214"/>
        <v>60440001</v>
      </c>
      <c r="H5971" t="s">
        <v>5209</v>
      </c>
      <c r="J5971" s="4">
        <v>80000</v>
      </c>
    </row>
    <row r="5972" spans="1:10" hidden="1" outlineLevel="2" x14ac:dyDescent="0.35">
      <c r="A5972" t="s">
        <v>3115</v>
      </c>
      <c r="B5972" s="1">
        <v>45741</v>
      </c>
      <c r="C5972" t="str">
        <f>"43"</f>
        <v>43</v>
      </c>
      <c r="D5972" t="s">
        <v>5212</v>
      </c>
      <c r="E5972" t="str">
        <f>"184705"</f>
        <v>184705</v>
      </c>
      <c r="F5972" t="str">
        <f t="shared" si="213"/>
        <v>60440000</v>
      </c>
      <c r="G5972" t="str">
        <f t="shared" si="214"/>
        <v>60440001</v>
      </c>
      <c r="H5972" t="s">
        <v>5213</v>
      </c>
      <c r="J5972" s="4">
        <v>6166</v>
      </c>
    </row>
    <row r="5973" spans="1:10" hidden="1" outlineLevel="2" x14ac:dyDescent="0.35">
      <c r="A5973" t="s">
        <v>3115</v>
      </c>
      <c r="B5973" s="1">
        <v>45741</v>
      </c>
      <c r="C5973" t="str">
        <f>"45"</f>
        <v>45</v>
      </c>
      <c r="D5973" t="s">
        <v>5216</v>
      </c>
      <c r="E5973" t="str">
        <f>"182083"</f>
        <v>182083</v>
      </c>
      <c r="F5973" t="str">
        <f t="shared" si="213"/>
        <v>60440000</v>
      </c>
      <c r="G5973" t="str">
        <f t="shared" si="214"/>
        <v>60440001</v>
      </c>
      <c r="H5973" t="s">
        <v>5217</v>
      </c>
      <c r="J5973" s="4">
        <v>68500</v>
      </c>
    </row>
    <row r="5974" spans="1:10" hidden="1" outlineLevel="2" x14ac:dyDescent="0.35">
      <c r="A5974" t="s">
        <v>3115</v>
      </c>
      <c r="B5974" s="1">
        <v>45741</v>
      </c>
      <c r="C5974" t="str">
        <f>"46"</f>
        <v>46</v>
      </c>
      <c r="D5974" t="s">
        <v>5218</v>
      </c>
      <c r="E5974" t="str">
        <f>"184512"</f>
        <v>184512</v>
      </c>
      <c r="F5974" t="str">
        <f t="shared" si="213"/>
        <v>60440000</v>
      </c>
      <c r="G5974" t="str">
        <f t="shared" si="214"/>
        <v>60440001</v>
      </c>
      <c r="H5974" t="s">
        <v>5219</v>
      </c>
      <c r="J5974" s="4">
        <v>1837</v>
      </c>
    </row>
    <row r="5975" spans="1:10" hidden="1" outlineLevel="2" x14ac:dyDescent="0.35">
      <c r="A5975" t="s">
        <v>3115</v>
      </c>
      <c r="B5975" s="1">
        <v>45741</v>
      </c>
      <c r="C5975" t="str">
        <f>"47"</f>
        <v>47</v>
      </c>
      <c r="D5975" t="s">
        <v>5220</v>
      </c>
      <c r="E5975" t="str">
        <f>"182084"</f>
        <v>182084</v>
      </c>
      <c r="F5975" t="str">
        <f t="shared" si="213"/>
        <v>60440000</v>
      </c>
      <c r="G5975" t="str">
        <f t="shared" si="214"/>
        <v>60440001</v>
      </c>
      <c r="H5975" t="s">
        <v>5221</v>
      </c>
      <c r="J5975" s="4">
        <v>65000</v>
      </c>
    </row>
    <row r="5976" spans="1:10" hidden="1" outlineLevel="2" x14ac:dyDescent="0.35">
      <c r="A5976" t="s">
        <v>3115</v>
      </c>
      <c r="B5976" s="1">
        <v>45741</v>
      </c>
      <c r="C5976" t="str">
        <f>"48"</f>
        <v>48</v>
      </c>
      <c r="D5976" t="s">
        <v>5222</v>
      </c>
      <c r="E5976" t="str">
        <f>"184511"</f>
        <v>184511</v>
      </c>
      <c r="F5976" t="str">
        <f t="shared" si="213"/>
        <v>60440000</v>
      </c>
      <c r="G5976" t="str">
        <f t="shared" si="214"/>
        <v>60440001</v>
      </c>
      <c r="H5976" t="s">
        <v>5223</v>
      </c>
      <c r="J5976" s="4">
        <v>2230</v>
      </c>
    </row>
    <row r="5977" spans="1:10" hidden="1" outlineLevel="2" x14ac:dyDescent="0.35">
      <c r="A5977" t="s">
        <v>3115</v>
      </c>
      <c r="B5977" s="1">
        <v>45741</v>
      </c>
      <c r="C5977" t="str">
        <f>"49"</f>
        <v>49</v>
      </c>
      <c r="D5977" t="s">
        <v>5224</v>
      </c>
      <c r="E5977" t="str">
        <f>"181928"</f>
        <v>181928</v>
      </c>
      <c r="F5977" t="str">
        <f t="shared" si="213"/>
        <v>60440000</v>
      </c>
      <c r="G5977" t="str">
        <f t="shared" si="214"/>
        <v>60440001</v>
      </c>
      <c r="H5977" t="s">
        <v>5225</v>
      </c>
      <c r="J5977" s="4">
        <v>150000</v>
      </c>
    </row>
    <row r="5978" spans="1:10" hidden="1" outlineLevel="2" x14ac:dyDescent="0.35">
      <c r="A5978" t="s">
        <v>3115</v>
      </c>
      <c r="B5978" s="1">
        <v>45741</v>
      </c>
      <c r="C5978" t="str">
        <f>"50"</f>
        <v>50</v>
      </c>
      <c r="D5978" t="s">
        <v>5226</v>
      </c>
      <c r="E5978" t="str">
        <f>"184703"</f>
        <v>184703</v>
      </c>
      <c r="F5978" t="str">
        <f t="shared" si="213"/>
        <v>60440000</v>
      </c>
      <c r="G5978" t="str">
        <f t="shared" si="214"/>
        <v>60440001</v>
      </c>
      <c r="H5978" t="s">
        <v>5227</v>
      </c>
      <c r="J5978" s="4">
        <v>7543</v>
      </c>
    </row>
    <row r="5979" spans="1:10" hidden="1" outlineLevel="2" x14ac:dyDescent="0.35">
      <c r="A5979" t="s">
        <v>3115</v>
      </c>
      <c r="B5979" s="1">
        <v>45741</v>
      </c>
      <c r="C5979" t="str">
        <f>"52"</f>
        <v>52</v>
      </c>
      <c r="D5979" t="s">
        <v>5230</v>
      </c>
      <c r="E5979" t="str">
        <f>"182072"</f>
        <v>182072</v>
      </c>
      <c r="F5979" t="str">
        <f t="shared" si="213"/>
        <v>60440000</v>
      </c>
      <c r="G5979" t="str">
        <f t="shared" si="214"/>
        <v>60440001</v>
      </c>
      <c r="H5979" t="s">
        <v>5231</v>
      </c>
      <c r="J5979" s="4">
        <v>3500</v>
      </c>
    </row>
    <row r="5980" spans="1:10" hidden="1" outlineLevel="2" x14ac:dyDescent="0.35">
      <c r="A5980" t="s">
        <v>3115</v>
      </c>
      <c r="B5980" s="1">
        <v>45741</v>
      </c>
      <c r="C5980" t="str">
        <f>"54"</f>
        <v>54</v>
      </c>
      <c r="D5980" t="s">
        <v>5234</v>
      </c>
      <c r="E5980" t="str">
        <f>"180493"</f>
        <v>180493</v>
      </c>
      <c r="F5980" t="str">
        <f t="shared" si="213"/>
        <v>60440000</v>
      </c>
      <c r="G5980" t="str">
        <f t="shared" si="214"/>
        <v>60440001</v>
      </c>
      <c r="H5980" t="s">
        <v>5235</v>
      </c>
      <c r="J5980" s="4">
        <v>31093</v>
      </c>
    </row>
    <row r="5981" spans="1:10" hidden="1" outlineLevel="2" x14ac:dyDescent="0.35">
      <c r="A5981" t="s">
        <v>3115</v>
      </c>
      <c r="B5981" s="1">
        <v>45741</v>
      </c>
      <c r="C5981" t="str">
        <f>"57"</f>
        <v>57</v>
      </c>
      <c r="D5981" t="s">
        <v>5240</v>
      </c>
      <c r="E5981" t="str">
        <f>"183406"</f>
        <v>183406</v>
      </c>
      <c r="F5981" t="str">
        <f t="shared" si="213"/>
        <v>60440000</v>
      </c>
      <c r="G5981" t="str">
        <f t="shared" si="214"/>
        <v>60440001</v>
      </c>
      <c r="H5981" t="s">
        <v>5241</v>
      </c>
      <c r="J5981" s="4">
        <v>18000</v>
      </c>
    </row>
    <row r="5982" spans="1:10" hidden="1" outlineLevel="2" x14ac:dyDescent="0.35">
      <c r="A5982" t="s">
        <v>3115</v>
      </c>
      <c r="B5982" s="1">
        <v>45741</v>
      </c>
      <c r="C5982" t="str">
        <f>"60"</f>
        <v>60</v>
      </c>
      <c r="D5982" t="s">
        <v>5246</v>
      </c>
      <c r="E5982" t="str">
        <f>"181833"</f>
        <v>181833</v>
      </c>
      <c r="F5982" t="str">
        <f t="shared" si="213"/>
        <v>60440000</v>
      </c>
      <c r="G5982" t="str">
        <f t="shared" si="214"/>
        <v>60440001</v>
      </c>
      <c r="H5982" t="s">
        <v>5247</v>
      </c>
      <c r="J5982" s="4">
        <v>30000</v>
      </c>
    </row>
    <row r="5983" spans="1:10" hidden="1" outlineLevel="2" x14ac:dyDescent="0.35">
      <c r="A5983" t="s">
        <v>3115</v>
      </c>
      <c r="B5983" s="1">
        <v>45741</v>
      </c>
      <c r="C5983" t="str">
        <f>"63"</f>
        <v>63</v>
      </c>
      <c r="D5983" t="s">
        <v>5252</v>
      </c>
      <c r="E5983" t="str">
        <f>"183502"</f>
        <v>183502</v>
      </c>
      <c r="F5983" t="str">
        <f t="shared" si="213"/>
        <v>60440000</v>
      </c>
      <c r="G5983" t="str">
        <f t="shared" si="214"/>
        <v>60440001</v>
      </c>
      <c r="H5983" t="s">
        <v>5253</v>
      </c>
      <c r="J5983" s="4">
        <v>95000</v>
      </c>
    </row>
    <row r="5984" spans="1:10" hidden="1" outlineLevel="2" x14ac:dyDescent="0.35">
      <c r="A5984" t="s">
        <v>3115</v>
      </c>
      <c r="B5984" s="1">
        <v>45741</v>
      </c>
      <c r="C5984" t="str">
        <f>"64"</f>
        <v>64</v>
      </c>
      <c r="D5984" t="s">
        <v>5254</v>
      </c>
      <c r="E5984" t="str">
        <f>"184702"</f>
        <v>184702</v>
      </c>
      <c r="F5984" t="str">
        <f t="shared" si="213"/>
        <v>60440000</v>
      </c>
      <c r="G5984" t="str">
        <f t="shared" si="214"/>
        <v>60440001</v>
      </c>
      <c r="H5984" t="s">
        <v>5255</v>
      </c>
      <c r="J5984" s="4">
        <v>1837</v>
      </c>
    </row>
    <row r="5985" spans="1:10" hidden="1" outlineLevel="2" x14ac:dyDescent="0.35">
      <c r="A5985" t="s">
        <v>3115</v>
      </c>
      <c r="B5985" s="1">
        <v>45741</v>
      </c>
      <c r="C5985" t="str">
        <f>"65"</f>
        <v>65</v>
      </c>
      <c r="D5985" t="s">
        <v>5256</v>
      </c>
      <c r="E5985" t="str">
        <f>"181838"</f>
        <v>181838</v>
      </c>
      <c r="F5985" t="str">
        <f t="shared" si="213"/>
        <v>60440000</v>
      </c>
      <c r="G5985" t="str">
        <f t="shared" si="214"/>
        <v>60440001</v>
      </c>
      <c r="H5985" t="s">
        <v>5257</v>
      </c>
      <c r="J5985" s="4">
        <v>50000</v>
      </c>
    </row>
    <row r="5986" spans="1:10" hidden="1" outlineLevel="2" x14ac:dyDescent="0.35">
      <c r="A5986" t="s">
        <v>3115</v>
      </c>
      <c r="B5986" s="1">
        <v>45741</v>
      </c>
      <c r="C5986" t="str">
        <f>"69"</f>
        <v>69</v>
      </c>
      <c r="D5986" t="s">
        <v>5264</v>
      </c>
      <c r="E5986" t="str">
        <f>"183269"</f>
        <v>183269</v>
      </c>
      <c r="F5986" t="str">
        <f t="shared" si="213"/>
        <v>60440000</v>
      </c>
      <c r="G5986" t="str">
        <f t="shared" si="214"/>
        <v>60440001</v>
      </c>
      <c r="H5986" t="s">
        <v>5265</v>
      </c>
      <c r="J5986" s="4">
        <v>20000</v>
      </c>
    </row>
    <row r="5987" spans="1:10" hidden="1" outlineLevel="2" x14ac:dyDescent="0.35">
      <c r="A5987" t="s">
        <v>3115</v>
      </c>
      <c r="B5987" s="1">
        <v>45741</v>
      </c>
      <c r="C5987" t="str">
        <f>"71"</f>
        <v>71</v>
      </c>
      <c r="D5987" t="s">
        <v>5268</v>
      </c>
      <c r="E5987" t="str">
        <f>"183259"</f>
        <v>183259</v>
      </c>
      <c r="F5987" t="str">
        <f t="shared" si="213"/>
        <v>60440000</v>
      </c>
      <c r="G5987" t="str">
        <f t="shared" si="214"/>
        <v>60440001</v>
      </c>
      <c r="H5987" t="s">
        <v>5269</v>
      </c>
      <c r="J5987" s="4">
        <v>80000</v>
      </c>
    </row>
    <row r="5988" spans="1:10" hidden="1" outlineLevel="2" x14ac:dyDescent="0.35">
      <c r="A5988" t="s">
        <v>3115</v>
      </c>
      <c r="B5988" s="1">
        <v>45741</v>
      </c>
      <c r="C5988" t="str">
        <f>"73"</f>
        <v>73</v>
      </c>
      <c r="D5988" t="s">
        <v>5272</v>
      </c>
      <c r="E5988" t="str">
        <f>"183283"</f>
        <v>183283</v>
      </c>
      <c r="F5988" t="str">
        <f t="shared" si="213"/>
        <v>60440000</v>
      </c>
      <c r="G5988" t="str">
        <f t="shared" si="214"/>
        <v>60440001</v>
      </c>
      <c r="H5988" t="s">
        <v>5273</v>
      </c>
      <c r="J5988" s="4">
        <v>80000</v>
      </c>
    </row>
    <row r="5989" spans="1:10" hidden="1" outlineLevel="2" x14ac:dyDescent="0.35">
      <c r="A5989" t="s">
        <v>3115</v>
      </c>
      <c r="B5989" s="1">
        <v>45741</v>
      </c>
      <c r="C5989" t="str">
        <f>"74"</f>
        <v>74</v>
      </c>
      <c r="D5989" t="s">
        <v>5274</v>
      </c>
      <c r="E5989" t="str">
        <f>"184701"</f>
        <v>184701</v>
      </c>
      <c r="F5989" t="str">
        <f t="shared" si="213"/>
        <v>60440000</v>
      </c>
      <c r="G5989" t="str">
        <f t="shared" si="214"/>
        <v>60440001</v>
      </c>
      <c r="H5989" t="s">
        <v>5275</v>
      </c>
      <c r="J5989" s="4">
        <v>5510</v>
      </c>
    </row>
    <row r="5990" spans="1:10" hidden="1" outlineLevel="2" x14ac:dyDescent="0.35">
      <c r="A5990" t="s">
        <v>3115</v>
      </c>
      <c r="B5990" s="1">
        <v>45741</v>
      </c>
      <c r="C5990" t="str">
        <f>"75"</f>
        <v>75</v>
      </c>
      <c r="D5990" t="s">
        <v>5276</v>
      </c>
      <c r="E5990" t="str">
        <f>"183264"</f>
        <v>183264</v>
      </c>
      <c r="F5990" t="str">
        <f t="shared" si="213"/>
        <v>60440000</v>
      </c>
      <c r="G5990" t="str">
        <f t="shared" si="214"/>
        <v>60440001</v>
      </c>
      <c r="H5990" t="s">
        <v>5277</v>
      </c>
      <c r="J5990" s="4">
        <v>60000</v>
      </c>
    </row>
    <row r="5991" spans="1:10" hidden="1" outlineLevel="2" x14ac:dyDescent="0.35">
      <c r="A5991" t="s">
        <v>3115</v>
      </c>
      <c r="B5991" s="1">
        <v>45741</v>
      </c>
      <c r="C5991" t="str">
        <f>"78"</f>
        <v>78</v>
      </c>
      <c r="D5991" t="s">
        <v>5282</v>
      </c>
      <c r="E5991" t="str">
        <f>"180829"</f>
        <v>180829</v>
      </c>
      <c r="F5991" t="str">
        <f t="shared" si="213"/>
        <v>60440000</v>
      </c>
      <c r="G5991" t="str">
        <f t="shared" si="214"/>
        <v>60440001</v>
      </c>
      <c r="H5991" t="s">
        <v>5283</v>
      </c>
      <c r="J5991" s="4">
        <v>60000</v>
      </c>
    </row>
    <row r="5992" spans="1:10" hidden="1" outlineLevel="2" x14ac:dyDescent="0.35">
      <c r="A5992" t="s">
        <v>3115</v>
      </c>
      <c r="B5992" s="1">
        <v>45741</v>
      </c>
      <c r="C5992" t="str">
        <f>"79"</f>
        <v>79</v>
      </c>
      <c r="D5992" t="s">
        <v>5284</v>
      </c>
      <c r="E5992" t="str">
        <f>"183521"</f>
        <v>183521</v>
      </c>
      <c r="F5992" t="str">
        <f t="shared" si="213"/>
        <v>60440000</v>
      </c>
      <c r="G5992" t="str">
        <f t="shared" si="214"/>
        <v>60440001</v>
      </c>
      <c r="H5992" t="s">
        <v>5285</v>
      </c>
      <c r="J5992" s="4">
        <v>181701</v>
      </c>
    </row>
    <row r="5993" spans="1:10" hidden="1" outlineLevel="2" x14ac:dyDescent="0.35">
      <c r="A5993" t="s">
        <v>3115</v>
      </c>
      <c r="B5993" s="1">
        <v>45741</v>
      </c>
      <c r="C5993" t="str">
        <f>"82"</f>
        <v>82</v>
      </c>
      <c r="D5993" t="s">
        <v>5290</v>
      </c>
      <c r="E5993" t="str">
        <f>"181739"</f>
        <v>181739</v>
      </c>
      <c r="F5993" t="str">
        <f t="shared" si="213"/>
        <v>60440000</v>
      </c>
      <c r="G5993" t="str">
        <f t="shared" si="214"/>
        <v>60440001</v>
      </c>
      <c r="H5993" t="s">
        <v>5291</v>
      </c>
      <c r="J5993" s="4">
        <v>220000</v>
      </c>
    </row>
    <row r="5994" spans="1:10" hidden="1" outlineLevel="2" x14ac:dyDescent="0.35">
      <c r="A5994" t="s">
        <v>3115</v>
      </c>
      <c r="B5994" s="1">
        <v>45741</v>
      </c>
      <c r="C5994" t="str">
        <f>"83"</f>
        <v>83</v>
      </c>
      <c r="D5994" t="s">
        <v>5292</v>
      </c>
      <c r="E5994" t="str">
        <f>"183524"</f>
        <v>183524</v>
      </c>
      <c r="F5994" t="str">
        <f t="shared" si="213"/>
        <v>60440000</v>
      </c>
      <c r="G5994" t="str">
        <f t="shared" si="214"/>
        <v>60440001</v>
      </c>
      <c r="H5994" t="s">
        <v>5293</v>
      </c>
      <c r="J5994" s="4">
        <v>93802</v>
      </c>
    </row>
    <row r="5995" spans="1:10" hidden="1" outlineLevel="2" x14ac:dyDescent="0.35">
      <c r="A5995" t="s">
        <v>3115</v>
      </c>
      <c r="B5995" s="1">
        <v>45741</v>
      </c>
      <c r="C5995" t="str">
        <f>"85"</f>
        <v>85</v>
      </c>
      <c r="D5995" t="s">
        <v>5296</v>
      </c>
      <c r="E5995" t="str">
        <f>"183523"</f>
        <v>183523</v>
      </c>
      <c r="F5995" t="str">
        <f t="shared" si="213"/>
        <v>60440000</v>
      </c>
      <c r="G5995" t="str">
        <f t="shared" si="214"/>
        <v>60440001</v>
      </c>
      <c r="H5995" t="s">
        <v>5297</v>
      </c>
      <c r="J5995" s="4">
        <v>181701</v>
      </c>
    </row>
    <row r="5996" spans="1:10" hidden="1" outlineLevel="2" x14ac:dyDescent="0.35">
      <c r="A5996" t="s">
        <v>3115</v>
      </c>
      <c r="B5996" s="1">
        <v>45741</v>
      </c>
      <c r="C5996" t="str">
        <f>"86"</f>
        <v>86</v>
      </c>
      <c r="D5996" t="s">
        <v>5298</v>
      </c>
      <c r="E5996" t="str">
        <f>"182070"</f>
        <v>182070</v>
      </c>
      <c r="F5996" t="str">
        <f t="shared" si="213"/>
        <v>60440000</v>
      </c>
      <c r="G5996" t="str">
        <f t="shared" si="214"/>
        <v>60440001</v>
      </c>
      <c r="H5996" t="s">
        <v>5299</v>
      </c>
      <c r="J5996" s="4">
        <v>20000</v>
      </c>
    </row>
    <row r="5997" spans="1:10" hidden="1" outlineLevel="2" x14ac:dyDescent="0.35">
      <c r="A5997" t="s">
        <v>3115</v>
      </c>
      <c r="B5997" s="1">
        <v>45741</v>
      </c>
      <c r="C5997" t="str">
        <f>"87"</f>
        <v>87</v>
      </c>
      <c r="D5997" t="s">
        <v>5300</v>
      </c>
      <c r="E5997" t="str">
        <f>"182080"</f>
        <v>182080</v>
      </c>
      <c r="F5997" t="str">
        <f t="shared" si="213"/>
        <v>60440000</v>
      </c>
      <c r="G5997" t="str">
        <f t="shared" si="214"/>
        <v>60440001</v>
      </c>
      <c r="H5997" t="s">
        <v>5301</v>
      </c>
      <c r="J5997" s="4">
        <v>70000</v>
      </c>
    </row>
    <row r="5998" spans="1:10" hidden="1" outlineLevel="2" x14ac:dyDescent="0.35">
      <c r="A5998" t="s">
        <v>3115</v>
      </c>
      <c r="B5998" s="1">
        <v>45741</v>
      </c>
      <c r="C5998" t="str">
        <f>"88"</f>
        <v>88</v>
      </c>
      <c r="D5998" t="s">
        <v>5302</v>
      </c>
      <c r="E5998" t="str">
        <f>"182077"</f>
        <v>182077</v>
      </c>
      <c r="F5998" t="str">
        <f t="shared" si="213"/>
        <v>60440000</v>
      </c>
      <c r="G5998" t="str">
        <f t="shared" si="214"/>
        <v>60440001</v>
      </c>
      <c r="H5998" t="s">
        <v>5303</v>
      </c>
      <c r="J5998" s="4">
        <v>20000</v>
      </c>
    </row>
    <row r="5999" spans="1:10" hidden="1" outlineLevel="2" x14ac:dyDescent="0.35">
      <c r="A5999" t="s">
        <v>3115</v>
      </c>
      <c r="B5999" s="1">
        <v>45741</v>
      </c>
      <c r="C5999" t="str">
        <f>"89"</f>
        <v>89</v>
      </c>
      <c r="D5999" t="s">
        <v>5304</v>
      </c>
      <c r="E5999" t="str">
        <f>"181878"</f>
        <v>181878</v>
      </c>
      <c r="F5999" t="str">
        <f t="shared" si="213"/>
        <v>60440000</v>
      </c>
      <c r="G5999" t="str">
        <f t="shared" si="214"/>
        <v>60440001</v>
      </c>
      <c r="H5999" t="s">
        <v>5305</v>
      </c>
      <c r="J5999" s="4">
        <v>45000</v>
      </c>
    </row>
    <row r="6000" spans="1:10" hidden="1" outlineLevel="2" x14ac:dyDescent="0.35">
      <c r="A6000" t="s">
        <v>3115</v>
      </c>
      <c r="B6000" s="1">
        <v>45741</v>
      </c>
      <c r="C6000" t="str">
        <f>"91"</f>
        <v>91</v>
      </c>
      <c r="D6000" t="s">
        <v>5308</v>
      </c>
      <c r="E6000" t="str">
        <f>"182081"</f>
        <v>182081</v>
      </c>
      <c r="F6000" t="str">
        <f t="shared" si="213"/>
        <v>60440000</v>
      </c>
      <c r="G6000" t="str">
        <f t="shared" si="214"/>
        <v>60440001</v>
      </c>
      <c r="H6000" t="s">
        <v>5309</v>
      </c>
      <c r="J6000" s="4">
        <v>3500</v>
      </c>
    </row>
    <row r="6001" spans="1:10" hidden="1" outlineLevel="2" x14ac:dyDescent="0.35">
      <c r="A6001" t="s">
        <v>3115</v>
      </c>
      <c r="B6001" s="1">
        <v>45741</v>
      </c>
      <c r="C6001" t="str">
        <f>"92"</f>
        <v>92</v>
      </c>
      <c r="D6001" t="s">
        <v>5310</v>
      </c>
      <c r="E6001" t="str">
        <f>"183408"</f>
        <v>183408</v>
      </c>
      <c r="F6001" t="str">
        <f t="shared" si="213"/>
        <v>60440000</v>
      </c>
      <c r="G6001" t="str">
        <f t="shared" si="214"/>
        <v>60440001</v>
      </c>
      <c r="H6001" t="s">
        <v>5311</v>
      </c>
      <c r="J6001" s="4">
        <v>250000</v>
      </c>
    </row>
    <row r="6002" spans="1:10" hidden="1" outlineLevel="2" x14ac:dyDescent="0.35">
      <c r="A6002" t="s">
        <v>3115</v>
      </c>
      <c r="B6002" s="1">
        <v>45741</v>
      </c>
      <c r="C6002" t="str">
        <f>"94"</f>
        <v>94</v>
      </c>
      <c r="D6002" t="s">
        <v>5314</v>
      </c>
      <c r="E6002" t="str">
        <f>"181914"</f>
        <v>181914</v>
      </c>
      <c r="F6002" t="str">
        <f t="shared" si="213"/>
        <v>60440000</v>
      </c>
      <c r="G6002" t="str">
        <f t="shared" si="214"/>
        <v>60440001</v>
      </c>
      <c r="H6002" t="s">
        <v>5315</v>
      </c>
      <c r="J6002" s="4">
        <v>180000</v>
      </c>
    </row>
    <row r="6003" spans="1:10" hidden="1" outlineLevel="2" x14ac:dyDescent="0.35">
      <c r="A6003" t="s">
        <v>3115</v>
      </c>
      <c r="B6003" s="1">
        <v>45741</v>
      </c>
      <c r="C6003" t="str">
        <f>"95"</f>
        <v>95</v>
      </c>
      <c r="D6003" t="s">
        <v>5316</v>
      </c>
      <c r="E6003" t="str">
        <f>"183439"</f>
        <v>183439</v>
      </c>
      <c r="F6003" t="str">
        <f t="shared" si="213"/>
        <v>60440000</v>
      </c>
      <c r="G6003" t="str">
        <f t="shared" si="214"/>
        <v>60440001</v>
      </c>
      <c r="H6003" t="s">
        <v>5317</v>
      </c>
      <c r="J6003" s="4">
        <v>2493</v>
      </c>
    </row>
    <row r="6004" spans="1:10" hidden="1" outlineLevel="2" x14ac:dyDescent="0.35">
      <c r="A6004" t="s">
        <v>3115</v>
      </c>
      <c r="B6004" s="1">
        <v>45741</v>
      </c>
      <c r="C6004" t="str">
        <f>"96"</f>
        <v>96</v>
      </c>
      <c r="D6004" t="s">
        <v>5318</v>
      </c>
      <c r="E6004" t="str">
        <f>"171728"</f>
        <v>171728</v>
      </c>
      <c r="F6004" t="str">
        <f t="shared" si="213"/>
        <v>60440000</v>
      </c>
      <c r="G6004" t="str">
        <f t="shared" si="214"/>
        <v>60440001</v>
      </c>
      <c r="H6004" t="s">
        <v>5319</v>
      </c>
      <c r="J6004" s="4">
        <v>180000</v>
      </c>
    </row>
    <row r="6005" spans="1:10" hidden="1" outlineLevel="2" x14ac:dyDescent="0.35">
      <c r="A6005" t="s">
        <v>3115</v>
      </c>
      <c r="B6005" s="1">
        <v>45741</v>
      </c>
      <c r="C6005" t="str">
        <f>"98"</f>
        <v>98</v>
      </c>
      <c r="D6005" t="s">
        <v>5322</v>
      </c>
      <c r="E6005" t="str">
        <f>"183504"</f>
        <v>183504</v>
      </c>
      <c r="F6005" t="str">
        <f t="shared" si="213"/>
        <v>60440000</v>
      </c>
      <c r="G6005" t="str">
        <f t="shared" si="214"/>
        <v>60440001</v>
      </c>
      <c r="H6005" t="s">
        <v>5323</v>
      </c>
      <c r="J6005" s="4">
        <v>95000</v>
      </c>
    </row>
    <row r="6006" spans="1:10" hidden="1" outlineLevel="2" x14ac:dyDescent="0.35">
      <c r="A6006" t="s">
        <v>3115</v>
      </c>
      <c r="B6006" s="1">
        <v>45741</v>
      </c>
      <c r="C6006" t="str">
        <f>"100"</f>
        <v>100</v>
      </c>
      <c r="D6006" t="s">
        <v>5326</v>
      </c>
      <c r="E6006" t="str">
        <f>"183288"</f>
        <v>183288</v>
      </c>
      <c r="F6006" t="str">
        <f t="shared" si="213"/>
        <v>60440000</v>
      </c>
      <c r="G6006" t="str">
        <f t="shared" si="214"/>
        <v>60440001</v>
      </c>
      <c r="H6006" t="s">
        <v>5327</v>
      </c>
      <c r="J6006" s="4">
        <v>80000</v>
      </c>
    </row>
    <row r="6007" spans="1:10" hidden="1" outlineLevel="2" x14ac:dyDescent="0.35">
      <c r="A6007" t="s">
        <v>3115</v>
      </c>
      <c r="B6007" s="1">
        <v>45741</v>
      </c>
      <c r="C6007" t="str">
        <f>"102"</f>
        <v>102</v>
      </c>
      <c r="D6007" t="s">
        <v>5330</v>
      </c>
      <c r="E6007" t="str">
        <f>"183289"</f>
        <v>183289</v>
      </c>
      <c r="F6007" t="str">
        <f t="shared" si="213"/>
        <v>60440000</v>
      </c>
      <c r="G6007" t="str">
        <f t="shared" si="214"/>
        <v>60440001</v>
      </c>
      <c r="H6007" t="s">
        <v>5331</v>
      </c>
      <c r="J6007" s="4">
        <v>40000</v>
      </c>
    </row>
    <row r="6008" spans="1:10" hidden="1" outlineLevel="2" x14ac:dyDescent="0.35">
      <c r="A6008" t="s">
        <v>3115</v>
      </c>
      <c r="B6008" s="1">
        <v>45741</v>
      </c>
      <c r="C6008" t="str">
        <f>"104"</f>
        <v>104</v>
      </c>
      <c r="D6008" t="s">
        <v>5334</v>
      </c>
      <c r="E6008" t="str">
        <f>"183577"</f>
        <v>183577</v>
      </c>
      <c r="F6008" t="str">
        <f t="shared" si="213"/>
        <v>60440000</v>
      </c>
      <c r="G6008" t="str">
        <f t="shared" si="214"/>
        <v>60440001</v>
      </c>
      <c r="H6008" t="s">
        <v>5335</v>
      </c>
      <c r="J6008" s="4">
        <v>3477</v>
      </c>
    </row>
    <row r="6009" spans="1:10" hidden="1" outlineLevel="2" x14ac:dyDescent="0.35">
      <c r="A6009" t="s">
        <v>3115</v>
      </c>
      <c r="B6009" s="1">
        <v>45741</v>
      </c>
      <c r="C6009" t="str">
        <f>"105"</f>
        <v>105</v>
      </c>
      <c r="D6009" t="s">
        <v>5336</v>
      </c>
      <c r="E6009" t="str">
        <f>"183576"</f>
        <v>183576</v>
      </c>
      <c r="F6009" t="str">
        <f t="shared" si="213"/>
        <v>60440000</v>
      </c>
      <c r="G6009" t="str">
        <f t="shared" si="214"/>
        <v>60440001</v>
      </c>
      <c r="H6009" t="s">
        <v>5337</v>
      </c>
      <c r="J6009" s="4">
        <v>6954</v>
      </c>
    </row>
    <row r="6010" spans="1:10" hidden="1" outlineLevel="2" x14ac:dyDescent="0.35">
      <c r="A6010" t="s">
        <v>3115</v>
      </c>
      <c r="B6010" s="1">
        <v>45741</v>
      </c>
      <c r="C6010" t="str">
        <f>"106"</f>
        <v>106</v>
      </c>
      <c r="D6010" t="s">
        <v>5338</v>
      </c>
      <c r="E6010" t="str">
        <f>"182055"</f>
        <v>182055</v>
      </c>
      <c r="F6010" t="str">
        <f t="shared" si="213"/>
        <v>60440000</v>
      </c>
      <c r="G6010" t="str">
        <f t="shared" si="214"/>
        <v>60440001</v>
      </c>
      <c r="H6010" t="s">
        <v>5339</v>
      </c>
      <c r="J6010" s="4">
        <v>39000</v>
      </c>
    </row>
    <row r="6011" spans="1:10" hidden="1" outlineLevel="2" x14ac:dyDescent="0.35">
      <c r="A6011" t="s">
        <v>3115</v>
      </c>
      <c r="B6011" s="1">
        <v>45741</v>
      </c>
      <c r="C6011" t="str">
        <f>"107"</f>
        <v>107</v>
      </c>
      <c r="D6011" t="s">
        <v>5340</v>
      </c>
      <c r="E6011" t="str">
        <f>"182078"</f>
        <v>182078</v>
      </c>
      <c r="F6011" t="str">
        <f t="shared" si="213"/>
        <v>60440000</v>
      </c>
      <c r="G6011" t="str">
        <f t="shared" si="214"/>
        <v>60440001</v>
      </c>
      <c r="H6011" t="s">
        <v>5341</v>
      </c>
      <c r="J6011" s="4">
        <v>6000</v>
      </c>
    </row>
    <row r="6012" spans="1:10" hidden="1" outlineLevel="2" x14ac:dyDescent="0.35">
      <c r="A6012" t="s">
        <v>3115</v>
      </c>
      <c r="B6012" s="1">
        <v>45741</v>
      </c>
      <c r="C6012" t="str">
        <f>"108"</f>
        <v>108</v>
      </c>
      <c r="D6012" t="s">
        <v>5342</v>
      </c>
      <c r="E6012" t="str">
        <f>"182077"</f>
        <v>182077</v>
      </c>
      <c r="F6012" t="str">
        <f t="shared" si="213"/>
        <v>60440000</v>
      </c>
      <c r="G6012" t="str">
        <f t="shared" si="214"/>
        <v>60440001</v>
      </c>
      <c r="H6012" t="s">
        <v>5343</v>
      </c>
      <c r="J6012" s="4">
        <v>9000</v>
      </c>
    </row>
    <row r="6013" spans="1:10" hidden="1" outlineLevel="2" x14ac:dyDescent="0.35">
      <c r="A6013" t="s">
        <v>3115</v>
      </c>
      <c r="B6013" s="1">
        <v>45741</v>
      </c>
      <c r="C6013" t="str">
        <f>"109"</f>
        <v>109</v>
      </c>
      <c r="D6013" t="s">
        <v>5344</v>
      </c>
      <c r="E6013" t="str">
        <f>"182081"</f>
        <v>182081</v>
      </c>
      <c r="F6013" t="str">
        <f t="shared" si="213"/>
        <v>60440000</v>
      </c>
      <c r="G6013" t="str">
        <f t="shared" si="214"/>
        <v>60440001</v>
      </c>
      <c r="H6013" t="s">
        <v>5345</v>
      </c>
      <c r="J6013" s="4">
        <v>3000</v>
      </c>
    </row>
    <row r="6014" spans="1:10" hidden="1" outlineLevel="2" x14ac:dyDescent="0.35">
      <c r="A6014" t="s">
        <v>3115</v>
      </c>
      <c r="B6014" s="1">
        <v>45742</v>
      </c>
      <c r="C6014" t="str">
        <f>"110"</f>
        <v>110</v>
      </c>
      <c r="D6014" t="s">
        <v>5346</v>
      </c>
      <c r="E6014" t="str">
        <f>"182049"</f>
        <v>182049</v>
      </c>
      <c r="F6014" t="str">
        <f t="shared" si="213"/>
        <v>60440000</v>
      </c>
      <c r="G6014" t="str">
        <f t="shared" si="214"/>
        <v>60440001</v>
      </c>
      <c r="H6014" t="s">
        <v>5347</v>
      </c>
      <c r="J6014" s="4">
        <v>87833</v>
      </c>
    </row>
    <row r="6015" spans="1:10" hidden="1" outlineLevel="2" x14ac:dyDescent="0.35">
      <c r="A6015" t="s">
        <v>3115</v>
      </c>
      <c r="B6015" s="1">
        <v>45742</v>
      </c>
      <c r="C6015" t="str">
        <f>"113"</f>
        <v>113</v>
      </c>
      <c r="D6015" t="s">
        <v>5352</v>
      </c>
      <c r="E6015" t="str">
        <f>"182047"</f>
        <v>182047</v>
      </c>
      <c r="F6015" t="str">
        <f t="shared" si="213"/>
        <v>60440000</v>
      </c>
      <c r="G6015" t="str">
        <f t="shared" si="214"/>
        <v>60440001</v>
      </c>
      <c r="H6015" t="s">
        <v>5353</v>
      </c>
      <c r="J6015" s="4">
        <v>40604</v>
      </c>
    </row>
    <row r="6016" spans="1:10" hidden="1" outlineLevel="2" x14ac:dyDescent="0.35">
      <c r="A6016" t="s">
        <v>3115</v>
      </c>
      <c r="B6016" s="1">
        <v>45742</v>
      </c>
      <c r="C6016" t="str">
        <f>"114"</f>
        <v>114</v>
      </c>
      <c r="D6016" t="s">
        <v>5354</v>
      </c>
      <c r="E6016" t="str">
        <f>"183423"</f>
        <v>183423</v>
      </c>
      <c r="F6016" t="str">
        <f t="shared" si="213"/>
        <v>60440000</v>
      </c>
      <c r="G6016" t="str">
        <f t="shared" si="214"/>
        <v>60440001</v>
      </c>
      <c r="H6016" t="s">
        <v>5355</v>
      </c>
      <c r="J6016" s="4">
        <v>33600</v>
      </c>
    </row>
    <row r="6017" spans="1:10" hidden="1" outlineLevel="2" x14ac:dyDescent="0.35">
      <c r="A6017" t="s">
        <v>3115</v>
      </c>
      <c r="B6017" s="1">
        <v>45742</v>
      </c>
      <c r="C6017" t="str">
        <f>"115"</f>
        <v>115</v>
      </c>
      <c r="D6017" t="s">
        <v>5356</v>
      </c>
      <c r="E6017" t="str">
        <f>"182046"</f>
        <v>182046</v>
      </c>
      <c r="F6017" t="str">
        <f t="shared" si="213"/>
        <v>60440000</v>
      </c>
      <c r="G6017" t="str">
        <f t="shared" si="214"/>
        <v>60440001</v>
      </c>
      <c r="H6017" t="s">
        <v>5357</v>
      </c>
      <c r="J6017" s="4">
        <v>16202</v>
      </c>
    </row>
    <row r="6018" spans="1:10" hidden="1" outlineLevel="2" x14ac:dyDescent="0.35">
      <c r="A6018" t="s">
        <v>3115</v>
      </c>
      <c r="B6018" s="1">
        <v>45742</v>
      </c>
      <c r="C6018" t="str">
        <f>"119"</f>
        <v>119</v>
      </c>
      <c r="D6018" t="s">
        <v>5364</v>
      </c>
      <c r="E6018" t="str">
        <f>"183526"</f>
        <v>183526</v>
      </c>
      <c r="F6018" t="str">
        <f t="shared" si="213"/>
        <v>60440000</v>
      </c>
      <c r="G6018" t="str">
        <f t="shared" si="214"/>
        <v>60440001</v>
      </c>
      <c r="H6018" t="s">
        <v>5365</v>
      </c>
      <c r="J6018" s="4">
        <v>120697</v>
      </c>
    </row>
    <row r="6019" spans="1:10" hidden="1" outlineLevel="2" x14ac:dyDescent="0.35">
      <c r="A6019" t="s">
        <v>3115</v>
      </c>
      <c r="B6019" s="1">
        <v>45742</v>
      </c>
      <c r="C6019" t="str">
        <f>"120"</f>
        <v>120</v>
      </c>
      <c r="D6019" t="s">
        <v>5366</v>
      </c>
      <c r="E6019" t="str">
        <f>"182048"</f>
        <v>182048</v>
      </c>
      <c r="F6019" t="str">
        <f t="shared" ref="F6019:F6048" si="215">"60440000"</f>
        <v>60440000</v>
      </c>
      <c r="G6019" t="str">
        <f t="shared" ref="G6019:G6048" si="216">"60440001"</f>
        <v>60440001</v>
      </c>
      <c r="H6019" t="s">
        <v>5367</v>
      </c>
      <c r="J6019" s="4">
        <v>23811</v>
      </c>
    </row>
    <row r="6020" spans="1:10" hidden="1" outlineLevel="2" x14ac:dyDescent="0.35">
      <c r="A6020" t="s">
        <v>3115</v>
      </c>
      <c r="B6020" s="1">
        <v>45742</v>
      </c>
      <c r="C6020" t="str">
        <f>"123"</f>
        <v>123</v>
      </c>
      <c r="D6020" t="s">
        <v>5372</v>
      </c>
      <c r="E6020" t="str">
        <f>"183328"</f>
        <v>183328</v>
      </c>
      <c r="F6020" t="str">
        <f t="shared" si="215"/>
        <v>60440000</v>
      </c>
      <c r="G6020" t="str">
        <f t="shared" si="216"/>
        <v>60440001</v>
      </c>
      <c r="H6020" t="s">
        <v>5373</v>
      </c>
      <c r="J6020" s="4">
        <v>76400</v>
      </c>
    </row>
    <row r="6021" spans="1:10" hidden="1" outlineLevel="2" x14ac:dyDescent="0.35">
      <c r="A6021" t="s">
        <v>3115</v>
      </c>
      <c r="B6021" s="1">
        <v>45742</v>
      </c>
      <c r="C6021" t="str">
        <f>"124"</f>
        <v>124</v>
      </c>
      <c r="D6021" t="s">
        <v>5374</v>
      </c>
      <c r="E6021" t="str">
        <f>"183508"</f>
        <v>183508</v>
      </c>
      <c r="F6021" t="str">
        <f t="shared" si="215"/>
        <v>60440000</v>
      </c>
      <c r="G6021" t="str">
        <f t="shared" si="216"/>
        <v>60440001</v>
      </c>
      <c r="H6021" t="s">
        <v>5375</v>
      </c>
      <c r="J6021" s="4">
        <v>51804</v>
      </c>
    </row>
    <row r="6022" spans="1:10" hidden="1" outlineLevel="2" x14ac:dyDescent="0.35">
      <c r="A6022" t="s">
        <v>3115</v>
      </c>
      <c r="B6022" s="1">
        <v>45742</v>
      </c>
      <c r="C6022" t="str">
        <f>"125"</f>
        <v>125</v>
      </c>
      <c r="D6022" t="s">
        <v>5376</v>
      </c>
      <c r="E6022" t="str">
        <f>"183507"</f>
        <v>183507</v>
      </c>
      <c r="F6022" t="str">
        <f t="shared" si="215"/>
        <v>60440000</v>
      </c>
      <c r="G6022" t="str">
        <f t="shared" si="216"/>
        <v>60440001</v>
      </c>
      <c r="H6022" t="s">
        <v>5377</v>
      </c>
      <c r="J6022" s="4">
        <v>51804</v>
      </c>
    </row>
    <row r="6023" spans="1:10" hidden="1" outlineLevel="2" x14ac:dyDescent="0.35">
      <c r="A6023" t="s">
        <v>3115</v>
      </c>
      <c r="B6023" s="1">
        <v>45742</v>
      </c>
      <c r="C6023" t="str">
        <f>"126"</f>
        <v>126</v>
      </c>
      <c r="D6023" t="s">
        <v>5378</v>
      </c>
      <c r="E6023" t="str">
        <f>"183505"</f>
        <v>183505</v>
      </c>
      <c r="F6023" t="str">
        <f t="shared" si="215"/>
        <v>60440000</v>
      </c>
      <c r="G6023" t="str">
        <f t="shared" si="216"/>
        <v>60440001</v>
      </c>
      <c r="H6023" t="s">
        <v>5379</v>
      </c>
      <c r="J6023" s="4">
        <v>51804</v>
      </c>
    </row>
    <row r="6024" spans="1:10" hidden="1" outlineLevel="2" x14ac:dyDescent="0.35">
      <c r="A6024" t="s">
        <v>3115</v>
      </c>
      <c r="B6024" s="1">
        <v>45742</v>
      </c>
      <c r="C6024" t="str">
        <f>"127"</f>
        <v>127</v>
      </c>
      <c r="D6024" t="s">
        <v>5380</v>
      </c>
      <c r="E6024" t="str">
        <f>"183506"</f>
        <v>183506</v>
      </c>
      <c r="F6024" t="str">
        <f t="shared" si="215"/>
        <v>60440000</v>
      </c>
      <c r="G6024" t="str">
        <f t="shared" si="216"/>
        <v>60440001</v>
      </c>
      <c r="H6024" t="s">
        <v>5381</v>
      </c>
      <c r="J6024" s="4">
        <v>51804</v>
      </c>
    </row>
    <row r="6025" spans="1:10" hidden="1" outlineLevel="2" x14ac:dyDescent="0.35">
      <c r="A6025" t="s">
        <v>3115</v>
      </c>
      <c r="B6025" s="1">
        <v>45742</v>
      </c>
      <c r="C6025" t="str">
        <f>"128"</f>
        <v>128</v>
      </c>
      <c r="D6025" t="s">
        <v>5382</v>
      </c>
      <c r="E6025" t="str">
        <f>"183567"</f>
        <v>183567</v>
      </c>
      <c r="F6025" t="str">
        <f t="shared" si="215"/>
        <v>60440000</v>
      </c>
      <c r="G6025" t="str">
        <f t="shared" si="216"/>
        <v>60440001</v>
      </c>
      <c r="H6025" t="s">
        <v>5383</v>
      </c>
      <c r="J6025" s="4">
        <v>48067</v>
      </c>
    </row>
    <row r="6026" spans="1:10" hidden="1" outlineLevel="2" x14ac:dyDescent="0.35">
      <c r="A6026" t="s">
        <v>3115</v>
      </c>
      <c r="B6026" s="1">
        <v>45742</v>
      </c>
      <c r="C6026" t="str">
        <f>"129"</f>
        <v>129</v>
      </c>
      <c r="D6026" t="s">
        <v>5384</v>
      </c>
      <c r="E6026" t="str">
        <f>"184708"</f>
        <v>184708</v>
      </c>
      <c r="F6026" t="str">
        <f t="shared" si="215"/>
        <v>60440000</v>
      </c>
      <c r="G6026" t="str">
        <f t="shared" si="216"/>
        <v>60440001</v>
      </c>
      <c r="H6026" t="s">
        <v>5385</v>
      </c>
      <c r="J6026" s="4">
        <v>656</v>
      </c>
    </row>
    <row r="6027" spans="1:10" hidden="1" outlineLevel="2" x14ac:dyDescent="0.35">
      <c r="A6027" t="s">
        <v>3115</v>
      </c>
      <c r="B6027" s="1">
        <v>45742</v>
      </c>
      <c r="C6027" t="str">
        <f>"133"</f>
        <v>133</v>
      </c>
      <c r="D6027" t="s">
        <v>5392</v>
      </c>
      <c r="E6027" t="str">
        <f>"184209"</f>
        <v>184209</v>
      </c>
      <c r="F6027" t="str">
        <f t="shared" si="215"/>
        <v>60440000</v>
      </c>
      <c r="G6027" t="str">
        <f t="shared" si="216"/>
        <v>60440001</v>
      </c>
      <c r="H6027" t="s">
        <v>5393</v>
      </c>
      <c r="J6027" s="4">
        <v>19941</v>
      </c>
    </row>
    <row r="6028" spans="1:10" hidden="1" outlineLevel="2" x14ac:dyDescent="0.35">
      <c r="A6028" t="s">
        <v>3115</v>
      </c>
      <c r="B6028" s="1">
        <v>45742</v>
      </c>
      <c r="C6028" t="str">
        <f>"134"</f>
        <v>134</v>
      </c>
      <c r="D6028" t="s">
        <v>5394</v>
      </c>
      <c r="E6028" t="str">
        <f>"183525"</f>
        <v>183525</v>
      </c>
      <c r="F6028" t="str">
        <f t="shared" si="215"/>
        <v>60440000</v>
      </c>
      <c r="G6028" t="str">
        <f t="shared" si="216"/>
        <v>60440001</v>
      </c>
      <c r="H6028" t="s">
        <v>5395</v>
      </c>
      <c r="J6028" s="4">
        <v>43950</v>
      </c>
    </row>
    <row r="6029" spans="1:10" hidden="1" outlineLevel="2" x14ac:dyDescent="0.35">
      <c r="A6029" t="s">
        <v>3115</v>
      </c>
      <c r="B6029" s="1">
        <v>45742</v>
      </c>
      <c r="C6029" t="str">
        <f>"138"</f>
        <v>138</v>
      </c>
      <c r="D6029" t="s">
        <v>5402</v>
      </c>
      <c r="E6029" t="str">
        <f>"184709"</f>
        <v>184709</v>
      </c>
      <c r="F6029" t="str">
        <f t="shared" si="215"/>
        <v>60440000</v>
      </c>
      <c r="G6029" t="str">
        <f t="shared" si="216"/>
        <v>60440001</v>
      </c>
      <c r="H6029" t="s">
        <v>5403</v>
      </c>
      <c r="J6029" s="4">
        <v>5773</v>
      </c>
    </row>
    <row r="6030" spans="1:10" hidden="1" outlineLevel="2" x14ac:dyDescent="0.35">
      <c r="A6030" t="s">
        <v>3115</v>
      </c>
      <c r="B6030" s="1">
        <v>45742</v>
      </c>
      <c r="C6030" t="str">
        <f>"146"</f>
        <v>146</v>
      </c>
      <c r="D6030" t="s">
        <v>5418</v>
      </c>
      <c r="E6030" t="str">
        <f>"183526"</f>
        <v>183526</v>
      </c>
      <c r="F6030" t="str">
        <f t="shared" si="215"/>
        <v>60440000</v>
      </c>
      <c r="G6030" t="str">
        <f t="shared" si="216"/>
        <v>60440001</v>
      </c>
      <c r="H6030" t="s">
        <v>5419</v>
      </c>
      <c r="J6030" s="4">
        <v>43950</v>
      </c>
    </row>
    <row r="6031" spans="1:10" hidden="1" outlineLevel="2" x14ac:dyDescent="0.35">
      <c r="A6031" t="s">
        <v>3115</v>
      </c>
      <c r="B6031" s="1">
        <v>45742</v>
      </c>
      <c r="C6031" t="str">
        <f>"149"</f>
        <v>149</v>
      </c>
      <c r="D6031" t="s">
        <v>5424</v>
      </c>
      <c r="E6031" t="str">
        <f>"184601"</f>
        <v>184601</v>
      </c>
      <c r="F6031" t="str">
        <f t="shared" si="215"/>
        <v>60440000</v>
      </c>
      <c r="G6031" t="str">
        <f t="shared" si="216"/>
        <v>60440001</v>
      </c>
      <c r="H6031" t="s">
        <v>5425</v>
      </c>
      <c r="J6031" s="4">
        <v>8921</v>
      </c>
    </row>
    <row r="6032" spans="1:10" hidden="1" outlineLevel="2" x14ac:dyDescent="0.35">
      <c r="A6032" t="s">
        <v>3115</v>
      </c>
      <c r="B6032" s="1">
        <v>45744</v>
      </c>
      <c r="C6032" t="str">
        <f>"150"</f>
        <v>150</v>
      </c>
      <c r="D6032" t="s">
        <v>5456</v>
      </c>
      <c r="E6032" t="str">
        <f>"182097"</f>
        <v>182097</v>
      </c>
      <c r="F6032" t="str">
        <f t="shared" si="215"/>
        <v>60440000</v>
      </c>
      <c r="G6032" t="str">
        <f t="shared" si="216"/>
        <v>60440001</v>
      </c>
      <c r="H6032" t="s">
        <v>5457</v>
      </c>
      <c r="J6032" s="4">
        <v>7347</v>
      </c>
    </row>
    <row r="6033" spans="1:10" hidden="1" outlineLevel="2" x14ac:dyDescent="0.35">
      <c r="A6033" t="s">
        <v>3115</v>
      </c>
      <c r="B6033" s="1">
        <v>45744</v>
      </c>
      <c r="C6033" t="str">
        <f>"151"</f>
        <v>151</v>
      </c>
      <c r="D6033" t="s">
        <v>5458</v>
      </c>
      <c r="E6033" t="str">
        <f>"184710"</f>
        <v>184710</v>
      </c>
      <c r="F6033" t="str">
        <f t="shared" si="215"/>
        <v>60440000</v>
      </c>
      <c r="G6033" t="str">
        <f t="shared" si="216"/>
        <v>60440001</v>
      </c>
      <c r="H6033" t="s">
        <v>5459</v>
      </c>
      <c r="J6033" s="4">
        <v>1968</v>
      </c>
    </row>
    <row r="6034" spans="1:10" hidden="1" outlineLevel="2" x14ac:dyDescent="0.35">
      <c r="A6034" t="s">
        <v>3115</v>
      </c>
      <c r="B6034" s="1">
        <v>45744</v>
      </c>
      <c r="C6034" t="str">
        <f>"152"</f>
        <v>152</v>
      </c>
      <c r="D6034" t="s">
        <v>5460</v>
      </c>
      <c r="E6034" t="str">
        <f>"182043"</f>
        <v>182043</v>
      </c>
      <c r="F6034" t="str">
        <f t="shared" si="215"/>
        <v>60440000</v>
      </c>
      <c r="G6034" t="str">
        <f t="shared" si="216"/>
        <v>60440001</v>
      </c>
      <c r="H6034" t="s">
        <v>5461</v>
      </c>
      <c r="J6034" s="4">
        <v>2099</v>
      </c>
    </row>
    <row r="6035" spans="1:10" hidden="1" outlineLevel="2" x14ac:dyDescent="0.35">
      <c r="A6035" t="s">
        <v>3115</v>
      </c>
      <c r="B6035" s="1">
        <v>45744</v>
      </c>
      <c r="C6035" t="str">
        <f>"153"</f>
        <v>153</v>
      </c>
      <c r="D6035" t="s">
        <v>5462</v>
      </c>
      <c r="E6035" t="str">
        <f>"182045"</f>
        <v>182045</v>
      </c>
      <c r="F6035" t="str">
        <f t="shared" si="215"/>
        <v>60440000</v>
      </c>
      <c r="G6035" t="str">
        <f t="shared" si="216"/>
        <v>60440001</v>
      </c>
      <c r="H6035" t="s">
        <v>5463</v>
      </c>
      <c r="J6035" s="4">
        <v>656</v>
      </c>
    </row>
    <row r="6036" spans="1:10" hidden="1" outlineLevel="2" x14ac:dyDescent="0.35">
      <c r="A6036" t="s">
        <v>3115</v>
      </c>
      <c r="B6036" s="1">
        <v>45744</v>
      </c>
      <c r="C6036" t="str">
        <f>"154"</f>
        <v>154</v>
      </c>
      <c r="D6036" t="s">
        <v>5464</v>
      </c>
      <c r="E6036" t="str">
        <f>"182040"</f>
        <v>182040</v>
      </c>
      <c r="F6036" t="str">
        <f t="shared" si="215"/>
        <v>60440000</v>
      </c>
      <c r="G6036" t="str">
        <f t="shared" si="216"/>
        <v>60440001</v>
      </c>
      <c r="H6036" t="s">
        <v>5465</v>
      </c>
      <c r="J6036" s="4">
        <v>4789</v>
      </c>
    </row>
    <row r="6037" spans="1:10" hidden="1" outlineLevel="2" x14ac:dyDescent="0.35">
      <c r="A6037" t="s">
        <v>3115</v>
      </c>
      <c r="B6037" s="1">
        <v>45744</v>
      </c>
      <c r="C6037" t="str">
        <f>"155"</f>
        <v>155</v>
      </c>
      <c r="D6037" t="s">
        <v>5466</v>
      </c>
      <c r="E6037" t="str">
        <f>"182039"</f>
        <v>182039</v>
      </c>
      <c r="F6037" t="str">
        <f t="shared" si="215"/>
        <v>60440000</v>
      </c>
      <c r="G6037" t="str">
        <f t="shared" si="216"/>
        <v>60440001</v>
      </c>
      <c r="H6037" t="s">
        <v>5467</v>
      </c>
      <c r="J6037" s="4">
        <v>11743</v>
      </c>
    </row>
    <row r="6038" spans="1:10" hidden="1" outlineLevel="2" x14ac:dyDescent="0.35">
      <c r="A6038" t="s">
        <v>3115</v>
      </c>
      <c r="B6038" s="1">
        <v>45744</v>
      </c>
      <c r="C6038" t="str">
        <f>"156"</f>
        <v>156</v>
      </c>
      <c r="D6038" t="s">
        <v>5468</v>
      </c>
      <c r="E6038" t="str">
        <f>"182042"</f>
        <v>182042</v>
      </c>
      <c r="F6038" t="str">
        <f t="shared" si="215"/>
        <v>60440000</v>
      </c>
      <c r="G6038" t="str">
        <f t="shared" si="216"/>
        <v>60440001</v>
      </c>
      <c r="H6038" t="s">
        <v>5469</v>
      </c>
      <c r="J6038" s="4">
        <v>8068</v>
      </c>
    </row>
    <row r="6039" spans="1:10" hidden="1" outlineLevel="2" x14ac:dyDescent="0.35">
      <c r="A6039" t="s">
        <v>3115</v>
      </c>
      <c r="B6039" s="1">
        <v>45744</v>
      </c>
      <c r="C6039" t="str">
        <f>"158"</f>
        <v>158</v>
      </c>
      <c r="D6039" t="s">
        <v>5472</v>
      </c>
      <c r="E6039" t="str">
        <f>"182096"</f>
        <v>182096</v>
      </c>
      <c r="F6039" t="str">
        <f t="shared" si="215"/>
        <v>60440000</v>
      </c>
      <c r="G6039" t="str">
        <f t="shared" si="216"/>
        <v>60440001</v>
      </c>
      <c r="H6039" t="s">
        <v>5473</v>
      </c>
      <c r="J6039" s="4">
        <v>3477</v>
      </c>
    </row>
    <row r="6040" spans="1:10" hidden="1" outlineLevel="2" x14ac:dyDescent="0.35">
      <c r="A6040" t="s">
        <v>3115</v>
      </c>
      <c r="B6040" s="1">
        <v>45744</v>
      </c>
      <c r="C6040" t="str">
        <f>"159"</f>
        <v>159</v>
      </c>
      <c r="D6040" t="s">
        <v>5474</v>
      </c>
      <c r="E6040" t="str">
        <f>"184519"</f>
        <v>184519</v>
      </c>
      <c r="F6040" t="str">
        <f t="shared" si="215"/>
        <v>60440000</v>
      </c>
      <c r="G6040" t="str">
        <f t="shared" si="216"/>
        <v>60440001</v>
      </c>
      <c r="H6040" t="s">
        <v>5475</v>
      </c>
      <c r="J6040" s="4">
        <v>1050</v>
      </c>
    </row>
    <row r="6041" spans="1:10" hidden="1" outlineLevel="2" x14ac:dyDescent="0.35">
      <c r="A6041" t="s">
        <v>3115</v>
      </c>
      <c r="B6041" s="1">
        <v>45744</v>
      </c>
      <c r="C6041" t="str">
        <f>"160"</f>
        <v>160</v>
      </c>
      <c r="D6041" t="s">
        <v>5476</v>
      </c>
      <c r="E6041" t="str">
        <f>"179570"</f>
        <v>179570</v>
      </c>
      <c r="F6041" t="str">
        <f t="shared" si="215"/>
        <v>60440000</v>
      </c>
      <c r="G6041" t="str">
        <f t="shared" si="216"/>
        <v>60440001</v>
      </c>
      <c r="H6041" t="s">
        <v>5477</v>
      </c>
      <c r="J6041" s="4">
        <v>117263</v>
      </c>
    </row>
    <row r="6042" spans="1:10" hidden="1" outlineLevel="2" x14ac:dyDescent="0.35">
      <c r="A6042" t="s">
        <v>3115</v>
      </c>
      <c r="B6042" s="1">
        <v>45744</v>
      </c>
      <c r="C6042" t="str">
        <f>"161"</f>
        <v>161</v>
      </c>
      <c r="D6042" t="s">
        <v>5478</v>
      </c>
      <c r="E6042" t="str">
        <f>"182082"</f>
        <v>182082</v>
      </c>
      <c r="F6042" t="str">
        <f t="shared" si="215"/>
        <v>60440000</v>
      </c>
      <c r="G6042" t="str">
        <f t="shared" si="216"/>
        <v>60440001</v>
      </c>
      <c r="H6042" t="s">
        <v>5479</v>
      </c>
      <c r="J6042" s="4">
        <v>65000</v>
      </c>
    </row>
    <row r="6043" spans="1:10" hidden="1" outlineLevel="2" x14ac:dyDescent="0.35">
      <c r="A6043" t="s">
        <v>3115</v>
      </c>
      <c r="B6043" s="1">
        <v>45744</v>
      </c>
      <c r="C6043" t="str">
        <f>"162"</f>
        <v>162</v>
      </c>
      <c r="D6043" t="s">
        <v>5480</v>
      </c>
      <c r="E6043" t="str">
        <f>"181841"</f>
        <v>181841</v>
      </c>
      <c r="F6043" t="str">
        <f t="shared" si="215"/>
        <v>60440000</v>
      </c>
      <c r="G6043" t="str">
        <f t="shared" si="216"/>
        <v>60440001</v>
      </c>
      <c r="H6043" t="s">
        <v>5481</v>
      </c>
      <c r="J6043" s="4">
        <v>500000</v>
      </c>
    </row>
    <row r="6044" spans="1:10" hidden="1" outlineLevel="2" x14ac:dyDescent="0.35">
      <c r="A6044" t="s">
        <v>3115</v>
      </c>
      <c r="B6044" s="1">
        <v>45744</v>
      </c>
      <c r="C6044" t="str">
        <f>"163"</f>
        <v>163</v>
      </c>
      <c r="D6044" t="s">
        <v>5482</v>
      </c>
      <c r="E6044" t="str">
        <f>"183578"</f>
        <v>183578</v>
      </c>
      <c r="F6044" t="str">
        <f t="shared" si="215"/>
        <v>60440000</v>
      </c>
      <c r="G6044" t="str">
        <f t="shared" si="216"/>
        <v>60440001</v>
      </c>
      <c r="H6044" t="s">
        <v>5483</v>
      </c>
      <c r="J6044" s="4">
        <v>3477</v>
      </c>
    </row>
    <row r="6045" spans="1:10" hidden="1" outlineLevel="2" x14ac:dyDescent="0.35">
      <c r="A6045" t="s">
        <v>3115</v>
      </c>
      <c r="B6045" s="1">
        <v>45744</v>
      </c>
      <c r="C6045" t="str">
        <f>"164"</f>
        <v>164</v>
      </c>
      <c r="D6045" t="s">
        <v>5484</v>
      </c>
      <c r="E6045" t="str">
        <f>"184712"</f>
        <v>184712</v>
      </c>
      <c r="F6045" t="str">
        <f t="shared" si="215"/>
        <v>60440000</v>
      </c>
      <c r="G6045" t="str">
        <f t="shared" si="216"/>
        <v>60440001</v>
      </c>
      <c r="H6045" t="s">
        <v>5485</v>
      </c>
      <c r="J6045" s="4">
        <v>9053</v>
      </c>
    </row>
    <row r="6046" spans="1:10" hidden="1" outlineLevel="2" x14ac:dyDescent="0.35">
      <c r="A6046" t="s">
        <v>3115</v>
      </c>
      <c r="B6046" s="1">
        <v>45744</v>
      </c>
      <c r="C6046" t="str">
        <f>"166"</f>
        <v>166</v>
      </c>
      <c r="D6046" t="s">
        <v>5488</v>
      </c>
      <c r="E6046" t="str">
        <f>"147220"</f>
        <v>147220</v>
      </c>
      <c r="F6046" t="str">
        <f t="shared" si="215"/>
        <v>60440000</v>
      </c>
      <c r="G6046" t="str">
        <f t="shared" si="216"/>
        <v>60440001</v>
      </c>
      <c r="H6046" t="s">
        <v>5489</v>
      </c>
      <c r="J6046" s="4">
        <v>328</v>
      </c>
    </row>
    <row r="6047" spans="1:10" hidden="1" outlineLevel="2" x14ac:dyDescent="0.35">
      <c r="A6047" t="s">
        <v>3115</v>
      </c>
      <c r="B6047" s="1">
        <v>45744</v>
      </c>
      <c r="C6047" t="str">
        <f>"167"</f>
        <v>167</v>
      </c>
      <c r="D6047" t="s">
        <v>5490</v>
      </c>
      <c r="E6047" t="str">
        <f>"147221"</f>
        <v>147221</v>
      </c>
      <c r="F6047" t="str">
        <f t="shared" si="215"/>
        <v>60440000</v>
      </c>
      <c r="G6047" t="str">
        <f t="shared" si="216"/>
        <v>60440001</v>
      </c>
      <c r="H6047" t="s">
        <v>5491</v>
      </c>
      <c r="J6047" s="4">
        <v>722</v>
      </c>
    </row>
    <row r="6048" spans="1:10" hidden="1" outlineLevel="2" x14ac:dyDescent="0.35">
      <c r="A6048" t="s">
        <v>3115</v>
      </c>
      <c r="B6048" s="1">
        <v>45745</v>
      </c>
      <c r="C6048" t="str">
        <f>"16"</f>
        <v>16</v>
      </c>
      <c r="D6048" t="s">
        <v>5492</v>
      </c>
      <c r="E6048" t="str">
        <f>"184715"</f>
        <v>184715</v>
      </c>
      <c r="F6048" t="str">
        <f t="shared" si="215"/>
        <v>60440000</v>
      </c>
      <c r="G6048" t="str">
        <f t="shared" si="216"/>
        <v>60440001</v>
      </c>
      <c r="H6048" t="s">
        <v>5493</v>
      </c>
      <c r="J6048" s="4">
        <v>34700</v>
      </c>
    </row>
    <row r="6049" spans="1:11" outlineLevel="1" collapsed="1" x14ac:dyDescent="0.35">
      <c r="B6049" s="1"/>
      <c r="F6049" s="3" t="s">
        <v>6608</v>
      </c>
      <c r="J6049" s="4">
        <f>SUBTOTAL(9,J5443:J6048)</f>
        <v>47613056</v>
      </c>
      <c r="K6049" s="4">
        <f>SUBTOTAL(9,K5443:K6048)</f>
        <v>0</v>
      </c>
    </row>
    <row r="6050" spans="1:11" hidden="1" outlineLevel="2" x14ac:dyDescent="0.35">
      <c r="A6050" t="s">
        <v>2337</v>
      </c>
      <c r="B6050" s="1">
        <v>45721</v>
      </c>
      <c r="C6050" t="str">
        <f>"678"</f>
        <v>678</v>
      </c>
      <c r="E6050" t="str">
        <f>"17298"</f>
        <v>17298</v>
      </c>
      <c r="F6050" t="str">
        <f>"60440300"</f>
        <v>60440300</v>
      </c>
      <c r="H6050" t="s">
        <v>2388</v>
      </c>
      <c r="J6050" s="4">
        <v>140000</v>
      </c>
    </row>
    <row r="6051" spans="1:11" hidden="1" outlineLevel="2" x14ac:dyDescent="0.35">
      <c r="A6051" t="s">
        <v>2337</v>
      </c>
      <c r="B6051" s="1">
        <v>45726</v>
      </c>
      <c r="C6051" t="str">
        <f>"712"</f>
        <v>712</v>
      </c>
      <c r="E6051" t="str">
        <f>"17331"</f>
        <v>17331</v>
      </c>
      <c r="F6051" t="str">
        <f>"60440300"</f>
        <v>60440300</v>
      </c>
      <c r="H6051" t="s">
        <v>2434</v>
      </c>
      <c r="J6051" s="4">
        <v>30000</v>
      </c>
    </row>
    <row r="6052" spans="1:11" hidden="1" outlineLevel="2" x14ac:dyDescent="0.35">
      <c r="A6052" t="s">
        <v>2337</v>
      </c>
      <c r="B6052" s="1">
        <v>45741</v>
      </c>
      <c r="C6052" t="str">
        <f>"852"</f>
        <v>852</v>
      </c>
      <c r="E6052" t="str">
        <f>"15860"</f>
        <v>15860</v>
      </c>
      <c r="F6052" t="str">
        <f>"60440300"</f>
        <v>60440300</v>
      </c>
      <c r="H6052" t="s">
        <v>2608</v>
      </c>
      <c r="J6052" s="4">
        <v>55460</v>
      </c>
    </row>
    <row r="6053" spans="1:11" outlineLevel="1" collapsed="1" x14ac:dyDescent="0.35">
      <c r="B6053" s="1"/>
      <c r="F6053" s="3" t="s">
        <v>6609</v>
      </c>
      <c r="J6053" s="4">
        <f>SUBTOTAL(9,J6050:J6052)</f>
        <v>225460</v>
      </c>
      <c r="K6053" s="4">
        <f>SUBTOTAL(9,K6050:K6052)</f>
        <v>0</v>
      </c>
    </row>
    <row r="6054" spans="1:11" hidden="1" outlineLevel="2" x14ac:dyDescent="0.35">
      <c r="A6054" t="s">
        <v>26</v>
      </c>
      <c r="B6054" s="1">
        <v>45727</v>
      </c>
      <c r="C6054" t="str">
        <f>"65"</f>
        <v>65</v>
      </c>
      <c r="D6054" t="s">
        <v>1590</v>
      </c>
      <c r="E6054" t="s">
        <v>1591</v>
      </c>
      <c r="F6054" t="str">
        <f>"60440500"</f>
        <v>60440500</v>
      </c>
      <c r="H6054" t="s">
        <v>1592</v>
      </c>
      <c r="J6054" s="4">
        <v>93559</v>
      </c>
    </row>
    <row r="6055" spans="1:11" hidden="1" outlineLevel="2" x14ac:dyDescent="0.35">
      <c r="A6055" t="s">
        <v>26</v>
      </c>
      <c r="B6055" s="1">
        <v>45727</v>
      </c>
      <c r="C6055" t="str">
        <f>"136"</f>
        <v>136</v>
      </c>
      <c r="D6055" t="s">
        <v>1603</v>
      </c>
      <c r="E6055" t="str">
        <f>"4166711"</f>
        <v>4166711</v>
      </c>
      <c r="F6055" t="str">
        <f>"60440500"</f>
        <v>60440500</v>
      </c>
      <c r="H6055" t="s">
        <v>1604</v>
      </c>
      <c r="J6055" s="4">
        <v>2524150</v>
      </c>
    </row>
    <row r="6056" spans="1:11" hidden="1" outlineLevel="2" x14ac:dyDescent="0.35">
      <c r="A6056" t="s">
        <v>26</v>
      </c>
      <c r="B6056" s="1">
        <v>45728</v>
      </c>
      <c r="C6056" t="str">
        <f>"135"</f>
        <v>135</v>
      </c>
      <c r="D6056" t="s">
        <v>1616</v>
      </c>
      <c r="E6056" t="s">
        <v>1617</v>
      </c>
      <c r="F6056" t="str">
        <f>"60440500"</f>
        <v>60440500</v>
      </c>
      <c r="H6056" t="s">
        <v>1618</v>
      </c>
      <c r="J6056" s="4">
        <v>7350</v>
      </c>
    </row>
    <row r="6057" spans="1:11" hidden="1" outlineLevel="2" x14ac:dyDescent="0.35">
      <c r="A6057" t="s">
        <v>2337</v>
      </c>
      <c r="B6057" s="1">
        <v>45729</v>
      </c>
      <c r="C6057" t="str">
        <f>"744"</f>
        <v>744</v>
      </c>
      <c r="E6057" t="str">
        <f>"17363"</f>
        <v>17363</v>
      </c>
      <c r="F6057" t="str">
        <f>"60440500"</f>
        <v>60440500</v>
      </c>
      <c r="H6057" t="s">
        <v>2480</v>
      </c>
      <c r="J6057" s="4">
        <v>15000</v>
      </c>
    </row>
    <row r="6058" spans="1:11" outlineLevel="1" collapsed="1" x14ac:dyDescent="0.35">
      <c r="B6058" s="1"/>
      <c r="F6058" s="3" t="s">
        <v>6610</v>
      </c>
      <c r="J6058" s="4">
        <f>SUBTOTAL(9,J6054:J6057)</f>
        <v>2640059</v>
      </c>
      <c r="K6058" s="4">
        <f>SUBTOTAL(9,K6054:K6057)</f>
        <v>0</v>
      </c>
    </row>
    <row r="6059" spans="1:11" hidden="1" outlineLevel="2" x14ac:dyDescent="0.35">
      <c r="A6059" t="s">
        <v>3115</v>
      </c>
      <c r="B6059" s="1">
        <v>45717</v>
      </c>
      <c r="C6059" t="str">
        <f>"1179"</f>
        <v>1179</v>
      </c>
      <c r="D6059" t="s">
        <v>3134</v>
      </c>
      <c r="E6059" t="str">
        <f>"182414"</f>
        <v>182414</v>
      </c>
      <c r="F6059" t="str">
        <f t="shared" ref="F6059:F6122" si="217">"60460000"</f>
        <v>60460000</v>
      </c>
      <c r="G6059" t="str">
        <f t="shared" ref="G6059:G6122" si="218">"60440004"</f>
        <v>60440004</v>
      </c>
      <c r="H6059" t="s">
        <v>3135</v>
      </c>
      <c r="J6059" s="4">
        <v>3295</v>
      </c>
    </row>
    <row r="6060" spans="1:11" hidden="1" outlineLevel="2" x14ac:dyDescent="0.35">
      <c r="A6060" t="s">
        <v>3115</v>
      </c>
      <c r="B6060" s="1">
        <v>45717</v>
      </c>
      <c r="C6060" t="str">
        <f>"1181"</f>
        <v>1181</v>
      </c>
      <c r="D6060" t="s">
        <v>3138</v>
      </c>
      <c r="E6060" t="str">
        <f>"182479"</f>
        <v>182479</v>
      </c>
      <c r="F6060" t="str">
        <f t="shared" si="217"/>
        <v>60460000</v>
      </c>
      <c r="G6060" t="str">
        <f t="shared" si="218"/>
        <v>60440004</v>
      </c>
      <c r="H6060" t="s">
        <v>3139</v>
      </c>
      <c r="J6060" s="4">
        <v>850</v>
      </c>
    </row>
    <row r="6061" spans="1:11" hidden="1" outlineLevel="2" x14ac:dyDescent="0.35">
      <c r="A6061" t="s">
        <v>3115</v>
      </c>
      <c r="B6061" s="1">
        <v>45717</v>
      </c>
      <c r="C6061" t="str">
        <f>"1182"</f>
        <v>1182</v>
      </c>
      <c r="D6061" t="s">
        <v>3140</v>
      </c>
      <c r="E6061" t="str">
        <f>"182311"</f>
        <v>182311</v>
      </c>
      <c r="F6061" t="str">
        <f t="shared" si="217"/>
        <v>60460000</v>
      </c>
      <c r="G6061" t="str">
        <f t="shared" si="218"/>
        <v>60440004</v>
      </c>
      <c r="H6061" t="s">
        <v>3141</v>
      </c>
      <c r="J6061" s="4">
        <v>101</v>
      </c>
    </row>
    <row r="6062" spans="1:11" hidden="1" outlineLevel="2" x14ac:dyDescent="0.35">
      <c r="A6062" t="s">
        <v>3115</v>
      </c>
      <c r="B6062" s="1">
        <v>45718</v>
      </c>
      <c r="C6062" t="str">
        <f>"1157"</f>
        <v>1157</v>
      </c>
      <c r="D6062" t="s">
        <v>3164</v>
      </c>
      <c r="E6062" t="str">
        <f>"182484"</f>
        <v>182484</v>
      </c>
      <c r="F6062" t="str">
        <f t="shared" si="217"/>
        <v>60460000</v>
      </c>
      <c r="G6062" t="str">
        <f t="shared" si="218"/>
        <v>60440004</v>
      </c>
      <c r="H6062" t="s">
        <v>3165</v>
      </c>
      <c r="J6062" s="4">
        <v>196</v>
      </c>
    </row>
    <row r="6063" spans="1:11" hidden="1" outlineLevel="2" x14ac:dyDescent="0.35">
      <c r="A6063" t="s">
        <v>3115</v>
      </c>
      <c r="B6063" s="1">
        <v>45718</v>
      </c>
      <c r="C6063" t="str">
        <f>"1158"</f>
        <v>1158</v>
      </c>
      <c r="D6063" t="s">
        <v>3166</v>
      </c>
      <c r="E6063" t="str">
        <f>"182485"</f>
        <v>182485</v>
      </c>
      <c r="F6063" t="str">
        <f t="shared" si="217"/>
        <v>60460000</v>
      </c>
      <c r="G6063" t="str">
        <f t="shared" si="218"/>
        <v>60440004</v>
      </c>
      <c r="H6063" t="s">
        <v>3167</v>
      </c>
      <c r="J6063" s="4">
        <v>14457</v>
      </c>
    </row>
    <row r="6064" spans="1:11" hidden="1" outlineLevel="2" x14ac:dyDescent="0.35">
      <c r="A6064" t="s">
        <v>3115</v>
      </c>
      <c r="B6064" s="1">
        <v>45718</v>
      </c>
      <c r="C6064" t="str">
        <f>"1161"</f>
        <v>1161</v>
      </c>
      <c r="D6064" t="s">
        <v>3172</v>
      </c>
      <c r="E6064" t="str">
        <f>"182487"</f>
        <v>182487</v>
      </c>
      <c r="F6064" t="str">
        <f t="shared" si="217"/>
        <v>60460000</v>
      </c>
      <c r="G6064" t="str">
        <f t="shared" si="218"/>
        <v>60440004</v>
      </c>
      <c r="H6064" t="s">
        <v>3173</v>
      </c>
      <c r="J6064" s="4">
        <v>2500</v>
      </c>
    </row>
    <row r="6065" spans="1:10" hidden="1" outlineLevel="2" x14ac:dyDescent="0.35">
      <c r="A6065" t="s">
        <v>3115</v>
      </c>
      <c r="B6065" s="1">
        <v>45718</v>
      </c>
      <c r="C6065" t="str">
        <f>"1162"</f>
        <v>1162</v>
      </c>
      <c r="D6065" t="s">
        <v>3174</v>
      </c>
      <c r="E6065" t="str">
        <f>"182488"</f>
        <v>182488</v>
      </c>
      <c r="F6065" t="str">
        <f t="shared" si="217"/>
        <v>60460000</v>
      </c>
      <c r="G6065" t="str">
        <f t="shared" si="218"/>
        <v>60440004</v>
      </c>
      <c r="H6065" t="s">
        <v>3175</v>
      </c>
      <c r="J6065" s="4">
        <v>37000</v>
      </c>
    </row>
    <row r="6066" spans="1:10" hidden="1" outlineLevel="2" x14ac:dyDescent="0.35">
      <c r="A6066" t="s">
        <v>3115</v>
      </c>
      <c r="B6066" s="1">
        <v>45718</v>
      </c>
      <c r="C6066" t="str">
        <f>"1163"</f>
        <v>1163</v>
      </c>
      <c r="D6066" t="s">
        <v>3176</v>
      </c>
      <c r="E6066" t="str">
        <f>"182488"</f>
        <v>182488</v>
      </c>
      <c r="F6066" t="str">
        <f t="shared" si="217"/>
        <v>60460000</v>
      </c>
      <c r="G6066" t="str">
        <f t="shared" si="218"/>
        <v>60440004</v>
      </c>
      <c r="H6066" t="s">
        <v>3177</v>
      </c>
      <c r="J6066" s="4">
        <v>1199</v>
      </c>
    </row>
    <row r="6067" spans="1:10" hidden="1" outlineLevel="2" x14ac:dyDescent="0.35">
      <c r="A6067" t="s">
        <v>3115</v>
      </c>
      <c r="B6067" s="1">
        <v>45718</v>
      </c>
      <c r="C6067" t="str">
        <f>"1165"</f>
        <v>1165</v>
      </c>
      <c r="D6067" t="s">
        <v>3180</v>
      </c>
      <c r="E6067" t="str">
        <f>"182489"</f>
        <v>182489</v>
      </c>
      <c r="F6067" t="str">
        <f t="shared" si="217"/>
        <v>60460000</v>
      </c>
      <c r="G6067" t="str">
        <f t="shared" si="218"/>
        <v>60440004</v>
      </c>
      <c r="H6067" t="s">
        <v>3181</v>
      </c>
      <c r="J6067" s="4">
        <v>10511</v>
      </c>
    </row>
    <row r="6068" spans="1:10" hidden="1" outlineLevel="2" x14ac:dyDescent="0.35">
      <c r="A6068" t="s">
        <v>3115</v>
      </c>
      <c r="B6068" s="1">
        <v>45718</v>
      </c>
      <c r="C6068" t="str">
        <f>"1168"</f>
        <v>1168</v>
      </c>
      <c r="D6068" t="s">
        <v>3186</v>
      </c>
      <c r="E6068" t="str">
        <f>"182314"</f>
        <v>182314</v>
      </c>
      <c r="F6068" t="str">
        <f t="shared" si="217"/>
        <v>60460000</v>
      </c>
      <c r="G6068" t="str">
        <f t="shared" si="218"/>
        <v>60440004</v>
      </c>
      <c r="H6068" t="s">
        <v>3187</v>
      </c>
      <c r="J6068" s="4">
        <v>3943</v>
      </c>
    </row>
    <row r="6069" spans="1:10" hidden="1" outlineLevel="2" x14ac:dyDescent="0.35">
      <c r="A6069" t="s">
        <v>3115</v>
      </c>
      <c r="B6069" s="1">
        <v>45718</v>
      </c>
      <c r="C6069" t="str">
        <f>"1169"</f>
        <v>1169</v>
      </c>
      <c r="D6069" t="s">
        <v>3188</v>
      </c>
      <c r="E6069" t="str">
        <f>"182415"</f>
        <v>182415</v>
      </c>
      <c r="F6069" t="str">
        <f t="shared" si="217"/>
        <v>60460000</v>
      </c>
      <c r="G6069" t="str">
        <f t="shared" si="218"/>
        <v>60440004</v>
      </c>
      <c r="H6069" t="s">
        <v>3189</v>
      </c>
      <c r="J6069" s="4">
        <v>1009</v>
      </c>
    </row>
    <row r="6070" spans="1:10" hidden="1" outlineLevel="2" x14ac:dyDescent="0.35">
      <c r="A6070" t="s">
        <v>3115</v>
      </c>
      <c r="B6070" s="1">
        <v>45719</v>
      </c>
      <c r="C6070" t="str">
        <f>"773"</f>
        <v>773</v>
      </c>
      <c r="D6070" t="s">
        <v>3198</v>
      </c>
      <c r="E6070" t="str">
        <f>"181231"</f>
        <v>181231</v>
      </c>
      <c r="F6070" t="str">
        <f t="shared" si="217"/>
        <v>60460000</v>
      </c>
      <c r="G6070" t="str">
        <f t="shared" si="218"/>
        <v>60440004</v>
      </c>
      <c r="H6070" t="s">
        <v>3199</v>
      </c>
      <c r="J6070" s="4">
        <v>13387</v>
      </c>
    </row>
    <row r="6071" spans="1:10" hidden="1" outlineLevel="2" x14ac:dyDescent="0.35">
      <c r="A6071" t="s">
        <v>3115</v>
      </c>
      <c r="B6071" s="1">
        <v>45719</v>
      </c>
      <c r="C6071" t="str">
        <f>"783"</f>
        <v>783</v>
      </c>
      <c r="D6071" t="s">
        <v>3218</v>
      </c>
      <c r="E6071" t="str">
        <f>"181236"</f>
        <v>181236</v>
      </c>
      <c r="F6071" t="str">
        <f t="shared" si="217"/>
        <v>60460000</v>
      </c>
      <c r="G6071" t="str">
        <f t="shared" si="218"/>
        <v>60440004</v>
      </c>
      <c r="H6071" t="s">
        <v>3219</v>
      </c>
      <c r="J6071" s="4">
        <v>294</v>
      </c>
    </row>
    <row r="6072" spans="1:10" hidden="1" outlineLevel="2" x14ac:dyDescent="0.35">
      <c r="A6072" t="s">
        <v>3115</v>
      </c>
      <c r="B6072" s="1">
        <v>45719</v>
      </c>
      <c r="C6072" t="str">
        <f>"795"</f>
        <v>795</v>
      </c>
      <c r="D6072" t="s">
        <v>3242</v>
      </c>
      <c r="E6072" t="str">
        <f>"182496"</f>
        <v>182496</v>
      </c>
      <c r="F6072" t="str">
        <f t="shared" si="217"/>
        <v>60460000</v>
      </c>
      <c r="G6072" t="str">
        <f t="shared" si="218"/>
        <v>60440004</v>
      </c>
      <c r="H6072" t="s">
        <v>3243</v>
      </c>
      <c r="J6072" s="4">
        <v>750</v>
      </c>
    </row>
    <row r="6073" spans="1:10" hidden="1" outlineLevel="2" x14ac:dyDescent="0.35">
      <c r="A6073" t="s">
        <v>3115</v>
      </c>
      <c r="B6073" s="1">
        <v>45719</v>
      </c>
      <c r="C6073" t="str">
        <f>"797"</f>
        <v>797</v>
      </c>
      <c r="D6073" t="s">
        <v>3246</v>
      </c>
      <c r="E6073" t="str">
        <f>"182497"</f>
        <v>182497</v>
      </c>
      <c r="F6073" t="str">
        <f t="shared" si="217"/>
        <v>60460000</v>
      </c>
      <c r="G6073" t="str">
        <f t="shared" si="218"/>
        <v>60440004</v>
      </c>
      <c r="H6073" t="s">
        <v>3247</v>
      </c>
      <c r="J6073" s="4">
        <v>851</v>
      </c>
    </row>
    <row r="6074" spans="1:10" hidden="1" outlineLevel="2" x14ac:dyDescent="0.35">
      <c r="A6074" t="s">
        <v>3115</v>
      </c>
      <c r="B6074" s="1">
        <v>45719</v>
      </c>
      <c r="C6074" t="str">
        <f>"799"</f>
        <v>799</v>
      </c>
      <c r="D6074" t="s">
        <v>3250</v>
      </c>
      <c r="E6074" t="str">
        <f>"182125"</f>
        <v>182125</v>
      </c>
      <c r="F6074" t="str">
        <f t="shared" si="217"/>
        <v>60460000</v>
      </c>
      <c r="G6074" t="str">
        <f t="shared" si="218"/>
        <v>60440004</v>
      </c>
      <c r="H6074" t="s">
        <v>3251</v>
      </c>
      <c r="J6074" s="4">
        <v>3409</v>
      </c>
    </row>
    <row r="6075" spans="1:10" hidden="1" outlineLevel="2" x14ac:dyDescent="0.35">
      <c r="A6075" t="s">
        <v>3115</v>
      </c>
      <c r="B6075" s="1">
        <v>45719</v>
      </c>
      <c r="C6075" t="str">
        <f>"801"</f>
        <v>801</v>
      </c>
      <c r="D6075" t="s">
        <v>3254</v>
      </c>
      <c r="E6075" t="str">
        <f>"182129"</f>
        <v>182129</v>
      </c>
      <c r="F6075" t="str">
        <f t="shared" si="217"/>
        <v>60460000</v>
      </c>
      <c r="G6075" t="str">
        <f t="shared" si="218"/>
        <v>60440004</v>
      </c>
      <c r="H6075" t="s">
        <v>3255</v>
      </c>
      <c r="J6075" s="4">
        <v>4420</v>
      </c>
    </row>
    <row r="6076" spans="1:10" hidden="1" outlineLevel="2" x14ac:dyDescent="0.35">
      <c r="A6076" t="s">
        <v>3115</v>
      </c>
      <c r="B6076" s="1">
        <v>45719</v>
      </c>
      <c r="C6076" t="str">
        <f>"802"</f>
        <v>802</v>
      </c>
      <c r="D6076" t="s">
        <v>3256</v>
      </c>
      <c r="E6076" t="str">
        <f>"182123"</f>
        <v>182123</v>
      </c>
      <c r="F6076" t="str">
        <f t="shared" si="217"/>
        <v>60460000</v>
      </c>
      <c r="G6076" t="str">
        <f t="shared" si="218"/>
        <v>60440004</v>
      </c>
      <c r="H6076" t="s">
        <v>3257</v>
      </c>
      <c r="J6076" s="4">
        <v>2273</v>
      </c>
    </row>
    <row r="6077" spans="1:10" hidden="1" outlineLevel="2" x14ac:dyDescent="0.35">
      <c r="A6077" t="s">
        <v>3115</v>
      </c>
      <c r="B6077" s="1">
        <v>45719</v>
      </c>
      <c r="C6077" t="str">
        <f>"803"</f>
        <v>803</v>
      </c>
      <c r="D6077" t="s">
        <v>3258</v>
      </c>
      <c r="E6077" t="str">
        <f>"182124"</f>
        <v>182124</v>
      </c>
      <c r="F6077" t="str">
        <f t="shared" si="217"/>
        <v>60460000</v>
      </c>
      <c r="G6077" t="str">
        <f t="shared" si="218"/>
        <v>60440004</v>
      </c>
      <c r="H6077" t="s">
        <v>3259</v>
      </c>
      <c r="J6077" s="4">
        <v>14966</v>
      </c>
    </row>
    <row r="6078" spans="1:10" hidden="1" outlineLevel="2" x14ac:dyDescent="0.35">
      <c r="A6078" t="s">
        <v>3115</v>
      </c>
      <c r="B6078" s="1">
        <v>45719</v>
      </c>
      <c r="C6078" t="str">
        <f>"806"</f>
        <v>806</v>
      </c>
      <c r="D6078" t="s">
        <v>3264</v>
      </c>
      <c r="E6078" t="str">
        <f>"182490"</f>
        <v>182490</v>
      </c>
      <c r="F6078" t="str">
        <f t="shared" si="217"/>
        <v>60460000</v>
      </c>
      <c r="G6078" t="str">
        <f t="shared" si="218"/>
        <v>60440004</v>
      </c>
      <c r="H6078" t="s">
        <v>3265</v>
      </c>
      <c r="J6078" s="4">
        <v>10000</v>
      </c>
    </row>
    <row r="6079" spans="1:10" hidden="1" outlineLevel="2" x14ac:dyDescent="0.35">
      <c r="A6079" t="s">
        <v>3115</v>
      </c>
      <c r="B6079" s="1">
        <v>45719</v>
      </c>
      <c r="C6079" t="str">
        <f>"807"</f>
        <v>807</v>
      </c>
      <c r="D6079" t="s">
        <v>3266</v>
      </c>
      <c r="E6079" t="str">
        <f>"183312"</f>
        <v>183312</v>
      </c>
      <c r="F6079" t="str">
        <f t="shared" si="217"/>
        <v>60460000</v>
      </c>
      <c r="G6079" t="str">
        <f t="shared" si="218"/>
        <v>60440004</v>
      </c>
      <c r="H6079" t="s">
        <v>3267</v>
      </c>
      <c r="J6079" s="4">
        <v>24063</v>
      </c>
    </row>
    <row r="6080" spans="1:10" hidden="1" outlineLevel="2" x14ac:dyDescent="0.35">
      <c r="A6080" t="s">
        <v>3115</v>
      </c>
      <c r="B6080" s="1">
        <v>45719</v>
      </c>
      <c r="C6080" t="str">
        <f>"808"</f>
        <v>808</v>
      </c>
      <c r="D6080" t="s">
        <v>3268</v>
      </c>
      <c r="E6080" t="str">
        <f>"182491"</f>
        <v>182491</v>
      </c>
      <c r="F6080" t="str">
        <f t="shared" si="217"/>
        <v>60460000</v>
      </c>
      <c r="G6080" t="str">
        <f t="shared" si="218"/>
        <v>60440004</v>
      </c>
      <c r="H6080" t="s">
        <v>3269</v>
      </c>
      <c r="J6080" s="4">
        <v>750</v>
      </c>
    </row>
    <row r="6081" spans="1:10" hidden="1" outlineLevel="2" x14ac:dyDescent="0.35">
      <c r="A6081" t="s">
        <v>3115</v>
      </c>
      <c r="B6081" s="1">
        <v>45719</v>
      </c>
      <c r="C6081" t="str">
        <f>"810"</f>
        <v>810</v>
      </c>
      <c r="D6081" t="s">
        <v>3272</v>
      </c>
      <c r="E6081" t="str">
        <f>"182492"</f>
        <v>182492</v>
      </c>
      <c r="F6081" t="str">
        <f t="shared" si="217"/>
        <v>60460000</v>
      </c>
      <c r="G6081" t="str">
        <f t="shared" si="218"/>
        <v>60440004</v>
      </c>
      <c r="H6081" t="s">
        <v>3273</v>
      </c>
      <c r="J6081" s="4">
        <v>614</v>
      </c>
    </row>
    <row r="6082" spans="1:10" hidden="1" outlineLevel="2" x14ac:dyDescent="0.35">
      <c r="A6082" t="s">
        <v>3115</v>
      </c>
      <c r="B6082" s="1">
        <v>45719</v>
      </c>
      <c r="C6082" t="str">
        <f>"812"</f>
        <v>812</v>
      </c>
      <c r="D6082" t="s">
        <v>3276</v>
      </c>
      <c r="E6082" t="str">
        <f>"182122"</f>
        <v>182122</v>
      </c>
      <c r="F6082" t="str">
        <f t="shared" si="217"/>
        <v>60460000</v>
      </c>
      <c r="G6082" t="str">
        <f t="shared" si="218"/>
        <v>60440004</v>
      </c>
      <c r="H6082" t="s">
        <v>3277</v>
      </c>
      <c r="J6082" s="4">
        <v>4847</v>
      </c>
    </row>
    <row r="6083" spans="1:10" hidden="1" outlineLevel="2" x14ac:dyDescent="0.35">
      <c r="A6083" t="s">
        <v>3115</v>
      </c>
      <c r="B6083" s="1">
        <v>45719</v>
      </c>
      <c r="C6083" t="str">
        <f>"814"</f>
        <v>814</v>
      </c>
      <c r="D6083" t="s">
        <v>3280</v>
      </c>
      <c r="E6083" t="str">
        <f>"182127"</f>
        <v>182127</v>
      </c>
      <c r="F6083" t="str">
        <f t="shared" si="217"/>
        <v>60460000</v>
      </c>
      <c r="G6083" t="str">
        <f t="shared" si="218"/>
        <v>60440004</v>
      </c>
      <c r="H6083" t="s">
        <v>3281</v>
      </c>
      <c r="J6083" s="4">
        <v>2403</v>
      </c>
    </row>
    <row r="6084" spans="1:10" hidden="1" outlineLevel="2" x14ac:dyDescent="0.35">
      <c r="A6084" t="s">
        <v>3115</v>
      </c>
      <c r="B6084" s="1">
        <v>45719</v>
      </c>
      <c r="C6084" t="str">
        <f>"819"</f>
        <v>819</v>
      </c>
      <c r="D6084" t="s">
        <v>3290</v>
      </c>
      <c r="E6084" t="str">
        <f>"182421"</f>
        <v>182421</v>
      </c>
      <c r="F6084" t="str">
        <f t="shared" si="217"/>
        <v>60460000</v>
      </c>
      <c r="G6084" t="str">
        <f t="shared" si="218"/>
        <v>60440004</v>
      </c>
      <c r="H6084" t="s">
        <v>3291</v>
      </c>
      <c r="J6084" s="4">
        <v>1150</v>
      </c>
    </row>
    <row r="6085" spans="1:10" hidden="1" outlineLevel="2" x14ac:dyDescent="0.35">
      <c r="A6085" t="s">
        <v>3115</v>
      </c>
      <c r="B6085" s="1">
        <v>45719</v>
      </c>
      <c r="C6085" t="str">
        <f>"824"</f>
        <v>824</v>
      </c>
      <c r="D6085" t="s">
        <v>3300</v>
      </c>
      <c r="E6085" t="str">
        <f>"182315"</f>
        <v>182315</v>
      </c>
      <c r="F6085" t="str">
        <f t="shared" si="217"/>
        <v>60460000</v>
      </c>
      <c r="G6085" t="str">
        <f t="shared" si="218"/>
        <v>60440004</v>
      </c>
      <c r="H6085" t="s">
        <v>3301</v>
      </c>
      <c r="J6085" s="4">
        <v>3851</v>
      </c>
    </row>
    <row r="6086" spans="1:10" hidden="1" outlineLevel="2" x14ac:dyDescent="0.35">
      <c r="A6086" t="s">
        <v>3115</v>
      </c>
      <c r="B6086" s="1">
        <v>45719</v>
      </c>
      <c r="C6086" t="str">
        <f>"826"</f>
        <v>826</v>
      </c>
      <c r="D6086" t="s">
        <v>3304</v>
      </c>
      <c r="E6086" t="str">
        <f>"182317"</f>
        <v>182317</v>
      </c>
      <c r="F6086" t="str">
        <f t="shared" si="217"/>
        <v>60460000</v>
      </c>
      <c r="G6086" t="str">
        <f t="shared" si="218"/>
        <v>60440004</v>
      </c>
      <c r="H6086" t="s">
        <v>3305</v>
      </c>
      <c r="J6086" s="4">
        <v>600</v>
      </c>
    </row>
    <row r="6087" spans="1:10" hidden="1" outlineLevel="2" x14ac:dyDescent="0.35">
      <c r="A6087" t="s">
        <v>3115</v>
      </c>
      <c r="B6087" s="1">
        <v>45719</v>
      </c>
      <c r="C6087" t="str">
        <f>"829"</f>
        <v>829</v>
      </c>
      <c r="D6087" t="s">
        <v>3310</v>
      </c>
      <c r="E6087" t="str">
        <f>"182316"</f>
        <v>182316</v>
      </c>
      <c r="F6087" t="str">
        <f t="shared" si="217"/>
        <v>60460000</v>
      </c>
      <c r="G6087" t="str">
        <f t="shared" si="218"/>
        <v>60440004</v>
      </c>
      <c r="H6087" t="s">
        <v>3311</v>
      </c>
      <c r="J6087" s="4">
        <v>750</v>
      </c>
    </row>
    <row r="6088" spans="1:10" hidden="1" outlineLevel="2" x14ac:dyDescent="0.35">
      <c r="A6088" t="s">
        <v>3115</v>
      </c>
      <c r="B6088" s="1">
        <v>45719</v>
      </c>
      <c r="C6088" t="str">
        <f>"831"</f>
        <v>831</v>
      </c>
      <c r="D6088" t="s">
        <v>3314</v>
      </c>
      <c r="E6088" t="str">
        <f>"182319"</f>
        <v>182319</v>
      </c>
      <c r="F6088" t="str">
        <f t="shared" si="217"/>
        <v>60460000</v>
      </c>
      <c r="G6088" t="str">
        <f t="shared" si="218"/>
        <v>60440004</v>
      </c>
      <c r="H6088" t="s">
        <v>3315</v>
      </c>
      <c r="J6088" s="4">
        <v>797</v>
      </c>
    </row>
    <row r="6089" spans="1:10" hidden="1" outlineLevel="2" x14ac:dyDescent="0.35">
      <c r="A6089" t="s">
        <v>3115</v>
      </c>
      <c r="B6089" s="1">
        <v>45719</v>
      </c>
      <c r="C6089" t="str">
        <f>"834"</f>
        <v>834</v>
      </c>
      <c r="D6089" t="s">
        <v>3320</v>
      </c>
      <c r="E6089" t="str">
        <f>"182416"</f>
        <v>182416</v>
      </c>
      <c r="F6089" t="str">
        <f t="shared" si="217"/>
        <v>60460000</v>
      </c>
      <c r="G6089" t="str">
        <f t="shared" si="218"/>
        <v>60440004</v>
      </c>
      <c r="H6089" t="s">
        <v>3321</v>
      </c>
      <c r="J6089" s="4">
        <v>3619</v>
      </c>
    </row>
    <row r="6090" spans="1:10" hidden="1" outlineLevel="2" x14ac:dyDescent="0.35">
      <c r="A6090" t="s">
        <v>3115</v>
      </c>
      <c r="B6090" s="1">
        <v>45719</v>
      </c>
      <c r="C6090" t="str">
        <f>"836"</f>
        <v>836</v>
      </c>
      <c r="D6090" t="s">
        <v>3324</v>
      </c>
      <c r="E6090" t="str">
        <f>"182417"</f>
        <v>182417</v>
      </c>
      <c r="F6090" t="str">
        <f t="shared" si="217"/>
        <v>60460000</v>
      </c>
      <c r="G6090" t="str">
        <f t="shared" si="218"/>
        <v>60440004</v>
      </c>
      <c r="H6090" t="s">
        <v>3325</v>
      </c>
      <c r="J6090" s="4">
        <v>2273</v>
      </c>
    </row>
    <row r="6091" spans="1:10" hidden="1" outlineLevel="2" x14ac:dyDescent="0.35">
      <c r="A6091" t="s">
        <v>3115</v>
      </c>
      <c r="B6091" s="1">
        <v>45719</v>
      </c>
      <c r="C6091" t="str">
        <f>"837"</f>
        <v>837</v>
      </c>
      <c r="D6091" t="s">
        <v>3326</v>
      </c>
      <c r="E6091" t="str">
        <f>"182418"</f>
        <v>182418</v>
      </c>
      <c r="F6091" t="str">
        <f t="shared" si="217"/>
        <v>60460000</v>
      </c>
      <c r="G6091" t="str">
        <f t="shared" si="218"/>
        <v>60440004</v>
      </c>
      <c r="H6091" t="s">
        <v>3327</v>
      </c>
      <c r="J6091" s="4">
        <v>1136</v>
      </c>
    </row>
    <row r="6092" spans="1:10" hidden="1" outlineLevel="2" x14ac:dyDescent="0.35">
      <c r="A6092" t="s">
        <v>3115</v>
      </c>
      <c r="B6092" s="1">
        <v>45719</v>
      </c>
      <c r="C6092" t="str">
        <f>"838"</f>
        <v>838</v>
      </c>
      <c r="D6092" t="s">
        <v>3328</v>
      </c>
      <c r="E6092" t="str">
        <f>"182419"</f>
        <v>182419</v>
      </c>
      <c r="F6092" t="str">
        <f t="shared" si="217"/>
        <v>60460000</v>
      </c>
      <c r="G6092" t="str">
        <f t="shared" si="218"/>
        <v>60440004</v>
      </c>
      <c r="H6092" t="s">
        <v>3329</v>
      </c>
      <c r="J6092" s="4">
        <v>1809</v>
      </c>
    </row>
    <row r="6093" spans="1:10" hidden="1" outlineLevel="2" x14ac:dyDescent="0.35">
      <c r="A6093" t="s">
        <v>3115</v>
      </c>
      <c r="B6093" s="1">
        <v>45719</v>
      </c>
      <c r="C6093" t="str">
        <f>"839"</f>
        <v>839</v>
      </c>
      <c r="D6093" t="s">
        <v>3330</v>
      </c>
      <c r="E6093" t="str">
        <f>"182420"</f>
        <v>182420</v>
      </c>
      <c r="F6093" t="str">
        <f t="shared" si="217"/>
        <v>60460000</v>
      </c>
      <c r="G6093" t="str">
        <f t="shared" si="218"/>
        <v>60440004</v>
      </c>
      <c r="H6093" t="s">
        <v>3331</v>
      </c>
      <c r="J6093" s="4">
        <v>68932</v>
      </c>
    </row>
    <row r="6094" spans="1:10" hidden="1" outlineLevel="2" x14ac:dyDescent="0.35">
      <c r="A6094" t="s">
        <v>3115</v>
      </c>
      <c r="B6094" s="1">
        <v>45720</v>
      </c>
      <c r="C6094" t="str">
        <f>"843"</f>
        <v>843</v>
      </c>
      <c r="D6094" t="s">
        <v>3338</v>
      </c>
      <c r="E6094" t="str">
        <f>"170531"</f>
        <v>170531</v>
      </c>
      <c r="F6094" t="str">
        <f t="shared" si="217"/>
        <v>60460000</v>
      </c>
      <c r="G6094" t="str">
        <f t="shared" si="218"/>
        <v>60440004</v>
      </c>
      <c r="H6094" t="s">
        <v>3339</v>
      </c>
      <c r="J6094" s="4">
        <v>1225</v>
      </c>
    </row>
    <row r="6095" spans="1:10" hidden="1" outlineLevel="2" x14ac:dyDescent="0.35">
      <c r="A6095" t="s">
        <v>3115</v>
      </c>
      <c r="B6095" s="1">
        <v>45720</v>
      </c>
      <c r="C6095" t="str">
        <f>"848"</f>
        <v>848</v>
      </c>
      <c r="D6095" t="s">
        <v>3348</v>
      </c>
      <c r="E6095" t="str">
        <f>"180183"</f>
        <v>180183</v>
      </c>
      <c r="F6095" t="str">
        <f t="shared" si="217"/>
        <v>60460000</v>
      </c>
      <c r="G6095" t="str">
        <f t="shared" si="218"/>
        <v>60440004</v>
      </c>
      <c r="H6095" t="s">
        <v>3349</v>
      </c>
      <c r="J6095" s="4">
        <v>228619</v>
      </c>
    </row>
    <row r="6096" spans="1:10" hidden="1" outlineLevel="2" x14ac:dyDescent="0.35">
      <c r="A6096" t="s">
        <v>3115</v>
      </c>
      <c r="B6096" s="1">
        <v>45720</v>
      </c>
      <c r="C6096" t="str">
        <f>"851"</f>
        <v>851</v>
      </c>
      <c r="D6096" t="s">
        <v>3354</v>
      </c>
      <c r="E6096" t="str">
        <f>"180177"</f>
        <v>180177</v>
      </c>
      <c r="F6096" t="str">
        <f t="shared" si="217"/>
        <v>60460000</v>
      </c>
      <c r="G6096" t="str">
        <f t="shared" si="218"/>
        <v>60440004</v>
      </c>
      <c r="H6096" t="s">
        <v>3355</v>
      </c>
      <c r="J6096" s="4">
        <v>228623</v>
      </c>
    </row>
    <row r="6097" spans="1:10" hidden="1" outlineLevel="2" x14ac:dyDescent="0.35">
      <c r="A6097" t="s">
        <v>3115</v>
      </c>
      <c r="B6097" s="1">
        <v>45720</v>
      </c>
      <c r="C6097" t="str">
        <f>"854"</f>
        <v>854</v>
      </c>
      <c r="D6097" t="s">
        <v>3360</v>
      </c>
      <c r="E6097" t="str">
        <f>"180175"</f>
        <v>180175</v>
      </c>
      <c r="F6097" t="str">
        <f t="shared" si="217"/>
        <v>60460000</v>
      </c>
      <c r="G6097" t="str">
        <f t="shared" si="218"/>
        <v>60440004</v>
      </c>
      <c r="H6097" t="s">
        <v>3361</v>
      </c>
      <c r="J6097" s="4">
        <v>556062</v>
      </c>
    </row>
    <row r="6098" spans="1:10" hidden="1" outlineLevel="2" x14ac:dyDescent="0.35">
      <c r="A6098" t="s">
        <v>3115</v>
      </c>
      <c r="B6098" s="1">
        <v>45720</v>
      </c>
      <c r="C6098" t="str">
        <f>"856"</f>
        <v>856</v>
      </c>
      <c r="D6098" t="s">
        <v>3364</v>
      </c>
      <c r="E6098" t="str">
        <f>"180185"</f>
        <v>180185</v>
      </c>
      <c r="F6098" t="str">
        <f t="shared" si="217"/>
        <v>60460000</v>
      </c>
      <c r="G6098" t="str">
        <f t="shared" si="218"/>
        <v>60440004</v>
      </c>
      <c r="H6098" t="s">
        <v>3365</v>
      </c>
      <c r="J6098" s="4">
        <v>20740</v>
      </c>
    </row>
    <row r="6099" spans="1:10" hidden="1" outlineLevel="2" x14ac:dyDescent="0.35">
      <c r="A6099" t="s">
        <v>3115</v>
      </c>
      <c r="B6099" s="1">
        <v>45720</v>
      </c>
      <c r="C6099" t="str">
        <f>"858"</f>
        <v>858</v>
      </c>
      <c r="D6099" t="s">
        <v>3368</v>
      </c>
      <c r="E6099" t="str">
        <f>"180182"</f>
        <v>180182</v>
      </c>
      <c r="F6099" t="str">
        <f t="shared" si="217"/>
        <v>60460000</v>
      </c>
      <c r="G6099" t="str">
        <f t="shared" si="218"/>
        <v>60440004</v>
      </c>
      <c r="H6099" t="s">
        <v>3369</v>
      </c>
      <c r="J6099" s="4">
        <v>113378</v>
      </c>
    </row>
    <row r="6100" spans="1:10" hidden="1" outlineLevel="2" x14ac:dyDescent="0.35">
      <c r="A6100" t="s">
        <v>3115</v>
      </c>
      <c r="B6100" s="1">
        <v>45720</v>
      </c>
      <c r="C6100" t="str">
        <f>"860"</f>
        <v>860</v>
      </c>
      <c r="D6100" t="s">
        <v>3372</v>
      </c>
      <c r="E6100" t="str">
        <f>"180170"</f>
        <v>180170</v>
      </c>
      <c r="F6100" t="str">
        <f t="shared" si="217"/>
        <v>60460000</v>
      </c>
      <c r="G6100" t="str">
        <f t="shared" si="218"/>
        <v>60440004</v>
      </c>
      <c r="H6100" t="s">
        <v>3373</v>
      </c>
      <c r="J6100" s="4">
        <v>536722</v>
      </c>
    </row>
    <row r="6101" spans="1:10" hidden="1" outlineLevel="2" x14ac:dyDescent="0.35">
      <c r="A6101" t="s">
        <v>3115</v>
      </c>
      <c r="B6101" s="1">
        <v>45720</v>
      </c>
      <c r="C6101" t="str">
        <f>"862"</f>
        <v>862</v>
      </c>
      <c r="D6101" t="s">
        <v>3376</v>
      </c>
      <c r="E6101" t="str">
        <f>"180178"</f>
        <v>180178</v>
      </c>
      <c r="F6101" t="str">
        <f t="shared" si="217"/>
        <v>60460000</v>
      </c>
      <c r="G6101" t="str">
        <f t="shared" si="218"/>
        <v>60440004</v>
      </c>
      <c r="H6101" t="s">
        <v>3377</v>
      </c>
      <c r="J6101" s="4">
        <v>125850</v>
      </c>
    </row>
    <row r="6102" spans="1:10" hidden="1" outlineLevel="2" x14ac:dyDescent="0.35">
      <c r="A6102" t="s">
        <v>3115</v>
      </c>
      <c r="B6102" s="1">
        <v>45720</v>
      </c>
      <c r="C6102" t="str">
        <f>"863"</f>
        <v>863</v>
      </c>
      <c r="D6102" t="s">
        <v>3378</v>
      </c>
      <c r="E6102" t="str">
        <f>"180184"</f>
        <v>180184</v>
      </c>
      <c r="F6102" t="str">
        <f t="shared" si="217"/>
        <v>60460000</v>
      </c>
      <c r="G6102" t="str">
        <f t="shared" si="218"/>
        <v>60440004</v>
      </c>
      <c r="H6102" t="s">
        <v>3379</v>
      </c>
      <c r="J6102" s="4">
        <v>554227</v>
      </c>
    </row>
    <row r="6103" spans="1:10" hidden="1" outlineLevel="2" x14ac:dyDescent="0.35">
      <c r="A6103" t="s">
        <v>3115</v>
      </c>
      <c r="B6103" s="1">
        <v>45720</v>
      </c>
      <c r="C6103" t="str">
        <f>"864"</f>
        <v>864</v>
      </c>
      <c r="D6103" t="s">
        <v>3380</v>
      </c>
      <c r="E6103" t="str">
        <f>"180186"</f>
        <v>180186</v>
      </c>
      <c r="F6103" t="str">
        <f t="shared" si="217"/>
        <v>60460000</v>
      </c>
      <c r="G6103" t="str">
        <f t="shared" si="218"/>
        <v>60440004</v>
      </c>
      <c r="H6103" t="s">
        <v>3381</v>
      </c>
      <c r="J6103" s="4">
        <v>37537</v>
      </c>
    </row>
    <row r="6104" spans="1:10" hidden="1" outlineLevel="2" x14ac:dyDescent="0.35">
      <c r="A6104" t="s">
        <v>3115</v>
      </c>
      <c r="B6104" s="1">
        <v>45720</v>
      </c>
      <c r="C6104" t="str">
        <f>"868"</f>
        <v>868</v>
      </c>
      <c r="D6104" t="s">
        <v>3388</v>
      </c>
      <c r="E6104" t="str">
        <f>"180188"</f>
        <v>180188</v>
      </c>
      <c r="F6104" t="str">
        <f t="shared" si="217"/>
        <v>60460000</v>
      </c>
      <c r="G6104" t="str">
        <f t="shared" si="218"/>
        <v>60440004</v>
      </c>
      <c r="H6104" t="s">
        <v>3389</v>
      </c>
      <c r="J6104" s="4">
        <v>14421</v>
      </c>
    </row>
    <row r="6105" spans="1:10" hidden="1" outlineLevel="2" x14ac:dyDescent="0.35">
      <c r="A6105" t="s">
        <v>3115</v>
      </c>
      <c r="B6105" s="1">
        <v>45720</v>
      </c>
      <c r="C6105" t="str">
        <f>"869"</f>
        <v>869</v>
      </c>
      <c r="D6105" t="s">
        <v>3390</v>
      </c>
      <c r="E6105" t="str">
        <f>"183453"</f>
        <v>183453</v>
      </c>
      <c r="F6105" t="str">
        <f t="shared" si="217"/>
        <v>60460000</v>
      </c>
      <c r="G6105" t="str">
        <f t="shared" si="218"/>
        <v>60440004</v>
      </c>
      <c r="H6105" t="s">
        <v>3391</v>
      </c>
      <c r="J6105" s="4">
        <v>1546</v>
      </c>
    </row>
    <row r="6106" spans="1:10" hidden="1" outlineLevel="2" x14ac:dyDescent="0.35">
      <c r="A6106" t="s">
        <v>3115</v>
      </c>
      <c r="B6106" s="1">
        <v>45720</v>
      </c>
      <c r="C6106" t="str">
        <f>"870"</f>
        <v>870</v>
      </c>
      <c r="D6106" t="s">
        <v>3392</v>
      </c>
      <c r="E6106" t="str">
        <f>"183452"</f>
        <v>183452</v>
      </c>
      <c r="F6106" t="str">
        <f t="shared" si="217"/>
        <v>60460000</v>
      </c>
      <c r="G6106" t="str">
        <f t="shared" si="218"/>
        <v>60440004</v>
      </c>
      <c r="H6106" t="s">
        <v>3393</v>
      </c>
      <c r="J6106" s="4">
        <v>64008</v>
      </c>
    </row>
    <row r="6107" spans="1:10" hidden="1" outlineLevel="2" x14ac:dyDescent="0.35">
      <c r="A6107" t="s">
        <v>3115</v>
      </c>
      <c r="B6107" s="1">
        <v>45720</v>
      </c>
      <c r="C6107" t="str">
        <f>"871"</f>
        <v>871</v>
      </c>
      <c r="D6107" t="s">
        <v>3394</v>
      </c>
      <c r="E6107" t="str">
        <f>"183455"</f>
        <v>183455</v>
      </c>
      <c r="F6107" t="str">
        <f t="shared" si="217"/>
        <v>60460000</v>
      </c>
      <c r="G6107" t="str">
        <f t="shared" si="218"/>
        <v>60440004</v>
      </c>
      <c r="H6107" t="s">
        <v>3395</v>
      </c>
      <c r="J6107" s="4">
        <v>3218</v>
      </c>
    </row>
    <row r="6108" spans="1:10" hidden="1" outlineLevel="2" x14ac:dyDescent="0.35">
      <c r="A6108" t="s">
        <v>3115</v>
      </c>
      <c r="B6108" s="1">
        <v>45720</v>
      </c>
      <c r="C6108" t="str">
        <f>"872"</f>
        <v>872</v>
      </c>
      <c r="D6108" t="s">
        <v>3396</v>
      </c>
      <c r="E6108" t="str">
        <f>"182131"</f>
        <v>182131</v>
      </c>
      <c r="F6108" t="str">
        <f t="shared" si="217"/>
        <v>60460000</v>
      </c>
      <c r="G6108" t="str">
        <f t="shared" si="218"/>
        <v>60440004</v>
      </c>
      <c r="H6108" t="s">
        <v>3397</v>
      </c>
      <c r="J6108" s="4">
        <v>4082</v>
      </c>
    </row>
    <row r="6109" spans="1:10" hidden="1" outlineLevel="2" x14ac:dyDescent="0.35">
      <c r="A6109" t="s">
        <v>3115</v>
      </c>
      <c r="B6109" s="1">
        <v>45720</v>
      </c>
      <c r="C6109" t="str">
        <f>"873"</f>
        <v>873</v>
      </c>
      <c r="D6109" t="s">
        <v>3398</v>
      </c>
      <c r="E6109" t="str">
        <f>"182130"</f>
        <v>182130</v>
      </c>
      <c r="F6109" t="str">
        <f t="shared" si="217"/>
        <v>60460000</v>
      </c>
      <c r="G6109" t="str">
        <f t="shared" si="218"/>
        <v>60440004</v>
      </c>
      <c r="H6109" t="s">
        <v>3399</v>
      </c>
      <c r="J6109" s="4">
        <v>3409</v>
      </c>
    </row>
    <row r="6110" spans="1:10" hidden="1" outlineLevel="2" x14ac:dyDescent="0.35">
      <c r="A6110" t="s">
        <v>3115</v>
      </c>
      <c r="B6110" s="1">
        <v>45720</v>
      </c>
      <c r="C6110" t="str">
        <f>"878"</f>
        <v>878</v>
      </c>
      <c r="D6110" t="s">
        <v>3408</v>
      </c>
      <c r="E6110" t="str">
        <f>"177505"</f>
        <v>177505</v>
      </c>
      <c r="F6110" t="str">
        <f t="shared" si="217"/>
        <v>60460000</v>
      </c>
      <c r="G6110" t="str">
        <f t="shared" si="218"/>
        <v>60440004</v>
      </c>
      <c r="H6110" t="s">
        <v>3409</v>
      </c>
      <c r="J6110" s="4">
        <v>4100</v>
      </c>
    </row>
    <row r="6111" spans="1:10" hidden="1" outlineLevel="2" x14ac:dyDescent="0.35">
      <c r="A6111" t="s">
        <v>3115</v>
      </c>
      <c r="B6111" s="1">
        <v>45720</v>
      </c>
      <c r="C6111" t="str">
        <f>"880"</f>
        <v>880</v>
      </c>
      <c r="D6111" t="s">
        <v>3412</v>
      </c>
      <c r="E6111" t="str">
        <f>"177506"</f>
        <v>177506</v>
      </c>
      <c r="F6111" t="str">
        <f t="shared" si="217"/>
        <v>60460000</v>
      </c>
      <c r="G6111" t="str">
        <f t="shared" si="218"/>
        <v>60440004</v>
      </c>
      <c r="H6111" t="s">
        <v>3413</v>
      </c>
      <c r="J6111" s="4">
        <v>499</v>
      </c>
    </row>
    <row r="6112" spans="1:10" hidden="1" outlineLevel="2" x14ac:dyDescent="0.35">
      <c r="A6112" t="s">
        <v>3115</v>
      </c>
      <c r="B6112" s="1">
        <v>45720</v>
      </c>
      <c r="C6112" t="str">
        <f>"883"</f>
        <v>883</v>
      </c>
      <c r="D6112" t="s">
        <v>3418</v>
      </c>
      <c r="E6112" t="str">
        <f>"177507"</f>
        <v>177507</v>
      </c>
      <c r="F6112" t="str">
        <f t="shared" si="217"/>
        <v>60460000</v>
      </c>
      <c r="G6112" t="str">
        <f t="shared" si="218"/>
        <v>60440004</v>
      </c>
      <c r="H6112" t="s">
        <v>3419</v>
      </c>
      <c r="J6112" s="4">
        <v>3059</v>
      </c>
    </row>
    <row r="6113" spans="1:10" hidden="1" outlineLevel="2" x14ac:dyDescent="0.35">
      <c r="A6113" t="s">
        <v>3115</v>
      </c>
      <c r="B6113" s="1">
        <v>45720</v>
      </c>
      <c r="C6113" t="str">
        <f>"886"</f>
        <v>886</v>
      </c>
      <c r="D6113" t="s">
        <v>3424</v>
      </c>
      <c r="E6113" t="str">
        <f>"2506"</f>
        <v>2506</v>
      </c>
      <c r="F6113" t="str">
        <f t="shared" si="217"/>
        <v>60460000</v>
      </c>
      <c r="G6113" t="str">
        <f t="shared" si="218"/>
        <v>60440004</v>
      </c>
      <c r="H6113" t="s">
        <v>3425</v>
      </c>
      <c r="J6113" s="4">
        <v>144908</v>
      </c>
    </row>
    <row r="6114" spans="1:10" hidden="1" outlineLevel="2" x14ac:dyDescent="0.35">
      <c r="A6114" t="s">
        <v>3115</v>
      </c>
      <c r="B6114" s="1">
        <v>45720</v>
      </c>
      <c r="C6114" t="str">
        <f>"890"</f>
        <v>890</v>
      </c>
      <c r="D6114" t="s">
        <v>3432</v>
      </c>
      <c r="E6114" t="str">
        <f>"182075"</f>
        <v>182075</v>
      </c>
      <c r="F6114" t="str">
        <f t="shared" si="217"/>
        <v>60460000</v>
      </c>
      <c r="G6114" t="str">
        <f t="shared" si="218"/>
        <v>60440004</v>
      </c>
      <c r="H6114" t="s">
        <v>3433</v>
      </c>
      <c r="J6114" s="4">
        <v>24000</v>
      </c>
    </row>
    <row r="6115" spans="1:10" hidden="1" outlineLevel="2" x14ac:dyDescent="0.35">
      <c r="A6115" t="s">
        <v>3115</v>
      </c>
      <c r="B6115" s="1">
        <v>45720</v>
      </c>
      <c r="C6115" t="str">
        <f>"892"</f>
        <v>892</v>
      </c>
      <c r="D6115" t="s">
        <v>3436</v>
      </c>
      <c r="E6115" t="str">
        <f>"182323"</f>
        <v>182323</v>
      </c>
      <c r="F6115" t="str">
        <f t="shared" si="217"/>
        <v>60460000</v>
      </c>
      <c r="G6115" t="str">
        <f t="shared" si="218"/>
        <v>60440004</v>
      </c>
      <c r="H6115" t="s">
        <v>3437</v>
      </c>
      <c r="J6115" s="4">
        <v>300</v>
      </c>
    </row>
    <row r="6116" spans="1:10" hidden="1" outlineLevel="2" x14ac:dyDescent="0.35">
      <c r="A6116" t="s">
        <v>3115</v>
      </c>
      <c r="B6116" s="1">
        <v>45720</v>
      </c>
      <c r="C6116" t="str">
        <f>"899"</f>
        <v>899</v>
      </c>
      <c r="D6116" t="s">
        <v>3450</v>
      </c>
      <c r="E6116" t="str">
        <f>"180197"</f>
        <v>180197</v>
      </c>
      <c r="F6116" t="str">
        <f t="shared" si="217"/>
        <v>60460000</v>
      </c>
      <c r="G6116" t="str">
        <f t="shared" si="218"/>
        <v>60440004</v>
      </c>
      <c r="H6116" t="s">
        <v>3451</v>
      </c>
      <c r="J6116" s="4">
        <v>21500</v>
      </c>
    </row>
    <row r="6117" spans="1:10" hidden="1" outlineLevel="2" x14ac:dyDescent="0.35">
      <c r="A6117" t="s">
        <v>3115</v>
      </c>
      <c r="B6117" s="1">
        <v>45720</v>
      </c>
      <c r="C6117" t="str">
        <f>"904"</f>
        <v>904</v>
      </c>
      <c r="D6117" t="s">
        <v>3460</v>
      </c>
      <c r="E6117" t="str">
        <f>"182498"</f>
        <v>182498</v>
      </c>
      <c r="F6117" t="str">
        <f t="shared" si="217"/>
        <v>60460000</v>
      </c>
      <c r="G6117" t="str">
        <f t="shared" si="218"/>
        <v>60440004</v>
      </c>
      <c r="H6117" t="s">
        <v>3461</v>
      </c>
      <c r="J6117" s="4">
        <v>2788</v>
      </c>
    </row>
    <row r="6118" spans="1:10" hidden="1" outlineLevel="2" x14ac:dyDescent="0.35">
      <c r="A6118" t="s">
        <v>3115</v>
      </c>
      <c r="B6118" s="1">
        <v>45720</v>
      </c>
      <c r="C6118" t="str">
        <f>"905"</f>
        <v>905</v>
      </c>
      <c r="D6118" t="s">
        <v>3462</v>
      </c>
      <c r="E6118" t="str">
        <f>"182499"</f>
        <v>182499</v>
      </c>
      <c r="F6118" t="str">
        <f t="shared" si="217"/>
        <v>60460000</v>
      </c>
      <c r="G6118" t="str">
        <f t="shared" si="218"/>
        <v>60440004</v>
      </c>
      <c r="H6118" t="s">
        <v>3463</v>
      </c>
      <c r="J6118" s="4">
        <v>79</v>
      </c>
    </row>
    <row r="6119" spans="1:10" hidden="1" outlineLevel="2" x14ac:dyDescent="0.35">
      <c r="A6119" t="s">
        <v>3115</v>
      </c>
      <c r="B6119" s="1">
        <v>45720</v>
      </c>
      <c r="C6119" t="str">
        <f>"910"</f>
        <v>910</v>
      </c>
      <c r="D6119" t="s">
        <v>3472</v>
      </c>
      <c r="E6119" t="str">
        <f>"177501"</f>
        <v>177501</v>
      </c>
      <c r="F6119" t="str">
        <f t="shared" si="217"/>
        <v>60460000</v>
      </c>
      <c r="G6119" t="str">
        <f t="shared" si="218"/>
        <v>60440004</v>
      </c>
      <c r="H6119" t="s">
        <v>3473</v>
      </c>
      <c r="J6119" s="4">
        <v>287</v>
      </c>
    </row>
    <row r="6120" spans="1:10" hidden="1" outlineLevel="2" x14ac:dyDescent="0.35">
      <c r="A6120" t="s">
        <v>3115</v>
      </c>
      <c r="B6120" s="1">
        <v>45720</v>
      </c>
      <c r="C6120" t="str">
        <f>"911"</f>
        <v>911</v>
      </c>
      <c r="D6120" t="s">
        <v>3474</v>
      </c>
      <c r="E6120" t="str">
        <f>"182076"</f>
        <v>182076</v>
      </c>
      <c r="F6120" t="str">
        <f t="shared" si="217"/>
        <v>60460000</v>
      </c>
      <c r="G6120" t="str">
        <f t="shared" si="218"/>
        <v>60440004</v>
      </c>
      <c r="H6120" t="s">
        <v>3475</v>
      </c>
      <c r="J6120" s="4">
        <v>10080</v>
      </c>
    </row>
    <row r="6121" spans="1:10" hidden="1" outlineLevel="2" x14ac:dyDescent="0.35">
      <c r="A6121" t="s">
        <v>3115</v>
      </c>
      <c r="B6121" s="1">
        <v>45720</v>
      </c>
      <c r="C6121" t="str">
        <f>"912"</f>
        <v>912</v>
      </c>
      <c r="D6121" t="s">
        <v>3476</v>
      </c>
      <c r="E6121" t="str">
        <f>"183317"</f>
        <v>183317</v>
      </c>
      <c r="F6121" t="str">
        <f t="shared" si="217"/>
        <v>60460000</v>
      </c>
      <c r="G6121" t="str">
        <f t="shared" si="218"/>
        <v>60440004</v>
      </c>
      <c r="H6121" t="s">
        <v>3477</v>
      </c>
      <c r="J6121" s="4">
        <v>10956</v>
      </c>
    </row>
    <row r="6122" spans="1:10" hidden="1" outlineLevel="2" x14ac:dyDescent="0.35">
      <c r="A6122" t="s">
        <v>3115</v>
      </c>
      <c r="B6122" s="1">
        <v>45720</v>
      </c>
      <c r="C6122" t="str">
        <f>"913"</f>
        <v>913</v>
      </c>
      <c r="D6122" t="s">
        <v>3478</v>
      </c>
      <c r="E6122" t="str">
        <f>"181838"</f>
        <v>181838</v>
      </c>
      <c r="F6122" t="str">
        <f t="shared" si="217"/>
        <v>60460000</v>
      </c>
      <c r="G6122" t="str">
        <f t="shared" si="218"/>
        <v>60440004</v>
      </c>
      <c r="H6122" t="s">
        <v>3479</v>
      </c>
      <c r="J6122" s="4">
        <v>1500</v>
      </c>
    </row>
    <row r="6123" spans="1:10" hidden="1" outlineLevel="2" x14ac:dyDescent="0.35">
      <c r="A6123" t="s">
        <v>3115</v>
      </c>
      <c r="B6123" s="1">
        <v>45720</v>
      </c>
      <c r="C6123" t="str">
        <f>"921"</f>
        <v>921</v>
      </c>
      <c r="D6123" t="s">
        <v>3494</v>
      </c>
      <c r="E6123" t="str">
        <f>"182422"</f>
        <v>182422</v>
      </c>
      <c r="F6123" t="str">
        <f t="shared" ref="F6123:F6186" si="219">"60460000"</f>
        <v>60460000</v>
      </c>
      <c r="G6123" t="str">
        <f t="shared" ref="G6123:G6186" si="220">"60440004"</f>
        <v>60440004</v>
      </c>
      <c r="H6123" t="s">
        <v>3495</v>
      </c>
      <c r="J6123" s="4">
        <v>808</v>
      </c>
    </row>
    <row r="6124" spans="1:10" hidden="1" outlineLevel="2" x14ac:dyDescent="0.35">
      <c r="A6124" t="s">
        <v>3115</v>
      </c>
      <c r="B6124" s="1">
        <v>45720</v>
      </c>
      <c r="C6124" t="str">
        <f>"922"</f>
        <v>922</v>
      </c>
      <c r="D6124" t="s">
        <v>3496</v>
      </c>
      <c r="E6124" t="str">
        <f>"182423"</f>
        <v>182423</v>
      </c>
      <c r="F6124" t="str">
        <f t="shared" si="219"/>
        <v>60460000</v>
      </c>
      <c r="G6124" t="str">
        <f t="shared" si="220"/>
        <v>60440004</v>
      </c>
      <c r="H6124" t="s">
        <v>3497</v>
      </c>
      <c r="J6124" s="4">
        <v>4557</v>
      </c>
    </row>
    <row r="6125" spans="1:10" hidden="1" outlineLevel="2" x14ac:dyDescent="0.35">
      <c r="A6125" t="s">
        <v>3115</v>
      </c>
      <c r="B6125" s="1">
        <v>45720</v>
      </c>
      <c r="C6125" t="str">
        <f>"924"</f>
        <v>924</v>
      </c>
      <c r="D6125" t="s">
        <v>3500</v>
      </c>
      <c r="E6125" t="str">
        <f>"183454"</f>
        <v>183454</v>
      </c>
      <c r="F6125" t="str">
        <f t="shared" si="219"/>
        <v>60460000</v>
      </c>
      <c r="G6125" t="str">
        <f t="shared" si="220"/>
        <v>60440004</v>
      </c>
      <c r="H6125" t="s">
        <v>3501</v>
      </c>
      <c r="J6125" s="4">
        <v>14966</v>
      </c>
    </row>
    <row r="6126" spans="1:10" hidden="1" outlineLevel="2" x14ac:dyDescent="0.35">
      <c r="A6126" t="s">
        <v>3115</v>
      </c>
      <c r="B6126" s="1">
        <v>45721</v>
      </c>
      <c r="C6126" t="str">
        <f>"933"</f>
        <v>933</v>
      </c>
      <c r="D6126" t="s">
        <v>3518</v>
      </c>
      <c r="E6126" t="str">
        <f>"183279"</f>
        <v>183279</v>
      </c>
      <c r="F6126" t="str">
        <f t="shared" si="219"/>
        <v>60460000</v>
      </c>
      <c r="G6126" t="str">
        <f t="shared" si="220"/>
        <v>60440004</v>
      </c>
      <c r="H6126" t="s">
        <v>3519</v>
      </c>
      <c r="J6126" s="4">
        <v>1620</v>
      </c>
    </row>
    <row r="6127" spans="1:10" hidden="1" outlineLevel="2" x14ac:dyDescent="0.35">
      <c r="A6127" t="s">
        <v>3115</v>
      </c>
      <c r="B6127" s="1">
        <v>45721</v>
      </c>
      <c r="C6127" t="str">
        <f>"935"</f>
        <v>935</v>
      </c>
      <c r="D6127" t="s">
        <v>3522</v>
      </c>
      <c r="E6127" t="str">
        <f>"183278"</f>
        <v>183278</v>
      </c>
      <c r="F6127" t="str">
        <f t="shared" si="219"/>
        <v>60460000</v>
      </c>
      <c r="G6127" t="str">
        <f t="shared" si="220"/>
        <v>60440004</v>
      </c>
      <c r="H6127" t="s">
        <v>3523</v>
      </c>
      <c r="J6127" s="4">
        <v>1620</v>
      </c>
    </row>
    <row r="6128" spans="1:10" hidden="1" outlineLevel="2" x14ac:dyDescent="0.35">
      <c r="A6128" t="s">
        <v>3115</v>
      </c>
      <c r="B6128" s="1">
        <v>45721</v>
      </c>
      <c r="C6128" t="str">
        <f>"939"</f>
        <v>939</v>
      </c>
      <c r="D6128" t="s">
        <v>3530</v>
      </c>
      <c r="E6128" t="str">
        <f>"177508"</f>
        <v>177508</v>
      </c>
      <c r="F6128" t="str">
        <f t="shared" si="219"/>
        <v>60460000</v>
      </c>
      <c r="G6128" t="str">
        <f t="shared" si="220"/>
        <v>60440004</v>
      </c>
      <c r="H6128" t="s">
        <v>3531</v>
      </c>
      <c r="J6128" s="4">
        <v>3118</v>
      </c>
    </row>
    <row r="6129" spans="1:10" hidden="1" outlineLevel="2" x14ac:dyDescent="0.35">
      <c r="A6129" t="s">
        <v>3115</v>
      </c>
      <c r="B6129" s="1">
        <v>45721</v>
      </c>
      <c r="C6129" t="str">
        <f>"940"</f>
        <v>940</v>
      </c>
      <c r="D6129" t="s">
        <v>3532</v>
      </c>
      <c r="E6129" t="str">
        <f>"177509"</f>
        <v>177509</v>
      </c>
      <c r="F6129" t="str">
        <f t="shared" si="219"/>
        <v>60460000</v>
      </c>
      <c r="G6129" t="str">
        <f t="shared" si="220"/>
        <v>60440004</v>
      </c>
      <c r="H6129" t="s">
        <v>3533</v>
      </c>
      <c r="J6129" s="4">
        <v>580</v>
      </c>
    </row>
    <row r="6130" spans="1:10" hidden="1" outlineLevel="2" x14ac:dyDescent="0.35">
      <c r="A6130" t="s">
        <v>3115</v>
      </c>
      <c r="B6130" s="1">
        <v>45721</v>
      </c>
      <c r="C6130" t="str">
        <f>"942"</f>
        <v>942</v>
      </c>
      <c r="D6130" t="s">
        <v>3536</v>
      </c>
      <c r="E6130" t="str">
        <f>"177510"</f>
        <v>177510</v>
      </c>
      <c r="F6130" t="str">
        <f t="shared" si="219"/>
        <v>60460000</v>
      </c>
      <c r="G6130" t="str">
        <f t="shared" si="220"/>
        <v>60440004</v>
      </c>
      <c r="H6130" t="s">
        <v>3537</v>
      </c>
      <c r="J6130" s="4">
        <v>125</v>
      </c>
    </row>
    <row r="6131" spans="1:10" hidden="1" outlineLevel="2" x14ac:dyDescent="0.35">
      <c r="A6131" t="s">
        <v>3115</v>
      </c>
      <c r="B6131" s="1">
        <v>45721</v>
      </c>
      <c r="C6131" t="str">
        <f>"943"</f>
        <v>943</v>
      </c>
      <c r="D6131" t="s">
        <v>3538</v>
      </c>
      <c r="E6131" t="str">
        <f>"177511"</f>
        <v>177511</v>
      </c>
      <c r="F6131" t="str">
        <f t="shared" si="219"/>
        <v>60460000</v>
      </c>
      <c r="G6131" t="str">
        <f t="shared" si="220"/>
        <v>60440004</v>
      </c>
      <c r="H6131" t="s">
        <v>3539</v>
      </c>
      <c r="J6131" s="4">
        <v>7500</v>
      </c>
    </row>
    <row r="6132" spans="1:10" hidden="1" outlineLevel="2" x14ac:dyDescent="0.35">
      <c r="A6132" t="s">
        <v>3115</v>
      </c>
      <c r="B6132" s="1">
        <v>45721</v>
      </c>
      <c r="C6132" t="str">
        <f>"944"</f>
        <v>944</v>
      </c>
      <c r="D6132" t="s">
        <v>3540</v>
      </c>
      <c r="E6132" t="str">
        <f>"183277"</f>
        <v>183277</v>
      </c>
      <c r="F6132" t="str">
        <f t="shared" si="219"/>
        <v>60460000</v>
      </c>
      <c r="G6132" t="str">
        <f t="shared" si="220"/>
        <v>60440004</v>
      </c>
      <c r="H6132" t="s">
        <v>3541</v>
      </c>
      <c r="J6132" s="4">
        <v>5000</v>
      </c>
    </row>
    <row r="6133" spans="1:10" hidden="1" outlineLevel="2" x14ac:dyDescent="0.35">
      <c r="A6133" t="s">
        <v>3115</v>
      </c>
      <c r="B6133" s="1">
        <v>45721</v>
      </c>
      <c r="C6133" t="str">
        <f>"946"</f>
        <v>946</v>
      </c>
      <c r="D6133" t="s">
        <v>3544</v>
      </c>
      <c r="E6133" t="str">
        <f>"180199"</f>
        <v>180199</v>
      </c>
      <c r="F6133" t="str">
        <f t="shared" si="219"/>
        <v>60460000</v>
      </c>
      <c r="G6133" t="str">
        <f t="shared" si="220"/>
        <v>60440004</v>
      </c>
      <c r="H6133" t="s">
        <v>3545</v>
      </c>
      <c r="J6133" s="4">
        <v>7500</v>
      </c>
    </row>
    <row r="6134" spans="1:10" hidden="1" outlineLevel="2" x14ac:dyDescent="0.35">
      <c r="A6134" t="s">
        <v>3115</v>
      </c>
      <c r="B6134" s="1">
        <v>45721</v>
      </c>
      <c r="C6134" t="str">
        <f>"950"</f>
        <v>950</v>
      </c>
      <c r="D6134" t="s">
        <v>3552</v>
      </c>
      <c r="E6134" t="str">
        <f>"180198"</f>
        <v>180198</v>
      </c>
      <c r="F6134" t="str">
        <f t="shared" si="219"/>
        <v>60460000</v>
      </c>
      <c r="G6134" t="str">
        <f t="shared" si="220"/>
        <v>60440004</v>
      </c>
      <c r="H6134" t="s">
        <v>3553</v>
      </c>
      <c r="J6134" s="4">
        <v>19700</v>
      </c>
    </row>
    <row r="6135" spans="1:10" hidden="1" outlineLevel="2" x14ac:dyDescent="0.35">
      <c r="A6135" t="s">
        <v>3115</v>
      </c>
      <c r="B6135" s="1">
        <v>45721</v>
      </c>
      <c r="C6135" t="str">
        <f>"954"</f>
        <v>954</v>
      </c>
      <c r="D6135" t="s">
        <v>3560</v>
      </c>
      <c r="E6135" t="str">
        <f>"177518"</f>
        <v>177518</v>
      </c>
      <c r="F6135" t="str">
        <f t="shared" si="219"/>
        <v>60460000</v>
      </c>
      <c r="G6135" t="str">
        <f t="shared" si="220"/>
        <v>60440004</v>
      </c>
      <c r="H6135" t="s">
        <v>3561</v>
      </c>
      <c r="J6135" s="4">
        <v>1520</v>
      </c>
    </row>
    <row r="6136" spans="1:10" hidden="1" outlineLevel="2" x14ac:dyDescent="0.35">
      <c r="A6136" t="s">
        <v>3115</v>
      </c>
      <c r="B6136" s="1">
        <v>45721</v>
      </c>
      <c r="C6136" t="str">
        <f>"958"</f>
        <v>958</v>
      </c>
      <c r="D6136" t="s">
        <v>3568</v>
      </c>
      <c r="E6136" t="str">
        <f>"183320"</f>
        <v>183320</v>
      </c>
      <c r="F6136" t="str">
        <f t="shared" si="219"/>
        <v>60460000</v>
      </c>
      <c r="G6136" t="str">
        <f t="shared" si="220"/>
        <v>60440004</v>
      </c>
      <c r="H6136" t="s">
        <v>3569</v>
      </c>
      <c r="J6136" s="4">
        <v>11951</v>
      </c>
    </row>
    <row r="6137" spans="1:10" hidden="1" outlineLevel="2" x14ac:dyDescent="0.35">
      <c r="A6137" t="s">
        <v>3115</v>
      </c>
      <c r="B6137" s="1">
        <v>45721</v>
      </c>
      <c r="C6137" t="str">
        <f>"960"</f>
        <v>960</v>
      </c>
      <c r="D6137" t="s">
        <v>3572</v>
      </c>
      <c r="E6137" t="str">
        <f>"182424"</f>
        <v>182424</v>
      </c>
      <c r="F6137" t="str">
        <f t="shared" si="219"/>
        <v>60460000</v>
      </c>
      <c r="G6137" t="str">
        <f t="shared" si="220"/>
        <v>60440004</v>
      </c>
      <c r="H6137" t="s">
        <v>3573</v>
      </c>
      <c r="J6137" s="4">
        <v>9801</v>
      </c>
    </row>
    <row r="6138" spans="1:10" hidden="1" outlineLevel="2" x14ac:dyDescent="0.35">
      <c r="A6138" t="s">
        <v>3115</v>
      </c>
      <c r="B6138" s="1">
        <v>45721</v>
      </c>
      <c r="C6138" t="str">
        <f>"962"</f>
        <v>962</v>
      </c>
      <c r="D6138" t="s">
        <v>3576</v>
      </c>
      <c r="E6138" t="str">
        <f>"183318"</f>
        <v>183318</v>
      </c>
      <c r="F6138" t="str">
        <f t="shared" si="219"/>
        <v>60460000</v>
      </c>
      <c r="G6138" t="str">
        <f t="shared" si="220"/>
        <v>60440004</v>
      </c>
      <c r="H6138" t="s">
        <v>3577</v>
      </c>
      <c r="J6138" s="4">
        <v>23263</v>
      </c>
    </row>
    <row r="6139" spans="1:10" hidden="1" outlineLevel="2" x14ac:dyDescent="0.35">
      <c r="A6139" t="s">
        <v>3115</v>
      </c>
      <c r="B6139" s="1">
        <v>45721</v>
      </c>
      <c r="C6139" t="str">
        <f>"963"</f>
        <v>963</v>
      </c>
      <c r="D6139" t="s">
        <v>3578</v>
      </c>
      <c r="E6139" t="str">
        <f>"183319"</f>
        <v>183319</v>
      </c>
      <c r="F6139" t="str">
        <f t="shared" si="219"/>
        <v>60460000</v>
      </c>
      <c r="G6139" t="str">
        <f t="shared" si="220"/>
        <v>60440004</v>
      </c>
      <c r="H6139" t="s">
        <v>3579</v>
      </c>
      <c r="J6139" s="4">
        <v>9899</v>
      </c>
    </row>
    <row r="6140" spans="1:10" hidden="1" outlineLevel="2" x14ac:dyDescent="0.35">
      <c r="A6140" t="s">
        <v>3115</v>
      </c>
      <c r="B6140" s="1">
        <v>45721</v>
      </c>
      <c r="C6140" t="str">
        <f>"966"</f>
        <v>966</v>
      </c>
      <c r="D6140" t="s">
        <v>3584</v>
      </c>
      <c r="E6140" t="str">
        <f>"183451"</f>
        <v>183451</v>
      </c>
      <c r="F6140" t="str">
        <f t="shared" si="219"/>
        <v>60460000</v>
      </c>
      <c r="G6140" t="str">
        <f t="shared" si="220"/>
        <v>60440004</v>
      </c>
      <c r="H6140" t="s">
        <v>3585</v>
      </c>
      <c r="J6140" s="4">
        <v>4082</v>
      </c>
    </row>
    <row r="6141" spans="1:10" hidden="1" outlineLevel="2" x14ac:dyDescent="0.35">
      <c r="A6141" t="s">
        <v>3115</v>
      </c>
      <c r="B6141" s="1">
        <v>45721</v>
      </c>
      <c r="C6141" t="str">
        <f>"967"</f>
        <v>967</v>
      </c>
      <c r="D6141" t="s">
        <v>3586</v>
      </c>
      <c r="E6141" t="str">
        <f>"183456"</f>
        <v>183456</v>
      </c>
      <c r="F6141" t="str">
        <f t="shared" si="219"/>
        <v>60460000</v>
      </c>
      <c r="G6141" t="str">
        <f t="shared" si="220"/>
        <v>60440004</v>
      </c>
      <c r="H6141" t="s">
        <v>3587</v>
      </c>
      <c r="J6141" s="4">
        <v>4700</v>
      </c>
    </row>
    <row r="6142" spans="1:10" hidden="1" outlineLevel="2" x14ac:dyDescent="0.35">
      <c r="A6142" t="s">
        <v>3115</v>
      </c>
      <c r="B6142" s="1">
        <v>45721</v>
      </c>
      <c r="C6142" t="str">
        <f>"969"</f>
        <v>969</v>
      </c>
      <c r="D6142" t="s">
        <v>3590</v>
      </c>
      <c r="E6142" t="str">
        <f>"182425"</f>
        <v>182425</v>
      </c>
      <c r="F6142" t="str">
        <f t="shared" si="219"/>
        <v>60460000</v>
      </c>
      <c r="G6142" t="str">
        <f t="shared" si="220"/>
        <v>60440004</v>
      </c>
      <c r="H6142" t="s">
        <v>3591</v>
      </c>
      <c r="J6142" s="4">
        <v>9741</v>
      </c>
    </row>
    <row r="6143" spans="1:10" hidden="1" outlineLevel="2" x14ac:dyDescent="0.35">
      <c r="A6143" t="s">
        <v>3115</v>
      </c>
      <c r="B6143" s="1">
        <v>45721</v>
      </c>
      <c r="C6143" t="str">
        <f>"971"</f>
        <v>971</v>
      </c>
      <c r="D6143" t="s">
        <v>3594</v>
      </c>
      <c r="E6143" t="str">
        <f>"182426"</f>
        <v>182426</v>
      </c>
      <c r="F6143" t="str">
        <f t="shared" si="219"/>
        <v>60460000</v>
      </c>
      <c r="G6143" t="str">
        <f t="shared" si="220"/>
        <v>60440004</v>
      </c>
      <c r="H6143" t="s">
        <v>3595</v>
      </c>
      <c r="J6143" s="4">
        <v>4545</v>
      </c>
    </row>
    <row r="6144" spans="1:10" hidden="1" outlineLevel="2" x14ac:dyDescent="0.35">
      <c r="A6144" t="s">
        <v>3115</v>
      </c>
      <c r="B6144" s="1">
        <v>45721</v>
      </c>
      <c r="C6144" t="str">
        <f>"972"</f>
        <v>972</v>
      </c>
      <c r="D6144" t="s">
        <v>3596</v>
      </c>
      <c r="E6144" t="str">
        <f>"182132"</f>
        <v>182132</v>
      </c>
      <c r="F6144" t="str">
        <f t="shared" si="219"/>
        <v>60460000</v>
      </c>
      <c r="G6144" t="str">
        <f t="shared" si="220"/>
        <v>60440004</v>
      </c>
      <c r="H6144" t="s">
        <v>3597</v>
      </c>
      <c r="J6144" s="4">
        <v>4400</v>
      </c>
    </row>
    <row r="6145" spans="1:10" hidden="1" outlineLevel="2" x14ac:dyDescent="0.35">
      <c r="A6145" t="s">
        <v>3115</v>
      </c>
      <c r="B6145" s="1">
        <v>45722</v>
      </c>
      <c r="C6145" t="str">
        <f>"979"</f>
        <v>979</v>
      </c>
      <c r="D6145" t="s">
        <v>3610</v>
      </c>
      <c r="E6145" t="str">
        <f>"183323"</f>
        <v>183323</v>
      </c>
      <c r="F6145" t="str">
        <f t="shared" si="219"/>
        <v>60460000</v>
      </c>
      <c r="G6145" t="str">
        <f t="shared" si="220"/>
        <v>60440004</v>
      </c>
      <c r="H6145" t="s">
        <v>3611</v>
      </c>
      <c r="J6145" s="4">
        <v>2800</v>
      </c>
    </row>
    <row r="6146" spans="1:10" hidden="1" outlineLevel="2" x14ac:dyDescent="0.35">
      <c r="A6146" t="s">
        <v>3115</v>
      </c>
      <c r="B6146" s="1">
        <v>45722</v>
      </c>
      <c r="C6146" t="str">
        <f>"980"</f>
        <v>980</v>
      </c>
      <c r="D6146" t="s">
        <v>3612</v>
      </c>
      <c r="E6146" t="str">
        <f>"183457"</f>
        <v>183457</v>
      </c>
      <c r="F6146" t="str">
        <f t="shared" si="219"/>
        <v>60460000</v>
      </c>
      <c r="G6146" t="str">
        <f t="shared" si="220"/>
        <v>60440004</v>
      </c>
      <c r="H6146" t="s">
        <v>3613</v>
      </c>
      <c r="J6146" s="4">
        <v>3155</v>
      </c>
    </row>
    <row r="6147" spans="1:10" hidden="1" outlineLevel="2" x14ac:dyDescent="0.35">
      <c r="A6147" t="s">
        <v>3115</v>
      </c>
      <c r="B6147" s="1">
        <v>45722</v>
      </c>
      <c r="C6147" t="str">
        <f>"981"</f>
        <v>981</v>
      </c>
      <c r="D6147" t="s">
        <v>3614</v>
      </c>
      <c r="E6147" t="str">
        <f>"183321"</f>
        <v>183321</v>
      </c>
      <c r="F6147" t="str">
        <f t="shared" si="219"/>
        <v>60460000</v>
      </c>
      <c r="G6147" t="str">
        <f t="shared" si="220"/>
        <v>60440004</v>
      </c>
      <c r="H6147" t="s">
        <v>3615</v>
      </c>
      <c r="J6147" s="4">
        <v>392</v>
      </c>
    </row>
    <row r="6148" spans="1:10" hidden="1" outlineLevel="2" x14ac:dyDescent="0.35">
      <c r="A6148" t="s">
        <v>3115</v>
      </c>
      <c r="B6148" s="1">
        <v>45722</v>
      </c>
      <c r="C6148" t="str">
        <f>"982"</f>
        <v>982</v>
      </c>
      <c r="D6148" t="s">
        <v>3616</v>
      </c>
      <c r="E6148" t="str">
        <f>"1822133"</f>
        <v>1822133</v>
      </c>
      <c r="F6148" t="str">
        <f t="shared" si="219"/>
        <v>60460000</v>
      </c>
      <c r="G6148" t="str">
        <f t="shared" si="220"/>
        <v>60440004</v>
      </c>
      <c r="H6148" t="s">
        <v>3617</v>
      </c>
      <c r="J6148" s="4">
        <v>4400</v>
      </c>
    </row>
    <row r="6149" spans="1:10" hidden="1" outlineLevel="2" x14ac:dyDescent="0.35">
      <c r="A6149" t="s">
        <v>3115</v>
      </c>
      <c r="B6149" s="1">
        <v>45722</v>
      </c>
      <c r="C6149" t="str">
        <f>"988"</f>
        <v>988</v>
      </c>
      <c r="D6149" t="s">
        <v>3628</v>
      </c>
      <c r="E6149" t="str">
        <f>"183282"</f>
        <v>183282</v>
      </c>
      <c r="F6149" t="str">
        <f t="shared" si="219"/>
        <v>60460000</v>
      </c>
      <c r="G6149" t="str">
        <f t="shared" si="220"/>
        <v>60440004</v>
      </c>
      <c r="H6149" t="s">
        <v>3629</v>
      </c>
      <c r="J6149" s="4">
        <v>230</v>
      </c>
    </row>
    <row r="6150" spans="1:10" hidden="1" outlineLevel="2" x14ac:dyDescent="0.35">
      <c r="A6150" t="s">
        <v>3115</v>
      </c>
      <c r="B6150" s="1">
        <v>45722</v>
      </c>
      <c r="C6150" t="str">
        <f>"992"</f>
        <v>992</v>
      </c>
      <c r="D6150" t="s">
        <v>3636</v>
      </c>
      <c r="E6150" t="str">
        <f>"177523"</f>
        <v>177523</v>
      </c>
      <c r="F6150" t="str">
        <f t="shared" si="219"/>
        <v>60460000</v>
      </c>
      <c r="G6150" t="str">
        <f t="shared" si="220"/>
        <v>60440004</v>
      </c>
      <c r="H6150" t="s">
        <v>3637</v>
      </c>
      <c r="J6150" s="4">
        <v>2500</v>
      </c>
    </row>
    <row r="6151" spans="1:10" hidden="1" outlineLevel="2" x14ac:dyDescent="0.35">
      <c r="A6151" t="s">
        <v>3115</v>
      </c>
      <c r="B6151" s="1">
        <v>45722</v>
      </c>
      <c r="C6151" t="str">
        <f>"993"</f>
        <v>993</v>
      </c>
      <c r="D6151" t="s">
        <v>3638</v>
      </c>
      <c r="E6151" t="str">
        <f>"177524"</f>
        <v>177524</v>
      </c>
      <c r="F6151" t="str">
        <f t="shared" si="219"/>
        <v>60460000</v>
      </c>
      <c r="G6151" t="str">
        <f t="shared" si="220"/>
        <v>60440004</v>
      </c>
      <c r="H6151" t="s">
        <v>3639</v>
      </c>
      <c r="J6151" s="4">
        <v>2500</v>
      </c>
    </row>
    <row r="6152" spans="1:10" hidden="1" outlineLevel="2" x14ac:dyDescent="0.35">
      <c r="A6152" t="s">
        <v>3115</v>
      </c>
      <c r="B6152" s="1">
        <v>45722</v>
      </c>
      <c r="C6152" t="str">
        <f>"994"</f>
        <v>994</v>
      </c>
      <c r="D6152" t="s">
        <v>3640</v>
      </c>
      <c r="E6152" t="str">
        <f>"182429"</f>
        <v>182429</v>
      </c>
      <c r="F6152" t="str">
        <f t="shared" si="219"/>
        <v>60460000</v>
      </c>
      <c r="G6152" t="str">
        <f t="shared" si="220"/>
        <v>60440004</v>
      </c>
      <c r="H6152" t="s">
        <v>3641</v>
      </c>
      <c r="J6152" s="4">
        <v>2106</v>
      </c>
    </row>
    <row r="6153" spans="1:10" hidden="1" outlineLevel="2" x14ac:dyDescent="0.35">
      <c r="A6153" t="s">
        <v>3115</v>
      </c>
      <c r="B6153" s="1">
        <v>45722</v>
      </c>
      <c r="C6153" t="str">
        <f>"1000"</f>
        <v>1000</v>
      </c>
      <c r="D6153" t="s">
        <v>3652</v>
      </c>
      <c r="E6153" t="str">
        <f>"182427"</f>
        <v>182427</v>
      </c>
      <c r="F6153" t="str">
        <f t="shared" si="219"/>
        <v>60460000</v>
      </c>
      <c r="G6153" t="str">
        <f t="shared" si="220"/>
        <v>60440004</v>
      </c>
      <c r="H6153" t="s">
        <v>3653</v>
      </c>
      <c r="J6153" s="4">
        <v>1136</v>
      </c>
    </row>
    <row r="6154" spans="1:10" hidden="1" outlineLevel="2" x14ac:dyDescent="0.35">
      <c r="A6154" t="s">
        <v>3115</v>
      </c>
      <c r="B6154" s="1">
        <v>45722</v>
      </c>
      <c r="C6154" t="str">
        <f>"1001"</f>
        <v>1001</v>
      </c>
      <c r="D6154" t="s">
        <v>3654</v>
      </c>
      <c r="E6154" t="str">
        <f>"182428"</f>
        <v>182428</v>
      </c>
      <c r="F6154" t="str">
        <f t="shared" si="219"/>
        <v>60460000</v>
      </c>
      <c r="G6154" t="str">
        <f t="shared" si="220"/>
        <v>60440004</v>
      </c>
      <c r="H6154" t="s">
        <v>3655</v>
      </c>
      <c r="J6154" s="4">
        <v>3177</v>
      </c>
    </row>
    <row r="6155" spans="1:10" hidden="1" outlineLevel="2" x14ac:dyDescent="0.35">
      <c r="A6155" t="s">
        <v>3115</v>
      </c>
      <c r="B6155" s="1">
        <v>45722</v>
      </c>
      <c r="C6155" t="str">
        <f>"1004"</f>
        <v>1004</v>
      </c>
      <c r="D6155" t="s">
        <v>3660</v>
      </c>
      <c r="E6155" t="str">
        <f>"182134"</f>
        <v>182134</v>
      </c>
      <c r="F6155" t="str">
        <f t="shared" si="219"/>
        <v>60460000</v>
      </c>
      <c r="G6155" t="str">
        <f t="shared" si="220"/>
        <v>60440004</v>
      </c>
      <c r="H6155" t="s">
        <v>3661</v>
      </c>
      <c r="J6155" s="4">
        <v>2273</v>
      </c>
    </row>
    <row r="6156" spans="1:10" hidden="1" outlineLevel="2" x14ac:dyDescent="0.35">
      <c r="A6156" t="s">
        <v>3115</v>
      </c>
      <c r="B6156" s="1">
        <v>45722</v>
      </c>
      <c r="C6156" t="str">
        <f>"1006"</f>
        <v>1006</v>
      </c>
      <c r="D6156" t="s">
        <v>3664</v>
      </c>
      <c r="E6156" t="str">
        <f>"183324"</f>
        <v>183324</v>
      </c>
      <c r="F6156" t="str">
        <f t="shared" si="219"/>
        <v>60460000</v>
      </c>
      <c r="G6156" t="str">
        <f t="shared" si="220"/>
        <v>60440004</v>
      </c>
      <c r="H6156" t="s">
        <v>3665</v>
      </c>
      <c r="J6156" s="4">
        <v>294</v>
      </c>
    </row>
    <row r="6157" spans="1:10" hidden="1" outlineLevel="2" x14ac:dyDescent="0.35">
      <c r="A6157" t="s">
        <v>3115</v>
      </c>
      <c r="B6157" s="1">
        <v>45723</v>
      </c>
      <c r="C6157" t="str">
        <f>"1011"</f>
        <v>1011</v>
      </c>
      <c r="D6157" t="s">
        <v>3674</v>
      </c>
      <c r="E6157" t="str">
        <f>"177966"</f>
        <v>177966</v>
      </c>
      <c r="F6157" t="str">
        <f t="shared" si="219"/>
        <v>60460000</v>
      </c>
      <c r="G6157" t="str">
        <f t="shared" si="220"/>
        <v>60440004</v>
      </c>
      <c r="H6157" t="s">
        <v>3675</v>
      </c>
      <c r="J6157" s="4">
        <v>20000</v>
      </c>
    </row>
    <row r="6158" spans="1:10" hidden="1" outlineLevel="2" x14ac:dyDescent="0.35">
      <c r="A6158" t="s">
        <v>3115</v>
      </c>
      <c r="B6158" s="1">
        <v>45723</v>
      </c>
      <c r="C6158" t="str">
        <f>"1013"</f>
        <v>1013</v>
      </c>
      <c r="D6158" t="s">
        <v>3678</v>
      </c>
      <c r="E6158" t="str">
        <f>"179434"</f>
        <v>179434</v>
      </c>
      <c r="F6158" t="str">
        <f t="shared" si="219"/>
        <v>60460000</v>
      </c>
      <c r="G6158" t="str">
        <f t="shared" si="220"/>
        <v>60440004</v>
      </c>
      <c r="H6158" t="s">
        <v>3679</v>
      </c>
      <c r="J6158" s="4">
        <v>34000</v>
      </c>
    </row>
    <row r="6159" spans="1:10" hidden="1" outlineLevel="2" x14ac:dyDescent="0.35">
      <c r="A6159" t="s">
        <v>3115</v>
      </c>
      <c r="B6159" s="1">
        <v>45723</v>
      </c>
      <c r="C6159" t="str">
        <f>"1021"</f>
        <v>1021</v>
      </c>
      <c r="D6159" t="s">
        <v>3694</v>
      </c>
      <c r="E6159" t="str">
        <f>"181971"</f>
        <v>181971</v>
      </c>
      <c r="F6159" t="str">
        <f t="shared" si="219"/>
        <v>60460000</v>
      </c>
      <c r="G6159" t="str">
        <f t="shared" si="220"/>
        <v>60440004</v>
      </c>
      <c r="H6159" t="s">
        <v>3695</v>
      </c>
      <c r="J6159" s="4">
        <v>300</v>
      </c>
    </row>
    <row r="6160" spans="1:10" hidden="1" outlineLevel="2" x14ac:dyDescent="0.35">
      <c r="A6160" t="s">
        <v>3115</v>
      </c>
      <c r="B6160" s="1">
        <v>45723</v>
      </c>
      <c r="C6160" t="str">
        <f>"1048"</f>
        <v>1048</v>
      </c>
      <c r="D6160" t="s">
        <v>3748</v>
      </c>
      <c r="E6160" t="str">
        <f>"181866"</f>
        <v>181866</v>
      </c>
      <c r="F6160" t="str">
        <f t="shared" si="219"/>
        <v>60460000</v>
      </c>
      <c r="G6160" t="str">
        <f t="shared" si="220"/>
        <v>60440004</v>
      </c>
      <c r="H6160" t="s">
        <v>3749</v>
      </c>
      <c r="J6160" s="4">
        <v>300</v>
      </c>
    </row>
    <row r="6161" spans="1:10" hidden="1" outlineLevel="2" x14ac:dyDescent="0.35">
      <c r="A6161" t="s">
        <v>3115</v>
      </c>
      <c r="B6161" s="1">
        <v>45723</v>
      </c>
      <c r="C6161" t="str">
        <f>"1065"</f>
        <v>1065</v>
      </c>
      <c r="D6161" t="s">
        <v>3782</v>
      </c>
      <c r="E6161" t="str">
        <f>"182010"</f>
        <v>182010</v>
      </c>
      <c r="F6161" t="str">
        <f t="shared" si="219"/>
        <v>60460000</v>
      </c>
      <c r="G6161" t="str">
        <f t="shared" si="220"/>
        <v>60440004</v>
      </c>
      <c r="H6161" t="s">
        <v>3783</v>
      </c>
      <c r="J6161" s="4">
        <v>300</v>
      </c>
    </row>
    <row r="6162" spans="1:10" hidden="1" outlineLevel="2" x14ac:dyDescent="0.35">
      <c r="A6162" t="s">
        <v>3115</v>
      </c>
      <c r="B6162" s="1">
        <v>45723</v>
      </c>
      <c r="C6162" t="str">
        <f>"1068"</f>
        <v>1068</v>
      </c>
      <c r="D6162" t="s">
        <v>3788</v>
      </c>
      <c r="E6162" t="str">
        <f>"177526"</f>
        <v>177526</v>
      </c>
      <c r="F6162" t="str">
        <f t="shared" si="219"/>
        <v>60460000</v>
      </c>
      <c r="G6162" t="str">
        <f t="shared" si="220"/>
        <v>60440004</v>
      </c>
      <c r="H6162" t="s">
        <v>3789</v>
      </c>
      <c r="J6162" s="4">
        <v>900</v>
      </c>
    </row>
    <row r="6163" spans="1:10" hidden="1" outlineLevel="2" x14ac:dyDescent="0.35">
      <c r="A6163" t="s">
        <v>3115</v>
      </c>
      <c r="B6163" s="1">
        <v>45723</v>
      </c>
      <c r="C6163" t="str">
        <f>"1069"</f>
        <v>1069</v>
      </c>
      <c r="D6163" t="s">
        <v>3790</v>
      </c>
      <c r="E6163" t="str">
        <f>"177527"</f>
        <v>177527</v>
      </c>
      <c r="F6163" t="str">
        <f t="shared" si="219"/>
        <v>60460000</v>
      </c>
      <c r="G6163" t="str">
        <f t="shared" si="220"/>
        <v>60440004</v>
      </c>
      <c r="H6163" t="s">
        <v>3791</v>
      </c>
      <c r="J6163" s="4">
        <v>7100</v>
      </c>
    </row>
    <row r="6164" spans="1:10" hidden="1" outlineLevel="2" x14ac:dyDescent="0.35">
      <c r="A6164" t="s">
        <v>3115</v>
      </c>
      <c r="B6164" s="1">
        <v>45723</v>
      </c>
      <c r="C6164" t="str">
        <f>"1074"</f>
        <v>1074</v>
      </c>
      <c r="D6164" t="s">
        <v>3800</v>
      </c>
      <c r="E6164" t="str">
        <f>"182338"</f>
        <v>182338</v>
      </c>
      <c r="F6164" t="str">
        <f t="shared" si="219"/>
        <v>60460000</v>
      </c>
      <c r="G6164" t="str">
        <f t="shared" si="220"/>
        <v>60440004</v>
      </c>
      <c r="H6164" t="s">
        <v>3801</v>
      </c>
      <c r="J6164" s="4">
        <v>12442</v>
      </c>
    </row>
    <row r="6165" spans="1:10" hidden="1" outlineLevel="2" x14ac:dyDescent="0.35">
      <c r="A6165" t="s">
        <v>3115</v>
      </c>
      <c r="B6165" s="1">
        <v>45723</v>
      </c>
      <c r="C6165" t="str">
        <f>"1075"</f>
        <v>1075</v>
      </c>
      <c r="D6165" t="s">
        <v>3802</v>
      </c>
      <c r="E6165" t="str">
        <f>"182430"</f>
        <v>182430</v>
      </c>
      <c r="F6165" t="str">
        <f t="shared" si="219"/>
        <v>60460000</v>
      </c>
      <c r="G6165" t="str">
        <f t="shared" si="220"/>
        <v>60440004</v>
      </c>
      <c r="H6165" t="s">
        <v>3803</v>
      </c>
      <c r="J6165" s="4">
        <v>2673</v>
      </c>
    </row>
    <row r="6166" spans="1:10" hidden="1" outlineLevel="2" x14ac:dyDescent="0.35">
      <c r="A6166" t="s">
        <v>3115</v>
      </c>
      <c r="B6166" s="1">
        <v>45723</v>
      </c>
      <c r="C6166" t="str">
        <f>"1076"</f>
        <v>1076</v>
      </c>
      <c r="D6166" t="s">
        <v>3804</v>
      </c>
      <c r="E6166" t="str">
        <f>"182431"</f>
        <v>182431</v>
      </c>
      <c r="F6166" t="str">
        <f t="shared" si="219"/>
        <v>60460000</v>
      </c>
      <c r="G6166" t="str">
        <f t="shared" si="220"/>
        <v>60440004</v>
      </c>
      <c r="H6166" t="s">
        <v>3805</v>
      </c>
      <c r="J6166" s="4">
        <v>1782</v>
      </c>
    </row>
    <row r="6167" spans="1:10" hidden="1" outlineLevel="2" x14ac:dyDescent="0.35">
      <c r="A6167" t="s">
        <v>3115</v>
      </c>
      <c r="B6167" s="1">
        <v>45723</v>
      </c>
      <c r="C6167" t="str">
        <f>"1078"</f>
        <v>1078</v>
      </c>
      <c r="D6167" t="s">
        <v>3808</v>
      </c>
      <c r="E6167" t="str">
        <f>"182432"</f>
        <v>182432</v>
      </c>
      <c r="F6167" t="str">
        <f t="shared" si="219"/>
        <v>60460000</v>
      </c>
      <c r="G6167" t="str">
        <f t="shared" si="220"/>
        <v>60440004</v>
      </c>
      <c r="H6167" t="s">
        <v>3809</v>
      </c>
      <c r="J6167" s="4">
        <v>2273</v>
      </c>
    </row>
    <row r="6168" spans="1:10" hidden="1" outlineLevel="2" x14ac:dyDescent="0.35">
      <c r="A6168" t="s">
        <v>3115</v>
      </c>
      <c r="B6168" s="1">
        <v>45723</v>
      </c>
      <c r="C6168" t="str">
        <f>"1087"</f>
        <v>1087</v>
      </c>
      <c r="D6168" t="s">
        <v>3826</v>
      </c>
      <c r="E6168" t="str">
        <f>"182433"</f>
        <v>182433</v>
      </c>
      <c r="F6168" t="str">
        <f t="shared" si="219"/>
        <v>60460000</v>
      </c>
      <c r="G6168" t="str">
        <f t="shared" si="220"/>
        <v>60440004</v>
      </c>
      <c r="H6168" t="s">
        <v>3827</v>
      </c>
      <c r="J6168" s="4">
        <v>3409</v>
      </c>
    </row>
    <row r="6169" spans="1:10" hidden="1" outlineLevel="2" x14ac:dyDescent="0.35">
      <c r="A6169" t="s">
        <v>3115</v>
      </c>
      <c r="B6169" s="1">
        <v>45723</v>
      </c>
      <c r="C6169" t="str">
        <f>"1088"</f>
        <v>1088</v>
      </c>
      <c r="D6169" t="s">
        <v>3828</v>
      </c>
      <c r="E6169" t="str">
        <f>"182004"</f>
        <v>182004</v>
      </c>
      <c r="F6169" t="str">
        <f t="shared" si="219"/>
        <v>60460000</v>
      </c>
      <c r="G6169" t="str">
        <f t="shared" si="220"/>
        <v>60440004</v>
      </c>
      <c r="H6169" t="s">
        <v>3829</v>
      </c>
      <c r="J6169" s="4">
        <v>300</v>
      </c>
    </row>
    <row r="6170" spans="1:10" hidden="1" outlineLevel="2" x14ac:dyDescent="0.35">
      <c r="A6170" t="s">
        <v>3115</v>
      </c>
      <c r="B6170" s="1">
        <v>45723</v>
      </c>
      <c r="C6170" t="str">
        <f>"1101"</f>
        <v>1101</v>
      </c>
      <c r="D6170" t="s">
        <v>3854</v>
      </c>
      <c r="E6170" t="str">
        <f>"182136"</f>
        <v>182136</v>
      </c>
      <c r="F6170" t="str">
        <f t="shared" si="219"/>
        <v>60460000</v>
      </c>
      <c r="G6170" t="str">
        <f t="shared" si="220"/>
        <v>60440004</v>
      </c>
      <c r="H6170" t="s">
        <v>3855</v>
      </c>
      <c r="J6170" s="4">
        <v>2273</v>
      </c>
    </row>
    <row r="6171" spans="1:10" hidden="1" outlineLevel="2" x14ac:dyDescent="0.35">
      <c r="A6171" t="s">
        <v>3115</v>
      </c>
      <c r="B6171" s="1">
        <v>45723</v>
      </c>
      <c r="C6171" t="str">
        <f>"1102"</f>
        <v>1102</v>
      </c>
      <c r="D6171" t="s">
        <v>3856</v>
      </c>
      <c r="E6171" t="str">
        <f>"180200"</f>
        <v>180200</v>
      </c>
      <c r="F6171" t="str">
        <f t="shared" si="219"/>
        <v>60460000</v>
      </c>
      <c r="G6171" t="str">
        <f t="shared" si="220"/>
        <v>60440004</v>
      </c>
      <c r="H6171" t="s">
        <v>3857</v>
      </c>
      <c r="J6171" s="4">
        <v>11172</v>
      </c>
    </row>
    <row r="6172" spans="1:10" hidden="1" outlineLevel="2" x14ac:dyDescent="0.35">
      <c r="A6172" t="s">
        <v>3115</v>
      </c>
      <c r="B6172" s="1">
        <v>45723</v>
      </c>
      <c r="C6172" t="str">
        <f>"1103"</f>
        <v>1103</v>
      </c>
      <c r="D6172" t="s">
        <v>3858</v>
      </c>
      <c r="E6172" t="str">
        <f>"182137"</f>
        <v>182137</v>
      </c>
      <c r="F6172" t="str">
        <f t="shared" si="219"/>
        <v>60460000</v>
      </c>
      <c r="G6172" t="str">
        <f t="shared" si="220"/>
        <v>60440004</v>
      </c>
      <c r="H6172" t="s">
        <v>3859</v>
      </c>
      <c r="J6172" s="4">
        <v>2400</v>
      </c>
    </row>
    <row r="6173" spans="1:10" hidden="1" outlineLevel="2" x14ac:dyDescent="0.35">
      <c r="A6173" t="s">
        <v>3115</v>
      </c>
      <c r="B6173" s="1">
        <v>45723</v>
      </c>
      <c r="C6173" t="str">
        <f>"1104"</f>
        <v>1104</v>
      </c>
      <c r="D6173" t="s">
        <v>3860</v>
      </c>
      <c r="E6173" t="str">
        <f>"182135"</f>
        <v>182135</v>
      </c>
      <c r="F6173" t="str">
        <f t="shared" si="219"/>
        <v>60460000</v>
      </c>
      <c r="G6173" t="str">
        <f t="shared" si="220"/>
        <v>60440004</v>
      </c>
      <c r="H6173" t="s">
        <v>3861</v>
      </c>
      <c r="J6173" s="4">
        <v>42900</v>
      </c>
    </row>
    <row r="6174" spans="1:10" hidden="1" outlineLevel="2" x14ac:dyDescent="0.35">
      <c r="A6174" t="s">
        <v>3115</v>
      </c>
      <c r="B6174" s="1">
        <v>45723</v>
      </c>
      <c r="C6174" t="str">
        <f>"1105"</f>
        <v>1105</v>
      </c>
      <c r="D6174" t="s">
        <v>3862</v>
      </c>
      <c r="E6174" t="str">
        <f>"183325"</f>
        <v>183325</v>
      </c>
      <c r="F6174" t="str">
        <f t="shared" si="219"/>
        <v>60460000</v>
      </c>
      <c r="G6174" t="str">
        <f t="shared" si="220"/>
        <v>60440004</v>
      </c>
      <c r="H6174" t="s">
        <v>3863</v>
      </c>
      <c r="J6174" s="4">
        <v>1250</v>
      </c>
    </row>
    <row r="6175" spans="1:10" hidden="1" outlineLevel="2" x14ac:dyDescent="0.35">
      <c r="A6175" t="s">
        <v>3115</v>
      </c>
      <c r="B6175" s="1">
        <v>45723</v>
      </c>
      <c r="C6175" t="str">
        <f>"1106"</f>
        <v>1106</v>
      </c>
      <c r="D6175" t="s">
        <v>3864</v>
      </c>
      <c r="E6175" t="str">
        <f>"182197"</f>
        <v>182197</v>
      </c>
      <c r="F6175" t="str">
        <f t="shared" si="219"/>
        <v>60460000</v>
      </c>
      <c r="G6175" t="str">
        <f t="shared" si="220"/>
        <v>60440004</v>
      </c>
      <c r="H6175" t="s">
        <v>3865</v>
      </c>
      <c r="J6175" s="4">
        <v>992</v>
      </c>
    </row>
    <row r="6176" spans="1:10" hidden="1" outlineLevel="2" x14ac:dyDescent="0.35">
      <c r="A6176" t="s">
        <v>3115</v>
      </c>
      <c r="B6176" s="1">
        <v>45723</v>
      </c>
      <c r="C6176" t="str">
        <f>"1108"</f>
        <v>1108</v>
      </c>
      <c r="D6176" t="s">
        <v>3868</v>
      </c>
      <c r="E6176" t="str">
        <f>"182196"</f>
        <v>182196</v>
      </c>
      <c r="F6176" t="str">
        <f t="shared" si="219"/>
        <v>60460000</v>
      </c>
      <c r="G6176" t="str">
        <f t="shared" si="220"/>
        <v>60440004</v>
      </c>
      <c r="H6176" t="s">
        <v>3869</v>
      </c>
      <c r="J6176" s="4">
        <v>3298</v>
      </c>
    </row>
    <row r="6177" spans="1:10" hidden="1" outlineLevel="2" x14ac:dyDescent="0.35">
      <c r="A6177" t="s">
        <v>3115</v>
      </c>
      <c r="B6177" s="1">
        <v>45723</v>
      </c>
      <c r="C6177" t="str">
        <f>"1109"</f>
        <v>1109</v>
      </c>
      <c r="D6177" t="s">
        <v>3870</v>
      </c>
      <c r="E6177" t="str">
        <f>"182138"</f>
        <v>182138</v>
      </c>
      <c r="F6177" t="str">
        <f t="shared" si="219"/>
        <v>60460000</v>
      </c>
      <c r="G6177" t="str">
        <f t="shared" si="220"/>
        <v>60440004</v>
      </c>
      <c r="H6177" t="s">
        <v>3871</v>
      </c>
      <c r="J6177" s="4">
        <v>2120</v>
      </c>
    </row>
    <row r="6178" spans="1:10" hidden="1" outlineLevel="2" x14ac:dyDescent="0.35">
      <c r="A6178" t="s">
        <v>3115</v>
      </c>
      <c r="B6178" s="1">
        <v>45723</v>
      </c>
      <c r="C6178" t="str">
        <f>"1110"</f>
        <v>1110</v>
      </c>
      <c r="D6178" t="s">
        <v>3872</v>
      </c>
      <c r="E6178" t="str">
        <f>"182139"</f>
        <v>182139</v>
      </c>
      <c r="F6178" t="str">
        <f t="shared" si="219"/>
        <v>60460000</v>
      </c>
      <c r="G6178" t="str">
        <f t="shared" si="220"/>
        <v>60440004</v>
      </c>
      <c r="H6178" t="s">
        <v>3873</v>
      </c>
      <c r="J6178" s="4">
        <v>2629</v>
      </c>
    </row>
    <row r="6179" spans="1:10" hidden="1" outlineLevel="2" x14ac:dyDescent="0.35">
      <c r="A6179" t="s">
        <v>3115</v>
      </c>
      <c r="B6179" s="1">
        <v>45724</v>
      </c>
      <c r="C6179" t="str">
        <f>"1121"</f>
        <v>1121</v>
      </c>
      <c r="D6179" t="s">
        <v>3894</v>
      </c>
      <c r="E6179" t="str">
        <f>"182434"</f>
        <v>182434</v>
      </c>
      <c r="F6179" t="str">
        <f t="shared" si="219"/>
        <v>60460000</v>
      </c>
      <c r="G6179" t="str">
        <f t="shared" si="220"/>
        <v>60440004</v>
      </c>
      <c r="H6179" t="s">
        <v>3895</v>
      </c>
      <c r="J6179" s="4">
        <v>1136</v>
      </c>
    </row>
    <row r="6180" spans="1:10" hidden="1" outlineLevel="2" x14ac:dyDescent="0.35">
      <c r="A6180" t="s">
        <v>3115</v>
      </c>
      <c r="B6180" s="1">
        <v>45724</v>
      </c>
      <c r="C6180" t="str">
        <f>"1125"</f>
        <v>1125</v>
      </c>
      <c r="D6180" t="s">
        <v>3902</v>
      </c>
      <c r="E6180" t="str">
        <f>"182435"</f>
        <v>182435</v>
      </c>
      <c r="F6180" t="str">
        <f t="shared" si="219"/>
        <v>60460000</v>
      </c>
      <c r="G6180" t="str">
        <f t="shared" si="220"/>
        <v>60440004</v>
      </c>
      <c r="H6180" t="s">
        <v>3903</v>
      </c>
      <c r="J6180" s="4">
        <v>1136</v>
      </c>
    </row>
    <row r="6181" spans="1:10" hidden="1" outlineLevel="2" x14ac:dyDescent="0.35">
      <c r="A6181" t="s">
        <v>3115</v>
      </c>
      <c r="B6181" s="1">
        <v>45725</v>
      </c>
      <c r="C6181" t="str">
        <f>"1131"</f>
        <v>1131</v>
      </c>
      <c r="D6181" t="s">
        <v>3914</v>
      </c>
      <c r="E6181" t="str">
        <f>"180451"</f>
        <v>180451</v>
      </c>
      <c r="F6181" t="str">
        <f t="shared" si="219"/>
        <v>60460000</v>
      </c>
      <c r="G6181" t="str">
        <f t="shared" si="220"/>
        <v>60440004</v>
      </c>
      <c r="H6181" t="s">
        <v>3915</v>
      </c>
      <c r="J6181" s="4">
        <v>499</v>
      </c>
    </row>
    <row r="6182" spans="1:10" hidden="1" outlineLevel="2" x14ac:dyDescent="0.35">
      <c r="A6182" t="s">
        <v>3115</v>
      </c>
      <c r="B6182" s="1">
        <v>45725</v>
      </c>
      <c r="C6182" t="str">
        <f>"1133"</f>
        <v>1133</v>
      </c>
      <c r="D6182" t="s">
        <v>3918</v>
      </c>
      <c r="E6182" t="str">
        <f>"177534"</f>
        <v>177534</v>
      </c>
      <c r="F6182" t="str">
        <f t="shared" si="219"/>
        <v>60460000</v>
      </c>
      <c r="G6182" t="str">
        <f t="shared" si="220"/>
        <v>60440004</v>
      </c>
      <c r="H6182" t="s">
        <v>3919</v>
      </c>
      <c r="J6182" s="4">
        <v>2500</v>
      </c>
    </row>
    <row r="6183" spans="1:10" hidden="1" outlineLevel="2" x14ac:dyDescent="0.35">
      <c r="A6183" t="s">
        <v>3115</v>
      </c>
      <c r="B6183" s="1">
        <v>45725</v>
      </c>
      <c r="C6183" t="str">
        <f>"1136"</f>
        <v>1136</v>
      </c>
      <c r="D6183" t="s">
        <v>3924</v>
      </c>
      <c r="E6183" t="str">
        <f>"177536"</f>
        <v>177536</v>
      </c>
      <c r="F6183" t="str">
        <f t="shared" si="219"/>
        <v>60460000</v>
      </c>
      <c r="G6183" t="str">
        <f t="shared" si="220"/>
        <v>60440004</v>
      </c>
      <c r="H6183" t="s">
        <v>3925</v>
      </c>
      <c r="J6183" s="4">
        <v>499</v>
      </c>
    </row>
    <row r="6184" spans="1:10" hidden="1" outlineLevel="2" x14ac:dyDescent="0.35">
      <c r="A6184" t="s">
        <v>3115</v>
      </c>
      <c r="B6184" s="1">
        <v>45726</v>
      </c>
      <c r="C6184" t="str">
        <f>"511"</f>
        <v>511</v>
      </c>
      <c r="D6184" t="s">
        <v>3942</v>
      </c>
      <c r="E6184" t="str">
        <f>"178434"</f>
        <v>178434</v>
      </c>
      <c r="F6184" t="str">
        <f t="shared" si="219"/>
        <v>60460000</v>
      </c>
      <c r="G6184" t="str">
        <f t="shared" si="220"/>
        <v>60440004</v>
      </c>
      <c r="H6184" t="s">
        <v>3943</v>
      </c>
      <c r="J6184" s="4">
        <v>220000</v>
      </c>
    </row>
    <row r="6185" spans="1:10" hidden="1" outlineLevel="2" x14ac:dyDescent="0.35">
      <c r="A6185" t="s">
        <v>3115</v>
      </c>
      <c r="B6185" s="1">
        <v>45726</v>
      </c>
      <c r="C6185" t="str">
        <f>"512"</f>
        <v>512</v>
      </c>
      <c r="D6185" t="s">
        <v>3944</v>
      </c>
      <c r="E6185" t="str">
        <f>"170532"</f>
        <v>170532</v>
      </c>
      <c r="F6185" t="str">
        <f t="shared" si="219"/>
        <v>60460000</v>
      </c>
      <c r="G6185" t="str">
        <f t="shared" si="220"/>
        <v>60440004</v>
      </c>
      <c r="H6185" t="s">
        <v>3945</v>
      </c>
      <c r="J6185" s="4">
        <v>3564</v>
      </c>
    </row>
    <row r="6186" spans="1:10" hidden="1" outlineLevel="2" x14ac:dyDescent="0.35">
      <c r="A6186" t="s">
        <v>3115</v>
      </c>
      <c r="B6186" s="1">
        <v>45726</v>
      </c>
      <c r="C6186" t="str">
        <f>"520"</f>
        <v>520</v>
      </c>
      <c r="D6186" t="s">
        <v>3960</v>
      </c>
      <c r="E6186" t="str">
        <f>"181240"</f>
        <v>181240</v>
      </c>
      <c r="F6186" t="str">
        <f t="shared" si="219"/>
        <v>60460000</v>
      </c>
      <c r="G6186" t="str">
        <f t="shared" si="220"/>
        <v>60440004</v>
      </c>
      <c r="H6186" t="s">
        <v>3961</v>
      </c>
      <c r="J6186" s="4">
        <v>1212</v>
      </c>
    </row>
    <row r="6187" spans="1:10" hidden="1" outlineLevel="2" x14ac:dyDescent="0.35">
      <c r="A6187" t="s">
        <v>3115</v>
      </c>
      <c r="B6187" s="1">
        <v>45726</v>
      </c>
      <c r="C6187" t="str">
        <f>"532"</f>
        <v>532</v>
      </c>
      <c r="D6187" t="s">
        <v>3984</v>
      </c>
      <c r="E6187" t="str">
        <f>"177539"</f>
        <v>177539</v>
      </c>
      <c r="F6187" t="str">
        <f t="shared" ref="F6187:F6250" si="221">"60460000"</f>
        <v>60460000</v>
      </c>
      <c r="G6187" t="str">
        <f t="shared" ref="G6187:G6250" si="222">"60440004"</f>
        <v>60440004</v>
      </c>
      <c r="H6187" t="s">
        <v>3985</v>
      </c>
      <c r="J6187" s="4">
        <v>122373</v>
      </c>
    </row>
    <row r="6188" spans="1:10" hidden="1" outlineLevel="2" x14ac:dyDescent="0.35">
      <c r="A6188" t="s">
        <v>3115</v>
      </c>
      <c r="B6188" s="1">
        <v>45726</v>
      </c>
      <c r="C6188" t="str">
        <f>"534"</f>
        <v>534</v>
      </c>
      <c r="D6188" t="s">
        <v>3988</v>
      </c>
      <c r="E6188" t="str">
        <f>"177540"</f>
        <v>177540</v>
      </c>
      <c r="F6188" t="str">
        <f t="shared" si="221"/>
        <v>60460000</v>
      </c>
      <c r="G6188" t="str">
        <f t="shared" si="222"/>
        <v>60440004</v>
      </c>
      <c r="H6188" t="s">
        <v>3989</v>
      </c>
      <c r="J6188" s="4">
        <v>1900</v>
      </c>
    </row>
    <row r="6189" spans="1:10" hidden="1" outlineLevel="2" x14ac:dyDescent="0.35">
      <c r="A6189" t="s">
        <v>3115</v>
      </c>
      <c r="B6189" s="1">
        <v>45726</v>
      </c>
      <c r="C6189" t="str">
        <f>"536"</f>
        <v>536</v>
      </c>
      <c r="D6189" t="s">
        <v>3992</v>
      </c>
      <c r="E6189" t="str">
        <f>"182440"</f>
        <v>182440</v>
      </c>
      <c r="F6189" t="str">
        <f t="shared" si="221"/>
        <v>60460000</v>
      </c>
      <c r="G6189" t="str">
        <f t="shared" si="222"/>
        <v>60440004</v>
      </c>
      <c r="H6189" t="s">
        <v>3993</v>
      </c>
      <c r="J6189" s="4">
        <v>404</v>
      </c>
    </row>
    <row r="6190" spans="1:10" hidden="1" outlineLevel="2" x14ac:dyDescent="0.35">
      <c r="A6190" t="s">
        <v>3115</v>
      </c>
      <c r="B6190" s="1">
        <v>45726</v>
      </c>
      <c r="C6190" t="str">
        <f>"537"</f>
        <v>537</v>
      </c>
      <c r="D6190" t="s">
        <v>3994</v>
      </c>
      <c r="E6190" t="str">
        <f>"182436"</f>
        <v>182436</v>
      </c>
      <c r="F6190" t="str">
        <f t="shared" si="221"/>
        <v>60460000</v>
      </c>
      <c r="G6190" t="str">
        <f t="shared" si="222"/>
        <v>60440004</v>
      </c>
      <c r="H6190" t="s">
        <v>3995</v>
      </c>
      <c r="J6190" s="4">
        <v>2273</v>
      </c>
    </row>
    <row r="6191" spans="1:10" hidden="1" outlineLevel="2" x14ac:dyDescent="0.35">
      <c r="A6191" t="s">
        <v>3115</v>
      </c>
      <c r="B6191" s="1">
        <v>45726</v>
      </c>
      <c r="C6191" t="str">
        <f>"538"</f>
        <v>538</v>
      </c>
      <c r="D6191" t="s">
        <v>3996</v>
      </c>
      <c r="E6191" t="str">
        <f>"182437"</f>
        <v>182437</v>
      </c>
      <c r="F6191" t="str">
        <f t="shared" si="221"/>
        <v>60460000</v>
      </c>
      <c r="G6191" t="str">
        <f t="shared" si="222"/>
        <v>60440004</v>
      </c>
      <c r="H6191" t="s">
        <v>3997</v>
      </c>
      <c r="J6191" s="4">
        <v>336</v>
      </c>
    </row>
    <row r="6192" spans="1:10" hidden="1" outlineLevel="2" x14ac:dyDescent="0.35">
      <c r="A6192" t="s">
        <v>3115</v>
      </c>
      <c r="B6192" s="1">
        <v>45726</v>
      </c>
      <c r="C6192" t="str">
        <f>"539"</f>
        <v>539</v>
      </c>
      <c r="D6192" t="s">
        <v>3998</v>
      </c>
      <c r="E6192" t="str">
        <f>"182441"</f>
        <v>182441</v>
      </c>
      <c r="F6192" t="str">
        <f t="shared" si="221"/>
        <v>60460000</v>
      </c>
      <c r="G6192" t="str">
        <f t="shared" si="222"/>
        <v>60440004</v>
      </c>
      <c r="H6192" t="s">
        <v>3999</v>
      </c>
      <c r="J6192" s="4">
        <v>1136</v>
      </c>
    </row>
    <row r="6193" spans="1:10" hidden="1" outlineLevel="2" x14ac:dyDescent="0.35">
      <c r="A6193" t="s">
        <v>3115</v>
      </c>
      <c r="B6193" s="1">
        <v>45726</v>
      </c>
      <c r="C6193" t="str">
        <f>"540"</f>
        <v>540</v>
      </c>
      <c r="D6193" t="s">
        <v>4000</v>
      </c>
      <c r="E6193" t="str">
        <f>"182438"</f>
        <v>182438</v>
      </c>
      <c r="F6193" t="str">
        <f t="shared" si="221"/>
        <v>60460000</v>
      </c>
      <c r="G6193" t="str">
        <f t="shared" si="222"/>
        <v>60440004</v>
      </c>
      <c r="H6193" t="s">
        <v>4001</v>
      </c>
      <c r="J6193" s="4">
        <v>1906</v>
      </c>
    </row>
    <row r="6194" spans="1:10" hidden="1" outlineLevel="2" x14ac:dyDescent="0.35">
      <c r="A6194" t="s">
        <v>3115</v>
      </c>
      <c r="B6194" s="1">
        <v>45726</v>
      </c>
      <c r="C6194" t="str">
        <f>"541"</f>
        <v>541</v>
      </c>
      <c r="D6194" t="s">
        <v>4002</v>
      </c>
      <c r="E6194" t="str">
        <f>"182442"</f>
        <v>182442</v>
      </c>
      <c r="F6194" t="str">
        <f t="shared" si="221"/>
        <v>60460000</v>
      </c>
      <c r="G6194" t="str">
        <f t="shared" si="222"/>
        <v>60440004</v>
      </c>
      <c r="H6194" t="s">
        <v>4003</v>
      </c>
      <c r="J6194" s="4">
        <v>3659</v>
      </c>
    </row>
    <row r="6195" spans="1:10" hidden="1" outlineLevel="2" x14ac:dyDescent="0.35">
      <c r="A6195" t="s">
        <v>3115</v>
      </c>
      <c r="B6195" s="1">
        <v>45726</v>
      </c>
      <c r="C6195" t="str">
        <f>"545"</f>
        <v>545</v>
      </c>
      <c r="D6195" t="s">
        <v>4010</v>
      </c>
      <c r="E6195" t="str">
        <f>"183351"</f>
        <v>183351</v>
      </c>
      <c r="F6195" t="str">
        <f t="shared" si="221"/>
        <v>60460000</v>
      </c>
      <c r="G6195" t="str">
        <f t="shared" si="222"/>
        <v>60440004</v>
      </c>
      <c r="H6195" t="s">
        <v>4011</v>
      </c>
      <c r="J6195" s="4">
        <v>21050</v>
      </c>
    </row>
    <row r="6196" spans="1:10" hidden="1" outlineLevel="2" x14ac:dyDescent="0.35">
      <c r="A6196" t="s">
        <v>3115</v>
      </c>
      <c r="B6196" s="1">
        <v>45726</v>
      </c>
      <c r="C6196" t="str">
        <f>"546"</f>
        <v>546</v>
      </c>
      <c r="D6196" t="s">
        <v>4012</v>
      </c>
      <c r="E6196" t="str">
        <f>"183326"</f>
        <v>183326</v>
      </c>
      <c r="F6196" t="str">
        <f t="shared" si="221"/>
        <v>60460000</v>
      </c>
      <c r="G6196" t="str">
        <f t="shared" si="222"/>
        <v>60440004</v>
      </c>
      <c r="H6196" t="s">
        <v>4013</v>
      </c>
      <c r="J6196" s="4">
        <v>3600</v>
      </c>
    </row>
    <row r="6197" spans="1:10" hidden="1" outlineLevel="2" x14ac:dyDescent="0.35">
      <c r="A6197" t="s">
        <v>3115</v>
      </c>
      <c r="B6197" s="1">
        <v>45726</v>
      </c>
      <c r="C6197" t="str">
        <f>"553"</f>
        <v>553</v>
      </c>
      <c r="D6197" t="s">
        <v>4026</v>
      </c>
      <c r="E6197" t="str">
        <f>"182140"</f>
        <v>182140</v>
      </c>
      <c r="F6197" t="str">
        <f t="shared" si="221"/>
        <v>60460000</v>
      </c>
      <c r="G6197" t="str">
        <f t="shared" si="222"/>
        <v>60440004</v>
      </c>
      <c r="H6197" t="s">
        <v>4027</v>
      </c>
      <c r="J6197" s="4">
        <v>1365</v>
      </c>
    </row>
    <row r="6198" spans="1:10" hidden="1" outlineLevel="2" x14ac:dyDescent="0.35">
      <c r="A6198" t="s">
        <v>3115</v>
      </c>
      <c r="B6198" s="1">
        <v>45726</v>
      </c>
      <c r="C6198" t="str">
        <f>"554"</f>
        <v>554</v>
      </c>
      <c r="D6198" t="s">
        <v>4028</v>
      </c>
      <c r="E6198" t="str">
        <f>"183459"</f>
        <v>183459</v>
      </c>
      <c r="F6198" t="str">
        <f t="shared" si="221"/>
        <v>60460000</v>
      </c>
      <c r="G6198" t="str">
        <f t="shared" si="222"/>
        <v>60440004</v>
      </c>
      <c r="H6198" t="s">
        <v>4029</v>
      </c>
      <c r="J6198" s="4">
        <v>1446</v>
      </c>
    </row>
    <row r="6199" spans="1:10" hidden="1" outlineLevel="2" x14ac:dyDescent="0.35">
      <c r="A6199" t="s">
        <v>3115</v>
      </c>
      <c r="B6199" s="1">
        <v>45726</v>
      </c>
      <c r="C6199" t="str">
        <f>"555"</f>
        <v>555</v>
      </c>
      <c r="D6199" t="s">
        <v>4030</v>
      </c>
      <c r="F6199" t="str">
        <f t="shared" si="221"/>
        <v>60460000</v>
      </c>
      <c r="G6199" t="str">
        <f t="shared" si="222"/>
        <v>60440004</v>
      </c>
      <c r="H6199" t="s">
        <v>4031</v>
      </c>
      <c r="J6199" s="4">
        <v>61766</v>
      </c>
    </row>
    <row r="6200" spans="1:10" hidden="1" outlineLevel="2" x14ac:dyDescent="0.35">
      <c r="A6200" t="s">
        <v>3115</v>
      </c>
      <c r="B6200" s="1">
        <v>45727</v>
      </c>
      <c r="C6200" t="str">
        <f>"559"</f>
        <v>559</v>
      </c>
      <c r="D6200" t="s">
        <v>4038</v>
      </c>
      <c r="E6200" t="str">
        <f>"147213"</f>
        <v>147213</v>
      </c>
      <c r="F6200" t="str">
        <f t="shared" si="221"/>
        <v>60460000</v>
      </c>
      <c r="G6200" t="str">
        <f t="shared" si="222"/>
        <v>60440004</v>
      </c>
      <c r="H6200" t="s">
        <v>4039</v>
      </c>
      <c r="J6200" s="4">
        <v>294</v>
      </c>
    </row>
    <row r="6201" spans="1:10" hidden="1" outlineLevel="2" x14ac:dyDescent="0.35">
      <c r="A6201" t="s">
        <v>3115</v>
      </c>
      <c r="B6201" s="1">
        <v>45727</v>
      </c>
      <c r="C6201" t="str">
        <f>"566"</f>
        <v>566</v>
      </c>
      <c r="D6201" t="s">
        <v>4052</v>
      </c>
      <c r="E6201" t="str">
        <f>"181013"</f>
        <v>181013</v>
      </c>
      <c r="F6201" t="str">
        <f t="shared" si="221"/>
        <v>60460000</v>
      </c>
      <c r="G6201" t="str">
        <f t="shared" si="222"/>
        <v>60440004</v>
      </c>
      <c r="H6201" t="s">
        <v>4053</v>
      </c>
      <c r="J6201" s="4">
        <v>125000</v>
      </c>
    </row>
    <row r="6202" spans="1:10" hidden="1" outlineLevel="2" x14ac:dyDescent="0.35">
      <c r="A6202" t="s">
        <v>3115</v>
      </c>
      <c r="B6202" s="1">
        <v>45727</v>
      </c>
      <c r="C6202" t="str">
        <f>"567"</f>
        <v>567</v>
      </c>
      <c r="D6202" t="s">
        <v>4054</v>
      </c>
      <c r="E6202" t="str">
        <f>"181032"</f>
        <v>181032</v>
      </c>
      <c r="F6202" t="str">
        <f t="shared" si="221"/>
        <v>60460000</v>
      </c>
      <c r="G6202" t="str">
        <f t="shared" si="222"/>
        <v>60440004</v>
      </c>
      <c r="H6202" t="s">
        <v>4055</v>
      </c>
      <c r="J6202" s="4">
        <v>65000</v>
      </c>
    </row>
    <row r="6203" spans="1:10" hidden="1" outlineLevel="2" x14ac:dyDescent="0.35">
      <c r="A6203" t="s">
        <v>3115</v>
      </c>
      <c r="B6203" s="1">
        <v>45727</v>
      </c>
      <c r="C6203" t="str">
        <f>"572"</f>
        <v>572</v>
      </c>
      <c r="D6203" t="s">
        <v>4064</v>
      </c>
      <c r="E6203" t="str">
        <f>"177545"</f>
        <v>177545</v>
      </c>
      <c r="F6203" t="str">
        <f t="shared" si="221"/>
        <v>60460000</v>
      </c>
      <c r="G6203" t="str">
        <f t="shared" si="222"/>
        <v>60440004</v>
      </c>
      <c r="H6203" t="s">
        <v>4065</v>
      </c>
      <c r="J6203" s="4">
        <v>2500</v>
      </c>
    </row>
    <row r="6204" spans="1:10" hidden="1" outlineLevel="2" x14ac:dyDescent="0.35">
      <c r="A6204" t="s">
        <v>3115</v>
      </c>
      <c r="B6204" s="1">
        <v>45727</v>
      </c>
      <c r="C6204" t="str">
        <f>"573"</f>
        <v>573</v>
      </c>
      <c r="D6204" t="s">
        <v>4066</v>
      </c>
      <c r="E6204" t="str">
        <f>"183465"</f>
        <v>183465</v>
      </c>
      <c r="F6204" t="str">
        <f t="shared" si="221"/>
        <v>60460000</v>
      </c>
      <c r="G6204" t="str">
        <f t="shared" si="222"/>
        <v>60440004</v>
      </c>
      <c r="H6204" t="s">
        <v>4067</v>
      </c>
      <c r="J6204" s="4">
        <v>7861</v>
      </c>
    </row>
    <row r="6205" spans="1:10" hidden="1" outlineLevel="2" x14ac:dyDescent="0.35">
      <c r="A6205" t="s">
        <v>3115</v>
      </c>
      <c r="B6205" s="1">
        <v>45727</v>
      </c>
      <c r="C6205" t="str">
        <f>"575"</f>
        <v>575</v>
      </c>
      <c r="D6205" t="s">
        <v>4070</v>
      </c>
      <c r="E6205" t="str">
        <f>"183298"</f>
        <v>183298</v>
      </c>
      <c r="F6205" t="str">
        <f t="shared" si="221"/>
        <v>60460000</v>
      </c>
      <c r="G6205" t="str">
        <f t="shared" si="222"/>
        <v>60440004</v>
      </c>
      <c r="H6205" t="s">
        <v>4071</v>
      </c>
      <c r="J6205" s="4">
        <v>10675</v>
      </c>
    </row>
    <row r="6206" spans="1:10" hidden="1" outlineLevel="2" x14ac:dyDescent="0.35">
      <c r="A6206" t="s">
        <v>3115</v>
      </c>
      <c r="B6206" s="1">
        <v>45727</v>
      </c>
      <c r="C6206" t="str">
        <f>"576"</f>
        <v>576</v>
      </c>
      <c r="D6206" t="s">
        <v>4072</v>
      </c>
      <c r="E6206" t="str">
        <f>"183298"</f>
        <v>183298</v>
      </c>
      <c r="F6206" t="str">
        <f t="shared" si="221"/>
        <v>60460000</v>
      </c>
      <c r="G6206" t="str">
        <f t="shared" si="222"/>
        <v>60440004</v>
      </c>
      <c r="H6206" t="s">
        <v>4073</v>
      </c>
      <c r="J6206" s="4">
        <v>939</v>
      </c>
    </row>
    <row r="6207" spans="1:10" hidden="1" outlineLevel="2" x14ac:dyDescent="0.35">
      <c r="A6207" t="s">
        <v>3115</v>
      </c>
      <c r="B6207" s="1">
        <v>45727</v>
      </c>
      <c r="C6207" t="str">
        <f>"578"</f>
        <v>578</v>
      </c>
      <c r="D6207" t="s">
        <v>4076</v>
      </c>
      <c r="E6207" t="str">
        <f>"182146"</f>
        <v>182146</v>
      </c>
      <c r="F6207" t="str">
        <f t="shared" si="221"/>
        <v>60460000</v>
      </c>
      <c r="G6207" t="str">
        <f t="shared" si="222"/>
        <v>60440004</v>
      </c>
      <c r="H6207" t="s">
        <v>4077</v>
      </c>
      <c r="J6207" s="4">
        <v>39000</v>
      </c>
    </row>
    <row r="6208" spans="1:10" hidden="1" outlineLevel="2" x14ac:dyDescent="0.35">
      <c r="A6208" t="s">
        <v>3115</v>
      </c>
      <c r="B6208" s="1">
        <v>45727</v>
      </c>
      <c r="C6208" t="str">
        <f>"581"</f>
        <v>581</v>
      </c>
      <c r="D6208" t="s">
        <v>4082</v>
      </c>
      <c r="E6208" t="str">
        <f>"180458"</f>
        <v>180458</v>
      </c>
      <c r="F6208" t="str">
        <f t="shared" si="221"/>
        <v>60460000</v>
      </c>
      <c r="G6208" t="str">
        <f t="shared" si="222"/>
        <v>60440004</v>
      </c>
      <c r="H6208" t="s">
        <v>4083</v>
      </c>
      <c r="J6208" s="4">
        <v>7704</v>
      </c>
    </row>
    <row r="6209" spans="1:10" hidden="1" outlineLevel="2" x14ac:dyDescent="0.35">
      <c r="A6209" t="s">
        <v>3115</v>
      </c>
      <c r="B6209" s="1">
        <v>45727</v>
      </c>
      <c r="C6209" t="str">
        <f>"582"</f>
        <v>582</v>
      </c>
      <c r="D6209" t="s">
        <v>4084</v>
      </c>
      <c r="E6209" t="str">
        <f>"182443"</f>
        <v>182443</v>
      </c>
      <c r="F6209" t="str">
        <f t="shared" si="221"/>
        <v>60460000</v>
      </c>
      <c r="G6209" t="str">
        <f t="shared" si="222"/>
        <v>60440004</v>
      </c>
      <c r="H6209" t="s">
        <v>4085</v>
      </c>
      <c r="J6209" s="4">
        <v>7683</v>
      </c>
    </row>
    <row r="6210" spans="1:10" hidden="1" outlineLevel="2" x14ac:dyDescent="0.35">
      <c r="A6210" t="s">
        <v>3115</v>
      </c>
      <c r="B6210" s="1">
        <v>45727</v>
      </c>
      <c r="C6210" t="str">
        <f>"587"</f>
        <v>587</v>
      </c>
      <c r="D6210" t="s">
        <v>4094</v>
      </c>
      <c r="E6210" t="str">
        <f>"183295"</f>
        <v>183295</v>
      </c>
      <c r="F6210" t="str">
        <f t="shared" si="221"/>
        <v>60460000</v>
      </c>
      <c r="G6210" t="str">
        <f t="shared" si="222"/>
        <v>60440004</v>
      </c>
      <c r="H6210" t="s">
        <v>4095</v>
      </c>
      <c r="J6210" s="4">
        <v>1314</v>
      </c>
    </row>
    <row r="6211" spans="1:10" hidden="1" outlineLevel="2" x14ac:dyDescent="0.35">
      <c r="A6211" t="s">
        <v>3115</v>
      </c>
      <c r="B6211" s="1">
        <v>45727</v>
      </c>
      <c r="C6211" t="str">
        <f>"590"</f>
        <v>590</v>
      </c>
      <c r="D6211" t="s">
        <v>4100</v>
      </c>
      <c r="E6211" t="str">
        <f>"180847"</f>
        <v>180847</v>
      </c>
      <c r="F6211" t="str">
        <f t="shared" si="221"/>
        <v>60460000</v>
      </c>
      <c r="G6211" t="str">
        <f t="shared" si="222"/>
        <v>60440004</v>
      </c>
      <c r="H6211" t="s">
        <v>4101</v>
      </c>
      <c r="J6211" s="4">
        <v>4500</v>
      </c>
    </row>
    <row r="6212" spans="1:10" hidden="1" outlineLevel="2" x14ac:dyDescent="0.35">
      <c r="A6212" t="s">
        <v>3115</v>
      </c>
      <c r="B6212" s="1">
        <v>45727</v>
      </c>
      <c r="C6212" t="str">
        <f>"591"</f>
        <v>591</v>
      </c>
      <c r="D6212" t="s">
        <v>4102</v>
      </c>
      <c r="E6212" t="str">
        <f>"180848"</f>
        <v>180848</v>
      </c>
      <c r="F6212" t="str">
        <f t="shared" si="221"/>
        <v>60460000</v>
      </c>
      <c r="G6212" t="str">
        <f t="shared" si="222"/>
        <v>60440004</v>
      </c>
      <c r="H6212" t="s">
        <v>4103</v>
      </c>
      <c r="J6212" s="4">
        <v>1798</v>
      </c>
    </row>
    <row r="6213" spans="1:10" hidden="1" outlineLevel="2" x14ac:dyDescent="0.35">
      <c r="A6213" t="s">
        <v>3115</v>
      </c>
      <c r="B6213" s="1">
        <v>45727</v>
      </c>
      <c r="C6213" t="str">
        <f>"596"</f>
        <v>596</v>
      </c>
      <c r="D6213" t="s">
        <v>4112</v>
      </c>
      <c r="E6213" t="str">
        <f>"182145"</f>
        <v>182145</v>
      </c>
      <c r="F6213" t="str">
        <f t="shared" si="221"/>
        <v>60460000</v>
      </c>
      <c r="G6213" t="str">
        <f t="shared" si="222"/>
        <v>60440004</v>
      </c>
      <c r="H6213" t="s">
        <v>4113</v>
      </c>
      <c r="J6213" s="4">
        <v>13583</v>
      </c>
    </row>
    <row r="6214" spans="1:10" hidden="1" outlineLevel="2" x14ac:dyDescent="0.35">
      <c r="A6214" t="s">
        <v>3115</v>
      </c>
      <c r="B6214" s="1">
        <v>45727</v>
      </c>
      <c r="C6214" t="str">
        <f>"597"</f>
        <v>597</v>
      </c>
      <c r="D6214" t="s">
        <v>4114</v>
      </c>
      <c r="E6214" t="str">
        <f>"182144"</f>
        <v>182144</v>
      </c>
      <c r="F6214" t="str">
        <f t="shared" si="221"/>
        <v>60460000</v>
      </c>
      <c r="G6214" t="str">
        <f t="shared" si="222"/>
        <v>60440004</v>
      </c>
      <c r="H6214" t="s">
        <v>4115</v>
      </c>
      <c r="J6214" s="4">
        <v>3916</v>
      </c>
    </row>
    <row r="6215" spans="1:10" hidden="1" outlineLevel="2" x14ac:dyDescent="0.35">
      <c r="A6215" t="s">
        <v>3115</v>
      </c>
      <c r="B6215" s="1">
        <v>45728</v>
      </c>
      <c r="C6215" t="str">
        <f>"599"</f>
        <v>599</v>
      </c>
      <c r="D6215" t="s">
        <v>4118</v>
      </c>
      <c r="E6215" t="str">
        <f>"170534"</f>
        <v>170534</v>
      </c>
      <c r="F6215" t="str">
        <f t="shared" si="221"/>
        <v>60460000</v>
      </c>
      <c r="G6215" t="str">
        <f t="shared" si="222"/>
        <v>60440004</v>
      </c>
      <c r="H6215" t="s">
        <v>4119</v>
      </c>
      <c r="J6215" s="4">
        <v>1000</v>
      </c>
    </row>
    <row r="6216" spans="1:10" hidden="1" outlineLevel="2" x14ac:dyDescent="0.35">
      <c r="A6216" t="s">
        <v>3115</v>
      </c>
      <c r="B6216" s="1">
        <v>45728</v>
      </c>
      <c r="C6216" t="str">
        <f>"600"</f>
        <v>600</v>
      </c>
      <c r="D6216" t="s">
        <v>4120</v>
      </c>
      <c r="E6216" t="str">
        <f>"170533"</f>
        <v>170533</v>
      </c>
      <c r="F6216" t="str">
        <f t="shared" si="221"/>
        <v>60460000</v>
      </c>
      <c r="G6216" t="str">
        <f t="shared" si="222"/>
        <v>60440004</v>
      </c>
      <c r="H6216" t="s">
        <v>4121</v>
      </c>
      <c r="J6216" s="4">
        <v>9250</v>
      </c>
    </row>
    <row r="6217" spans="1:10" hidden="1" outlineLevel="2" x14ac:dyDescent="0.35">
      <c r="A6217" t="s">
        <v>3115</v>
      </c>
      <c r="B6217" s="1">
        <v>45728</v>
      </c>
      <c r="C6217" t="str">
        <f>"601"</f>
        <v>601</v>
      </c>
      <c r="D6217" t="s">
        <v>4122</v>
      </c>
      <c r="E6217" t="str">
        <f>"183467"</f>
        <v>183467</v>
      </c>
      <c r="F6217" t="str">
        <f t="shared" si="221"/>
        <v>60460000</v>
      </c>
      <c r="G6217" t="str">
        <f t="shared" si="222"/>
        <v>60440004</v>
      </c>
      <c r="H6217" t="s">
        <v>4123</v>
      </c>
      <c r="J6217" s="4">
        <v>53966</v>
      </c>
    </row>
    <row r="6218" spans="1:10" hidden="1" outlineLevel="2" x14ac:dyDescent="0.35">
      <c r="A6218" t="s">
        <v>3115</v>
      </c>
      <c r="B6218" s="1">
        <v>45728</v>
      </c>
      <c r="C6218" t="str">
        <f>"602"</f>
        <v>602</v>
      </c>
      <c r="D6218" t="s">
        <v>4124</v>
      </c>
      <c r="E6218" t="str">
        <f>"183466"</f>
        <v>183466</v>
      </c>
      <c r="F6218" t="str">
        <f t="shared" si="221"/>
        <v>60460000</v>
      </c>
      <c r="G6218" t="str">
        <f t="shared" si="222"/>
        <v>60440004</v>
      </c>
      <c r="H6218" t="s">
        <v>4125</v>
      </c>
      <c r="J6218" s="4">
        <v>13583</v>
      </c>
    </row>
    <row r="6219" spans="1:10" hidden="1" outlineLevel="2" x14ac:dyDescent="0.35">
      <c r="A6219" t="s">
        <v>3115</v>
      </c>
      <c r="B6219" s="1">
        <v>45728</v>
      </c>
      <c r="C6219" t="str">
        <f>"603"</f>
        <v>603</v>
      </c>
      <c r="D6219" t="s">
        <v>4126</v>
      </c>
      <c r="E6219" t="str">
        <f>"183329"</f>
        <v>183329</v>
      </c>
      <c r="F6219" t="str">
        <f t="shared" si="221"/>
        <v>60460000</v>
      </c>
      <c r="G6219" t="str">
        <f t="shared" si="222"/>
        <v>60440004</v>
      </c>
      <c r="H6219" t="s">
        <v>4127</v>
      </c>
      <c r="J6219" s="4">
        <v>8400</v>
      </c>
    </row>
    <row r="6220" spans="1:10" hidden="1" outlineLevel="2" x14ac:dyDescent="0.35">
      <c r="A6220" t="s">
        <v>3115</v>
      </c>
      <c r="B6220" s="1">
        <v>45728</v>
      </c>
      <c r="C6220" t="str">
        <f>"607"</f>
        <v>607</v>
      </c>
      <c r="D6220" t="s">
        <v>4134</v>
      </c>
      <c r="E6220" t="str">
        <f>"176321"</f>
        <v>176321</v>
      </c>
      <c r="F6220" t="str">
        <f t="shared" si="221"/>
        <v>60460000</v>
      </c>
      <c r="G6220" t="str">
        <f t="shared" si="222"/>
        <v>60440004</v>
      </c>
      <c r="H6220" t="s">
        <v>4135</v>
      </c>
      <c r="J6220" s="4">
        <v>4500</v>
      </c>
    </row>
    <row r="6221" spans="1:10" hidden="1" outlineLevel="2" x14ac:dyDescent="0.35">
      <c r="A6221" t="s">
        <v>3115</v>
      </c>
      <c r="B6221" s="1">
        <v>45728</v>
      </c>
      <c r="C6221" t="str">
        <f>"608"</f>
        <v>608</v>
      </c>
      <c r="D6221" t="s">
        <v>4136</v>
      </c>
      <c r="E6221" t="str">
        <f>"183353"</f>
        <v>183353</v>
      </c>
      <c r="F6221" t="str">
        <f t="shared" si="221"/>
        <v>60460000</v>
      </c>
      <c r="G6221" t="str">
        <f t="shared" si="222"/>
        <v>60440004</v>
      </c>
      <c r="H6221" t="s">
        <v>4137</v>
      </c>
      <c r="J6221" s="4">
        <v>6500</v>
      </c>
    </row>
    <row r="6222" spans="1:10" hidden="1" outlineLevel="2" x14ac:dyDescent="0.35">
      <c r="A6222" t="s">
        <v>3115</v>
      </c>
      <c r="B6222" s="1">
        <v>45728</v>
      </c>
      <c r="C6222" t="str">
        <f>"610"</f>
        <v>610</v>
      </c>
      <c r="D6222" t="s">
        <v>4140</v>
      </c>
      <c r="E6222" t="str">
        <f>"183330"</f>
        <v>183330</v>
      </c>
      <c r="F6222" t="str">
        <f t="shared" si="221"/>
        <v>60460000</v>
      </c>
      <c r="G6222" t="str">
        <f t="shared" si="222"/>
        <v>60440004</v>
      </c>
      <c r="H6222" t="s">
        <v>4141</v>
      </c>
      <c r="J6222" s="4">
        <v>196</v>
      </c>
    </row>
    <row r="6223" spans="1:10" hidden="1" outlineLevel="2" x14ac:dyDescent="0.35">
      <c r="A6223" t="s">
        <v>3115</v>
      </c>
      <c r="B6223" s="1">
        <v>45728</v>
      </c>
      <c r="C6223" t="str">
        <f>"611"</f>
        <v>611</v>
      </c>
      <c r="D6223" t="s">
        <v>4142</v>
      </c>
      <c r="E6223" t="str">
        <f>"180850"</f>
        <v>180850</v>
      </c>
      <c r="F6223" t="str">
        <f t="shared" si="221"/>
        <v>60460000</v>
      </c>
      <c r="G6223" t="str">
        <f t="shared" si="222"/>
        <v>60440004</v>
      </c>
      <c r="H6223" t="s">
        <v>4143</v>
      </c>
      <c r="J6223" s="4">
        <v>1500</v>
      </c>
    </row>
    <row r="6224" spans="1:10" hidden="1" outlineLevel="2" x14ac:dyDescent="0.35">
      <c r="A6224" t="s">
        <v>3115</v>
      </c>
      <c r="B6224" s="1">
        <v>45728</v>
      </c>
      <c r="C6224" t="str">
        <f>"612"</f>
        <v>612</v>
      </c>
      <c r="D6224" t="s">
        <v>4144</v>
      </c>
      <c r="E6224" t="str">
        <f>"183656"</f>
        <v>183656</v>
      </c>
      <c r="F6224" t="str">
        <f t="shared" si="221"/>
        <v>60460000</v>
      </c>
      <c r="G6224" t="str">
        <f t="shared" si="222"/>
        <v>60440004</v>
      </c>
      <c r="H6224" t="s">
        <v>4145</v>
      </c>
      <c r="J6224" s="4">
        <v>39200</v>
      </c>
    </row>
    <row r="6225" spans="1:10" hidden="1" outlineLevel="2" x14ac:dyDescent="0.35">
      <c r="A6225" t="s">
        <v>3115</v>
      </c>
      <c r="B6225" s="1">
        <v>45728</v>
      </c>
      <c r="C6225" t="str">
        <f>"614"</f>
        <v>614</v>
      </c>
      <c r="D6225" t="s">
        <v>4148</v>
      </c>
      <c r="E6225" t="str">
        <f>"181932"</f>
        <v>181932</v>
      </c>
      <c r="F6225" t="str">
        <f t="shared" si="221"/>
        <v>60460000</v>
      </c>
      <c r="G6225" t="str">
        <f t="shared" si="222"/>
        <v>60440004</v>
      </c>
      <c r="H6225" t="s">
        <v>4149</v>
      </c>
      <c r="J6225" s="4">
        <v>263</v>
      </c>
    </row>
    <row r="6226" spans="1:10" hidden="1" outlineLevel="2" x14ac:dyDescent="0.35">
      <c r="A6226" t="s">
        <v>3115</v>
      </c>
      <c r="B6226" s="1">
        <v>45728</v>
      </c>
      <c r="C6226" t="str">
        <f>"615"</f>
        <v>615</v>
      </c>
      <c r="D6226" t="s">
        <v>4150</v>
      </c>
      <c r="E6226" t="str">
        <f>"183352"</f>
        <v>183352</v>
      </c>
      <c r="F6226" t="str">
        <f t="shared" si="221"/>
        <v>60460000</v>
      </c>
      <c r="G6226" t="str">
        <f t="shared" si="222"/>
        <v>60440004</v>
      </c>
      <c r="H6226" t="s">
        <v>4151</v>
      </c>
      <c r="J6226" s="4">
        <v>22050</v>
      </c>
    </row>
    <row r="6227" spans="1:10" hidden="1" outlineLevel="2" x14ac:dyDescent="0.35">
      <c r="A6227" t="s">
        <v>3115</v>
      </c>
      <c r="B6227" s="1">
        <v>45728</v>
      </c>
      <c r="C6227" t="str">
        <f>"618"</f>
        <v>618</v>
      </c>
      <c r="D6227" t="s">
        <v>4156</v>
      </c>
      <c r="E6227" t="str">
        <f>"177546"</f>
        <v>177546</v>
      </c>
      <c r="F6227" t="str">
        <f t="shared" si="221"/>
        <v>60460000</v>
      </c>
      <c r="G6227" t="str">
        <f t="shared" si="222"/>
        <v>60440004</v>
      </c>
      <c r="H6227" t="s">
        <v>4157</v>
      </c>
      <c r="J6227" s="4">
        <v>2500</v>
      </c>
    </row>
    <row r="6228" spans="1:10" hidden="1" outlineLevel="2" x14ac:dyDescent="0.35">
      <c r="A6228" t="s">
        <v>3115</v>
      </c>
      <c r="B6228" s="1">
        <v>45728</v>
      </c>
      <c r="C6228" t="str">
        <f>"620"</f>
        <v>620</v>
      </c>
      <c r="D6228" t="s">
        <v>4160</v>
      </c>
      <c r="E6228" t="str">
        <f>"180459"</f>
        <v>180459</v>
      </c>
      <c r="F6228" t="str">
        <f t="shared" si="221"/>
        <v>60460000</v>
      </c>
      <c r="G6228" t="str">
        <f t="shared" si="222"/>
        <v>60440004</v>
      </c>
      <c r="H6228" t="s">
        <v>4161</v>
      </c>
      <c r="J6228" s="4">
        <v>300</v>
      </c>
    </row>
    <row r="6229" spans="1:10" hidden="1" outlineLevel="2" x14ac:dyDescent="0.35">
      <c r="A6229" t="s">
        <v>3115</v>
      </c>
      <c r="B6229" s="1">
        <v>45728</v>
      </c>
      <c r="C6229" t="str">
        <f>"623"</f>
        <v>623</v>
      </c>
      <c r="D6229" t="s">
        <v>4166</v>
      </c>
      <c r="E6229" t="str">
        <f>"182447"</f>
        <v>182447</v>
      </c>
      <c r="F6229" t="str">
        <f t="shared" si="221"/>
        <v>60460000</v>
      </c>
      <c r="G6229" t="str">
        <f t="shared" si="222"/>
        <v>60440004</v>
      </c>
      <c r="H6229" t="s">
        <v>4167</v>
      </c>
      <c r="J6229" s="4">
        <v>1136</v>
      </c>
    </row>
    <row r="6230" spans="1:10" hidden="1" outlineLevel="2" x14ac:dyDescent="0.35">
      <c r="A6230" t="s">
        <v>3115</v>
      </c>
      <c r="B6230" s="1">
        <v>45728</v>
      </c>
      <c r="C6230" t="str">
        <f>"624"</f>
        <v>624</v>
      </c>
      <c r="D6230" t="s">
        <v>4168</v>
      </c>
      <c r="E6230" t="str">
        <f>"182448"</f>
        <v>182448</v>
      </c>
      <c r="F6230" t="str">
        <f t="shared" si="221"/>
        <v>60460000</v>
      </c>
      <c r="G6230" t="str">
        <f t="shared" si="222"/>
        <v>60440004</v>
      </c>
      <c r="H6230" t="s">
        <v>4169</v>
      </c>
      <c r="J6230" s="4">
        <v>336</v>
      </c>
    </row>
    <row r="6231" spans="1:10" hidden="1" outlineLevel="2" x14ac:dyDescent="0.35">
      <c r="A6231" t="s">
        <v>3115</v>
      </c>
      <c r="B6231" s="1">
        <v>45728</v>
      </c>
      <c r="C6231" t="str">
        <f>"625"</f>
        <v>625</v>
      </c>
      <c r="D6231" t="s">
        <v>4170</v>
      </c>
      <c r="E6231" t="str">
        <f>"182449"</f>
        <v>182449</v>
      </c>
      <c r="F6231" t="str">
        <f t="shared" si="221"/>
        <v>60460000</v>
      </c>
      <c r="G6231" t="str">
        <f t="shared" si="222"/>
        <v>60440004</v>
      </c>
      <c r="H6231" t="s">
        <v>4171</v>
      </c>
      <c r="J6231" s="4">
        <v>1150</v>
      </c>
    </row>
    <row r="6232" spans="1:10" hidden="1" outlineLevel="2" x14ac:dyDescent="0.35">
      <c r="A6232" t="s">
        <v>3115</v>
      </c>
      <c r="B6232" s="1">
        <v>45728</v>
      </c>
      <c r="C6232" t="str">
        <f>"626"</f>
        <v>626</v>
      </c>
      <c r="D6232" t="s">
        <v>4172</v>
      </c>
      <c r="E6232" t="str">
        <f>"182446"</f>
        <v>182446</v>
      </c>
      <c r="F6232" t="str">
        <f t="shared" si="221"/>
        <v>60460000</v>
      </c>
      <c r="G6232" t="str">
        <f t="shared" si="222"/>
        <v>60440004</v>
      </c>
      <c r="H6232" t="s">
        <v>4173</v>
      </c>
      <c r="J6232" s="4">
        <v>4754</v>
      </c>
    </row>
    <row r="6233" spans="1:10" hidden="1" outlineLevel="2" x14ac:dyDescent="0.35">
      <c r="A6233" t="s">
        <v>3115</v>
      </c>
      <c r="B6233" s="1">
        <v>45728</v>
      </c>
      <c r="C6233" t="str">
        <f>"630"</f>
        <v>630</v>
      </c>
      <c r="D6233" t="s">
        <v>4180</v>
      </c>
      <c r="E6233" t="str">
        <f>"182444"</f>
        <v>182444</v>
      </c>
      <c r="F6233" t="str">
        <f t="shared" si="221"/>
        <v>60460000</v>
      </c>
      <c r="G6233" t="str">
        <f t="shared" si="222"/>
        <v>60440004</v>
      </c>
      <c r="H6233" t="s">
        <v>4181</v>
      </c>
      <c r="J6233" s="4">
        <v>233</v>
      </c>
    </row>
    <row r="6234" spans="1:10" hidden="1" outlineLevel="2" x14ac:dyDescent="0.35">
      <c r="A6234" t="s">
        <v>3115</v>
      </c>
      <c r="B6234" s="1">
        <v>45729</v>
      </c>
      <c r="C6234" t="str">
        <f>"646"</f>
        <v>646</v>
      </c>
      <c r="D6234" t="s">
        <v>4212</v>
      </c>
      <c r="E6234" t="str">
        <f>"170535"</f>
        <v>170535</v>
      </c>
      <c r="F6234" t="str">
        <f t="shared" si="221"/>
        <v>60460000</v>
      </c>
      <c r="G6234" t="str">
        <f t="shared" si="222"/>
        <v>60440004</v>
      </c>
      <c r="H6234" t="s">
        <v>4213</v>
      </c>
      <c r="J6234" s="4">
        <v>2793</v>
      </c>
    </row>
    <row r="6235" spans="1:10" hidden="1" outlineLevel="2" x14ac:dyDescent="0.35">
      <c r="A6235" t="s">
        <v>3115</v>
      </c>
      <c r="B6235" s="1">
        <v>45729</v>
      </c>
      <c r="C6235" t="str">
        <f>"658"</f>
        <v>658</v>
      </c>
      <c r="D6235" t="s">
        <v>4236</v>
      </c>
      <c r="E6235" t="str">
        <f>"183470"</f>
        <v>183470</v>
      </c>
      <c r="F6235" t="str">
        <f t="shared" si="221"/>
        <v>60460000</v>
      </c>
      <c r="G6235" t="str">
        <f t="shared" si="222"/>
        <v>60440004</v>
      </c>
      <c r="H6235" t="s">
        <v>4237</v>
      </c>
      <c r="J6235" s="4">
        <v>673</v>
      </c>
    </row>
    <row r="6236" spans="1:10" hidden="1" outlineLevel="2" x14ac:dyDescent="0.35">
      <c r="A6236" t="s">
        <v>3115</v>
      </c>
      <c r="B6236" s="1">
        <v>45729</v>
      </c>
      <c r="C6236" t="str">
        <f>"661"</f>
        <v>661</v>
      </c>
      <c r="D6236" t="s">
        <v>4242</v>
      </c>
      <c r="E6236" t="str">
        <f>"181944"</f>
        <v>181944</v>
      </c>
      <c r="F6236" t="str">
        <f t="shared" si="221"/>
        <v>60460000</v>
      </c>
      <c r="G6236" t="str">
        <f t="shared" si="222"/>
        <v>60440004</v>
      </c>
      <c r="H6236" t="s">
        <v>4243</v>
      </c>
      <c r="J6236" s="4">
        <v>1051</v>
      </c>
    </row>
    <row r="6237" spans="1:10" hidden="1" outlineLevel="2" x14ac:dyDescent="0.35">
      <c r="A6237" t="s">
        <v>3115</v>
      </c>
      <c r="B6237" s="1">
        <v>45729</v>
      </c>
      <c r="C6237" t="str">
        <f>"663"</f>
        <v>663</v>
      </c>
      <c r="D6237" t="s">
        <v>4246</v>
      </c>
      <c r="E6237" t="str">
        <f>"183331"</f>
        <v>183331</v>
      </c>
      <c r="F6237" t="str">
        <f t="shared" si="221"/>
        <v>60460000</v>
      </c>
      <c r="G6237" t="str">
        <f t="shared" si="222"/>
        <v>60440004</v>
      </c>
      <c r="H6237" t="s">
        <v>4247</v>
      </c>
      <c r="J6237" s="4">
        <v>10352</v>
      </c>
    </row>
    <row r="6238" spans="1:10" hidden="1" outlineLevel="2" x14ac:dyDescent="0.35">
      <c r="A6238" t="s">
        <v>3115</v>
      </c>
      <c r="B6238" s="1">
        <v>45729</v>
      </c>
      <c r="C6238" t="str">
        <f>"664"</f>
        <v>664</v>
      </c>
      <c r="D6238" t="s">
        <v>4248</v>
      </c>
      <c r="E6238" t="str">
        <f>"183469"</f>
        <v>183469</v>
      </c>
      <c r="F6238" t="str">
        <f t="shared" si="221"/>
        <v>60460000</v>
      </c>
      <c r="G6238" t="str">
        <f t="shared" si="222"/>
        <v>60440004</v>
      </c>
      <c r="H6238" t="s">
        <v>4249</v>
      </c>
      <c r="J6238" s="4">
        <v>17820</v>
      </c>
    </row>
    <row r="6239" spans="1:10" hidden="1" outlineLevel="2" x14ac:dyDescent="0.35">
      <c r="A6239" t="s">
        <v>3115</v>
      </c>
      <c r="B6239" s="1">
        <v>45729</v>
      </c>
      <c r="C6239" t="str">
        <f>"667"</f>
        <v>667</v>
      </c>
      <c r="D6239" t="s">
        <v>4254</v>
      </c>
      <c r="E6239" t="str">
        <f>"178446"</f>
        <v>178446</v>
      </c>
      <c r="F6239" t="str">
        <f t="shared" si="221"/>
        <v>60460000</v>
      </c>
      <c r="G6239" t="str">
        <f t="shared" si="222"/>
        <v>60440004</v>
      </c>
      <c r="H6239" t="s">
        <v>4255</v>
      </c>
      <c r="J6239" s="4">
        <v>17500</v>
      </c>
    </row>
    <row r="6240" spans="1:10" hidden="1" outlineLevel="2" x14ac:dyDescent="0.35">
      <c r="A6240" t="s">
        <v>3115</v>
      </c>
      <c r="B6240" s="1">
        <v>45729</v>
      </c>
      <c r="C6240" t="str">
        <f>"669"</f>
        <v>669</v>
      </c>
      <c r="D6240" t="s">
        <v>4258</v>
      </c>
      <c r="E6240" t="str">
        <f>"181941"</f>
        <v>181941</v>
      </c>
      <c r="F6240" t="str">
        <f t="shared" si="221"/>
        <v>60460000</v>
      </c>
      <c r="G6240" t="str">
        <f t="shared" si="222"/>
        <v>60440004</v>
      </c>
      <c r="H6240" t="s">
        <v>4259</v>
      </c>
      <c r="J6240" s="4">
        <v>1314</v>
      </c>
    </row>
    <row r="6241" spans="1:10" hidden="1" outlineLevel="2" x14ac:dyDescent="0.35">
      <c r="A6241" t="s">
        <v>3115</v>
      </c>
      <c r="B6241" s="1">
        <v>45729</v>
      </c>
      <c r="C6241" t="str">
        <f>"672"</f>
        <v>672</v>
      </c>
      <c r="D6241" t="s">
        <v>4264</v>
      </c>
      <c r="E6241" t="str">
        <f>"182148"</f>
        <v>182148</v>
      </c>
      <c r="F6241" t="str">
        <f t="shared" si="221"/>
        <v>60460000</v>
      </c>
      <c r="G6241" t="str">
        <f t="shared" si="222"/>
        <v>60440004</v>
      </c>
      <c r="H6241" t="s">
        <v>4265</v>
      </c>
      <c r="J6241" s="4">
        <v>1150</v>
      </c>
    </row>
    <row r="6242" spans="1:10" hidden="1" outlineLevel="2" x14ac:dyDescent="0.35">
      <c r="A6242" t="s">
        <v>3115</v>
      </c>
      <c r="B6242" s="1">
        <v>45729</v>
      </c>
      <c r="C6242" t="str">
        <f>"677"</f>
        <v>677</v>
      </c>
      <c r="D6242" t="s">
        <v>4274</v>
      </c>
      <c r="E6242" t="str">
        <f>"182201"</f>
        <v>182201</v>
      </c>
      <c r="F6242" t="str">
        <f t="shared" si="221"/>
        <v>60460000</v>
      </c>
      <c r="G6242" t="str">
        <f t="shared" si="222"/>
        <v>60440004</v>
      </c>
      <c r="H6242" t="s">
        <v>4275</v>
      </c>
      <c r="J6242" s="4">
        <v>1360</v>
      </c>
    </row>
    <row r="6243" spans="1:10" hidden="1" outlineLevel="2" x14ac:dyDescent="0.35">
      <c r="A6243" t="s">
        <v>3115</v>
      </c>
      <c r="B6243" s="1">
        <v>45729</v>
      </c>
      <c r="C6243" t="str">
        <f>"682"</f>
        <v>682</v>
      </c>
      <c r="D6243" t="s">
        <v>4284</v>
      </c>
      <c r="E6243" t="str">
        <f>"180464"</f>
        <v>180464</v>
      </c>
      <c r="F6243" t="str">
        <f t="shared" si="221"/>
        <v>60460000</v>
      </c>
      <c r="G6243" t="str">
        <f t="shared" si="222"/>
        <v>60440004</v>
      </c>
      <c r="H6243" t="s">
        <v>4285</v>
      </c>
      <c r="J6243" s="4">
        <v>300</v>
      </c>
    </row>
    <row r="6244" spans="1:10" hidden="1" outlineLevel="2" x14ac:dyDescent="0.35">
      <c r="A6244" t="s">
        <v>3115</v>
      </c>
      <c r="B6244" s="1">
        <v>45729</v>
      </c>
      <c r="C6244" t="str">
        <f>"687"</f>
        <v>687</v>
      </c>
      <c r="D6244" t="s">
        <v>4294</v>
      </c>
      <c r="E6244" t="str">
        <f>"177548"</f>
        <v>177548</v>
      </c>
      <c r="F6244" t="str">
        <f t="shared" si="221"/>
        <v>60460000</v>
      </c>
      <c r="G6244" t="str">
        <f t="shared" si="222"/>
        <v>60440004</v>
      </c>
      <c r="H6244" t="s">
        <v>4295</v>
      </c>
      <c r="J6244" s="4">
        <v>614</v>
      </c>
    </row>
    <row r="6245" spans="1:10" hidden="1" outlineLevel="2" x14ac:dyDescent="0.35">
      <c r="A6245" t="s">
        <v>3115</v>
      </c>
      <c r="B6245" s="1">
        <v>45729</v>
      </c>
      <c r="C6245" t="str">
        <f>"688"</f>
        <v>688</v>
      </c>
      <c r="D6245" t="s">
        <v>4296</v>
      </c>
      <c r="E6245" t="str">
        <f>"182450"</f>
        <v>182450</v>
      </c>
      <c r="F6245" t="str">
        <f t="shared" si="221"/>
        <v>60460000</v>
      </c>
      <c r="G6245" t="str">
        <f t="shared" si="222"/>
        <v>60440004</v>
      </c>
      <c r="H6245" t="s">
        <v>4297</v>
      </c>
      <c r="J6245" s="4">
        <v>673</v>
      </c>
    </row>
    <row r="6246" spans="1:10" hidden="1" outlineLevel="2" x14ac:dyDescent="0.35">
      <c r="A6246" t="s">
        <v>3115</v>
      </c>
      <c r="B6246" s="1">
        <v>45729</v>
      </c>
      <c r="C6246" t="str">
        <f>"689"</f>
        <v>689</v>
      </c>
      <c r="D6246" t="s">
        <v>4298</v>
      </c>
      <c r="E6246" t="str">
        <f>"177549"</f>
        <v>177549</v>
      </c>
      <c r="F6246" t="str">
        <f t="shared" si="221"/>
        <v>60460000</v>
      </c>
      <c r="G6246" t="str">
        <f t="shared" si="222"/>
        <v>60440004</v>
      </c>
      <c r="H6246" t="s">
        <v>4299</v>
      </c>
      <c r="J6246" s="4">
        <v>2500</v>
      </c>
    </row>
    <row r="6247" spans="1:10" hidden="1" outlineLevel="2" x14ac:dyDescent="0.35">
      <c r="A6247" t="s">
        <v>3115</v>
      </c>
      <c r="B6247" s="1">
        <v>45729</v>
      </c>
      <c r="C6247" t="str">
        <f>"690"</f>
        <v>690</v>
      </c>
      <c r="D6247" t="s">
        <v>4300</v>
      </c>
      <c r="E6247" t="str">
        <f>"177550"</f>
        <v>177550</v>
      </c>
      <c r="F6247" t="str">
        <f t="shared" si="221"/>
        <v>60460000</v>
      </c>
      <c r="G6247" t="str">
        <f t="shared" si="222"/>
        <v>60440004</v>
      </c>
      <c r="H6247" t="s">
        <v>4301</v>
      </c>
      <c r="J6247" s="4">
        <v>1798</v>
      </c>
    </row>
    <row r="6248" spans="1:10" hidden="1" outlineLevel="2" x14ac:dyDescent="0.35">
      <c r="A6248" t="s">
        <v>3115</v>
      </c>
      <c r="B6248" s="1">
        <v>45730</v>
      </c>
      <c r="C6248" t="str">
        <f>"178"</f>
        <v>178</v>
      </c>
      <c r="D6248" t="s">
        <v>4322</v>
      </c>
      <c r="E6248" t="str">
        <f>"182208"</f>
        <v>182208</v>
      </c>
      <c r="F6248" t="str">
        <f t="shared" si="221"/>
        <v>60460000</v>
      </c>
      <c r="G6248" t="str">
        <f t="shared" si="222"/>
        <v>60440004</v>
      </c>
      <c r="H6248" t="s">
        <v>4323</v>
      </c>
      <c r="J6248" s="4">
        <v>125</v>
      </c>
    </row>
    <row r="6249" spans="1:10" hidden="1" outlineLevel="2" x14ac:dyDescent="0.35">
      <c r="A6249" t="s">
        <v>3115</v>
      </c>
      <c r="B6249" s="1">
        <v>45730</v>
      </c>
      <c r="C6249" t="str">
        <f>"179"</f>
        <v>179</v>
      </c>
      <c r="D6249" t="s">
        <v>4324</v>
      </c>
      <c r="E6249" t="str">
        <f>"182209"</f>
        <v>182209</v>
      </c>
      <c r="F6249" t="str">
        <f t="shared" si="221"/>
        <v>60460000</v>
      </c>
      <c r="G6249" t="str">
        <f t="shared" si="222"/>
        <v>60440004</v>
      </c>
      <c r="H6249" t="s">
        <v>4325</v>
      </c>
      <c r="J6249" s="4">
        <v>309</v>
      </c>
    </row>
    <row r="6250" spans="1:10" hidden="1" outlineLevel="2" x14ac:dyDescent="0.35">
      <c r="A6250" t="s">
        <v>3115</v>
      </c>
      <c r="B6250" s="1">
        <v>45730</v>
      </c>
      <c r="C6250" t="str">
        <f>"180"</f>
        <v>180</v>
      </c>
      <c r="D6250" t="s">
        <v>4326</v>
      </c>
      <c r="E6250" t="str">
        <f>"180501"</f>
        <v>180501</v>
      </c>
      <c r="F6250" t="str">
        <f t="shared" si="221"/>
        <v>60460000</v>
      </c>
      <c r="G6250" t="str">
        <f t="shared" si="222"/>
        <v>60440004</v>
      </c>
      <c r="H6250" t="s">
        <v>4327</v>
      </c>
      <c r="J6250" s="4">
        <v>1718</v>
      </c>
    </row>
    <row r="6251" spans="1:10" hidden="1" outlineLevel="2" x14ac:dyDescent="0.35">
      <c r="A6251" t="s">
        <v>3115</v>
      </c>
      <c r="B6251" s="1">
        <v>45730</v>
      </c>
      <c r="C6251" t="str">
        <f>"185"</f>
        <v>185</v>
      </c>
      <c r="D6251" t="s">
        <v>4336</v>
      </c>
      <c r="E6251" t="str">
        <f>"181996"</f>
        <v>181996</v>
      </c>
      <c r="F6251" t="str">
        <f t="shared" ref="F6251:F6314" si="223">"60460000"</f>
        <v>60460000</v>
      </c>
      <c r="G6251" t="str">
        <f t="shared" ref="G6251:G6314" si="224">"60440004"</f>
        <v>60440004</v>
      </c>
      <c r="H6251" t="s">
        <v>4337</v>
      </c>
      <c r="J6251" s="4">
        <v>230</v>
      </c>
    </row>
    <row r="6252" spans="1:10" hidden="1" outlineLevel="2" x14ac:dyDescent="0.35">
      <c r="A6252" t="s">
        <v>3115</v>
      </c>
      <c r="B6252" s="1">
        <v>45730</v>
      </c>
      <c r="C6252" t="str">
        <f>"187"</f>
        <v>187</v>
      </c>
      <c r="D6252" t="s">
        <v>4340</v>
      </c>
      <c r="E6252" t="str">
        <f>"162592"</f>
        <v>162592</v>
      </c>
      <c r="F6252" t="str">
        <f t="shared" si="223"/>
        <v>60460000</v>
      </c>
      <c r="G6252" t="str">
        <f t="shared" si="224"/>
        <v>60440004</v>
      </c>
      <c r="H6252" t="s">
        <v>4341</v>
      </c>
      <c r="J6252" s="4">
        <v>350</v>
      </c>
    </row>
    <row r="6253" spans="1:10" hidden="1" outlineLevel="2" x14ac:dyDescent="0.35">
      <c r="A6253" t="s">
        <v>3115</v>
      </c>
      <c r="B6253" s="1">
        <v>45730</v>
      </c>
      <c r="C6253" t="str">
        <f>"189"</f>
        <v>189</v>
      </c>
      <c r="D6253" t="s">
        <v>4344</v>
      </c>
      <c r="E6253" t="str">
        <f>"181841"</f>
        <v>181841</v>
      </c>
      <c r="F6253" t="str">
        <f t="shared" si="223"/>
        <v>60460000</v>
      </c>
      <c r="G6253" t="str">
        <f t="shared" si="224"/>
        <v>60440004</v>
      </c>
      <c r="H6253" t="s">
        <v>4345</v>
      </c>
      <c r="J6253" s="4">
        <v>1500</v>
      </c>
    </row>
    <row r="6254" spans="1:10" hidden="1" outlineLevel="2" x14ac:dyDescent="0.35">
      <c r="A6254" t="s">
        <v>3115</v>
      </c>
      <c r="B6254" s="1">
        <v>45730</v>
      </c>
      <c r="C6254" t="str">
        <f>"190"</f>
        <v>190</v>
      </c>
      <c r="D6254" t="s">
        <v>4346</v>
      </c>
      <c r="E6254" t="str">
        <f>"183334"</f>
        <v>183334</v>
      </c>
      <c r="F6254" t="str">
        <f t="shared" si="223"/>
        <v>60460000</v>
      </c>
      <c r="G6254" t="str">
        <f t="shared" si="224"/>
        <v>60440004</v>
      </c>
      <c r="H6254" t="s">
        <v>4347</v>
      </c>
      <c r="J6254" s="4">
        <v>72900</v>
      </c>
    </row>
    <row r="6255" spans="1:10" hidden="1" outlineLevel="2" x14ac:dyDescent="0.35">
      <c r="A6255" t="s">
        <v>3115</v>
      </c>
      <c r="B6255" s="1">
        <v>45730</v>
      </c>
      <c r="C6255" t="str">
        <f>"193"</f>
        <v>193</v>
      </c>
      <c r="D6255" t="s">
        <v>4352</v>
      </c>
      <c r="E6255" t="str">
        <f>"183473"</f>
        <v>183473</v>
      </c>
      <c r="F6255" t="str">
        <f t="shared" si="223"/>
        <v>60460000</v>
      </c>
      <c r="G6255" t="str">
        <f t="shared" si="224"/>
        <v>60440004</v>
      </c>
      <c r="H6255" t="s">
        <v>4353</v>
      </c>
      <c r="J6255" s="4">
        <v>673</v>
      </c>
    </row>
    <row r="6256" spans="1:10" hidden="1" outlineLevel="2" x14ac:dyDescent="0.35">
      <c r="A6256" t="s">
        <v>3115</v>
      </c>
      <c r="B6256" s="1">
        <v>45730</v>
      </c>
      <c r="C6256" t="str">
        <f>"194"</f>
        <v>194</v>
      </c>
      <c r="D6256" t="s">
        <v>4354</v>
      </c>
      <c r="E6256" t="str">
        <f>"183355"</f>
        <v>183355</v>
      </c>
      <c r="F6256" t="str">
        <f t="shared" si="223"/>
        <v>60460000</v>
      </c>
      <c r="G6256" t="str">
        <f t="shared" si="224"/>
        <v>60440004</v>
      </c>
      <c r="H6256" t="s">
        <v>4355</v>
      </c>
      <c r="J6256" s="4">
        <v>66028</v>
      </c>
    </row>
    <row r="6257" spans="1:10" hidden="1" outlineLevel="2" x14ac:dyDescent="0.35">
      <c r="A6257" t="s">
        <v>3115</v>
      </c>
      <c r="B6257" s="1">
        <v>45730</v>
      </c>
      <c r="C6257" t="str">
        <f>"195"</f>
        <v>195</v>
      </c>
      <c r="D6257" t="s">
        <v>4356</v>
      </c>
      <c r="E6257" t="str">
        <f>"183354"</f>
        <v>183354</v>
      </c>
      <c r="F6257" t="str">
        <f t="shared" si="223"/>
        <v>60460000</v>
      </c>
      <c r="G6257" t="str">
        <f t="shared" si="224"/>
        <v>60440004</v>
      </c>
      <c r="H6257" t="s">
        <v>4357</v>
      </c>
      <c r="J6257" s="4">
        <v>25936</v>
      </c>
    </row>
    <row r="6258" spans="1:10" hidden="1" outlineLevel="2" x14ac:dyDescent="0.35">
      <c r="A6258" t="s">
        <v>3115</v>
      </c>
      <c r="B6258" s="1">
        <v>45730</v>
      </c>
      <c r="C6258" t="str">
        <f>"199"</f>
        <v>199</v>
      </c>
      <c r="D6258" t="s">
        <v>4364</v>
      </c>
      <c r="E6258" t="str">
        <f>"183471"</f>
        <v>183471</v>
      </c>
      <c r="F6258" t="str">
        <f t="shared" si="223"/>
        <v>60460000</v>
      </c>
      <c r="G6258" t="str">
        <f t="shared" si="224"/>
        <v>60440004</v>
      </c>
      <c r="H6258" t="s">
        <v>4365</v>
      </c>
      <c r="J6258" s="4">
        <v>1346</v>
      </c>
    </row>
    <row r="6259" spans="1:10" hidden="1" outlineLevel="2" x14ac:dyDescent="0.35">
      <c r="A6259" t="s">
        <v>3115</v>
      </c>
      <c r="B6259" s="1">
        <v>45730</v>
      </c>
      <c r="C6259" t="str">
        <f>"200"</f>
        <v>200</v>
      </c>
      <c r="D6259" t="s">
        <v>4366</v>
      </c>
      <c r="E6259" t="str">
        <f>"181246"</f>
        <v>181246</v>
      </c>
      <c r="F6259" t="str">
        <f t="shared" si="223"/>
        <v>60460000</v>
      </c>
      <c r="G6259" t="str">
        <f t="shared" si="224"/>
        <v>60440004</v>
      </c>
      <c r="H6259" t="s">
        <v>4367</v>
      </c>
      <c r="J6259" s="4">
        <v>900</v>
      </c>
    </row>
    <row r="6260" spans="1:10" hidden="1" outlineLevel="2" x14ac:dyDescent="0.35">
      <c r="A6260" t="s">
        <v>3115</v>
      </c>
      <c r="B6260" s="1">
        <v>45730</v>
      </c>
      <c r="C6260" t="str">
        <f>"201"</f>
        <v>201</v>
      </c>
      <c r="D6260" t="s">
        <v>4368</v>
      </c>
      <c r="E6260" t="str">
        <f>"183472"</f>
        <v>183472</v>
      </c>
      <c r="F6260" t="str">
        <f t="shared" si="223"/>
        <v>60460000</v>
      </c>
      <c r="G6260" t="str">
        <f t="shared" si="224"/>
        <v>60440004</v>
      </c>
      <c r="H6260" t="s">
        <v>4369</v>
      </c>
      <c r="J6260" s="4">
        <v>14966</v>
      </c>
    </row>
    <row r="6261" spans="1:10" hidden="1" outlineLevel="2" x14ac:dyDescent="0.35">
      <c r="A6261" t="s">
        <v>3115</v>
      </c>
      <c r="B6261" s="1">
        <v>45730</v>
      </c>
      <c r="C6261" t="str">
        <f>"204"</f>
        <v>204</v>
      </c>
      <c r="D6261" t="s">
        <v>4374</v>
      </c>
      <c r="E6261" t="str">
        <f>"181748"</f>
        <v>181748</v>
      </c>
      <c r="F6261" t="str">
        <f t="shared" si="223"/>
        <v>60460000</v>
      </c>
      <c r="G6261" t="str">
        <f t="shared" si="224"/>
        <v>60440004</v>
      </c>
      <c r="H6261" t="s">
        <v>4375</v>
      </c>
      <c r="J6261" s="4">
        <v>43650</v>
      </c>
    </row>
    <row r="6262" spans="1:10" hidden="1" outlineLevel="2" x14ac:dyDescent="0.35">
      <c r="A6262" t="s">
        <v>3115</v>
      </c>
      <c r="B6262" s="1">
        <v>45730</v>
      </c>
      <c r="C6262" t="str">
        <f>"205"</f>
        <v>205</v>
      </c>
      <c r="D6262" t="s">
        <v>4376</v>
      </c>
      <c r="E6262" t="str">
        <f>"182206"</f>
        <v>182206</v>
      </c>
      <c r="F6262" t="str">
        <f t="shared" si="223"/>
        <v>60460000</v>
      </c>
      <c r="G6262" t="str">
        <f t="shared" si="224"/>
        <v>60440004</v>
      </c>
      <c r="H6262" t="s">
        <v>4377</v>
      </c>
      <c r="J6262" s="4">
        <v>700</v>
      </c>
    </row>
    <row r="6263" spans="1:10" hidden="1" outlineLevel="2" x14ac:dyDescent="0.35">
      <c r="A6263" t="s">
        <v>3115</v>
      </c>
      <c r="B6263" s="1">
        <v>45730</v>
      </c>
      <c r="C6263" t="str">
        <f>"1141"</f>
        <v>1141</v>
      </c>
      <c r="D6263" t="s">
        <v>4382</v>
      </c>
      <c r="E6263" t="str">
        <f>"181949"</f>
        <v>181949</v>
      </c>
      <c r="F6263" t="str">
        <f t="shared" si="223"/>
        <v>60460000</v>
      </c>
      <c r="G6263" t="str">
        <f t="shared" si="224"/>
        <v>60440004</v>
      </c>
      <c r="H6263" t="s">
        <v>4383</v>
      </c>
      <c r="J6263" s="4">
        <v>4062</v>
      </c>
    </row>
    <row r="6264" spans="1:10" hidden="1" outlineLevel="2" x14ac:dyDescent="0.35">
      <c r="A6264" t="s">
        <v>3115</v>
      </c>
      <c r="B6264" s="1">
        <v>45730</v>
      </c>
      <c r="C6264" t="str">
        <f>"1142"</f>
        <v>1142</v>
      </c>
      <c r="D6264" t="s">
        <v>4384</v>
      </c>
      <c r="E6264" t="str">
        <f>"162591"</f>
        <v>162591</v>
      </c>
      <c r="F6264" t="str">
        <f t="shared" si="223"/>
        <v>60460000</v>
      </c>
      <c r="G6264" t="str">
        <f t="shared" si="224"/>
        <v>60440004</v>
      </c>
      <c r="H6264" t="s">
        <v>4385</v>
      </c>
      <c r="J6264" s="4">
        <v>34500</v>
      </c>
    </row>
    <row r="6265" spans="1:10" hidden="1" outlineLevel="2" x14ac:dyDescent="0.35">
      <c r="A6265" t="s">
        <v>3115</v>
      </c>
      <c r="B6265" s="1">
        <v>45730</v>
      </c>
      <c r="C6265" t="str">
        <f>"1143"</f>
        <v>1143</v>
      </c>
      <c r="D6265" t="s">
        <v>4386</v>
      </c>
      <c r="E6265" t="str">
        <f>"183335"</f>
        <v>183335</v>
      </c>
      <c r="F6265" t="str">
        <f t="shared" si="223"/>
        <v>60460000</v>
      </c>
      <c r="G6265" t="str">
        <f t="shared" si="224"/>
        <v>60440004</v>
      </c>
      <c r="H6265" t="s">
        <v>4387</v>
      </c>
      <c r="J6265" s="4">
        <v>294</v>
      </c>
    </row>
    <row r="6266" spans="1:10" hidden="1" outlineLevel="2" x14ac:dyDescent="0.35">
      <c r="A6266" t="s">
        <v>3115</v>
      </c>
      <c r="B6266" s="1">
        <v>45730</v>
      </c>
      <c r="C6266" t="str">
        <f>"1144"</f>
        <v>1144</v>
      </c>
      <c r="D6266" t="s">
        <v>4388</v>
      </c>
      <c r="E6266" t="str">
        <f>"181949"</f>
        <v>181949</v>
      </c>
      <c r="F6266" t="str">
        <f t="shared" si="223"/>
        <v>60460000</v>
      </c>
      <c r="G6266" t="str">
        <f t="shared" si="224"/>
        <v>60440004</v>
      </c>
      <c r="H6266" t="s">
        <v>4389</v>
      </c>
      <c r="J6266" s="4">
        <v>8967</v>
      </c>
    </row>
    <row r="6267" spans="1:10" hidden="1" outlineLevel="2" x14ac:dyDescent="0.35">
      <c r="A6267" t="s">
        <v>3115</v>
      </c>
      <c r="B6267" s="1">
        <v>45731</v>
      </c>
      <c r="C6267" t="str">
        <f>"763"</f>
        <v>763</v>
      </c>
      <c r="D6267" t="s">
        <v>4420</v>
      </c>
      <c r="E6267" t="str">
        <f>"183474"</f>
        <v>183474</v>
      </c>
      <c r="F6267" t="str">
        <f t="shared" si="223"/>
        <v>60460000</v>
      </c>
      <c r="G6267" t="str">
        <f t="shared" si="224"/>
        <v>60440004</v>
      </c>
      <c r="H6267" t="s">
        <v>4421</v>
      </c>
      <c r="J6267" s="4">
        <v>6900</v>
      </c>
    </row>
    <row r="6268" spans="1:10" hidden="1" outlineLevel="2" x14ac:dyDescent="0.35">
      <c r="A6268" t="s">
        <v>3115</v>
      </c>
      <c r="B6268" s="1">
        <v>45731</v>
      </c>
      <c r="C6268" t="str">
        <f>"764"</f>
        <v>764</v>
      </c>
      <c r="D6268" t="s">
        <v>4422</v>
      </c>
      <c r="E6268" t="str">
        <f>"182212"</f>
        <v>182212</v>
      </c>
      <c r="F6268" t="str">
        <f t="shared" si="223"/>
        <v>60460000</v>
      </c>
      <c r="G6268" t="str">
        <f t="shared" si="224"/>
        <v>60440004</v>
      </c>
      <c r="H6268" t="s">
        <v>4423</v>
      </c>
      <c r="J6268" s="4">
        <v>107</v>
      </c>
    </row>
    <row r="6269" spans="1:10" hidden="1" outlineLevel="2" x14ac:dyDescent="0.35">
      <c r="A6269" t="s">
        <v>3115</v>
      </c>
      <c r="B6269" s="1">
        <v>45731</v>
      </c>
      <c r="C6269" t="str">
        <f>"768"</f>
        <v>768</v>
      </c>
      <c r="D6269" t="s">
        <v>4430</v>
      </c>
      <c r="E6269" t="str">
        <f>"181247"</f>
        <v>181247</v>
      </c>
      <c r="F6269" t="str">
        <f t="shared" si="223"/>
        <v>60460000</v>
      </c>
      <c r="G6269" t="str">
        <f t="shared" si="224"/>
        <v>60440004</v>
      </c>
      <c r="H6269" t="s">
        <v>4431</v>
      </c>
      <c r="J6269" s="4">
        <v>147</v>
      </c>
    </row>
    <row r="6270" spans="1:10" hidden="1" outlineLevel="2" x14ac:dyDescent="0.35">
      <c r="A6270" t="s">
        <v>3115</v>
      </c>
      <c r="B6270" s="1">
        <v>45732</v>
      </c>
      <c r="C6270" t="str">
        <f>"752"</f>
        <v>752</v>
      </c>
      <c r="D6270" t="s">
        <v>4436</v>
      </c>
      <c r="E6270" t="str">
        <f>"182214"</f>
        <v>182214</v>
      </c>
      <c r="F6270" t="str">
        <f t="shared" si="223"/>
        <v>60460000</v>
      </c>
      <c r="G6270" t="str">
        <f t="shared" si="224"/>
        <v>60440004</v>
      </c>
      <c r="H6270" t="s">
        <v>4437</v>
      </c>
      <c r="J6270" s="4">
        <v>700</v>
      </c>
    </row>
    <row r="6271" spans="1:10" hidden="1" outlineLevel="2" x14ac:dyDescent="0.35">
      <c r="A6271" t="s">
        <v>3115</v>
      </c>
      <c r="B6271" s="1">
        <v>45732</v>
      </c>
      <c r="C6271" t="str">
        <f>"753"</f>
        <v>753</v>
      </c>
      <c r="D6271" t="s">
        <v>4438</v>
      </c>
      <c r="E6271" t="str">
        <f>"180502"</f>
        <v>180502</v>
      </c>
      <c r="F6271" t="str">
        <f t="shared" si="223"/>
        <v>60460000</v>
      </c>
      <c r="G6271" t="str">
        <f t="shared" si="224"/>
        <v>60440004</v>
      </c>
      <c r="H6271" t="s">
        <v>4439</v>
      </c>
      <c r="J6271" s="4">
        <v>13583</v>
      </c>
    </row>
    <row r="6272" spans="1:10" hidden="1" outlineLevel="2" x14ac:dyDescent="0.35">
      <c r="A6272" t="s">
        <v>3115</v>
      </c>
      <c r="B6272" s="1">
        <v>45732</v>
      </c>
      <c r="C6272" t="str">
        <f>"754"</f>
        <v>754</v>
      </c>
      <c r="D6272" t="s">
        <v>4440</v>
      </c>
      <c r="E6272" t="str">
        <f>"180503"</f>
        <v>180503</v>
      </c>
      <c r="F6272" t="str">
        <f t="shared" si="223"/>
        <v>60460000</v>
      </c>
      <c r="G6272" t="str">
        <f t="shared" si="224"/>
        <v>60440004</v>
      </c>
      <c r="H6272" t="s">
        <v>4441</v>
      </c>
      <c r="J6272" s="4">
        <v>435</v>
      </c>
    </row>
    <row r="6273" spans="1:10" hidden="1" outlineLevel="2" x14ac:dyDescent="0.35">
      <c r="A6273" t="s">
        <v>3115</v>
      </c>
      <c r="B6273" s="1">
        <v>45733</v>
      </c>
      <c r="C6273" t="str">
        <f>"691"</f>
        <v>691</v>
      </c>
      <c r="D6273" t="s">
        <v>4444</v>
      </c>
      <c r="E6273" t="str">
        <f>"183476"</f>
        <v>183476</v>
      </c>
      <c r="F6273" t="str">
        <f t="shared" si="223"/>
        <v>60460000</v>
      </c>
      <c r="G6273" t="str">
        <f t="shared" si="224"/>
        <v>60440004</v>
      </c>
      <c r="H6273" t="s">
        <v>4445</v>
      </c>
      <c r="J6273" s="4">
        <v>95347</v>
      </c>
    </row>
    <row r="6274" spans="1:10" hidden="1" outlineLevel="2" x14ac:dyDescent="0.35">
      <c r="A6274" t="s">
        <v>3115</v>
      </c>
      <c r="B6274" s="1">
        <v>45733</v>
      </c>
      <c r="C6274" t="str">
        <f>"692"</f>
        <v>692</v>
      </c>
      <c r="D6274" t="s">
        <v>4446</v>
      </c>
      <c r="E6274" t="str">
        <f>"183356"</f>
        <v>183356</v>
      </c>
      <c r="F6274" t="str">
        <f t="shared" si="223"/>
        <v>60460000</v>
      </c>
      <c r="G6274" t="str">
        <f t="shared" si="224"/>
        <v>60440004</v>
      </c>
      <c r="H6274" t="s">
        <v>4447</v>
      </c>
      <c r="J6274" s="4">
        <v>30006</v>
      </c>
    </row>
    <row r="6275" spans="1:10" hidden="1" outlineLevel="2" x14ac:dyDescent="0.35">
      <c r="A6275" t="s">
        <v>3115</v>
      </c>
      <c r="B6275" s="1">
        <v>45733</v>
      </c>
      <c r="C6275" t="str">
        <f>"693"</f>
        <v>693</v>
      </c>
      <c r="D6275" t="s">
        <v>4448</v>
      </c>
      <c r="E6275" t="str">
        <f>"182218"</f>
        <v>182218</v>
      </c>
      <c r="F6275" t="str">
        <f t="shared" si="223"/>
        <v>60460000</v>
      </c>
      <c r="G6275" t="str">
        <f t="shared" si="224"/>
        <v>60440004</v>
      </c>
      <c r="H6275" t="s">
        <v>4449</v>
      </c>
      <c r="J6275" s="4">
        <v>2500</v>
      </c>
    </row>
    <row r="6276" spans="1:10" hidden="1" outlineLevel="2" x14ac:dyDescent="0.35">
      <c r="A6276" t="s">
        <v>3115</v>
      </c>
      <c r="B6276" s="1">
        <v>45733</v>
      </c>
      <c r="C6276" t="str">
        <f>"694"</f>
        <v>694</v>
      </c>
      <c r="D6276" t="s">
        <v>4450</v>
      </c>
      <c r="E6276" t="str">
        <f>"182219"</f>
        <v>182219</v>
      </c>
      <c r="F6276" t="str">
        <f t="shared" si="223"/>
        <v>60460000</v>
      </c>
      <c r="G6276" t="str">
        <f t="shared" si="224"/>
        <v>60440004</v>
      </c>
      <c r="H6276" t="s">
        <v>4451</v>
      </c>
      <c r="J6276" s="4">
        <v>4500</v>
      </c>
    </row>
    <row r="6277" spans="1:10" hidden="1" outlineLevel="2" x14ac:dyDescent="0.35">
      <c r="A6277" t="s">
        <v>3115</v>
      </c>
      <c r="B6277" s="1">
        <v>45733</v>
      </c>
      <c r="C6277" t="str">
        <f>"695"</f>
        <v>695</v>
      </c>
      <c r="D6277" t="s">
        <v>4452</v>
      </c>
      <c r="E6277" t="str">
        <f>"181250"</f>
        <v>181250</v>
      </c>
      <c r="F6277" t="str">
        <f t="shared" si="223"/>
        <v>60460000</v>
      </c>
      <c r="G6277" t="str">
        <f t="shared" si="224"/>
        <v>60440004</v>
      </c>
      <c r="H6277" t="s">
        <v>4453</v>
      </c>
      <c r="J6277" s="4">
        <v>1525</v>
      </c>
    </row>
    <row r="6278" spans="1:10" hidden="1" outlineLevel="2" x14ac:dyDescent="0.35">
      <c r="A6278" t="s">
        <v>3115</v>
      </c>
      <c r="B6278" s="1">
        <v>45733</v>
      </c>
      <c r="C6278" t="str">
        <f>"696"</f>
        <v>696</v>
      </c>
      <c r="D6278" t="s">
        <v>4454</v>
      </c>
      <c r="E6278" t="str">
        <f>"181250"</f>
        <v>181250</v>
      </c>
      <c r="F6278" t="str">
        <f t="shared" si="223"/>
        <v>60460000</v>
      </c>
      <c r="G6278" t="str">
        <f t="shared" si="224"/>
        <v>60440004</v>
      </c>
      <c r="H6278" t="s">
        <v>4455</v>
      </c>
      <c r="J6278" s="4">
        <v>300</v>
      </c>
    </row>
    <row r="6279" spans="1:10" hidden="1" outlineLevel="2" x14ac:dyDescent="0.35">
      <c r="A6279" t="s">
        <v>3115</v>
      </c>
      <c r="B6279" s="1">
        <v>45733</v>
      </c>
      <c r="C6279" t="str">
        <f>"697"</f>
        <v>697</v>
      </c>
      <c r="D6279" t="s">
        <v>4456</v>
      </c>
      <c r="E6279" t="str">
        <f>"182276"</f>
        <v>182276</v>
      </c>
      <c r="F6279" t="str">
        <f t="shared" si="223"/>
        <v>60460000</v>
      </c>
      <c r="G6279" t="str">
        <f t="shared" si="224"/>
        <v>60440004</v>
      </c>
      <c r="H6279" t="s">
        <v>4457</v>
      </c>
      <c r="J6279" s="4">
        <v>39465</v>
      </c>
    </row>
    <row r="6280" spans="1:10" hidden="1" outlineLevel="2" x14ac:dyDescent="0.35">
      <c r="A6280" t="s">
        <v>3115</v>
      </c>
      <c r="B6280" s="1">
        <v>45733</v>
      </c>
      <c r="C6280" t="str">
        <f>"698"</f>
        <v>698</v>
      </c>
      <c r="D6280" t="s">
        <v>4458</v>
      </c>
      <c r="E6280" t="str">
        <f>"180505"</f>
        <v>180505</v>
      </c>
      <c r="F6280" t="str">
        <f t="shared" si="223"/>
        <v>60460000</v>
      </c>
      <c r="G6280" t="str">
        <f t="shared" si="224"/>
        <v>60440004</v>
      </c>
      <c r="H6280" t="s">
        <v>4459</v>
      </c>
      <c r="J6280" s="4">
        <v>2019</v>
      </c>
    </row>
    <row r="6281" spans="1:10" hidden="1" outlineLevel="2" x14ac:dyDescent="0.35">
      <c r="A6281" t="s">
        <v>3115</v>
      </c>
      <c r="B6281" s="1">
        <v>45733</v>
      </c>
      <c r="C6281" t="str">
        <f>"699"</f>
        <v>699</v>
      </c>
      <c r="D6281" t="s">
        <v>4460</v>
      </c>
      <c r="E6281" t="str">
        <f>"180506"</f>
        <v>180506</v>
      </c>
      <c r="F6281" t="str">
        <f t="shared" si="223"/>
        <v>60460000</v>
      </c>
      <c r="G6281" t="str">
        <f t="shared" si="224"/>
        <v>60440004</v>
      </c>
      <c r="H6281" t="s">
        <v>4461</v>
      </c>
      <c r="J6281" s="4">
        <v>356</v>
      </c>
    </row>
    <row r="6282" spans="1:10" hidden="1" outlineLevel="2" x14ac:dyDescent="0.35">
      <c r="A6282" t="s">
        <v>3115</v>
      </c>
      <c r="B6282" s="1">
        <v>45733</v>
      </c>
      <c r="C6282" t="str">
        <f>"700"</f>
        <v>700</v>
      </c>
      <c r="D6282" t="s">
        <v>4462</v>
      </c>
      <c r="E6282" t="str">
        <f>"180506"</f>
        <v>180506</v>
      </c>
      <c r="F6282" t="str">
        <f t="shared" si="223"/>
        <v>60460000</v>
      </c>
      <c r="G6282" t="str">
        <f t="shared" si="224"/>
        <v>60440004</v>
      </c>
      <c r="H6282" t="s">
        <v>4463</v>
      </c>
      <c r="J6282" s="4">
        <v>279</v>
      </c>
    </row>
    <row r="6283" spans="1:10" hidden="1" outlineLevel="2" x14ac:dyDescent="0.35">
      <c r="A6283" t="s">
        <v>3115</v>
      </c>
      <c r="B6283" s="1">
        <v>45733</v>
      </c>
      <c r="C6283" t="str">
        <f>"701"</f>
        <v>701</v>
      </c>
      <c r="D6283" t="s">
        <v>4464</v>
      </c>
      <c r="E6283" t="str">
        <f>"145672"</f>
        <v>145672</v>
      </c>
      <c r="F6283" t="str">
        <f t="shared" si="223"/>
        <v>60460000</v>
      </c>
      <c r="G6283" t="str">
        <f t="shared" si="224"/>
        <v>60440004</v>
      </c>
      <c r="H6283" t="s">
        <v>4465</v>
      </c>
      <c r="J6283" s="4">
        <v>11500</v>
      </c>
    </row>
    <row r="6284" spans="1:10" hidden="1" outlineLevel="2" x14ac:dyDescent="0.35">
      <c r="A6284" t="s">
        <v>3115</v>
      </c>
      <c r="B6284" s="1">
        <v>45733</v>
      </c>
      <c r="C6284" t="str">
        <f>"704"</f>
        <v>704</v>
      </c>
      <c r="D6284" t="s">
        <v>4470</v>
      </c>
      <c r="E6284" t="str">
        <f>"182149"</f>
        <v>182149</v>
      </c>
      <c r="F6284" t="str">
        <f t="shared" si="223"/>
        <v>60460000</v>
      </c>
      <c r="G6284" t="str">
        <f t="shared" si="224"/>
        <v>60440004</v>
      </c>
      <c r="H6284" t="s">
        <v>4471</v>
      </c>
      <c r="J6284" s="4">
        <v>1346</v>
      </c>
    </row>
    <row r="6285" spans="1:10" hidden="1" outlineLevel="2" x14ac:dyDescent="0.35">
      <c r="A6285" t="s">
        <v>3115</v>
      </c>
      <c r="B6285" s="1">
        <v>45733</v>
      </c>
      <c r="C6285" t="str">
        <f>"706"</f>
        <v>706</v>
      </c>
      <c r="D6285" t="s">
        <v>4474</v>
      </c>
      <c r="E6285" t="str">
        <f>"183686"</f>
        <v>183686</v>
      </c>
      <c r="F6285" t="str">
        <f t="shared" si="223"/>
        <v>60460000</v>
      </c>
      <c r="G6285" t="str">
        <f t="shared" si="224"/>
        <v>60440004</v>
      </c>
      <c r="H6285" t="s">
        <v>4475</v>
      </c>
      <c r="J6285" s="4">
        <v>6356</v>
      </c>
    </row>
    <row r="6286" spans="1:10" hidden="1" outlineLevel="2" x14ac:dyDescent="0.35">
      <c r="A6286" t="s">
        <v>3115</v>
      </c>
      <c r="B6286" s="1">
        <v>45733</v>
      </c>
      <c r="C6286" t="str">
        <f>"707"</f>
        <v>707</v>
      </c>
      <c r="D6286" t="s">
        <v>4476</v>
      </c>
      <c r="E6286" t="str">
        <f>"182216"</f>
        <v>182216</v>
      </c>
      <c r="F6286" t="str">
        <f t="shared" si="223"/>
        <v>60460000</v>
      </c>
      <c r="G6286" t="str">
        <f t="shared" si="224"/>
        <v>60440004</v>
      </c>
      <c r="H6286" t="s">
        <v>4477</v>
      </c>
      <c r="J6286" s="4">
        <v>17000</v>
      </c>
    </row>
    <row r="6287" spans="1:10" hidden="1" outlineLevel="2" x14ac:dyDescent="0.35">
      <c r="A6287" t="s">
        <v>3115</v>
      </c>
      <c r="B6287" s="1">
        <v>45733</v>
      </c>
      <c r="C6287" t="str">
        <f>"708"</f>
        <v>708</v>
      </c>
      <c r="D6287" t="s">
        <v>4478</v>
      </c>
      <c r="E6287" t="str">
        <f>"182024"</f>
        <v>182024</v>
      </c>
      <c r="F6287" t="str">
        <f t="shared" si="223"/>
        <v>60460000</v>
      </c>
      <c r="G6287" t="str">
        <f t="shared" si="224"/>
        <v>60440004</v>
      </c>
      <c r="H6287" t="s">
        <v>4479</v>
      </c>
      <c r="J6287" s="4">
        <v>600</v>
      </c>
    </row>
    <row r="6288" spans="1:10" hidden="1" outlineLevel="2" x14ac:dyDescent="0.35">
      <c r="A6288" t="s">
        <v>3115</v>
      </c>
      <c r="B6288" s="1">
        <v>45733</v>
      </c>
      <c r="C6288" t="str">
        <f>"709"</f>
        <v>709</v>
      </c>
      <c r="D6288" t="s">
        <v>4480</v>
      </c>
      <c r="E6288" t="str">
        <f>"183336"</f>
        <v>183336</v>
      </c>
      <c r="F6288" t="str">
        <f t="shared" si="223"/>
        <v>60460000</v>
      </c>
      <c r="G6288" t="str">
        <f t="shared" si="224"/>
        <v>60440004</v>
      </c>
      <c r="H6288" t="s">
        <v>4481</v>
      </c>
      <c r="J6288" s="4">
        <v>2793</v>
      </c>
    </row>
    <row r="6289" spans="1:10" hidden="1" outlineLevel="2" x14ac:dyDescent="0.35">
      <c r="A6289" t="s">
        <v>3115</v>
      </c>
      <c r="B6289" s="1">
        <v>45733</v>
      </c>
      <c r="C6289" t="str">
        <f>"711"</f>
        <v>711</v>
      </c>
      <c r="D6289" t="s">
        <v>4484</v>
      </c>
      <c r="E6289" t="str">
        <f>"181826"</f>
        <v>181826</v>
      </c>
      <c r="F6289" t="str">
        <f t="shared" si="223"/>
        <v>60460000</v>
      </c>
      <c r="G6289" t="str">
        <f t="shared" si="224"/>
        <v>60440004</v>
      </c>
      <c r="H6289" t="s">
        <v>4485</v>
      </c>
      <c r="J6289" s="4">
        <v>1500</v>
      </c>
    </row>
    <row r="6290" spans="1:10" hidden="1" outlineLevel="2" x14ac:dyDescent="0.35">
      <c r="A6290" t="s">
        <v>3115</v>
      </c>
      <c r="B6290" s="1">
        <v>45734</v>
      </c>
      <c r="C6290" t="str">
        <f>"449"</f>
        <v>449</v>
      </c>
      <c r="D6290" t="s">
        <v>4566</v>
      </c>
      <c r="E6290" t="str">
        <f>"180194"</f>
        <v>180194</v>
      </c>
      <c r="F6290" t="str">
        <f t="shared" si="223"/>
        <v>60460000</v>
      </c>
      <c r="G6290" t="str">
        <f t="shared" si="224"/>
        <v>60440004</v>
      </c>
      <c r="H6290" t="s">
        <v>4567</v>
      </c>
      <c r="J6290" s="4">
        <v>77082</v>
      </c>
    </row>
    <row r="6291" spans="1:10" hidden="1" outlineLevel="2" x14ac:dyDescent="0.35">
      <c r="A6291" t="s">
        <v>3115</v>
      </c>
      <c r="B6291" s="1">
        <v>45734</v>
      </c>
      <c r="C6291" t="str">
        <f>"450"</f>
        <v>450</v>
      </c>
      <c r="D6291" t="s">
        <v>4568</v>
      </c>
      <c r="E6291" t="str">
        <f>"180193"</f>
        <v>180193</v>
      </c>
      <c r="F6291" t="str">
        <f t="shared" si="223"/>
        <v>60460000</v>
      </c>
      <c r="G6291" t="str">
        <f t="shared" si="224"/>
        <v>60440004</v>
      </c>
      <c r="H6291" t="s">
        <v>4569</v>
      </c>
      <c r="J6291" s="4">
        <v>52730</v>
      </c>
    </row>
    <row r="6292" spans="1:10" hidden="1" outlineLevel="2" x14ac:dyDescent="0.35">
      <c r="A6292" t="s">
        <v>3115</v>
      </c>
      <c r="B6292" s="1">
        <v>45734</v>
      </c>
      <c r="C6292" t="str">
        <f>"451"</f>
        <v>451</v>
      </c>
      <c r="D6292" t="s">
        <v>4570</v>
      </c>
      <c r="E6292" t="str">
        <f>"183340"</f>
        <v>183340</v>
      </c>
      <c r="F6292" t="str">
        <f t="shared" si="223"/>
        <v>60460000</v>
      </c>
      <c r="G6292" t="str">
        <f t="shared" si="224"/>
        <v>60440004</v>
      </c>
      <c r="H6292" t="s">
        <v>4571</v>
      </c>
      <c r="J6292" s="4">
        <v>5208</v>
      </c>
    </row>
    <row r="6293" spans="1:10" hidden="1" outlineLevel="2" x14ac:dyDescent="0.35">
      <c r="A6293" t="s">
        <v>3115</v>
      </c>
      <c r="B6293" s="1">
        <v>45734</v>
      </c>
      <c r="C6293" t="str">
        <f>"455"</f>
        <v>455</v>
      </c>
      <c r="D6293" t="s">
        <v>4578</v>
      </c>
      <c r="E6293" t="str">
        <f>"183478"</f>
        <v>183478</v>
      </c>
      <c r="F6293" t="str">
        <f t="shared" si="223"/>
        <v>60460000</v>
      </c>
      <c r="G6293" t="str">
        <f t="shared" si="224"/>
        <v>60440004</v>
      </c>
      <c r="H6293" t="s">
        <v>4579</v>
      </c>
      <c r="J6293" s="4">
        <v>1350</v>
      </c>
    </row>
    <row r="6294" spans="1:10" hidden="1" outlineLevel="2" x14ac:dyDescent="0.35">
      <c r="A6294" t="s">
        <v>3115</v>
      </c>
      <c r="B6294" s="1">
        <v>45734</v>
      </c>
      <c r="C6294" t="str">
        <f>"458"</f>
        <v>458</v>
      </c>
      <c r="D6294" t="s">
        <v>4584</v>
      </c>
      <c r="E6294" t="str">
        <f>"183477"</f>
        <v>183477</v>
      </c>
      <c r="F6294" t="str">
        <f t="shared" si="223"/>
        <v>60460000</v>
      </c>
      <c r="G6294" t="str">
        <f t="shared" si="224"/>
        <v>60440004</v>
      </c>
      <c r="H6294" t="s">
        <v>4585</v>
      </c>
      <c r="J6294" s="4">
        <v>1346</v>
      </c>
    </row>
    <row r="6295" spans="1:10" hidden="1" outlineLevel="2" x14ac:dyDescent="0.35">
      <c r="A6295" t="s">
        <v>3115</v>
      </c>
      <c r="B6295" s="1">
        <v>45734</v>
      </c>
      <c r="C6295" t="str">
        <f>"459"</f>
        <v>459</v>
      </c>
      <c r="D6295" t="s">
        <v>4586</v>
      </c>
      <c r="E6295" t="str">
        <f>"183337"</f>
        <v>183337</v>
      </c>
      <c r="F6295" t="str">
        <f t="shared" si="223"/>
        <v>60460000</v>
      </c>
      <c r="G6295" t="str">
        <f t="shared" si="224"/>
        <v>60440004</v>
      </c>
      <c r="H6295" t="s">
        <v>4587</v>
      </c>
      <c r="J6295" s="4">
        <v>1094</v>
      </c>
    </row>
    <row r="6296" spans="1:10" hidden="1" outlineLevel="2" x14ac:dyDescent="0.35">
      <c r="A6296" t="s">
        <v>3115</v>
      </c>
      <c r="B6296" s="1">
        <v>45734</v>
      </c>
      <c r="C6296" t="str">
        <f>"464"</f>
        <v>464</v>
      </c>
      <c r="D6296" t="s">
        <v>4596</v>
      </c>
      <c r="E6296" t="str">
        <f>"182091"</f>
        <v>182091</v>
      </c>
      <c r="F6296" t="str">
        <f t="shared" si="223"/>
        <v>60460000</v>
      </c>
      <c r="G6296" t="str">
        <f t="shared" si="224"/>
        <v>60440004</v>
      </c>
      <c r="H6296" t="s">
        <v>4597</v>
      </c>
      <c r="J6296" s="4">
        <v>3000</v>
      </c>
    </row>
    <row r="6297" spans="1:10" hidden="1" outlineLevel="2" x14ac:dyDescent="0.35">
      <c r="A6297" t="s">
        <v>3115</v>
      </c>
      <c r="B6297" s="1">
        <v>45734</v>
      </c>
      <c r="C6297" t="str">
        <f>"466"</f>
        <v>466</v>
      </c>
      <c r="D6297" t="s">
        <v>4600</v>
      </c>
      <c r="E6297" t="str">
        <f>"182220"</f>
        <v>182220</v>
      </c>
      <c r="F6297" t="str">
        <f t="shared" si="223"/>
        <v>60460000</v>
      </c>
      <c r="G6297" t="str">
        <f t="shared" si="224"/>
        <v>60440004</v>
      </c>
      <c r="H6297" t="s">
        <v>4601</v>
      </c>
      <c r="J6297" s="4">
        <v>750</v>
      </c>
    </row>
    <row r="6298" spans="1:10" hidden="1" outlineLevel="2" x14ac:dyDescent="0.35">
      <c r="A6298" t="s">
        <v>3115</v>
      </c>
      <c r="B6298" s="1">
        <v>45734</v>
      </c>
      <c r="C6298" t="str">
        <f>"467"</f>
        <v>467</v>
      </c>
      <c r="D6298" t="s">
        <v>4602</v>
      </c>
      <c r="E6298" t="str">
        <f>"182221"</f>
        <v>182221</v>
      </c>
      <c r="F6298" t="str">
        <f t="shared" si="223"/>
        <v>60460000</v>
      </c>
      <c r="G6298" t="str">
        <f t="shared" si="224"/>
        <v>60440004</v>
      </c>
      <c r="H6298" t="s">
        <v>4603</v>
      </c>
      <c r="J6298" s="4">
        <v>3000</v>
      </c>
    </row>
    <row r="6299" spans="1:10" hidden="1" outlineLevel="2" x14ac:dyDescent="0.35">
      <c r="A6299" t="s">
        <v>3115</v>
      </c>
      <c r="B6299" s="1">
        <v>45734</v>
      </c>
      <c r="C6299" t="str">
        <f>"470"</f>
        <v>470</v>
      </c>
      <c r="D6299" t="s">
        <v>4608</v>
      </c>
      <c r="E6299" t="str">
        <f>"182224"</f>
        <v>182224</v>
      </c>
      <c r="F6299" t="str">
        <f t="shared" si="223"/>
        <v>60460000</v>
      </c>
      <c r="G6299" t="str">
        <f t="shared" si="224"/>
        <v>60440004</v>
      </c>
      <c r="H6299" t="s">
        <v>4609</v>
      </c>
      <c r="J6299" s="4">
        <v>1100</v>
      </c>
    </row>
    <row r="6300" spans="1:10" hidden="1" outlineLevel="2" x14ac:dyDescent="0.35">
      <c r="A6300" t="s">
        <v>3115</v>
      </c>
      <c r="B6300" s="1">
        <v>45734</v>
      </c>
      <c r="C6300" t="str">
        <f>"471"</f>
        <v>471</v>
      </c>
      <c r="D6300" t="s">
        <v>4610</v>
      </c>
      <c r="E6300" t="str">
        <f>"182225"</f>
        <v>182225</v>
      </c>
      <c r="F6300" t="str">
        <f t="shared" si="223"/>
        <v>60460000</v>
      </c>
      <c r="G6300" t="str">
        <f t="shared" si="224"/>
        <v>60440004</v>
      </c>
      <c r="H6300" t="s">
        <v>4611</v>
      </c>
      <c r="J6300" s="4">
        <v>7700</v>
      </c>
    </row>
    <row r="6301" spans="1:10" hidden="1" outlineLevel="2" x14ac:dyDescent="0.35">
      <c r="A6301" t="s">
        <v>3115</v>
      </c>
      <c r="B6301" s="1">
        <v>45734</v>
      </c>
      <c r="C6301" t="str">
        <f>"472"</f>
        <v>472</v>
      </c>
      <c r="D6301" t="s">
        <v>4612</v>
      </c>
      <c r="E6301" t="str">
        <f>"182226"</f>
        <v>182226</v>
      </c>
      <c r="F6301" t="str">
        <f t="shared" si="223"/>
        <v>60460000</v>
      </c>
      <c r="G6301" t="str">
        <f t="shared" si="224"/>
        <v>60440004</v>
      </c>
      <c r="H6301" t="s">
        <v>4613</v>
      </c>
      <c r="J6301" s="4">
        <v>360</v>
      </c>
    </row>
    <row r="6302" spans="1:10" hidden="1" outlineLevel="2" x14ac:dyDescent="0.35">
      <c r="A6302" t="s">
        <v>3115</v>
      </c>
      <c r="B6302" s="1">
        <v>45734</v>
      </c>
      <c r="C6302" t="str">
        <f>"476"</f>
        <v>476</v>
      </c>
      <c r="D6302" t="s">
        <v>4620</v>
      </c>
      <c r="E6302" t="str">
        <f>"180486"</f>
        <v>180486</v>
      </c>
      <c r="F6302" t="str">
        <f t="shared" si="223"/>
        <v>60460000</v>
      </c>
      <c r="G6302" t="str">
        <f t="shared" si="224"/>
        <v>60440004</v>
      </c>
      <c r="H6302" t="s">
        <v>4621</v>
      </c>
      <c r="J6302" s="4">
        <v>279</v>
      </c>
    </row>
    <row r="6303" spans="1:10" hidden="1" outlineLevel="2" x14ac:dyDescent="0.35">
      <c r="A6303" t="s">
        <v>3115</v>
      </c>
      <c r="B6303" s="1">
        <v>45734</v>
      </c>
      <c r="C6303" t="str">
        <f>"477"</f>
        <v>477</v>
      </c>
      <c r="D6303" t="s">
        <v>4622</v>
      </c>
      <c r="E6303" t="str">
        <f>"183341"</f>
        <v>183341</v>
      </c>
      <c r="F6303" t="str">
        <f t="shared" si="223"/>
        <v>60460000</v>
      </c>
      <c r="G6303" t="str">
        <f t="shared" si="224"/>
        <v>60440004</v>
      </c>
      <c r="H6303" t="s">
        <v>4623</v>
      </c>
      <c r="J6303" s="4">
        <v>546</v>
      </c>
    </row>
    <row r="6304" spans="1:10" hidden="1" outlineLevel="2" x14ac:dyDescent="0.35">
      <c r="A6304" t="s">
        <v>3115</v>
      </c>
      <c r="B6304" s="1">
        <v>45734</v>
      </c>
      <c r="C6304" t="str">
        <f>"479"</f>
        <v>479</v>
      </c>
      <c r="D6304" t="s">
        <v>4626</v>
      </c>
      <c r="E6304" t="str">
        <f>"181750"</f>
        <v>181750</v>
      </c>
      <c r="F6304" t="str">
        <f t="shared" si="223"/>
        <v>60460000</v>
      </c>
      <c r="G6304" t="str">
        <f t="shared" si="224"/>
        <v>60440004</v>
      </c>
      <c r="H6304" t="s">
        <v>4627</v>
      </c>
      <c r="J6304" s="4">
        <v>1200</v>
      </c>
    </row>
    <row r="6305" spans="1:10" hidden="1" outlineLevel="2" x14ac:dyDescent="0.35">
      <c r="A6305" t="s">
        <v>3115</v>
      </c>
      <c r="B6305" s="1">
        <v>45734</v>
      </c>
      <c r="C6305" t="str">
        <f>"480"</f>
        <v>480</v>
      </c>
      <c r="D6305" t="s">
        <v>4628</v>
      </c>
      <c r="E6305" t="str">
        <f>"183479"</f>
        <v>183479</v>
      </c>
      <c r="F6305" t="str">
        <f t="shared" si="223"/>
        <v>60460000</v>
      </c>
      <c r="G6305" t="str">
        <f t="shared" si="224"/>
        <v>60440004</v>
      </c>
      <c r="H6305" t="s">
        <v>4629</v>
      </c>
      <c r="J6305" s="4">
        <v>19290</v>
      </c>
    </row>
    <row r="6306" spans="1:10" hidden="1" outlineLevel="2" x14ac:dyDescent="0.35">
      <c r="A6306" t="s">
        <v>3115</v>
      </c>
      <c r="B6306" s="1">
        <v>45734</v>
      </c>
      <c r="C6306" t="str">
        <f>"483"</f>
        <v>483</v>
      </c>
      <c r="D6306" t="s">
        <v>4634</v>
      </c>
      <c r="E6306" t="str">
        <f>"180507"</f>
        <v>180507</v>
      </c>
      <c r="F6306" t="str">
        <f t="shared" si="223"/>
        <v>60460000</v>
      </c>
      <c r="G6306" t="str">
        <f t="shared" si="224"/>
        <v>60440004</v>
      </c>
      <c r="H6306" t="s">
        <v>4635</v>
      </c>
      <c r="J6306" s="4">
        <v>1809</v>
      </c>
    </row>
    <row r="6307" spans="1:10" hidden="1" outlineLevel="2" x14ac:dyDescent="0.35">
      <c r="A6307" t="s">
        <v>3115</v>
      </c>
      <c r="B6307" s="1">
        <v>45734</v>
      </c>
      <c r="C6307" t="str">
        <f>"484"</f>
        <v>484</v>
      </c>
      <c r="D6307" t="s">
        <v>4636</v>
      </c>
      <c r="E6307" t="str">
        <f>"180508"</f>
        <v>180508</v>
      </c>
      <c r="F6307" t="str">
        <f t="shared" si="223"/>
        <v>60460000</v>
      </c>
      <c r="G6307" t="str">
        <f t="shared" si="224"/>
        <v>60440004</v>
      </c>
      <c r="H6307" t="s">
        <v>4637</v>
      </c>
      <c r="J6307" s="4">
        <v>3409</v>
      </c>
    </row>
    <row r="6308" spans="1:10" hidden="1" outlineLevel="2" x14ac:dyDescent="0.35">
      <c r="A6308" t="s">
        <v>3115</v>
      </c>
      <c r="B6308" s="1">
        <v>45735</v>
      </c>
      <c r="C6308" t="str">
        <f>"342"</f>
        <v>342</v>
      </c>
      <c r="D6308" t="s">
        <v>4646</v>
      </c>
      <c r="E6308" t="str">
        <f>"147273"</f>
        <v>147273</v>
      </c>
      <c r="F6308" t="str">
        <f t="shared" si="223"/>
        <v>60460000</v>
      </c>
      <c r="G6308" t="str">
        <f t="shared" si="224"/>
        <v>60440004</v>
      </c>
      <c r="H6308" t="s">
        <v>4647</v>
      </c>
      <c r="J6308" s="4">
        <v>58500</v>
      </c>
    </row>
    <row r="6309" spans="1:10" hidden="1" outlineLevel="2" x14ac:dyDescent="0.35">
      <c r="A6309" t="s">
        <v>3115</v>
      </c>
      <c r="B6309" s="1">
        <v>45735</v>
      </c>
      <c r="C6309" t="str">
        <f>"345"</f>
        <v>345</v>
      </c>
      <c r="D6309" t="s">
        <v>4652</v>
      </c>
      <c r="E6309" t="str">
        <f>"183566"</f>
        <v>183566</v>
      </c>
      <c r="F6309" t="str">
        <f t="shared" si="223"/>
        <v>60460000</v>
      </c>
      <c r="G6309" t="str">
        <f t="shared" si="224"/>
        <v>60440004</v>
      </c>
      <c r="H6309" t="s">
        <v>4653</v>
      </c>
      <c r="J6309" s="4">
        <v>600</v>
      </c>
    </row>
    <row r="6310" spans="1:10" hidden="1" outlineLevel="2" x14ac:dyDescent="0.35">
      <c r="A6310" t="s">
        <v>3115</v>
      </c>
      <c r="B6310" s="1">
        <v>45735</v>
      </c>
      <c r="C6310" t="str">
        <f>"346"</f>
        <v>346</v>
      </c>
      <c r="D6310" t="s">
        <v>4654</v>
      </c>
      <c r="E6310" t="str">
        <f>"183357"</f>
        <v>183357</v>
      </c>
      <c r="F6310" t="str">
        <f t="shared" si="223"/>
        <v>60460000</v>
      </c>
      <c r="G6310" t="str">
        <f t="shared" si="224"/>
        <v>60440004</v>
      </c>
      <c r="H6310" t="s">
        <v>4655</v>
      </c>
      <c r="J6310" s="4">
        <v>24500</v>
      </c>
    </row>
    <row r="6311" spans="1:10" hidden="1" outlineLevel="2" x14ac:dyDescent="0.35">
      <c r="A6311" t="s">
        <v>3115</v>
      </c>
      <c r="B6311" s="1">
        <v>45735</v>
      </c>
      <c r="C6311" t="str">
        <f>"347"</f>
        <v>347</v>
      </c>
      <c r="D6311" t="s">
        <v>4656</v>
      </c>
      <c r="E6311" t="str">
        <f>"183342"</f>
        <v>183342</v>
      </c>
      <c r="F6311" t="str">
        <f t="shared" si="223"/>
        <v>60460000</v>
      </c>
      <c r="G6311" t="str">
        <f t="shared" si="224"/>
        <v>60440004</v>
      </c>
      <c r="H6311" t="s">
        <v>4657</v>
      </c>
      <c r="J6311" s="4">
        <v>6042</v>
      </c>
    </row>
    <row r="6312" spans="1:10" hidden="1" outlineLevel="2" x14ac:dyDescent="0.35">
      <c r="A6312" t="s">
        <v>3115</v>
      </c>
      <c r="B6312" s="1">
        <v>45735</v>
      </c>
      <c r="C6312" t="str">
        <f>"348"</f>
        <v>348</v>
      </c>
      <c r="D6312" t="s">
        <v>4658</v>
      </c>
      <c r="E6312" t="str">
        <f>"183343"</f>
        <v>183343</v>
      </c>
      <c r="F6312" t="str">
        <f t="shared" si="223"/>
        <v>60460000</v>
      </c>
      <c r="G6312" t="str">
        <f t="shared" si="224"/>
        <v>60440004</v>
      </c>
      <c r="H6312" t="s">
        <v>4659</v>
      </c>
      <c r="J6312" s="4">
        <v>6042</v>
      </c>
    </row>
    <row r="6313" spans="1:10" hidden="1" outlineLevel="2" x14ac:dyDescent="0.35">
      <c r="A6313" t="s">
        <v>3115</v>
      </c>
      <c r="B6313" s="1">
        <v>45735</v>
      </c>
      <c r="C6313" t="str">
        <f>"349"</f>
        <v>349</v>
      </c>
      <c r="D6313" t="s">
        <v>4660</v>
      </c>
      <c r="E6313" t="str">
        <f>"183344"</f>
        <v>183344</v>
      </c>
      <c r="F6313" t="str">
        <f t="shared" si="223"/>
        <v>60460000</v>
      </c>
      <c r="G6313" t="str">
        <f t="shared" si="224"/>
        <v>60440004</v>
      </c>
      <c r="H6313" t="s">
        <v>4661</v>
      </c>
      <c r="J6313" s="4">
        <v>11544</v>
      </c>
    </row>
    <row r="6314" spans="1:10" hidden="1" outlineLevel="2" x14ac:dyDescent="0.35">
      <c r="A6314" t="s">
        <v>3115</v>
      </c>
      <c r="B6314" s="1">
        <v>45735</v>
      </c>
      <c r="C6314" t="str">
        <f>"352"</f>
        <v>352</v>
      </c>
      <c r="D6314" t="s">
        <v>4666</v>
      </c>
      <c r="E6314" t="str">
        <f>"183346"</f>
        <v>183346</v>
      </c>
      <c r="F6314" t="str">
        <f t="shared" si="223"/>
        <v>60460000</v>
      </c>
      <c r="G6314" t="str">
        <f t="shared" si="224"/>
        <v>60440004</v>
      </c>
      <c r="H6314" t="s">
        <v>4667</v>
      </c>
      <c r="J6314" s="4">
        <v>11544</v>
      </c>
    </row>
    <row r="6315" spans="1:10" hidden="1" outlineLevel="2" x14ac:dyDescent="0.35">
      <c r="A6315" t="s">
        <v>3115</v>
      </c>
      <c r="B6315" s="1">
        <v>45735</v>
      </c>
      <c r="C6315" t="str">
        <f>"355"</f>
        <v>355</v>
      </c>
      <c r="D6315" t="s">
        <v>4672</v>
      </c>
      <c r="E6315" t="str">
        <f>"183430"</f>
        <v>183430</v>
      </c>
      <c r="F6315" t="str">
        <f t="shared" ref="F6315:F6378" si="225">"60460000"</f>
        <v>60460000</v>
      </c>
      <c r="G6315" t="str">
        <f t="shared" ref="G6315:G6378" si="226">"60440004"</f>
        <v>60440004</v>
      </c>
      <c r="H6315" t="s">
        <v>4673</v>
      </c>
      <c r="J6315" s="4">
        <v>1626</v>
      </c>
    </row>
    <row r="6316" spans="1:10" hidden="1" outlineLevel="2" x14ac:dyDescent="0.35">
      <c r="A6316" t="s">
        <v>3115</v>
      </c>
      <c r="B6316" s="1">
        <v>45735</v>
      </c>
      <c r="C6316" t="str">
        <f>"362"</f>
        <v>362</v>
      </c>
      <c r="D6316" t="s">
        <v>4686</v>
      </c>
      <c r="E6316" t="str">
        <f>"182093"</f>
        <v>182093</v>
      </c>
      <c r="F6316" t="str">
        <f t="shared" si="225"/>
        <v>60460000</v>
      </c>
      <c r="G6316" t="str">
        <f t="shared" si="226"/>
        <v>60440004</v>
      </c>
      <c r="H6316" t="s">
        <v>4687</v>
      </c>
      <c r="J6316" s="4">
        <v>5040</v>
      </c>
    </row>
    <row r="6317" spans="1:10" hidden="1" outlineLevel="2" x14ac:dyDescent="0.35">
      <c r="A6317" t="s">
        <v>3115</v>
      </c>
      <c r="B6317" s="1">
        <v>45735</v>
      </c>
      <c r="C6317" t="str">
        <f>"363"</f>
        <v>363</v>
      </c>
      <c r="D6317" t="s">
        <v>4688</v>
      </c>
      <c r="E6317" t="str">
        <f>"183251"</f>
        <v>183251</v>
      </c>
      <c r="F6317" t="str">
        <f t="shared" si="225"/>
        <v>60460000</v>
      </c>
      <c r="G6317" t="str">
        <f t="shared" si="226"/>
        <v>60440004</v>
      </c>
      <c r="H6317" t="s">
        <v>4689</v>
      </c>
      <c r="J6317" s="4">
        <v>5000</v>
      </c>
    </row>
    <row r="6318" spans="1:10" hidden="1" outlineLevel="2" x14ac:dyDescent="0.35">
      <c r="A6318" t="s">
        <v>3115</v>
      </c>
      <c r="B6318" s="1">
        <v>45735</v>
      </c>
      <c r="C6318" t="str">
        <f>"364"</f>
        <v>364</v>
      </c>
      <c r="D6318" t="s">
        <v>4690</v>
      </c>
      <c r="E6318" t="str">
        <f>"182012"</f>
        <v>182012</v>
      </c>
      <c r="F6318" t="str">
        <f t="shared" si="225"/>
        <v>60460000</v>
      </c>
      <c r="G6318" t="str">
        <f t="shared" si="226"/>
        <v>60440004</v>
      </c>
      <c r="H6318" t="s">
        <v>4691</v>
      </c>
      <c r="J6318" s="4">
        <v>250000</v>
      </c>
    </row>
    <row r="6319" spans="1:10" hidden="1" outlineLevel="2" x14ac:dyDescent="0.35">
      <c r="A6319" t="s">
        <v>3115</v>
      </c>
      <c r="B6319" s="1">
        <v>45735</v>
      </c>
      <c r="C6319" t="str">
        <f>"365"</f>
        <v>365</v>
      </c>
      <c r="D6319" t="s">
        <v>4692</v>
      </c>
      <c r="E6319" t="str">
        <f>"176314"</f>
        <v>176314</v>
      </c>
      <c r="F6319" t="str">
        <f t="shared" si="225"/>
        <v>60460000</v>
      </c>
      <c r="G6319" t="str">
        <f t="shared" si="226"/>
        <v>60440004</v>
      </c>
      <c r="H6319" t="s">
        <v>4693</v>
      </c>
      <c r="J6319" s="4">
        <v>180000</v>
      </c>
    </row>
    <row r="6320" spans="1:10" hidden="1" outlineLevel="2" x14ac:dyDescent="0.35">
      <c r="A6320" t="s">
        <v>3115</v>
      </c>
      <c r="B6320" s="1">
        <v>45735</v>
      </c>
      <c r="C6320" t="str">
        <f>"366"</f>
        <v>366</v>
      </c>
      <c r="D6320" t="s">
        <v>4694</v>
      </c>
      <c r="E6320" t="str">
        <f>"181902"</f>
        <v>181902</v>
      </c>
      <c r="F6320" t="str">
        <f t="shared" si="225"/>
        <v>60460000</v>
      </c>
      <c r="G6320" t="str">
        <f t="shared" si="226"/>
        <v>60440004</v>
      </c>
      <c r="H6320" t="s">
        <v>4695</v>
      </c>
      <c r="J6320" s="4">
        <v>80000</v>
      </c>
    </row>
    <row r="6321" spans="1:10" hidden="1" outlineLevel="2" x14ac:dyDescent="0.35">
      <c r="A6321" t="s">
        <v>3115</v>
      </c>
      <c r="B6321" s="1">
        <v>45735</v>
      </c>
      <c r="C6321" t="str">
        <f>"367"</f>
        <v>367</v>
      </c>
      <c r="D6321" t="s">
        <v>4696</v>
      </c>
      <c r="E6321" t="str">
        <f>"181884"</f>
        <v>181884</v>
      </c>
      <c r="F6321" t="str">
        <f t="shared" si="225"/>
        <v>60460000</v>
      </c>
      <c r="G6321" t="str">
        <f t="shared" si="226"/>
        <v>60440004</v>
      </c>
      <c r="H6321" t="s">
        <v>4697</v>
      </c>
      <c r="J6321" s="4">
        <v>5000</v>
      </c>
    </row>
    <row r="6322" spans="1:10" hidden="1" outlineLevel="2" x14ac:dyDescent="0.35">
      <c r="A6322" t="s">
        <v>3115</v>
      </c>
      <c r="B6322" s="1">
        <v>45735</v>
      </c>
      <c r="C6322" t="str">
        <f>"368"</f>
        <v>368</v>
      </c>
      <c r="D6322" t="s">
        <v>4698</v>
      </c>
      <c r="E6322" t="str">
        <f>"181881"</f>
        <v>181881</v>
      </c>
      <c r="F6322" t="str">
        <f t="shared" si="225"/>
        <v>60460000</v>
      </c>
      <c r="G6322" t="str">
        <f t="shared" si="226"/>
        <v>60440004</v>
      </c>
      <c r="H6322" t="s">
        <v>4699</v>
      </c>
      <c r="J6322" s="4">
        <v>5000</v>
      </c>
    </row>
    <row r="6323" spans="1:10" hidden="1" outlineLevel="2" x14ac:dyDescent="0.35">
      <c r="A6323" t="s">
        <v>3115</v>
      </c>
      <c r="B6323" s="1">
        <v>45735</v>
      </c>
      <c r="C6323" t="str">
        <f>"369"</f>
        <v>369</v>
      </c>
      <c r="D6323" t="s">
        <v>4700</v>
      </c>
      <c r="E6323" t="str">
        <f>"181886"</f>
        <v>181886</v>
      </c>
      <c r="F6323" t="str">
        <f t="shared" si="225"/>
        <v>60460000</v>
      </c>
      <c r="G6323" t="str">
        <f t="shared" si="226"/>
        <v>60440004</v>
      </c>
      <c r="H6323" t="s">
        <v>4701</v>
      </c>
      <c r="J6323" s="4">
        <v>5000</v>
      </c>
    </row>
    <row r="6324" spans="1:10" hidden="1" outlineLevel="2" x14ac:dyDescent="0.35">
      <c r="A6324" t="s">
        <v>3115</v>
      </c>
      <c r="B6324" s="1">
        <v>45735</v>
      </c>
      <c r="C6324" t="str">
        <f>"370"</f>
        <v>370</v>
      </c>
      <c r="D6324" t="s">
        <v>4702</v>
      </c>
      <c r="E6324" t="str">
        <f>"183481"</f>
        <v>183481</v>
      </c>
      <c r="F6324" t="str">
        <f t="shared" si="225"/>
        <v>60460000</v>
      </c>
      <c r="G6324" t="str">
        <f t="shared" si="226"/>
        <v>60440004</v>
      </c>
      <c r="H6324" t="s">
        <v>4703</v>
      </c>
      <c r="J6324" s="4">
        <v>18366</v>
      </c>
    </row>
    <row r="6325" spans="1:10" hidden="1" outlineLevel="2" x14ac:dyDescent="0.35">
      <c r="A6325" t="s">
        <v>3115</v>
      </c>
      <c r="B6325" s="1">
        <v>45735</v>
      </c>
      <c r="C6325" t="str">
        <f>"371"</f>
        <v>371</v>
      </c>
      <c r="D6325" t="s">
        <v>4704</v>
      </c>
      <c r="E6325" t="str">
        <f>"181883"</f>
        <v>181883</v>
      </c>
      <c r="F6325" t="str">
        <f t="shared" si="225"/>
        <v>60460000</v>
      </c>
      <c r="G6325" t="str">
        <f t="shared" si="226"/>
        <v>60440004</v>
      </c>
      <c r="H6325" t="s">
        <v>4705</v>
      </c>
      <c r="J6325" s="4">
        <v>5000</v>
      </c>
    </row>
    <row r="6326" spans="1:10" hidden="1" outlineLevel="2" x14ac:dyDescent="0.35">
      <c r="A6326" t="s">
        <v>3115</v>
      </c>
      <c r="B6326" s="1">
        <v>45735</v>
      </c>
      <c r="C6326" t="str">
        <f>"372"</f>
        <v>372</v>
      </c>
      <c r="D6326" t="s">
        <v>4706</v>
      </c>
      <c r="E6326" t="str">
        <f>"179598"</f>
        <v>179598</v>
      </c>
      <c r="F6326" t="str">
        <f t="shared" si="225"/>
        <v>60460000</v>
      </c>
      <c r="G6326" t="str">
        <f t="shared" si="226"/>
        <v>60440004</v>
      </c>
      <c r="H6326" t="s">
        <v>4707</v>
      </c>
      <c r="J6326" s="4">
        <v>679</v>
      </c>
    </row>
    <row r="6327" spans="1:10" hidden="1" outlineLevel="2" x14ac:dyDescent="0.35">
      <c r="A6327" t="s">
        <v>3115</v>
      </c>
      <c r="B6327" s="1">
        <v>45735</v>
      </c>
      <c r="C6327" t="str">
        <f>"374"</f>
        <v>374</v>
      </c>
      <c r="D6327" t="s">
        <v>4710</v>
      </c>
      <c r="E6327" t="str">
        <f>"183482"</f>
        <v>183482</v>
      </c>
      <c r="F6327" t="str">
        <f t="shared" si="225"/>
        <v>60460000</v>
      </c>
      <c r="G6327" t="str">
        <f t="shared" si="226"/>
        <v>60440004</v>
      </c>
      <c r="H6327" t="s">
        <v>4711</v>
      </c>
      <c r="J6327" s="4">
        <v>13583</v>
      </c>
    </row>
    <row r="6328" spans="1:10" hidden="1" outlineLevel="2" x14ac:dyDescent="0.35">
      <c r="A6328" t="s">
        <v>3115</v>
      </c>
      <c r="B6328" s="1">
        <v>45735</v>
      </c>
      <c r="C6328" t="str">
        <f>"375"</f>
        <v>375</v>
      </c>
      <c r="D6328" t="s">
        <v>4712</v>
      </c>
      <c r="E6328" t="str">
        <f>"181345"</f>
        <v>181345</v>
      </c>
      <c r="F6328" t="str">
        <f t="shared" si="225"/>
        <v>60460000</v>
      </c>
      <c r="G6328" t="str">
        <f t="shared" si="226"/>
        <v>60440004</v>
      </c>
      <c r="H6328" t="s">
        <v>4713</v>
      </c>
      <c r="J6328" s="4">
        <v>9168</v>
      </c>
    </row>
    <row r="6329" spans="1:10" hidden="1" outlineLevel="2" x14ac:dyDescent="0.35">
      <c r="A6329" t="s">
        <v>3115</v>
      </c>
      <c r="B6329" s="1">
        <v>45735</v>
      </c>
      <c r="C6329" t="str">
        <f>"376"</f>
        <v>376</v>
      </c>
      <c r="D6329" t="s">
        <v>4714</v>
      </c>
      <c r="E6329" t="str">
        <f>"181882"</f>
        <v>181882</v>
      </c>
      <c r="F6329" t="str">
        <f t="shared" si="225"/>
        <v>60460000</v>
      </c>
      <c r="G6329" t="str">
        <f t="shared" si="226"/>
        <v>60440004</v>
      </c>
      <c r="H6329" t="s">
        <v>4715</v>
      </c>
      <c r="J6329" s="4">
        <v>5000</v>
      </c>
    </row>
    <row r="6330" spans="1:10" hidden="1" outlineLevel="2" x14ac:dyDescent="0.35">
      <c r="A6330" t="s">
        <v>3115</v>
      </c>
      <c r="B6330" s="1">
        <v>45735</v>
      </c>
      <c r="C6330" t="str">
        <f>"377"</f>
        <v>377</v>
      </c>
      <c r="D6330" t="s">
        <v>4716</v>
      </c>
      <c r="E6330" t="str">
        <f>"181113"</f>
        <v>181113</v>
      </c>
      <c r="F6330" t="str">
        <f t="shared" si="225"/>
        <v>60460000</v>
      </c>
      <c r="G6330" t="str">
        <f t="shared" si="226"/>
        <v>60440004</v>
      </c>
      <c r="H6330" t="s">
        <v>4717</v>
      </c>
      <c r="J6330" s="4">
        <v>70000</v>
      </c>
    </row>
    <row r="6331" spans="1:10" hidden="1" outlineLevel="2" x14ac:dyDescent="0.35">
      <c r="A6331" t="s">
        <v>3115</v>
      </c>
      <c r="B6331" s="1">
        <v>45735</v>
      </c>
      <c r="C6331" t="str">
        <f>"378"</f>
        <v>378</v>
      </c>
      <c r="D6331" t="s">
        <v>4718</v>
      </c>
      <c r="E6331" t="str">
        <f>"181199"</f>
        <v>181199</v>
      </c>
      <c r="F6331" t="str">
        <f t="shared" si="225"/>
        <v>60460000</v>
      </c>
      <c r="G6331" t="str">
        <f t="shared" si="226"/>
        <v>60440004</v>
      </c>
      <c r="H6331" t="s">
        <v>4719</v>
      </c>
      <c r="J6331" s="4">
        <v>18000</v>
      </c>
    </row>
    <row r="6332" spans="1:10" hidden="1" outlineLevel="2" x14ac:dyDescent="0.35">
      <c r="A6332" t="s">
        <v>3115</v>
      </c>
      <c r="B6332" s="1">
        <v>45735</v>
      </c>
      <c r="C6332" t="str">
        <f>"379"</f>
        <v>379</v>
      </c>
      <c r="D6332" t="s">
        <v>4720</v>
      </c>
      <c r="E6332" t="str">
        <f>"182227"</f>
        <v>182227</v>
      </c>
      <c r="F6332" t="str">
        <f t="shared" si="225"/>
        <v>60460000</v>
      </c>
      <c r="G6332" t="str">
        <f t="shared" si="226"/>
        <v>60440004</v>
      </c>
      <c r="H6332" t="s">
        <v>4721</v>
      </c>
      <c r="J6332" s="4">
        <v>18</v>
      </c>
    </row>
    <row r="6333" spans="1:10" hidden="1" outlineLevel="2" x14ac:dyDescent="0.35">
      <c r="A6333" t="s">
        <v>3115</v>
      </c>
      <c r="B6333" s="1">
        <v>45735</v>
      </c>
      <c r="C6333" t="str">
        <f>"380"</f>
        <v>380</v>
      </c>
      <c r="D6333" t="s">
        <v>4722</v>
      </c>
      <c r="E6333" t="str">
        <f>"181137"</f>
        <v>181137</v>
      </c>
      <c r="F6333" t="str">
        <f t="shared" si="225"/>
        <v>60460000</v>
      </c>
      <c r="G6333" t="str">
        <f t="shared" si="226"/>
        <v>60440004</v>
      </c>
      <c r="H6333" t="s">
        <v>4723</v>
      </c>
      <c r="J6333" s="4">
        <v>70000</v>
      </c>
    </row>
    <row r="6334" spans="1:10" hidden="1" outlineLevel="2" x14ac:dyDescent="0.35">
      <c r="A6334" t="s">
        <v>3115</v>
      </c>
      <c r="B6334" s="1">
        <v>45735</v>
      </c>
      <c r="C6334" t="str">
        <f>"381"</f>
        <v>381</v>
      </c>
      <c r="D6334" t="s">
        <v>4724</v>
      </c>
      <c r="E6334" t="str">
        <f>"182228"</f>
        <v>182228</v>
      </c>
      <c r="F6334" t="str">
        <f t="shared" si="225"/>
        <v>60460000</v>
      </c>
      <c r="G6334" t="str">
        <f t="shared" si="226"/>
        <v>60440004</v>
      </c>
      <c r="H6334" t="s">
        <v>4725</v>
      </c>
      <c r="J6334" s="4">
        <v>2500</v>
      </c>
    </row>
    <row r="6335" spans="1:10" hidden="1" outlineLevel="2" x14ac:dyDescent="0.35">
      <c r="A6335" t="s">
        <v>3115</v>
      </c>
      <c r="B6335" s="1">
        <v>45735</v>
      </c>
      <c r="C6335" t="str">
        <f>"382"</f>
        <v>382</v>
      </c>
      <c r="D6335" t="s">
        <v>4726</v>
      </c>
      <c r="E6335" t="str">
        <f>"181921"</f>
        <v>181921</v>
      </c>
      <c r="F6335" t="str">
        <f t="shared" si="225"/>
        <v>60460000</v>
      </c>
      <c r="G6335" t="str">
        <f t="shared" si="226"/>
        <v>60440004</v>
      </c>
      <c r="H6335" t="s">
        <v>4727</v>
      </c>
      <c r="J6335" s="4">
        <v>600</v>
      </c>
    </row>
    <row r="6336" spans="1:10" hidden="1" outlineLevel="2" x14ac:dyDescent="0.35">
      <c r="A6336" t="s">
        <v>3115</v>
      </c>
      <c r="B6336" s="1">
        <v>45735</v>
      </c>
      <c r="C6336" t="str">
        <f>"383"</f>
        <v>383</v>
      </c>
      <c r="D6336" t="s">
        <v>4728</v>
      </c>
      <c r="E6336" t="str">
        <f>"180487"</f>
        <v>180487</v>
      </c>
      <c r="F6336" t="str">
        <f t="shared" si="225"/>
        <v>60460000</v>
      </c>
      <c r="G6336" t="str">
        <f t="shared" si="226"/>
        <v>60440004</v>
      </c>
      <c r="H6336" t="s">
        <v>4729</v>
      </c>
      <c r="J6336" s="4">
        <v>51</v>
      </c>
    </row>
    <row r="6337" spans="1:10" hidden="1" outlineLevel="2" x14ac:dyDescent="0.35">
      <c r="A6337" t="s">
        <v>3115</v>
      </c>
      <c r="B6337" s="1">
        <v>45735</v>
      </c>
      <c r="C6337" t="str">
        <f>"387"</f>
        <v>387</v>
      </c>
      <c r="D6337" t="s">
        <v>4736</v>
      </c>
      <c r="E6337" t="str">
        <f>"181919"</f>
        <v>181919</v>
      </c>
      <c r="F6337" t="str">
        <f t="shared" si="225"/>
        <v>60460000</v>
      </c>
      <c r="G6337" t="str">
        <f t="shared" si="226"/>
        <v>60440004</v>
      </c>
      <c r="H6337" t="s">
        <v>4737</v>
      </c>
      <c r="J6337" s="4">
        <v>600</v>
      </c>
    </row>
    <row r="6338" spans="1:10" hidden="1" outlineLevel="2" x14ac:dyDescent="0.35">
      <c r="A6338" t="s">
        <v>3115</v>
      </c>
      <c r="B6338" s="1">
        <v>45735</v>
      </c>
      <c r="C6338" t="str">
        <f>"389"</f>
        <v>389</v>
      </c>
      <c r="D6338" t="s">
        <v>4740</v>
      </c>
      <c r="E6338" t="str">
        <f>"182011"</f>
        <v>182011</v>
      </c>
      <c r="F6338" t="str">
        <f t="shared" si="225"/>
        <v>60460000</v>
      </c>
      <c r="G6338" t="str">
        <f t="shared" si="226"/>
        <v>60440004</v>
      </c>
      <c r="H6338" t="s">
        <v>4741</v>
      </c>
      <c r="J6338" s="4">
        <v>45000</v>
      </c>
    </row>
    <row r="6339" spans="1:10" hidden="1" outlineLevel="2" x14ac:dyDescent="0.35">
      <c r="A6339" t="s">
        <v>3115</v>
      </c>
      <c r="B6339" s="1">
        <v>45735</v>
      </c>
      <c r="C6339" t="str">
        <f>"395"</f>
        <v>395</v>
      </c>
      <c r="D6339" t="s">
        <v>4752</v>
      </c>
      <c r="E6339" t="str">
        <f>"180504"</f>
        <v>180504</v>
      </c>
      <c r="F6339" t="str">
        <f t="shared" si="225"/>
        <v>60460000</v>
      </c>
      <c r="G6339" t="str">
        <f t="shared" si="226"/>
        <v>60440004</v>
      </c>
      <c r="H6339" t="s">
        <v>4753</v>
      </c>
      <c r="J6339" s="4">
        <v>904</v>
      </c>
    </row>
    <row r="6340" spans="1:10" hidden="1" outlineLevel="2" x14ac:dyDescent="0.35">
      <c r="A6340" t="s">
        <v>3115</v>
      </c>
      <c r="B6340" s="1">
        <v>45735</v>
      </c>
      <c r="C6340" t="str">
        <f>"400"</f>
        <v>400</v>
      </c>
      <c r="D6340" t="s">
        <v>4762</v>
      </c>
      <c r="E6340" t="str">
        <f>"182073"</f>
        <v>182073</v>
      </c>
      <c r="F6340" t="str">
        <f t="shared" si="225"/>
        <v>60460000</v>
      </c>
      <c r="G6340" t="str">
        <f t="shared" si="226"/>
        <v>60440004</v>
      </c>
      <c r="H6340" t="s">
        <v>4763</v>
      </c>
      <c r="J6340" s="4">
        <v>5000</v>
      </c>
    </row>
    <row r="6341" spans="1:10" hidden="1" outlineLevel="2" x14ac:dyDescent="0.35">
      <c r="A6341" t="s">
        <v>3115</v>
      </c>
      <c r="B6341" s="1">
        <v>45735</v>
      </c>
      <c r="C6341" t="str">
        <f>"401"</f>
        <v>401</v>
      </c>
      <c r="D6341" t="s">
        <v>4764</v>
      </c>
      <c r="E6341" t="str">
        <f>"180509"</f>
        <v>180509</v>
      </c>
      <c r="F6341" t="str">
        <f t="shared" si="225"/>
        <v>60460000</v>
      </c>
      <c r="G6341" t="str">
        <f t="shared" si="226"/>
        <v>60440004</v>
      </c>
      <c r="H6341" t="s">
        <v>4765</v>
      </c>
      <c r="J6341" s="4">
        <v>568</v>
      </c>
    </row>
    <row r="6342" spans="1:10" hidden="1" outlineLevel="2" x14ac:dyDescent="0.35">
      <c r="A6342" t="s">
        <v>3115</v>
      </c>
      <c r="B6342" s="1">
        <v>45735</v>
      </c>
      <c r="C6342" t="str">
        <f>"404"</f>
        <v>404</v>
      </c>
      <c r="D6342" t="s">
        <v>4770</v>
      </c>
      <c r="E6342" t="str">
        <f>"181116"</f>
        <v>181116</v>
      </c>
      <c r="F6342" t="str">
        <f t="shared" si="225"/>
        <v>60460000</v>
      </c>
      <c r="G6342" t="str">
        <f t="shared" si="226"/>
        <v>60440004</v>
      </c>
      <c r="H6342" t="s">
        <v>4771</v>
      </c>
      <c r="J6342" s="4">
        <v>70000</v>
      </c>
    </row>
    <row r="6343" spans="1:10" hidden="1" outlineLevel="2" x14ac:dyDescent="0.35">
      <c r="A6343" t="s">
        <v>3115</v>
      </c>
      <c r="B6343" s="1">
        <v>45735</v>
      </c>
      <c r="C6343" t="str">
        <f>"405"</f>
        <v>405</v>
      </c>
      <c r="D6343" t="s">
        <v>4772</v>
      </c>
      <c r="E6343" t="str">
        <f>"181112"</f>
        <v>181112</v>
      </c>
      <c r="F6343" t="str">
        <f t="shared" si="225"/>
        <v>60460000</v>
      </c>
      <c r="G6343" t="str">
        <f t="shared" si="226"/>
        <v>60440004</v>
      </c>
      <c r="H6343" t="s">
        <v>4773</v>
      </c>
      <c r="J6343" s="4">
        <v>70000</v>
      </c>
    </row>
    <row r="6344" spans="1:10" hidden="1" outlineLevel="2" x14ac:dyDescent="0.35">
      <c r="A6344" t="s">
        <v>3115</v>
      </c>
      <c r="B6344" s="1">
        <v>45736</v>
      </c>
      <c r="C6344" t="str">
        <f>"306"</f>
        <v>306</v>
      </c>
      <c r="D6344" t="s">
        <v>4818</v>
      </c>
      <c r="E6344" t="str">
        <f>"182229"</f>
        <v>182229</v>
      </c>
      <c r="F6344" t="str">
        <f t="shared" si="225"/>
        <v>60460000</v>
      </c>
      <c r="G6344" t="str">
        <f t="shared" si="226"/>
        <v>60440004</v>
      </c>
      <c r="H6344" t="s">
        <v>4819</v>
      </c>
      <c r="J6344" s="4">
        <v>1100</v>
      </c>
    </row>
    <row r="6345" spans="1:10" hidden="1" outlineLevel="2" x14ac:dyDescent="0.35">
      <c r="A6345" t="s">
        <v>3115</v>
      </c>
      <c r="B6345" s="1">
        <v>45736</v>
      </c>
      <c r="C6345" t="str">
        <f>"307"</f>
        <v>307</v>
      </c>
      <c r="D6345" t="s">
        <v>4820</v>
      </c>
      <c r="E6345" t="str">
        <f>"181920"</f>
        <v>181920</v>
      </c>
      <c r="F6345" t="str">
        <f t="shared" si="225"/>
        <v>60460000</v>
      </c>
      <c r="G6345" t="str">
        <f t="shared" si="226"/>
        <v>60440004</v>
      </c>
      <c r="H6345" t="s">
        <v>4821</v>
      </c>
      <c r="J6345" s="4">
        <v>88000</v>
      </c>
    </row>
    <row r="6346" spans="1:10" hidden="1" outlineLevel="2" x14ac:dyDescent="0.35">
      <c r="A6346" t="s">
        <v>3115</v>
      </c>
      <c r="B6346" s="1">
        <v>45736</v>
      </c>
      <c r="C6346" t="str">
        <f>"308"</f>
        <v>308</v>
      </c>
      <c r="D6346" t="s">
        <v>4822</v>
      </c>
      <c r="E6346" t="str">
        <f>"182232"</f>
        <v>182232</v>
      </c>
      <c r="F6346" t="str">
        <f t="shared" si="225"/>
        <v>60460000</v>
      </c>
      <c r="G6346" t="str">
        <f t="shared" si="226"/>
        <v>60440004</v>
      </c>
      <c r="H6346" t="s">
        <v>4823</v>
      </c>
      <c r="J6346" s="4">
        <v>526</v>
      </c>
    </row>
    <row r="6347" spans="1:10" hidden="1" outlineLevel="2" x14ac:dyDescent="0.35">
      <c r="A6347" t="s">
        <v>3115</v>
      </c>
      <c r="B6347" s="1">
        <v>45736</v>
      </c>
      <c r="C6347" t="str">
        <f>"309"</f>
        <v>309</v>
      </c>
      <c r="D6347" t="s">
        <v>4824</v>
      </c>
      <c r="E6347" t="str">
        <f>"180488"</f>
        <v>180488</v>
      </c>
      <c r="F6347" t="str">
        <f t="shared" si="225"/>
        <v>60460000</v>
      </c>
      <c r="G6347" t="str">
        <f t="shared" si="226"/>
        <v>60440004</v>
      </c>
      <c r="H6347" t="s">
        <v>4825</v>
      </c>
      <c r="J6347" s="4">
        <v>300</v>
      </c>
    </row>
    <row r="6348" spans="1:10" hidden="1" outlineLevel="2" x14ac:dyDescent="0.35">
      <c r="A6348" t="s">
        <v>3115</v>
      </c>
      <c r="B6348" s="1">
        <v>45736</v>
      </c>
      <c r="C6348" t="str">
        <f>"310"</f>
        <v>310</v>
      </c>
      <c r="D6348" t="s">
        <v>4826</v>
      </c>
      <c r="E6348" t="str">
        <f>"180510"</f>
        <v>180510</v>
      </c>
      <c r="F6348" t="str">
        <f t="shared" si="225"/>
        <v>60460000</v>
      </c>
      <c r="G6348" t="str">
        <f t="shared" si="226"/>
        <v>60440004</v>
      </c>
      <c r="H6348" t="s">
        <v>4827</v>
      </c>
      <c r="J6348" s="4">
        <v>2717</v>
      </c>
    </row>
    <row r="6349" spans="1:10" hidden="1" outlineLevel="2" x14ac:dyDescent="0.35">
      <c r="A6349" t="s">
        <v>3115</v>
      </c>
      <c r="B6349" s="1">
        <v>45736</v>
      </c>
      <c r="C6349" t="str">
        <f>"311"</f>
        <v>311</v>
      </c>
      <c r="D6349" t="s">
        <v>4828</v>
      </c>
      <c r="E6349" t="str">
        <f>"180511"</f>
        <v>180511</v>
      </c>
      <c r="F6349" t="str">
        <f t="shared" si="225"/>
        <v>60460000</v>
      </c>
      <c r="G6349" t="str">
        <f t="shared" si="226"/>
        <v>60440004</v>
      </c>
      <c r="H6349" t="s">
        <v>4829</v>
      </c>
      <c r="J6349" s="4">
        <v>202</v>
      </c>
    </row>
    <row r="6350" spans="1:10" hidden="1" outlineLevel="2" x14ac:dyDescent="0.35">
      <c r="A6350" t="s">
        <v>3115</v>
      </c>
      <c r="B6350" s="1">
        <v>45736</v>
      </c>
      <c r="C6350" t="str">
        <f>"312"</f>
        <v>312</v>
      </c>
      <c r="D6350" t="s">
        <v>4830</v>
      </c>
      <c r="E6350" t="str">
        <f>"180512"</f>
        <v>180512</v>
      </c>
      <c r="F6350" t="str">
        <f t="shared" si="225"/>
        <v>60460000</v>
      </c>
      <c r="G6350" t="str">
        <f t="shared" si="226"/>
        <v>60440004</v>
      </c>
      <c r="H6350" t="s">
        <v>4831</v>
      </c>
      <c r="J6350" s="4">
        <v>2818</v>
      </c>
    </row>
    <row r="6351" spans="1:10" hidden="1" outlineLevel="2" x14ac:dyDescent="0.35">
      <c r="A6351" t="s">
        <v>3115</v>
      </c>
      <c r="B6351" s="1">
        <v>45736</v>
      </c>
      <c r="C6351" t="str">
        <f>"313"</f>
        <v>313</v>
      </c>
      <c r="D6351" t="s">
        <v>4832</v>
      </c>
      <c r="E6351" t="str">
        <f>"183486"</f>
        <v>183486</v>
      </c>
      <c r="F6351" t="str">
        <f t="shared" si="225"/>
        <v>60460000</v>
      </c>
      <c r="G6351" t="str">
        <f t="shared" si="226"/>
        <v>60440004</v>
      </c>
      <c r="H6351" t="s">
        <v>4833</v>
      </c>
      <c r="J6351" s="4">
        <v>14966</v>
      </c>
    </row>
    <row r="6352" spans="1:10" hidden="1" outlineLevel="2" x14ac:dyDescent="0.35">
      <c r="A6352" t="s">
        <v>3115</v>
      </c>
      <c r="B6352" s="1">
        <v>45736</v>
      </c>
      <c r="C6352" t="str">
        <f>"314"</f>
        <v>314</v>
      </c>
      <c r="D6352" t="s">
        <v>4834</v>
      </c>
      <c r="E6352" t="str">
        <f>"183349"</f>
        <v>183349</v>
      </c>
      <c r="F6352" t="str">
        <f t="shared" si="225"/>
        <v>60460000</v>
      </c>
      <c r="G6352" t="str">
        <f t="shared" si="226"/>
        <v>60440004</v>
      </c>
      <c r="H6352" t="s">
        <v>4835</v>
      </c>
      <c r="J6352" s="4">
        <v>1094</v>
      </c>
    </row>
    <row r="6353" spans="1:10" hidden="1" outlineLevel="2" x14ac:dyDescent="0.35">
      <c r="A6353" t="s">
        <v>3115</v>
      </c>
      <c r="B6353" s="1">
        <v>45736</v>
      </c>
      <c r="C6353" t="str">
        <f>"315"</f>
        <v>315</v>
      </c>
      <c r="D6353" t="s">
        <v>4836</v>
      </c>
      <c r="E6353" t="str">
        <f>"184201"</f>
        <v>184201</v>
      </c>
      <c r="F6353" t="str">
        <f t="shared" si="225"/>
        <v>60460000</v>
      </c>
      <c r="G6353" t="str">
        <f t="shared" si="226"/>
        <v>60440004</v>
      </c>
      <c r="H6353" t="s">
        <v>4837</v>
      </c>
      <c r="J6353" s="4">
        <v>15400</v>
      </c>
    </row>
    <row r="6354" spans="1:10" hidden="1" outlineLevel="2" x14ac:dyDescent="0.35">
      <c r="A6354" t="s">
        <v>3115</v>
      </c>
      <c r="B6354" s="1">
        <v>45736</v>
      </c>
      <c r="C6354" t="str">
        <f>"316"</f>
        <v>316</v>
      </c>
      <c r="D6354" t="s">
        <v>4838</v>
      </c>
      <c r="E6354" t="str">
        <f>"183487"</f>
        <v>183487</v>
      </c>
      <c r="F6354" t="str">
        <f t="shared" si="225"/>
        <v>60460000</v>
      </c>
      <c r="G6354" t="str">
        <f t="shared" si="226"/>
        <v>60440004</v>
      </c>
      <c r="H6354" t="s">
        <v>4839</v>
      </c>
      <c r="J6354" s="4">
        <v>1346</v>
      </c>
    </row>
    <row r="6355" spans="1:10" hidden="1" outlineLevel="2" x14ac:dyDescent="0.35">
      <c r="A6355" t="s">
        <v>3115</v>
      </c>
      <c r="B6355" s="1">
        <v>45736</v>
      </c>
      <c r="C6355" t="str">
        <f>"317"</f>
        <v>317</v>
      </c>
      <c r="D6355" t="s">
        <v>4840</v>
      </c>
      <c r="E6355" t="str">
        <f>"183350"</f>
        <v>183350</v>
      </c>
      <c r="F6355" t="str">
        <f t="shared" si="225"/>
        <v>60460000</v>
      </c>
      <c r="G6355" t="str">
        <f t="shared" si="226"/>
        <v>60440004</v>
      </c>
      <c r="H6355" t="s">
        <v>4841</v>
      </c>
      <c r="J6355" s="4">
        <v>11744</v>
      </c>
    </row>
    <row r="6356" spans="1:10" hidden="1" outlineLevel="2" x14ac:dyDescent="0.35">
      <c r="A6356" t="s">
        <v>3115</v>
      </c>
      <c r="B6356" s="1">
        <v>45736</v>
      </c>
      <c r="C6356" t="str">
        <f>"318"</f>
        <v>318</v>
      </c>
      <c r="D6356" t="s">
        <v>4842</v>
      </c>
      <c r="E6356" t="str">
        <f>"184351"</f>
        <v>184351</v>
      </c>
      <c r="F6356" t="str">
        <f t="shared" si="225"/>
        <v>60460000</v>
      </c>
      <c r="G6356" t="str">
        <f t="shared" si="226"/>
        <v>60440004</v>
      </c>
      <c r="H6356" t="s">
        <v>4843</v>
      </c>
      <c r="J6356" s="4">
        <v>11744</v>
      </c>
    </row>
    <row r="6357" spans="1:10" hidden="1" outlineLevel="2" x14ac:dyDescent="0.35">
      <c r="A6357" t="s">
        <v>3115</v>
      </c>
      <c r="B6357" s="1">
        <v>45736</v>
      </c>
      <c r="C6357" t="str">
        <f>"319"</f>
        <v>319</v>
      </c>
      <c r="D6357" t="s">
        <v>4844</v>
      </c>
      <c r="E6357" t="str">
        <f>"184353"</f>
        <v>184353</v>
      </c>
      <c r="F6357" t="str">
        <f t="shared" si="225"/>
        <v>60460000</v>
      </c>
      <c r="G6357" t="str">
        <f t="shared" si="226"/>
        <v>60440004</v>
      </c>
      <c r="H6357" t="s">
        <v>4845</v>
      </c>
      <c r="J6357" s="4">
        <v>9648</v>
      </c>
    </row>
    <row r="6358" spans="1:10" hidden="1" outlineLevel="2" x14ac:dyDescent="0.35">
      <c r="A6358" t="s">
        <v>3115</v>
      </c>
      <c r="B6358" s="1">
        <v>45736</v>
      </c>
      <c r="C6358" t="str">
        <f>"320"</f>
        <v>320</v>
      </c>
      <c r="D6358" t="s">
        <v>4846</v>
      </c>
      <c r="E6358" t="str">
        <f>"182094"</f>
        <v>182094</v>
      </c>
      <c r="F6358" t="str">
        <f t="shared" si="225"/>
        <v>60460000</v>
      </c>
      <c r="G6358" t="str">
        <f t="shared" si="226"/>
        <v>60440004</v>
      </c>
      <c r="H6358" t="s">
        <v>4847</v>
      </c>
      <c r="J6358" s="4">
        <v>27262</v>
      </c>
    </row>
    <row r="6359" spans="1:10" hidden="1" outlineLevel="2" x14ac:dyDescent="0.35">
      <c r="A6359" t="s">
        <v>3115</v>
      </c>
      <c r="B6359" s="1">
        <v>45736</v>
      </c>
      <c r="C6359" t="str">
        <f>"321"</f>
        <v>321</v>
      </c>
      <c r="D6359" t="s">
        <v>4848</v>
      </c>
      <c r="E6359" t="str">
        <f>"182126"</f>
        <v>182126</v>
      </c>
      <c r="F6359" t="str">
        <f t="shared" si="225"/>
        <v>60460000</v>
      </c>
      <c r="G6359" t="str">
        <f t="shared" si="226"/>
        <v>60440004</v>
      </c>
      <c r="H6359" t="s">
        <v>4849</v>
      </c>
      <c r="J6359" s="4">
        <v>41400</v>
      </c>
    </row>
    <row r="6360" spans="1:10" hidden="1" outlineLevel="2" x14ac:dyDescent="0.35">
      <c r="A6360" t="s">
        <v>3115</v>
      </c>
      <c r="B6360" s="1">
        <v>45736</v>
      </c>
      <c r="C6360" t="str">
        <f>"322"</f>
        <v>322</v>
      </c>
      <c r="D6360" t="s">
        <v>4850</v>
      </c>
      <c r="E6360" t="str">
        <f>"183263"</f>
        <v>183263</v>
      </c>
      <c r="F6360" t="str">
        <f t="shared" si="225"/>
        <v>60460000</v>
      </c>
      <c r="G6360" t="str">
        <f t="shared" si="226"/>
        <v>60440004</v>
      </c>
      <c r="H6360" t="s">
        <v>4851</v>
      </c>
      <c r="J6360" s="4">
        <v>600</v>
      </c>
    </row>
    <row r="6361" spans="1:10" hidden="1" outlineLevel="2" x14ac:dyDescent="0.35">
      <c r="A6361" t="s">
        <v>3115</v>
      </c>
      <c r="B6361" s="1">
        <v>45736</v>
      </c>
      <c r="C6361" t="str">
        <f>"323"</f>
        <v>323</v>
      </c>
      <c r="D6361" t="s">
        <v>4852</v>
      </c>
      <c r="E6361" t="str">
        <f>"181874"</f>
        <v>181874</v>
      </c>
      <c r="F6361" t="str">
        <f t="shared" si="225"/>
        <v>60460000</v>
      </c>
      <c r="G6361" t="str">
        <f t="shared" si="226"/>
        <v>60440004</v>
      </c>
      <c r="H6361" t="s">
        <v>4853</v>
      </c>
      <c r="J6361" s="4">
        <v>40000</v>
      </c>
    </row>
    <row r="6362" spans="1:10" hidden="1" outlineLevel="2" x14ac:dyDescent="0.35">
      <c r="A6362" t="s">
        <v>3115</v>
      </c>
      <c r="B6362" s="1">
        <v>45736</v>
      </c>
      <c r="C6362" t="str">
        <f>"324"</f>
        <v>324</v>
      </c>
      <c r="D6362" t="s">
        <v>4854</v>
      </c>
      <c r="E6362" t="str">
        <f>"181876"</f>
        <v>181876</v>
      </c>
      <c r="F6362" t="str">
        <f t="shared" si="225"/>
        <v>60460000</v>
      </c>
      <c r="G6362" t="str">
        <f t="shared" si="226"/>
        <v>60440004</v>
      </c>
      <c r="H6362" t="s">
        <v>4855</v>
      </c>
      <c r="J6362" s="4">
        <v>300</v>
      </c>
    </row>
    <row r="6363" spans="1:10" hidden="1" outlineLevel="2" x14ac:dyDescent="0.35">
      <c r="A6363" t="s">
        <v>3115</v>
      </c>
      <c r="B6363" s="1">
        <v>45736</v>
      </c>
      <c r="C6363" t="str">
        <f>"325"</f>
        <v>325</v>
      </c>
      <c r="D6363" t="s">
        <v>4856</v>
      </c>
      <c r="E6363" t="str">
        <f>"183347"</f>
        <v>183347</v>
      </c>
      <c r="F6363" t="str">
        <f t="shared" si="225"/>
        <v>60460000</v>
      </c>
      <c r="G6363" t="str">
        <f t="shared" si="226"/>
        <v>60440004</v>
      </c>
      <c r="H6363" t="s">
        <v>4857</v>
      </c>
      <c r="J6363" s="4">
        <v>1500</v>
      </c>
    </row>
    <row r="6364" spans="1:10" hidden="1" outlineLevel="2" x14ac:dyDescent="0.35">
      <c r="A6364" t="s">
        <v>3115</v>
      </c>
      <c r="B6364" s="1">
        <v>45736</v>
      </c>
      <c r="C6364" t="str">
        <f>"329"</f>
        <v>329</v>
      </c>
      <c r="D6364" t="s">
        <v>4864</v>
      </c>
      <c r="E6364" t="str">
        <f>"183348"</f>
        <v>183348</v>
      </c>
      <c r="F6364" t="str">
        <f t="shared" si="225"/>
        <v>60460000</v>
      </c>
      <c r="G6364" t="str">
        <f t="shared" si="226"/>
        <v>60440004</v>
      </c>
      <c r="H6364" t="s">
        <v>4865</v>
      </c>
      <c r="J6364" s="4">
        <v>2933</v>
      </c>
    </row>
    <row r="6365" spans="1:10" hidden="1" outlineLevel="2" x14ac:dyDescent="0.35">
      <c r="A6365" t="s">
        <v>3115</v>
      </c>
      <c r="B6365" s="1">
        <v>45736</v>
      </c>
      <c r="C6365" t="str">
        <f>"330"</f>
        <v>330</v>
      </c>
      <c r="D6365" t="s">
        <v>4866</v>
      </c>
      <c r="E6365" t="str">
        <f>"183485"</f>
        <v>183485</v>
      </c>
      <c r="F6365" t="str">
        <f t="shared" si="225"/>
        <v>60460000</v>
      </c>
      <c r="G6365" t="str">
        <f t="shared" si="226"/>
        <v>60440004</v>
      </c>
      <c r="H6365" t="s">
        <v>4867</v>
      </c>
      <c r="J6365" s="4">
        <v>2546</v>
      </c>
    </row>
    <row r="6366" spans="1:10" hidden="1" outlineLevel="2" x14ac:dyDescent="0.35">
      <c r="A6366" t="s">
        <v>3115</v>
      </c>
      <c r="B6366" s="1">
        <v>45736</v>
      </c>
      <c r="C6366" t="str">
        <f>"331"</f>
        <v>331</v>
      </c>
      <c r="D6366" t="s">
        <v>4868</v>
      </c>
      <c r="E6366" t="str">
        <f>"183483"</f>
        <v>183483</v>
      </c>
      <c r="F6366" t="str">
        <f t="shared" si="225"/>
        <v>60460000</v>
      </c>
      <c r="G6366" t="str">
        <f t="shared" si="226"/>
        <v>60440004</v>
      </c>
      <c r="H6366" t="s">
        <v>4869</v>
      </c>
      <c r="J6366" s="4">
        <v>1346</v>
      </c>
    </row>
    <row r="6367" spans="1:10" hidden="1" outlineLevel="2" x14ac:dyDescent="0.35">
      <c r="A6367" t="s">
        <v>3115</v>
      </c>
      <c r="B6367" s="1">
        <v>45736</v>
      </c>
      <c r="C6367" t="str">
        <f>"334"</f>
        <v>334</v>
      </c>
      <c r="D6367" t="s">
        <v>4874</v>
      </c>
      <c r="E6367" t="str">
        <f>"181850"</f>
        <v>181850</v>
      </c>
      <c r="F6367" t="str">
        <f t="shared" si="225"/>
        <v>60460000</v>
      </c>
      <c r="G6367" t="str">
        <f t="shared" si="226"/>
        <v>60440004</v>
      </c>
      <c r="H6367" t="s">
        <v>4875</v>
      </c>
      <c r="J6367" s="4">
        <v>18500</v>
      </c>
    </row>
    <row r="6368" spans="1:10" hidden="1" outlineLevel="2" x14ac:dyDescent="0.35">
      <c r="A6368" t="s">
        <v>3115</v>
      </c>
      <c r="B6368" s="1">
        <v>45736</v>
      </c>
      <c r="C6368" t="str">
        <f>"335"</f>
        <v>335</v>
      </c>
      <c r="D6368" t="s">
        <v>4876</v>
      </c>
      <c r="E6368" t="str">
        <f>"162585"</f>
        <v>162585</v>
      </c>
      <c r="F6368" t="str">
        <f t="shared" si="225"/>
        <v>60460000</v>
      </c>
      <c r="G6368" t="str">
        <f t="shared" si="226"/>
        <v>60440004</v>
      </c>
      <c r="H6368" t="s">
        <v>4877</v>
      </c>
      <c r="J6368" s="4">
        <v>1748</v>
      </c>
    </row>
    <row r="6369" spans="1:10" hidden="1" outlineLevel="2" x14ac:dyDescent="0.35">
      <c r="A6369" t="s">
        <v>3115</v>
      </c>
      <c r="B6369" s="1">
        <v>45736</v>
      </c>
      <c r="C6369" t="str">
        <f>"336"</f>
        <v>336</v>
      </c>
      <c r="D6369" t="s">
        <v>4878</v>
      </c>
      <c r="E6369" t="str">
        <f>"180187"</f>
        <v>180187</v>
      </c>
      <c r="F6369" t="str">
        <f t="shared" si="225"/>
        <v>60460000</v>
      </c>
      <c r="G6369" t="str">
        <f t="shared" si="226"/>
        <v>60440004</v>
      </c>
      <c r="H6369" t="s">
        <v>4879</v>
      </c>
      <c r="J6369" s="4">
        <v>33500</v>
      </c>
    </row>
    <row r="6370" spans="1:10" hidden="1" outlineLevel="2" x14ac:dyDescent="0.35">
      <c r="A6370" t="s">
        <v>3115</v>
      </c>
      <c r="B6370" s="1">
        <v>45737</v>
      </c>
      <c r="C6370" t="str">
        <f>"260"</f>
        <v>260</v>
      </c>
      <c r="D6370" t="s">
        <v>4964</v>
      </c>
      <c r="E6370" t="str">
        <f>"181826"</f>
        <v>181826</v>
      </c>
      <c r="F6370" t="str">
        <f t="shared" si="225"/>
        <v>60460000</v>
      </c>
      <c r="G6370" t="str">
        <f t="shared" si="226"/>
        <v>60440004</v>
      </c>
      <c r="H6370" t="s">
        <v>4965</v>
      </c>
      <c r="J6370" s="4">
        <v>2500</v>
      </c>
    </row>
    <row r="6371" spans="1:10" hidden="1" outlineLevel="2" x14ac:dyDescent="0.35">
      <c r="A6371" t="s">
        <v>3115</v>
      </c>
      <c r="B6371" s="1">
        <v>45737</v>
      </c>
      <c r="C6371" t="str">
        <f>"262"</f>
        <v>262</v>
      </c>
      <c r="D6371" t="s">
        <v>4968</v>
      </c>
      <c r="E6371" t="str">
        <f>"182230"</f>
        <v>182230</v>
      </c>
      <c r="F6371" t="str">
        <f t="shared" si="225"/>
        <v>60460000</v>
      </c>
      <c r="G6371" t="str">
        <f t="shared" si="226"/>
        <v>60440004</v>
      </c>
      <c r="H6371" t="s">
        <v>4969</v>
      </c>
      <c r="J6371" s="4">
        <v>2500</v>
      </c>
    </row>
    <row r="6372" spans="1:10" hidden="1" outlineLevel="2" x14ac:dyDescent="0.35">
      <c r="A6372" t="s">
        <v>3115</v>
      </c>
      <c r="B6372" s="1">
        <v>45737</v>
      </c>
      <c r="C6372" t="str">
        <f>"263"</f>
        <v>263</v>
      </c>
      <c r="D6372" t="s">
        <v>4970</v>
      </c>
      <c r="E6372" t="str">
        <f>"182231"</f>
        <v>182231</v>
      </c>
      <c r="F6372" t="str">
        <f t="shared" si="225"/>
        <v>60460000</v>
      </c>
      <c r="G6372" t="str">
        <f t="shared" si="226"/>
        <v>60440004</v>
      </c>
      <c r="H6372" t="s">
        <v>4971</v>
      </c>
      <c r="J6372" s="4">
        <v>1467</v>
      </c>
    </row>
    <row r="6373" spans="1:10" hidden="1" outlineLevel="2" x14ac:dyDescent="0.35">
      <c r="A6373" t="s">
        <v>3115</v>
      </c>
      <c r="B6373" s="1">
        <v>45737</v>
      </c>
      <c r="C6373" t="str">
        <f>"264"</f>
        <v>264</v>
      </c>
      <c r="D6373" t="s">
        <v>4972</v>
      </c>
      <c r="E6373" t="str">
        <f>"180489"</f>
        <v>180489</v>
      </c>
      <c r="F6373" t="str">
        <f t="shared" si="225"/>
        <v>60460000</v>
      </c>
      <c r="G6373" t="str">
        <f t="shared" si="226"/>
        <v>60440004</v>
      </c>
      <c r="H6373" t="s">
        <v>4973</v>
      </c>
      <c r="J6373" s="4">
        <v>300</v>
      </c>
    </row>
    <row r="6374" spans="1:10" hidden="1" outlineLevel="2" x14ac:dyDescent="0.35">
      <c r="A6374" t="s">
        <v>3115</v>
      </c>
      <c r="B6374" s="1">
        <v>45737</v>
      </c>
      <c r="C6374" t="str">
        <f>"265"</f>
        <v>265</v>
      </c>
      <c r="D6374" t="s">
        <v>4974</v>
      </c>
      <c r="E6374" t="str">
        <f>"184352"</f>
        <v>184352</v>
      </c>
      <c r="F6374" t="str">
        <f t="shared" si="225"/>
        <v>60460000</v>
      </c>
      <c r="G6374" t="str">
        <f t="shared" si="226"/>
        <v>60440004</v>
      </c>
      <c r="H6374" t="s">
        <v>4975</v>
      </c>
      <c r="J6374" s="4">
        <v>9543</v>
      </c>
    </row>
    <row r="6375" spans="1:10" hidden="1" outlineLevel="2" x14ac:dyDescent="0.35">
      <c r="A6375" t="s">
        <v>3115</v>
      </c>
      <c r="B6375" s="1">
        <v>45737</v>
      </c>
      <c r="C6375" t="str">
        <f>"267"</f>
        <v>267</v>
      </c>
      <c r="D6375" t="s">
        <v>4978</v>
      </c>
      <c r="E6375" t="str">
        <f>"183489"</f>
        <v>183489</v>
      </c>
      <c r="F6375" t="str">
        <f t="shared" si="225"/>
        <v>60460000</v>
      </c>
      <c r="G6375" t="str">
        <f t="shared" si="226"/>
        <v>60440004</v>
      </c>
      <c r="H6375" t="s">
        <v>4979</v>
      </c>
      <c r="J6375" s="4">
        <v>158785</v>
      </c>
    </row>
    <row r="6376" spans="1:10" hidden="1" outlineLevel="2" x14ac:dyDescent="0.35">
      <c r="A6376" t="s">
        <v>3115</v>
      </c>
      <c r="B6376" s="1">
        <v>45737</v>
      </c>
      <c r="C6376" t="str">
        <f>"268"</f>
        <v>268</v>
      </c>
      <c r="D6376" t="s">
        <v>4980</v>
      </c>
      <c r="E6376" t="str">
        <f>"184355"</f>
        <v>184355</v>
      </c>
      <c r="F6376" t="str">
        <f t="shared" si="225"/>
        <v>60460000</v>
      </c>
      <c r="G6376" t="str">
        <f t="shared" si="226"/>
        <v>60440004</v>
      </c>
      <c r="H6376" t="s">
        <v>4981</v>
      </c>
      <c r="J6376" s="4">
        <v>7342</v>
      </c>
    </row>
    <row r="6377" spans="1:10" hidden="1" outlineLevel="2" x14ac:dyDescent="0.35">
      <c r="A6377" t="s">
        <v>3115</v>
      </c>
      <c r="B6377" s="1">
        <v>45737</v>
      </c>
      <c r="C6377" t="str">
        <f>"269"</f>
        <v>269</v>
      </c>
      <c r="D6377" t="s">
        <v>4982</v>
      </c>
      <c r="E6377" t="str">
        <f>"1181232"</f>
        <v>1181232</v>
      </c>
      <c r="F6377" t="str">
        <f t="shared" si="225"/>
        <v>60460000</v>
      </c>
      <c r="G6377" t="str">
        <f t="shared" si="226"/>
        <v>60440004</v>
      </c>
      <c r="H6377" t="s">
        <v>4983</v>
      </c>
      <c r="J6377" s="4">
        <v>150</v>
      </c>
    </row>
    <row r="6378" spans="1:10" hidden="1" outlineLevel="2" x14ac:dyDescent="0.35">
      <c r="A6378" t="s">
        <v>3115</v>
      </c>
      <c r="B6378" s="1">
        <v>45737</v>
      </c>
      <c r="C6378" t="str">
        <f>"270"</f>
        <v>270</v>
      </c>
      <c r="D6378" t="s">
        <v>4984</v>
      </c>
      <c r="E6378" t="str">
        <f>"181223"</f>
        <v>181223</v>
      </c>
      <c r="F6378" t="str">
        <f t="shared" si="225"/>
        <v>60460000</v>
      </c>
      <c r="G6378" t="str">
        <f t="shared" si="226"/>
        <v>60440004</v>
      </c>
      <c r="H6378" t="s">
        <v>4985</v>
      </c>
      <c r="J6378" s="4">
        <v>300</v>
      </c>
    </row>
    <row r="6379" spans="1:10" hidden="1" outlineLevel="2" x14ac:dyDescent="0.35">
      <c r="A6379" t="s">
        <v>3115</v>
      </c>
      <c r="B6379" s="1">
        <v>45737</v>
      </c>
      <c r="C6379" t="str">
        <f>"272"</f>
        <v>272</v>
      </c>
      <c r="D6379" t="s">
        <v>4988</v>
      </c>
      <c r="E6379" t="str">
        <f>"180490"</f>
        <v>180490</v>
      </c>
      <c r="F6379" t="str">
        <f t="shared" ref="F6379:F6442" si="227">"60460000"</f>
        <v>60460000</v>
      </c>
      <c r="G6379" t="str">
        <f t="shared" ref="G6379:G6442" si="228">"60440004"</f>
        <v>60440004</v>
      </c>
      <c r="H6379" t="s">
        <v>4989</v>
      </c>
      <c r="J6379" s="4">
        <v>300</v>
      </c>
    </row>
    <row r="6380" spans="1:10" hidden="1" outlineLevel="2" x14ac:dyDescent="0.35">
      <c r="A6380" t="s">
        <v>3115</v>
      </c>
      <c r="B6380" s="1">
        <v>45740</v>
      </c>
      <c r="C6380" t="str">
        <f>"17"</f>
        <v>17</v>
      </c>
      <c r="D6380" t="s">
        <v>5056</v>
      </c>
      <c r="E6380" t="str">
        <f>"180492"</f>
        <v>180492</v>
      </c>
      <c r="F6380" t="str">
        <f t="shared" si="227"/>
        <v>60460000</v>
      </c>
      <c r="G6380" t="str">
        <f t="shared" si="228"/>
        <v>60440004</v>
      </c>
      <c r="H6380" t="s">
        <v>5057</v>
      </c>
      <c r="J6380" s="4">
        <v>1200</v>
      </c>
    </row>
    <row r="6381" spans="1:10" hidden="1" outlineLevel="2" x14ac:dyDescent="0.35">
      <c r="A6381" t="s">
        <v>3115</v>
      </c>
      <c r="B6381" s="1">
        <v>45740</v>
      </c>
      <c r="C6381" t="str">
        <f>"18"</f>
        <v>18</v>
      </c>
      <c r="D6381" t="s">
        <v>5058</v>
      </c>
      <c r="E6381" t="str">
        <f>"181303"</f>
        <v>181303</v>
      </c>
      <c r="F6381" t="str">
        <f t="shared" si="227"/>
        <v>60460000</v>
      </c>
      <c r="G6381" t="str">
        <f t="shared" si="228"/>
        <v>60440004</v>
      </c>
      <c r="H6381" t="s">
        <v>5059</v>
      </c>
      <c r="J6381" s="4">
        <v>2604</v>
      </c>
    </row>
    <row r="6382" spans="1:10" hidden="1" outlineLevel="2" x14ac:dyDescent="0.35">
      <c r="A6382" t="s">
        <v>3115</v>
      </c>
      <c r="B6382" s="1">
        <v>45740</v>
      </c>
      <c r="C6382" t="str">
        <f>"208"</f>
        <v>208</v>
      </c>
      <c r="D6382" t="s">
        <v>5060</v>
      </c>
      <c r="E6382" t="str">
        <f>"180513"</f>
        <v>180513</v>
      </c>
      <c r="F6382" t="str">
        <f t="shared" si="227"/>
        <v>60460000</v>
      </c>
      <c r="G6382" t="str">
        <f t="shared" si="228"/>
        <v>60440004</v>
      </c>
      <c r="H6382" t="s">
        <v>5061</v>
      </c>
      <c r="J6382" s="4">
        <v>904</v>
      </c>
    </row>
    <row r="6383" spans="1:10" hidden="1" outlineLevel="2" x14ac:dyDescent="0.35">
      <c r="A6383" t="s">
        <v>3115</v>
      </c>
      <c r="B6383" s="1">
        <v>45740</v>
      </c>
      <c r="C6383" t="str">
        <f>"209"</f>
        <v>209</v>
      </c>
      <c r="D6383" t="s">
        <v>5062</v>
      </c>
      <c r="E6383" t="str">
        <f>"180491"</f>
        <v>180491</v>
      </c>
      <c r="F6383" t="str">
        <f t="shared" si="227"/>
        <v>60460000</v>
      </c>
      <c r="G6383" t="str">
        <f t="shared" si="228"/>
        <v>60440004</v>
      </c>
      <c r="H6383" t="s">
        <v>5063</v>
      </c>
      <c r="J6383" s="4">
        <v>300</v>
      </c>
    </row>
    <row r="6384" spans="1:10" hidden="1" outlineLevel="2" x14ac:dyDescent="0.35">
      <c r="A6384" t="s">
        <v>3115</v>
      </c>
      <c r="B6384" s="1">
        <v>45740</v>
      </c>
      <c r="C6384" t="str">
        <f>"210"</f>
        <v>210</v>
      </c>
      <c r="D6384" t="s">
        <v>5064</v>
      </c>
      <c r="E6384" t="str">
        <f>"184253"</f>
        <v>184253</v>
      </c>
      <c r="F6384" t="str">
        <f t="shared" si="227"/>
        <v>60460000</v>
      </c>
      <c r="G6384" t="str">
        <f t="shared" si="228"/>
        <v>60440004</v>
      </c>
      <c r="H6384" t="s">
        <v>5065</v>
      </c>
      <c r="J6384" s="4">
        <v>10039</v>
      </c>
    </row>
    <row r="6385" spans="1:10" hidden="1" outlineLevel="2" x14ac:dyDescent="0.35">
      <c r="A6385" t="s">
        <v>3115</v>
      </c>
      <c r="B6385" s="1">
        <v>45740</v>
      </c>
      <c r="C6385" t="str">
        <f>"211"</f>
        <v>211</v>
      </c>
      <c r="D6385" t="s">
        <v>5066</v>
      </c>
      <c r="E6385" t="str">
        <f>"178450"</f>
        <v>178450</v>
      </c>
      <c r="F6385" t="str">
        <f t="shared" si="227"/>
        <v>60460000</v>
      </c>
      <c r="G6385" t="str">
        <f t="shared" si="228"/>
        <v>60440004</v>
      </c>
      <c r="H6385" t="s">
        <v>5067</v>
      </c>
      <c r="J6385" s="4">
        <v>4560</v>
      </c>
    </row>
    <row r="6386" spans="1:10" hidden="1" outlineLevel="2" x14ac:dyDescent="0.35">
      <c r="A6386" t="s">
        <v>3115</v>
      </c>
      <c r="B6386" s="1">
        <v>45740</v>
      </c>
      <c r="C6386" t="str">
        <f>"212"</f>
        <v>212</v>
      </c>
      <c r="D6386" t="s">
        <v>5068</v>
      </c>
      <c r="E6386" t="str">
        <f>"183358"</f>
        <v>183358</v>
      </c>
      <c r="F6386" t="str">
        <f t="shared" si="227"/>
        <v>60460000</v>
      </c>
      <c r="G6386" t="str">
        <f t="shared" si="228"/>
        <v>60440004</v>
      </c>
      <c r="H6386" t="s">
        <v>5069</v>
      </c>
      <c r="J6386" s="4">
        <v>14400</v>
      </c>
    </row>
    <row r="6387" spans="1:10" hidden="1" outlineLevel="2" x14ac:dyDescent="0.35">
      <c r="A6387" t="s">
        <v>3115</v>
      </c>
      <c r="B6387" s="1">
        <v>45740</v>
      </c>
      <c r="C6387" t="str">
        <f>"213"</f>
        <v>213</v>
      </c>
      <c r="D6387" t="s">
        <v>5070</v>
      </c>
      <c r="E6387" t="str">
        <f>"181229"</f>
        <v>181229</v>
      </c>
      <c r="F6387" t="str">
        <f t="shared" si="227"/>
        <v>60460000</v>
      </c>
      <c r="G6387" t="str">
        <f t="shared" si="228"/>
        <v>60440004</v>
      </c>
      <c r="H6387" t="s">
        <v>5071</v>
      </c>
      <c r="J6387" s="4">
        <v>300</v>
      </c>
    </row>
    <row r="6388" spans="1:10" hidden="1" outlineLevel="2" x14ac:dyDescent="0.35">
      <c r="A6388" t="s">
        <v>3115</v>
      </c>
      <c r="B6388" s="1">
        <v>45740</v>
      </c>
      <c r="C6388" t="str">
        <f>"214"</f>
        <v>214</v>
      </c>
      <c r="D6388" t="s">
        <v>5072</v>
      </c>
      <c r="E6388" t="str">
        <f>"181050"</f>
        <v>181050</v>
      </c>
      <c r="F6388" t="str">
        <f t="shared" si="227"/>
        <v>60460000</v>
      </c>
      <c r="G6388" t="str">
        <f t="shared" si="228"/>
        <v>60440004</v>
      </c>
      <c r="H6388" t="s">
        <v>5073</v>
      </c>
      <c r="J6388" s="4">
        <v>108000</v>
      </c>
    </row>
    <row r="6389" spans="1:10" hidden="1" outlineLevel="2" x14ac:dyDescent="0.35">
      <c r="A6389" t="s">
        <v>3115</v>
      </c>
      <c r="B6389" s="1">
        <v>45740</v>
      </c>
      <c r="C6389" t="str">
        <f>"215"</f>
        <v>215</v>
      </c>
      <c r="D6389" t="s">
        <v>5074</v>
      </c>
      <c r="E6389" t="str">
        <f>"181044"</f>
        <v>181044</v>
      </c>
      <c r="F6389" t="str">
        <f t="shared" si="227"/>
        <v>60460000</v>
      </c>
      <c r="G6389" t="str">
        <f t="shared" si="228"/>
        <v>60440004</v>
      </c>
      <c r="H6389" t="s">
        <v>5075</v>
      </c>
      <c r="J6389" s="4">
        <v>140000</v>
      </c>
    </row>
    <row r="6390" spans="1:10" hidden="1" outlineLevel="2" x14ac:dyDescent="0.35">
      <c r="A6390" t="s">
        <v>3115</v>
      </c>
      <c r="B6390" s="1">
        <v>45740</v>
      </c>
      <c r="C6390" t="str">
        <f>"216"</f>
        <v>216</v>
      </c>
      <c r="D6390" t="s">
        <v>5076</v>
      </c>
      <c r="E6390" t="str">
        <f>"181039"</f>
        <v>181039</v>
      </c>
      <c r="F6390" t="str">
        <f t="shared" si="227"/>
        <v>60460000</v>
      </c>
      <c r="G6390" t="str">
        <f t="shared" si="228"/>
        <v>60440004</v>
      </c>
      <c r="H6390" t="s">
        <v>5077</v>
      </c>
      <c r="J6390" s="4">
        <v>112000</v>
      </c>
    </row>
    <row r="6391" spans="1:10" hidden="1" outlineLevel="2" x14ac:dyDescent="0.35">
      <c r="A6391" t="s">
        <v>3115</v>
      </c>
      <c r="B6391" s="1">
        <v>45740</v>
      </c>
      <c r="C6391" t="str">
        <f>"218"</f>
        <v>218</v>
      </c>
      <c r="D6391" t="s">
        <v>5080</v>
      </c>
      <c r="E6391" t="str">
        <f>"182086"</f>
        <v>182086</v>
      </c>
      <c r="F6391" t="str">
        <f t="shared" si="227"/>
        <v>60460000</v>
      </c>
      <c r="G6391" t="str">
        <f t="shared" si="228"/>
        <v>60440004</v>
      </c>
      <c r="H6391" t="s">
        <v>5081</v>
      </c>
      <c r="J6391" s="4">
        <v>35000</v>
      </c>
    </row>
    <row r="6392" spans="1:10" hidden="1" outlineLevel="2" x14ac:dyDescent="0.35">
      <c r="A6392" t="s">
        <v>3115</v>
      </c>
      <c r="B6392" s="1">
        <v>45740</v>
      </c>
      <c r="C6392" t="str">
        <f>"219"</f>
        <v>219</v>
      </c>
      <c r="D6392" t="s">
        <v>5082</v>
      </c>
      <c r="E6392" t="str">
        <f>"183334"</f>
        <v>183334</v>
      </c>
      <c r="F6392" t="str">
        <f t="shared" si="227"/>
        <v>60460000</v>
      </c>
      <c r="G6392" t="str">
        <f t="shared" si="228"/>
        <v>60440004</v>
      </c>
      <c r="H6392" t="s">
        <v>5083</v>
      </c>
      <c r="J6392" s="4">
        <v>103500</v>
      </c>
    </row>
    <row r="6393" spans="1:10" hidden="1" outlineLevel="2" x14ac:dyDescent="0.35">
      <c r="A6393" t="s">
        <v>3115</v>
      </c>
      <c r="B6393" s="1">
        <v>45740</v>
      </c>
      <c r="C6393" t="str">
        <f>"221"</f>
        <v>221</v>
      </c>
      <c r="D6393" t="s">
        <v>5086</v>
      </c>
      <c r="E6393" t="str">
        <f>"180847"</f>
        <v>180847</v>
      </c>
      <c r="F6393" t="str">
        <f t="shared" si="227"/>
        <v>60460000</v>
      </c>
      <c r="G6393" t="str">
        <f t="shared" si="228"/>
        <v>60440004</v>
      </c>
      <c r="H6393" t="s">
        <v>5087</v>
      </c>
      <c r="J6393" s="4">
        <v>33750</v>
      </c>
    </row>
    <row r="6394" spans="1:10" hidden="1" outlineLevel="2" x14ac:dyDescent="0.35">
      <c r="A6394" t="s">
        <v>3115</v>
      </c>
      <c r="B6394" s="1">
        <v>45740</v>
      </c>
      <c r="C6394" t="str">
        <f>"223"</f>
        <v>223</v>
      </c>
      <c r="D6394" t="s">
        <v>5090</v>
      </c>
      <c r="E6394" t="str">
        <f>"183491"</f>
        <v>183491</v>
      </c>
      <c r="F6394" t="str">
        <f t="shared" si="227"/>
        <v>60460000</v>
      </c>
      <c r="G6394" t="str">
        <f t="shared" si="228"/>
        <v>60440004</v>
      </c>
      <c r="H6394" t="s">
        <v>5091</v>
      </c>
      <c r="J6394" s="4">
        <v>15329</v>
      </c>
    </row>
    <row r="6395" spans="1:10" hidden="1" outlineLevel="2" x14ac:dyDescent="0.35">
      <c r="A6395" t="s">
        <v>3115</v>
      </c>
      <c r="B6395" s="1">
        <v>45740</v>
      </c>
      <c r="C6395" t="str">
        <f>"225"</f>
        <v>225</v>
      </c>
      <c r="D6395" t="s">
        <v>5094</v>
      </c>
      <c r="E6395" t="str">
        <f>"184658"</f>
        <v>184658</v>
      </c>
      <c r="F6395" t="str">
        <f t="shared" si="227"/>
        <v>60460000</v>
      </c>
      <c r="G6395" t="str">
        <f t="shared" si="228"/>
        <v>60440004</v>
      </c>
      <c r="H6395" t="s">
        <v>5095</v>
      </c>
      <c r="J6395" s="4">
        <v>1500</v>
      </c>
    </row>
    <row r="6396" spans="1:10" hidden="1" outlineLevel="2" x14ac:dyDescent="0.35">
      <c r="A6396" t="s">
        <v>3115</v>
      </c>
      <c r="B6396" s="1">
        <v>45740</v>
      </c>
      <c r="C6396" t="str">
        <f>"226"</f>
        <v>226</v>
      </c>
      <c r="D6396" t="s">
        <v>5096</v>
      </c>
      <c r="E6396" t="str">
        <f>"183468"</f>
        <v>183468</v>
      </c>
      <c r="F6396" t="str">
        <f t="shared" si="227"/>
        <v>60460000</v>
      </c>
      <c r="G6396" t="str">
        <f t="shared" si="228"/>
        <v>60440004</v>
      </c>
      <c r="H6396" t="s">
        <v>5097</v>
      </c>
      <c r="J6396" s="4">
        <v>85000</v>
      </c>
    </row>
    <row r="6397" spans="1:10" hidden="1" outlineLevel="2" x14ac:dyDescent="0.35">
      <c r="A6397" t="s">
        <v>3115</v>
      </c>
      <c r="B6397" s="1">
        <v>45740</v>
      </c>
      <c r="C6397" t="str">
        <f>"227"</f>
        <v>227</v>
      </c>
      <c r="D6397" t="s">
        <v>5098</v>
      </c>
      <c r="E6397" t="str">
        <f>"183490"</f>
        <v>183490</v>
      </c>
      <c r="F6397" t="str">
        <f t="shared" si="227"/>
        <v>60460000</v>
      </c>
      <c r="G6397" t="str">
        <f t="shared" si="228"/>
        <v>60440004</v>
      </c>
      <c r="H6397" t="s">
        <v>5099</v>
      </c>
      <c r="J6397" s="4">
        <v>2327</v>
      </c>
    </row>
    <row r="6398" spans="1:10" hidden="1" outlineLevel="2" x14ac:dyDescent="0.35">
      <c r="A6398" t="s">
        <v>3115</v>
      </c>
      <c r="B6398" s="1">
        <v>45741</v>
      </c>
      <c r="C6398" t="str">
        <f>"23"</f>
        <v>23</v>
      </c>
      <c r="D6398" t="s">
        <v>5172</v>
      </c>
      <c r="E6398" t="str">
        <f>"180200"</f>
        <v>180200</v>
      </c>
      <c r="F6398" t="str">
        <f t="shared" si="227"/>
        <v>60460000</v>
      </c>
      <c r="G6398" t="str">
        <f t="shared" si="228"/>
        <v>60440004</v>
      </c>
      <c r="H6398" t="s">
        <v>5173</v>
      </c>
      <c r="J6398" s="4">
        <v>80044</v>
      </c>
    </row>
    <row r="6399" spans="1:10" hidden="1" outlineLevel="2" x14ac:dyDescent="0.35">
      <c r="A6399" t="s">
        <v>3115</v>
      </c>
      <c r="B6399" s="1">
        <v>45741</v>
      </c>
      <c r="C6399" t="str">
        <f>"26"</f>
        <v>26</v>
      </c>
      <c r="D6399" t="s">
        <v>5178</v>
      </c>
      <c r="E6399" t="str">
        <f>"183300"</f>
        <v>183300</v>
      </c>
      <c r="F6399" t="str">
        <f t="shared" si="227"/>
        <v>60460000</v>
      </c>
      <c r="G6399" t="str">
        <f t="shared" si="228"/>
        <v>60440004</v>
      </c>
      <c r="H6399" t="s">
        <v>5179</v>
      </c>
      <c r="J6399" s="4">
        <v>300</v>
      </c>
    </row>
    <row r="6400" spans="1:10" hidden="1" outlineLevel="2" x14ac:dyDescent="0.35">
      <c r="A6400" t="s">
        <v>3115</v>
      </c>
      <c r="B6400" s="1">
        <v>45741</v>
      </c>
      <c r="C6400" t="str">
        <f>"28"</f>
        <v>28</v>
      </c>
      <c r="D6400" t="s">
        <v>5182</v>
      </c>
      <c r="E6400" t="str">
        <f>"181943"</f>
        <v>181943</v>
      </c>
      <c r="F6400" t="str">
        <f t="shared" si="227"/>
        <v>60460000</v>
      </c>
      <c r="G6400" t="str">
        <f t="shared" si="228"/>
        <v>60440004</v>
      </c>
      <c r="H6400" t="s">
        <v>5183</v>
      </c>
      <c r="J6400" s="4">
        <v>600</v>
      </c>
    </row>
    <row r="6401" spans="1:10" hidden="1" outlineLevel="2" x14ac:dyDescent="0.35">
      <c r="A6401" t="s">
        <v>3115</v>
      </c>
      <c r="B6401" s="1">
        <v>45741</v>
      </c>
      <c r="C6401" t="str">
        <f>"31"</f>
        <v>31</v>
      </c>
      <c r="D6401" t="s">
        <v>5188</v>
      </c>
      <c r="E6401" t="str">
        <f>"183299"</f>
        <v>183299</v>
      </c>
      <c r="F6401" t="str">
        <f t="shared" si="227"/>
        <v>60460000</v>
      </c>
      <c r="G6401" t="str">
        <f t="shared" si="228"/>
        <v>60440004</v>
      </c>
      <c r="H6401" t="s">
        <v>5189</v>
      </c>
      <c r="J6401" s="4">
        <v>300</v>
      </c>
    </row>
    <row r="6402" spans="1:10" hidden="1" outlineLevel="2" x14ac:dyDescent="0.35">
      <c r="A6402" t="s">
        <v>3115</v>
      </c>
      <c r="B6402" s="1">
        <v>45741</v>
      </c>
      <c r="C6402" t="str">
        <f>"33"</f>
        <v>33</v>
      </c>
      <c r="D6402" t="s">
        <v>5192</v>
      </c>
      <c r="E6402" t="str">
        <f>"176068"</f>
        <v>176068</v>
      </c>
      <c r="F6402" t="str">
        <f t="shared" si="227"/>
        <v>60460000</v>
      </c>
      <c r="G6402" t="str">
        <f t="shared" si="228"/>
        <v>60440004</v>
      </c>
      <c r="H6402" t="s">
        <v>5193</v>
      </c>
      <c r="J6402" s="4">
        <v>4600</v>
      </c>
    </row>
    <row r="6403" spans="1:10" hidden="1" outlineLevel="2" x14ac:dyDescent="0.35">
      <c r="A6403" t="s">
        <v>3115</v>
      </c>
      <c r="B6403" s="1">
        <v>45741</v>
      </c>
      <c r="C6403" t="str">
        <f>"35"</f>
        <v>35</v>
      </c>
      <c r="D6403" t="s">
        <v>5196</v>
      </c>
      <c r="F6403" t="str">
        <f t="shared" si="227"/>
        <v>60460000</v>
      </c>
      <c r="G6403" t="str">
        <f t="shared" si="228"/>
        <v>60440004</v>
      </c>
      <c r="H6403" t="s">
        <v>5197</v>
      </c>
      <c r="J6403" s="4">
        <v>5745</v>
      </c>
    </row>
    <row r="6404" spans="1:10" hidden="1" outlineLevel="2" x14ac:dyDescent="0.35">
      <c r="A6404" t="s">
        <v>3115</v>
      </c>
      <c r="B6404" s="1">
        <v>45741</v>
      </c>
      <c r="C6404" t="str">
        <f>"39"</f>
        <v>39</v>
      </c>
      <c r="D6404" t="s">
        <v>5204</v>
      </c>
      <c r="E6404" t="str">
        <f>"180514"</f>
        <v>180514</v>
      </c>
      <c r="F6404" t="str">
        <f t="shared" si="227"/>
        <v>60460000</v>
      </c>
      <c r="G6404" t="str">
        <f t="shared" si="228"/>
        <v>60440004</v>
      </c>
      <c r="H6404" t="s">
        <v>5205</v>
      </c>
      <c r="J6404" s="4">
        <v>2841</v>
      </c>
    </row>
    <row r="6405" spans="1:10" hidden="1" outlineLevel="2" x14ac:dyDescent="0.35">
      <c r="A6405" t="s">
        <v>3115</v>
      </c>
      <c r="B6405" s="1">
        <v>45741</v>
      </c>
      <c r="C6405" t="str">
        <f>"42"</f>
        <v>42</v>
      </c>
      <c r="D6405" t="s">
        <v>5210</v>
      </c>
      <c r="E6405" t="str">
        <f>"183290"</f>
        <v>183290</v>
      </c>
      <c r="F6405" t="str">
        <f t="shared" si="227"/>
        <v>60460000</v>
      </c>
      <c r="G6405" t="str">
        <f t="shared" si="228"/>
        <v>60440004</v>
      </c>
      <c r="H6405" t="s">
        <v>5211</v>
      </c>
      <c r="J6405" s="4">
        <v>300</v>
      </c>
    </row>
    <row r="6406" spans="1:10" hidden="1" outlineLevel="2" x14ac:dyDescent="0.35">
      <c r="A6406" t="s">
        <v>3115</v>
      </c>
      <c r="B6406" s="1">
        <v>45741</v>
      </c>
      <c r="C6406" t="str">
        <f>"44"</f>
        <v>44</v>
      </c>
      <c r="D6406" t="s">
        <v>5214</v>
      </c>
      <c r="E6406" t="str">
        <f>"184360"</f>
        <v>184360</v>
      </c>
      <c r="F6406" t="str">
        <f t="shared" si="227"/>
        <v>60460000</v>
      </c>
      <c r="G6406" t="str">
        <f t="shared" si="228"/>
        <v>60440004</v>
      </c>
      <c r="H6406" t="s">
        <v>5215</v>
      </c>
      <c r="J6406" s="4">
        <v>1094</v>
      </c>
    </row>
    <row r="6407" spans="1:10" hidden="1" outlineLevel="2" x14ac:dyDescent="0.35">
      <c r="A6407" t="s">
        <v>3115</v>
      </c>
      <c r="B6407" s="1">
        <v>45741</v>
      </c>
      <c r="C6407" t="str">
        <f>"51"</f>
        <v>51</v>
      </c>
      <c r="D6407" t="s">
        <v>5228</v>
      </c>
      <c r="E6407" t="str">
        <f>"184453"</f>
        <v>184453</v>
      </c>
      <c r="F6407" t="str">
        <f t="shared" si="227"/>
        <v>60460000</v>
      </c>
      <c r="G6407" t="str">
        <f t="shared" si="228"/>
        <v>60440004</v>
      </c>
      <c r="H6407" t="s">
        <v>5229</v>
      </c>
      <c r="J6407" s="4">
        <v>3409</v>
      </c>
    </row>
    <row r="6408" spans="1:10" hidden="1" outlineLevel="2" x14ac:dyDescent="0.35">
      <c r="A6408" t="s">
        <v>3115</v>
      </c>
      <c r="B6408" s="1">
        <v>45741</v>
      </c>
      <c r="C6408" t="str">
        <f>"53"</f>
        <v>53</v>
      </c>
      <c r="D6408" t="s">
        <v>5232</v>
      </c>
      <c r="E6408" t="str">
        <f>"184452"</f>
        <v>184452</v>
      </c>
      <c r="F6408" t="str">
        <f t="shared" si="227"/>
        <v>60460000</v>
      </c>
      <c r="G6408" t="str">
        <f t="shared" si="228"/>
        <v>60440004</v>
      </c>
      <c r="H6408" t="s">
        <v>5233</v>
      </c>
      <c r="J6408" s="4">
        <v>2700</v>
      </c>
    </row>
    <row r="6409" spans="1:10" hidden="1" outlineLevel="2" x14ac:dyDescent="0.35">
      <c r="A6409" t="s">
        <v>3115</v>
      </c>
      <c r="B6409" s="1">
        <v>45741</v>
      </c>
      <c r="C6409" t="str">
        <f>"55"</f>
        <v>55</v>
      </c>
      <c r="D6409" t="s">
        <v>5236</v>
      </c>
      <c r="E6409" t="str">
        <f>"184706"</f>
        <v>184706</v>
      </c>
      <c r="F6409" t="str">
        <f t="shared" si="227"/>
        <v>60460000</v>
      </c>
      <c r="G6409" t="str">
        <f t="shared" si="228"/>
        <v>60440004</v>
      </c>
      <c r="H6409" t="s">
        <v>5237</v>
      </c>
      <c r="J6409" s="4">
        <v>5295</v>
      </c>
    </row>
    <row r="6410" spans="1:10" hidden="1" outlineLevel="2" x14ac:dyDescent="0.35">
      <c r="A6410" t="s">
        <v>3115</v>
      </c>
      <c r="B6410" s="1">
        <v>45741</v>
      </c>
      <c r="C6410" t="str">
        <f>"56"</f>
        <v>56</v>
      </c>
      <c r="D6410" t="s">
        <v>5238</v>
      </c>
      <c r="E6410" t="str">
        <f>"180493"</f>
        <v>180493</v>
      </c>
      <c r="F6410" t="str">
        <f t="shared" si="227"/>
        <v>60460000</v>
      </c>
      <c r="G6410" t="str">
        <f t="shared" si="228"/>
        <v>60440004</v>
      </c>
      <c r="H6410" t="s">
        <v>5239</v>
      </c>
      <c r="J6410" s="4">
        <v>1700</v>
      </c>
    </row>
    <row r="6411" spans="1:10" hidden="1" outlineLevel="2" x14ac:dyDescent="0.35">
      <c r="A6411" t="s">
        <v>3115</v>
      </c>
      <c r="B6411" s="1">
        <v>45741</v>
      </c>
      <c r="C6411" t="str">
        <f>"66"</f>
        <v>66</v>
      </c>
      <c r="D6411" t="s">
        <v>5258</v>
      </c>
      <c r="E6411" t="str">
        <f>"184702"</f>
        <v>184702</v>
      </c>
      <c r="F6411" t="str">
        <f t="shared" si="227"/>
        <v>60460000</v>
      </c>
      <c r="G6411" t="str">
        <f t="shared" si="228"/>
        <v>60440004</v>
      </c>
      <c r="H6411" t="s">
        <v>5259</v>
      </c>
      <c r="J6411" s="4">
        <v>600</v>
      </c>
    </row>
    <row r="6412" spans="1:10" hidden="1" outlineLevel="2" x14ac:dyDescent="0.35">
      <c r="A6412" t="s">
        <v>3115</v>
      </c>
      <c r="B6412" s="1">
        <v>45741</v>
      </c>
      <c r="C6412" t="str">
        <f>"68"</f>
        <v>68</v>
      </c>
      <c r="D6412" t="s">
        <v>5262</v>
      </c>
      <c r="E6412" t="str">
        <f>"183269"</f>
        <v>183269</v>
      </c>
      <c r="F6412" t="str">
        <f t="shared" si="227"/>
        <v>60460000</v>
      </c>
      <c r="G6412" t="str">
        <f t="shared" si="228"/>
        <v>60440004</v>
      </c>
      <c r="H6412" t="s">
        <v>5263</v>
      </c>
      <c r="J6412" s="4">
        <v>300</v>
      </c>
    </row>
    <row r="6413" spans="1:10" hidden="1" outlineLevel="2" x14ac:dyDescent="0.35">
      <c r="A6413" t="s">
        <v>3115</v>
      </c>
      <c r="B6413" s="1">
        <v>45741</v>
      </c>
      <c r="C6413" t="str">
        <f>"70"</f>
        <v>70</v>
      </c>
      <c r="D6413" t="s">
        <v>5266</v>
      </c>
      <c r="E6413" t="str">
        <f>"182034"</f>
        <v>182034</v>
      </c>
      <c r="F6413" t="str">
        <f t="shared" si="227"/>
        <v>60460000</v>
      </c>
      <c r="G6413" t="str">
        <f t="shared" si="228"/>
        <v>60440004</v>
      </c>
      <c r="H6413" t="s">
        <v>5267</v>
      </c>
      <c r="J6413" s="4">
        <v>2100</v>
      </c>
    </row>
    <row r="6414" spans="1:10" hidden="1" outlineLevel="2" x14ac:dyDescent="0.35">
      <c r="A6414" t="s">
        <v>3115</v>
      </c>
      <c r="B6414" s="1">
        <v>45741</v>
      </c>
      <c r="C6414" t="str">
        <f>"72"</f>
        <v>72</v>
      </c>
      <c r="D6414" t="s">
        <v>5270</v>
      </c>
      <c r="E6414" t="str">
        <f>"182034"</f>
        <v>182034</v>
      </c>
      <c r="F6414" t="str">
        <f t="shared" si="227"/>
        <v>60460000</v>
      </c>
      <c r="G6414" t="str">
        <f t="shared" si="228"/>
        <v>60440004</v>
      </c>
      <c r="H6414" t="s">
        <v>5271</v>
      </c>
      <c r="J6414" s="4">
        <v>600</v>
      </c>
    </row>
    <row r="6415" spans="1:10" hidden="1" outlineLevel="2" x14ac:dyDescent="0.35">
      <c r="A6415" t="s">
        <v>3115</v>
      </c>
      <c r="B6415" s="1">
        <v>45741</v>
      </c>
      <c r="C6415" t="str">
        <f>"77"</f>
        <v>77</v>
      </c>
      <c r="D6415" t="s">
        <v>5280</v>
      </c>
      <c r="E6415" t="str">
        <f>"184701"</f>
        <v>184701</v>
      </c>
      <c r="F6415" t="str">
        <f t="shared" si="227"/>
        <v>60460000</v>
      </c>
      <c r="G6415" t="str">
        <f t="shared" si="228"/>
        <v>60440004</v>
      </c>
      <c r="H6415" t="s">
        <v>5281</v>
      </c>
      <c r="J6415" s="4">
        <v>900</v>
      </c>
    </row>
    <row r="6416" spans="1:10" hidden="1" outlineLevel="2" x14ac:dyDescent="0.35">
      <c r="A6416" t="s">
        <v>3115</v>
      </c>
      <c r="B6416" s="1">
        <v>45741</v>
      </c>
      <c r="C6416" t="str">
        <f>"81"</f>
        <v>81</v>
      </c>
      <c r="D6416" t="s">
        <v>5288</v>
      </c>
      <c r="E6416" t="str">
        <f>"181032"</f>
        <v>181032</v>
      </c>
      <c r="F6416" t="str">
        <f t="shared" si="227"/>
        <v>60460000</v>
      </c>
      <c r="G6416" t="str">
        <f t="shared" si="228"/>
        <v>60440004</v>
      </c>
      <c r="H6416" t="s">
        <v>5289</v>
      </c>
      <c r="J6416" s="4">
        <v>90000</v>
      </c>
    </row>
    <row r="6417" spans="1:10" hidden="1" outlineLevel="2" x14ac:dyDescent="0.35">
      <c r="A6417" t="s">
        <v>3115</v>
      </c>
      <c r="B6417" s="1">
        <v>45741</v>
      </c>
      <c r="C6417" t="str">
        <f>"84"</f>
        <v>84</v>
      </c>
      <c r="D6417" t="s">
        <v>5294</v>
      </c>
      <c r="E6417" t="str">
        <f>"179592"</f>
        <v>179592</v>
      </c>
      <c r="F6417" t="str">
        <f t="shared" si="227"/>
        <v>60460000</v>
      </c>
      <c r="G6417" t="str">
        <f t="shared" si="228"/>
        <v>60440004</v>
      </c>
      <c r="H6417" t="s">
        <v>5295</v>
      </c>
      <c r="J6417" s="4">
        <v>600</v>
      </c>
    </row>
    <row r="6418" spans="1:10" hidden="1" outlineLevel="2" x14ac:dyDescent="0.35">
      <c r="A6418" t="s">
        <v>3115</v>
      </c>
      <c r="B6418" s="1">
        <v>45741</v>
      </c>
      <c r="C6418" t="str">
        <f>"90"</f>
        <v>90</v>
      </c>
      <c r="D6418" t="s">
        <v>5306</v>
      </c>
      <c r="E6418" t="str">
        <f>"181878"</f>
        <v>181878</v>
      </c>
      <c r="F6418" t="str">
        <f t="shared" si="227"/>
        <v>60460000</v>
      </c>
      <c r="G6418" t="str">
        <f t="shared" si="228"/>
        <v>60440004</v>
      </c>
      <c r="H6418" t="s">
        <v>5307</v>
      </c>
      <c r="J6418" s="4">
        <v>300</v>
      </c>
    </row>
    <row r="6419" spans="1:10" hidden="1" outlineLevel="2" x14ac:dyDescent="0.35">
      <c r="A6419" t="s">
        <v>3115</v>
      </c>
      <c r="B6419" s="1">
        <v>45741</v>
      </c>
      <c r="C6419" t="str">
        <f>"97"</f>
        <v>97</v>
      </c>
      <c r="D6419" t="s">
        <v>5320</v>
      </c>
      <c r="E6419" t="str">
        <f>"184358"</f>
        <v>184358</v>
      </c>
      <c r="F6419" t="str">
        <f t="shared" si="227"/>
        <v>60460000</v>
      </c>
      <c r="G6419" t="str">
        <f t="shared" si="228"/>
        <v>60440004</v>
      </c>
      <c r="H6419" t="s">
        <v>5321</v>
      </c>
      <c r="J6419" s="4">
        <v>3000</v>
      </c>
    </row>
    <row r="6420" spans="1:10" hidden="1" outlineLevel="2" x14ac:dyDescent="0.35">
      <c r="A6420" t="s">
        <v>3115</v>
      </c>
      <c r="B6420" s="1">
        <v>45741</v>
      </c>
      <c r="C6420" t="str">
        <f>"99"</f>
        <v>99</v>
      </c>
      <c r="D6420" t="s">
        <v>5324</v>
      </c>
      <c r="E6420" t="str">
        <f>"184358"</f>
        <v>184358</v>
      </c>
      <c r="F6420" t="str">
        <f t="shared" si="227"/>
        <v>60460000</v>
      </c>
      <c r="G6420" t="str">
        <f t="shared" si="228"/>
        <v>60440004</v>
      </c>
      <c r="H6420" t="s">
        <v>5325</v>
      </c>
      <c r="J6420" s="4">
        <v>7142</v>
      </c>
    </row>
    <row r="6421" spans="1:10" hidden="1" outlineLevel="2" x14ac:dyDescent="0.35">
      <c r="A6421" t="s">
        <v>3115</v>
      </c>
      <c r="B6421" s="1">
        <v>45741</v>
      </c>
      <c r="C6421" t="str">
        <f>"101"</f>
        <v>101</v>
      </c>
      <c r="D6421" t="s">
        <v>5328</v>
      </c>
      <c r="E6421" t="str">
        <f>"184357"</f>
        <v>184357</v>
      </c>
      <c r="F6421" t="str">
        <f t="shared" si="227"/>
        <v>60460000</v>
      </c>
      <c r="G6421" t="str">
        <f t="shared" si="228"/>
        <v>60440004</v>
      </c>
      <c r="H6421" t="s">
        <v>5329</v>
      </c>
      <c r="J6421" s="4">
        <v>644</v>
      </c>
    </row>
    <row r="6422" spans="1:10" hidden="1" outlineLevel="2" x14ac:dyDescent="0.35">
      <c r="A6422" t="s">
        <v>3115</v>
      </c>
      <c r="B6422" s="1">
        <v>45741</v>
      </c>
      <c r="C6422" t="str">
        <f>"103"</f>
        <v>103</v>
      </c>
      <c r="D6422" t="s">
        <v>5332</v>
      </c>
      <c r="E6422" t="str">
        <f>"183289"</f>
        <v>183289</v>
      </c>
      <c r="F6422" t="str">
        <f t="shared" si="227"/>
        <v>60460000</v>
      </c>
      <c r="G6422" t="str">
        <f t="shared" si="228"/>
        <v>60440004</v>
      </c>
      <c r="H6422" t="s">
        <v>5333</v>
      </c>
      <c r="J6422" s="4">
        <v>300</v>
      </c>
    </row>
    <row r="6423" spans="1:10" hidden="1" outlineLevel="2" x14ac:dyDescent="0.35">
      <c r="A6423" t="s">
        <v>3115</v>
      </c>
      <c r="B6423" s="1">
        <v>45742</v>
      </c>
      <c r="C6423" t="str">
        <f>"111"</f>
        <v>111</v>
      </c>
      <c r="D6423" t="s">
        <v>5348</v>
      </c>
      <c r="E6423" t="str">
        <f>"182050"</f>
        <v>182050</v>
      </c>
      <c r="F6423" t="str">
        <f t="shared" si="227"/>
        <v>60460000</v>
      </c>
      <c r="G6423" t="str">
        <f t="shared" si="228"/>
        <v>60440004</v>
      </c>
      <c r="H6423" t="s">
        <v>5349</v>
      </c>
      <c r="J6423" s="4">
        <v>876</v>
      </c>
    </row>
    <row r="6424" spans="1:10" hidden="1" outlineLevel="2" x14ac:dyDescent="0.35">
      <c r="A6424" t="s">
        <v>3115</v>
      </c>
      <c r="B6424" s="1">
        <v>45742</v>
      </c>
      <c r="C6424" t="str">
        <f>"112"</f>
        <v>112</v>
      </c>
      <c r="D6424" t="s">
        <v>5350</v>
      </c>
      <c r="E6424" t="str">
        <f>"182049"</f>
        <v>182049</v>
      </c>
      <c r="F6424" t="str">
        <f t="shared" si="227"/>
        <v>60460000</v>
      </c>
      <c r="G6424" t="str">
        <f t="shared" si="228"/>
        <v>60440004</v>
      </c>
      <c r="H6424" t="s">
        <v>5351</v>
      </c>
      <c r="J6424" s="4">
        <v>876</v>
      </c>
    </row>
    <row r="6425" spans="1:10" hidden="1" outlineLevel="2" x14ac:dyDescent="0.35">
      <c r="A6425" t="s">
        <v>3115</v>
      </c>
      <c r="B6425" s="1">
        <v>45742</v>
      </c>
      <c r="C6425" t="str">
        <f>"116"</f>
        <v>116</v>
      </c>
      <c r="D6425" t="s">
        <v>5358</v>
      </c>
      <c r="E6425" t="str">
        <f>"180848"</f>
        <v>180848</v>
      </c>
      <c r="F6425" t="str">
        <f t="shared" si="227"/>
        <v>60460000</v>
      </c>
      <c r="G6425" t="str">
        <f t="shared" si="228"/>
        <v>60440004</v>
      </c>
      <c r="H6425" t="s">
        <v>5359</v>
      </c>
      <c r="J6425" s="4">
        <v>11060</v>
      </c>
    </row>
    <row r="6426" spans="1:10" hidden="1" outlineLevel="2" x14ac:dyDescent="0.35">
      <c r="A6426" t="s">
        <v>3115</v>
      </c>
      <c r="B6426" s="1">
        <v>45742</v>
      </c>
      <c r="C6426" t="str">
        <f>"117"</f>
        <v>117</v>
      </c>
      <c r="D6426" t="s">
        <v>5360</v>
      </c>
      <c r="E6426" t="str">
        <f>"182047"</f>
        <v>182047</v>
      </c>
      <c r="F6426" t="str">
        <f t="shared" si="227"/>
        <v>60460000</v>
      </c>
      <c r="G6426" t="str">
        <f t="shared" si="228"/>
        <v>60440004</v>
      </c>
      <c r="H6426" t="s">
        <v>5361</v>
      </c>
      <c r="J6426" s="4">
        <v>876</v>
      </c>
    </row>
    <row r="6427" spans="1:10" hidden="1" outlineLevel="2" x14ac:dyDescent="0.35">
      <c r="A6427" t="s">
        <v>3115</v>
      </c>
      <c r="B6427" s="1">
        <v>45742</v>
      </c>
      <c r="C6427" t="str">
        <f>"118"</f>
        <v>118</v>
      </c>
      <c r="D6427" t="s">
        <v>5362</v>
      </c>
      <c r="E6427" t="str">
        <f>"182046"</f>
        <v>182046</v>
      </c>
      <c r="F6427" t="str">
        <f t="shared" si="227"/>
        <v>60460000</v>
      </c>
      <c r="G6427" t="str">
        <f t="shared" si="228"/>
        <v>60440004</v>
      </c>
      <c r="H6427" t="s">
        <v>5363</v>
      </c>
      <c r="J6427" s="4">
        <v>876</v>
      </c>
    </row>
    <row r="6428" spans="1:10" hidden="1" outlineLevel="2" x14ac:dyDescent="0.35">
      <c r="A6428" t="s">
        <v>3115</v>
      </c>
      <c r="B6428" s="1">
        <v>45742</v>
      </c>
      <c r="C6428" t="str">
        <f>"121"</f>
        <v>121</v>
      </c>
      <c r="D6428" t="s">
        <v>5368</v>
      </c>
      <c r="E6428" t="str">
        <f>"182048"</f>
        <v>182048</v>
      </c>
      <c r="F6428" t="str">
        <f t="shared" si="227"/>
        <v>60460000</v>
      </c>
      <c r="G6428" t="str">
        <f t="shared" si="228"/>
        <v>60440004</v>
      </c>
      <c r="H6428" t="s">
        <v>5369</v>
      </c>
      <c r="J6428" s="4">
        <v>876</v>
      </c>
    </row>
    <row r="6429" spans="1:10" hidden="1" outlineLevel="2" x14ac:dyDescent="0.35">
      <c r="A6429" t="s">
        <v>3115</v>
      </c>
      <c r="B6429" s="1">
        <v>45742</v>
      </c>
      <c r="C6429" t="str">
        <f>"122"</f>
        <v>122</v>
      </c>
      <c r="D6429" t="s">
        <v>5370</v>
      </c>
      <c r="E6429" t="str">
        <f>"178441"</f>
        <v>178441</v>
      </c>
      <c r="F6429" t="str">
        <f t="shared" si="227"/>
        <v>60460000</v>
      </c>
      <c r="G6429" t="str">
        <f t="shared" si="228"/>
        <v>60440004</v>
      </c>
      <c r="H6429" t="s">
        <v>5371</v>
      </c>
      <c r="J6429" s="4">
        <v>7718</v>
      </c>
    </row>
    <row r="6430" spans="1:10" hidden="1" outlineLevel="2" x14ac:dyDescent="0.35">
      <c r="A6430" t="s">
        <v>3115</v>
      </c>
      <c r="B6430" s="1">
        <v>45742</v>
      </c>
      <c r="C6430" t="str">
        <f>"130"</f>
        <v>130</v>
      </c>
      <c r="D6430" t="s">
        <v>5386</v>
      </c>
      <c r="E6430" t="str">
        <f>"183494"</f>
        <v>183494</v>
      </c>
      <c r="F6430" t="str">
        <f t="shared" si="227"/>
        <v>60460000</v>
      </c>
      <c r="G6430" t="str">
        <f t="shared" si="228"/>
        <v>60440004</v>
      </c>
      <c r="H6430" t="s">
        <v>5387</v>
      </c>
      <c r="J6430" s="4">
        <v>4358</v>
      </c>
    </row>
    <row r="6431" spans="1:10" hidden="1" outlineLevel="2" x14ac:dyDescent="0.35">
      <c r="A6431" t="s">
        <v>3115</v>
      </c>
      <c r="B6431" s="1">
        <v>45742</v>
      </c>
      <c r="C6431" t="str">
        <f>"132"</f>
        <v>132</v>
      </c>
      <c r="D6431" t="s">
        <v>5390</v>
      </c>
      <c r="E6431" t="str">
        <f>"184210"</f>
        <v>184210</v>
      </c>
      <c r="F6431" t="str">
        <f t="shared" si="227"/>
        <v>60460000</v>
      </c>
      <c r="G6431" t="str">
        <f t="shared" si="228"/>
        <v>60440004</v>
      </c>
      <c r="H6431" t="s">
        <v>5391</v>
      </c>
      <c r="J6431" s="4">
        <v>7646</v>
      </c>
    </row>
    <row r="6432" spans="1:10" hidden="1" outlineLevel="2" x14ac:dyDescent="0.35">
      <c r="A6432" t="s">
        <v>3115</v>
      </c>
      <c r="B6432" s="1">
        <v>45742</v>
      </c>
      <c r="C6432" t="str">
        <f>"135"</f>
        <v>135</v>
      </c>
      <c r="D6432" t="s">
        <v>5396</v>
      </c>
      <c r="E6432" t="str">
        <f>"183441"</f>
        <v>183441</v>
      </c>
      <c r="F6432" t="str">
        <f t="shared" si="227"/>
        <v>60460000</v>
      </c>
      <c r="G6432" t="str">
        <f t="shared" si="228"/>
        <v>60440004</v>
      </c>
      <c r="H6432" t="s">
        <v>5397</v>
      </c>
      <c r="J6432" s="4">
        <v>350</v>
      </c>
    </row>
    <row r="6433" spans="1:10" hidden="1" outlineLevel="2" x14ac:dyDescent="0.35">
      <c r="A6433" t="s">
        <v>3115</v>
      </c>
      <c r="B6433" s="1">
        <v>45742</v>
      </c>
      <c r="C6433" t="str">
        <f>"139"</f>
        <v>139</v>
      </c>
      <c r="D6433" t="s">
        <v>5404</v>
      </c>
      <c r="E6433" t="str">
        <f>"183495"</f>
        <v>183495</v>
      </c>
      <c r="F6433" t="str">
        <f t="shared" si="227"/>
        <v>60460000</v>
      </c>
      <c r="G6433" t="str">
        <f t="shared" si="228"/>
        <v>60440004</v>
      </c>
      <c r="H6433" t="s">
        <v>5405</v>
      </c>
      <c r="J6433" s="4">
        <v>42900</v>
      </c>
    </row>
    <row r="6434" spans="1:10" hidden="1" outlineLevel="2" x14ac:dyDescent="0.35">
      <c r="A6434" t="s">
        <v>3115</v>
      </c>
      <c r="B6434" s="1">
        <v>45742</v>
      </c>
      <c r="C6434" t="str">
        <f>"140"</f>
        <v>140</v>
      </c>
      <c r="D6434" t="s">
        <v>5406</v>
      </c>
      <c r="E6434" t="str">
        <f>"183361"</f>
        <v>183361</v>
      </c>
      <c r="F6434" t="str">
        <f t="shared" si="227"/>
        <v>60460000</v>
      </c>
      <c r="G6434" t="str">
        <f t="shared" si="228"/>
        <v>60440004</v>
      </c>
      <c r="H6434" t="s">
        <v>5407</v>
      </c>
      <c r="J6434" s="4">
        <v>22050</v>
      </c>
    </row>
    <row r="6435" spans="1:10" hidden="1" outlineLevel="2" x14ac:dyDescent="0.35">
      <c r="A6435" t="s">
        <v>3115</v>
      </c>
      <c r="B6435" s="1">
        <v>45742</v>
      </c>
      <c r="C6435" t="str">
        <f>"141"</f>
        <v>141</v>
      </c>
      <c r="D6435" t="s">
        <v>5408</v>
      </c>
      <c r="E6435" t="str">
        <f>"183362"</f>
        <v>183362</v>
      </c>
      <c r="F6435" t="str">
        <f t="shared" si="227"/>
        <v>60460000</v>
      </c>
      <c r="G6435" t="str">
        <f t="shared" si="228"/>
        <v>60440004</v>
      </c>
      <c r="H6435" t="s">
        <v>5409</v>
      </c>
      <c r="J6435" s="4">
        <v>6500</v>
      </c>
    </row>
    <row r="6436" spans="1:10" hidden="1" outlineLevel="2" x14ac:dyDescent="0.35">
      <c r="A6436" t="s">
        <v>3115</v>
      </c>
      <c r="B6436" s="1">
        <v>45742</v>
      </c>
      <c r="C6436" t="str">
        <f>"142"</f>
        <v>142</v>
      </c>
      <c r="D6436" t="s">
        <v>5410</v>
      </c>
      <c r="E6436" t="str">
        <f>"184364"</f>
        <v>184364</v>
      </c>
      <c r="F6436" t="str">
        <f t="shared" si="227"/>
        <v>60460000</v>
      </c>
      <c r="G6436" t="str">
        <f t="shared" si="228"/>
        <v>60440004</v>
      </c>
      <c r="H6436" t="s">
        <v>5411</v>
      </c>
      <c r="J6436" s="4">
        <v>7142</v>
      </c>
    </row>
    <row r="6437" spans="1:10" hidden="1" outlineLevel="2" x14ac:dyDescent="0.35">
      <c r="A6437" t="s">
        <v>3115</v>
      </c>
      <c r="B6437" s="1">
        <v>45742</v>
      </c>
      <c r="C6437" t="str">
        <f>"143"</f>
        <v>143</v>
      </c>
      <c r="D6437" t="s">
        <v>5412</v>
      </c>
      <c r="E6437" t="str">
        <f>"184363"</f>
        <v>184363</v>
      </c>
      <c r="F6437" t="str">
        <f t="shared" si="227"/>
        <v>60460000</v>
      </c>
      <c r="G6437" t="str">
        <f t="shared" si="228"/>
        <v>60440004</v>
      </c>
      <c r="H6437" t="s">
        <v>5413</v>
      </c>
      <c r="J6437" s="4">
        <v>1094</v>
      </c>
    </row>
    <row r="6438" spans="1:10" hidden="1" outlineLevel="2" x14ac:dyDescent="0.35">
      <c r="A6438" t="s">
        <v>3115</v>
      </c>
      <c r="B6438" s="1">
        <v>45742</v>
      </c>
      <c r="C6438" t="str">
        <f>"144"</f>
        <v>144</v>
      </c>
      <c r="D6438" t="s">
        <v>5414</v>
      </c>
      <c r="E6438" t="str">
        <f>"184365"</f>
        <v>184365</v>
      </c>
      <c r="F6438" t="str">
        <f t="shared" si="227"/>
        <v>60460000</v>
      </c>
      <c r="G6438" t="str">
        <f t="shared" si="228"/>
        <v>60440004</v>
      </c>
      <c r="H6438" t="s">
        <v>5415</v>
      </c>
      <c r="J6438" s="4">
        <v>1934</v>
      </c>
    </row>
    <row r="6439" spans="1:10" hidden="1" outlineLevel="2" x14ac:dyDescent="0.35">
      <c r="A6439" t="s">
        <v>3115</v>
      </c>
      <c r="B6439" s="1">
        <v>45742</v>
      </c>
      <c r="C6439" t="str">
        <f>"145"</f>
        <v>145</v>
      </c>
      <c r="D6439" t="s">
        <v>5416</v>
      </c>
      <c r="E6439" t="str">
        <f>"184459"</f>
        <v>184459</v>
      </c>
      <c r="F6439" t="str">
        <f t="shared" si="227"/>
        <v>60460000</v>
      </c>
      <c r="G6439" t="str">
        <f t="shared" si="228"/>
        <v>60440004</v>
      </c>
      <c r="H6439" t="s">
        <v>5417</v>
      </c>
      <c r="J6439" s="4">
        <v>1346</v>
      </c>
    </row>
    <row r="6440" spans="1:10" hidden="1" outlineLevel="2" x14ac:dyDescent="0.35">
      <c r="A6440" t="s">
        <v>3115</v>
      </c>
      <c r="B6440" s="1">
        <v>45742</v>
      </c>
      <c r="C6440" t="str">
        <f>"147"</f>
        <v>147</v>
      </c>
      <c r="D6440" t="s">
        <v>5420</v>
      </c>
      <c r="E6440" t="str">
        <f>"184603"</f>
        <v>184603</v>
      </c>
      <c r="F6440" t="str">
        <f t="shared" si="227"/>
        <v>60460000</v>
      </c>
      <c r="G6440" t="str">
        <f t="shared" si="228"/>
        <v>60440004</v>
      </c>
      <c r="H6440" t="s">
        <v>5421</v>
      </c>
      <c r="J6440" s="4">
        <v>2000</v>
      </c>
    </row>
    <row r="6441" spans="1:10" hidden="1" outlineLevel="2" x14ac:dyDescent="0.35">
      <c r="A6441" t="s">
        <v>3115</v>
      </c>
      <c r="B6441" s="1">
        <v>45742</v>
      </c>
      <c r="C6441" t="str">
        <f>"148"</f>
        <v>148</v>
      </c>
      <c r="D6441" t="s">
        <v>5422</v>
      </c>
      <c r="E6441" t="str">
        <f>"184517"</f>
        <v>184517</v>
      </c>
      <c r="F6441" t="str">
        <f t="shared" si="227"/>
        <v>60460000</v>
      </c>
      <c r="G6441" t="str">
        <f t="shared" si="228"/>
        <v>60440004</v>
      </c>
      <c r="H6441" t="s">
        <v>5423</v>
      </c>
      <c r="J6441" s="4">
        <v>5000</v>
      </c>
    </row>
    <row r="6442" spans="1:10" hidden="1" outlineLevel="2" x14ac:dyDescent="0.35">
      <c r="A6442" t="s">
        <v>3115</v>
      </c>
      <c r="B6442" s="1">
        <v>45744</v>
      </c>
      <c r="C6442" t="str">
        <f>"1"</f>
        <v>1</v>
      </c>
      <c r="D6442" t="s">
        <v>5426</v>
      </c>
      <c r="E6442" t="str">
        <f>"182045"</f>
        <v>182045</v>
      </c>
      <c r="F6442" t="str">
        <f t="shared" si="227"/>
        <v>60460000</v>
      </c>
      <c r="G6442" t="str">
        <f t="shared" si="228"/>
        <v>60440004</v>
      </c>
      <c r="H6442" t="s">
        <v>5427</v>
      </c>
      <c r="J6442" s="4">
        <v>600</v>
      </c>
    </row>
    <row r="6443" spans="1:10" hidden="1" outlineLevel="2" x14ac:dyDescent="0.35">
      <c r="A6443" t="s">
        <v>3115</v>
      </c>
      <c r="B6443" s="1">
        <v>45744</v>
      </c>
      <c r="C6443" t="str">
        <f>"2"</f>
        <v>2</v>
      </c>
      <c r="D6443" t="s">
        <v>5428</v>
      </c>
      <c r="E6443" t="str">
        <f>"182042"</f>
        <v>182042</v>
      </c>
      <c r="F6443" t="str">
        <f t="shared" ref="F6443:F6454" si="229">"60460000"</f>
        <v>60460000</v>
      </c>
      <c r="G6443" t="str">
        <f t="shared" ref="G6443:G6454" si="230">"60440004"</f>
        <v>60440004</v>
      </c>
      <c r="H6443" t="s">
        <v>5429</v>
      </c>
      <c r="J6443" s="4">
        <v>600</v>
      </c>
    </row>
    <row r="6444" spans="1:10" hidden="1" outlineLevel="2" x14ac:dyDescent="0.35">
      <c r="A6444" t="s">
        <v>3115</v>
      </c>
      <c r="B6444" s="1">
        <v>45744</v>
      </c>
      <c r="C6444" t="str">
        <f>"3"</f>
        <v>3</v>
      </c>
      <c r="D6444" t="s">
        <v>5430</v>
      </c>
      <c r="E6444" t="str">
        <f>"184368"</f>
        <v>184368</v>
      </c>
      <c r="F6444" t="str">
        <f t="shared" si="229"/>
        <v>60460000</v>
      </c>
      <c r="G6444" t="str">
        <f t="shared" si="230"/>
        <v>60440004</v>
      </c>
      <c r="H6444" t="s">
        <v>5431</v>
      </c>
      <c r="J6444" s="4">
        <v>6900</v>
      </c>
    </row>
    <row r="6445" spans="1:10" hidden="1" outlineLevel="2" x14ac:dyDescent="0.35">
      <c r="A6445" t="s">
        <v>3115</v>
      </c>
      <c r="B6445" s="1">
        <v>45744</v>
      </c>
      <c r="C6445" t="str">
        <f>"4"</f>
        <v>4</v>
      </c>
      <c r="D6445" t="s">
        <v>5432</v>
      </c>
      <c r="E6445" t="str">
        <f>"184369"</f>
        <v>184369</v>
      </c>
      <c r="F6445" t="str">
        <f t="shared" si="229"/>
        <v>60460000</v>
      </c>
      <c r="G6445" t="str">
        <f t="shared" si="230"/>
        <v>60440004</v>
      </c>
      <c r="H6445" t="s">
        <v>5433</v>
      </c>
      <c r="J6445" s="4">
        <v>1094</v>
      </c>
    </row>
    <row r="6446" spans="1:10" hidden="1" outlineLevel="2" x14ac:dyDescent="0.35">
      <c r="A6446" t="s">
        <v>3115</v>
      </c>
      <c r="B6446" s="1">
        <v>45744</v>
      </c>
      <c r="C6446" t="str">
        <f>"5"</f>
        <v>5</v>
      </c>
      <c r="D6446" t="s">
        <v>5434</v>
      </c>
      <c r="E6446" t="str">
        <f>"184367"</f>
        <v>184367</v>
      </c>
      <c r="F6446" t="str">
        <f t="shared" si="229"/>
        <v>60460000</v>
      </c>
      <c r="G6446" t="str">
        <f t="shared" si="230"/>
        <v>60440004</v>
      </c>
      <c r="H6446" t="s">
        <v>5435</v>
      </c>
      <c r="J6446" s="4">
        <v>1094</v>
      </c>
    </row>
    <row r="6447" spans="1:10" hidden="1" outlineLevel="2" x14ac:dyDescent="0.35">
      <c r="A6447" t="s">
        <v>3115</v>
      </c>
      <c r="B6447" s="1">
        <v>45744</v>
      </c>
      <c r="C6447" t="str">
        <f>"7"</f>
        <v>7</v>
      </c>
      <c r="D6447" t="s">
        <v>5438</v>
      </c>
      <c r="E6447" t="str">
        <f>"183496"</f>
        <v>183496</v>
      </c>
      <c r="F6447" t="str">
        <f t="shared" si="229"/>
        <v>60460000</v>
      </c>
      <c r="G6447" t="str">
        <f t="shared" si="230"/>
        <v>60440004</v>
      </c>
      <c r="H6447" t="s">
        <v>5439</v>
      </c>
      <c r="J6447" s="4">
        <v>4319</v>
      </c>
    </row>
    <row r="6448" spans="1:10" hidden="1" outlineLevel="2" x14ac:dyDescent="0.35">
      <c r="A6448" t="s">
        <v>3115</v>
      </c>
      <c r="B6448" s="1">
        <v>45744</v>
      </c>
      <c r="C6448" t="str">
        <f>"8"</f>
        <v>8</v>
      </c>
      <c r="D6448" t="s">
        <v>5440</v>
      </c>
      <c r="E6448" t="str">
        <f>"184604"</f>
        <v>184604</v>
      </c>
      <c r="F6448" t="str">
        <f t="shared" si="229"/>
        <v>60460000</v>
      </c>
      <c r="G6448" t="str">
        <f t="shared" si="230"/>
        <v>60440004</v>
      </c>
      <c r="H6448" t="s">
        <v>5441</v>
      </c>
      <c r="J6448" s="4">
        <v>1470</v>
      </c>
    </row>
    <row r="6449" spans="1:11" hidden="1" outlineLevel="2" x14ac:dyDescent="0.35">
      <c r="A6449" t="s">
        <v>3115</v>
      </c>
      <c r="B6449" s="1">
        <v>45744</v>
      </c>
      <c r="C6449" t="str">
        <f>"9"</f>
        <v>9</v>
      </c>
      <c r="D6449" t="s">
        <v>5442</v>
      </c>
      <c r="E6449" t="str">
        <f>"183363"</f>
        <v>183363</v>
      </c>
      <c r="F6449" t="str">
        <f t="shared" si="229"/>
        <v>60460000</v>
      </c>
      <c r="G6449" t="str">
        <f t="shared" si="230"/>
        <v>60440004</v>
      </c>
      <c r="H6449" t="s">
        <v>5443</v>
      </c>
      <c r="J6449" s="4">
        <v>21500</v>
      </c>
    </row>
    <row r="6450" spans="1:11" hidden="1" outlineLevel="2" x14ac:dyDescent="0.35">
      <c r="A6450" t="s">
        <v>3115</v>
      </c>
      <c r="B6450" s="1">
        <v>45744</v>
      </c>
      <c r="C6450" t="str">
        <f>"10"</f>
        <v>10</v>
      </c>
      <c r="D6450" t="s">
        <v>5444</v>
      </c>
      <c r="E6450" t="str">
        <f>"183339"</f>
        <v>183339</v>
      </c>
      <c r="F6450" t="str">
        <f t="shared" si="229"/>
        <v>60460000</v>
      </c>
      <c r="G6450" t="str">
        <f t="shared" si="230"/>
        <v>60440004</v>
      </c>
      <c r="H6450" t="s">
        <v>5445</v>
      </c>
      <c r="J6450" s="4">
        <v>13800</v>
      </c>
    </row>
    <row r="6451" spans="1:11" hidden="1" outlineLevel="2" x14ac:dyDescent="0.35">
      <c r="A6451" t="s">
        <v>3115</v>
      </c>
      <c r="B6451" s="1">
        <v>45744</v>
      </c>
      <c r="C6451" t="str">
        <f>"11"</f>
        <v>11</v>
      </c>
      <c r="D6451" t="s">
        <v>5446</v>
      </c>
      <c r="E6451" t="str">
        <f>"183497"</f>
        <v>183497</v>
      </c>
      <c r="F6451" t="str">
        <f t="shared" si="229"/>
        <v>60460000</v>
      </c>
      <c r="G6451" t="str">
        <f t="shared" si="230"/>
        <v>60440004</v>
      </c>
      <c r="H6451" t="s">
        <v>5447</v>
      </c>
      <c r="J6451" s="4">
        <v>23040</v>
      </c>
    </row>
    <row r="6452" spans="1:11" hidden="1" outlineLevel="2" x14ac:dyDescent="0.35">
      <c r="A6452" t="s">
        <v>3115</v>
      </c>
      <c r="B6452" s="1">
        <v>45744</v>
      </c>
      <c r="C6452" t="str">
        <f>"12"</f>
        <v>12</v>
      </c>
      <c r="D6452" t="s">
        <v>5448</v>
      </c>
      <c r="E6452" t="str">
        <f>"184461"</f>
        <v>184461</v>
      </c>
      <c r="F6452" t="str">
        <f t="shared" si="229"/>
        <v>60460000</v>
      </c>
      <c r="G6452" t="str">
        <f t="shared" si="230"/>
        <v>60440004</v>
      </c>
      <c r="H6452" t="s">
        <v>5449</v>
      </c>
      <c r="J6452" s="4">
        <v>2300</v>
      </c>
    </row>
    <row r="6453" spans="1:11" hidden="1" outlineLevel="2" x14ac:dyDescent="0.35">
      <c r="A6453" t="s">
        <v>3115</v>
      </c>
      <c r="B6453" s="1">
        <v>45744</v>
      </c>
      <c r="C6453" t="str">
        <f>"14"</f>
        <v>14</v>
      </c>
      <c r="D6453" t="s">
        <v>5452</v>
      </c>
      <c r="E6453" t="str">
        <f>"181003"</f>
        <v>181003</v>
      </c>
      <c r="F6453" t="str">
        <f t="shared" si="229"/>
        <v>60460000</v>
      </c>
      <c r="G6453" t="str">
        <f t="shared" si="230"/>
        <v>60440004</v>
      </c>
      <c r="H6453" t="s">
        <v>5453</v>
      </c>
      <c r="J6453" s="4">
        <v>273000</v>
      </c>
    </row>
    <row r="6454" spans="1:11" hidden="1" outlineLevel="2" x14ac:dyDescent="0.35">
      <c r="A6454" t="s">
        <v>3115</v>
      </c>
      <c r="B6454" s="1">
        <v>45744</v>
      </c>
      <c r="C6454" t="str">
        <f>"15"</f>
        <v>15</v>
      </c>
      <c r="D6454" t="s">
        <v>5454</v>
      </c>
      <c r="E6454" t="str">
        <f>"178428"</f>
        <v>178428</v>
      </c>
      <c r="F6454" t="str">
        <f t="shared" si="229"/>
        <v>60460000</v>
      </c>
      <c r="G6454" t="str">
        <f t="shared" si="230"/>
        <v>60440004</v>
      </c>
      <c r="H6454" t="s">
        <v>5455</v>
      </c>
      <c r="J6454" s="4">
        <v>77484</v>
      </c>
    </row>
    <row r="6455" spans="1:11" outlineLevel="1" collapsed="1" x14ac:dyDescent="0.35">
      <c r="B6455" s="1"/>
      <c r="F6455" s="3" t="s">
        <v>6611</v>
      </c>
      <c r="J6455" s="4">
        <f>SUBTOTAL(9,J6059:J6454)</f>
        <v>7983121</v>
      </c>
      <c r="K6455" s="4">
        <f>SUBTOTAL(9,K6059:K6454)</f>
        <v>0</v>
      </c>
    </row>
    <row r="6456" spans="1:11" hidden="1" outlineLevel="2" x14ac:dyDescent="0.35">
      <c r="A6456" t="s">
        <v>26</v>
      </c>
      <c r="B6456" s="1">
        <v>45735</v>
      </c>
      <c r="C6456" t="str">
        <f>"82"</f>
        <v>82</v>
      </c>
      <c r="D6456" t="s">
        <v>1682</v>
      </c>
      <c r="E6456" t="s">
        <v>1683</v>
      </c>
      <c r="F6456" t="str">
        <f>"60470000"</f>
        <v>60470000</v>
      </c>
      <c r="H6456" t="s">
        <v>1684</v>
      </c>
      <c r="J6456" s="4">
        <v>72000</v>
      </c>
    </row>
    <row r="6457" spans="1:11" hidden="1" outlineLevel="2" x14ac:dyDescent="0.35">
      <c r="A6457" t="s">
        <v>26</v>
      </c>
      <c r="B6457" s="1">
        <v>45735</v>
      </c>
      <c r="C6457" t="str">
        <f>"84"</f>
        <v>84</v>
      </c>
      <c r="D6457" t="s">
        <v>1685</v>
      </c>
      <c r="E6457" t="s">
        <v>1686</v>
      </c>
      <c r="F6457" t="str">
        <f>"60470000"</f>
        <v>60470000</v>
      </c>
      <c r="H6457" t="s">
        <v>1687</v>
      </c>
      <c r="J6457" s="4">
        <v>910000</v>
      </c>
    </row>
    <row r="6458" spans="1:11" outlineLevel="1" collapsed="1" x14ac:dyDescent="0.35">
      <c r="B6458" s="1"/>
      <c r="F6458" s="3" t="s">
        <v>6612</v>
      </c>
      <c r="J6458" s="4">
        <f>SUBTOTAL(9,J6456:J6457)</f>
        <v>982000</v>
      </c>
      <c r="K6458" s="4">
        <f>SUBTOTAL(9,K6456:K6457)</f>
        <v>0</v>
      </c>
    </row>
    <row r="6459" spans="1:11" hidden="1" outlineLevel="2" x14ac:dyDescent="0.35">
      <c r="A6459" t="s">
        <v>2018</v>
      </c>
      <c r="B6459" s="1">
        <v>45722</v>
      </c>
      <c r="C6459" t="str">
        <f>"353"</f>
        <v>353</v>
      </c>
      <c r="F6459" t="str">
        <f t="shared" ref="F6459:F6466" si="231">"60470100"</f>
        <v>60470100</v>
      </c>
      <c r="H6459" t="s">
        <v>2035</v>
      </c>
      <c r="J6459" s="4">
        <v>5600</v>
      </c>
    </row>
    <row r="6460" spans="1:11" hidden="1" outlineLevel="2" x14ac:dyDescent="0.35">
      <c r="A6460" t="s">
        <v>2018</v>
      </c>
      <c r="B6460" s="1">
        <v>45727</v>
      </c>
      <c r="C6460" t="str">
        <f>"377"</f>
        <v>377</v>
      </c>
      <c r="F6460" t="str">
        <f t="shared" si="231"/>
        <v>60470100</v>
      </c>
      <c r="H6460" t="s">
        <v>2070</v>
      </c>
      <c r="J6460" s="4">
        <v>15000</v>
      </c>
    </row>
    <row r="6461" spans="1:11" hidden="1" outlineLevel="2" x14ac:dyDescent="0.35">
      <c r="A6461" t="s">
        <v>2337</v>
      </c>
      <c r="B6461" s="1">
        <v>45720</v>
      </c>
      <c r="C6461" t="str">
        <f>"657"</f>
        <v>657</v>
      </c>
      <c r="E6461" t="str">
        <f>"17276"</f>
        <v>17276</v>
      </c>
      <c r="F6461" t="str">
        <f t="shared" si="231"/>
        <v>60470100</v>
      </c>
      <c r="H6461" t="s">
        <v>2356</v>
      </c>
      <c r="J6461" s="4">
        <v>40000</v>
      </c>
    </row>
    <row r="6462" spans="1:11" hidden="1" outlineLevel="2" x14ac:dyDescent="0.35">
      <c r="A6462" t="s">
        <v>2337</v>
      </c>
      <c r="B6462" s="1">
        <v>45729</v>
      </c>
      <c r="C6462" t="str">
        <f>"742"</f>
        <v>742</v>
      </c>
      <c r="E6462" t="str">
        <f>"17361"</f>
        <v>17361</v>
      </c>
      <c r="F6462" t="str">
        <f t="shared" si="231"/>
        <v>60470100</v>
      </c>
      <c r="H6462" t="s">
        <v>2478</v>
      </c>
      <c r="J6462" s="4">
        <v>50000</v>
      </c>
    </row>
    <row r="6463" spans="1:11" hidden="1" outlineLevel="2" x14ac:dyDescent="0.35">
      <c r="A6463" t="s">
        <v>2337</v>
      </c>
      <c r="B6463" s="1">
        <v>45734</v>
      </c>
      <c r="C6463" t="str">
        <f>"789"</f>
        <v>789</v>
      </c>
      <c r="E6463" t="str">
        <f>"17396"</f>
        <v>17396</v>
      </c>
      <c r="F6463" t="str">
        <f t="shared" si="231"/>
        <v>60470100</v>
      </c>
      <c r="H6463" t="s">
        <v>2527</v>
      </c>
      <c r="J6463" s="4">
        <v>95000</v>
      </c>
    </row>
    <row r="6464" spans="1:11" hidden="1" outlineLevel="2" x14ac:dyDescent="0.35">
      <c r="A6464" t="s">
        <v>2337</v>
      </c>
      <c r="B6464" s="1">
        <v>45734</v>
      </c>
      <c r="C6464" t="str">
        <f>"795"</f>
        <v>795</v>
      </c>
      <c r="E6464" t="str">
        <f>"17452"</f>
        <v>17452</v>
      </c>
      <c r="F6464" t="str">
        <f t="shared" si="231"/>
        <v>60470100</v>
      </c>
      <c r="H6464" t="s">
        <v>2532</v>
      </c>
      <c r="J6464" s="4">
        <v>29600</v>
      </c>
    </row>
    <row r="6465" spans="1:11" hidden="1" outlineLevel="2" x14ac:dyDescent="0.35">
      <c r="A6465" t="s">
        <v>2337</v>
      </c>
      <c r="B6465" s="1">
        <v>45735</v>
      </c>
      <c r="C6465" t="str">
        <f>"799"</f>
        <v>799</v>
      </c>
      <c r="E6465" t="str">
        <f>"17455"</f>
        <v>17455</v>
      </c>
      <c r="F6465" t="str">
        <f t="shared" si="231"/>
        <v>60470100</v>
      </c>
      <c r="H6465" t="s">
        <v>2535</v>
      </c>
      <c r="J6465" s="4">
        <v>10000</v>
      </c>
    </row>
    <row r="6466" spans="1:11" hidden="1" outlineLevel="2" x14ac:dyDescent="0.35">
      <c r="A6466" t="s">
        <v>2337</v>
      </c>
      <c r="B6466" s="1">
        <v>45740</v>
      </c>
      <c r="C6466" t="str">
        <f>"836"</f>
        <v>836</v>
      </c>
      <c r="E6466" t="str">
        <f>"17492"</f>
        <v>17492</v>
      </c>
      <c r="F6466" t="str">
        <f t="shared" si="231"/>
        <v>60470100</v>
      </c>
      <c r="H6466" t="s">
        <v>2591</v>
      </c>
      <c r="J6466" s="4">
        <v>-3500</v>
      </c>
    </row>
    <row r="6467" spans="1:11" outlineLevel="1" collapsed="1" x14ac:dyDescent="0.35">
      <c r="B6467" s="1"/>
      <c r="F6467" s="3" t="s">
        <v>6613</v>
      </c>
      <c r="J6467" s="4">
        <f>SUBTOTAL(9,J6459:J6466)</f>
        <v>241700</v>
      </c>
      <c r="K6467" s="4">
        <f>SUBTOTAL(9,K6459:K6466)</f>
        <v>0</v>
      </c>
    </row>
    <row r="6468" spans="1:11" hidden="1" outlineLevel="2" x14ac:dyDescent="0.35">
      <c r="A6468" t="s">
        <v>26</v>
      </c>
      <c r="B6468" s="1">
        <v>45740</v>
      </c>
      <c r="C6468" t="str">
        <f>"131"</f>
        <v>131</v>
      </c>
      <c r="D6468" t="s">
        <v>1725</v>
      </c>
      <c r="E6468" t="str">
        <f>"0000322"</f>
        <v>0000322</v>
      </c>
      <c r="F6468" t="str">
        <f>"60470200"</f>
        <v>60470200</v>
      </c>
      <c r="H6468" t="s">
        <v>1726</v>
      </c>
      <c r="J6468" s="4">
        <v>559323</v>
      </c>
    </row>
    <row r="6469" spans="1:11" hidden="1" outlineLevel="2" x14ac:dyDescent="0.35">
      <c r="A6469" t="s">
        <v>2318</v>
      </c>
      <c r="B6469" s="1">
        <v>45735</v>
      </c>
      <c r="C6469" t="str">
        <f>"50"</f>
        <v>50</v>
      </c>
      <c r="F6469" t="str">
        <f>"60470200"</f>
        <v>60470200</v>
      </c>
      <c r="H6469" t="s">
        <v>2330</v>
      </c>
      <c r="J6469" s="4">
        <v>5000</v>
      </c>
    </row>
    <row r="6470" spans="1:11" hidden="1" outlineLevel="2" x14ac:dyDescent="0.35">
      <c r="A6470" t="s">
        <v>2337</v>
      </c>
      <c r="B6470" s="1">
        <v>45727</v>
      </c>
      <c r="C6470" t="str">
        <f>"725"</f>
        <v>725</v>
      </c>
      <c r="E6470" t="str">
        <f>"17344"</f>
        <v>17344</v>
      </c>
      <c r="F6470" t="str">
        <f>"60470200"</f>
        <v>60470200</v>
      </c>
      <c r="H6470" t="s">
        <v>2451</v>
      </c>
      <c r="J6470" s="4">
        <v>25000</v>
      </c>
    </row>
    <row r="6471" spans="1:11" outlineLevel="1" collapsed="1" x14ac:dyDescent="0.35">
      <c r="B6471" s="1"/>
      <c r="F6471" s="3" t="s">
        <v>6614</v>
      </c>
      <c r="J6471" s="4">
        <f>SUBTOTAL(9,J6468:J6470)</f>
        <v>589323</v>
      </c>
      <c r="K6471" s="4">
        <f>SUBTOTAL(9,K6468:K6470)</f>
        <v>0</v>
      </c>
    </row>
    <row r="6472" spans="1:11" hidden="1" outlineLevel="2" x14ac:dyDescent="0.35">
      <c r="A6472" t="s">
        <v>26</v>
      </c>
      <c r="B6472" s="1">
        <v>45722</v>
      </c>
      <c r="C6472" t="str">
        <f>"9"</f>
        <v>9</v>
      </c>
      <c r="D6472" t="s">
        <v>1507</v>
      </c>
      <c r="E6472" t="str">
        <f>"9741110212202401"</f>
        <v>9741110212202401</v>
      </c>
      <c r="F6472" t="str">
        <f t="shared" ref="F6472:F6478" si="232">"60510000"</f>
        <v>60510000</v>
      </c>
      <c r="H6472" t="s">
        <v>1508</v>
      </c>
      <c r="J6472" s="4">
        <v>439836</v>
      </c>
    </row>
    <row r="6473" spans="1:11" hidden="1" outlineLevel="2" x14ac:dyDescent="0.35">
      <c r="A6473" t="s">
        <v>26</v>
      </c>
      <c r="B6473" s="1">
        <v>45726</v>
      </c>
      <c r="C6473" t="str">
        <f>"36"</f>
        <v>36</v>
      </c>
      <c r="D6473" t="s">
        <v>1532</v>
      </c>
      <c r="E6473" t="str">
        <f>"5292900111202401"</f>
        <v>5292900111202401</v>
      </c>
      <c r="F6473" t="str">
        <f t="shared" si="232"/>
        <v>60510000</v>
      </c>
      <c r="H6473" t="s">
        <v>1533</v>
      </c>
      <c r="J6473" s="4">
        <v>3685</v>
      </c>
    </row>
    <row r="6474" spans="1:11" hidden="1" outlineLevel="2" x14ac:dyDescent="0.35">
      <c r="A6474" t="s">
        <v>2016</v>
      </c>
      <c r="B6474" s="1">
        <v>45741</v>
      </c>
      <c r="C6474" t="str">
        <f>"6"</f>
        <v>6</v>
      </c>
      <c r="F6474" t="str">
        <f t="shared" si="232"/>
        <v>60510000</v>
      </c>
      <c r="H6474" t="s">
        <v>2017</v>
      </c>
      <c r="J6474" s="4">
        <v>6185</v>
      </c>
    </row>
    <row r="6475" spans="1:11" hidden="1" outlineLevel="2" x14ac:dyDescent="0.35">
      <c r="A6475" t="s">
        <v>2018</v>
      </c>
      <c r="B6475" s="1">
        <v>45726</v>
      </c>
      <c r="C6475" t="str">
        <f>"372"</f>
        <v>372</v>
      </c>
      <c r="F6475" t="str">
        <f t="shared" si="232"/>
        <v>60510000</v>
      </c>
      <c r="H6475" t="s">
        <v>2061</v>
      </c>
      <c r="J6475" s="4">
        <v>52480</v>
      </c>
    </row>
    <row r="6476" spans="1:11" hidden="1" outlineLevel="2" x14ac:dyDescent="0.35">
      <c r="A6476" t="s">
        <v>2219</v>
      </c>
      <c r="B6476" s="1">
        <v>45720</v>
      </c>
      <c r="C6476" t="str">
        <f>"416"</f>
        <v>416</v>
      </c>
      <c r="F6476" t="str">
        <f t="shared" si="232"/>
        <v>60510000</v>
      </c>
      <c r="H6476" t="s">
        <v>2233</v>
      </c>
      <c r="J6476" s="4">
        <v>141495</v>
      </c>
    </row>
    <row r="6477" spans="1:11" hidden="1" outlineLevel="2" x14ac:dyDescent="0.35">
      <c r="A6477" t="s">
        <v>2219</v>
      </c>
      <c r="B6477" s="1">
        <v>45720</v>
      </c>
      <c r="C6477" t="str">
        <f>"417"</f>
        <v>417</v>
      </c>
      <c r="F6477" t="str">
        <f t="shared" si="232"/>
        <v>60510000</v>
      </c>
      <c r="H6477" t="s">
        <v>2234</v>
      </c>
      <c r="J6477" s="4">
        <v>28570</v>
      </c>
    </row>
    <row r="6478" spans="1:11" hidden="1" outlineLevel="2" x14ac:dyDescent="0.35">
      <c r="A6478" t="s">
        <v>101</v>
      </c>
      <c r="B6478" s="1">
        <v>45747</v>
      </c>
      <c r="C6478" t="str">
        <f>"71"</f>
        <v>71</v>
      </c>
      <c r="F6478" t="str">
        <f t="shared" si="232"/>
        <v>60510000</v>
      </c>
      <c r="H6478" t="s">
        <v>2918</v>
      </c>
      <c r="J6478" s="4">
        <v>-4346</v>
      </c>
    </row>
    <row r="6479" spans="1:11" outlineLevel="1" collapsed="1" x14ac:dyDescent="0.35">
      <c r="B6479" s="1"/>
      <c r="F6479" s="3" t="s">
        <v>6615</v>
      </c>
      <c r="J6479" s="4">
        <f>SUBTOTAL(9,J6472:J6478)</f>
        <v>667905</v>
      </c>
      <c r="K6479" s="4">
        <f>SUBTOTAL(9,K6472:K6478)</f>
        <v>0</v>
      </c>
    </row>
    <row r="6480" spans="1:11" hidden="1" outlineLevel="2" x14ac:dyDescent="0.35">
      <c r="A6480" t="s">
        <v>26</v>
      </c>
      <c r="B6480" s="1">
        <v>45722</v>
      </c>
      <c r="C6480" t="str">
        <f>"3"</f>
        <v>3</v>
      </c>
      <c r="D6480" t="s">
        <v>1495</v>
      </c>
      <c r="E6480" t="str">
        <f>"229"</f>
        <v>229</v>
      </c>
      <c r="F6480" t="str">
        <f t="shared" ref="F6480:F6490" si="233">"60520000"</f>
        <v>60520000</v>
      </c>
      <c r="H6480" t="s">
        <v>1496</v>
      </c>
      <c r="J6480" s="4">
        <v>97550</v>
      </c>
    </row>
    <row r="6481" spans="1:11" hidden="1" outlineLevel="2" x14ac:dyDescent="0.35">
      <c r="A6481" t="s">
        <v>26</v>
      </c>
      <c r="B6481" s="1">
        <v>45722</v>
      </c>
      <c r="C6481" t="str">
        <f>"6"</f>
        <v>6</v>
      </c>
      <c r="D6481" t="s">
        <v>1501</v>
      </c>
      <c r="E6481" t="str">
        <f>"246"</f>
        <v>246</v>
      </c>
      <c r="F6481" t="str">
        <f t="shared" si="233"/>
        <v>60520000</v>
      </c>
      <c r="H6481" t="s">
        <v>1502</v>
      </c>
      <c r="J6481" s="4">
        <v>695205</v>
      </c>
    </row>
    <row r="6482" spans="1:11" hidden="1" outlineLevel="2" x14ac:dyDescent="0.35">
      <c r="A6482" t="s">
        <v>26</v>
      </c>
      <c r="B6482" s="1">
        <v>45722</v>
      </c>
      <c r="C6482" t="str">
        <f>"7"</f>
        <v>7</v>
      </c>
      <c r="D6482" t="s">
        <v>1503</v>
      </c>
      <c r="E6482" t="str">
        <f>"313"</f>
        <v>313</v>
      </c>
      <c r="F6482" t="str">
        <f t="shared" si="233"/>
        <v>60520000</v>
      </c>
      <c r="H6482" t="s">
        <v>1504</v>
      </c>
      <c r="J6482" s="4">
        <v>747010</v>
      </c>
    </row>
    <row r="6483" spans="1:11" hidden="1" outlineLevel="2" x14ac:dyDescent="0.35">
      <c r="A6483" t="s">
        <v>26</v>
      </c>
      <c r="B6483" s="1">
        <v>45722</v>
      </c>
      <c r="C6483" t="str">
        <f>"8"</f>
        <v>8</v>
      </c>
      <c r="D6483" t="s">
        <v>1505</v>
      </c>
      <c r="E6483" t="str">
        <f>"317"</f>
        <v>317</v>
      </c>
      <c r="F6483" t="str">
        <f t="shared" si="233"/>
        <v>60520000</v>
      </c>
      <c r="H6483" t="s">
        <v>1506</v>
      </c>
      <c r="J6483" s="4">
        <v>669365</v>
      </c>
    </row>
    <row r="6484" spans="1:11" hidden="1" outlineLevel="2" x14ac:dyDescent="0.35">
      <c r="A6484" t="s">
        <v>26</v>
      </c>
      <c r="B6484" s="1">
        <v>45726</v>
      </c>
      <c r="C6484" t="str">
        <f>"35"</f>
        <v>35</v>
      </c>
      <c r="D6484" t="s">
        <v>1530</v>
      </c>
      <c r="E6484" t="str">
        <f>"5100970101202501"</f>
        <v>5100970101202501</v>
      </c>
      <c r="F6484" t="str">
        <f t="shared" si="233"/>
        <v>60520000</v>
      </c>
      <c r="H6484" t="s">
        <v>1531</v>
      </c>
      <c r="J6484" s="4">
        <v>4346</v>
      </c>
    </row>
    <row r="6485" spans="1:11" hidden="1" outlineLevel="2" x14ac:dyDescent="0.35">
      <c r="A6485" t="s">
        <v>2018</v>
      </c>
      <c r="B6485" s="1">
        <v>45720</v>
      </c>
      <c r="C6485" t="str">
        <f>"345"</f>
        <v>345</v>
      </c>
      <c r="F6485" t="str">
        <f t="shared" si="233"/>
        <v>60520000</v>
      </c>
      <c r="H6485" t="s">
        <v>2020</v>
      </c>
      <c r="J6485" s="4">
        <v>30000</v>
      </c>
    </row>
    <row r="6486" spans="1:11" hidden="1" outlineLevel="2" x14ac:dyDescent="0.35">
      <c r="A6486" t="s">
        <v>2219</v>
      </c>
      <c r="B6486" s="1">
        <v>45723</v>
      </c>
      <c r="C6486" t="str">
        <f>"437"</f>
        <v>437</v>
      </c>
      <c r="F6486" t="str">
        <f t="shared" si="233"/>
        <v>60520000</v>
      </c>
      <c r="H6486" t="s">
        <v>2250</v>
      </c>
      <c r="J6486" s="4">
        <v>20900</v>
      </c>
    </row>
    <row r="6487" spans="1:11" hidden="1" outlineLevel="2" x14ac:dyDescent="0.35">
      <c r="A6487" t="s">
        <v>2219</v>
      </c>
      <c r="B6487" s="1">
        <v>45729</v>
      </c>
      <c r="C6487" t="str">
        <f>"467"</f>
        <v>467</v>
      </c>
      <c r="F6487" t="str">
        <f t="shared" si="233"/>
        <v>60520000</v>
      </c>
      <c r="H6487" t="s">
        <v>2274</v>
      </c>
      <c r="J6487" s="4">
        <v>50000</v>
      </c>
    </row>
    <row r="6488" spans="1:11" hidden="1" outlineLevel="2" x14ac:dyDescent="0.35">
      <c r="A6488" t="s">
        <v>101</v>
      </c>
      <c r="B6488" s="1">
        <v>45747</v>
      </c>
      <c r="C6488" t="str">
        <f>"69"</f>
        <v>69</v>
      </c>
      <c r="F6488" t="str">
        <f t="shared" si="233"/>
        <v>60520000</v>
      </c>
      <c r="H6488" t="s">
        <v>2916</v>
      </c>
      <c r="J6488" s="4">
        <v>-695205</v>
      </c>
    </row>
    <row r="6489" spans="1:11" hidden="1" outlineLevel="2" x14ac:dyDescent="0.35">
      <c r="A6489" t="s">
        <v>101</v>
      </c>
      <c r="B6489" s="1">
        <v>45747</v>
      </c>
      <c r="C6489" t="str">
        <f>"70"</f>
        <v>70</v>
      </c>
      <c r="F6489" t="str">
        <f t="shared" si="233"/>
        <v>60520000</v>
      </c>
      <c r="H6489" t="s">
        <v>2917</v>
      </c>
      <c r="J6489" s="4">
        <v>-747010</v>
      </c>
    </row>
    <row r="6490" spans="1:11" hidden="1" outlineLevel="2" x14ac:dyDescent="0.35">
      <c r="A6490" t="s">
        <v>101</v>
      </c>
      <c r="B6490" s="1">
        <v>45747</v>
      </c>
      <c r="C6490" t="str">
        <f>"76"</f>
        <v>76</v>
      </c>
      <c r="F6490" t="str">
        <f t="shared" si="233"/>
        <v>60520000</v>
      </c>
      <c r="H6490" t="s">
        <v>2923</v>
      </c>
      <c r="J6490" s="4">
        <v>6864390</v>
      </c>
    </row>
    <row r="6491" spans="1:11" outlineLevel="1" collapsed="1" x14ac:dyDescent="0.35">
      <c r="B6491" s="1"/>
      <c r="F6491" s="3" t="s">
        <v>6616</v>
      </c>
      <c r="J6491" s="4">
        <f>SUBTOTAL(9,J6480:J6490)</f>
        <v>7736551</v>
      </c>
      <c r="K6491" s="4">
        <f>SUBTOTAL(9,K6480:K6490)</f>
        <v>0</v>
      </c>
    </row>
    <row r="6492" spans="1:11" hidden="1" outlineLevel="2" x14ac:dyDescent="0.35">
      <c r="A6492" t="s">
        <v>101</v>
      </c>
      <c r="B6492" s="1">
        <v>45747</v>
      </c>
      <c r="C6492" t="str">
        <f>"17"</f>
        <v>17</v>
      </c>
      <c r="F6492" t="str">
        <f>"60520100"</f>
        <v>60520100</v>
      </c>
      <c r="H6492" t="s">
        <v>2865</v>
      </c>
      <c r="J6492" s="4">
        <v>5328128</v>
      </c>
    </row>
    <row r="6493" spans="1:11" outlineLevel="1" collapsed="1" x14ac:dyDescent="0.35">
      <c r="B6493" s="1"/>
      <c r="F6493" s="3" t="s">
        <v>6617</v>
      </c>
      <c r="J6493" s="4">
        <f>SUBTOTAL(9,J6492:J6492)</f>
        <v>5328128</v>
      </c>
      <c r="K6493" s="4">
        <f>SUBTOTAL(9,K6492:K6492)</f>
        <v>0</v>
      </c>
    </row>
    <row r="6494" spans="1:11" hidden="1" outlineLevel="2" x14ac:dyDescent="0.35">
      <c r="A6494" t="s">
        <v>26</v>
      </c>
      <c r="B6494" s="1">
        <v>45722</v>
      </c>
      <c r="C6494" t="str">
        <f>"27"</f>
        <v>27</v>
      </c>
      <c r="D6494" t="s">
        <v>1511</v>
      </c>
      <c r="E6494" t="s">
        <v>1512</v>
      </c>
      <c r="F6494" t="str">
        <f>"60540000"</f>
        <v>60540000</v>
      </c>
      <c r="H6494" t="s">
        <v>1513</v>
      </c>
      <c r="J6494" s="4">
        <v>275853</v>
      </c>
    </row>
    <row r="6495" spans="1:11" hidden="1" outlineLevel="2" x14ac:dyDescent="0.35">
      <c r="A6495" t="s">
        <v>2018</v>
      </c>
      <c r="B6495" s="1">
        <v>45733</v>
      </c>
      <c r="C6495" t="str">
        <f>"412"</f>
        <v>412</v>
      </c>
      <c r="F6495" t="str">
        <f>"60540000"</f>
        <v>60540000</v>
      </c>
      <c r="H6495" t="s">
        <v>2116</v>
      </c>
      <c r="J6495" s="4">
        <v>62225</v>
      </c>
    </row>
    <row r="6496" spans="1:11" hidden="1" outlineLevel="2" x14ac:dyDescent="0.35">
      <c r="A6496" t="s">
        <v>2318</v>
      </c>
      <c r="B6496" s="1">
        <v>45732</v>
      </c>
      <c r="C6496" t="str">
        <f>"49"</f>
        <v>49</v>
      </c>
      <c r="F6496" t="str">
        <f>"60540000"</f>
        <v>60540000</v>
      </c>
      <c r="H6496" t="s">
        <v>2329</v>
      </c>
      <c r="J6496" s="4">
        <v>4000</v>
      </c>
    </row>
    <row r="6497" spans="1:11" hidden="1" outlineLevel="2" x14ac:dyDescent="0.35">
      <c r="A6497" t="s">
        <v>2318</v>
      </c>
      <c r="B6497" s="1">
        <v>45742</v>
      </c>
      <c r="C6497" t="str">
        <f>"52"</f>
        <v>52</v>
      </c>
      <c r="F6497" t="str">
        <f>"60540000"</f>
        <v>60540000</v>
      </c>
      <c r="H6497" t="s">
        <v>2332</v>
      </c>
      <c r="J6497" s="4">
        <v>2000</v>
      </c>
    </row>
    <row r="6498" spans="1:11" hidden="1" outlineLevel="2" x14ac:dyDescent="0.35">
      <c r="A6498" t="s">
        <v>2337</v>
      </c>
      <c r="B6498" s="1">
        <v>45728</v>
      </c>
      <c r="C6498" t="str">
        <f>"731"</f>
        <v>731</v>
      </c>
      <c r="E6498" t="str">
        <f>"17350"</f>
        <v>17350</v>
      </c>
      <c r="F6498" t="str">
        <f>"60540000"</f>
        <v>60540000</v>
      </c>
      <c r="H6498" t="s">
        <v>2458</v>
      </c>
      <c r="J6498" s="4">
        <v>60000</v>
      </c>
    </row>
    <row r="6499" spans="1:11" outlineLevel="1" collapsed="1" x14ac:dyDescent="0.35">
      <c r="B6499" s="1"/>
      <c r="F6499" s="3" t="s">
        <v>6618</v>
      </c>
      <c r="J6499" s="4">
        <f>SUBTOTAL(9,J6494:J6498)</f>
        <v>404078</v>
      </c>
      <c r="K6499" s="4">
        <f>SUBTOTAL(9,K6494:K6498)</f>
        <v>0</v>
      </c>
    </row>
    <row r="6500" spans="1:11" hidden="1" outlineLevel="2" x14ac:dyDescent="0.35">
      <c r="A6500" t="s">
        <v>2018</v>
      </c>
      <c r="B6500" s="1">
        <v>45734</v>
      </c>
      <c r="C6500" t="str">
        <f>"419"</f>
        <v>419</v>
      </c>
      <c r="F6500" t="str">
        <f t="shared" ref="F6500:F6512" si="234">"60560000"</f>
        <v>60560000</v>
      </c>
      <c r="H6500" t="s">
        <v>2125</v>
      </c>
      <c r="J6500" s="4">
        <v>2000</v>
      </c>
    </row>
    <row r="6501" spans="1:11" hidden="1" outlineLevel="2" x14ac:dyDescent="0.35">
      <c r="A6501" t="s">
        <v>2318</v>
      </c>
      <c r="B6501" s="1">
        <v>45717</v>
      </c>
      <c r="C6501" t="str">
        <f>"39"</f>
        <v>39</v>
      </c>
      <c r="F6501" t="str">
        <f t="shared" si="234"/>
        <v>60560000</v>
      </c>
      <c r="H6501" t="s">
        <v>2319</v>
      </c>
      <c r="J6501" s="4">
        <v>1000</v>
      </c>
    </row>
    <row r="6502" spans="1:11" hidden="1" outlineLevel="2" x14ac:dyDescent="0.35">
      <c r="A6502" t="s">
        <v>2318</v>
      </c>
      <c r="B6502" s="1">
        <v>45717</v>
      </c>
      <c r="C6502" t="str">
        <f>"40"</f>
        <v>40</v>
      </c>
      <c r="F6502" t="str">
        <f t="shared" si="234"/>
        <v>60560000</v>
      </c>
      <c r="H6502" t="s">
        <v>2320</v>
      </c>
      <c r="J6502" s="4">
        <v>1000</v>
      </c>
    </row>
    <row r="6503" spans="1:11" hidden="1" outlineLevel="2" x14ac:dyDescent="0.35">
      <c r="A6503" t="s">
        <v>2318</v>
      </c>
      <c r="B6503" s="1">
        <v>45724</v>
      </c>
      <c r="C6503" t="str">
        <f>"45"</f>
        <v>45</v>
      </c>
      <c r="F6503" t="str">
        <f t="shared" si="234"/>
        <v>60560000</v>
      </c>
      <c r="H6503" t="s">
        <v>2325</v>
      </c>
      <c r="J6503" s="4">
        <v>4500</v>
      </c>
    </row>
    <row r="6504" spans="1:11" hidden="1" outlineLevel="2" x14ac:dyDescent="0.35">
      <c r="A6504" t="s">
        <v>2318</v>
      </c>
      <c r="B6504" s="1">
        <v>45731</v>
      </c>
      <c r="C6504" t="str">
        <f>"48"</f>
        <v>48</v>
      </c>
      <c r="F6504" t="str">
        <f t="shared" si="234"/>
        <v>60560000</v>
      </c>
      <c r="H6504" t="s">
        <v>2328</v>
      </c>
      <c r="J6504" s="4">
        <v>6000</v>
      </c>
    </row>
    <row r="6505" spans="1:11" hidden="1" outlineLevel="2" x14ac:dyDescent="0.35">
      <c r="A6505" t="s">
        <v>2337</v>
      </c>
      <c r="B6505" s="1">
        <v>45721</v>
      </c>
      <c r="C6505" t="str">
        <f>"666"</f>
        <v>666</v>
      </c>
      <c r="E6505" t="str">
        <f>"17286"</f>
        <v>17286</v>
      </c>
      <c r="F6505" t="str">
        <f t="shared" si="234"/>
        <v>60560000</v>
      </c>
      <c r="H6505" t="s">
        <v>2370</v>
      </c>
      <c r="J6505" s="4">
        <v>62350</v>
      </c>
    </row>
    <row r="6506" spans="1:11" hidden="1" outlineLevel="2" x14ac:dyDescent="0.35">
      <c r="A6506" t="s">
        <v>2337</v>
      </c>
      <c r="B6506" s="1">
        <v>45726</v>
      </c>
      <c r="C6506" t="str">
        <f>"711"</f>
        <v>711</v>
      </c>
      <c r="E6506" t="str">
        <f>"17330"</f>
        <v>17330</v>
      </c>
      <c r="F6506" t="str">
        <f t="shared" si="234"/>
        <v>60560000</v>
      </c>
      <c r="H6506" t="s">
        <v>2432</v>
      </c>
      <c r="J6506" s="4">
        <v>-2500</v>
      </c>
    </row>
    <row r="6507" spans="1:11" hidden="1" outlineLevel="2" x14ac:dyDescent="0.35">
      <c r="A6507" t="s">
        <v>2337</v>
      </c>
      <c r="B6507" s="1">
        <v>45735</v>
      </c>
      <c r="C6507" t="str">
        <f>"803"</f>
        <v>803</v>
      </c>
      <c r="E6507" t="str">
        <f>"17459"</f>
        <v>17459</v>
      </c>
      <c r="F6507" t="str">
        <f t="shared" si="234"/>
        <v>60560000</v>
      </c>
      <c r="H6507" t="s">
        <v>2545</v>
      </c>
      <c r="J6507" s="4">
        <v>6400</v>
      </c>
    </row>
    <row r="6508" spans="1:11" hidden="1" outlineLevel="2" x14ac:dyDescent="0.35">
      <c r="A6508" t="s">
        <v>2337</v>
      </c>
      <c r="B6508" s="1">
        <v>45736</v>
      </c>
      <c r="C6508" t="str">
        <f>"808"</f>
        <v>808</v>
      </c>
      <c r="E6508" t="str">
        <f>"17464"</f>
        <v>17464</v>
      </c>
      <c r="F6508" t="str">
        <f t="shared" si="234"/>
        <v>60560000</v>
      </c>
      <c r="H6508" t="s">
        <v>2552</v>
      </c>
      <c r="J6508" s="4">
        <v>15000</v>
      </c>
    </row>
    <row r="6509" spans="1:11" hidden="1" outlineLevel="2" x14ac:dyDescent="0.35">
      <c r="A6509" t="s">
        <v>2337</v>
      </c>
      <c r="B6509" s="1">
        <v>45736</v>
      </c>
      <c r="C6509" t="str">
        <f>"809"</f>
        <v>809</v>
      </c>
      <c r="E6509" t="str">
        <f>"17465"</f>
        <v>17465</v>
      </c>
      <c r="F6509" t="str">
        <f t="shared" si="234"/>
        <v>60560000</v>
      </c>
      <c r="H6509" t="s">
        <v>2553</v>
      </c>
      <c r="J6509" s="4">
        <v>9000</v>
      </c>
    </row>
    <row r="6510" spans="1:11" hidden="1" outlineLevel="2" x14ac:dyDescent="0.35">
      <c r="A6510" t="s">
        <v>2337</v>
      </c>
      <c r="B6510" s="1">
        <v>45740</v>
      </c>
      <c r="C6510" t="str">
        <f>"839"</f>
        <v>839</v>
      </c>
      <c r="E6510" t="str">
        <f>"17495"</f>
        <v>17495</v>
      </c>
      <c r="F6510" t="str">
        <f t="shared" si="234"/>
        <v>60560000</v>
      </c>
      <c r="H6510" t="s">
        <v>2594</v>
      </c>
      <c r="J6510" s="4">
        <v>54000</v>
      </c>
    </row>
    <row r="6511" spans="1:11" hidden="1" outlineLevel="2" x14ac:dyDescent="0.35">
      <c r="A6511" t="s">
        <v>2337</v>
      </c>
      <c r="B6511" s="1">
        <v>45742</v>
      </c>
      <c r="C6511" t="str">
        <f>"860"</f>
        <v>860</v>
      </c>
      <c r="E6511" t="str">
        <f>"15867"</f>
        <v>15867</v>
      </c>
      <c r="F6511" t="str">
        <f t="shared" si="234"/>
        <v>60560000</v>
      </c>
      <c r="H6511" t="s">
        <v>2616</v>
      </c>
      <c r="J6511" s="4">
        <v>13900</v>
      </c>
    </row>
    <row r="6512" spans="1:11" hidden="1" outlineLevel="2" x14ac:dyDescent="0.35">
      <c r="A6512" t="s">
        <v>2337</v>
      </c>
      <c r="B6512" s="1">
        <v>45742</v>
      </c>
      <c r="C6512" t="str">
        <f>"861"</f>
        <v>861</v>
      </c>
      <c r="E6512" t="str">
        <f>"15868"</f>
        <v>15868</v>
      </c>
      <c r="F6512" t="str">
        <f t="shared" si="234"/>
        <v>60560000</v>
      </c>
      <c r="H6512" t="s">
        <v>2617</v>
      </c>
      <c r="J6512" s="4">
        <v>9500</v>
      </c>
    </row>
    <row r="6513" spans="1:11" outlineLevel="1" collapsed="1" x14ac:dyDescent="0.35">
      <c r="B6513" s="1"/>
      <c r="F6513" s="3" t="s">
        <v>6619</v>
      </c>
      <c r="J6513" s="4">
        <f>SUBTOTAL(9,J6500:J6512)</f>
        <v>182150</v>
      </c>
      <c r="K6513" s="4">
        <f>SUBTOTAL(9,K6500:K6512)</f>
        <v>0</v>
      </c>
    </row>
    <row r="6514" spans="1:11" hidden="1" outlineLevel="2" x14ac:dyDescent="0.35">
      <c r="A6514" t="s">
        <v>26</v>
      </c>
      <c r="B6514" s="1">
        <v>45717</v>
      </c>
      <c r="C6514" t="str">
        <f>"95"</f>
        <v>95</v>
      </c>
      <c r="D6514" t="s">
        <v>1392</v>
      </c>
      <c r="E6514" t="str">
        <f>"0000795"</f>
        <v>0000795</v>
      </c>
      <c r="F6514" t="str">
        <f>"60570000"</f>
        <v>60570000</v>
      </c>
      <c r="H6514" t="s">
        <v>1393</v>
      </c>
      <c r="J6514" s="4">
        <v>2218500</v>
      </c>
    </row>
    <row r="6515" spans="1:11" outlineLevel="1" collapsed="1" x14ac:dyDescent="0.35">
      <c r="B6515" s="1"/>
      <c r="F6515" s="3" t="s">
        <v>6620</v>
      </c>
      <c r="J6515" s="4">
        <f>SUBTOTAL(9,J6514:J6514)</f>
        <v>2218500</v>
      </c>
      <c r="K6515" s="4">
        <f>SUBTOTAL(9,K6514:K6514)</f>
        <v>0</v>
      </c>
    </row>
    <row r="6516" spans="1:11" hidden="1" outlineLevel="2" x14ac:dyDescent="0.35">
      <c r="A6516" t="s">
        <v>26</v>
      </c>
      <c r="B6516" s="1">
        <v>45719</v>
      </c>
      <c r="C6516" t="str">
        <f>"15"</f>
        <v>15</v>
      </c>
      <c r="D6516" t="s">
        <v>1446</v>
      </c>
      <c r="E6516" t="str">
        <f>"1469"</f>
        <v>1469</v>
      </c>
      <c r="F6516" t="str">
        <f>"61400000"</f>
        <v>61400000</v>
      </c>
      <c r="H6516" t="s">
        <v>1448</v>
      </c>
      <c r="J6516" s="4">
        <v>4531880</v>
      </c>
    </row>
    <row r="6517" spans="1:11" hidden="1" outlineLevel="2" x14ac:dyDescent="0.35">
      <c r="A6517" t="s">
        <v>1831</v>
      </c>
      <c r="B6517" s="1">
        <v>45721</v>
      </c>
      <c r="C6517" t="str">
        <f>"75"</f>
        <v>75</v>
      </c>
      <c r="F6517" t="str">
        <f>"61400000"</f>
        <v>61400000</v>
      </c>
      <c r="H6517" t="s">
        <v>1842</v>
      </c>
      <c r="J6517" s="4">
        <v>756000</v>
      </c>
    </row>
    <row r="6518" spans="1:11" hidden="1" outlineLevel="2" x14ac:dyDescent="0.35">
      <c r="A6518" t="s">
        <v>101</v>
      </c>
      <c r="B6518" s="1">
        <v>45717</v>
      </c>
      <c r="C6518" t="str">
        <f>"3"</f>
        <v>3</v>
      </c>
      <c r="F6518" t="str">
        <f>"61400000"</f>
        <v>61400000</v>
      </c>
      <c r="H6518" t="s">
        <v>2744</v>
      </c>
      <c r="J6518" s="4">
        <v>-4531880</v>
      </c>
    </row>
    <row r="6519" spans="1:11" hidden="1" outlineLevel="2" x14ac:dyDescent="0.35">
      <c r="A6519" t="s">
        <v>101</v>
      </c>
      <c r="B6519" s="1">
        <v>45747</v>
      </c>
      <c r="C6519" t="str">
        <f>"60"</f>
        <v>60</v>
      </c>
      <c r="F6519" t="str">
        <f>"61400000"</f>
        <v>61400000</v>
      </c>
      <c r="H6519" t="s">
        <v>2880</v>
      </c>
      <c r="J6519" s="4">
        <v>4422036</v>
      </c>
    </row>
    <row r="6520" spans="1:11" outlineLevel="1" collapsed="1" x14ac:dyDescent="0.35">
      <c r="B6520" s="1"/>
      <c r="F6520" s="3" t="s">
        <v>6621</v>
      </c>
      <c r="J6520" s="4">
        <f>SUBTOTAL(9,J6516:J6519)</f>
        <v>5178036</v>
      </c>
      <c r="K6520" s="4">
        <f>SUBTOTAL(9,K6516:K6519)</f>
        <v>0</v>
      </c>
    </row>
    <row r="6521" spans="1:11" hidden="1" outlineLevel="2" x14ac:dyDescent="0.35">
      <c r="A6521" t="s">
        <v>26</v>
      </c>
      <c r="B6521" s="1">
        <v>45736</v>
      </c>
      <c r="C6521" t="str">
        <f>"90"</f>
        <v>90</v>
      </c>
      <c r="D6521" t="s">
        <v>1694</v>
      </c>
      <c r="E6521" t="s">
        <v>1695</v>
      </c>
      <c r="F6521" t="str">
        <f>"61600000"</f>
        <v>61600000</v>
      </c>
      <c r="H6521" t="s">
        <v>1696</v>
      </c>
      <c r="J6521" s="4">
        <v>36295</v>
      </c>
    </row>
    <row r="6522" spans="1:11" hidden="1" outlineLevel="2" x14ac:dyDescent="0.35">
      <c r="A6522" t="s">
        <v>26</v>
      </c>
      <c r="B6522" s="1">
        <v>45736</v>
      </c>
      <c r="C6522" t="str">
        <f>"91"</f>
        <v>91</v>
      </c>
      <c r="D6522" t="s">
        <v>1697</v>
      </c>
      <c r="E6522" t="s">
        <v>1698</v>
      </c>
      <c r="F6522" t="str">
        <f>"61600000"</f>
        <v>61600000</v>
      </c>
      <c r="H6522" t="s">
        <v>1696</v>
      </c>
      <c r="J6522" s="4">
        <v>35668</v>
      </c>
    </row>
    <row r="6523" spans="1:11" outlineLevel="1" collapsed="1" x14ac:dyDescent="0.35">
      <c r="B6523" s="1"/>
      <c r="F6523" s="3" t="s">
        <v>6622</v>
      </c>
      <c r="J6523" s="4">
        <f>SUBTOTAL(9,J6521:J6522)</f>
        <v>71963</v>
      </c>
      <c r="K6523" s="4">
        <f>SUBTOTAL(9,K6521:K6522)</f>
        <v>0</v>
      </c>
    </row>
    <row r="6524" spans="1:11" hidden="1" outlineLevel="2" x14ac:dyDescent="0.35">
      <c r="A6524" t="s">
        <v>2337</v>
      </c>
      <c r="B6524" s="1">
        <v>45723</v>
      </c>
      <c r="C6524" t="str">
        <f>"690"</f>
        <v>690</v>
      </c>
      <c r="E6524" t="str">
        <f>"17309"</f>
        <v>17309</v>
      </c>
      <c r="F6524" t="str">
        <f t="shared" ref="F6524:F6541" si="235">"61810000"</f>
        <v>61810000</v>
      </c>
      <c r="H6524" t="s">
        <v>2406</v>
      </c>
      <c r="J6524" s="4">
        <v>65000</v>
      </c>
    </row>
    <row r="6525" spans="1:11" hidden="1" outlineLevel="2" x14ac:dyDescent="0.35">
      <c r="A6525" t="s">
        <v>2337</v>
      </c>
      <c r="B6525" s="1">
        <v>45723</v>
      </c>
      <c r="C6525" t="str">
        <f>"692"</f>
        <v>692</v>
      </c>
      <c r="E6525" t="str">
        <f>"17311"</f>
        <v>17311</v>
      </c>
      <c r="F6525" t="str">
        <f t="shared" si="235"/>
        <v>61810000</v>
      </c>
      <c r="H6525" t="s">
        <v>2409</v>
      </c>
      <c r="J6525" s="4">
        <v>-45000</v>
      </c>
    </row>
    <row r="6526" spans="1:11" hidden="1" outlineLevel="2" x14ac:dyDescent="0.35">
      <c r="A6526" t="s">
        <v>2337</v>
      </c>
      <c r="B6526" s="1">
        <v>45727</v>
      </c>
      <c r="C6526" t="str">
        <f>"730"</f>
        <v>730</v>
      </c>
      <c r="E6526" t="str">
        <f>"17349"</f>
        <v>17349</v>
      </c>
      <c r="F6526" t="str">
        <f t="shared" si="235"/>
        <v>61810000</v>
      </c>
      <c r="H6526" t="s">
        <v>2456</v>
      </c>
      <c r="J6526" s="4">
        <v>50000</v>
      </c>
    </row>
    <row r="6527" spans="1:11" hidden="1" outlineLevel="2" x14ac:dyDescent="0.35">
      <c r="A6527" t="s">
        <v>101</v>
      </c>
      <c r="B6527" s="1">
        <v>45747</v>
      </c>
      <c r="C6527" t="str">
        <f>"17"</f>
        <v>17</v>
      </c>
      <c r="F6527" t="str">
        <f t="shared" si="235"/>
        <v>61810000</v>
      </c>
      <c r="H6527" t="s">
        <v>2861</v>
      </c>
      <c r="J6527" s="4">
        <v>7127004</v>
      </c>
    </row>
    <row r="6528" spans="1:11" hidden="1" outlineLevel="2" x14ac:dyDescent="0.35">
      <c r="A6528" t="s">
        <v>3031</v>
      </c>
      <c r="B6528" s="1">
        <v>45728</v>
      </c>
      <c r="C6528" t="str">
        <f>"71"</f>
        <v>71</v>
      </c>
      <c r="F6528" t="str">
        <f t="shared" si="235"/>
        <v>61810000</v>
      </c>
      <c r="H6528" t="s">
        <v>3053</v>
      </c>
      <c r="J6528" s="4">
        <v>891003</v>
      </c>
    </row>
    <row r="6529" spans="1:11" hidden="1" outlineLevel="2" x14ac:dyDescent="0.35">
      <c r="A6529" t="s">
        <v>3031</v>
      </c>
      <c r="B6529" s="1">
        <v>45740</v>
      </c>
      <c r="C6529" t="str">
        <f>"73"</f>
        <v>73</v>
      </c>
      <c r="F6529" t="str">
        <f t="shared" si="235"/>
        <v>61810000</v>
      </c>
      <c r="H6529" t="s">
        <v>3055</v>
      </c>
      <c r="J6529" s="4">
        <v>85000</v>
      </c>
    </row>
    <row r="6530" spans="1:11" hidden="1" outlineLevel="2" x14ac:dyDescent="0.35">
      <c r="A6530" t="s">
        <v>3056</v>
      </c>
      <c r="B6530" s="1">
        <v>45722</v>
      </c>
      <c r="C6530" t="str">
        <f>"155"</f>
        <v>155</v>
      </c>
      <c r="F6530" t="str">
        <f t="shared" si="235"/>
        <v>61810000</v>
      </c>
      <c r="H6530" t="s">
        <v>3068</v>
      </c>
      <c r="J6530" s="4">
        <v>155000</v>
      </c>
    </row>
    <row r="6531" spans="1:11" hidden="1" outlineLevel="2" x14ac:dyDescent="0.35">
      <c r="A6531" t="s">
        <v>3056</v>
      </c>
      <c r="B6531" s="1">
        <v>45727</v>
      </c>
      <c r="C6531" t="str">
        <f>"161"</f>
        <v>161</v>
      </c>
      <c r="F6531" t="str">
        <f t="shared" si="235"/>
        <v>61810000</v>
      </c>
      <c r="H6531" t="s">
        <v>3075</v>
      </c>
      <c r="J6531" s="4">
        <v>224000</v>
      </c>
    </row>
    <row r="6532" spans="1:11" hidden="1" outlineLevel="2" x14ac:dyDescent="0.35">
      <c r="A6532" t="s">
        <v>3056</v>
      </c>
      <c r="B6532" s="1">
        <v>45729</v>
      </c>
      <c r="C6532" t="str">
        <f>"165"</f>
        <v>165</v>
      </c>
      <c r="F6532" t="str">
        <f t="shared" si="235"/>
        <v>61810000</v>
      </c>
      <c r="H6532" t="s">
        <v>3079</v>
      </c>
      <c r="J6532" s="4">
        <v>35000</v>
      </c>
    </row>
    <row r="6533" spans="1:11" hidden="1" outlineLevel="2" x14ac:dyDescent="0.35">
      <c r="A6533" t="s">
        <v>3056</v>
      </c>
      <c r="B6533" s="1">
        <v>45730</v>
      </c>
      <c r="C6533" t="str">
        <f>"166"</f>
        <v>166</v>
      </c>
      <c r="F6533" t="str">
        <f t="shared" si="235"/>
        <v>61810000</v>
      </c>
      <c r="H6533" t="s">
        <v>3081</v>
      </c>
      <c r="J6533" s="4">
        <v>320000</v>
      </c>
    </row>
    <row r="6534" spans="1:11" hidden="1" outlineLevel="2" x14ac:dyDescent="0.35">
      <c r="A6534" t="s">
        <v>3056</v>
      </c>
      <c r="B6534" s="1">
        <v>45730</v>
      </c>
      <c r="C6534" t="str">
        <f>"167"</f>
        <v>167</v>
      </c>
      <c r="F6534" t="str">
        <f t="shared" si="235"/>
        <v>61810000</v>
      </c>
      <c r="H6534" t="s">
        <v>3082</v>
      </c>
      <c r="J6534" s="4">
        <v>105000</v>
      </c>
    </row>
    <row r="6535" spans="1:11" hidden="1" outlineLevel="2" x14ac:dyDescent="0.35">
      <c r="A6535" t="s">
        <v>3056</v>
      </c>
      <c r="B6535" s="1">
        <v>45730</v>
      </c>
      <c r="C6535" t="str">
        <f>"168"</f>
        <v>168</v>
      </c>
      <c r="F6535" t="str">
        <f t="shared" si="235"/>
        <v>61810000</v>
      </c>
      <c r="H6535" t="s">
        <v>3083</v>
      </c>
      <c r="J6535" s="4">
        <v>309000</v>
      </c>
    </row>
    <row r="6536" spans="1:11" hidden="1" outlineLevel="2" x14ac:dyDescent="0.35">
      <c r="A6536" t="s">
        <v>3056</v>
      </c>
      <c r="B6536" s="1">
        <v>45730</v>
      </c>
      <c r="C6536" t="str">
        <f>"169"</f>
        <v>169</v>
      </c>
      <c r="F6536" t="str">
        <f t="shared" si="235"/>
        <v>61810000</v>
      </c>
      <c r="H6536" t="s">
        <v>3084</v>
      </c>
      <c r="J6536" s="4">
        <v>120000</v>
      </c>
    </row>
    <row r="6537" spans="1:11" hidden="1" outlineLevel="2" x14ac:dyDescent="0.35">
      <c r="A6537" t="s">
        <v>3056</v>
      </c>
      <c r="B6537" s="1">
        <v>45736</v>
      </c>
      <c r="C6537" t="str">
        <f>"183"</f>
        <v>183</v>
      </c>
      <c r="F6537" t="str">
        <f t="shared" si="235"/>
        <v>61810000</v>
      </c>
      <c r="H6537" t="s">
        <v>3088</v>
      </c>
      <c r="J6537" s="4">
        <v>45000</v>
      </c>
    </row>
    <row r="6538" spans="1:11" hidden="1" outlineLevel="2" x14ac:dyDescent="0.35">
      <c r="A6538" t="s">
        <v>3056</v>
      </c>
      <c r="B6538" s="1">
        <v>45736</v>
      </c>
      <c r="C6538" t="str">
        <f>"185"</f>
        <v>185</v>
      </c>
      <c r="F6538" t="str">
        <f t="shared" si="235"/>
        <v>61810000</v>
      </c>
      <c r="H6538" t="s">
        <v>3090</v>
      </c>
      <c r="J6538" s="4">
        <v>120000</v>
      </c>
    </row>
    <row r="6539" spans="1:11" hidden="1" outlineLevel="2" x14ac:dyDescent="0.35">
      <c r="A6539" t="s">
        <v>3056</v>
      </c>
      <c r="B6539" s="1">
        <v>45736</v>
      </c>
      <c r="C6539" t="str">
        <f>"186"</f>
        <v>186</v>
      </c>
      <c r="F6539" t="str">
        <f t="shared" si="235"/>
        <v>61810000</v>
      </c>
      <c r="H6539" t="s">
        <v>3091</v>
      </c>
      <c r="J6539" s="4">
        <v>215000</v>
      </c>
    </row>
    <row r="6540" spans="1:11" hidden="1" outlineLevel="2" x14ac:dyDescent="0.35">
      <c r="A6540" t="s">
        <v>3056</v>
      </c>
      <c r="B6540" s="1">
        <v>45736</v>
      </c>
      <c r="C6540" t="str">
        <f>"187"</f>
        <v>187</v>
      </c>
      <c r="F6540" t="str">
        <f t="shared" si="235"/>
        <v>61810000</v>
      </c>
      <c r="H6540" t="s">
        <v>3092</v>
      </c>
      <c r="J6540" s="4">
        <v>50000</v>
      </c>
    </row>
    <row r="6541" spans="1:11" hidden="1" outlineLevel="2" x14ac:dyDescent="0.35">
      <c r="A6541" t="s">
        <v>3056</v>
      </c>
      <c r="B6541" s="1">
        <v>45740</v>
      </c>
      <c r="C6541" t="str">
        <f>"193"</f>
        <v>193</v>
      </c>
      <c r="F6541" t="str">
        <f t="shared" si="235"/>
        <v>61810000</v>
      </c>
      <c r="H6541" t="s">
        <v>3099</v>
      </c>
      <c r="J6541" s="4">
        <v>70000</v>
      </c>
    </row>
    <row r="6542" spans="1:11" outlineLevel="1" collapsed="1" x14ac:dyDescent="0.35">
      <c r="B6542" s="1"/>
      <c r="F6542" s="3" t="s">
        <v>6623</v>
      </c>
      <c r="J6542" s="4">
        <f>SUBTOTAL(9,J6524:J6541)</f>
        <v>9941007</v>
      </c>
      <c r="K6542" s="4">
        <f>SUBTOTAL(9,K6524:K6541)</f>
        <v>0</v>
      </c>
    </row>
    <row r="6543" spans="1:11" hidden="1" outlineLevel="2" x14ac:dyDescent="0.35">
      <c r="A6543" t="s">
        <v>2018</v>
      </c>
      <c r="B6543" s="1">
        <v>45720</v>
      </c>
      <c r="C6543" t="str">
        <f>"346"</f>
        <v>346</v>
      </c>
      <c r="F6543" t="str">
        <f t="shared" ref="F6543:F6606" si="236">"61810100"</f>
        <v>61810100</v>
      </c>
      <c r="H6543" t="s">
        <v>2021</v>
      </c>
      <c r="J6543" s="4">
        <v>25025</v>
      </c>
    </row>
    <row r="6544" spans="1:11" hidden="1" outlineLevel="2" x14ac:dyDescent="0.35">
      <c r="A6544" t="s">
        <v>2018</v>
      </c>
      <c r="B6544" s="1">
        <v>45720</v>
      </c>
      <c r="C6544" t="str">
        <f>"347"</f>
        <v>347</v>
      </c>
      <c r="F6544" t="str">
        <f t="shared" si="236"/>
        <v>61810100</v>
      </c>
      <c r="H6544" t="s">
        <v>2022</v>
      </c>
      <c r="J6544" s="4">
        <v>280000</v>
      </c>
    </row>
    <row r="6545" spans="1:10" hidden="1" outlineLevel="2" x14ac:dyDescent="0.35">
      <c r="A6545" t="s">
        <v>2018</v>
      </c>
      <c r="B6545" s="1">
        <v>45721</v>
      </c>
      <c r="C6545" t="str">
        <f>"348"</f>
        <v>348</v>
      </c>
      <c r="F6545" t="str">
        <f t="shared" si="236"/>
        <v>61810100</v>
      </c>
      <c r="H6545" t="s">
        <v>2024</v>
      </c>
      <c r="J6545" s="4">
        <v>10000</v>
      </c>
    </row>
    <row r="6546" spans="1:10" hidden="1" outlineLevel="2" x14ac:dyDescent="0.35">
      <c r="A6546" t="s">
        <v>2018</v>
      </c>
      <c r="B6546" s="1">
        <v>45721</v>
      </c>
      <c r="C6546" t="str">
        <f>"349"</f>
        <v>349</v>
      </c>
      <c r="F6546" t="str">
        <f t="shared" si="236"/>
        <v>61810100</v>
      </c>
      <c r="H6546" t="s">
        <v>2027</v>
      </c>
      <c r="J6546" s="4">
        <v>10000</v>
      </c>
    </row>
    <row r="6547" spans="1:10" hidden="1" outlineLevel="2" x14ac:dyDescent="0.35">
      <c r="A6547" t="s">
        <v>2018</v>
      </c>
      <c r="B6547" s="1">
        <v>45721</v>
      </c>
      <c r="C6547" t="str">
        <f>"350"</f>
        <v>350</v>
      </c>
      <c r="F6547" t="str">
        <f t="shared" si="236"/>
        <v>61810100</v>
      </c>
      <c r="H6547" t="s">
        <v>2030</v>
      </c>
      <c r="J6547" s="4">
        <v>10000</v>
      </c>
    </row>
    <row r="6548" spans="1:10" hidden="1" outlineLevel="2" x14ac:dyDescent="0.35">
      <c r="A6548" t="s">
        <v>2018</v>
      </c>
      <c r="B6548" s="1">
        <v>45721</v>
      </c>
      <c r="C6548" t="str">
        <f>"351"</f>
        <v>351</v>
      </c>
      <c r="F6548" t="str">
        <f t="shared" si="236"/>
        <v>61810100</v>
      </c>
      <c r="H6548" t="s">
        <v>2032</v>
      </c>
      <c r="J6548" s="4">
        <v>10000</v>
      </c>
    </row>
    <row r="6549" spans="1:10" hidden="1" outlineLevel="2" x14ac:dyDescent="0.35">
      <c r="A6549" t="s">
        <v>2018</v>
      </c>
      <c r="B6549" s="1">
        <v>45722</v>
      </c>
      <c r="C6549" t="str">
        <f>"354"</f>
        <v>354</v>
      </c>
      <c r="F6549" t="str">
        <f t="shared" si="236"/>
        <v>61810100</v>
      </c>
      <c r="H6549" t="s">
        <v>2024</v>
      </c>
      <c r="J6549" s="4">
        <v>10000</v>
      </c>
    </row>
    <row r="6550" spans="1:10" hidden="1" outlineLevel="2" x14ac:dyDescent="0.35">
      <c r="A6550" t="s">
        <v>2018</v>
      </c>
      <c r="B6550" s="1">
        <v>45722</v>
      </c>
      <c r="C6550" t="str">
        <f>"355"</f>
        <v>355</v>
      </c>
      <c r="F6550" t="str">
        <f t="shared" si="236"/>
        <v>61810100</v>
      </c>
      <c r="H6550" t="s">
        <v>2038</v>
      </c>
      <c r="J6550" s="4">
        <v>10000</v>
      </c>
    </row>
    <row r="6551" spans="1:10" hidden="1" outlineLevel="2" x14ac:dyDescent="0.35">
      <c r="A6551" t="s">
        <v>2018</v>
      </c>
      <c r="B6551" s="1">
        <v>45722</v>
      </c>
      <c r="C6551" t="str">
        <f>"356"</f>
        <v>356</v>
      </c>
      <c r="F6551" t="str">
        <f t="shared" si="236"/>
        <v>61810100</v>
      </c>
      <c r="H6551" t="s">
        <v>2041</v>
      </c>
      <c r="J6551" s="4">
        <v>10000</v>
      </c>
    </row>
    <row r="6552" spans="1:10" hidden="1" outlineLevel="2" x14ac:dyDescent="0.35">
      <c r="A6552" t="s">
        <v>2018</v>
      </c>
      <c r="B6552" s="1">
        <v>45722</v>
      </c>
      <c r="C6552" t="str">
        <f>"357"</f>
        <v>357</v>
      </c>
      <c r="F6552" t="str">
        <f t="shared" si="236"/>
        <v>61810100</v>
      </c>
      <c r="H6552" t="s">
        <v>2027</v>
      </c>
      <c r="J6552" s="4">
        <v>10000</v>
      </c>
    </row>
    <row r="6553" spans="1:10" hidden="1" outlineLevel="2" x14ac:dyDescent="0.35">
      <c r="A6553" t="s">
        <v>2018</v>
      </c>
      <c r="B6553" s="1">
        <v>45723</v>
      </c>
      <c r="C6553" t="str">
        <f>"359"</f>
        <v>359</v>
      </c>
      <c r="F6553" t="str">
        <f t="shared" si="236"/>
        <v>61810100</v>
      </c>
      <c r="H6553" t="s">
        <v>2044</v>
      </c>
      <c r="J6553" s="4">
        <v>2000</v>
      </c>
    </row>
    <row r="6554" spans="1:10" hidden="1" outlineLevel="2" x14ac:dyDescent="0.35">
      <c r="A6554" t="s">
        <v>2018</v>
      </c>
      <c r="B6554" s="1">
        <v>45723</v>
      </c>
      <c r="C6554" t="str">
        <f>"360"</f>
        <v>360</v>
      </c>
      <c r="F6554" t="str">
        <f t="shared" si="236"/>
        <v>61810100</v>
      </c>
      <c r="H6554" t="s">
        <v>2045</v>
      </c>
      <c r="J6554" s="4">
        <v>5000</v>
      </c>
    </row>
    <row r="6555" spans="1:10" hidden="1" outlineLevel="2" x14ac:dyDescent="0.35">
      <c r="A6555" t="s">
        <v>2018</v>
      </c>
      <c r="B6555" s="1">
        <v>45724</v>
      </c>
      <c r="C6555" t="str">
        <f>"361"</f>
        <v>361</v>
      </c>
      <c r="F6555" t="str">
        <f t="shared" si="236"/>
        <v>61810100</v>
      </c>
      <c r="H6555" t="s">
        <v>2046</v>
      </c>
      <c r="J6555" s="4">
        <v>10000</v>
      </c>
    </row>
    <row r="6556" spans="1:10" hidden="1" outlineLevel="2" x14ac:dyDescent="0.35">
      <c r="A6556" t="s">
        <v>2018</v>
      </c>
      <c r="B6556" s="1">
        <v>45724</v>
      </c>
      <c r="C6556" t="str">
        <f>"362"</f>
        <v>362</v>
      </c>
      <c r="F6556" t="str">
        <f t="shared" si="236"/>
        <v>61810100</v>
      </c>
      <c r="H6556" t="s">
        <v>2047</v>
      </c>
      <c r="J6556" s="4">
        <v>5000</v>
      </c>
    </row>
    <row r="6557" spans="1:10" hidden="1" outlineLevel="2" x14ac:dyDescent="0.35">
      <c r="A6557" t="s">
        <v>2018</v>
      </c>
      <c r="B6557" s="1">
        <v>45724</v>
      </c>
      <c r="C6557" t="str">
        <f>"363"</f>
        <v>363</v>
      </c>
      <c r="F6557" t="str">
        <f t="shared" si="236"/>
        <v>61810100</v>
      </c>
      <c r="H6557" t="s">
        <v>2049</v>
      </c>
      <c r="J6557" s="4">
        <v>10000</v>
      </c>
    </row>
    <row r="6558" spans="1:10" hidden="1" outlineLevel="2" x14ac:dyDescent="0.35">
      <c r="A6558" t="s">
        <v>2018</v>
      </c>
      <c r="B6558" s="1">
        <v>45724</v>
      </c>
      <c r="C6558" t="str">
        <f>"364"</f>
        <v>364</v>
      </c>
      <c r="F6558" t="str">
        <f t="shared" si="236"/>
        <v>61810100</v>
      </c>
      <c r="H6558" t="s">
        <v>2048</v>
      </c>
      <c r="J6558" s="4">
        <v>15000</v>
      </c>
    </row>
    <row r="6559" spans="1:10" hidden="1" outlineLevel="2" x14ac:dyDescent="0.35">
      <c r="A6559" t="s">
        <v>2018</v>
      </c>
      <c r="B6559" s="1">
        <v>45726</v>
      </c>
      <c r="C6559" t="str">
        <f>"368"</f>
        <v>368</v>
      </c>
      <c r="F6559" t="str">
        <f t="shared" si="236"/>
        <v>61810100</v>
      </c>
      <c r="H6559" t="s">
        <v>2055</v>
      </c>
      <c r="J6559" s="4">
        <v>80000</v>
      </c>
    </row>
    <row r="6560" spans="1:10" hidden="1" outlineLevel="2" x14ac:dyDescent="0.35">
      <c r="A6560" t="s">
        <v>2018</v>
      </c>
      <c r="B6560" s="1">
        <v>45726</v>
      </c>
      <c r="C6560" t="str">
        <f>"370"</f>
        <v>370</v>
      </c>
      <c r="F6560" t="str">
        <f t="shared" si="236"/>
        <v>61810100</v>
      </c>
      <c r="H6560" t="s">
        <v>2058</v>
      </c>
      <c r="J6560" s="4">
        <v>2000</v>
      </c>
    </row>
    <row r="6561" spans="1:10" hidden="1" outlineLevel="2" x14ac:dyDescent="0.35">
      <c r="A6561" t="s">
        <v>2018</v>
      </c>
      <c r="B6561" s="1">
        <v>45726</v>
      </c>
      <c r="C6561" t="str">
        <f>"373"</f>
        <v>373</v>
      </c>
      <c r="F6561" t="str">
        <f t="shared" si="236"/>
        <v>61810100</v>
      </c>
      <c r="H6561" t="s">
        <v>2063</v>
      </c>
      <c r="J6561" s="4">
        <v>15000</v>
      </c>
    </row>
    <row r="6562" spans="1:10" hidden="1" outlineLevel="2" x14ac:dyDescent="0.35">
      <c r="A6562" t="s">
        <v>2018</v>
      </c>
      <c r="B6562" s="1">
        <v>45726</v>
      </c>
      <c r="C6562" t="str">
        <f>"374"</f>
        <v>374</v>
      </c>
      <c r="F6562" t="str">
        <f t="shared" si="236"/>
        <v>61810100</v>
      </c>
      <c r="H6562" t="s">
        <v>2065</v>
      </c>
      <c r="J6562" s="4">
        <v>5000</v>
      </c>
    </row>
    <row r="6563" spans="1:10" hidden="1" outlineLevel="2" x14ac:dyDescent="0.35">
      <c r="A6563" t="s">
        <v>2018</v>
      </c>
      <c r="B6563" s="1">
        <v>45726</v>
      </c>
      <c r="C6563" t="str">
        <f>"375"</f>
        <v>375</v>
      </c>
      <c r="F6563" t="str">
        <f t="shared" si="236"/>
        <v>61810100</v>
      </c>
      <c r="H6563" t="s">
        <v>2067</v>
      </c>
      <c r="J6563" s="4">
        <v>10000</v>
      </c>
    </row>
    <row r="6564" spans="1:10" hidden="1" outlineLevel="2" x14ac:dyDescent="0.35">
      <c r="A6564" t="s">
        <v>2018</v>
      </c>
      <c r="B6564" s="1">
        <v>45727</v>
      </c>
      <c r="C6564" t="str">
        <f>"378"</f>
        <v>378</v>
      </c>
      <c r="F6564" t="str">
        <f t="shared" si="236"/>
        <v>61810100</v>
      </c>
      <c r="H6564" t="s">
        <v>2072</v>
      </c>
      <c r="J6564" s="4">
        <v>15000</v>
      </c>
    </row>
    <row r="6565" spans="1:10" hidden="1" outlineLevel="2" x14ac:dyDescent="0.35">
      <c r="A6565" t="s">
        <v>2018</v>
      </c>
      <c r="B6565" s="1">
        <v>45727</v>
      </c>
      <c r="C6565" t="str">
        <f>"379"</f>
        <v>379</v>
      </c>
      <c r="F6565" t="str">
        <f t="shared" si="236"/>
        <v>61810100</v>
      </c>
      <c r="H6565" t="s">
        <v>2075</v>
      </c>
      <c r="J6565" s="4">
        <v>10000</v>
      </c>
    </row>
    <row r="6566" spans="1:10" hidden="1" outlineLevel="2" x14ac:dyDescent="0.35">
      <c r="A6566" t="s">
        <v>2018</v>
      </c>
      <c r="B6566" s="1">
        <v>45727</v>
      </c>
      <c r="C6566" t="str">
        <f>"380"</f>
        <v>380</v>
      </c>
      <c r="F6566" t="str">
        <f t="shared" si="236"/>
        <v>61810100</v>
      </c>
      <c r="H6566" t="s">
        <v>2030</v>
      </c>
      <c r="J6566" s="4">
        <v>10000</v>
      </c>
    </row>
    <row r="6567" spans="1:10" hidden="1" outlineLevel="2" x14ac:dyDescent="0.35">
      <c r="A6567" t="s">
        <v>2018</v>
      </c>
      <c r="B6567" s="1">
        <v>45727</v>
      </c>
      <c r="C6567" t="str">
        <f>"381"</f>
        <v>381</v>
      </c>
      <c r="F6567" t="str">
        <f t="shared" si="236"/>
        <v>61810100</v>
      </c>
      <c r="H6567" t="s">
        <v>2079</v>
      </c>
      <c r="J6567" s="4">
        <v>10000</v>
      </c>
    </row>
    <row r="6568" spans="1:10" hidden="1" outlineLevel="2" x14ac:dyDescent="0.35">
      <c r="A6568" t="s">
        <v>2018</v>
      </c>
      <c r="B6568" s="1">
        <v>45728</v>
      </c>
      <c r="C6568" t="str">
        <f>"382"</f>
        <v>382</v>
      </c>
      <c r="F6568" t="str">
        <f t="shared" si="236"/>
        <v>61810100</v>
      </c>
      <c r="H6568" t="s">
        <v>2081</v>
      </c>
      <c r="J6568" s="4">
        <v>10000</v>
      </c>
    </row>
    <row r="6569" spans="1:10" hidden="1" outlineLevel="2" x14ac:dyDescent="0.35">
      <c r="A6569" t="s">
        <v>2018</v>
      </c>
      <c r="B6569" s="1">
        <v>45728</v>
      </c>
      <c r="C6569" t="str">
        <f>"385"</f>
        <v>385</v>
      </c>
      <c r="F6569" t="str">
        <f t="shared" si="236"/>
        <v>61810100</v>
      </c>
      <c r="H6569" t="s">
        <v>2083</v>
      </c>
      <c r="J6569" s="4">
        <v>5000</v>
      </c>
    </row>
    <row r="6570" spans="1:10" hidden="1" outlineLevel="2" x14ac:dyDescent="0.35">
      <c r="A6570" t="s">
        <v>2018</v>
      </c>
      <c r="B6570" s="1">
        <v>45728</v>
      </c>
      <c r="C6570" t="str">
        <f>"386"</f>
        <v>386</v>
      </c>
      <c r="F6570" t="str">
        <f t="shared" si="236"/>
        <v>61810100</v>
      </c>
      <c r="H6570" t="s">
        <v>2084</v>
      </c>
      <c r="J6570" s="4">
        <v>15000</v>
      </c>
    </row>
    <row r="6571" spans="1:10" hidden="1" outlineLevel="2" x14ac:dyDescent="0.35">
      <c r="A6571" t="s">
        <v>2018</v>
      </c>
      <c r="B6571" s="1">
        <v>45728</v>
      </c>
      <c r="C6571" t="str">
        <f>"387"</f>
        <v>387</v>
      </c>
      <c r="F6571" t="str">
        <f t="shared" si="236"/>
        <v>61810100</v>
      </c>
      <c r="H6571" t="s">
        <v>2086</v>
      </c>
      <c r="J6571" s="4">
        <v>15000</v>
      </c>
    </row>
    <row r="6572" spans="1:10" hidden="1" outlineLevel="2" x14ac:dyDescent="0.35">
      <c r="A6572" t="s">
        <v>2018</v>
      </c>
      <c r="B6572" s="1">
        <v>45728</v>
      </c>
      <c r="C6572" t="str">
        <f>"388"</f>
        <v>388</v>
      </c>
      <c r="F6572" t="str">
        <f t="shared" si="236"/>
        <v>61810100</v>
      </c>
      <c r="H6572" t="s">
        <v>2088</v>
      </c>
      <c r="J6572" s="4">
        <v>15300</v>
      </c>
    </row>
    <row r="6573" spans="1:10" hidden="1" outlineLevel="2" x14ac:dyDescent="0.35">
      <c r="A6573" t="s">
        <v>2018</v>
      </c>
      <c r="B6573" s="1">
        <v>45728</v>
      </c>
      <c r="C6573" t="str">
        <f>"389"</f>
        <v>389</v>
      </c>
      <c r="F6573" t="str">
        <f t="shared" si="236"/>
        <v>61810100</v>
      </c>
      <c r="H6573" t="s">
        <v>2088</v>
      </c>
      <c r="J6573" s="4">
        <v>10000</v>
      </c>
    </row>
    <row r="6574" spans="1:10" hidden="1" outlineLevel="2" x14ac:dyDescent="0.35">
      <c r="A6574" t="s">
        <v>2018</v>
      </c>
      <c r="B6574" s="1">
        <v>45728</v>
      </c>
      <c r="C6574" t="str">
        <f>"390"</f>
        <v>390</v>
      </c>
      <c r="F6574" t="str">
        <f t="shared" si="236"/>
        <v>61810100</v>
      </c>
      <c r="H6574" t="s">
        <v>2038</v>
      </c>
      <c r="J6574" s="4">
        <v>10000</v>
      </c>
    </row>
    <row r="6575" spans="1:10" hidden="1" outlineLevel="2" x14ac:dyDescent="0.35">
      <c r="A6575" t="s">
        <v>2018</v>
      </c>
      <c r="B6575" s="1">
        <v>45728</v>
      </c>
      <c r="C6575" t="str">
        <f>"391"</f>
        <v>391</v>
      </c>
      <c r="F6575" t="str">
        <f t="shared" si="236"/>
        <v>61810100</v>
      </c>
      <c r="H6575" t="s">
        <v>2024</v>
      </c>
      <c r="J6575" s="4">
        <v>10000</v>
      </c>
    </row>
    <row r="6576" spans="1:10" hidden="1" outlineLevel="2" x14ac:dyDescent="0.35">
      <c r="A6576" t="s">
        <v>2018</v>
      </c>
      <c r="B6576" s="1">
        <v>45728</v>
      </c>
      <c r="C6576" t="str">
        <f>"392"</f>
        <v>392</v>
      </c>
      <c r="F6576" t="str">
        <f t="shared" si="236"/>
        <v>61810100</v>
      </c>
      <c r="H6576" t="s">
        <v>2094</v>
      </c>
      <c r="J6576" s="4">
        <v>10000</v>
      </c>
    </row>
    <row r="6577" spans="1:10" hidden="1" outlineLevel="2" x14ac:dyDescent="0.35">
      <c r="A6577" t="s">
        <v>2018</v>
      </c>
      <c r="B6577" s="1">
        <v>45729</v>
      </c>
      <c r="C6577" t="str">
        <f>"393"</f>
        <v>393</v>
      </c>
      <c r="F6577" t="str">
        <f t="shared" si="236"/>
        <v>61810100</v>
      </c>
      <c r="H6577" t="s">
        <v>2027</v>
      </c>
      <c r="J6577" s="4">
        <v>20000</v>
      </c>
    </row>
    <row r="6578" spans="1:10" hidden="1" outlineLevel="2" x14ac:dyDescent="0.35">
      <c r="A6578" t="s">
        <v>2018</v>
      </c>
      <c r="B6578" s="1">
        <v>45729</v>
      </c>
      <c r="C6578" t="str">
        <f>"394"</f>
        <v>394</v>
      </c>
      <c r="F6578" t="str">
        <f t="shared" si="236"/>
        <v>61810100</v>
      </c>
      <c r="H6578" t="s">
        <v>2038</v>
      </c>
      <c r="J6578" s="4">
        <v>10000</v>
      </c>
    </row>
    <row r="6579" spans="1:10" hidden="1" outlineLevel="2" x14ac:dyDescent="0.35">
      <c r="A6579" t="s">
        <v>2018</v>
      </c>
      <c r="B6579" s="1">
        <v>45729</v>
      </c>
      <c r="C6579" t="str">
        <f>"395"</f>
        <v>395</v>
      </c>
      <c r="F6579" t="str">
        <f t="shared" si="236"/>
        <v>61810100</v>
      </c>
      <c r="H6579" t="s">
        <v>2041</v>
      </c>
      <c r="J6579" s="4">
        <v>10000</v>
      </c>
    </row>
    <row r="6580" spans="1:10" hidden="1" outlineLevel="2" x14ac:dyDescent="0.35">
      <c r="A6580" t="s">
        <v>2018</v>
      </c>
      <c r="B6580" s="1">
        <v>45730</v>
      </c>
      <c r="C6580" t="str">
        <f>"396"</f>
        <v>396</v>
      </c>
      <c r="F6580" t="str">
        <f t="shared" si="236"/>
        <v>61810100</v>
      </c>
      <c r="H6580" t="s">
        <v>2099</v>
      </c>
      <c r="J6580" s="4">
        <v>15000</v>
      </c>
    </row>
    <row r="6581" spans="1:10" hidden="1" outlineLevel="2" x14ac:dyDescent="0.35">
      <c r="A6581" t="s">
        <v>2018</v>
      </c>
      <c r="B6581" s="1">
        <v>45730</v>
      </c>
      <c r="C6581" t="str">
        <f>"397"</f>
        <v>397</v>
      </c>
      <c r="F6581" t="str">
        <f t="shared" si="236"/>
        <v>61810100</v>
      </c>
      <c r="H6581" t="s">
        <v>2094</v>
      </c>
      <c r="J6581" s="4">
        <v>10000</v>
      </c>
    </row>
    <row r="6582" spans="1:10" hidden="1" outlineLevel="2" x14ac:dyDescent="0.35">
      <c r="A6582" t="s">
        <v>2018</v>
      </c>
      <c r="B6582" s="1">
        <v>45730</v>
      </c>
      <c r="C6582" t="str">
        <f>"398"</f>
        <v>398</v>
      </c>
      <c r="F6582" t="str">
        <f t="shared" si="236"/>
        <v>61810100</v>
      </c>
      <c r="H6582" t="s">
        <v>2038</v>
      </c>
      <c r="J6582" s="4">
        <v>10000</v>
      </c>
    </row>
    <row r="6583" spans="1:10" hidden="1" outlineLevel="2" x14ac:dyDescent="0.35">
      <c r="A6583" t="s">
        <v>2018</v>
      </c>
      <c r="B6583" s="1">
        <v>45730</v>
      </c>
      <c r="C6583" t="str">
        <f>"399"</f>
        <v>399</v>
      </c>
      <c r="F6583" t="str">
        <f t="shared" si="236"/>
        <v>61810100</v>
      </c>
      <c r="H6583" t="s">
        <v>2075</v>
      </c>
      <c r="J6583" s="4">
        <v>10000</v>
      </c>
    </row>
    <row r="6584" spans="1:10" hidden="1" outlineLevel="2" x14ac:dyDescent="0.35">
      <c r="A6584" t="s">
        <v>2018</v>
      </c>
      <c r="B6584" s="1">
        <v>45730</v>
      </c>
      <c r="C6584" t="str">
        <f>"401"</f>
        <v>401</v>
      </c>
      <c r="F6584" t="str">
        <f t="shared" si="236"/>
        <v>61810100</v>
      </c>
      <c r="H6584" t="s">
        <v>2081</v>
      </c>
      <c r="J6584" s="4">
        <v>10000</v>
      </c>
    </row>
    <row r="6585" spans="1:10" hidden="1" outlineLevel="2" x14ac:dyDescent="0.35">
      <c r="A6585" t="s">
        <v>2018</v>
      </c>
      <c r="B6585" s="1">
        <v>45731</v>
      </c>
      <c r="C6585" t="str">
        <f>"402"</f>
        <v>402</v>
      </c>
      <c r="F6585" t="str">
        <f t="shared" si="236"/>
        <v>61810100</v>
      </c>
      <c r="H6585" t="s">
        <v>2102</v>
      </c>
      <c r="J6585" s="4">
        <v>10000</v>
      </c>
    </row>
    <row r="6586" spans="1:10" hidden="1" outlineLevel="2" x14ac:dyDescent="0.35">
      <c r="A6586" t="s">
        <v>2018</v>
      </c>
      <c r="B6586" s="1">
        <v>45731</v>
      </c>
      <c r="C6586" t="str">
        <f>"403"</f>
        <v>403</v>
      </c>
      <c r="F6586" t="str">
        <f t="shared" si="236"/>
        <v>61810100</v>
      </c>
      <c r="H6586" t="s">
        <v>2103</v>
      </c>
      <c r="J6586" s="4">
        <v>10000</v>
      </c>
    </row>
    <row r="6587" spans="1:10" hidden="1" outlineLevel="2" x14ac:dyDescent="0.35">
      <c r="A6587" t="s">
        <v>2018</v>
      </c>
      <c r="B6587" s="1">
        <v>45731</v>
      </c>
      <c r="C6587" t="str">
        <f>"404"</f>
        <v>404</v>
      </c>
      <c r="F6587" t="str">
        <f t="shared" si="236"/>
        <v>61810100</v>
      </c>
      <c r="H6587" t="s">
        <v>2104</v>
      </c>
      <c r="J6587" s="4">
        <v>10000</v>
      </c>
    </row>
    <row r="6588" spans="1:10" hidden="1" outlineLevel="2" x14ac:dyDescent="0.35">
      <c r="A6588" t="s">
        <v>2018</v>
      </c>
      <c r="B6588" s="1">
        <v>45731</v>
      </c>
      <c r="C6588" t="str">
        <f>"405"</f>
        <v>405</v>
      </c>
      <c r="F6588" t="str">
        <f t="shared" si="236"/>
        <v>61810100</v>
      </c>
      <c r="H6588" t="s">
        <v>2105</v>
      </c>
      <c r="J6588" s="4">
        <v>10000</v>
      </c>
    </row>
    <row r="6589" spans="1:10" hidden="1" outlineLevel="2" x14ac:dyDescent="0.35">
      <c r="A6589" t="s">
        <v>2018</v>
      </c>
      <c r="B6589" s="1">
        <v>45731</v>
      </c>
      <c r="C6589" t="str">
        <f>"406"</f>
        <v>406</v>
      </c>
      <c r="F6589" t="str">
        <f t="shared" si="236"/>
        <v>61810100</v>
      </c>
      <c r="H6589" t="s">
        <v>2106</v>
      </c>
      <c r="J6589" s="4">
        <v>10000</v>
      </c>
    </row>
    <row r="6590" spans="1:10" hidden="1" outlineLevel="2" x14ac:dyDescent="0.35">
      <c r="A6590" t="s">
        <v>2018</v>
      </c>
      <c r="B6590" s="1">
        <v>45731</v>
      </c>
      <c r="C6590" t="str">
        <f>"407"</f>
        <v>407</v>
      </c>
      <c r="F6590" t="str">
        <f t="shared" si="236"/>
        <v>61810100</v>
      </c>
      <c r="H6590" t="s">
        <v>2109</v>
      </c>
      <c r="J6590" s="4">
        <v>530000</v>
      </c>
    </row>
    <row r="6591" spans="1:10" hidden="1" outlineLevel="2" x14ac:dyDescent="0.35">
      <c r="A6591" t="s">
        <v>2018</v>
      </c>
      <c r="B6591" s="1">
        <v>45731</v>
      </c>
      <c r="C6591" t="str">
        <f>"408"</f>
        <v>408</v>
      </c>
      <c r="F6591" t="str">
        <f t="shared" si="236"/>
        <v>61810100</v>
      </c>
      <c r="H6591" t="s">
        <v>2112</v>
      </c>
      <c r="J6591" s="4">
        <v>530000</v>
      </c>
    </row>
    <row r="6592" spans="1:10" hidden="1" outlineLevel="2" x14ac:dyDescent="0.35">
      <c r="A6592" t="s">
        <v>2018</v>
      </c>
      <c r="B6592" s="1">
        <v>45734</v>
      </c>
      <c r="C6592" t="str">
        <f>"413"</f>
        <v>413</v>
      </c>
      <c r="F6592" t="str">
        <f t="shared" si="236"/>
        <v>61810100</v>
      </c>
      <c r="H6592" t="s">
        <v>2118</v>
      </c>
      <c r="J6592" s="4">
        <v>10000</v>
      </c>
    </row>
    <row r="6593" spans="1:10" hidden="1" outlineLevel="2" x14ac:dyDescent="0.35">
      <c r="A6593" t="s">
        <v>2018</v>
      </c>
      <c r="B6593" s="1">
        <v>45734</v>
      </c>
      <c r="C6593" t="str">
        <f>"414"</f>
        <v>414</v>
      </c>
      <c r="F6593" t="str">
        <f t="shared" si="236"/>
        <v>61810100</v>
      </c>
      <c r="H6593" t="s">
        <v>2030</v>
      </c>
      <c r="J6593" s="4">
        <v>10000</v>
      </c>
    </row>
    <row r="6594" spans="1:10" hidden="1" outlineLevel="2" x14ac:dyDescent="0.35">
      <c r="A6594" t="s">
        <v>2018</v>
      </c>
      <c r="B6594" s="1">
        <v>45734</v>
      </c>
      <c r="C6594" t="str">
        <f>"416"</f>
        <v>416</v>
      </c>
      <c r="F6594" t="str">
        <f t="shared" si="236"/>
        <v>61810100</v>
      </c>
      <c r="H6594" t="s">
        <v>2123</v>
      </c>
      <c r="J6594" s="4">
        <v>2000</v>
      </c>
    </row>
    <row r="6595" spans="1:10" hidden="1" outlineLevel="2" x14ac:dyDescent="0.35">
      <c r="A6595" t="s">
        <v>2018</v>
      </c>
      <c r="B6595" s="1">
        <v>45734</v>
      </c>
      <c r="C6595" t="str">
        <f>"420"</f>
        <v>420</v>
      </c>
      <c r="F6595" t="str">
        <f t="shared" si="236"/>
        <v>61810100</v>
      </c>
      <c r="H6595" t="s">
        <v>2127</v>
      </c>
      <c r="J6595" s="4">
        <v>15150</v>
      </c>
    </row>
    <row r="6596" spans="1:10" hidden="1" outlineLevel="2" x14ac:dyDescent="0.35">
      <c r="A6596" t="s">
        <v>2018</v>
      </c>
      <c r="B6596" s="1">
        <v>45734</v>
      </c>
      <c r="C6596" t="str">
        <f>"421"</f>
        <v>421</v>
      </c>
      <c r="F6596" t="str">
        <f t="shared" si="236"/>
        <v>61810100</v>
      </c>
      <c r="H6596" t="s">
        <v>2130</v>
      </c>
      <c r="J6596" s="4">
        <v>15150</v>
      </c>
    </row>
    <row r="6597" spans="1:10" hidden="1" outlineLevel="2" x14ac:dyDescent="0.35">
      <c r="A6597" t="s">
        <v>2018</v>
      </c>
      <c r="B6597" s="1">
        <v>45734</v>
      </c>
      <c r="C6597" t="str">
        <f>"422"</f>
        <v>422</v>
      </c>
      <c r="F6597" t="str">
        <f t="shared" si="236"/>
        <v>61810100</v>
      </c>
      <c r="H6597" t="s">
        <v>2067</v>
      </c>
      <c r="J6597" s="4">
        <v>10000</v>
      </c>
    </row>
    <row r="6598" spans="1:10" hidden="1" outlineLevel="2" x14ac:dyDescent="0.35">
      <c r="A6598" t="s">
        <v>2018</v>
      </c>
      <c r="B6598" s="1">
        <v>45734</v>
      </c>
      <c r="C6598" t="str">
        <f>"423"</f>
        <v>423</v>
      </c>
      <c r="F6598" t="str">
        <f t="shared" si="236"/>
        <v>61810100</v>
      </c>
      <c r="H6598" t="s">
        <v>2133</v>
      </c>
      <c r="J6598" s="4">
        <v>10100</v>
      </c>
    </row>
    <row r="6599" spans="1:10" hidden="1" outlineLevel="2" x14ac:dyDescent="0.35">
      <c r="A6599" t="s">
        <v>2018</v>
      </c>
      <c r="B6599" s="1">
        <v>45734</v>
      </c>
      <c r="C6599" t="str">
        <f>"424"</f>
        <v>424</v>
      </c>
      <c r="F6599" t="str">
        <f t="shared" si="236"/>
        <v>61810100</v>
      </c>
      <c r="H6599" t="s">
        <v>2135</v>
      </c>
      <c r="J6599" s="4">
        <v>10100</v>
      </c>
    </row>
    <row r="6600" spans="1:10" hidden="1" outlineLevel="2" x14ac:dyDescent="0.35">
      <c r="A6600" t="s">
        <v>2018</v>
      </c>
      <c r="B6600" s="1">
        <v>45735</v>
      </c>
      <c r="C6600" t="str">
        <f>"425"</f>
        <v>425</v>
      </c>
      <c r="F6600" t="str">
        <f t="shared" si="236"/>
        <v>61810100</v>
      </c>
      <c r="H6600" t="s">
        <v>2136</v>
      </c>
      <c r="J6600" s="4">
        <v>10000</v>
      </c>
    </row>
    <row r="6601" spans="1:10" hidden="1" outlineLevel="2" x14ac:dyDescent="0.35">
      <c r="A6601" t="s">
        <v>2018</v>
      </c>
      <c r="B6601" s="1">
        <v>45735</v>
      </c>
      <c r="C6601" t="str">
        <f>"426"</f>
        <v>426</v>
      </c>
      <c r="F6601" t="str">
        <f t="shared" si="236"/>
        <v>61810100</v>
      </c>
      <c r="H6601" t="s">
        <v>2138</v>
      </c>
      <c r="J6601" s="4">
        <v>10000</v>
      </c>
    </row>
    <row r="6602" spans="1:10" hidden="1" outlineLevel="2" x14ac:dyDescent="0.35">
      <c r="A6602" t="s">
        <v>2018</v>
      </c>
      <c r="B6602" s="1">
        <v>45735</v>
      </c>
      <c r="C6602" t="str">
        <f>"430"</f>
        <v>430</v>
      </c>
      <c r="F6602" t="str">
        <f t="shared" si="236"/>
        <v>61810100</v>
      </c>
      <c r="H6602" t="s">
        <v>2142</v>
      </c>
      <c r="J6602" s="4">
        <v>530000</v>
      </c>
    </row>
    <row r="6603" spans="1:10" hidden="1" outlineLevel="2" x14ac:dyDescent="0.35">
      <c r="A6603" t="s">
        <v>2018</v>
      </c>
      <c r="B6603" s="1">
        <v>45735</v>
      </c>
      <c r="C6603" t="str">
        <f>"431"</f>
        <v>431</v>
      </c>
      <c r="F6603" t="str">
        <f t="shared" si="236"/>
        <v>61810100</v>
      </c>
      <c r="H6603" t="s">
        <v>2144</v>
      </c>
      <c r="J6603" s="4">
        <v>15150</v>
      </c>
    </row>
    <row r="6604" spans="1:10" hidden="1" outlineLevel="2" x14ac:dyDescent="0.35">
      <c r="A6604" t="s">
        <v>2018</v>
      </c>
      <c r="B6604" s="1">
        <v>45736</v>
      </c>
      <c r="C6604" t="str">
        <f>"432"</f>
        <v>432</v>
      </c>
      <c r="F6604" t="str">
        <f t="shared" si="236"/>
        <v>61810100</v>
      </c>
      <c r="H6604" t="s">
        <v>2148</v>
      </c>
      <c r="J6604" s="4">
        <v>15150</v>
      </c>
    </row>
    <row r="6605" spans="1:10" hidden="1" outlineLevel="2" x14ac:dyDescent="0.35">
      <c r="A6605" t="s">
        <v>2018</v>
      </c>
      <c r="B6605" s="1">
        <v>45736</v>
      </c>
      <c r="C6605" t="str">
        <f>"433"</f>
        <v>433</v>
      </c>
      <c r="F6605" t="str">
        <f t="shared" si="236"/>
        <v>61810100</v>
      </c>
      <c r="H6605" t="s">
        <v>2149</v>
      </c>
      <c r="J6605" s="4">
        <v>15150</v>
      </c>
    </row>
    <row r="6606" spans="1:10" hidden="1" outlineLevel="2" x14ac:dyDescent="0.35">
      <c r="A6606" t="s">
        <v>2018</v>
      </c>
      <c r="B6606" s="1">
        <v>45736</v>
      </c>
      <c r="C6606" t="str">
        <f>"436"</f>
        <v>436</v>
      </c>
      <c r="F6606" t="str">
        <f t="shared" si="236"/>
        <v>61810100</v>
      </c>
      <c r="H6606" t="s">
        <v>2086</v>
      </c>
      <c r="J6606" s="4">
        <v>15150</v>
      </c>
    </row>
    <row r="6607" spans="1:10" hidden="1" outlineLevel="2" x14ac:dyDescent="0.35">
      <c r="A6607" t="s">
        <v>2018</v>
      </c>
      <c r="B6607" s="1">
        <v>45736</v>
      </c>
      <c r="C6607" t="str">
        <f>"437"</f>
        <v>437</v>
      </c>
      <c r="F6607" t="str">
        <f t="shared" ref="F6607:F6670" si="237">"61810100"</f>
        <v>61810100</v>
      </c>
      <c r="H6607" t="s">
        <v>2153</v>
      </c>
      <c r="J6607" s="4">
        <v>2020</v>
      </c>
    </row>
    <row r="6608" spans="1:10" hidden="1" outlineLevel="2" x14ac:dyDescent="0.35">
      <c r="A6608" t="s">
        <v>2018</v>
      </c>
      <c r="B6608" s="1">
        <v>45737</v>
      </c>
      <c r="C6608" t="str">
        <f>"439"</f>
        <v>439</v>
      </c>
      <c r="F6608" t="str">
        <f t="shared" si="237"/>
        <v>61810100</v>
      </c>
      <c r="H6608" t="s">
        <v>2155</v>
      </c>
      <c r="J6608" s="4">
        <v>10010</v>
      </c>
    </row>
    <row r="6609" spans="1:10" hidden="1" outlineLevel="2" x14ac:dyDescent="0.35">
      <c r="A6609" t="s">
        <v>2018</v>
      </c>
      <c r="B6609" s="1">
        <v>45737</v>
      </c>
      <c r="C6609" t="str">
        <f>"440"</f>
        <v>440</v>
      </c>
      <c r="F6609" t="str">
        <f t="shared" si="237"/>
        <v>61810100</v>
      </c>
      <c r="H6609" t="s">
        <v>2157</v>
      </c>
      <c r="J6609" s="4">
        <v>5000</v>
      </c>
    </row>
    <row r="6610" spans="1:10" hidden="1" outlineLevel="2" x14ac:dyDescent="0.35">
      <c r="A6610" t="s">
        <v>2018</v>
      </c>
      <c r="B6610" s="1">
        <v>45737</v>
      </c>
      <c r="C6610" t="str">
        <f>"441"</f>
        <v>441</v>
      </c>
      <c r="F6610" t="str">
        <f t="shared" si="237"/>
        <v>61810100</v>
      </c>
      <c r="H6610" t="s">
        <v>2160</v>
      </c>
      <c r="J6610" s="4">
        <v>15000</v>
      </c>
    </row>
    <row r="6611" spans="1:10" hidden="1" outlineLevel="2" x14ac:dyDescent="0.35">
      <c r="A6611" t="s">
        <v>2018</v>
      </c>
      <c r="B6611" s="1">
        <v>45737</v>
      </c>
      <c r="C6611" t="str">
        <f>"442"</f>
        <v>442</v>
      </c>
      <c r="F6611" t="str">
        <f t="shared" si="237"/>
        <v>61810100</v>
      </c>
      <c r="H6611" t="s">
        <v>2162</v>
      </c>
      <c r="J6611" s="4">
        <v>15150</v>
      </c>
    </row>
    <row r="6612" spans="1:10" hidden="1" outlineLevel="2" x14ac:dyDescent="0.35">
      <c r="A6612" t="s">
        <v>2018</v>
      </c>
      <c r="B6612" s="1">
        <v>45737</v>
      </c>
      <c r="C6612" t="str">
        <f>"443"</f>
        <v>443</v>
      </c>
      <c r="F6612" t="str">
        <f t="shared" si="237"/>
        <v>61810100</v>
      </c>
      <c r="H6612" t="s">
        <v>2165</v>
      </c>
      <c r="J6612" s="4">
        <v>15150</v>
      </c>
    </row>
    <row r="6613" spans="1:10" hidden="1" outlineLevel="2" x14ac:dyDescent="0.35">
      <c r="A6613" t="s">
        <v>2018</v>
      </c>
      <c r="B6613" s="1">
        <v>45737</v>
      </c>
      <c r="C6613" t="str">
        <f>"444"</f>
        <v>444</v>
      </c>
      <c r="F6613" t="str">
        <f t="shared" si="237"/>
        <v>61810100</v>
      </c>
      <c r="H6613" t="s">
        <v>2067</v>
      </c>
      <c r="J6613" s="4">
        <v>10000</v>
      </c>
    </row>
    <row r="6614" spans="1:10" hidden="1" outlineLevel="2" x14ac:dyDescent="0.35">
      <c r="A6614" t="s">
        <v>2018</v>
      </c>
      <c r="B6614" s="1">
        <v>45738</v>
      </c>
      <c r="C6614" t="str">
        <f>"445"</f>
        <v>445</v>
      </c>
      <c r="F6614" t="str">
        <f t="shared" si="237"/>
        <v>61810100</v>
      </c>
      <c r="H6614" t="s">
        <v>2167</v>
      </c>
      <c r="J6614" s="4">
        <v>10000</v>
      </c>
    </row>
    <row r="6615" spans="1:10" hidden="1" outlineLevel="2" x14ac:dyDescent="0.35">
      <c r="A6615" t="s">
        <v>2018</v>
      </c>
      <c r="B6615" s="1">
        <v>45738</v>
      </c>
      <c r="C6615" t="str">
        <f>"446"</f>
        <v>446</v>
      </c>
      <c r="F6615" t="str">
        <f t="shared" si="237"/>
        <v>61810100</v>
      </c>
      <c r="H6615" t="s">
        <v>2168</v>
      </c>
      <c r="J6615" s="4">
        <v>10000</v>
      </c>
    </row>
    <row r="6616" spans="1:10" hidden="1" outlineLevel="2" x14ac:dyDescent="0.35">
      <c r="A6616" t="s">
        <v>2018</v>
      </c>
      <c r="B6616" s="1">
        <v>45738</v>
      </c>
      <c r="C6616" t="str">
        <f>"447"</f>
        <v>447</v>
      </c>
      <c r="F6616" t="str">
        <f t="shared" si="237"/>
        <v>61810100</v>
      </c>
      <c r="H6616" t="s">
        <v>2169</v>
      </c>
      <c r="J6616" s="4">
        <v>10100</v>
      </c>
    </row>
    <row r="6617" spans="1:10" hidden="1" outlineLevel="2" x14ac:dyDescent="0.35">
      <c r="A6617" t="s">
        <v>2018</v>
      </c>
      <c r="B6617" s="1">
        <v>45738</v>
      </c>
      <c r="C6617" t="str">
        <f>"448"</f>
        <v>448</v>
      </c>
      <c r="F6617" t="str">
        <f t="shared" si="237"/>
        <v>61810100</v>
      </c>
      <c r="H6617" t="s">
        <v>2170</v>
      </c>
      <c r="J6617" s="4">
        <v>10000</v>
      </c>
    </row>
    <row r="6618" spans="1:10" hidden="1" outlineLevel="2" x14ac:dyDescent="0.35">
      <c r="A6618" t="s">
        <v>2018</v>
      </c>
      <c r="B6618" s="1">
        <v>45738</v>
      </c>
      <c r="C6618" t="str">
        <f>"449"</f>
        <v>449</v>
      </c>
      <c r="F6618" t="str">
        <f t="shared" si="237"/>
        <v>61810100</v>
      </c>
      <c r="H6618" t="s">
        <v>2171</v>
      </c>
      <c r="J6618" s="4">
        <v>10000</v>
      </c>
    </row>
    <row r="6619" spans="1:10" hidden="1" outlineLevel="2" x14ac:dyDescent="0.35">
      <c r="A6619" t="s">
        <v>2018</v>
      </c>
      <c r="B6619" s="1">
        <v>45738</v>
      </c>
      <c r="C6619" t="str">
        <f>"450"</f>
        <v>450</v>
      </c>
      <c r="F6619" t="str">
        <f t="shared" si="237"/>
        <v>61810100</v>
      </c>
      <c r="H6619" t="s">
        <v>2155</v>
      </c>
      <c r="J6619" s="4">
        <v>10000</v>
      </c>
    </row>
    <row r="6620" spans="1:10" hidden="1" outlineLevel="2" x14ac:dyDescent="0.35">
      <c r="A6620" t="s">
        <v>2018</v>
      </c>
      <c r="B6620" s="1">
        <v>45738</v>
      </c>
      <c r="C6620" t="str">
        <f>"451"</f>
        <v>451</v>
      </c>
      <c r="F6620" t="str">
        <f t="shared" si="237"/>
        <v>61810100</v>
      </c>
      <c r="H6620" t="s">
        <v>2173</v>
      </c>
      <c r="J6620" s="4">
        <v>10000</v>
      </c>
    </row>
    <row r="6621" spans="1:10" hidden="1" outlineLevel="2" x14ac:dyDescent="0.35">
      <c r="A6621" t="s">
        <v>2018</v>
      </c>
      <c r="B6621" s="1">
        <v>45738</v>
      </c>
      <c r="C6621" t="str">
        <f>"452"</f>
        <v>452</v>
      </c>
      <c r="F6621" t="str">
        <f t="shared" si="237"/>
        <v>61810100</v>
      </c>
      <c r="H6621" t="s">
        <v>2177</v>
      </c>
      <c r="J6621" s="4">
        <v>535300</v>
      </c>
    </row>
    <row r="6622" spans="1:10" hidden="1" outlineLevel="2" x14ac:dyDescent="0.35">
      <c r="A6622" t="s">
        <v>2018</v>
      </c>
      <c r="B6622" s="1">
        <v>45740</v>
      </c>
      <c r="C6622" t="str">
        <f>"456"</f>
        <v>456</v>
      </c>
      <c r="F6622" t="str">
        <f t="shared" si="237"/>
        <v>61810100</v>
      </c>
      <c r="H6622" t="s">
        <v>2067</v>
      </c>
      <c r="J6622" s="4">
        <v>10100</v>
      </c>
    </row>
    <row r="6623" spans="1:10" hidden="1" outlineLevel="2" x14ac:dyDescent="0.35">
      <c r="A6623" t="s">
        <v>2018</v>
      </c>
      <c r="B6623" s="1">
        <v>45740</v>
      </c>
      <c r="C6623" t="str">
        <f>"457"</f>
        <v>457</v>
      </c>
      <c r="F6623" t="str">
        <f t="shared" si="237"/>
        <v>61810100</v>
      </c>
      <c r="H6623" t="s">
        <v>2136</v>
      </c>
      <c r="J6623" s="4">
        <v>10100</v>
      </c>
    </row>
    <row r="6624" spans="1:10" hidden="1" outlineLevel="2" x14ac:dyDescent="0.35">
      <c r="A6624" t="s">
        <v>2018</v>
      </c>
      <c r="B6624" s="1">
        <v>45740</v>
      </c>
      <c r="C6624" t="str">
        <f>"458"</f>
        <v>458</v>
      </c>
      <c r="F6624" t="str">
        <f t="shared" si="237"/>
        <v>61810100</v>
      </c>
      <c r="H6624" t="s">
        <v>2181</v>
      </c>
      <c r="J6624" s="4">
        <v>10100</v>
      </c>
    </row>
    <row r="6625" spans="1:10" hidden="1" outlineLevel="2" x14ac:dyDescent="0.35">
      <c r="A6625" t="s">
        <v>2018</v>
      </c>
      <c r="B6625" s="1">
        <v>45740</v>
      </c>
      <c r="C6625" t="str">
        <f>"459"</f>
        <v>459</v>
      </c>
      <c r="F6625" t="str">
        <f t="shared" si="237"/>
        <v>61810100</v>
      </c>
      <c r="H6625" t="s">
        <v>2185</v>
      </c>
      <c r="J6625" s="4">
        <v>15150</v>
      </c>
    </row>
    <row r="6626" spans="1:10" hidden="1" outlineLevel="2" x14ac:dyDescent="0.35">
      <c r="A6626" t="s">
        <v>2018</v>
      </c>
      <c r="B6626" s="1">
        <v>45740</v>
      </c>
      <c r="C6626" t="str">
        <f>"460"</f>
        <v>460</v>
      </c>
      <c r="F6626" t="str">
        <f t="shared" si="237"/>
        <v>61810100</v>
      </c>
      <c r="H6626" t="s">
        <v>2173</v>
      </c>
      <c r="J6626" s="4">
        <v>10100</v>
      </c>
    </row>
    <row r="6627" spans="1:10" hidden="1" outlineLevel="2" x14ac:dyDescent="0.35">
      <c r="A6627" t="s">
        <v>2018</v>
      </c>
      <c r="B6627" s="1">
        <v>45740</v>
      </c>
      <c r="C6627" t="str">
        <f>"461"</f>
        <v>461</v>
      </c>
      <c r="F6627" t="str">
        <f t="shared" si="237"/>
        <v>61810100</v>
      </c>
      <c r="H6627" t="s">
        <v>2155</v>
      </c>
      <c r="J6627" s="4">
        <v>10100</v>
      </c>
    </row>
    <row r="6628" spans="1:10" hidden="1" outlineLevel="2" x14ac:dyDescent="0.35">
      <c r="A6628" t="s">
        <v>2018</v>
      </c>
      <c r="B6628" s="1">
        <v>45741</v>
      </c>
      <c r="C6628" t="str">
        <f>"462"</f>
        <v>462</v>
      </c>
      <c r="F6628" t="str">
        <f t="shared" si="237"/>
        <v>61810100</v>
      </c>
      <c r="H6628" t="s">
        <v>2189</v>
      </c>
      <c r="J6628" s="4">
        <v>10100</v>
      </c>
    </row>
    <row r="6629" spans="1:10" hidden="1" outlineLevel="2" x14ac:dyDescent="0.35">
      <c r="A6629" t="s">
        <v>2018</v>
      </c>
      <c r="B6629" s="1">
        <v>45741</v>
      </c>
      <c r="C6629" t="str">
        <f>"463"</f>
        <v>463</v>
      </c>
      <c r="F6629" t="str">
        <f t="shared" si="237"/>
        <v>61810100</v>
      </c>
      <c r="H6629" t="s">
        <v>2067</v>
      </c>
      <c r="J6629" s="4">
        <v>10100</v>
      </c>
    </row>
    <row r="6630" spans="1:10" hidden="1" outlineLevel="2" x14ac:dyDescent="0.35">
      <c r="A6630" t="s">
        <v>2018</v>
      </c>
      <c r="B6630" s="1">
        <v>45741</v>
      </c>
      <c r="C6630" t="str">
        <f>"464"</f>
        <v>464</v>
      </c>
      <c r="F6630" t="str">
        <f t="shared" si="237"/>
        <v>61810100</v>
      </c>
      <c r="H6630" t="s">
        <v>2173</v>
      </c>
      <c r="J6630" s="4">
        <v>10100</v>
      </c>
    </row>
    <row r="6631" spans="1:10" hidden="1" outlineLevel="2" x14ac:dyDescent="0.35">
      <c r="A6631" t="s">
        <v>2018</v>
      </c>
      <c r="B6631" s="1">
        <v>45741</v>
      </c>
      <c r="C6631" t="str">
        <f>"465"</f>
        <v>465</v>
      </c>
      <c r="F6631" t="str">
        <f t="shared" si="237"/>
        <v>61810100</v>
      </c>
      <c r="H6631" t="s">
        <v>2194</v>
      </c>
      <c r="J6631" s="4">
        <v>10100</v>
      </c>
    </row>
    <row r="6632" spans="1:10" hidden="1" outlineLevel="2" x14ac:dyDescent="0.35">
      <c r="A6632" t="s">
        <v>2018</v>
      </c>
      <c r="B6632" s="1">
        <v>45741</v>
      </c>
      <c r="C6632" t="str">
        <f>"466"</f>
        <v>466</v>
      </c>
      <c r="F6632" t="str">
        <f t="shared" si="237"/>
        <v>61810100</v>
      </c>
      <c r="H6632" t="s">
        <v>2197</v>
      </c>
      <c r="J6632" s="4">
        <v>10000</v>
      </c>
    </row>
    <row r="6633" spans="1:10" hidden="1" outlineLevel="2" x14ac:dyDescent="0.35">
      <c r="A6633" t="s">
        <v>2018</v>
      </c>
      <c r="B6633" s="1">
        <v>45741</v>
      </c>
      <c r="C6633" t="str">
        <f>"467"</f>
        <v>467</v>
      </c>
      <c r="F6633" t="str">
        <f t="shared" si="237"/>
        <v>61810100</v>
      </c>
      <c r="H6633" t="s">
        <v>2181</v>
      </c>
      <c r="J6633" s="4">
        <v>10100</v>
      </c>
    </row>
    <row r="6634" spans="1:10" hidden="1" outlineLevel="2" x14ac:dyDescent="0.35">
      <c r="A6634" t="s">
        <v>2018</v>
      </c>
      <c r="B6634" s="1">
        <v>45742</v>
      </c>
      <c r="C6634" t="str">
        <f>"471"</f>
        <v>471</v>
      </c>
      <c r="F6634" t="str">
        <f t="shared" si="237"/>
        <v>61810100</v>
      </c>
      <c r="H6634" t="s">
        <v>2203</v>
      </c>
      <c r="J6634" s="4">
        <v>530000</v>
      </c>
    </row>
    <row r="6635" spans="1:10" hidden="1" outlineLevel="2" x14ac:dyDescent="0.35">
      <c r="A6635" t="s">
        <v>2018</v>
      </c>
      <c r="B6635" s="1">
        <v>45742</v>
      </c>
      <c r="C6635" t="str">
        <f>"472"</f>
        <v>472</v>
      </c>
      <c r="F6635" t="str">
        <f t="shared" si="237"/>
        <v>61810100</v>
      </c>
      <c r="H6635" t="s">
        <v>2067</v>
      </c>
      <c r="J6635" s="4">
        <v>10100</v>
      </c>
    </row>
    <row r="6636" spans="1:10" hidden="1" outlineLevel="2" x14ac:dyDescent="0.35">
      <c r="A6636" t="s">
        <v>2018</v>
      </c>
      <c r="B6636" s="1">
        <v>45742</v>
      </c>
      <c r="C6636" t="str">
        <f>"473"</f>
        <v>473</v>
      </c>
      <c r="F6636" t="str">
        <f t="shared" si="237"/>
        <v>61810100</v>
      </c>
      <c r="H6636" t="s">
        <v>2136</v>
      </c>
      <c r="J6636" s="4">
        <v>10100</v>
      </c>
    </row>
    <row r="6637" spans="1:10" hidden="1" outlineLevel="2" x14ac:dyDescent="0.35">
      <c r="A6637" t="s">
        <v>2018</v>
      </c>
      <c r="B6637" s="1">
        <v>45742</v>
      </c>
      <c r="C6637" t="str">
        <f>"474"</f>
        <v>474</v>
      </c>
      <c r="F6637" t="str">
        <f t="shared" si="237"/>
        <v>61810100</v>
      </c>
      <c r="H6637" t="s">
        <v>2189</v>
      </c>
      <c r="J6637" s="4">
        <v>10100</v>
      </c>
    </row>
    <row r="6638" spans="1:10" hidden="1" outlineLevel="2" x14ac:dyDescent="0.35">
      <c r="A6638" t="s">
        <v>2018</v>
      </c>
      <c r="B6638" s="1">
        <v>45743</v>
      </c>
      <c r="C6638" t="str">
        <f>"480"</f>
        <v>480</v>
      </c>
      <c r="F6638" t="str">
        <f t="shared" si="237"/>
        <v>61810100</v>
      </c>
      <c r="H6638" t="s">
        <v>2211</v>
      </c>
      <c r="J6638" s="4">
        <v>10000</v>
      </c>
    </row>
    <row r="6639" spans="1:10" hidden="1" outlineLevel="2" x14ac:dyDescent="0.35">
      <c r="A6639" t="s">
        <v>2018</v>
      </c>
      <c r="B6639" s="1">
        <v>45744</v>
      </c>
      <c r="C6639" t="str">
        <f>"481"</f>
        <v>481</v>
      </c>
      <c r="F6639" t="str">
        <f t="shared" si="237"/>
        <v>61810100</v>
      </c>
      <c r="H6639" t="s">
        <v>2212</v>
      </c>
      <c r="J6639" s="4">
        <v>10100</v>
      </c>
    </row>
    <row r="6640" spans="1:10" hidden="1" outlineLevel="2" x14ac:dyDescent="0.35">
      <c r="A6640" t="s">
        <v>2018</v>
      </c>
      <c r="B6640" s="1">
        <v>45744</v>
      </c>
      <c r="C6640" t="str">
        <f>"482"</f>
        <v>482</v>
      </c>
      <c r="F6640" t="str">
        <f t="shared" si="237"/>
        <v>61810100</v>
      </c>
      <c r="H6640" t="s">
        <v>2213</v>
      </c>
      <c r="J6640" s="4">
        <v>40000</v>
      </c>
    </row>
    <row r="6641" spans="1:10" hidden="1" outlineLevel="2" x14ac:dyDescent="0.35">
      <c r="A6641" t="s">
        <v>2018</v>
      </c>
      <c r="B6641" s="1">
        <v>45745</v>
      </c>
      <c r="C6641" t="str">
        <f>"484"</f>
        <v>484</v>
      </c>
      <c r="F6641" t="str">
        <f t="shared" si="237"/>
        <v>61810100</v>
      </c>
      <c r="H6641" t="s">
        <v>2214</v>
      </c>
      <c r="J6641" s="4">
        <v>280000</v>
      </c>
    </row>
    <row r="6642" spans="1:10" hidden="1" outlineLevel="2" x14ac:dyDescent="0.35">
      <c r="A6642" t="s">
        <v>2018</v>
      </c>
      <c r="B6642" s="1">
        <v>45745</v>
      </c>
      <c r="C6642" t="str">
        <f>"486"</f>
        <v>486</v>
      </c>
      <c r="F6642" t="str">
        <f t="shared" si="237"/>
        <v>61810100</v>
      </c>
      <c r="H6642" t="s">
        <v>2217</v>
      </c>
      <c r="J6642" s="4">
        <v>535300</v>
      </c>
    </row>
    <row r="6643" spans="1:10" hidden="1" outlineLevel="2" x14ac:dyDescent="0.35">
      <c r="A6643" t="s">
        <v>2219</v>
      </c>
      <c r="B6643" s="1">
        <v>45717</v>
      </c>
      <c r="C6643" t="str">
        <f>"401"</f>
        <v>401</v>
      </c>
      <c r="F6643" t="str">
        <f t="shared" si="237"/>
        <v>61810100</v>
      </c>
      <c r="H6643" t="s">
        <v>2220</v>
      </c>
      <c r="J6643" s="4">
        <v>5000</v>
      </c>
    </row>
    <row r="6644" spans="1:10" hidden="1" outlineLevel="2" x14ac:dyDescent="0.35">
      <c r="A6644" t="s">
        <v>2219</v>
      </c>
      <c r="B6644" s="1">
        <v>45719</v>
      </c>
      <c r="C6644" t="str">
        <f>"409"</f>
        <v>409</v>
      </c>
      <c r="F6644" t="str">
        <f t="shared" si="237"/>
        <v>61810100</v>
      </c>
      <c r="H6644" t="s">
        <v>2228</v>
      </c>
      <c r="J6644" s="4">
        <v>5000</v>
      </c>
    </row>
    <row r="6645" spans="1:10" hidden="1" outlineLevel="2" x14ac:dyDescent="0.35">
      <c r="A6645" t="s">
        <v>2219</v>
      </c>
      <c r="B6645" s="1">
        <v>45719</v>
      </c>
      <c r="C6645" t="str">
        <f>"410"</f>
        <v>410</v>
      </c>
      <c r="F6645" t="str">
        <f t="shared" si="237"/>
        <v>61810100</v>
      </c>
      <c r="H6645" t="s">
        <v>2229</v>
      </c>
      <c r="J6645" s="4">
        <v>10000</v>
      </c>
    </row>
    <row r="6646" spans="1:10" hidden="1" outlineLevel="2" x14ac:dyDescent="0.35">
      <c r="A6646" t="s">
        <v>2219</v>
      </c>
      <c r="B6646" s="1">
        <v>45720</v>
      </c>
      <c r="C6646" t="str">
        <f>"419"</f>
        <v>419</v>
      </c>
      <c r="F6646" t="str">
        <f t="shared" si="237"/>
        <v>61810100</v>
      </c>
      <c r="H6646" t="s">
        <v>2235</v>
      </c>
      <c r="J6646" s="4">
        <v>10000</v>
      </c>
    </row>
    <row r="6647" spans="1:10" hidden="1" outlineLevel="2" x14ac:dyDescent="0.35">
      <c r="A6647" t="s">
        <v>2219</v>
      </c>
      <c r="B6647" s="1">
        <v>45720</v>
      </c>
      <c r="C6647" t="str">
        <f>"420"</f>
        <v>420</v>
      </c>
      <c r="F6647" t="str">
        <f t="shared" si="237"/>
        <v>61810100</v>
      </c>
      <c r="H6647" t="s">
        <v>2236</v>
      </c>
      <c r="J6647" s="4">
        <v>5000</v>
      </c>
    </row>
    <row r="6648" spans="1:10" hidden="1" outlineLevel="2" x14ac:dyDescent="0.35">
      <c r="A6648" t="s">
        <v>2219</v>
      </c>
      <c r="B6648" s="1">
        <v>45720</v>
      </c>
      <c r="C6648" t="str">
        <f>"421"</f>
        <v>421</v>
      </c>
      <c r="F6648" t="str">
        <f t="shared" si="237"/>
        <v>61810100</v>
      </c>
      <c r="H6648" t="s">
        <v>2237</v>
      </c>
      <c r="J6648" s="4">
        <v>15000</v>
      </c>
    </row>
    <row r="6649" spans="1:10" hidden="1" outlineLevel="2" x14ac:dyDescent="0.35">
      <c r="A6649" t="s">
        <v>2219</v>
      </c>
      <c r="B6649" s="1">
        <v>45721</v>
      </c>
      <c r="C6649" t="str">
        <f>"425"</f>
        <v>425</v>
      </c>
      <c r="F6649" t="str">
        <f t="shared" si="237"/>
        <v>61810100</v>
      </c>
      <c r="H6649" t="s">
        <v>2240</v>
      </c>
      <c r="J6649" s="4">
        <v>10000</v>
      </c>
    </row>
    <row r="6650" spans="1:10" hidden="1" outlineLevel="2" x14ac:dyDescent="0.35">
      <c r="A6650" t="s">
        <v>2219</v>
      </c>
      <c r="B6650" s="1">
        <v>45721</v>
      </c>
      <c r="C6650" t="str">
        <f>"426"</f>
        <v>426</v>
      </c>
      <c r="F6650" t="str">
        <f t="shared" si="237"/>
        <v>61810100</v>
      </c>
      <c r="H6650" t="s">
        <v>2241</v>
      </c>
      <c r="J6650" s="4">
        <v>10000</v>
      </c>
    </row>
    <row r="6651" spans="1:10" hidden="1" outlineLevel="2" x14ac:dyDescent="0.35">
      <c r="A6651" t="s">
        <v>2219</v>
      </c>
      <c r="B6651" s="1">
        <v>45721</v>
      </c>
      <c r="C6651" t="str">
        <f>"427"</f>
        <v>427</v>
      </c>
      <c r="F6651" t="str">
        <f t="shared" si="237"/>
        <v>61810100</v>
      </c>
      <c r="H6651" t="s">
        <v>2242</v>
      </c>
      <c r="J6651" s="4">
        <v>5000</v>
      </c>
    </row>
    <row r="6652" spans="1:10" hidden="1" outlineLevel="2" x14ac:dyDescent="0.35">
      <c r="A6652" t="s">
        <v>2219</v>
      </c>
      <c r="B6652" s="1">
        <v>45721</v>
      </c>
      <c r="C6652" t="str">
        <f>"428"</f>
        <v>428</v>
      </c>
      <c r="F6652" t="str">
        <f t="shared" si="237"/>
        <v>61810100</v>
      </c>
      <c r="H6652" t="s">
        <v>2243</v>
      </c>
      <c r="J6652" s="4">
        <v>10000</v>
      </c>
    </row>
    <row r="6653" spans="1:10" hidden="1" outlineLevel="2" x14ac:dyDescent="0.35">
      <c r="A6653" t="s">
        <v>2219</v>
      </c>
      <c r="B6653" s="1">
        <v>45721</v>
      </c>
      <c r="C6653" t="str">
        <f>"429"</f>
        <v>429</v>
      </c>
      <c r="F6653" t="str">
        <f t="shared" si="237"/>
        <v>61810100</v>
      </c>
      <c r="H6653" t="s">
        <v>2244</v>
      </c>
      <c r="J6653" s="4">
        <v>5000</v>
      </c>
    </row>
    <row r="6654" spans="1:10" hidden="1" outlineLevel="2" x14ac:dyDescent="0.35">
      <c r="A6654" t="s">
        <v>2219</v>
      </c>
      <c r="B6654" s="1">
        <v>45722</v>
      </c>
      <c r="C6654" t="str">
        <f>"432"</f>
        <v>432</v>
      </c>
      <c r="F6654" t="str">
        <f t="shared" si="237"/>
        <v>61810100</v>
      </c>
      <c r="H6654" t="s">
        <v>2228</v>
      </c>
      <c r="J6654" s="4">
        <v>5000</v>
      </c>
    </row>
    <row r="6655" spans="1:10" hidden="1" outlineLevel="2" x14ac:dyDescent="0.35">
      <c r="A6655" t="s">
        <v>2219</v>
      </c>
      <c r="B6655" s="1">
        <v>45722</v>
      </c>
      <c r="C6655" t="str">
        <f>"433"</f>
        <v>433</v>
      </c>
      <c r="F6655" t="str">
        <f t="shared" si="237"/>
        <v>61810100</v>
      </c>
      <c r="H6655" t="s">
        <v>2246</v>
      </c>
      <c r="J6655" s="4">
        <v>5000</v>
      </c>
    </row>
    <row r="6656" spans="1:10" hidden="1" outlineLevel="2" x14ac:dyDescent="0.35">
      <c r="A6656" t="s">
        <v>2219</v>
      </c>
      <c r="B6656" s="1">
        <v>45722</v>
      </c>
      <c r="C6656" t="str">
        <f>"434"</f>
        <v>434</v>
      </c>
      <c r="F6656" t="str">
        <f t="shared" si="237"/>
        <v>61810100</v>
      </c>
      <c r="H6656" t="s">
        <v>2247</v>
      </c>
      <c r="J6656" s="4">
        <v>10000</v>
      </c>
    </row>
    <row r="6657" spans="1:10" hidden="1" outlineLevel="2" x14ac:dyDescent="0.35">
      <c r="A6657" t="s">
        <v>2219</v>
      </c>
      <c r="B6657" s="1">
        <v>45722</v>
      </c>
      <c r="C6657" t="str">
        <f>"435"</f>
        <v>435</v>
      </c>
      <c r="F6657" t="str">
        <f t="shared" si="237"/>
        <v>61810100</v>
      </c>
      <c r="H6657" t="s">
        <v>2248</v>
      </c>
      <c r="J6657" s="4">
        <v>10000</v>
      </c>
    </row>
    <row r="6658" spans="1:10" hidden="1" outlineLevel="2" x14ac:dyDescent="0.35">
      <c r="A6658" t="s">
        <v>2219</v>
      </c>
      <c r="B6658" s="1">
        <v>45722</v>
      </c>
      <c r="C6658" t="str">
        <f>"436"</f>
        <v>436</v>
      </c>
      <c r="F6658" t="str">
        <f t="shared" si="237"/>
        <v>61810100</v>
      </c>
      <c r="H6658" t="s">
        <v>2249</v>
      </c>
      <c r="J6658" s="4">
        <v>5000</v>
      </c>
    </row>
    <row r="6659" spans="1:10" hidden="1" outlineLevel="2" x14ac:dyDescent="0.35">
      <c r="A6659" t="s">
        <v>2219</v>
      </c>
      <c r="B6659" s="1">
        <v>45723</v>
      </c>
      <c r="C6659" t="str">
        <f>"441"</f>
        <v>441</v>
      </c>
      <c r="F6659" t="str">
        <f t="shared" si="237"/>
        <v>61810100</v>
      </c>
      <c r="H6659" t="s">
        <v>2253</v>
      </c>
      <c r="J6659" s="4">
        <v>5000</v>
      </c>
    </row>
    <row r="6660" spans="1:10" hidden="1" outlineLevel="2" x14ac:dyDescent="0.35">
      <c r="A6660" t="s">
        <v>2219</v>
      </c>
      <c r="B6660" s="1">
        <v>45723</v>
      </c>
      <c r="C6660" t="str">
        <f>"442"</f>
        <v>442</v>
      </c>
      <c r="F6660" t="str">
        <f t="shared" si="237"/>
        <v>61810100</v>
      </c>
      <c r="H6660" t="s">
        <v>2254</v>
      </c>
      <c r="J6660" s="4">
        <v>15000</v>
      </c>
    </row>
    <row r="6661" spans="1:10" hidden="1" outlineLevel="2" x14ac:dyDescent="0.35">
      <c r="A6661" t="s">
        <v>2219</v>
      </c>
      <c r="B6661" s="1">
        <v>45723</v>
      </c>
      <c r="C6661" t="str">
        <f>"443"</f>
        <v>443</v>
      </c>
      <c r="F6661" t="str">
        <f t="shared" si="237"/>
        <v>61810100</v>
      </c>
      <c r="H6661" t="s">
        <v>2255</v>
      </c>
      <c r="J6661" s="4">
        <v>15000</v>
      </c>
    </row>
    <row r="6662" spans="1:10" hidden="1" outlineLevel="2" x14ac:dyDescent="0.35">
      <c r="A6662" t="s">
        <v>2219</v>
      </c>
      <c r="B6662" s="1">
        <v>45724</v>
      </c>
      <c r="C6662" t="str">
        <f>"445"</f>
        <v>445</v>
      </c>
      <c r="F6662" t="str">
        <f t="shared" si="237"/>
        <v>61810100</v>
      </c>
      <c r="H6662" t="s">
        <v>2256</v>
      </c>
      <c r="J6662" s="4">
        <v>5000</v>
      </c>
    </row>
    <row r="6663" spans="1:10" hidden="1" outlineLevel="2" x14ac:dyDescent="0.35">
      <c r="A6663" t="s">
        <v>2219</v>
      </c>
      <c r="B6663" s="1">
        <v>45724</v>
      </c>
      <c r="C6663" t="str">
        <f>"446"</f>
        <v>446</v>
      </c>
      <c r="F6663" t="str">
        <f t="shared" si="237"/>
        <v>61810100</v>
      </c>
      <c r="H6663" t="s">
        <v>2257</v>
      </c>
      <c r="J6663" s="4">
        <v>10000</v>
      </c>
    </row>
    <row r="6664" spans="1:10" hidden="1" outlineLevel="2" x14ac:dyDescent="0.35">
      <c r="A6664" t="s">
        <v>2219</v>
      </c>
      <c r="B6664" s="1">
        <v>45726</v>
      </c>
      <c r="C6664" t="str">
        <f>"450"</f>
        <v>450</v>
      </c>
      <c r="F6664" t="str">
        <f t="shared" si="237"/>
        <v>61810100</v>
      </c>
      <c r="H6664" t="s">
        <v>2228</v>
      </c>
      <c r="J6664" s="4">
        <v>5000</v>
      </c>
    </row>
    <row r="6665" spans="1:10" hidden="1" outlineLevel="2" x14ac:dyDescent="0.35">
      <c r="A6665" t="s">
        <v>2219</v>
      </c>
      <c r="B6665" s="1">
        <v>45726</v>
      </c>
      <c r="C6665" t="str">
        <f>"451"</f>
        <v>451</v>
      </c>
      <c r="F6665" t="str">
        <f t="shared" si="237"/>
        <v>61810100</v>
      </c>
      <c r="H6665" t="s">
        <v>2260</v>
      </c>
      <c r="J6665" s="4">
        <v>15000</v>
      </c>
    </row>
    <row r="6666" spans="1:10" hidden="1" outlineLevel="2" x14ac:dyDescent="0.35">
      <c r="A6666" t="s">
        <v>2219</v>
      </c>
      <c r="B6666" s="1">
        <v>45726</v>
      </c>
      <c r="C6666" t="str">
        <f>"452"</f>
        <v>452</v>
      </c>
      <c r="F6666" t="str">
        <f t="shared" si="237"/>
        <v>61810100</v>
      </c>
      <c r="H6666" t="s">
        <v>2261</v>
      </c>
      <c r="J6666" s="4">
        <v>10000</v>
      </c>
    </row>
    <row r="6667" spans="1:10" hidden="1" outlineLevel="2" x14ac:dyDescent="0.35">
      <c r="A6667" t="s">
        <v>2219</v>
      </c>
      <c r="B6667" s="1">
        <v>45727</v>
      </c>
      <c r="C6667" t="str">
        <f>"457"</f>
        <v>457</v>
      </c>
      <c r="F6667" t="str">
        <f t="shared" si="237"/>
        <v>61810100</v>
      </c>
      <c r="H6667" t="s">
        <v>2265</v>
      </c>
      <c r="J6667" s="4">
        <v>5000</v>
      </c>
    </row>
    <row r="6668" spans="1:10" hidden="1" outlineLevel="2" x14ac:dyDescent="0.35">
      <c r="A6668" t="s">
        <v>2219</v>
      </c>
      <c r="B6668" s="1">
        <v>45727</v>
      </c>
      <c r="C6668" t="str">
        <f>"458"</f>
        <v>458</v>
      </c>
      <c r="F6668" t="str">
        <f t="shared" si="237"/>
        <v>61810100</v>
      </c>
      <c r="H6668" t="s">
        <v>2266</v>
      </c>
      <c r="J6668" s="4">
        <v>10000</v>
      </c>
    </row>
    <row r="6669" spans="1:10" hidden="1" outlineLevel="2" x14ac:dyDescent="0.35">
      <c r="A6669" t="s">
        <v>2219</v>
      </c>
      <c r="B6669" s="1">
        <v>45727</v>
      </c>
      <c r="C6669" t="str">
        <f>"459"</f>
        <v>459</v>
      </c>
      <c r="F6669" t="str">
        <f t="shared" si="237"/>
        <v>61810100</v>
      </c>
      <c r="H6669" t="s">
        <v>2267</v>
      </c>
      <c r="J6669" s="4">
        <v>10000</v>
      </c>
    </row>
    <row r="6670" spans="1:10" hidden="1" outlineLevel="2" x14ac:dyDescent="0.35">
      <c r="A6670" t="s">
        <v>2219</v>
      </c>
      <c r="B6670" s="1">
        <v>45727</v>
      </c>
      <c r="C6670" t="str">
        <f>"460"</f>
        <v>460</v>
      </c>
      <c r="F6670" t="str">
        <f t="shared" si="237"/>
        <v>61810100</v>
      </c>
      <c r="H6670" t="s">
        <v>2268</v>
      </c>
      <c r="J6670" s="4">
        <v>5000</v>
      </c>
    </row>
    <row r="6671" spans="1:10" hidden="1" outlineLevel="2" x14ac:dyDescent="0.35">
      <c r="A6671" t="s">
        <v>2219</v>
      </c>
      <c r="B6671" s="1">
        <v>45728</v>
      </c>
      <c r="C6671" t="str">
        <f>"463"</f>
        <v>463</v>
      </c>
      <c r="F6671" t="str">
        <f t="shared" ref="F6671:F6734" si="238">"61810100"</f>
        <v>61810100</v>
      </c>
      <c r="H6671" t="s">
        <v>2270</v>
      </c>
      <c r="J6671" s="4">
        <v>10000</v>
      </c>
    </row>
    <row r="6672" spans="1:10" hidden="1" outlineLevel="2" x14ac:dyDescent="0.35">
      <c r="A6672" t="s">
        <v>2219</v>
      </c>
      <c r="B6672" s="1">
        <v>45728</v>
      </c>
      <c r="C6672" t="str">
        <f>"464"</f>
        <v>464</v>
      </c>
      <c r="F6672" t="str">
        <f t="shared" si="238"/>
        <v>61810100</v>
      </c>
      <c r="H6672" t="s">
        <v>2271</v>
      </c>
      <c r="J6672" s="4">
        <v>5000</v>
      </c>
    </row>
    <row r="6673" spans="1:10" hidden="1" outlineLevel="2" x14ac:dyDescent="0.35">
      <c r="A6673" t="s">
        <v>2219</v>
      </c>
      <c r="B6673" s="1">
        <v>45728</v>
      </c>
      <c r="C6673" t="str">
        <f>"465"</f>
        <v>465</v>
      </c>
      <c r="F6673" t="str">
        <f t="shared" si="238"/>
        <v>61810100</v>
      </c>
      <c r="H6673" t="s">
        <v>2272</v>
      </c>
      <c r="J6673" s="4">
        <v>5000</v>
      </c>
    </row>
    <row r="6674" spans="1:10" hidden="1" outlineLevel="2" x14ac:dyDescent="0.35">
      <c r="A6674" t="s">
        <v>2219</v>
      </c>
      <c r="B6674" s="1">
        <v>45729</v>
      </c>
      <c r="C6674" t="str">
        <f>"471"</f>
        <v>471</v>
      </c>
      <c r="F6674" t="str">
        <f t="shared" si="238"/>
        <v>61810100</v>
      </c>
      <c r="H6674" t="s">
        <v>2277</v>
      </c>
      <c r="J6674" s="4">
        <v>15000</v>
      </c>
    </row>
    <row r="6675" spans="1:10" hidden="1" outlineLevel="2" x14ac:dyDescent="0.35">
      <c r="A6675" t="s">
        <v>2219</v>
      </c>
      <c r="B6675" s="1">
        <v>45729</v>
      </c>
      <c r="C6675" t="str">
        <f>"472"</f>
        <v>472</v>
      </c>
      <c r="F6675" t="str">
        <f t="shared" si="238"/>
        <v>61810100</v>
      </c>
      <c r="H6675" t="s">
        <v>2278</v>
      </c>
      <c r="J6675" s="4">
        <v>5000</v>
      </c>
    </row>
    <row r="6676" spans="1:10" hidden="1" outlineLevel="2" x14ac:dyDescent="0.35">
      <c r="A6676" t="s">
        <v>2219</v>
      </c>
      <c r="B6676" s="1">
        <v>45729</v>
      </c>
      <c r="C6676" t="str">
        <f>"473"</f>
        <v>473</v>
      </c>
      <c r="F6676" t="str">
        <f t="shared" si="238"/>
        <v>61810100</v>
      </c>
      <c r="H6676" t="s">
        <v>2279</v>
      </c>
      <c r="J6676" s="4">
        <v>15000</v>
      </c>
    </row>
    <row r="6677" spans="1:10" hidden="1" outlineLevel="2" x14ac:dyDescent="0.35">
      <c r="A6677" t="s">
        <v>2219</v>
      </c>
      <c r="B6677" s="1">
        <v>45730</v>
      </c>
      <c r="C6677" t="str">
        <f>"475"</f>
        <v>475</v>
      </c>
      <c r="F6677" t="str">
        <f t="shared" si="238"/>
        <v>61810100</v>
      </c>
      <c r="H6677" t="s">
        <v>2253</v>
      </c>
      <c r="J6677" s="4">
        <v>5000</v>
      </c>
    </row>
    <row r="6678" spans="1:10" hidden="1" outlineLevel="2" x14ac:dyDescent="0.35">
      <c r="A6678" t="s">
        <v>2219</v>
      </c>
      <c r="B6678" s="1">
        <v>45730</v>
      </c>
      <c r="C6678" t="str">
        <f>"476"</f>
        <v>476</v>
      </c>
      <c r="F6678" t="str">
        <f t="shared" si="238"/>
        <v>61810100</v>
      </c>
      <c r="H6678" t="s">
        <v>2280</v>
      </c>
      <c r="J6678" s="4">
        <v>15000</v>
      </c>
    </row>
    <row r="6679" spans="1:10" hidden="1" outlineLevel="2" x14ac:dyDescent="0.35">
      <c r="A6679" t="s">
        <v>2219</v>
      </c>
      <c r="B6679" s="1">
        <v>45730</v>
      </c>
      <c r="C6679" t="str">
        <f>"477"</f>
        <v>477</v>
      </c>
      <c r="F6679" t="str">
        <f t="shared" si="238"/>
        <v>61810100</v>
      </c>
      <c r="H6679" t="s">
        <v>2281</v>
      </c>
      <c r="J6679" s="4">
        <v>5000</v>
      </c>
    </row>
    <row r="6680" spans="1:10" hidden="1" outlineLevel="2" x14ac:dyDescent="0.35">
      <c r="A6680" t="s">
        <v>2219</v>
      </c>
      <c r="B6680" s="1">
        <v>45733</v>
      </c>
      <c r="C6680" t="str">
        <f>"480"</f>
        <v>480</v>
      </c>
      <c r="F6680" t="str">
        <f t="shared" si="238"/>
        <v>61810100</v>
      </c>
      <c r="H6680" t="s">
        <v>2283</v>
      </c>
      <c r="J6680" s="4">
        <v>5000</v>
      </c>
    </row>
    <row r="6681" spans="1:10" hidden="1" outlineLevel="2" x14ac:dyDescent="0.35">
      <c r="A6681" t="s">
        <v>2219</v>
      </c>
      <c r="B6681" s="1">
        <v>45733</v>
      </c>
      <c r="C6681" t="str">
        <f>"481"</f>
        <v>481</v>
      </c>
      <c r="F6681" t="str">
        <f t="shared" si="238"/>
        <v>61810100</v>
      </c>
      <c r="H6681" t="s">
        <v>2284</v>
      </c>
      <c r="J6681" s="4">
        <v>15000</v>
      </c>
    </row>
    <row r="6682" spans="1:10" hidden="1" outlineLevel="2" x14ac:dyDescent="0.35">
      <c r="A6682" t="s">
        <v>2219</v>
      </c>
      <c r="B6682" s="1">
        <v>45733</v>
      </c>
      <c r="C6682" t="str">
        <f>"482"</f>
        <v>482</v>
      </c>
      <c r="F6682" t="str">
        <f t="shared" si="238"/>
        <v>61810100</v>
      </c>
      <c r="H6682" t="s">
        <v>2285</v>
      </c>
      <c r="J6682" s="4">
        <v>10000</v>
      </c>
    </row>
    <row r="6683" spans="1:10" hidden="1" outlineLevel="2" x14ac:dyDescent="0.35">
      <c r="A6683" t="s">
        <v>2219</v>
      </c>
      <c r="B6683" s="1">
        <v>45734</v>
      </c>
      <c r="C6683" t="str">
        <f>"484"</f>
        <v>484</v>
      </c>
      <c r="F6683" t="str">
        <f t="shared" si="238"/>
        <v>61810100</v>
      </c>
      <c r="H6683" t="s">
        <v>2286</v>
      </c>
      <c r="J6683" s="4">
        <v>5000</v>
      </c>
    </row>
    <row r="6684" spans="1:10" hidden="1" outlineLevel="2" x14ac:dyDescent="0.35">
      <c r="A6684" t="s">
        <v>2219</v>
      </c>
      <c r="B6684" s="1">
        <v>45734</v>
      </c>
      <c r="C6684" t="str">
        <f>"485"</f>
        <v>485</v>
      </c>
      <c r="F6684" t="str">
        <f t="shared" si="238"/>
        <v>61810100</v>
      </c>
      <c r="H6684" t="s">
        <v>2287</v>
      </c>
      <c r="J6684" s="4">
        <v>10000</v>
      </c>
    </row>
    <row r="6685" spans="1:10" hidden="1" outlineLevel="2" x14ac:dyDescent="0.35">
      <c r="A6685" t="s">
        <v>2219</v>
      </c>
      <c r="B6685" s="1">
        <v>45734</v>
      </c>
      <c r="C6685" t="str">
        <f>"486"</f>
        <v>486</v>
      </c>
      <c r="F6685" t="str">
        <f t="shared" si="238"/>
        <v>61810100</v>
      </c>
      <c r="H6685" t="s">
        <v>2288</v>
      </c>
      <c r="J6685" s="4">
        <v>10000</v>
      </c>
    </row>
    <row r="6686" spans="1:10" hidden="1" outlineLevel="2" x14ac:dyDescent="0.35">
      <c r="A6686" t="s">
        <v>2219</v>
      </c>
      <c r="B6686" s="1">
        <v>45734</v>
      </c>
      <c r="C6686" t="str">
        <f>"487"</f>
        <v>487</v>
      </c>
      <c r="F6686" t="str">
        <f t="shared" si="238"/>
        <v>61810100</v>
      </c>
      <c r="H6686" t="s">
        <v>2289</v>
      </c>
      <c r="J6686" s="4">
        <v>5000</v>
      </c>
    </row>
    <row r="6687" spans="1:10" hidden="1" outlineLevel="2" x14ac:dyDescent="0.35">
      <c r="A6687" t="s">
        <v>2219</v>
      </c>
      <c r="B6687" s="1">
        <v>45735</v>
      </c>
      <c r="C6687" t="str">
        <f>"490"</f>
        <v>490</v>
      </c>
      <c r="F6687" t="str">
        <f t="shared" si="238"/>
        <v>61810100</v>
      </c>
      <c r="H6687" t="s">
        <v>2290</v>
      </c>
      <c r="J6687" s="4">
        <v>5000</v>
      </c>
    </row>
    <row r="6688" spans="1:10" hidden="1" outlineLevel="2" x14ac:dyDescent="0.35">
      <c r="A6688" t="s">
        <v>2219</v>
      </c>
      <c r="B6688" s="1">
        <v>45735</v>
      </c>
      <c r="C6688" t="str">
        <f>"491"</f>
        <v>491</v>
      </c>
      <c r="F6688" t="str">
        <f t="shared" si="238"/>
        <v>61810100</v>
      </c>
      <c r="H6688" t="s">
        <v>2291</v>
      </c>
      <c r="J6688" s="4">
        <v>10000</v>
      </c>
    </row>
    <row r="6689" spans="1:10" hidden="1" outlineLevel="2" x14ac:dyDescent="0.35">
      <c r="A6689" t="s">
        <v>2219</v>
      </c>
      <c r="B6689" s="1">
        <v>45736</v>
      </c>
      <c r="C6689" t="str">
        <f>"493"</f>
        <v>493</v>
      </c>
      <c r="F6689" t="str">
        <f t="shared" si="238"/>
        <v>61810100</v>
      </c>
      <c r="H6689" t="s">
        <v>2292</v>
      </c>
      <c r="J6689" s="4">
        <v>15000</v>
      </c>
    </row>
    <row r="6690" spans="1:10" hidden="1" outlineLevel="2" x14ac:dyDescent="0.35">
      <c r="A6690" t="s">
        <v>2219</v>
      </c>
      <c r="B6690" s="1">
        <v>45736</v>
      </c>
      <c r="C6690" t="str">
        <f>"494"</f>
        <v>494</v>
      </c>
      <c r="F6690" t="str">
        <f t="shared" si="238"/>
        <v>61810100</v>
      </c>
      <c r="H6690" t="s">
        <v>2293</v>
      </c>
      <c r="J6690" s="4">
        <v>15000</v>
      </c>
    </row>
    <row r="6691" spans="1:10" hidden="1" outlineLevel="2" x14ac:dyDescent="0.35">
      <c r="A6691" t="s">
        <v>2219</v>
      </c>
      <c r="B6691" s="1">
        <v>45736</v>
      </c>
      <c r="C6691" t="str">
        <f>"495"</f>
        <v>495</v>
      </c>
      <c r="F6691" t="str">
        <f t="shared" si="238"/>
        <v>61810100</v>
      </c>
      <c r="H6691" t="s">
        <v>2294</v>
      </c>
      <c r="J6691" s="4">
        <v>10000</v>
      </c>
    </row>
    <row r="6692" spans="1:10" hidden="1" outlineLevel="2" x14ac:dyDescent="0.35">
      <c r="A6692" t="s">
        <v>2219</v>
      </c>
      <c r="B6692" s="1">
        <v>45736</v>
      </c>
      <c r="C6692" t="str">
        <f>"496"</f>
        <v>496</v>
      </c>
      <c r="F6692" t="str">
        <f t="shared" si="238"/>
        <v>61810100</v>
      </c>
      <c r="H6692" t="s">
        <v>2295</v>
      </c>
      <c r="J6692" s="4">
        <v>5000</v>
      </c>
    </row>
    <row r="6693" spans="1:10" hidden="1" outlineLevel="2" x14ac:dyDescent="0.35">
      <c r="A6693" t="s">
        <v>2219</v>
      </c>
      <c r="B6693" s="1">
        <v>45736</v>
      </c>
      <c r="C6693" t="str">
        <f>"497"</f>
        <v>497</v>
      </c>
      <c r="F6693" t="str">
        <f t="shared" si="238"/>
        <v>61810100</v>
      </c>
      <c r="H6693" t="s">
        <v>2257</v>
      </c>
      <c r="J6693" s="4">
        <v>10000</v>
      </c>
    </row>
    <row r="6694" spans="1:10" hidden="1" outlineLevel="2" x14ac:dyDescent="0.35">
      <c r="A6694" t="s">
        <v>2219</v>
      </c>
      <c r="B6694" s="1">
        <v>45737</v>
      </c>
      <c r="C6694" t="str">
        <f>"500"</f>
        <v>500</v>
      </c>
      <c r="F6694" t="str">
        <f t="shared" si="238"/>
        <v>61810100</v>
      </c>
      <c r="H6694" t="s">
        <v>2297</v>
      </c>
      <c r="J6694" s="4">
        <v>5000</v>
      </c>
    </row>
    <row r="6695" spans="1:10" hidden="1" outlineLevel="2" x14ac:dyDescent="0.35">
      <c r="A6695" t="s">
        <v>2219</v>
      </c>
      <c r="B6695" s="1">
        <v>45737</v>
      </c>
      <c r="C6695" t="str">
        <f>"501"</f>
        <v>501</v>
      </c>
      <c r="F6695" t="str">
        <f t="shared" si="238"/>
        <v>61810100</v>
      </c>
      <c r="H6695" t="s">
        <v>2298</v>
      </c>
      <c r="J6695" s="4">
        <v>5000</v>
      </c>
    </row>
    <row r="6696" spans="1:10" hidden="1" outlineLevel="2" x14ac:dyDescent="0.35">
      <c r="A6696" t="s">
        <v>2219</v>
      </c>
      <c r="B6696" s="1">
        <v>45740</v>
      </c>
      <c r="C6696" t="str">
        <f>"504"</f>
        <v>504</v>
      </c>
      <c r="F6696" t="str">
        <f t="shared" si="238"/>
        <v>61810100</v>
      </c>
      <c r="H6696" t="s">
        <v>2300</v>
      </c>
      <c r="J6696" s="4">
        <v>10000</v>
      </c>
    </row>
    <row r="6697" spans="1:10" hidden="1" outlineLevel="2" x14ac:dyDescent="0.35">
      <c r="A6697" t="s">
        <v>2219</v>
      </c>
      <c r="B6697" s="1">
        <v>45740</v>
      </c>
      <c r="C6697" t="str">
        <f>"506"</f>
        <v>506</v>
      </c>
      <c r="F6697" t="str">
        <f t="shared" si="238"/>
        <v>61810100</v>
      </c>
      <c r="H6697" t="s">
        <v>2301</v>
      </c>
      <c r="J6697" s="4">
        <v>10000</v>
      </c>
    </row>
    <row r="6698" spans="1:10" hidden="1" outlineLevel="2" x14ac:dyDescent="0.35">
      <c r="A6698" t="s">
        <v>2219</v>
      </c>
      <c r="B6698" s="1">
        <v>45741</v>
      </c>
      <c r="C6698" t="str">
        <f>"505"</f>
        <v>505</v>
      </c>
      <c r="F6698" t="str">
        <f t="shared" si="238"/>
        <v>61810100</v>
      </c>
      <c r="H6698" t="s">
        <v>2302</v>
      </c>
      <c r="J6698" s="4">
        <v>15000</v>
      </c>
    </row>
    <row r="6699" spans="1:10" hidden="1" outlineLevel="2" x14ac:dyDescent="0.35">
      <c r="A6699" t="s">
        <v>2219</v>
      </c>
      <c r="B6699" s="1">
        <v>45741</v>
      </c>
      <c r="C6699" t="str">
        <f>"509"</f>
        <v>509</v>
      </c>
      <c r="F6699" t="str">
        <f t="shared" si="238"/>
        <v>61810100</v>
      </c>
      <c r="H6699" t="s">
        <v>2304</v>
      </c>
      <c r="J6699" s="4">
        <v>5000</v>
      </c>
    </row>
    <row r="6700" spans="1:10" hidden="1" outlineLevel="2" x14ac:dyDescent="0.35">
      <c r="A6700" t="s">
        <v>2219</v>
      </c>
      <c r="B6700" s="1">
        <v>45741</v>
      </c>
      <c r="C6700" t="str">
        <f>"510"</f>
        <v>510</v>
      </c>
      <c r="F6700" t="str">
        <f t="shared" si="238"/>
        <v>61810100</v>
      </c>
      <c r="H6700" t="s">
        <v>2297</v>
      </c>
      <c r="J6700" s="4">
        <v>5000</v>
      </c>
    </row>
    <row r="6701" spans="1:10" hidden="1" outlineLevel="2" x14ac:dyDescent="0.35">
      <c r="A6701" t="s">
        <v>2219</v>
      </c>
      <c r="B6701" s="1">
        <v>45742</v>
      </c>
      <c r="C6701" t="str">
        <f>"512"</f>
        <v>512</v>
      </c>
      <c r="F6701" t="str">
        <f t="shared" si="238"/>
        <v>61810100</v>
      </c>
      <c r="H6701" t="s">
        <v>2305</v>
      </c>
      <c r="J6701" s="4">
        <v>5000</v>
      </c>
    </row>
    <row r="6702" spans="1:10" hidden="1" outlineLevel="2" x14ac:dyDescent="0.35">
      <c r="A6702" t="s">
        <v>2219</v>
      </c>
      <c r="B6702" s="1">
        <v>45742</v>
      </c>
      <c r="C6702" t="str">
        <f>"513"</f>
        <v>513</v>
      </c>
      <c r="F6702" t="str">
        <f t="shared" si="238"/>
        <v>61810100</v>
      </c>
      <c r="H6702" t="s">
        <v>2306</v>
      </c>
      <c r="J6702" s="4">
        <v>15000</v>
      </c>
    </row>
    <row r="6703" spans="1:10" hidden="1" outlineLevel="2" x14ac:dyDescent="0.35">
      <c r="A6703" t="s">
        <v>2219</v>
      </c>
      <c r="B6703" s="1">
        <v>45742</v>
      </c>
      <c r="C6703" t="str">
        <f>"514"</f>
        <v>514</v>
      </c>
      <c r="F6703" t="str">
        <f t="shared" si="238"/>
        <v>61810100</v>
      </c>
      <c r="H6703" t="s">
        <v>2307</v>
      </c>
      <c r="J6703" s="4">
        <v>10000</v>
      </c>
    </row>
    <row r="6704" spans="1:10" hidden="1" outlineLevel="2" x14ac:dyDescent="0.35">
      <c r="A6704" t="s">
        <v>2219</v>
      </c>
      <c r="B6704" s="1">
        <v>45742</v>
      </c>
      <c r="C6704" t="str">
        <f>"515"</f>
        <v>515</v>
      </c>
      <c r="F6704" t="str">
        <f t="shared" si="238"/>
        <v>61810100</v>
      </c>
      <c r="H6704" t="s">
        <v>2308</v>
      </c>
      <c r="J6704" s="4">
        <v>10000</v>
      </c>
    </row>
    <row r="6705" spans="1:10" hidden="1" outlineLevel="2" x14ac:dyDescent="0.35">
      <c r="A6705" t="s">
        <v>2219</v>
      </c>
      <c r="B6705" s="1">
        <v>45742</v>
      </c>
      <c r="C6705" t="str">
        <f>"516"</f>
        <v>516</v>
      </c>
      <c r="F6705" t="str">
        <f t="shared" si="238"/>
        <v>61810100</v>
      </c>
      <c r="H6705" t="s">
        <v>2309</v>
      </c>
      <c r="J6705" s="4">
        <v>5000</v>
      </c>
    </row>
    <row r="6706" spans="1:10" hidden="1" outlineLevel="2" x14ac:dyDescent="0.35">
      <c r="A6706" t="s">
        <v>2219</v>
      </c>
      <c r="B6706" s="1">
        <v>45742</v>
      </c>
      <c r="C6706" t="str">
        <f>"517"</f>
        <v>517</v>
      </c>
      <c r="F6706" t="str">
        <f t="shared" si="238"/>
        <v>61810100</v>
      </c>
      <c r="H6706" t="s">
        <v>2310</v>
      </c>
      <c r="J6706" s="4">
        <v>5000</v>
      </c>
    </row>
    <row r="6707" spans="1:10" hidden="1" outlineLevel="2" x14ac:dyDescent="0.35">
      <c r="A6707" t="s">
        <v>2219</v>
      </c>
      <c r="B6707" s="1">
        <v>45743</v>
      </c>
      <c r="C6707" t="str">
        <f>"518"</f>
        <v>518</v>
      </c>
      <c r="F6707" t="str">
        <f t="shared" si="238"/>
        <v>61810100</v>
      </c>
      <c r="H6707" t="s">
        <v>2311</v>
      </c>
      <c r="J6707" s="4">
        <v>15000</v>
      </c>
    </row>
    <row r="6708" spans="1:10" hidden="1" outlineLevel="2" x14ac:dyDescent="0.35">
      <c r="A6708" t="s">
        <v>2219</v>
      </c>
      <c r="B6708" s="1">
        <v>45744</v>
      </c>
      <c r="C6708" t="str">
        <f>"520"</f>
        <v>520</v>
      </c>
      <c r="F6708" t="str">
        <f t="shared" si="238"/>
        <v>61810100</v>
      </c>
      <c r="H6708" t="s">
        <v>2312</v>
      </c>
      <c r="J6708" s="4">
        <v>10000</v>
      </c>
    </row>
    <row r="6709" spans="1:10" hidden="1" outlineLevel="2" x14ac:dyDescent="0.35">
      <c r="A6709" t="s">
        <v>2219</v>
      </c>
      <c r="B6709" s="1">
        <v>45744</v>
      </c>
      <c r="C6709" t="str">
        <f>"521"</f>
        <v>521</v>
      </c>
      <c r="F6709" t="str">
        <f t="shared" si="238"/>
        <v>61810100</v>
      </c>
      <c r="H6709" t="s">
        <v>2313</v>
      </c>
      <c r="J6709" s="4">
        <v>10000</v>
      </c>
    </row>
    <row r="6710" spans="1:10" hidden="1" outlineLevel="2" x14ac:dyDescent="0.35">
      <c r="A6710" t="s">
        <v>2219</v>
      </c>
      <c r="B6710" s="1">
        <v>45744</v>
      </c>
      <c r="C6710" t="str">
        <f>"522"</f>
        <v>522</v>
      </c>
      <c r="F6710" t="str">
        <f t="shared" si="238"/>
        <v>61810100</v>
      </c>
      <c r="H6710" t="s">
        <v>2314</v>
      </c>
      <c r="J6710" s="4">
        <v>15000</v>
      </c>
    </row>
    <row r="6711" spans="1:10" hidden="1" outlineLevel="2" x14ac:dyDescent="0.35">
      <c r="A6711" t="s">
        <v>2219</v>
      </c>
      <c r="B6711" s="1">
        <v>45744</v>
      </c>
      <c r="C6711" t="str">
        <f>"523"</f>
        <v>523</v>
      </c>
      <c r="F6711" t="str">
        <f t="shared" si="238"/>
        <v>61810100</v>
      </c>
      <c r="H6711" t="s">
        <v>2315</v>
      </c>
      <c r="J6711" s="4">
        <v>5000</v>
      </c>
    </row>
    <row r="6712" spans="1:10" hidden="1" outlineLevel="2" x14ac:dyDescent="0.35">
      <c r="A6712" t="s">
        <v>2219</v>
      </c>
      <c r="B6712" s="1">
        <v>45744</v>
      </c>
      <c r="C6712" t="str">
        <f>"524"</f>
        <v>524</v>
      </c>
      <c r="F6712" t="str">
        <f t="shared" si="238"/>
        <v>61810100</v>
      </c>
      <c r="H6712" t="s">
        <v>2316</v>
      </c>
      <c r="J6712" s="4">
        <v>10000</v>
      </c>
    </row>
    <row r="6713" spans="1:10" hidden="1" outlineLevel="2" x14ac:dyDescent="0.35">
      <c r="A6713" t="s">
        <v>2337</v>
      </c>
      <c r="B6713" s="1">
        <v>45720</v>
      </c>
      <c r="C6713" t="str">
        <f>"660"</f>
        <v>660</v>
      </c>
      <c r="E6713" t="str">
        <f>"17280"</f>
        <v>17280</v>
      </c>
      <c r="F6713" t="str">
        <f t="shared" si="238"/>
        <v>61810100</v>
      </c>
      <c r="H6713" t="s">
        <v>2361</v>
      </c>
      <c r="J6713" s="4">
        <v>50000</v>
      </c>
    </row>
    <row r="6714" spans="1:10" hidden="1" outlineLevel="2" x14ac:dyDescent="0.35">
      <c r="A6714" t="s">
        <v>2337</v>
      </c>
      <c r="B6714" s="1">
        <v>45720</v>
      </c>
      <c r="C6714" t="str">
        <f>"662"</f>
        <v>662</v>
      </c>
      <c r="E6714" t="str">
        <f>"17282"</f>
        <v>17282</v>
      </c>
      <c r="F6714" t="str">
        <f t="shared" si="238"/>
        <v>61810100</v>
      </c>
      <c r="H6714" t="s">
        <v>2364</v>
      </c>
      <c r="J6714" s="4">
        <v>39000</v>
      </c>
    </row>
    <row r="6715" spans="1:10" hidden="1" outlineLevel="2" x14ac:dyDescent="0.35">
      <c r="A6715" t="s">
        <v>2337</v>
      </c>
      <c r="B6715" s="1">
        <v>45720</v>
      </c>
      <c r="C6715" t="str">
        <f>"663"</f>
        <v>663</v>
      </c>
      <c r="E6715" t="str">
        <f>"17283"</f>
        <v>17283</v>
      </c>
      <c r="F6715" t="str">
        <f t="shared" si="238"/>
        <v>61810100</v>
      </c>
      <c r="H6715" t="s">
        <v>2366</v>
      </c>
      <c r="J6715" s="4">
        <v>121000</v>
      </c>
    </row>
    <row r="6716" spans="1:10" hidden="1" outlineLevel="2" x14ac:dyDescent="0.35">
      <c r="A6716" t="s">
        <v>2337</v>
      </c>
      <c r="B6716" s="1">
        <v>45721</v>
      </c>
      <c r="C6716" t="str">
        <f>"672"</f>
        <v>672</v>
      </c>
      <c r="E6716" t="str">
        <f>"17292"</f>
        <v>17292</v>
      </c>
      <c r="F6716" t="str">
        <f t="shared" si="238"/>
        <v>61810100</v>
      </c>
      <c r="H6716" t="s">
        <v>2376</v>
      </c>
      <c r="J6716" s="4">
        <v>5000</v>
      </c>
    </row>
    <row r="6717" spans="1:10" hidden="1" outlineLevel="2" x14ac:dyDescent="0.35">
      <c r="A6717" t="s">
        <v>2337</v>
      </c>
      <c r="B6717" s="1">
        <v>45721</v>
      </c>
      <c r="C6717" t="str">
        <f>"680"</f>
        <v>680</v>
      </c>
      <c r="E6717" t="str">
        <f>"17300"</f>
        <v>17300</v>
      </c>
      <c r="F6717" t="str">
        <f t="shared" si="238"/>
        <v>61810100</v>
      </c>
      <c r="H6717" t="s">
        <v>2391</v>
      </c>
      <c r="J6717" s="4">
        <v>90000</v>
      </c>
    </row>
    <row r="6718" spans="1:10" hidden="1" outlineLevel="2" x14ac:dyDescent="0.35">
      <c r="A6718" t="s">
        <v>2337</v>
      </c>
      <c r="B6718" s="1">
        <v>45723</v>
      </c>
      <c r="C6718" t="str">
        <f>"689"</f>
        <v>689</v>
      </c>
      <c r="E6718" t="str">
        <f>"17308"</f>
        <v>17308</v>
      </c>
      <c r="F6718" t="str">
        <f t="shared" si="238"/>
        <v>61810100</v>
      </c>
      <c r="H6718" t="s">
        <v>2404</v>
      </c>
      <c r="J6718" s="4">
        <v>116000</v>
      </c>
    </row>
    <row r="6719" spans="1:10" hidden="1" outlineLevel="2" x14ac:dyDescent="0.35">
      <c r="A6719" t="s">
        <v>2337</v>
      </c>
      <c r="B6719" s="1">
        <v>45726</v>
      </c>
      <c r="C6719" t="str">
        <f>"710"</f>
        <v>710</v>
      </c>
      <c r="E6719" t="str">
        <f>"17329"</f>
        <v>17329</v>
      </c>
      <c r="F6719" t="str">
        <f t="shared" si="238"/>
        <v>61810100</v>
      </c>
      <c r="H6719" t="s">
        <v>2431</v>
      </c>
      <c r="J6719" s="4">
        <v>98000</v>
      </c>
    </row>
    <row r="6720" spans="1:10" hidden="1" outlineLevel="2" x14ac:dyDescent="0.35">
      <c r="A6720" t="s">
        <v>2337</v>
      </c>
      <c r="B6720" s="1">
        <v>45726</v>
      </c>
      <c r="C6720" t="str">
        <f>"714"</f>
        <v>714</v>
      </c>
      <c r="E6720" t="str">
        <f>"17333"</f>
        <v>17333</v>
      </c>
      <c r="F6720" t="str">
        <f t="shared" si="238"/>
        <v>61810100</v>
      </c>
      <c r="H6720" t="s">
        <v>2439</v>
      </c>
      <c r="J6720" s="4">
        <v>160000</v>
      </c>
    </row>
    <row r="6721" spans="1:10" hidden="1" outlineLevel="2" x14ac:dyDescent="0.35">
      <c r="A6721" t="s">
        <v>2337</v>
      </c>
      <c r="B6721" s="1">
        <v>45727</v>
      </c>
      <c r="C6721" t="str">
        <f>"718"</f>
        <v>718</v>
      </c>
      <c r="E6721" t="str">
        <f>"17337"</f>
        <v>17337</v>
      </c>
      <c r="F6721" t="str">
        <f t="shared" si="238"/>
        <v>61810100</v>
      </c>
      <c r="H6721" t="s">
        <v>2444</v>
      </c>
      <c r="J6721" s="4">
        <v>100000</v>
      </c>
    </row>
    <row r="6722" spans="1:10" hidden="1" outlineLevel="2" x14ac:dyDescent="0.35">
      <c r="A6722" t="s">
        <v>2337</v>
      </c>
      <c r="B6722" s="1">
        <v>45728</v>
      </c>
      <c r="C6722" t="str">
        <f>"737"</f>
        <v>737</v>
      </c>
      <c r="E6722" t="str">
        <f>"17356"</f>
        <v>17356</v>
      </c>
      <c r="F6722" t="str">
        <f t="shared" si="238"/>
        <v>61810100</v>
      </c>
      <c r="H6722" t="s">
        <v>2467</v>
      </c>
      <c r="J6722" s="4">
        <v>170000</v>
      </c>
    </row>
    <row r="6723" spans="1:10" hidden="1" outlineLevel="2" x14ac:dyDescent="0.35">
      <c r="A6723" t="s">
        <v>2337</v>
      </c>
      <c r="B6723" s="1">
        <v>45728</v>
      </c>
      <c r="C6723" t="str">
        <f>"739"</f>
        <v>739</v>
      </c>
      <c r="E6723" t="str">
        <f>"17358"</f>
        <v>17358</v>
      </c>
      <c r="F6723" t="str">
        <f t="shared" si="238"/>
        <v>61810100</v>
      </c>
      <c r="H6723" t="s">
        <v>2474</v>
      </c>
      <c r="J6723" s="4">
        <v>25000</v>
      </c>
    </row>
    <row r="6724" spans="1:10" hidden="1" outlineLevel="2" x14ac:dyDescent="0.35">
      <c r="A6724" t="s">
        <v>2337</v>
      </c>
      <c r="B6724" s="1">
        <v>45728</v>
      </c>
      <c r="C6724" t="str">
        <f>"740"</f>
        <v>740</v>
      </c>
      <c r="E6724" t="str">
        <f>"17359"</f>
        <v>17359</v>
      </c>
      <c r="F6724" t="str">
        <f t="shared" si="238"/>
        <v>61810100</v>
      </c>
      <c r="H6724" t="s">
        <v>2476</v>
      </c>
      <c r="J6724" s="4">
        <v>70000</v>
      </c>
    </row>
    <row r="6725" spans="1:10" hidden="1" outlineLevel="2" x14ac:dyDescent="0.35">
      <c r="A6725" t="s">
        <v>2337</v>
      </c>
      <c r="B6725" s="1">
        <v>45729</v>
      </c>
      <c r="C6725" t="str">
        <f>"745"</f>
        <v>745</v>
      </c>
      <c r="E6725" t="str">
        <f>"17364"</f>
        <v>17364</v>
      </c>
      <c r="F6725" t="str">
        <f t="shared" si="238"/>
        <v>61810100</v>
      </c>
      <c r="H6725" t="s">
        <v>2482</v>
      </c>
      <c r="J6725" s="4">
        <v>43000</v>
      </c>
    </row>
    <row r="6726" spans="1:10" hidden="1" outlineLevel="2" x14ac:dyDescent="0.35">
      <c r="A6726" t="s">
        <v>2337</v>
      </c>
      <c r="B6726" s="1">
        <v>45729</v>
      </c>
      <c r="C6726" t="str">
        <f>"746"</f>
        <v>746</v>
      </c>
      <c r="E6726" t="str">
        <f>"17365"</f>
        <v>17365</v>
      </c>
      <c r="F6726" t="str">
        <f t="shared" si="238"/>
        <v>61810100</v>
      </c>
      <c r="H6726" t="s">
        <v>2484</v>
      </c>
      <c r="J6726" s="4">
        <v>79000</v>
      </c>
    </row>
    <row r="6727" spans="1:10" hidden="1" outlineLevel="2" x14ac:dyDescent="0.35">
      <c r="A6727" t="s">
        <v>2337</v>
      </c>
      <c r="B6727" s="1">
        <v>45730</v>
      </c>
      <c r="C6727" t="str">
        <f>"766"</f>
        <v>766</v>
      </c>
      <c r="E6727" t="str">
        <f>"17385"</f>
        <v>17385</v>
      </c>
      <c r="F6727" t="str">
        <f t="shared" si="238"/>
        <v>61810100</v>
      </c>
      <c r="H6727" t="s">
        <v>2511</v>
      </c>
      <c r="J6727" s="4">
        <v>220000</v>
      </c>
    </row>
    <row r="6728" spans="1:10" hidden="1" outlineLevel="2" x14ac:dyDescent="0.35">
      <c r="A6728" t="s">
        <v>2337</v>
      </c>
      <c r="B6728" s="1">
        <v>45733</v>
      </c>
      <c r="C6728" t="str">
        <f>"773"</f>
        <v>773</v>
      </c>
      <c r="E6728" t="str">
        <f>"17392"</f>
        <v>17392</v>
      </c>
      <c r="F6728" t="str">
        <f t="shared" si="238"/>
        <v>61810100</v>
      </c>
      <c r="H6728" t="s">
        <v>2520</v>
      </c>
      <c r="J6728" s="4">
        <v>162000</v>
      </c>
    </row>
    <row r="6729" spans="1:10" hidden="1" outlineLevel="2" x14ac:dyDescent="0.35">
      <c r="A6729" t="s">
        <v>2337</v>
      </c>
      <c r="B6729" s="1">
        <v>45735</v>
      </c>
      <c r="C6729" t="str">
        <f>"801"</f>
        <v>801</v>
      </c>
      <c r="E6729" t="str">
        <f>"17457"</f>
        <v>17457</v>
      </c>
      <c r="F6729" t="str">
        <f t="shared" si="238"/>
        <v>61810100</v>
      </c>
      <c r="H6729" t="s">
        <v>2539</v>
      </c>
      <c r="J6729" s="4">
        <v>151000</v>
      </c>
    </row>
    <row r="6730" spans="1:10" hidden="1" outlineLevel="2" x14ac:dyDescent="0.35">
      <c r="A6730" t="s">
        <v>2337</v>
      </c>
      <c r="B6730" s="1">
        <v>45735</v>
      </c>
      <c r="C6730" t="str">
        <f>"802"</f>
        <v>802</v>
      </c>
      <c r="E6730" t="str">
        <f>"17458"</f>
        <v>17458</v>
      </c>
      <c r="F6730" t="str">
        <f t="shared" si="238"/>
        <v>61810100</v>
      </c>
      <c r="H6730" t="s">
        <v>2543</v>
      </c>
      <c r="J6730" s="4">
        <v>196000</v>
      </c>
    </row>
    <row r="6731" spans="1:10" hidden="1" outlineLevel="2" x14ac:dyDescent="0.35">
      <c r="A6731" t="s">
        <v>2337</v>
      </c>
      <c r="B6731" s="1">
        <v>45737</v>
      </c>
      <c r="C6731" t="str">
        <f>"816"</f>
        <v>816</v>
      </c>
      <c r="E6731" t="str">
        <f>"17472"</f>
        <v>17472</v>
      </c>
      <c r="F6731" t="str">
        <f t="shared" si="238"/>
        <v>61810100</v>
      </c>
      <c r="H6731" t="s">
        <v>2561</v>
      </c>
      <c r="J6731" s="4">
        <v>6000</v>
      </c>
    </row>
    <row r="6732" spans="1:10" hidden="1" outlineLevel="2" x14ac:dyDescent="0.35">
      <c r="A6732" t="s">
        <v>2337</v>
      </c>
      <c r="B6732" s="1">
        <v>45737</v>
      </c>
      <c r="C6732" t="str">
        <f>"823"</f>
        <v>823</v>
      </c>
      <c r="E6732" t="str">
        <f>"17479"</f>
        <v>17479</v>
      </c>
      <c r="F6732" t="str">
        <f t="shared" si="238"/>
        <v>61810100</v>
      </c>
      <c r="H6732" t="s">
        <v>2577</v>
      </c>
      <c r="J6732" s="4">
        <v>122000</v>
      </c>
    </row>
    <row r="6733" spans="1:10" hidden="1" outlineLevel="2" x14ac:dyDescent="0.35">
      <c r="A6733" t="s">
        <v>2337</v>
      </c>
      <c r="B6733" s="1">
        <v>45737</v>
      </c>
      <c r="C6733" t="str">
        <f>"831"</f>
        <v>831</v>
      </c>
      <c r="E6733" t="str">
        <f>"17487"</f>
        <v>17487</v>
      </c>
      <c r="F6733" t="str">
        <f t="shared" si="238"/>
        <v>61810100</v>
      </c>
      <c r="H6733" t="s">
        <v>2586</v>
      </c>
      <c r="J6733" s="4">
        <v>90000</v>
      </c>
    </row>
    <row r="6734" spans="1:10" hidden="1" outlineLevel="2" x14ac:dyDescent="0.35">
      <c r="A6734" t="s">
        <v>2337</v>
      </c>
      <c r="B6734" s="1">
        <v>45742</v>
      </c>
      <c r="C6734" t="str">
        <f>"867"</f>
        <v>867</v>
      </c>
      <c r="E6734" t="str">
        <f>"15874"</f>
        <v>15874</v>
      </c>
      <c r="F6734" t="str">
        <f t="shared" si="238"/>
        <v>61810100</v>
      </c>
      <c r="H6734" t="s">
        <v>2624</v>
      </c>
      <c r="J6734" s="4">
        <v>138000</v>
      </c>
    </row>
    <row r="6735" spans="1:10" hidden="1" outlineLevel="2" x14ac:dyDescent="0.35">
      <c r="A6735" t="s">
        <v>2337</v>
      </c>
      <c r="B6735" s="1">
        <v>45744</v>
      </c>
      <c r="C6735" t="str">
        <f>"877"</f>
        <v>877</v>
      </c>
      <c r="E6735" t="str">
        <f>"15883"</f>
        <v>15883</v>
      </c>
      <c r="F6735" t="str">
        <f t="shared" ref="F6735:F6746" si="239">"61810100"</f>
        <v>61810100</v>
      </c>
      <c r="H6735" t="s">
        <v>2638</v>
      </c>
      <c r="J6735" s="4">
        <v>142000</v>
      </c>
    </row>
    <row r="6736" spans="1:10" hidden="1" outlineLevel="2" x14ac:dyDescent="0.35">
      <c r="A6736" t="s">
        <v>2337</v>
      </c>
      <c r="B6736" s="1">
        <v>45744</v>
      </c>
      <c r="C6736" t="str">
        <f>"879"</f>
        <v>879</v>
      </c>
      <c r="E6736" t="str">
        <f>"15885"</f>
        <v>15885</v>
      </c>
      <c r="F6736" t="str">
        <f t="shared" si="239"/>
        <v>61810100</v>
      </c>
      <c r="H6736" t="s">
        <v>2643</v>
      </c>
      <c r="J6736" s="4">
        <v>205000</v>
      </c>
    </row>
    <row r="6737" spans="1:11" hidden="1" outlineLevel="2" x14ac:dyDescent="0.35">
      <c r="A6737" t="s">
        <v>2337</v>
      </c>
      <c r="B6737" s="1">
        <v>45744</v>
      </c>
      <c r="C6737" t="str">
        <f>"883"</f>
        <v>883</v>
      </c>
      <c r="E6737" t="str">
        <f>"15889"</f>
        <v>15889</v>
      </c>
      <c r="F6737" t="str">
        <f t="shared" si="239"/>
        <v>61810100</v>
      </c>
      <c r="H6737" t="s">
        <v>2652</v>
      </c>
      <c r="J6737" s="4">
        <v>192000</v>
      </c>
    </row>
    <row r="6738" spans="1:11" hidden="1" outlineLevel="2" x14ac:dyDescent="0.35">
      <c r="A6738" t="s">
        <v>101</v>
      </c>
      <c r="B6738" s="1">
        <v>45747</v>
      </c>
      <c r="C6738" t="str">
        <f>"80"</f>
        <v>80</v>
      </c>
      <c r="E6738" t="s">
        <v>2962</v>
      </c>
      <c r="F6738" t="str">
        <f t="shared" si="239"/>
        <v>61810100</v>
      </c>
      <c r="H6738" t="s">
        <v>2963</v>
      </c>
      <c r="J6738" s="4">
        <v>7811000</v>
      </c>
    </row>
    <row r="6739" spans="1:11" hidden="1" outlineLevel="2" x14ac:dyDescent="0.35">
      <c r="A6739" t="s">
        <v>3056</v>
      </c>
      <c r="B6739" s="1">
        <v>45720</v>
      </c>
      <c r="C6739" t="str">
        <f>"151"</f>
        <v>151</v>
      </c>
      <c r="F6739" t="str">
        <f t="shared" si="239"/>
        <v>61810100</v>
      </c>
      <c r="H6739" t="s">
        <v>3065</v>
      </c>
      <c r="J6739" s="4">
        <v>200000</v>
      </c>
    </row>
    <row r="6740" spans="1:11" hidden="1" outlineLevel="2" x14ac:dyDescent="0.35">
      <c r="A6740" t="s">
        <v>3056</v>
      </c>
      <c r="B6740" s="1">
        <v>45722</v>
      </c>
      <c r="C6740" t="str">
        <f>"153"</f>
        <v>153</v>
      </c>
      <c r="F6740" t="str">
        <f t="shared" si="239"/>
        <v>61810100</v>
      </c>
      <c r="H6740" t="s">
        <v>3067</v>
      </c>
      <c r="J6740" s="4">
        <v>280000</v>
      </c>
    </row>
    <row r="6741" spans="1:11" hidden="1" outlineLevel="2" x14ac:dyDescent="0.35">
      <c r="A6741" t="s">
        <v>3056</v>
      </c>
      <c r="B6741" s="1">
        <v>45728</v>
      </c>
      <c r="C6741" t="str">
        <f>"163"</f>
        <v>163</v>
      </c>
      <c r="F6741" t="str">
        <f t="shared" si="239"/>
        <v>61810100</v>
      </c>
      <c r="H6741" t="s">
        <v>3077</v>
      </c>
      <c r="J6741" s="4">
        <v>225000</v>
      </c>
    </row>
    <row r="6742" spans="1:11" hidden="1" outlineLevel="2" x14ac:dyDescent="0.35">
      <c r="A6742" t="s">
        <v>3056</v>
      </c>
      <c r="B6742" s="1">
        <v>45736</v>
      </c>
      <c r="C6742" t="str">
        <f>"184"</f>
        <v>184</v>
      </c>
      <c r="F6742" t="str">
        <f t="shared" si="239"/>
        <v>61810100</v>
      </c>
      <c r="H6742" t="s">
        <v>3089</v>
      </c>
      <c r="J6742" s="4">
        <v>45000</v>
      </c>
    </row>
    <row r="6743" spans="1:11" hidden="1" outlineLevel="2" x14ac:dyDescent="0.35">
      <c r="A6743" t="s">
        <v>3056</v>
      </c>
      <c r="B6743" s="1">
        <v>45737</v>
      </c>
      <c r="C6743" t="str">
        <f>"188"</f>
        <v>188</v>
      </c>
      <c r="F6743" t="str">
        <f t="shared" si="239"/>
        <v>61810100</v>
      </c>
      <c r="H6743" t="s">
        <v>3094</v>
      </c>
      <c r="J6743" s="4">
        <v>300000</v>
      </c>
    </row>
    <row r="6744" spans="1:11" hidden="1" outlineLevel="2" x14ac:dyDescent="0.35">
      <c r="A6744" t="s">
        <v>3056</v>
      </c>
      <c r="B6744" s="1">
        <v>45740</v>
      </c>
      <c r="C6744" t="str">
        <f>"194"</f>
        <v>194</v>
      </c>
      <c r="F6744" t="str">
        <f t="shared" si="239"/>
        <v>61810100</v>
      </c>
      <c r="H6744" t="s">
        <v>3101</v>
      </c>
      <c r="J6744" s="4">
        <v>45000</v>
      </c>
    </row>
    <row r="6745" spans="1:11" hidden="1" outlineLevel="2" x14ac:dyDescent="0.35">
      <c r="A6745" t="s">
        <v>3056</v>
      </c>
      <c r="B6745" s="1">
        <v>45740</v>
      </c>
      <c r="C6745" t="str">
        <f>"195"</f>
        <v>195</v>
      </c>
      <c r="F6745" t="str">
        <f t="shared" si="239"/>
        <v>61810100</v>
      </c>
      <c r="H6745" t="s">
        <v>3102</v>
      </c>
      <c r="J6745" s="4">
        <v>45000</v>
      </c>
    </row>
    <row r="6746" spans="1:11" hidden="1" outlineLevel="2" x14ac:dyDescent="0.35">
      <c r="A6746" t="s">
        <v>3056</v>
      </c>
      <c r="B6746" s="1">
        <v>45742</v>
      </c>
      <c r="C6746" t="str">
        <f>"199"</f>
        <v>199</v>
      </c>
      <c r="F6746" t="str">
        <f t="shared" si="239"/>
        <v>61810100</v>
      </c>
      <c r="H6746" t="s">
        <v>3110</v>
      </c>
      <c r="J6746" s="4">
        <v>300000</v>
      </c>
    </row>
    <row r="6747" spans="1:11" outlineLevel="1" collapsed="1" x14ac:dyDescent="0.35">
      <c r="B6747" s="1"/>
      <c r="F6747" s="3" t="s">
        <v>6624</v>
      </c>
      <c r="J6747" s="4">
        <f>SUBTOTAL(9,J6543:J6746)</f>
        <v>17483005</v>
      </c>
      <c r="K6747" s="4">
        <f>SUBTOTAL(9,K6543:K6746)</f>
        <v>0</v>
      </c>
    </row>
    <row r="6748" spans="1:11" hidden="1" outlineLevel="2" x14ac:dyDescent="0.35">
      <c r="A6748" t="s">
        <v>2018</v>
      </c>
      <c r="B6748" s="1">
        <v>45726</v>
      </c>
      <c r="C6748" t="str">
        <f>"366"</f>
        <v>366</v>
      </c>
      <c r="F6748" t="str">
        <f t="shared" ref="F6748:F6779" si="240">"61830000"</f>
        <v>61830000</v>
      </c>
      <c r="H6748" t="s">
        <v>2053</v>
      </c>
      <c r="J6748" s="4">
        <v>10000</v>
      </c>
    </row>
    <row r="6749" spans="1:11" hidden="1" outlineLevel="2" x14ac:dyDescent="0.35">
      <c r="A6749" t="s">
        <v>2018</v>
      </c>
      <c r="B6749" s="1">
        <v>45726</v>
      </c>
      <c r="C6749" t="str">
        <f>"369"</f>
        <v>369</v>
      </c>
      <c r="F6749" t="str">
        <f t="shared" si="240"/>
        <v>61830000</v>
      </c>
      <c r="H6749" t="s">
        <v>2056</v>
      </c>
      <c r="J6749" s="4">
        <v>52000</v>
      </c>
    </row>
    <row r="6750" spans="1:11" hidden="1" outlineLevel="2" x14ac:dyDescent="0.35">
      <c r="A6750" t="s">
        <v>2018</v>
      </c>
      <c r="B6750" s="1">
        <v>45726</v>
      </c>
      <c r="C6750" t="str">
        <f>"376"</f>
        <v>376</v>
      </c>
      <c r="F6750" t="str">
        <f t="shared" si="240"/>
        <v>61830000</v>
      </c>
      <c r="H6750" t="s">
        <v>2069</v>
      </c>
      <c r="J6750" s="4">
        <v>6000</v>
      </c>
    </row>
    <row r="6751" spans="1:11" hidden="1" outlineLevel="2" x14ac:dyDescent="0.35">
      <c r="A6751" t="s">
        <v>2018</v>
      </c>
      <c r="B6751" s="1">
        <v>45732</v>
      </c>
      <c r="C6751" t="str">
        <f>"409"</f>
        <v>409</v>
      </c>
      <c r="F6751" t="str">
        <f t="shared" si="240"/>
        <v>61830000</v>
      </c>
      <c r="H6751" t="s">
        <v>2113</v>
      </c>
      <c r="J6751" s="4">
        <v>3000</v>
      </c>
    </row>
    <row r="6752" spans="1:11" hidden="1" outlineLevel="2" x14ac:dyDescent="0.35">
      <c r="A6752" t="s">
        <v>2018</v>
      </c>
      <c r="B6752" s="1">
        <v>45732</v>
      </c>
      <c r="C6752" t="str">
        <f>"410"</f>
        <v>410</v>
      </c>
      <c r="F6752" t="str">
        <f t="shared" si="240"/>
        <v>61830000</v>
      </c>
      <c r="H6752" t="s">
        <v>2114</v>
      </c>
      <c r="J6752" s="4">
        <v>3000</v>
      </c>
    </row>
    <row r="6753" spans="1:10" hidden="1" outlineLevel="2" x14ac:dyDescent="0.35">
      <c r="A6753" t="s">
        <v>2018</v>
      </c>
      <c r="B6753" s="1">
        <v>45733</v>
      </c>
      <c r="C6753" t="str">
        <f>"411"</f>
        <v>411</v>
      </c>
      <c r="F6753" t="str">
        <f t="shared" si="240"/>
        <v>61830000</v>
      </c>
      <c r="H6753" t="s">
        <v>2115</v>
      </c>
      <c r="J6753" s="4">
        <v>5000</v>
      </c>
    </row>
    <row r="6754" spans="1:10" hidden="1" outlineLevel="2" x14ac:dyDescent="0.35">
      <c r="A6754" t="s">
        <v>2018</v>
      </c>
      <c r="B6754" s="1">
        <v>45734</v>
      </c>
      <c r="C6754" t="str">
        <f>"417"</f>
        <v>417</v>
      </c>
      <c r="F6754" t="str">
        <f t="shared" si="240"/>
        <v>61830000</v>
      </c>
      <c r="H6754" t="s">
        <v>2056</v>
      </c>
      <c r="J6754" s="4">
        <v>45200</v>
      </c>
    </row>
    <row r="6755" spans="1:10" hidden="1" outlineLevel="2" x14ac:dyDescent="0.35">
      <c r="A6755" t="s">
        <v>2018</v>
      </c>
      <c r="B6755" s="1">
        <v>45736</v>
      </c>
      <c r="C6755" t="str">
        <f>"435"</f>
        <v>435</v>
      </c>
      <c r="F6755" t="str">
        <f t="shared" si="240"/>
        <v>61830000</v>
      </c>
      <c r="H6755" t="s">
        <v>2069</v>
      </c>
      <c r="J6755" s="4">
        <v>6000</v>
      </c>
    </row>
    <row r="6756" spans="1:10" hidden="1" outlineLevel="2" x14ac:dyDescent="0.35">
      <c r="A6756" t="s">
        <v>2018</v>
      </c>
      <c r="B6756" s="1">
        <v>45738</v>
      </c>
      <c r="C6756" t="str">
        <f>"453"</f>
        <v>453</v>
      </c>
      <c r="F6756" t="str">
        <f t="shared" si="240"/>
        <v>61830000</v>
      </c>
      <c r="H6756" t="s">
        <v>2056</v>
      </c>
      <c r="J6756" s="4">
        <v>50500</v>
      </c>
    </row>
    <row r="6757" spans="1:10" hidden="1" outlineLevel="2" x14ac:dyDescent="0.35">
      <c r="A6757" t="s">
        <v>2018</v>
      </c>
      <c r="B6757" s="1">
        <v>45738</v>
      </c>
      <c r="C6757" t="str">
        <f>"454"</f>
        <v>454</v>
      </c>
      <c r="F6757" t="str">
        <f t="shared" si="240"/>
        <v>61830000</v>
      </c>
      <c r="H6757" t="s">
        <v>2069</v>
      </c>
      <c r="J6757" s="4">
        <v>8000</v>
      </c>
    </row>
    <row r="6758" spans="1:10" hidden="1" outlineLevel="2" x14ac:dyDescent="0.35">
      <c r="A6758" t="s">
        <v>2018</v>
      </c>
      <c r="B6758" s="1">
        <v>45742</v>
      </c>
      <c r="C6758" t="str">
        <f>"469"</f>
        <v>469</v>
      </c>
      <c r="F6758" t="str">
        <f t="shared" si="240"/>
        <v>61830000</v>
      </c>
      <c r="H6758" t="s">
        <v>2056</v>
      </c>
      <c r="J6758" s="4">
        <v>22000</v>
      </c>
    </row>
    <row r="6759" spans="1:10" hidden="1" outlineLevel="2" x14ac:dyDescent="0.35">
      <c r="A6759" t="s">
        <v>2018</v>
      </c>
      <c r="B6759" s="1">
        <v>45743</v>
      </c>
      <c r="C6759" t="str">
        <f>"475"</f>
        <v>475</v>
      </c>
      <c r="F6759" t="str">
        <f t="shared" si="240"/>
        <v>61830000</v>
      </c>
      <c r="H6759" t="s">
        <v>2206</v>
      </c>
      <c r="J6759" s="4">
        <v>3030</v>
      </c>
    </row>
    <row r="6760" spans="1:10" hidden="1" outlineLevel="2" x14ac:dyDescent="0.35">
      <c r="A6760" t="s">
        <v>2018</v>
      </c>
      <c r="B6760" s="1">
        <v>45743</v>
      </c>
      <c r="C6760" t="str">
        <f>"476"</f>
        <v>476</v>
      </c>
      <c r="F6760" t="str">
        <f t="shared" si="240"/>
        <v>61830000</v>
      </c>
      <c r="H6760" t="s">
        <v>2207</v>
      </c>
      <c r="J6760" s="4">
        <v>3030</v>
      </c>
    </row>
    <row r="6761" spans="1:10" hidden="1" outlineLevel="2" x14ac:dyDescent="0.35">
      <c r="A6761" t="s">
        <v>2018</v>
      </c>
      <c r="B6761" s="1">
        <v>45743</v>
      </c>
      <c r="C6761" t="str">
        <f>"477"</f>
        <v>477</v>
      </c>
      <c r="F6761" t="str">
        <f t="shared" si="240"/>
        <v>61830000</v>
      </c>
      <c r="H6761" t="s">
        <v>2208</v>
      </c>
      <c r="J6761" s="4">
        <v>3030</v>
      </c>
    </row>
    <row r="6762" spans="1:10" hidden="1" outlineLevel="2" x14ac:dyDescent="0.35">
      <c r="A6762" t="s">
        <v>2018</v>
      </c>
      <c r="B6762" s="1">
        <v>45743</v>
      </c>
      <c r="C6762" t="str">
        <f>"478"</f>
        <v>478</v>
      </c>
      <c r="F6762" t="str">
        <f t="shared" si="240"/>
        <v>61830000</v>
      </c>
      <c r="H6762" t="s">
        <v>2209</v>
      </c>
      <c r="J6762" s="4">
        <v>3030</v>
      </c>
    </row>
    <row r="6763" spans="1:10" hidden="1" outlineLevel="2" x14ac:dyDescent="0.35">
      <c r="A6763" t="s">
        <v>2018</v>
      </c>
      <c r="B6763" s="1">
        <v>45743</v>
      </c>
      <c r="C6763" t="str">
        <f>"479"</f>
        <v>479</v>
      </c>
      <c r="F6763" t="str">
        <f t="shared" si="240"/>
        <v>61830000</v>
      </c>
      <c r="H6763" t="s">
        <v>2210</v>
      </c>
      <c r="J6763" s="4">
        <v>5000</v>
      </c>
    </row>
    <row r="6764" spans="1:10" hidden="1" outlineLevel="2" x14ac:dyDescent="0.35">
      <c r="A6764" t="s">
        <v>2018</v>
      </c>
      <c r="B6764" s="1">
        <v>45745</v>
      </c>
      <c r="C6764" t="str">
        <f>"487"</f>
        <v>487</v>
      </c>
      <c r="F6764" t="str">
        <f t="shared" si="240"/>
        <v>61830000</v>
      </c>
      <c r="H6764" t="s">
        <v>2056</v>
      </c>
      <c r="J6764" s="4">
        <v>50000</v>
      </c>
    </row>
    <row r="6765" spans="1:10" hidden="1" outlineLevel="2" x14ac:dyDescent="0.35">
      <c r="A6765" t="s">
        <v>2219</v>
      </c>
      <c r="B6765" s="1">
        <v>45717</v>
      </c>
      <c r="C6765" t="str">
        <f>"402"</f>
        <v>402</v>
      </c>
      <c r="F6765" t="str">
        <f t="shared" si="240"/>
        <v>61830000</v>
      </c>
      <c r="H6765" t="s">
        <v>2221</v>
      </c>
      <c r="J6765" s="4">
        <v>8000</v>
      </c>
    </row>
    <row r="6766" spans="1:10" hidden="1" outlineLevel="2" x14ac:dyDescent="0.35">
      <c r="A6766" t="s">
        <v>2219</v>
      </c>
      <c r="B6766" s="1">
        <v>45724</v>
      </c>
      <c r="C6766" t="str">
        <f>"447"</f>
        <v>447</v>
      </c>
      <c r="F6766" t="str">
        <f t="shared" si="240"/>
        <v>61830000</v>
      </c>
      <c r="H6766" t="s">
        <v>2258</v>
      </c>
      <c r="J6766" s="4">
        <v>8000</v>
      </c>
    </row>
    <row r="6767" spans="1:10" hidden="1" outlineLevel="2" x14ac:dyDescent="0.35">
      <c r="A6767" t="s">
        <v>2219</v>
      </c>
      <c r="B6767" s="1">
        <v>45733</v>
      </c>
      <c r="C6767" t="str">
        <f>"479"</f>
        <v>479</v>
      </c>
      <c r="F6767" t="str">
        <f t="shared" si="240"/>
        <v>61830000</v>
      </c>
      <c r="H6767" t="s">
        <v>2282</v>
      </c>
      <c r="J6767" s="4">
        <v>8000</v>
      </c>
    </row>
    <row r="6768" spans="1:10" hidden="1" outlineLevel="2" x14ac:dyDescent="0.35">
      <c r="A6768" t="s">
        <v>2337</v>
      </c>
      <c r="B6768" s="1">
        <v>45719</v>
      </c>
      <c r="C6768" t="str">
        <f>"643"</f>
        <v>643</v>
      </c>
      <c r="E6768" t="str">
        <f>"17262"</f>
        <v>17262</v>
      </c>
      <c r="F6768" t="str">
        <f t="shared" si="240"/>
        <v>61830000</v>
      </c>
      <c r="H6768" t="s">
        <v>2338</v>
      </c>
      <c r="J6768" s="4">
        <v>17000</v>
      </c>
    </row>
    <row r="6769" spans="1:10" hidden="1" outlineLevel="2" x14ac:dyDescent="0.35">
      <c r="A6769" t="s">
        <v>2337</v>
      </c>
      <c r="B6769" s="1">
        <v>45719</v>
      </c>
      <c r="C6769" t="str">
        <f>"644"</f>
        <v>644</v>
      </c>
      <c r="E6769" t="str">
        <f>"17263"</f>
        <v>17263</v>
      </c>
      <c r="F6769" t="str">
        <f t="shared" si="240"/>
        <v>61830000</v>
      </c>
      <c r="H6769" t="s">
        <v>2339</v>
      </c>
      <c r="J6769" s="4">
        <v>30000</v>
      </c>
    </row>
    <row r="6770" spans="1:10" hidden="1" outlineLevel="2" x14ac:dyDescent="0.35">
      <c r="A6770" t="s">
        <v>2337</v>
      </c>
      <c r="B6770" s="1">
        <v>45719</v>
      </c>
      <c r="C6770" t="str">
        <f>"645"</f>
        <v>645</v>
      </c>
      <c r="E6770" t="str">
        <f>"17264"</f>
        <v>17264</v>
      </c>
      <c r="F6770" t="str">
        <f t="shared" si="240"/>
        <v>61830000</v>
      </c>
      <c r="H6770" t="s">
        <v>2340</v>
      </c>
      <c r="J6770" s="4">
        <v>5000</v>
      </c>
    </row>
    <row r="6771" spans="1:10" hidden="1" outlineLevel="2" x14ac:dyDescent="0.35">
      <c r="A6771" t="s">
        <v>2337</v>
      </c>
      <c r="B6771" s="1">
        <v>45719</v>
      </c>
      <c r="C6771" t="str">
        <f>"646"</f>
        <v>646</v>
      </c>
      <c r="E6771" t="str">
        <f>"17265"</f>
        <v>17265</v>
      </c>
      <c r="F6771" t="str">
        <f t="shared" si="240"/>
        <v>61830000</v>
      </c>
      <c r="H6771" t="s">
        <v>2341</v>
      </c>
      <c r="J6771" s="4">
        <v>40000</v>
      </c>
    </row>
    <row r="6772" spans="1:10" hidden="1" outlineLevel="2" x14ac:dyDescent="0.35">
      <c r="A6772" t="s">
        <v>2337</v>
      </c>
      <c r="B6772" s="1">
        <v>45719</v>
      </c>
      <c r="C6772" t="str">
        <f>"647"</f>
        <v>647</v>
      </c>
      <c r="E6772" t="str">
        <f>"17266"</f>
        <v>17266</v>
      </c>
      <c r="F6772" t="str">
        <f t="shared" si="240"/>
        <v>61830000</v>
      </c>
      <c r="H6772" t="s">
        <v>2342</v>
      </c>
      <c r="J6772" s="4">
        <v>69000</v>
      </c>
    </row>
    <row r="6773" spans="1:10" hidden="1" outlineLevel="2" x14ac:dyDescent="0.35">
      <c r="A6773" t="s">
        <v>2337</v>
      </c>
      <c r="B6773" s="1">
        <v>45719</v>
      </c>
      <c r="C6773" t="str">
        <f>"648"</f>
        <v>648</v>
      </c>
      <c r="E6773" t="str">
        <f>"17267"</f>
        <v>17267</v>
      </c>
      <c r="F6773" t="str">
        <f t="shared" si="240"/>
        <v>61830000</v>
      </c>
      <c r="H6773" t="s">
        <v>2343</v>
      </c>
      <c r="J6773" s="4">
        <v>11000</v>
      </c>
    </row>
    <row r="6774" spans="1:10" hidden="1" outlineLevel="2" x14ac:dyDescent="0.35">
      <c r="A6774" t="s">
        <v>2337</v>
      </c>
      <c r="B6774" s="1">
        <v>45719</v>
      </c>
      <c r="C6774" t="str">
        <f>"650"</f>
        <v>650</v>
      </c>
      <c r="E6774" t="str">
        <f>"17269"</f>
        <v>17269</v>
      </c>
      <c r="F6774" t="str">
        <f t="shared" si="240"/>
        <v>61830000</v>
      </c>
      <c r="H6774" t="s">
        <v>2345</v>
      </c>
      <c r="J6774" s="4">
        <v>10000</v>
      </c>
    </row>
    <row r="6775" spans="1:10" hidden="1" outlineLevel="2" x14ac:dyDescent="0.35">
      <c r="A6775" t="s">
        <v>2337</v>
      </c>
      <c r="B6775" s="1">
        <v>45719</v>
      </c>
      <c r="C6775" t="str">
        <f>"651"</f>
        <v>651</v>
      </c>
      <c r="E6775" t="str">
        <f>"17270"</f>
        <v>17270</v>
      </c>
      <c r="F6775" t="str">
        <f t="shared" si="240"/>
        <v>61830000</v>
      </c>
      <c r="H6775" t="s">
        <v>2347</v>
      </c>
      <c r="J6775" s="4">
        <v>130000</v>
      </c>
    </row>
    <row r="6776" spans="1:10" hidden="1" outlineLevel="2" x14ac:dyDescent="0.35">
      <c r="A6776" t="s">
        <v>2337</v>
      </c>
      <c r="B6776" s="1">
        <v>45719</v>
      </c>
      <c r="C6776" t="str">
        <f>"652"</f>
        <v>652</v>
      </c>
      <c r="E6776" t="str">
        <f>"17271"</f>
        <v>17271</v>
      </c>
      <c r="F6776" t="str">
        <f t="shared" si="240"/>
        <v>61830000</v>
      </c>
      <c r="H6776" t="s">
        <v>2348</v>
      </c>
      <c r="J6776" s="4">
        <v>120000</v>
      </c>
    </row>
    <row r="6777" spans="1:10" hidden="1" outlineLevel="2" x14ac:dyDescent="0.35">
      <c r="A6777" t="s">
        <v>2337</v>
      </c>
      <c r="B6777" s="1">
        <v>45719</v>
      </c>
      <c r="C6777" t="str">
        <f>"655"</f>
        <v>655</v>
      </c>
      <c r="E6777" t="str">
        <f>"17274"</f>
        <v>17274</v>
      </c>
      <c r="F6777" t="str">
        <f t="shared" si="240"/>
        <v>61830000</v>
      </c>
      <c r="H6777" t="s">
        <v>2351</v>
      </c>
      <c r="J6777" s="4">
        <v>10000</v>
      </c>
    </row>
    <row r="6778" spans="1:10" hidden="1" outlineLevel="2" x14ac:dyDescent="0.35">
      <c r="A6778" t="s">
        <v>2337</v>
      </c>
      <c r="B6778" s="1">
        <v>45720</v>
      </c>
      <c r="C6778" t="str">
        <f>"657"</f>
        <v>657</v>
      </c>
      <c r="E6778" t="str">
        <f>"17276"</f>
        <v>17276</v>
      </c>
      <c r="F6778" t="str">
        <f t="shared" si="240"/>
        <v>61830000</v>
      </c>
      <c r="H6778" t="s">
        <v>2354</v>
      </c>
      <c r="J6778" s="4">
        <v>40000</v>
      </c>
    </row>
    <row r="6779" spans="1:10" hidden="1" outlineLevel="2" x14ac:dyDescent="0.35">
      <c r="A6779" t="s">
        <v>2337</v>
      </c>
      <c r="B6779" s="1">
        <v>45720</v>
      </c>
      <c r="C6779" t="str">
        <f>"659"</f>
        <v>659</v>
      </c>
      <c r="E6779" t="str">
        <f>"17278"</f>
        <v>17278</v>
      </c>
      <c r="F6779" t="str">
        <f t="shared" si="240"/>
        <v>61830000</v>
      </c>
      <c r="H6779" t="s">
        <v>2358</v>
      </c>
      <c r="J6779" s="4">
        <v>120000</v>
      </c>
    </row>
    <row r="6780" spans="1:10" hidden="1" outlineLevel="2" x14ac:dyDescent="0.35">
      <c r="A6780" t="s">
        <v>2337</v>
      </c>
      <c r="B6780" s="1">
        <v>45720</v>
      </c>
      <c r="C6780" t="str">
        <f>"660"</f>
        <v>660</v>
      </c>
      <c r="E6780" t="str">
        <f>"17280"</f>
        <v>17280</v>
      </c>
      <c r="F6780" t="str">
        <f t="shared" ref="F6780:F6811" si="241">"61830000"</f>
        <v>61830000</v>
      </c>
      <c r="H6780" t="s">
        <v>2360</v>
      </c>
      <c r="J6780" s="4">
        <v>17000</v>
      </c>
    </row>
    <row r="6781" spans="1:10" hidden="1" outlineLevel="2" x14ac:dyDescent="0.35">
      <c r="A6781" t="s">
        <v>2337</v>
      </c>
      <c r="B6781" s="1">
        <v>45720</v>
      </c>
      <c r="C6781" t="str">
        <f>"661"</f>
        <v>661</v>
      </c>
      <c r="E6781" t="str">
        <f>"17281"</f>
        <v>17281</v>
      </c>
      <c r="F6781" t="str">
        <f t="shared" si="241"/>
        <v>61830000</v>
      </c>
      <c r="H6781" t="s">
        <v>2362</v>
      </c>
      <c r="J6781" s="4">
        <v>5000</v>
      </c>
    </row>
    <row r="6782" spans="1:10" hidden="1" outlineLevel="2" x14ac:dyDescent="0.35">
      <c r="A6782" t="s">
        <v>2337</v>
      </c>
      <c r="B6782" s="1">
        <v>45720</v>
      </c>
      <c r="C6782" t="str">
        <f>"664"</f>
        <v>664</v>
      </c>
      <c r="E6782" t="str">
        <f>"17284"</f>
        <v>17284</v>
      </c>
      <c r="F6782" t="str">
        <f t="shared" si="241"/>
        <v>61830000</v>
      </c>
      <c r="H6782" t="s">
        <v>2368</v>
      </c>
      <c r="J6782" s="4">
        <v>54000</v>
      </c>
    </row>
    <row r="6783" spans="1:10" hidden="1" outlineLevel="2" x14ac:dyDescent="0.35">
      <c r="A6783" t="s">
        <v>2337</v>
      </c>
      <c r="B6783" s="1">
        <v>45721</v>
      </c>
      <c r="C6783" t="str">
        <f>"669"</f>
        <v>669</v>
      </c>
      <c r="E6783" t="str">
        <f>"17289"</f>
        <v>17289</v>
      </c>
      <c r="F6783" t="str">
        <f t="shared" si="241"/>
        <v>61830000</v>
      </c>
      <c r="H6783" t="s">
        <v>2373</v>
      </c>
      <c r="J6783" s="4">
        <v>150000</v>
      </c>
    </row>
    <row r="6784" spans="1:10" hidden="1" outlineLevel="2" x14ac:dyDescent="0.35">
      <c r="A6784" t="s">
        <v>2337</v>
      </c>
      <c r="B6784" s="1">
        <v>45721</v>
      </c>
      <c r="C6784" t="str">
        <f>"672"</f>
        <v>672</v>
      </c>
      <c r="E6784" t="str">
        <f>"17292"</f>
        <v>17292</v>
      </c>
      <c r="F6784" t="str">
        <f t="shared" si="241"/>
        <v>61830000</v>
      </c>
      <c r="H6784" t="s">
        <v>2377</v>
      </c>
      <c r="J6784" s="4">
        <v>30000</v>
      </c>
    </row>
    <row r="6785" spans="1:10" hidden="1" outlineLevel="2" x14ac:dyDescent="0.35">
      <c r="A6785" t="s">
        <v>2337</v>
      </c>
      <c r="B6785" s="1">
        <v>45721</v>
      </c>
      <c r="C6785" t="str">
        <f>"673"</f>
        <v>673</v>
      </c>
      <c r="E6785" t="str">
        <f>"17293"</f>
        <v>17293</v>
      </c>
      <c r="F6785" t="str">
        <f t="shared" si="241"/>
        <v>61830000</v>
      </c>
      <c r="H6785" t="s">
        <v>2378</v>
      </c>
      <c r="J6785" s="4">
        <v>10000</v>
      </c>
    </row>
    <row r="6786" spans="1:10" hidden="1" outlineLevel="2" x14ac:dyDescent="0.35">
      <c r="A6786" t="s">
        <v>2337</v>
      </c>
      <c r="B6786" s="1">
        <v>45721</v>
      </c>
      <c r="C6786" t="str">
        <f>"674"</f>
        <v>674</v>
      </c>
      <c r="E6786" t="str">
        <f>"17294"</f>
        <v>17294</v>
      </c>
      <c r="F6786" t="str">
        <f t="shared" si="241"/>
        <v>61830000</v>
      </c>
      <c r="H6786" t="s">
        <v>2379</v>
      </c>
      <c r="J6786" s="4">
        <v>15000</v>
      </c>
    </row>
    <row r="6787" spans="1:10" hidden="1" outlineLevel="2" x14ac:dyDescent="0.35">
      <c r="A6787" t="s">
        <v>2337</v>
      </c>
      <c r="B6787" s="1">
        <v>45721</v>
      </c>
      <c r="C6787" t="str">
        <f>"675"</f>
        <v>675</v>
      </c>
      <c r="E6787" t="str">
        <f>"17295"</f>
        <v>17295</v>
      </c>
      <c r="F6787" t="str">
        <f t="shared" si="241"/>
        <v>61830000</v>
      </c>
      <c r="H6787" t="s">
        <v>2381</v>
      </c>
      <c r="J6787" s="4">
        <v>10000</v>
      </c>
    </row>
    <row r="6788" spans="1:10" hidden="1" outlineLevel="2" x14ac:dyDescent="0.35">
      <c r="A6788" t="s">
        <v>2337</v>
      </c>
      <c r="B6788" s="1">
        <v>45721</v>
      </c>
      <c r="C6788" t="str">
        <f>"675"</f>
        <v>675</v>
      </c>
      <c r="E6788" t="str">
        <f>"17295"</f>
        <v>17295</v>
      </c>
      <c r="F6788" t="str">
        <f t="shared" si="241"/>
        <v>61830000</v>
      </c>
      <c r="H6788" t="s">
        <v>2382</v>
      </c>
      <c r="J6788" s="4">
        <v>213000</v>
      </c>
    </row>
    <row r="6789" spans="1:10" hidden="1" outlineLevel="2" x14ac:dyDescent="0.35">
      <c r="A6789" t="s">
        <v>2337</v>
      </c>
      <c r="B6789" s="1">
        <v>45721</v>
      </c>
      <c r="C6789" t="str">
        <f>"679"</f>
        <v>679</v>
      </c>
      <c r="E6789" t="str">
        <f>"17299"</f>
        <v>17299</v>
      </c>
      <c r="F6789" t="str">
        <f t="shared" si="241"/>
        <v>61830000</v>
      </c>
      <c r="H6789" t="s">
        <v>2389</v>
      </c>
      <c r="J6789" s="4">
        <v>40000</v>
      </c>
    </row>
    <row r="6790" spans="1:10" hidden="1" outlineLevel="2" x14ac:dyDescent="0.35">
      <c r="A6790" t="s">
        <v>2337</v>
      </c>
      <c r="B6790" s="1">
        <v>45721</v>
      </c>
      <c r="C6790" t="str">
        <f>"681"</f>
        <v>681</v>
      </c>
      <c r="E6790" t="str">
        <f>"17301"</f>
        <v>17301</v>
      </c>
      <c r="F6790" t="str">
        <f t="shared" si="241"/>
        <v>61830000</v>
      </c>
      <c r="H6790" t="s">
        <v>2394</v>
      </c>
      <c r="J6790" s="4">
        <v>100000</v>
      </c>
    </row>
    <row r="6791" spans="1:10" hidden="1" outlineLevel="2" x14ac:dyDescent="0.35">
      <c r="A6791" t="s">
        <v>2337</v>
      </c>
      <c r="B6791" s="1">
        <v>45722</v>
      </c>
      <c r="C6791" t="str">
        <f>"685"</f>
        <v>685</v>
      </c>
      <c r="E6791" t="str">
        <f>"17034"</f>
        <v>17034</v>
      </c>
      <c r="F6791" t="str">
        <f t="shared" si="241"/>
        <v>61830000</v>
      </c>
      <c r="H6791" t="s">
        <v>2400</v>
      </c>
      <c r="J6791" s="4">
        <v>10000</v>
      </c>
    </row>
    <row r="6792" spans="1:10" hidden="1" outlineLevel="2" x14ac:dyDescent="0.35">
      <c r="A6792" t="s">
        <v>2337</v>
      </c>
      <c r="B6792" s="1">
        <v>45722</v>
      </c>
      <c r="C6792" t="str">
        <f>"687"</f>
        <v>687</v>
      </c>
      <c r="E6792" t="str">
        <f>"17306"</f>
        <v>17306</v>
      </c>
      <c r="F6792" t="str">
        <f t="shared" si="241"/>
        <v>61830000</v>
      </c>
      <c r="H6792" t="s">
        <v>2402</v>
      </c>
      <c r="J6792" s="4">
        <v>200000</v>
      </c>
    </row>
    <row r="6793" spans="1:10" hidden="1" outlineLevel="2" x14ac:dyDescent="0.35">
      <c r="A6793" t="s">
        <v>2337</v>
      </c>
      <c r="B6793" s="1">
        <v>45726</v>
      </c>
      <c r="C6793" t="str">
        <f>"698"</f>
        <v>698</v>
      </c>
      <c r="E6793" t="str">
        <f>"17317"</f>
        <v>17317</v>
      </c>
      <c r="F6793" t="str">
        <f t="shared" si="241"/>
        <v>61830000</v>
      </c>
      <c r="H6793" t="s">
        <v>2415</v>
      </c>
      <c r="J6793" s="4">
        <v>15000</v>
      </c>
    </row>
    <row r="6794" spans="1:10" hidden="1" outlineLevel="2" x14ac:dyDescent="0.35">
      <c r="A6794" t="s">
        <v>2337</v>
      </c>
      <c r="B6794" s="1">
        <v>45726</v>
      </c>
      <c r="C6794" t="str">
        <f>"700"</f>
        <v>700</v>
      </c>
      <c r="E6794" t="str">
        <f>"17319"</f>
        <v>17319</v>
      </c>
      <c r="F6794" t="str">
        <f t="shared" si="241"/>
        <v>61830000</v>
      </c>
      <c r="H6794" t="s">
        <v>2417</v>
      </c>
      <c r="J6794" s="4">
        <v>40000</v>
      </c>
    </row>
    <row r="6795" spans="1:10" hidden="1" outlineLevel="2" x14ac:dyDescent="0.35">
      <c r="A6795" t="s">
        <v>2337</v>
      </c>
      <c r="B6795" s="1">
        <v>45726</v>
      </c>
      <c r="C6795" t="str">
        <f>"701"</f>
        <v>701</v>
      </c>
      <c r="E6795" t="str">
        <f>"17320"</f>
        <v>17320</v>
      </c>
      <c r="F6795" t="str">
        <f t="shared" si="241"/>
        <v>61830000</v>
      </c>
      <c r="H6795" t="s">
        <v>2419</v>
      </c>
      <c r="J6795" s="4">
        <v>47500</v>
      </c>
    </row>
    <row r="6796" spans="1:10" hidden="1" outlineLevel="2" x14ac:dyDescent="0.35">
      <c r="A6796" t="s">
        <v>2337</v>
      </c>
      <c r="B6796" s="1">
        <v>45726</v>
      </c>
      <c r="C6796" t="str">
        <f>"703"</f>
        <v>703</v>
      </c>
      <c r="E6796" t="str">
        <f>"17322"</f>
        <v>17322</v>
      </c>
      <c r="F6796" t="str">
        <f t="shared" si="241"/>
        <v>61830000</v>
      </c>
      <c r="H6796" t="s">
        <v>2421</v>
      </c>
      <c r="J6796" s="4">
        <v>8000</v>
      </c>
    </row>
    <row r="6797" spans="1:10" hidden="1" outlineLevel="2" x14ac:dyDescent="0.35">
      <c r="A6797" t="s">
        <v>2337</v>
      </c>
      <c r="B6797" s="1">
        <v>45726</v>
      </c>
      <c r="C6797" t="str">
        <f>"705"</f>
        <v>705</v>
      </c>
      <c r="E6797" t="str">
        <f>"17324"</f>
        <v>17324</v>
      </c>
      <c r="F6797" t="str">
        <f t="shared" si="241"/>
        <v>61830000</v>
      </c>
      <c r="H6797" t="s">
        <v>2425</v>
      </c>
      <c r="J6797" s="4">
        <v>24000</v>
      </c>
    </row>
    <row r="6798" spans="1:10" hidden="1" outlineLevel="2" x14ac:dyDescent="0.35">
      <c r="A6798" t="s">
        <v>2337</v>
      </c>
      <c r="B6798" s="1">
        <v>45726</v>
      </c>
      <c r="C6798" t="str">
        <f>"706"</f>
        <v>706</v>
      </c>
      <c r="E6798" t="str">
        <f>"17325"</f>
        <v>17325</v>
      </c>
      <c r="F6798" t="str">
        <f t="shared" si="241"/>
        <v>61830000</v>
      </c>
      <c r="H6798" t="s">
        <v>2426</v>
      </c>
      <c r="J6798" s="4">
        <v>30000</v>
      </c>
    </row>
    <row r="6799" spans="1:10" hidden="1" outlineLevel="2" x14ac:dyDescent="0.35">
      <c r="A6799" t="s">
        <v>2337</v>
      </c>
      <c r="B6799" s="1">
        <v>45726</v>
      </c>
      <c r="C6799" t="str">
        <f>"707"</f>
        <v>707</v>
      </c>
      <c r="E6799" t="str">
        <f>"17326"</f>
        <v>17326</v>
      </c>
      <c r="F6799" t="str">
        <f t="shared" si="241"/>
        <v>61830000</v>
      </c>
      <c r="H6799" t="s">
        <v>2427</v>
      </c>
      <c r="J6799" s="4">
        <v>5000</v>
      </c>
    </row>
    <row r="6800" spans="1:10" hidden="1" outlineLevel="2" x14ac:dyDescent="0.35">
      <c r="A6800" t="s">
        <v>2337</v>
      </c>
      <c r="B6800" s="1">
        <v>45726</v>
      </c>
      <c r="C6800" t="str">
        <f>"708"</f>
        <v>708</v>
      </c>
      <c r="E6800" t="str">
        <f>"17327"</f>
        <v>17327</v>
      </c>
      <c r="F6800" t="str">
        <f t="shared" si="241"/>
        <v>61830000</v>
      </c>
      <c r="H6800" t="s">
        <v>2428</v>
      </c>
      <c r="J6800" s="4">
        <v>10000</v>
      </c>
    </row>
    <row r="6801" spans="1:10" hidden="1" outlineLevel="2" x14ac:dyDescent="0.35">
      <c r="A6801" t="s">
        <v>2337</v>
      </c>
      <c r="B6801" s="1">
        <v>45726</v>
      </c>
      <c r="C6801" t="str">
        <f>"709"</f>
        <v>709</v>
      </c>
      <c r="E6801" t="str">
        <f>"17328"</f>
        <v>17328</v>
      </c>
      <c r="F6801" t="str">
        <f t="shared" si="241"/>
        <v>61830000</v>
      </c>
      <c r="H6801" t="s">
        <v>2429</v>
      </c>
      <c r="J6801" s="4">
        <v>20000</v>
      </c>
    </row>
    <row r="6802" spans="1:10" hidden="1" outlineLevel="2" x14ac:dyDescent="0.35">
      <c r="A6802" t="s">
        <v>2337</v>
      </c>
      <c r="B6802" s="1">
        <v>45726</v>
      </c>
      <c r="C6802" t="str">
        <f>"712"</f>
        <v>712</v>
      </c>
      <c r="E6802" t="str">
        <f>"17331"</f>
        <v>17331</v>
      </c>
      <c r="F6802" t="str">
        <f t="shared" si="241"/>
        <v>61830000</v>
      </c>
      <c r="H6802" t="s">
        <v>2435</v>
      </c>
      <c r="J6802" s="4">
        <v>10000</v>
      </c>
    </row>
    <row r="6803" spans="1:10" hidden="1" outlineLevel="2" x14ac:dyDescent="0.35">
      <c r="A6803" t="s">
        <v>2337</v>
      </c>
      <c r="B6803" s="1">
        <v>45726</v>
      </c>
      <c r="C6803" t="str">
        <f>"713"</f>
        <v>713</v>
      </c>
      <c r="E6803" t="str">
        <f>"17332"</f>
        <v>17332</v>
      </c>
      <c r="F6803" t="str">
        <f t="shared" si="241"/>
        <v>61830000</v>
      </c>
      <c r="H6803" t="s">
        <v>2437</v>
      </c>
      <c r="J6803" s="4">
        <v>40000</v>
      </c>
    </row>
    <row r="6804" spans="1:10" hidden="1" outlineLevel="2" x14ac:dyDescent="0.35">
      <c r="A6804" t="s">
        <v>2337</v>
      </c>
      <c r="B6804" s="1">
        <v>45727</v>
      </c>
      <c r="C6804" t="str">
        <f>"719"</f>
        <v>719</v>
      </c>
      <c r="E6804" t="str">
        <f>"17338"</f>
        <v>17338</v>
      </c>
      <c r="F6804" t="str">
        <f t="shared" si="241"/>
        <v>61830000</v>
      </c>
      <c r="H6804" t="s">
        <v>2445</v>
      </c>
      <c r="J6804" s="4">
        <v>10000</v>
      </c>
    </row>
    <row r="6805" spans="1:10" hidden="1" outlineLevel="2" x14ac:dyDescent="0.35">
      <c r="A6805" t="s">
        <v>2337</v>
      </c>
      <c r="B6805" s="1">
        <v>45727</v>
      </c>
      <c r="C6805" t="str">
        <f>"720"</f>
        <v>720</v>
      </c>
      <c r="E6805" t="str">
        <f>"17339"</f>
        <v>17339</v>
      </c>
      <c r="F6805" t="str">
        <f t="shared" si="241"/>
        <v>61830000</v>
      </c>
      <c r="H6805" t="s">
        <v>2446</v>
      </c>
      <c r="J6805" s="4">
        <v>105000</v>
      </c>
    </row>
    <row r="6806" spans="1:10" hidden="1" outlineLevel="2" x14ac:dyDescent="0.35">
      <c r="A6806" t="s">
        <v>2337</v>
      </c>
      <c r="B6806" s="1">
        <v>45727</v>
      </c>
      <c r="C6806" t="str">
        <f>"722"</f>
        <v>722</v>
      </c>
      <c r="E6806" t="str">
        <f>"17341"</f>
        <v>17341</v>
      </c>
      <c r="F6806" t="str">
        <f t="shared" si="241"/>
        <v>61830000</v>
      </c>
      <c r="H6806" t="s">
        <v>2448</v>
      </c>
      <c r="J6806" s="4">
        <v>17000</v>
      </c>
    </row>
    <row r="6807" spans="1:10" hidden="1" outlineLevel="2" x14ac:dyDescent="0.35">
      <c r="A6807" t="s">
        <v>2337</v>
      </c>
      <c r="B6807" s="1">
        <v>45727</v>
      </c>
      <c r="C6807" t="str">
        <f>"723"</f>
        <v>723</v>
      </c>
      <c r="E6807" t="str">
        <f>"17342"</f>
        <v>17342</v>
      </c>
      <c r="F6807" t="str">
        <f t="shared" si="241"/>
        <v>61830000</v>
      </c>
      <c r="H6807" t="s">
        <v>2449</v>
      </c>
      <c r="J6807" s="4">
        <v>10000</v>
      </c>
    </row>
    <row r="6808" spans="1:10" hidden="1" outlineLevel="2" x14ac:dyDescent="0.35">
      <c r="A6808" t="s">
        <v>2337</v>
      </c>
      <c r="B6808" s="1">
        <v>45727</v>
      </c>
      <c r="C6808" t="str">
        <f>"724"</f>
        <v>724</v>
      </c>
      <c r="E6808" t="str">
        <f>"17343"</f>
        <v>17343</v>
      </c>
      <c r="F6808" t="str">
        <f t="shared" si="241"/>
        <v>61830000</v>
      </c>
      <c r="H6808" t="s">
        <v>2450</v>
      </c>
      <c r="J6808" s="4">
        <v>35000</v>
      </c>
    </row>
    <row r="6809" spans="1:10" hidden="1" outlineLevel="2" x14ac:dyDescent="0.35">
      <c r="A6809" t="s">
        <v>2337</v>
      </c>
      <c r="B6809" s="1">
        <v>45727</v>
      </c>
      <c r="C6809" t="str">
        <f>"729"</f>
        <v>729</v>
      </c>
      <c r="E6809" t="str">
        <f>"17348"</f>
        <v>17348</v>
      </c>
      <c r="F6809" t="str">
        <f t="shared" si="241"/>
        <v>61830000</v>
      </c>
      <c r="H6809" t="s">
        <v>2455</v>
      </c>
      <c r="J6809" s="4">
        <v>15000</v>
      </c>
    </row>
    <row r="6810" spans="1:10" hidden="1" outlineLevel="2" x14ac:dyDescent="0.35">
      <c r="A6810" t="s">
        <v>2337</v>
      </c>
      <c r="B6810" s="1">
        <v>45728</v>
      </c>
      <c r="C6810" t="str">
        <f>"731"</f>
        <v>731</v>
      </c>
      <c r="E6810" t="str">
        <f>"17350"</f>
        <v>17350</v>
      </c>
      <c r="F6810" t="str">
        <f t="shared" si="241"/>
        <v>61830000</v>
      </c>
      <c r="H6810" t="s">
        <v>2457</v>
      </c>
      <c r="J6810" s="4">
        <v>10000</v>
      </c>
    </row>
    <row r="6811" spans="1:10" hidden="1" outlineLevel="2" x14ac:dyDescent="0.35">
      <c r="A6811" t="s">
        <v>2337</v>
      </c>
      <c r="B6811" s="1">
        <v>45728</v>
      </c>
      <c r="C6811" t="str">
        <f>"732"</f>
        <v>732</v>
      </c>
      <c r="E6811" t="str">
        <f>"17351"</f>
        <v>17351</v>
      </c>
      <c r="F6811" t="str">
        <f t="shared" si="241"/>
        <v>61830000</v>
      </c>
      <c r="H6811" t="s">
        <v>2459</v>
      </c>
      <c r="J6811" s="4">
        <v>314000</v>
      </c>
    </row>
    <row r="6812" spans="1:10" hidden="1" outlineLevel="2" x14ac:dyDescent="0.35">
      <c r="A6812" t="s">
        <v>2337</v>
      </c>
      <c r="B6812" s="1">
        <v>45728</v>
      </c>
      <c r="C6812" t="str">
        <f>"741"</f>
        <v>741</v>
      </c>
      <c r="E6812" t="str">
        <f>"17360"</f>
        <v>17360</v>
      </c>
      <c r="F6812" t="str">
        <f t="shared" ref="F6812:F6843" si="242">"61830000"</f>
        <v>61830000</v>
      </c>
      <c r="H6812" t="s">
        <v>2477</v>
      </c>
      <c r="J6812" s="4">
        <v>45000</v>
      </c>
    </row>
    <row r="6813" spans="1:10" hidden="1" outlineLevel="2" x14ac:dyDescent="0.35">
      <c r="A6813" t="s">
        <v>2337</v>
      </c>
      <c r="B6813" s="1">
        <v>45729</v>
      </c>
      <c r="C6813" t="str">
        <f>"747"</f>
        <v>747</v>
      </c>
      <c r="E6813" t="str">
        <f>"17366"</f>
        <v>17366</v>
      </c>
      <c r="F6813" t="str">
        <f t="shared" si="242"/>
        <v>61830000</v>
      </c>
      <c r="H6813" t="s">
        <v>2486</v>
      </c>
      <c r="J6813" s="4">
        <v>35000</v>
      </c>
    </row>
    <row r="6814" spans="1:10" hidden="1" outlineLevel="2" x14ac:dyDescent="0.35">
      <c r="A6814" t="s">
        <v>2337</v>
      </c>
      <c r="B6814" s="1">
        <v>45729</v>
      </c>
      <c r="C6814" t="str">
        <f>"754"</f>
        <v>754</v>
      </c>
      <c r="E6814" t="str">
        <f>"17373"</f>
        <v>17373</v>
      </c>
      <c r="F6814" t="str">
        <f t="shared" si="242"/>
        <v>61830000</v>
      </c>
      <c r="H6814" t="s">
        <v>2494</v>
      </c>
      <c r="J6814" s="4">
        <v>45000</v>
      </c>
    </row>
    <row r="6815" spans="1:10" hidden="1" outlineLevel="2" x14ac:dyDescent="0.35">
      <c r="A6815" t="s">
        <v>2337</v>
      </c>
      <c r="B6815" s="1">
        <v>45730</v>
      </c>
      <c r="C6815" t="str">
        <f>"756"</f>
        <v>756</v>
      </c>
      <c r="E6815" t="str">
        <f>"17375"</f>
        <v>17375</v>
      </c>
      <c r="F6815" t="str">
        <f t="shared" si="242"/>
        <v>61830000</v>
      </c>
      <c r="H6815" t="s">
        <v>2497</v>
      </c>
      <c r="J6815" s="4">
        <v>15000</v>
      </c>
    </row>
    <row r="6816" spans="1:10" hidden="1" outlineLevel="2" x14ac:dyDescent="0.35">
      <c r="A6816" t="s">
        <v>2337</v>
      </c>
      <c r="B6816" s="1">
        <v>45730</v>
      </c>
      <c r="C6816" t="str">
        <f>"757"</f>
        <v>757</v>
      </c>
      <c r="E6816" t="str">
        <f>"17376"</f>
        <v>17376</v>
      </c>
      <c r="F6816" t="str">
        <f t="shared" si="242"/>
        <v>61830000</v>
      </c>
      <c r="H6816" t="s">
        <v>2498</v>
      </c>
      <c r="J6816" s="4">
        <v>10000</v>
      </c>
    </row>
    <row r="6817" spans="1:10" hidden="1" outlineLevel="2" x14ac:dyDescent="0.35">
      <c r="A6817" t="s">
        <v>2337</v>
      </c>
      <c r="B6817" s="1">
        <v>45730</v>
      </c>
      <c r="C6817" t="str">
        <f>"759"</f>
        <v>759</v>
      </c>
      <c r="E6817" t="str">
        <f>"17378"</f>
        <v>17378</v>
      </c>
      <c r="F6817" t="str">
        <f t="shared" si="242"/>
        <v>61830000</v>
      </c>
      <c r="H6817" t="s">
        <v>2500</v>
      </c>
      <c r="J6817" s="4">
        <v>10000</v>
      </c>
    </row>
    <row r="6818" spans="1:10" hidden="1" outlineLevel="2" x14ac:dyDescent="0.35">
      <c r="A6818" t="s">
        <v>2337</v>
      </c>
      <c r="B6818" s="1">
        <v>45730</v>
      </c>
      <c r="C6818" t="str">
        <f>"761"</f>
        <v>761</v>
      </c>
      <c r="E6818" t="str">
        <f>"17380"</f>
        <v>17380</v>
      </c>
      <c r="F6818" t="str">
        <f t="shared" si="242"/>
        <v>61830000</v>
      </c>
      <c r="H6818" t="s">
        <v>2502</v>
      </c>
      <c r="J6818" s="4">
        <v>15000</v>
      </c>
    </row>
    <row r="6819" spans="1:10" hidden="1" outlineLevel="2" x14ac:dyDescent="0.35">
      <c r="A6819" t="s">
        <v>2337</v>
      </c>
      <c r="B6819" s="1">
        <v>45733</v>
      </c>
      <c r="C6819" t="str">
        <f>"767"</f>
        <v>767</v>
      </c>
      <c r="E6819" t="str">
        <f>"17386"</f>
        <v>17386</v>
      </c>
      <c r="F6819" t="str">
        <f t="shared" si="242"/>
        <v>61830000</v>
      </c>
      <c r="H6819" t="s">
        <v>2513</v>
      </c>
      <c r="J6819" s="4">
        <v>150000</v>
      </c>
    </row>
    <row r="6820" spans="1:10" hidden="1" outlineLevel="2" x14ac:dyDescent="0.35">
      <c r="A6820" t="s">
        <v>2337</v>
      </c>
      <c r="B6820" s="1">
        <v>45733</v>
      </c>
      <c r="C6820" t="str">
        <f>"768"</f>
        <v>768</v>
      </c>
      <c r="E6820" t="str">
        <f>"17387"</f>
        <v>17387</v>
      </c>
      <c r="F6820" t="str">
        <f t="shared" si="242"/>
        <v>61830000</v>
      </c>
      <c r="H6820" t="s">
        <v>2514</v>
      </c>
      <c r="J6820" s="4">
        <v>89000</v>
      </c>
    </row>
    <row r="6821" spans="1:10" hidden="1" outlineLevel="2" x14ac:dyDescent="0.35">
      <c r="A6821" t="s">
        <v>2337</v>
      </c>
      <c r="B6821" s="1">
        <v>45733</v>
      </c>
      <c r="C6821" t="str">
        <f>"769"</f>
        <v>769</v>
      </c>
      <c r="E6821" t="str">
        <f>"17388"</f>
        <v>17388</v>
      </c>
      <c r="F6821" t="str">
        <f t="shared" si="242"/>
        <v>61830000</v>
      </c>
      <c r="H6821" t="s">
        <v>2515</v>
      </c>
      <c r="J6821" s="4">
        <v>56000</v>
      </c>
    </row>
    <row r="6822" spans="1:10" hidden="1" outlineLevel="2" x14ac:dyDescent="0.35">
      <c r="A6822" t="s">
        <v>2337</v>
      </c>
      <c r="B6822" s="1">
        <v>45733</v>
      </c>
      <c r="C6822" t="str">
        <f>"771"</f>
        <v>771</v>
      </c>
      <c r="E6822" t="str">
        <f>"17390"</f>
        <v>17390</v>
      </c>
      <c r="F6822" t="str">
        <f t="shared" si="242"/>
        <v>61830000</v>
      </c>
      <c r="H6822" t="s">
        <v>2517</v>
      </c>
      <c r="J6822" s="4">
        <v>162000</v>
      </c>
    </row>
    <row r="6823" spans="1:10" hidden="1" outlineLevel="2" x14ac:dyDescent="0.35">
      <c r="A6823" t="s">
        <v>2337</v>
      </c>
      <c r="B6823" s="1">
        <v>45733</v>
      </c>
      <c r="C6823" t="str">
        <f>"772"</f>
        <v>772</v>
      </c>
      <c r="E6823" t="str">
        <f>"17391"</f>
        <v>17391</v>
      </c>
      <c r="F6823" t="str">
        <f t="shared" si="242"/>
        <v>61830000</v>
      </c>
      <c r="H6823" t="s">
        <v>2518</v>
      </c>
      <c r="J6823" s="4">
        <v>40000</v>
      </c>
    </row>
    <row r="6824" spans="1:10" hidden="1" outlineLevel="2" x14ac:dyDescent="0.35">
      <c r="A6824" t="s">
        <v>2337</v>
      </c>
      <c r="B6824" s="1">
        <v>45733</v>
      </c>
      <c r="C6824" t="str">
        <f>"774"</f>
        <v>774</v>
      </c>
      <c r="E6824" t="str">
        <f>"17393"</f>
        <v>17393</v>
      </c>
      <c r="F6824" t="str">
        <f t="shared" si="242"/>
        <v>61830000</v>
      </c>
      <c r="H6824" t="s">
        <v>2522</v>
      </c>
      <c r="J6824" s="4">
        <v>10000</v>
      </c>
    </row>
    <row r="6825" spans="1:10" hidden="1" outlineLevel="2" x14ac:dyDescent="0.35">
      <c r="A6825" t="s">
        <v>2337</v>
      </c>
      <c r="B6825" s="1">
        <v>45734</v>
      </c>
      <c r="C6825" t="str">
        <f>"790"</f>
        <v>790</v>
      </c>
      <c r="E6825" t="str">
        <f>"17397"</f>
        <v>17397</v>
      </c>
      <c r="F6825" t="str">
        <f t="shared" si="242"/>
        <v>61830000</v>
      </c>
      <c r="H6825" t="s">
        <v>2528</v>
      </c>
      <c r="J6825" s="4">
        <v>10000</v>
      </c>
    </row>
    <row r="6826" spans="1:10" hidden="1" outlineLevel="2" x14ac:dyDescent="0.35">
      <c r="A6826" t="s">
        <v>2337</v>
      </c>
      <c r="B6826" s="1">
        <v>45734</v>
      </c>
      <c r="C6826" t="str">
        <f>"791"</f>
        <v>791</v>
      </c>
      <c r="E6826" t="str">
        <f>"17398"</f>
        <v>17398</v>
      </c>
      <c r="F6826" t="str">
        <f t="shared" si="242"/>
        <v>61830000</v>
      </c>
      <c r="H6826" t="s">
        <v>2529</v>
      </c>
      <c r="J6826" s="4">
        <v>10000</v>
      </c>
    </row>
    <row r="6827" spans="1:10" hidden="1" outlineLevel="2" x14ac:dyDescent="0.35">
      <c r="A6827" t="s">
        <v>2337</v>
      </c>
      <c r="B6827" s="1">
        <v>45734</v>
      </c>
      <c r="C6827" t="str">
        <f>"792"</f>
        <v>792</v>
      </c>
      <c r="E6827" t="str">
        <f>"17399"</f>
        <v>17399</v>
      </c>
      <c r="F6827" t="str">
        <f t="shared" si="242"/>
        <v>61830000</v>
      </c>
      <c r="H6827" t="s">
        <v>2530</v>
      </c>
      <c r="J6827" s="4">
        <v>20700</v>
      </c>
    </row>
    <row r="6828" spans="1:10" hidden="1" outlineLevel="2" x14ac:dyDescent="0.35">
      <c r="A6828" t="s">
        <v>2337</v>
      </c>
      <c r="B6828" s="1">
        <v>45734</v>
      </c>
      <c r="C6828" t="str">
        <f>"793"</f>
        <v>793</v>
      </c>
      <c r="E6828" t="str">
        <f>"17400"</f>
        <v>17400</v>
      </c>
      <c r="F6828" t="str">
        <f t="shared" si="242"/>
        <v>61830000</v>
      </c>
      <c r="H6828" t="s">
        <v>2338</v>
      </c>
      <c r="J6828" s="4">
        <v>17000</v>
      </c>
    </row>
    <row r="6829" spans="1:10" hidden="1" outlineLevel="2" x14ac:dyDescent="0.35">
      <c r="A6829" t="s">
        <v>2337</v>
      </c>
      <c r="B6829" s="1">
        <v>45734</v>
      </c>
      <c r="C6829" t="str">
        <f>"794"</f>
        <v>794</v>
      </c>
      <c r="E6829" t="str">
        <f>"17451"</f>
        <v>17451</v>
      </c>
      <c r="F6829" t="str">
        <f t="shared" si="242"/>
        <v>61830000</v>
      </c>
      <c r="H6829" t="s">
        <v>2531</v>
      </c>
      <c r="J6829" s="4">
        <v>28000</v>
      </c>
    </row>
    <row r="6830" spans="1:10" hidden="1" outlineLevel="2" x14ac:dyDescent="0.35">
      <c r="A6830" t="s">
        <v>2337</v>
      </c>
      <c r="B6830" s="1">
        <v>45735</v>
      </c>
      <c r="C6830" t="str">
        <f>"798"</f>
        <v>798</v>
      </c>
      <c r="E6830" t="str">
        <f>"17454"</f>
        <v>17454</v>
      </c>
      <c r="F6830" t="str">
        <f t="shared" si="242"/>
        <v>61830000</v>
      </c>
      <c r="H6830" t="s">
        <v>2534</v>
      </c>
      <c r="J6830" s="4">
        <v>30000</v>
      </c>
    </row>
    <row r="6831" spans="1:10" hidden="1" outlineLevel="2" x14ac:dyDescent="0.35">
      <c r="A6831" t="s">
        <v>2337</v>
      </c>
      <c r="B6831" s="1">
        <v>45736</v>
      </c>
      <c r="C6831" t="str">
        <f>"806"</f>
        <v>806</v>
      </c>
      <c r="E6831" t="str">
        <f>"17462"</f>
        <v>17462</v>
      </c>
      <c r="F6831" t="str">
        <f t="shared" si="242"/>
        <v>61830000</v>
      </c>
      <c r="H6831" t="s">
        <v>2549</v>
      </c>
      <c r="J6831" s="4">
        <v>100000</v>
      </c>
    </row>
    <row r="6832" spans="1:10" hidden="1" outlineLevel="2" x14ac:dyDescent="0.35">
      <c r="A6832" t="s">
        <v>2337</v>
      </c>
      <c r="B6832" s="1">
        <v>45736</v>
      </c>
      <c r="C6832" t="str">
        <f>"807"</f>
        <v>807</v>
      </c>
      <c r="E6832" t="str">
        <f>"17463"</f>
        <v>17463</v>
      </c>
      <c r="F6832" t="str">
        <f t="shared" si="242"/>
        <v>61830000</v>
      </c>
      <c r="H6832" t="s">
        <v>2551</v>
      </c>
      <c r="J6832" s="4">
        <v>10000</v>
      </c>
    </row>
    <row r="6833" spans="1:10" hidden="1" outlineLevel="2" x14ac:dyDescent="0.35">
      <c r="A6833" t="s">
        <v>2337</v>
      </c>
      <c r="B6833" s="1">
        <v>45736</v>
      </c>
      <c r="C6833" t="str">
        <f>"811"</f>
        <v>811</v>
      </c>
      <c r="E6833" t="str">
        <f>"17467"</f>
        <v>17467</v>
      </c>
      <c r="F6833" t="str">
        <f t="shared" si="242"/>
        <v>61830000</v>
      </c>
      <c r="H6833" t="s">
        <v>2555</v>
      </c>
      <c r="J6833" s="4">
        <v>10000</v>
      </c>
    </row>
    <row r="6834" spans="1:10" hidden="1" outlineLevel="2" x14ac:dyDescent="0.35">
      <c r="A6834" t="s">
        <v>2337</v>
      </c>
      <c r="B6834" s="1">
        <v>45736</v>
      </c>
      <c r="C6834" t="str">
        <f>"812"</f>
        <v>812</v>
      </c>
      <c r="E6834" t="str">
        <f>"17468"</f>
        <v>17468</v>
      </c>
      <c r="F6834" t="str">
        <f t="shared" si="242"/>
        <v>61830000</v>
      </c>
      <c r="H6834" t="s">
        <v>2556</v>
      </c>
      <c r="J6834" s="4">
        <v>15000</v>
      </c>
    </row>
    <row r="6835" spans="1:10" hidden="1" outlineLevel="2" x14ac:dyDescent="0.35">
      <c r="A6835" t="s">
        <v>2337</v>
      </c>
      <c r="B6835" s="1">
        <v>45737</v>
      </c>
      <c r="C6835" t="str">
        <f>"816"</f>
        <v>816</v>
      </c>
      <c r="E6835" t="str">
        <f>"17472"</f>
        <v>17472</v>
      </c>
      <c r="F6835" t="str">
        <f t="shared" si="242"/>
        <v>61830000</v>
      </c>
      <c r="H6835" t="s">
        <v>2562</v>
      </c>
      <c r="J6835" s="4">
        <v>35000</v>
      </c>
    </row>
    <row r="6836" spans="1:10" hidden="1" outlineLevel="2" x14ac:dyDescent="0.35">
      <c r="A6836" t="s">
        <v>2337</v>
      </c>
      <c r="B6836" s="1">
        <v>45737</v>
      </c>
      <c r="C6836" t="str">
        <f>"817"</f>
        <v>817</v>
      </c>
      <c r="E6836" t="str">
        <f>"17473"</f>
        <v>17473</v>
      </c>
      <c r="F6836" t="str">
        <f t="shared" si="242"/>
        <v>61830000</v>
      </c>
      <c r="H6836" t="s">
        <v>2564</v>
      </c>
      <c r="J6836" s="4">
        <v>10000</v>
      </c>
    </row>
    <row r="6837" spans="1:10" hidden="1" outlineLevel="2" x14ac:dyDescent="0.35">
      <c r="A6837" t="s">
        <v>2337</v>
      </c>
      <c r="B6837" s="1">
        <v>45737</v>
      </c>
      <c r="C6837" t="str">
        <f>"818"</f>
        <v>818</v>
      </c>
      <c r="E6837" t="str">
        <f>"17474"</f>
        <v>17474</v>
      </c>
      <c r="F6837" t="str">
        <f t="shared" si="242"/>
        <v>61830000</v>
      </c>
      <c r="H6837" t="s">
        <v>2566</v>
      </c>
      <c r="J6837" s="4">
        <v>5000</v>
      </c>
    </row>
    <row r="6838" spans="1:10" hidden="1" outlineLevel="2" x14ac:dyDescent="0.35">
      <c r="A6838" t="s">
        <v>2337</v>
      </c>
      <c r="B6838" s="1">
        <v>45737</v>
      </c>
      <c r="C6838" t="str">
        <f>"820"</f>
        <v>820</v>
      </c>
      <c r="E6838" t="str">
        <f>"17476"</f>
        <v>17476</v>
      </c>
      <c r="F6838" t="str">
        <f t="shared" si="242"/>
        <v>61830000</v>
      </c>
      <c r="H6838" t="s">
        <v>2569</v>
      </c>
      <c r="J6838" s="4">
        <v>339000</v>
      </c>
    </row>
    <row r="6839" spans="1:10" hidden="1" outlineLevel="2" x14ac:dyDescent="0.35">
      <c r="A6839" t="s">
        <v>2337</v>
      </c>
      <c r="B6839" s="1">
        <v>45737</v>
      </c>
      <c r="C6839" t="str">
        <f>"820"</f>
        <v>820</v>
      </c>
      <c r="E6839" t="str">
        <f>"17476"</f>
        <v>17476</v>
      </c>
      <c r="F6839" t="str">
        <f t="shared" si="242"/>
        <v>61830000</v>
      </c>
      <c r="H6839" t="s">
        <v>2570</v>
      </c>
      <c r="J6839" s="4">
        <v>10000</v>
      </c>
    </row>
    <row r="6840" spans="1:10" hidden="1" outlineLevel="2" x14ac:dyDescent="0.35">
      <c r="A6840" t="s">
        <v>2337</v>
      </c>
      <c r="B6840" s="1">
        <v>45737</v>
      </c>
      <c r="C6840" t="str">
        <f>"824"</f>
        <v>824</v>
      </c>
      <c r="E6840" t="str">
        <f>"17480"</f>
        <v>17480</v>
      </c>
      <c r="F6840" t="str">
        <f t="shared" si="242"/>
        <v>61830000</v>
      </c>
      <c r="H6840" t="s">
        <v>2580</v>
      </c>
      <c r="J6840" s="4">
        <v>132000</v>
      </c>
    </row>
    <row r="6841" spans="1:10" hidden="1" outlineLevel="2" x14ac:dyDescent="0.35">
      <c r="A6841" t="s">
        <v>2337</v>
      </c>
      <c r="B6841" s="1">
        <v>45737</v>
      </c>
      <c r="C6841" t="str">
        <f>"825"</f>
        <v>825</v>
      </c>
      <c r="E6841" t="str">
        <f>"17481"</f>
        <v>17481</v>
      </c>
      <c r="F6841" t="str">
        <f t="shared" si="242"/>
        <v>61830000</v>
      </c>
      <c r="H6841" t="s">
        <v>2435</v>
      </c>
      <c r="J6841" s="4">
        <v>10000</v>
      </c>
    </row>
    <row r="6842" spans="1:10" hidden="1" outlineLevel="2" x14ac:dyDescent="0.35">
      <c r="A6842" t="s">
        <v>2337</v>
      </c>
      <c r="B6842" s="1">
        <v>45737</v>
      </c>
      <c r="C6842" t="str">
        <f>"826"</f>
        <v>826</v>
      </c>
      <c r="E6842" t="str">
        <f>"17482"</f>
        <v>17482</v>
      </c>
      <c r="F6842" t="str">
        <f t="shared" si="242"/>
        <v>61830000</v>
      </c>
      <c r="H6842" t="s">
        <v>2581</v>
      </c>
      <c r="J6842" s="4">
        <v>15000</v>
      </c>
    </row>
    <row r="6843" spans="1:10" hidden="1" outlineLevel="2" x14ac:dyDescent="0.35">
      <c r="A6843" t="s">
        <v>2337</v>
      </c>
      <c r="B6843" s="1">
        <v>45737</v>
      </c>
      <c r="C6843" t="str">
        <f>"828"</f>
        <v>828</v>
      </c>
      <c r="E6843" t="str">
        <f>"17484"</f>
        <v>17484</v>
      </c>
      <c r="F6843" t="str">
        <f t="shared" si="242"/>
        <v>61830000</v>
      </c>
      <c r="H6843" t="s">
        <v>2583</v>
      </c>
      <c r="J6843" s="4">
        <v>20000</v>
      </c>
    </row>
    <row r="6844" spans="1:10" hidden="1" outlineLevel="2" x14ac:dyDescent="0.35">
      <c r="A6844" t="s">
        <v>2337</v>
      </c>
      <c r="B6844" s="1">
        <v>45737</v>
      </c>
      <c r="C6844" t="str">
        <f>"830"</f>
        <v>830</v>
      </c>
      <c r="E6844" t="str">
        <f>"17486"</f>
        <v>17486</v>
      </c>
      <c r="F6844" t="str">
        <f t="shared" ref="F6844:F6870" si="243">"61830000"</f>
        <v>61830000</v>
      </c>
      <c r="H6844" t="s">
        <v>2585</v>
      </c>
      <c r="J6844" s="4">
        <v>155000</v>
      </c>
    </row>
    <row r="6845" spans="1:10" hidden="1" outlineLevel="2" x14ac:dyDescent="0.35">
      <c r="A6845" t="s">
        <v>2337</v>
      </c>
      <c r="B6845" s="1">
        <v>45740</v>
      </c>
      <c r="C6845" t="str">
        <f>"834"</f>
        <v>834</v>
      </c>
      <c r="E6845" t="str">
        <f>"17490"</f>
        <v>17490</v>
      </c>
      <c r="F6845" t="str">
        <f t="shared" si="243"/>
        <v>61830000</v>
      </c>
      <c r="H6845" t="s">
        <v>2589</v>
      </c>
      <c r="J6845" s="4">
        <v>35000</v>
      </c>
    </row>
    <row r="6846" spans="1:10" hidden="1" outlineLevel="2" x14ac:dyDescent="0.35">
      <c r="A6846" t="s">
        <v>2337</v>
      </c>
      <c r="B6846" s="1">
        <v>45740</v>
      </c>
      <c r="C6846" t="str">
        <f>"835"</f>
        <v>835</v>
      </c>
      <c r="E6846" t="str">
        <f>"17491"</f>
        <v>17491</v>
      </c>
      <c r="F6846" t="str">
        <f t="shared" si="243"/>
        <v>61830000</v>
      </c>
      <c r="H6846" t="s">
        <v>2590</v>
      </c>
      <c r="J6846" s="4">
        <v>40000</v>
      </c>
    </row>
    <row r="6847" spans="1:10" hidden="1" outlineLevel="2" x14ac:dyDescent="0.35">
      <c r="A6847" t="s">
        <v>2337</v>
      </c>
      <c r="B6847" s="1">
        <v>45740</v>
      </c>
      <c r="C6847" t="str">
        <f>"840"</f>
        <v>840</v>
      </c>
      <c r="E6847" t="str">
        <f>"17496"</f>
        <v>17496</v>
      </c>
      <c r="F6847" t="str">
        <f t="shared" si="243"/>
        <v>61830000</v>
      </c>
      <c r="H6847" t="s">
        <v>2595</v>
      </c>
      <c r="J6847" s="4">
        <v>51000</v>
      </c>
    </row>
    <row r="6848" spans="1:10" hidden="1" outlineLevel="2" x14ac:dyDescent="0.35">
      <c r="A6848" t="s">
        <v>2337</v>
      </c>
      <c r="B6848" s="1">
        <v>45740</v>
      </c>
      <c r="C6848" t="str">
        <f>"841"</f>
        <v>841</v>
      </c>
      <c r="E6848" t="str">
        <f>"17497"</f>
        <v>17497</v>
      </c>
      <c r="F6848" t="str">
        <f t="shared" si="243"/>
        <v>61830000</v>
      </c>
      <c r="H6848" t="s">
        <v>2596</v>
      </c>
      <c r="J6848" s="4">
        <v>11000</v>
      </c>
    </row>
    <row r="6849" spans="1:10" hidden="1" outlineLevel="2" x14ac:dyDescent="0.35">
      <c r="A6849" t="s">
        <v>2337</v>
      </c>
      <c r="B6849" s="1">
        <v>45740</v>
      </c>
      <c r="C6849" t="str">
        <f>"842"</f>
        <v>842</v>
      </c>
      <c r="E6849" t="str">
        <f>"17498"</f>
        <v>17498</v>
      </c>
      <c r="F6849" t="str">
        <f t="shared" si="243"/>
        <v>61830000</v>
      </c>
      <c r="H6849" t="s">
        <v>2597</v>
      </c>
      <c r="J6849" s="4">
        <v>45000</v>
      </c>
    </row>
    <row r="6850" spans="1:10" hidden="1" outlineLevel="2" x14ac:dyDescent="0.35">
      <c r="A6850" t="s">
        <v>2337</v>
      </c>
      <c r="B6850" s="1">
        <v>45740</v>
      </c>
      <c r="C6850" t="str">
        <f>"843"</f>
        <v>843</v>
      </c>
      <c r="E6850" t="str">
        <f>"17499"</f>
        <v>17499</v>
      </c>
      <c r="F6850" t="str">
        <f t="shared" si="243"/>
        <v>61830000</v>
      </c>
      <c r="H6850" t="s">
        <v>2598</v>
      </c>
      <c r="J6850" s="4">
        <v>14000</v>
      </c>
    </row>
    <row r="6851" spans="1:10" hidden="1" outlineLevel="2" x14ac:dyDescent="0.35">
      <c r="A6851" t="s">
        <v>2337</v>
      </c>
      <c r="B6851" s="1">
        <v>45740</v>
      </c>
      <c r="C6851" t="str">
        <f>"846"</f>
        <v>846</v>
      </c>
      <c r="E6851" t="str">
        <f>"15855"</f>
        <v>15855</v>
      </c>
      <c r="F6851" t="str">
        <f t="shared" si="243"/>
        <v>61830000</v>
      </c>
      <c r="H6851" t="s">
        <v>2601</v>
      </c>
      <c r="J6851" s="4">
        <v>138000</v>
      </c>
    </row>
    <row r="6852" spans="1:10" hidden="1" outlineLevel="2" x14ac:dyDescent="0.35">
      <c r="A6852" t="s">
        <v>2337</v>
      </c>
      <c r="B6852" s="1">
        <v>45740</v>
      </c>
      <c r="C6852" t="str">
        <f>"847"</f>
        <v>847</v>
      </c>
      <c r="E6852" t="str">
        <f>"15856"</f>
        <v>15856</v>
      </c>
      <c r="F6852" t="str">
        <f t="shared" si="243"/>
        <v>61830000</v>
      </c>
      <c r="H6852" t="s">
        <v>2602</v>
      </c>
      <c r="J6852" s="4">
        <v>60000</v>
      </c>
    </row>
    <row r="6853" spans="1:10" hidden="1" outlineLevel="2" x14ac:dyDescent="0.35">
      <c r="A6853" t="s">
        <v>2337</v>
      </c>
      <c r="B6853" s="1">
        <v>45741</v>
      </c>
      <c r="C6853" t="str">
        <f>"850"</f>
        <v>850</v>
      </c>
      <c r="E6853" t="str">
        <f>"15858"</f>
        <v>15858</v>
      </c>
      <c r="F6853" t="str">
        <f t="shared" si="243"/>
        <v>61830000</v>
      </c>
      <c r="H6853" t="s">
        <v>2606</v>
      </c>
      <c r="J6853" s="4">
        <v>15000</v>
      </c>
    </row>
    <row r="6854" spans="1:10" hidden="1" outlineLevel="2" x14ac:dyDescent="0.35">
      <c r="A6854" t="s">
        <v>2337</v>
      </c>
      <c r="B6854" s="1">
        <v>45741</v>
      </c>
      <c r="C6854" t="str">
        <f>"853"</f>
        <v>853</v>
      </c>
      <c r="E6854" t="str">
        <f>"15861"</f>
        <v>15861</v>
      </c>
      <c r="F6854" t="str">
        <f t="shared" si="243"/>
        <v>61830000</v>
      </c>
      <c r="H6854" t="s">
        <v>2609</v>
      </c>
      <c r="J6854" s="4">
        <v>15000</v>
      </c>
    </row>
    <row r="6855" spans="1:10" hidden="1" outlineLevel="2" x14ac:dyDescent="0.35">
      <c r="A6855" t="s">
        <v>2337</v>
      </c>
      <c r="B6855" s="1">
        <v>45741</v>
      </c>
      <c r="C6855" t="str">
        <f>"854"</f>
        <v>854</v>
      </c>
      <c r="E6855" t="str">
        <f>"15862"</f>
        <v>15862</v>
      </c>
      <c r="F6855" t="str">
        <f t="shared" si="243"/>
        <v>61830000</v>
      </c>
      <c r="H6855" t="s">
        <v>2610</v>
      </c>
      <c r="J6855" s="4">
        <v>60000</v>
      </c>
    </row>
    <row r="6856" spans="1:10" hidden="1" outlineLevel="2" x14ac:dyDescent="0.35">
      <c r="A6856" t="s">
        <v>2337</v>
      </c>
      <c r="B6856" s="1">
        <v>45742</v>
      </c>
      <c r="C6856" t="str">
        <f>"864"</f>
        <v>864</v>
      </c>
      <c r="E6856" t="str">
        <f>"15871"</f>
        <v>15871</v>
      </c>
      <c r="F6856" t="str">
        <f t="shared" si="243"/>
        <v>61830000</v>
      </c>
      <c r="H6856" t="s">
        <v>2620</v>
      </c>
      <c r="J6856" s="4">
        <v>34000</v>
      </c>
    </row>
    <row r="6857" spans="1:10" hidden="1" outlineLevel="2" x14ac:dyDescent="0.35">
      <c r="A6857" t="s">
        <v>2337</v>
      </c>
      <c r="B6857" s="1">
        <v>45742</v>
      </c>
      <c r="C6857" t="str">
        <f>"865"</f>
        <v>865</v>
      </c>
      <c r="E6857" t="str">
        <f>"15872"</f>
        <v>15872</v>
      </c>
      <c r="F6857" t="str">
        <f t="shared" si="243"/>
        <v>61830000</v>
      </c>
      <c r="H6857" t="s">
        <v>2621</v>
      </c>
      <c r="J6857" s="4">
        <v>15000</v>
      </c>
    </row>
    <row r="6858" spans="1:10" hidden="1" outlineLevel="2" x14ac:dyDescent="0.35">
      <c r="A6858" t="s">
        <v>2337</v>
      </c>
      <c r="B6858" s="1">
        <v>45742</v>
      </c>
      <c r="C6858" t="str">
        <f>"866"</f>
        <v>866</v>
      </c>
      <c r="E6858" t="str">
        <f>"15873"</f>
        <v>15873</v>
      </c>
      <c r="F6858" t="str">
        <f t="shared" si="243"/>
        <v>61830000</v>
      </c>
      <c r="H6858" t="s">
        <v>2622</v>
      </c>
      <c r="J6858" s="4">
        <v>108000</v>
      </c>
    </row>
    <row r="6859" spans="1:10" hidden="1" outlineLevel="2" x14ac:dyDescent="0.35">
      <c r="A6859" t="s">
        <v>2337</v>
      </c>
      <c r="B6859" s="1">
        <v>45744</v>
      </c>
      <c r="C6859" t="str">
        <f>"871"</f>
        <v>871</v>
      </c>
      <c r="E6859" t="str">
        <f>"15877"</f>
        <v>15877</v>
      </c>
      <c r="F6859" t="str">
        <f t="shared" si="243"/>
        <v>61830000</v>
      </c>
      <c r="H6859" t="s">
        <v>2630</v>
      </c>
      <c r="J6859" s="4">
        <v>20000</v>
      </c>
    </row>
    <row r="6860" spans="1:10" hidden="1" outlineLevel="2" x14ac:dyDescent="0.35">
      <c r="A6860" t="s">
        <v>2337</v>
      </c>
      <c r="B6860" s="1">
        <v>45744</v>
      </c>
      <c r="C6860" t="str">
        <f>"872"</f>
        <v>872</v>
      </c>
      <c r="E6860" t="str">
        <f>"15878"</f>
        <v>15878</v>
      </c>
      <c r="F6860" t="str">
        <f t="shared" si="243"/>
        <v>61830000</v>
      </c>
      <c r="H6860" t="s">
        <v>2632</v>
      </c>
      <c r="J6860" s="4">
        <v>15000</v>
      </c>
    </row>
    <row r="6861" spans="1:10" hidden="1" outlineLevel="2" x14ac:dyDescent="0.35">
      <c r="A6861" t="s">
        <v>2337</v>
      </c>
      <c r="B6861" s="1">
        <v>45744</v>
      </c>
      <c r="C6861" t="str">
        <f>"874"</f>
        <v>874</v>
      </c>
      <c r="E6861" t="str">
        <f>"15880"</f>
        <v>15880</v>
      </c>
      <c r="F6861" t="str">
        <f t="shared" si="243"/>
        <v>61830000</v>
      </c>
      <c r="H6861" t="s">
        <v>2634</v>
      </c>
      <c r="J6861" s="4">
        <v>58000</v>
      </c>
    </row>
    <row r="6862" spans="1:10" hidden="1" outlineLevel="2" x14ac:dyDescent="0.35">
      <c r="A6862" t="s">
        <v>2337</v>
      </c>
      <c r="B6862" s="1">
        <v>45744</v>
      </c>
      <c r="C6862" t="str">
        <f>"875"</f>
        <v>875</v>
      </c>
      <c r="E6862" t="str">
        <f>"15881"</f>
        <v>15881</v>
      </c>
      <c r="F6862" t="str">
        <f t="shared" si="243"/>
        <v>61830000</v>
      </c>
      <c r="H6862" t="s">
        <v>2635</v>
      </c>
      <c r="J6862" s="4">
        <v>10000</v>
      </c>
    </row>
    <row r="6863" spans="1:10" hidden="1" outlineLevel="2" x14ac:dyDescent="0.35">
      <c r="A6863" t="s">
        <v>2337</v>
      </c>
      <c r="B6863" s="1">
        <v>45744</v>
      </c>
      <c r="C6863" t="str">
        <f>"876"</f>
        <v>876</v>
      </c>
      <c r="E6863" t="str">
        <f>"15882"</f>
        <v>15882</v>
      </c>
      <c r="F6863" t="str">
        <f t="shared" si="243"/>
        <v>61830000</v>
      </c>
      <c r="H6863" t="s">
        <v>2636</v>
      </c>
      <c r="J6863" s="4">
        <v>59000</v>
      </c>
    </row>
    <row r="6864" spans="1:10" hidden="1" outlineLevel="2" x14ac:dyDescent="0.35">
      <c r="A6864" t="s">
        <v>2337</v>
      </c>
      <c r="B6864" s="1">
        <v>45744</v>
      </c>
      <c r="C6864" t="str">
        <f>"878"</f>
        <v>878</v>
      </c>
      <c r="E6864" t="str">
        <f>"15884"</f>
        <v>15884</v>
      </c>
      <c r="F6864" t="str">
        <f t="shared" si="243"/>
        <v>61830000</v>
      </c>
      <c r="H6864" t="s">
        <v>2641</v>
      </c>
      <c r="J6864" s="4">
        <v>105000</v>
      </c>
    </row>
    <row r="6865" spans="1:11" hidden="1" outlineLevel="2" x14ac:dyDescent="0.35">
      <c r="A6865" t="s">
        <v>2337</v>
      </c>
      <c r="B6865" s="1">
        <v>45744</v>
      </c>
      <c r="C6865" t="str">
        <f>"880"</f>
        <v>880</v>
      </c>
      <c r="E6865" t="str">
        <f>"15886"</f>
        <v>15886</v>
      </c>
      <c r="F6865" t="str">
        <f t="shared" si="243"/>
        <v>61830000</v>
      </c>
      <c r="H6865" t="s">
        <v>2649</v>
      </c>
      <c r="J6865" s="4">
        <v>390000</v>
      </c>
    </row>
    <row r="6866" spans="1:11" hidden="1" outlineLevel="2" x14ac:dyDescent="0.35">
      <c r="A6866" t="s">
        <v>2337</v>
      </c>
      <c r="B6866" s="1">
        <v>45744</v>
      </c>
      <c r="C6866" t="str">
        <f>"884"</f>
        <v>884</v>
      </c>
      <c r="E6866" t="str">
        <f>"15890"</f>
        <v>15890</v>
      </c>
      <c r="F6866" t="str">
        <f t="shared" si="243"/>
        <v>61830000</v>
      </c>
      <c r="H6866" t="s">
        <v>2654</v>
      </c>
      <c r="J6866" s="4">
        <v>44000</v>
      </c>
    </row>
    <row r="6867" spans="1:11" hidden="1" outlineLevel="2" x14ac:dyDescent="0.35">
      <c r="A6867" t="s">
        <v>3056</v>
      </c>
      <c r="B6867" s="1">
        <v>45720</v>
      </c>
      <c r="C6867" t="str">
        <f>"150"</f>
        <v>150</v>
      </c>
      <c r="F6867" t="str">
        <f t="shared" si="243"/>
        <v>61830000</v>
      </c>
      <c r="H6867" t="s">
        <v>3063</v>
      </c>
      <c r="J6867" s="4">
        <v>120000</v>
      </c>
    </row>
    <row r="6868" spans="1:11" hidden="1" outlineLevel="2" x14ac:dyDescent="0.35">
      <c r="A6868" t="s">
        <v>3056</v>
      </c>
      <c r="B6868" s="1">
        <v>45729</v>
      </c>
      <c r="C6868" t="str">
        <f>"164"</f>
        <v>164</v>
      </c>
      <c r="F6868" t="str">
        <f t="shared" si="243"/>
        <v>61830000</v>
      </c>
      <c r="H6868" t="s">
        <v>3078</v>
      </c>
      <c r="J6868" s="4">
        <v>72000</v>
      </c>
    </row>
    <row r="6869" spans="1:11" hidden="1" outlineLevel="2" x14ac:dyDescent="0.35">
      <c r="A6869" t="s">
        <v>3056</v>
      </c>
      <c r="B6869" s="1">
        <v>45740</v>
      </c>
      <c r="C6869" t="str">
        <f>"193"</f>
        <v>193</v>
      </c>
      <c r="F6869" t="str">
        <f t="shared" si="243"/>
        <v>61830000</v>
      </c>
      <c r="H6869" t="s">
        <v>3100</v>
      </c>
      <c r="J6869" s="4">
        <v>75000</v>
      </c>
    </row>
    <row r="6870" spans="1:11" hidden="1" outlineLevel="2" x14ac:dyDescent="0.35">
      <c r="A6870" t="s">
        <v>3056</v>
      </c>
      <c r="B6870" s="1">
        <v>45741</v>
      </c>
      <c r="C6870" t="str">
        <f>"197"</f>
        <v>197</v>
      </c>
      <c r="F6870" t="str">
        <f t="shared" si="243"/>
        <v>61830000</v>
      </c>
      <c r="H6870" t="s">
        <v>3105</v>
      </c>
      <c r="J6870" s="4">
        <v>409000</v>
      </c>
    </row>
    <row r="6871" spans="1:11" outlineLevel="1" collapsed="1" x14ac:dyDescent="0.35">
      <c r="B6871" s="1"/>
      <c r="F6871" s="3" t="s">
        <v>6625</v>
      </c>
      <c r="J6871" s="4">
        <f>SUBTOTAL(9,J6748:J6870)</f>
        <v>6205020</v>
      </c>
      <c r="K6871" s="4">
        <f>SUBTOTAL(9,K6748:K6870)</f>
        <v>0</v>
      </c>
    </row>
    <row r="6872" spans="1:11" hidden="1" outlineLevel="2" x14ac:dyDescent="0.35">
      <c r="A6872" t="s">
        <v>26</v>
      </c>
      <c r="B6872" s="1">
        <v>45717</v>
      </c>
      <c r="C6872" t="str">
        <f>"58"</f>
        <v>58</v>
      </c>
      <c r="D6872" t="s">
        <v>1386</v>
      </c>
      <c r="E6872" t="str">
        <f>"00138"</f>
        <v>00138</v>
      </c>
      <c r="F6872" t="str">
        <f t="shared" ref="F6872:F6880" si="244">"62100000"</f>
        <v>62100000</v>
      </c>
      <c r="H6872" t="s">
        <v>1388</v>
      </c>
      <c r="J6872" s="4">
        <v>700000</v>
      </c>
    </row>
    <row r="6873" spans="1:11" hidden="1" outlineLevel="2" x14ac:dyDescent="0.35">
      <c r="A6873" t="s">
        <v>26</v>
      </c>
      <c r="B6873" s="1">
        <v>45717</v>
      </c>
      <c r="C6873" t="str">
        <f>"59"</f>
        <v>59</v>
      </c>
      <c r="D6873" t="s">
        <v>1389</v>
      </c>
      <c r="E6873" t="str">
        <f>"00139"</f>
        <v>00139</v>
      </c>
      <c r="F6873" t="str">
        <f t="shared" si="244"/>
        <v>62100000</v>
      </c>
      <c r="H6873" t="s">
        <v>1388</v>
      </c>
      <c r="J6873" s="4">
        <v>700000</v>
      </c>
    </row>
    <row r="6874" spans="1:11" hidden="1" outlineLevel="2" x14ac:dyDescent="0.35">
      <c r="A6874" t="s">
        <v>26</v>
      </c>
      <c r="B6874" s="1">
        <v>45717</v>
      </c>
      <c r="C6874" t="str">
        <f>"60"</f>
        <v>60</v>
      </c>
      <c r="D6874" t="s">
        <v>1390</v>
      </c>
      <c r="E6874" t="str">
        <f>"00140"</f>
        <v>00140</v>
      </c>
      <c r="F6874" t="str">
        <f t="shared" si="244"/>
        <v>62100000</v>
      </c>
      <c r="H6874" t="s">
        <v>1388</v>
      </c>
      <c r="J6874" s="4">
        <v>700000</v>
      </c>
    </row>
    <row r="6875" spans="1:11" hidden="1" outlineLevel="2" x14ac:dyDescent="0.35">
      <c r="A6875" t="s">
        <v>26</v>
      </c>
      <c r="B6875" s="1">
        <v>45717</v>
      </c>
      <c r="C6875" t="str">
        <f>"61"</f>
        <v>61</v>
      </c>
      <c r="D6875" t="s">
        <v>1391</v>
      </c>
      <c r="E6875" t="str">
        <f>"00141"</f>
        <v>00141</v>
      </c>
      <c r="F6875" t="str">
        <f t="shared" si="244"/>
        <v>62100000</v>
      </c>
      <c r="H6875" t="s">
        <v>1388</v>
      </c>
      <c r="J6875" s="4">
        <v>700000</v>
      </c>
    </row>
    <row r="6876" spans="1:11" hidden="1" outlineLevel="2" x14ac:dyDescent="0.35">
      <c r="A6876" t="s">
        <v>26</v>
      </c>
      <c r="B6876" s="1">
        <v>45719</v>
      </c>
      <c r="C6876" t="str">
        <f>"69"</f>
        <v>69</v>
      </c>
      <c r="D6876" t="s">
        <v>1452</v>
      </c>
      <c r="E6876" t="str">
        <f>"000102"</f>
        <v>000102</v>
      </c>
      <c r="F6876" t="str">
        <f t="shared" si="244"/>
        <v>62100000</v>
      </c>
      <c r="H6876" t="s">
        <v>1453</v>
      </c>
      <c r="J6876" s="4">
        <v>1760000</v>
      </c>
    </row>
    <row r="6877" spans="1:11" hidden="1" outlineLevel="2" x14ac:dyDescent="0.35">
      <c r="A6877" t="s">
        <v>26</v>
      </c>
      <c r="B6877" s="1">
        <v>45722</v>
      </c>
      <c r="C6877" t="str">
        <f>"26"</f>
        <v>26</v>
      </c>
      <c r="D6877" t="s">
        <v>1509</v>
      </c>
      <c r="E6877" t="str">
        <f>"0188941"</f>
        <v>0188941</v>
      </c>
      <c r="F6877" t="str">
        <f t="shared" si="244"/>
        <v>62100000</v>
      </c>
      <c r="H6877" t="s">
        <v>1510</v>
      </c>
      <c r="J6877" s="4">
        <v>4950000</v>
      </c>
    </row>
    <row r="6878" spans="1:11" hidden="1" outlineLevel="2" x14ac:dyDescent="0.35">
      <c r="A6878" t="s">
        <v>26</v>
      </c>
      <c r="B6878" s="1">
        <v>45734</v>
      </c>
      <c r="C6878" t="str">
        <f>"81"</f>
        <v>81</v>
      </c>
      <c r="D6878" t="s">
        <v>1676</v>
      </c>
      <c r="E6878" t="str">
        <f>"000548"</f>
        <v>000548</v>
      </c>
      <c r="F6878" t="str">
        <f t="shared" si="244"/>
        <v>62100000</v>
      </c>
      <c r="H6878" t="s">
        <v>1677</v>
      </c>
      <c r="J6878" s="4">
        <v>4950000</v>
      </c>
    </row>
    <row r="6879" spans="1:11" hidden="1" outlineLevel="2" x14ac:dyDescent="0.35">
      <c r="A6879" t="s">
        <v>26</v>
      </c>
      <c r="B6879" s="1">
        <v>45735</v>
      </c>
      <c r="C6879" t="str">
        <f>"124"</f>
        <v>124</v>
      </c>
      <c r="D6879" t="s">
        <v>1692</v>
      </c>
      <c r="E6879" t="str">
        <f>"00146"</f>
        <v>00146</v>
      </c>
      <c r="F6879" t="str">
        <f t="shared" si="244"/>
        <v>62100000</v>
      </c>
      <c r="H6879" t="s">
        <v>1693</v>
      </c>
      <c r="J6879" s="4">
        <v>1400000</v>
      </c>
    </row>
    <row r="6880" spans="1:11" hidden="1" outlineLevel="2" x14ac:dyDescent="0.35">
      <c r="A6880" t="s">
        <v>101</v>
      </c>
      <c r="B6880" s="1">
        <v>45717</v>
      </c>
      <c r="C6880" t="str">
        <f>"6"</f>
        <v>6</v>
      </c>
      <c r="F6880" t="str">
        <f t="shared" si="244"/>
        <v>62100000</v>
      </c>
      <c r="H6880" t="s">
        <v>2746</v>
      </c>
      <c r="J6880" s="4">
        <v>-6710000</v>
      </c>
    </row>
    <row r="6881" spans="1:11" outlineLevel="1" collapsed="1" x14ac:dyDescent="0.35">
      <c r="B6881" s="1"/>
      <c r="F6881" s="3" t="s">
        <v>6626</v>
      </c>
      <c r="J6881" s="4">
        <f>SUBTOTAL(9,J6872:J6880)</f>
        <v>9150000</v>
      </c>
      <c r="K6881" s="4">
        <f>SUBTOTAL(9,K6872:K6880)</f>
        <v>0</v>
      </c>
    </row>
    <row r="6882" spans="1:11" hidden="1" outlineLevel="2" x14ac:dyDescent="0.35">
      <c r="A6882" t="s">
        <v>26</v>
      </c>
      <c r="B6882" s="1">
        <v>45717</v>
      </c>
      <c r="C6882" t="str">
        <f>"11"</f>
        <v>11</v>
      </c>
      <c r="D6882" t="s">
        <v>1364</v>
      </c>
      <c r="E6882" t="str">
        <f>"0000419"</f>
        <v>0000419</v>
      </c>
      <c r="F6882" t="str">
        <f t="shared" ref="F6882:F6900" si="245">"62100200"</f>
        <v>62100200</v>
      </c>
      <c r="H6882" t="s">
        <v>1366</v>
      </c>
      <c r="J6882" s="4">
        <v>1092500</v>
      </c>
    </row>
    <row r="6883" spans="1:11" hidden="1" outlineLevel="2" x14ac:dyDescent="0.35">
      <c r="A6883" t="s">
        <v>26</v>
      </c>
      <c r="B6883" s="1">
        <v>45717</v>
      </c>
      <c r="C6883" t="str">
        <f>"12"</f>
        <v>12</v>
      </c>
      <c r="D6883" t="s">
        <v>1367</v>
      </c>
      <c r="E6883" t="str">
        <f>"0000120"</f>
        <v>0000120</v>
      </c>
      <c r="F6883" t="str">
        <f t="shared" si="245"/>
        <v>62100200</v>
      </c>
      <c r="H6883" t="s">
        <v>1369</v>
      </c>
      <c r="J6883" s="4">
        <v>1045000</v>
      </c>
    </row>
    <row r="6884" spans="1:11" hidden="1" outlineLevel="2" x14ac:dyDescent="0.35">
      <c r="A6884" t="s">
        <v>26</v>
      </c>
      <c r="B6884" s="1">
        <v>45717</v>
      </c>
      <c r="C6884" t="str">
        <f>"13"</f>
        <v>13</v>
      </c>
      <c r="D6884" t="s">
        <v>1370</v>
      </c>
      <c r="E6884" t="str">
        <f>"0000121"</f>
        <v>0000121</v>
      </c>
      <c r="F6884" t="str">
        <f t="shared" si="245"/>
        <v>62100200</v>
      </c>
      <c r="H6884" t="s">
        <v>1369</v>
      </c>
      <c r="J6884" s="4">
        <v>1045000</v>
      </c>
    </row>
    <row r="6885" spans="1:11" hidden="1" outlineLevel="2" x14ac:dyDescent="0.35">
      <c r="A6885" t="s">
        <v>26</v>
      </c>
      <c r="B6885" s="1">
        <v>45717</v>
      </c>
      <c r="C6885" t="str">
        <f>"14"</f>
        <v>14</v>
      </c>
      <c r="D6885" t="s">
        <v>1371</v>
      </c>
      <c r="E6885" t="str">
        <f>"0000122"</f>
        <v>0000122</v>
      </c>
      <c r="F6885" t="str">
        <f t="shared" si="245"/>
        <v>62100200</v>
      </c>
      <c r="H6885" t="s">
        <v>1369</v>
      </c>
      <c r="J6885" s="4">
        <v>1045000</v>
      </c>
    </row>
    <row r="6886" spans="1:11" hidden="1" outlineLevel="2" x14ac:dyDescent="0.35">
      <c r="A6886" t="s">
        <v>26</v>
      </c>
      <c r="B6886" s="1">
        <v>45730</v>
      </c>
      <c r="C6886" t="str">
        <f>"75"</f>
        <v>75</v>
      </c>
      <c r="D6886" t="s">
        <v>1652</v>
      </c>
      <c r="E6886" t="str">
        <f>"00176"</f>
        <v>00176</v>
      </c>
      <c r="F6886" t="str">
        <f t="shared" si="245"/>
        <v>62100200</v>
      </c>
      <c r="H6886" t="s">
        <v>1654</v>
      </c>
      <c r="J6886" s="4">
        <v>30000</v>
      </c>
    </row>
    <row r="6887" spans="1:11" hidden="1" outlineLevel="2" x14ac:dyDescent="0.35">
      <c r="A6887" t="s">
        <v>26</v>
      </c>
      <c r="B6887" s="1">
        <v>45730</v>
      </c>
      <c r="C6887" t="str">
        <f>"76"</f>
        <v>76</v>
      </c>
      <c r="D6887" t="s">
        <v>1655</v>
      </c>
      <c r="E6887" t="str">
        <f>"00177"</f>
        <v>00177</v>
      </c>
      <c r="F6887" t="str">
        <f t="shared" si="245"/>
        <v>62100200</v>
      </c>
      <c r="H6887" t="s">
        <v>1654</v>
      </c>
      <c r="J6887" s="4">
        <v>90000</v>
      </c>
    </row>
    <row r="6888" spans="1:11" hidden="1" outlineLevel="2" x14ac:dyDescent="0.35">
      <c r="A6888" t="s">
        <v>26</v>
      </c>
      <c r="B6888" s="1">
        <v>45730</v>
      </c>
      <c r="C6888" t="str">
        <f>"77"</f>
        <v>77</v>
      </c>
      <c r="D6888" t="s">
        <v>1656</v>
      </c>
      <c r="E6888" t="str">
        <f>"00178"</f>
        <v>00178</v>
      </c>
      <c r="F6888" t="str">
        <f t="shared" si="245"/>
        <v>62100200</v>
      </c>
      <c r="H6888" t="s">
        <v>1654</v>
      </c>
      <c r="J6888" s="4">
        <v>120000</v>
      </c>
    </row>
    <row r="6889" spans="1:11" hidden="1" outlineLevel="2" x14ac:dyDescent="0.35">
      <c r="A6889" t="s">
        <v>26</v>
      </c>
      <c r="B6889" s="1">
        <v>45730</v>
      </c>
      <c r="C6889" t="str">
        <f>"78"</f>
        <v>78</v>
      </c>
      <c r="D6889" t="s">
        <v>1657</v>
      </c>
      <c r="E6889" t="str">
        <f>"00179"</f>
        <v>00179</v>
      </c>
      <c r="F6889" t="str">
        <f t="shared" si="245"/>
        <v>62100200</v>
      </c>
      <c r="H6889" t="s">
        <v>1654</v>
      </c>
      <c r="J6889" s="4">
        <v>4120000</v>
      </c>
    </row>
    <row r="6890" spans="1:11" hidden="1" outlineLevel="2" x14ac:dyDescent="0.35">
      <c r="A6890" t="s">
        <v>26</v>
      </c>
      <c r="B6890" s="1">
        <v>45733</v>
      </c>
      <c r="C6890" t="str">
        <f>"86"</f>
        <v>86</v>
      </c>
      <c r="D6890" t="s">
        <v>1665</v>
      </c>
      <c r="E6890" t="str">
        <f>"0000123"</f>
        <v>0000123</v>
      </c>
      <c r="F6890" t="str">
        <f t="shared" si="245"/>
        <v>62100200</v>
      </c>
      <c r="H6890" t="s">
        <v>1369</v>
      </c>
      <c r="J6890" s="4">
        <v>5225000</v>
      </c>
    </row>
    <row r="6891" spans="1:11" hidden="1" outlineLevel="2" x14ac:dyDescent="0.35">
      <c r="A6891" t="s">
        <v>26</v>
      </c>
      <c r="B6891" s="1">
        <v>45733</v>
      </c>
      <c r="C6891" t="str">
        <f>"87"</f>
        <v>87</v>
      </c>
      <c r="D6891" t="s">
        <v>1666</v>
      </c>
      <c r="E6891" t="str">
        <f>"0000124"</f>
        <v>0000124</v>
      </c>
      <c r="F6891" t="str">
        <f t="shared" si="245"/>
        <v>62100200</v>
      </c>
      <c r="H6891" t="s">
        <v>1369</v>
      </c>
      <c r="J6891" s="4">
        <v>1045000</v>
      </c>
    </row>
    <row r="6892" spans="1:11" hidden="1" outlineLevel="2" x14ac:dyDescent="0.35">
      <c r="A6892" t="s">
        <v>26</v>
      </c>
      <c r="B6892" s="1">
        <v>45735</v>
      </c>
      <c r="C6892" t="str">
        <f>"88"</f>
        <v>88</v>
      </c>
      <c r="D6892" t="s">
        <v>1690</v>
      </c>
      <c r="E6892" t="str">
        <f>"0000469"</f>
        <v>0000469</v>
      </c>
      <c r="F6892" t="str">
        <f t="shared" si="245"/>
        <v>62100200</v>
      </c>
      <c r="H6892" t="s">
        <v>1366</v>
      </c>
      <c r="J6892" s="4">
        <v>5462500</v>
      </c>
    </row>
    <row r="6893" spans="1:11" hidden="1" outlineLevel="2" x14ac:dyDescent="0.35">
      <c r="A6893" t="s">
        <v>26</v>
      </c>
      <c r="B6893" s="1">
        <v>45735</v>
      </c>
      <c r="C6893" t="str">
        <f>"89"</f>
        <v>89</v>
      </c>
      <c r="D6893" t="s">
        <v>1691</v>
      </c>
      <c r="E6893" t="str">
        <f>"0000470"</f>
        <v>0000470</v>
      </c>
      <c r="F6893" t="str">
        <f t="shared" si="245"/>
        <v>62100200</v>
      </c>
      <c r="H6893" t="s">
        <v>1366</v>
      </c>
      <c r="J6893" s="4">
        <v>2185000</v>
      </c>
    </row>
    <row r="6894" spans="1:11" hidden="1" outlineLevel="2" x14ac:dyDescent="0.35">
      <c r="A6894" t="s">
        <v>26</v>
      </c>
      <c r="B6894" s="1">
        <v>45744</v>
      </c>
      <c r="C6894" t="str">
        <f>"159"</f>
        <v>159</v>
      </c>
      <c r="D6894" t="s">
        <v>1761</v>
      </c>
      <c r="E6894" t="str">
        <f>"0000125"</f>
        <v>0000125</v>
      </c>
      <c r="F6894" t="str">
        <f t="shared" si="245"/>
        <v>62100200</v>
      </c>
      <c r="H6894" t="s">
        <v>1762</v>
      </c>
      <c r="J6894" s="4">
        <v>1800000</v>
      </c>
    </row>
    <row r="6895" spans="1:11" hidden="1" outlineLevel="2" x14ac:dyDescent="0.35">
      <c r="A6895" t="s">
        <v>26</v>
      </c>
      <c r="B6895" s="1">
        <v>45744</v>
      </c>
      <c r="C6895" t="str">
        <f>"160"</f>
        <v>160</v>
      </c>
      <c r="D6895" t="s">
        <v>1763</v>
      </c>
      <c r="E6895" t="str">
        <f>"0000126"</f>
        <v>0000126</v>
      </c>
      <c r="F6895" t="str">
        <f t="shared" si="245"/>
        <v>62100200</v>
      </c>
      <c r="H6895" t="s">
        <v>1764</v>
      </c>
      <c r="J6895" s="4">
        <v>1695000</v>
      </c>
    </row>
    <row r="6896" spans="1:11" hidden="1" outlineLevel="2" x14ac:dyDescent="0.35">
      <c r="A6896" t="s">
        <v>26</v>
      </c>
      <c r="B6896" s="1">
        <v>45744</v>
      </c>
      <c r="C6896" t="str">
        <f>"161"</f>
        <v>161</v>
      </c>
      <c r="D6896" t="s">
        <v>1765</v>
      </c>
      <c r="E6896" t="str">
        <f>"0000128"</f>
        <v>0000128</v>
      </c>
      <c r="F6896" t="str">
        <f t="shared" si="245"/>
        <v>62100200</v>
      </c>
      <c r="H6896" t="s">
        <v>1766</v>
      </c>
      <c r="J6896" s="4">
        <v>2325000</v>
      </c>
    </row>
    <row r="6897" spans="1:11" hidden="1" outlineLevel="2" x14ac:dyDescent="0.35">
      <c r="A6897" t="s">
        <v>26</v>
      </c>
      <c r="B6897" s="1">
        <v>45744</v>
      </c>
      <c r="C6897" t="str">
        <f>"162"</f>
        <v>162</v>
      </c>
      <c r="D6897" t="s">
        <v>1767</v>
      </c>
      <c r="E6897" t="str">
        <f>"0000442"</f>
        <v>0000442</v>
      </c>
      <c r="F6897" t="str">
        <f t="shared" si="245"/>
        <v>62100200</v>
      </c>
      <c r="H6897" t="s">
        <v>1366</v>
      </c>
      <c r="J6897" s="4">
        <v>5462500</v>
      </c>
    </row>
    <row r="6898" spans="1:11" hidden="1" outlineLevel="2" x14ac:dyDescent="0.35">
      <c r="A6898" t="s">
        <v>26</v>
      </c>
      <c r="B6898" s="1">
        <v>45744</v>
      </c>
      <c r="C6898" t="str">
        <f>"163"</f>
        <v>163</v>
      </c>
      <c r="D6898" t="s">
        <v>1768</v>
      </c>
      <c r="E6898" t="str">
        <f>"0000450"</f>
        <v>0000450</v>
      </c>
      <c r="F6898" t="str">
        <f t="shared" si="245"/>
        <v>62100200</v>
      </c>
      <c r="H6898" t="s">
        <v>1366</v>
      </c>
      <c r="J6898" s="4">
        <v>5462500</v>
      </c>
    </row>
    <row r="6899" spans="1:11" hidden="1" outlineLevel="2" x14ac:dyDescent="0.35">
      <c r="A6899" t="s">
        <v>26</v>
      </c>
      <c r="B6899" s="1">
        <v>45744</v>
      </c>
      <c r="C6899" t="str">
        <f>"164"</f>
        <v>164</v>
      </c>
      <c r="D6899" t="s">
        <v>1769</v>
      </c>
      <c r="E6899" t="str">
        <f>"0000453"</f>
        <v>0000453</v>
      </c>
      <c r="F6899" t="str">
        <f t="shared" si="245"/>
        <v>62100200</v>
      </c>
      <c r="H6899" t="s">
        <v>1366</v>
      </c>
      <c r="J6899" s="4">
        <v>5462500</v>
      </c>
    </row>
    <row r="6900" spans="1:11" hidden="1" outlineLevel="2" x14ac:dyDescent="0.35">
      <c r="A6900" t="s">
        <v>26</v>
      </c>
      <c r="B6900" s="1">
        <v>45744</v>
      </c>
      <c r="C6900" t="str">
        <f>"167"</f>
        <v>167</v>
      </c>
      <c r="D6900" t="s">
        <v>1770</v>
      </c>
      <c r="E6900" t="str">
        <f>"00180"</f>
        <v>00180</v>
      </c>
      <c r="F6900" t="str">
        <f t="shared" si="245"/>
        <v>62100200</v>
      </c>
      <c r="H6900" t="s">
        <v>1771</v>
      </c>
      <c r="J6900" s="4">
        <v>6800000</v>
      </c>
    </row>
    <row r="6901" spans="1:11" outlineLevel="1" collapsed="1" x14ac:dyDescent="0.35">
      <c r="B6901" s="1"/>
      <c r="F6901" s="3" t="s">
        <v>6627</v>
      </c>
      <c r="J6901" s="4">
        <f>SUBTOTAL(9,J6882:J6900)</f>
        <v>51512500</v>
      </c>
      <c r="K6901" s="4">
        <f>SUBTOTAL(9,K6882:K6900)</f>
        <v>0</v>
      </c>
    </row>
    <row r="6902" spans="1:11" hidden="1" outlineLevel="2" x14ac:dyDescent="0.35">
      <c r="A6902" t="s">
        <v>11</v>
      </c>
      <c r="B6902" s="1">
        <v>45717</v>
      </c>
      <c r="C6902" t="str">
        <f>"246"</f>
        <v>246</v>
      </c>
      <c r="E6902" t="s">
        <v>1259</v>
      </c>
      <c r="F6902" t="str">
        <f>"62210000"</f>
        <v>62210000</v>
      </c>
      <c r="H6902" t="s">
        <v>1260</v>
      </c>
      <c r="J6902" s="4">
        <v>370500</v>
      </c>
    </row>
    <row r="6903" spans="1:11" hidden="1" outlineLevel="2" x14ac:dyDescent="0.35">
      <c r="A6903" t="s">
        <v>11</v>
      </c>
      <c r="B6903" s="1">
        <v>45717</v>
      </c>
      <c r="C6903" t="str">
        <f>"249"</f>
        <v>249</v>
      </c>
      <c r="E6903" t="s">
        <v>1265</v>
      </c>
      <c r="F6903" t="str">
        <f>"62210000"</f>
        <v>62210000</v>
      </c>
      <c r="H6903" t="s">
        <v>1266</v>
      </c>
      <c r="J6903" s="4">
        <v>2772470</v>
      </c>
    </row>
    <row r="6904" spans="1:11" outlineLevel="1" collapsed="1" x14ac:dyDescent="0.35">
      <c r="B6904" s="1"/>
      <c r="F6904" s="3" t="s">
        <v>6628</v>
      </c>
      <c r="J6904" s="4">
        <f>SUBTOTAL(9,J6902:J6903)</f>
        <v>3142970</v>
      </c>
      <c r="K6904" s="4">
        <f>SUBTOTAL(9,K6902:K6903)</f>
        <v>0</v>
      </c>
    </row>
    <row r="6905" spans="1:11" hidden="1" outlineLevel="2" x14ac:dyDescent="0.35">
      <c r="A6905" t="s">
        <v>11</v>
      </c>
      <c r="B6905" s="1">
        <v>45717</v>
      </c>
      <c r="C6905" t="str">
        <f>"107"</f>
        <v>107</v>
      </c>
      <c r="F6905" t="str">
        <f t="shared" ref="F6905:F6911" si="246">"62220000"</f>
        <v>62220000</v>
      </c>
      <c r="H6905" t="s">
        <v>1180</v>
      </c>
      <c r="J6905" s="4">
        <v>-17500000</v>
      </c>
    </row>
    <row r="6906" spans="1:11" hidden="1" outlineLevel="2" x14ac:dyDescent="0.35">
      <c r="A6906" t="s">
        <v>11</v>
      </c>
      <c r="B6906" s="1">
        <v>45717</v>
      </c>
      <c r="C6906" t="str">
        <f>"202"</f>
        <v>202</v>
      </c>
      <c r="F6906" t="str">
        <f t="shared" si="246"/>
        <v>62220000</v>
      </c>
      <c r="H6906" t="s">
        <v>1180</v>
      </c>
      <c r="J6906" s="4">
        <v>-17500000</v>
      </c>
    </row>
    <row r="6907" spans="1:11" hidden="1" outlineLevel="2" x14ac:dyDescent="0.35">
      <c r="A6907" t="s">
        <v>11</v>
      </c>
      <c r="B6907" s="1">
        <v>45717</v>
      </c>
      <c r="C6907" t="str">
        <f>"221"</f>
        <v>221</v>
      </c>
      <c r="E6907" t="s">
        <v>1215</v>
      </c>
      <c r="F6907" t="str">
        <f t="shared" si="246"/>
        <v>62220000</v>
      </c>
      <c r="H6907" t="s">
        <v>1217</v>
      </c>
      <c r="J6907" s="4">
        <v>240000</v>
      </c>
    </row>
    <row r="6908" spans="1:11" hidden="1" outlineLevel="2" x14ac:dyDescent="0.35">
      <c r="A6908" t="s">
        <v>11</v>
      </c>
      <c r="B6908" s="1">
        <v>45717</v>
      </c>
      <c r="C6908" t="str">
        <f>"247"</f>
        <v>247</v>
      </c>
      <c r="E6908" t="s">
        <v>1261</v>
      </c>
      <c r="F6908" t="str">
        <f t="shared" si="246"/>
        <v>62220000</v>
      </c>
      <c r="H6908" t="s">
        <v>1262</v>
      </c>
      <c r="J6908" s="4">
        <v>935000</v>
      </c>
    </row>
    <row r="6909" spans="1:11" hidden="1" outlineLevel="2" x14ac:dyDescent="0.35">
      <c r="A6909" t="s">
        <v>26</v>
      </c>
      <c r="B6909" s="1">
        <v>45744</v>
      </c>
      <c r="C6909" t="str">
        <f>"180"</f>
        <v>180</v>
      </c>
      <c r="D6909" t="s">
        <v>1772</v>
      </c>
      <c r="E6909" t="s">
        <v>1773</v>
      </c>
      <c r="F6909" t="str">
        <f t="shared" si="246"/>
        <v>62220000</v>
      </c>
      <c r="H6909" t="s">
        <v>1774</v>
      </c>
      <c r="J6909" s="4">
        <v>52500000</v>
      </c>
    </row>
    <row r="6910" spans="1:11" hidden="1" outlineLevel="2" x14ac:dyDescent="0.35">
      <c r="A6910" t="s">
        <v>2219</v>
      </c>
      <c r="B6910" s="1">
        <v>45726</v>
      </c>
      <c r="C6910" t="str">
        <f>"454"</f>
        <v>454</v>
      </c>
      <c r="F6910" t="str">
        <f t="shared" si="246"/>
        <v>62220000</v>
      </c>
      <c r="H6910" t="s">
        <v>2263</v>
      </c>
      <c r="J6910" s="4">
        <v>250000</v>
      </c>
    </row>
    <row r="6911" spans="1:11" hidden="1" outlineLevel="2" x14ac:dyDescent="0.35">
      <c r="A6911" t="s">
        <v>2219</v>
      </c>
      <c r="B6911" s="1">
        <v>45727</v>
      </c>
      <c r="C6911" t="str">
        <f>"455"</f>
        <v>455</v>
      </c>
      <c r="F6911" t="str">
        <f t="shared" si="246"/>
        <v>62220000</v>
      </c>
      <c r="H6911" t="s">
        <v>2264</v>
      </c>
      <c r="J6911" s="4">
        <v>90000</v>
      </c>
    </row>
    <row r="6912" spans="1:11" outlineLevel="1" collapsed="1" x14ac:dyDescent="0.35">
      <c r="B6912" s="1"/>
      <c r="F6912" s="3" t="s">
        <v>6629</v>
      </c>
      <c r="J6912" s="4">
        <f>SUBTOTAL(9,J6905:J6911)</f>
        <v>19015000</v>
      </c>
      <c r="K6912" s="4">
        <f>SUBTOTAL(9,K6905:K6911)</f>
        <v>0</v>
      </c>
    </row>
    <row r="6913" spans="1:11" hidden="1" outlineLevel="2" x14ac:dyDescent="0.35">
      <c r="A6913" t="s">
        <v>26</v>
      </c>
      <c r="B6913" s="1">
        <v>45740</v>
      </c>
      <c r="C6913" t="str">
        <f>"133"</f>
        <v>133</v>
      </c>
      <c r="D6913" t="s">
        <v>1730</v>
      </c>
      <c r="E6913" t="str">
        <f>"0000450"</f>
        <v>0000450</v>
      </c>
      <c r="F6913" t="str">
        <f t="shared" ref="F6913:F6919" si="247">"62230000"</f>
        <v>62230000</v>
      </c>
      <c r="H6913" t="s">
        <v>1732</v>
      </c>
      <c r="J6913" s="4">
        <v>1060000</v>
      </c>
    </row>
    <row r="6914" spans="1:11" hidden="1" outlineLevel="2" x14ac:dyDescent="0.35">
      <c r="A6914" t="s">
        <v>26</v>
      </c>
      <c r="B6914" s="1">
        <v>45740</v>
      </c>
      <c r="C6914" t="str">
        <f>"134"</f>
        <v>134</v>
      </c>
      <c r="D6914" t="s">
        <v>1733</v>
      </c>
      <c r="E6914" t="str">
        <f>"0000502"</f>
        <v>0000502</v>
      </c>
      <c r="F6914" t="str">
        <f t="shared" si="247"/>
        <v>62230000</v>
      </c>
      <c r="H6914" t="s">
        <v>1734</v>
      </c>
      <c r="J6914" s="4">
        <v>1060000</v>
      </c>
    </row>
    <row r="6915" spans="1:11" hidden="1" outlineLevel="2" x14ac:dyDescent="0.35">
      <c r="A6915" t="s">
        <v>2337</v>
      </c>
      <c r="B6915" s="1">
        <v>45721</v>
      </c>
      <c r="C6915" t="str">
        <f>"680"</f>
        <v>680</v>
      </c>
      <c r="E6915" t="str">
        <f>"17300"</f>
        <v>17300</v>
      </c>
      <c r="F6915" t="str">
        <f t="shared" si="247"/>
        <v>62230000</v>
      </c>
      <c r="H6915" t="s">
        <v>2392</v>
      </c>
      <c r="J6915" s="4">
        <v>5000</v>
      </c>
    </row>
    <row r="6916" spans="1:11" hidden="1" outlineLevel="2" x14ac:dyDescent="0.35">
      <c r="A6916" t="s">
        <v>2337</v>
      </c>
      <c r="B6916" s="1">
        <v>45744</v>
      </c>
      <c r="C6916" t="str">
        <f>"879"</f>
        <v>879</v>
      </c>
      <c r="E6916" t="str">
        <f>"15885"</f>
        <v>15885</v>
      </c>
      <c r="F6916" t="str">
        <f t="shared" si="247"/>
        <v>62230000</v>
      </c>
      <c r="H6916" t="s">
        <v>2644</v>
      </c>
      <c r="J6916" s="4">
        <v>4000</v>
      </c>
    </row>
    <row r="6917" spans="1:11" hidden="1" outlineLevel="2" x14ac:dyDescent="0.35">
      <c r="A6917" t="s">
        <v>101</v>
      </c>
      <c r="B6917" s="1">
        <v>45717</v>
      </c>
      <c r="C6917" t="str">
        <f>"75"</f>
        <v>75</v>
      </c>
      <c r="F6917" t="str">
        <f t="shared" si="247"/>
        <v>62230000</v>
      </c>
      <c r="H6917" t="s">
        <v>2767</v>
      </c>
      <c r="J6917" s="4">
        <v>4240000</v>
      </c>
    </row>
    <row r="6918" spans="1:11" hidden="1" outlineLevel="2" x14ac:dyDescent="0.35">
      <c r="A6918" t="s">
        <v>101</v>
      </c>
      <c r="B6918" s="1">
        <v>45747</v>
      </c>
      <c r="C6918" t="str">
        <f>"72"</f>
        <v>72</v>
      </c>
      <c r="F6918" t="str">
        <f t="shared" si="247"/>
        <v>62230000</v>
      </c>
      <c r="H6918" t="s">
        <v>2919</v>
      </c>
      <c r="J6918" s="4">
        <v>-1060000</v>
      </c>
    </row>
    <row r="6919" spans="1:11" hidden="1" outlineLevel="2" x14ac:dyDescent="0.35">
      <c r="A6919" t="s">
        <v>101</v>
      </c>
      <c r="B6919" s="1">
        <v>45747</v>
      </c>
      <c r="C6919" t="str">
        <f>"73"</f>
        <v>73</v>
      </c>
      <c r="F6919" t="str">
        <f t="shared" si="247"/>
        <v>62230000</v>
      </c>
      <c r="H6919" t="s">
        <v>2920</v>
      </c>
      <c r="J6919" s="4">
        <v>-1060000</v>
      </c>
    </row>
    <row r="6920" spans="1:11" outlineLevel="1" collapsed="1" x14ac:dyDescent="0.35">
      <c r="B6920" s="1"/>
      <c r="F6920" s="3" t="s">
        <v>6630</v>
      </c>
      <c r="J6920" s="4">
        <f>SUBTOTAL(9,J6913:J6919)</f>
        <v>4249000</v>
      </c>
      <c r="K6920" s="4">
        <f>SUBTOTAL(9,K6913:K6919)</f>
        <v>0</v>
      </c>
    </row>
    <row r="6921" spans="1:11" hidden="1" outlineLevel="2" x14ac:dyDescent="0.35">
      <c r="A6921" t="s">
        <v>11</v>
      </c>
      <c r="B6921" s="1">
        <v>45717</v>
      </c>
      <c r="C6921" t="str">
        <f>"242"</f>
        <v>242</v>
      </c>
      <c r="E6921" t="s">
        <v>1252</v>
      </c>
      <c r="F6921" t="str">
        <f>"62280000"</f>
        <v>62280000</v>
      </c>
      <c r="H6921" t="s">
        <v>1253</v>
      </c>
      <c r="J6921" s="4">
        <v>600000</v>
      </c>
    </row>
    <row r="6922" spans="1:11" hidden="1" outlineLevel="2" x14ac:dyDescent="0.35">
      <c r="A6922" t="s">
        <v>11</v>
      </c>
      <c r="B6922" s="1">
        <v>45717</v>
      </c>
      <c r="C6922" t="str">
        <f>"243"</f>
        <v>243</v>
      </c>
      <c r="E6922" t="s">
        <v>1254</v>
      </c>
      <c r="F6922" t="str">
        <f>"62280000"</f>
        <v>62280000</v>
      </c>
      <c r="H6922" t="s">
        <v>1255</v>
      </c>
      <c r="J6922" s="4">
        <v>317672</v>
      </c>
    </row>
    <row r="6923" spans="1:11" hidden="1" outlineLevel="2" x14ac:dyDescent="0.35">
      <c r="A6923" t="s">
        <v>26</v>
      </c>
      <c r="B6923" s="1">
        <v>45728</v>
      </c>
      <c r="C6923" t="str">
        <f>"74"</f>
        <v>74</v>
      </c>
      <c r="D6923" t="s">
        <v>1613</v>
      </c>
      <c r="E6923" t="s">
        <v>1614</v>
      </c>
      <c r="F6923" t="str">
        <f>"62280000"</f>
        <v>62280000</v>
      </c>
      <c r="H6923" t="s">
        <v>1615</v>
      </c>
      <c r="J6923" s="4">
        <v>105461</v>
      </c>
    </row>
    <row r="6924" spans="1:11" outlineLevel="1" collapsed="1" x14ac:dyDescent="0.35">
      <c r="B6924" s="1"/>
      <c r="F6924" s="3" t="s">
        <v>6631</v>
      </c>
      <c r="J6924" s="4">
        <f>SUBTOTAL(9,J6921:J6923)</f>
        <v>1023133</v>
      </c>
      <c r="K6924" s="4">
        <f>SUBTOTAL(9,K6921:K6923)</f>
        <v>0</v>
      </c>
    </row>
    <row r="6925" spans="1:11" hidden="1" outlineLevel="2" x14ac:dyDescent="0.35">
      <c r="A6925" t="s">
        <v>11</v>
      </c>
      <c r="B6925" s="1">
        <v>45731</v>
      </c>
      <c r="C6925" t="str">
        <f>"270"</f>
        <v>270</v>
      </c>
      <c r="E6925" t="s">
        <v>1301</v>
      </c>
      <c r="F6925" t="str">
        <f t="shared" ref="F6925:F6962" si="248">"62330000"</f>
        <v>62330000</v>
      </c>
      <c r="H6925" t="s">
        <v>1302</v>
      </c>
      <c r="J6925" s="4">
        <v>1604817</v>
      </c>
    </row>
    <row r="6926" spans="1:11" hidden="1" outlineLevel="2" x14ac:dyDescent="0.35">
      <c r="A6926" t="s">
        <v>11</v>
      </c>
      <c r="B6926" s="1">
        <v>45731</v>
      </c>
      <c r="C6926" t="str">
        <f>"271"</f>
        <v>271</v>
      </c>
      <c r="E6926" t="s">
        <v>1303</v>
      </c>
      <c r="F6926" t="str">
        <f t="shared" si="248"/>
        <v>62330000</v>
      </c>
      <c r="H6926" t="s">
        <v>1304</v>
      </c>
      <c r="J6926" s="4">
        <v>363469</v>
      </c>
    </row>
    <row r="6927" spans="1:11" hidden="1" outlineLevel="2" x14ac:dyDescent="0.35">
      <c r="A6927" t="s">
        <v>11</v>
      </c>
      <c r="B6927" s="1">
        <v>45731</v>
      </c>
      <c r="C6927" t="str">
        <f>"272"</f>
        <v>272</v>
      </c>
      <c r="E6927" t="s">
        <v>1305</v>
      </c>
      <c r="F6927" t="str">
        <f t="shared" si="248"/>
        <v>62330000</v>
      </c>
      <c r="H6927" t="s">
        <v>1306</v>
      </c>
      <c r="J6927" s="4">
        <v>1066987</v>
      </c>
    </row>
    <row r="6928" spans="1:11" hidden="1" outlineLevel="2" x14ac:dyDescent="0.35">
      <c r="A6928" t="s">
        <v>11</v>
      </c>
      <c r="B6928" s="1">
        <v>45731</v>
      </c>
      <c r="C6928" t="str">
        <f>"273"</f>
        <v>273</v>
      </c>
      <c r="E6928" t="s">
        <v>1307</v>
      </c>
      <c r="F6928" t="str">
        <f t="shared" si="248"/>
        <v>62330000</v>
      </c>
      <c r="H6928" t="s">
        <v>1308</v>
      </c>
      <c r="J6928" s="4">
        <v>288589</v>
      </c>
    </row>
    <row r="6929" spans="1:11" hidden="1" outlineLevel="2" x14ac:dyDescent="0.35">
      <c r="A6929" t="s">
        <v>11</v>
      </c>
      <c r="B6929" s="1">
        <v>45731</v>
      </c>
      <c r="C6929" t="str">
        <f>"274"</f>
        <v>274</v>
      </c>
      <c r="E6929" t="s">
        <v>1309</v>
      </c>
      <c r="F6929" t="str">
        <f t="shared" si="248"/>
        <v>62330000</v>
      </c>
      <c r="H6929" t="s">
        <v>1310</v>
      </c>
      <c r="J6929" s="4">
        <v>288589</v>
      </c>
    </row>
    <row r="6930" spans="1:11" hidden="1" outlineLevel="2" x14ac:dyDescent="0.35">
      <c r="A6930" t="s">
        <v>11</v>
      </c>
      <c r="B6930" s="1">
        <v>45731</v>
      </c>
      <c r="C6930" t="str">
        <f>"275"</f>
        <v>275</v>
      </c>
      <c r="E6930" t="s">
        <v>1311</v>
      </c>
      <c r="F6930" t="str">
        <f t="shared" si="248"/>
        <v>62330000</v>
      </c>
      <c r="H6930" t="s">
        <v>1312</v>
      </c>
      <c r="J6930" s="4">
        <v>288589</v>
      </c>
    </row>
    <row r="6931" spans="1:11" hidden="1" outlineLevel="2" x14ac:dyDescent="0.35">
      <c r="A6931" t="s">
        <v>11</v>
      </c>
      <c r="B6931" s="1">
        <v>45731</v>
      </c>
      <c r="C6931" t="str">
        <f>"276"</f>
        <v>276</v>
      </c>
      <c r="E6931" t="s">
        <v>1313</v>
      </c>
      <c r="F6931" t="str">
        <f t="shared" si="248"/>
        <v>62330000</v>
      </c>
      <c r="H6931" t="s">
        <v>1314</v>
      </c>
      <c r="J6931" s="4">
        <v>154409</v>
      </c>
    </row>
    <row r="6932" spans="1:11" hidden="1" outlineLevel="2" x14ac:dyDescent="0.35">
      <c r="A6932" t="s">
        <v>11</v>
      </c>
      <c r="B6932" s="1">
        <v>45731</v>
      </c>
      <c r="C6932" t="str">
        <f>"277"</f>
        <v>277</v>
      </c>
      <c r="E6932" t="s">
        <v>1315</v>
      </c>
      <c r="F6932" t="str">
        <f t="shared" si="248"/>
        <v>62330000</v>
      </c>
      <c r="H6932" t="s">
        <v>1316</v>
      </c>
      <c r="J6932" s="4">
        <v>154409</v>
      </c>
    </row>
    <row r="6933" spans="1:11" hidden="1" outlineLevel="2" x14ac:dyDescent="0.35">
      <c r="A6933" t="s">
        <v>11</v>
      </c>
      <c r="B6933" s="1">
        <v>45731</v>
      </c>
      <c r="C6933" t="str">
        <f>"278"</f>
        <v>278</v>
      </c>
      <c r="E6933" t="s">
        <v>1317</v>
      </c>
      <c r="F6933" t="str">
        <f t="shared" si="248"/>
        <v>62330000</v>
      </c>
      <c r="H6933" t="s">
        <v>1318</v>
      </c>
      <c r="J6933" s="4">
        <v>154409</v>
      </c>
    </row>
    <row r="6934" spans="1:11" hidden="1" outlineLevel="2" x14ac:dyDescent="0.35">
      <c r="A6934" t="s">
        <v>11</v>
      </c>
      <c r="B6934" s="1">
        <v>45731</v>
      </c>
      <c r="C6934" t="str">
        <f>"279"</f>
        <v>279</v>
      </c>
      <c r="E6934" t="s">
        <v>1319</v>
      </c>
      <c r="F6934" t="str">
        <f t="shared" si="248"/>
        <v>62330000</v>
      </c>
      <c r="H6934" t="s">
        <v>1320</v>
      </c>
      <c r="J6934" s="4">
        <v>362602</v>
      </c>
    </row>
    <row r="6935" spans="1:11" hidden="1" outlineLevel="2" x14ac:dyDescent="0.35">
      <c r="A6935" t="s">
        <v>11</v>
      </c>
      <c r="B6935" s="1">
        <v>45731</v>
      </c>
      <c r="C6935" t="str">
        <f>"280"</f>
        <v>280</v>
      </c>
      <c r="E6935" t="s">
        <v>1321</v>
      </c>
      <c r="F6935" t="str">
        <f t="shared" si="248"/>
        <v>62330000</v>
      </c>
      <c r="H6935" t="s">
        <v>1322</v>
      </c>
      <c r="J6935" s="4">
        <v>1239910</v>
      </c>
    </row>
    <row r="6936" spans="1:11" hidden="1" outlineLevel="2" x14ac:dyDescent="0.35">
      <c r="A6936" t="s">
        <v>11</v>
      </c>
      <c r="B6936" s="1">
        <v>45731</v>
      </c>
      <c r="C6936" t="str">
        <f>"281"</f>
        <v>281</v>
      </c>
      <c r="E6936" t="s">
        <v>1323</v>
      </c>
      <c r="F6936" t="str">
        <f t="shared" si="248"/>
        <v>62330000</v>
      </c>
      <c r="H6936" t="s">
        <v>1324</v>
      </c>
      <c r="J6936" s="4">
        <v>916455</v>
      </c>
    </row>
    <row r="6937" spans="1:11" hidden="1" outlineLevel="2" x14ac:dyDescent="0.35">
      <c r="A6937" t="s">
        <v>11</v>
      </c>
      <c r="B6937" s="1">
        <v>45731</v>
      </c>
      <c r="C6937" t="str">
        <f>"282"</f>
        <v>282</v>
      </c>
      <c r="E6937" t="s">
        <v>1325</v>
      </c>
      <c r="F6937" t="str">
        <f t="shared" si="248"/>
        <v>62330000</v>
      </c>
      <c r="H6937" t="s">
        <v>1326</v>
      </c>
      <c r="J6937" s="4">
        <v>970364</v>
      </c>
    </row>
    <row r="6938" spans="1:11" hidden="1" outlineLevel="2" x14ac:dyDescent="0.35">
      <c r="A6938" t="s">
        <v>11</v>
      </c>
      <c r="B6938" s="1">
        <v>45731</v>
      </c>
      <c r="C6938" t="str">
        <f>"283"</f>
        <v>283</v>
      </c>
      <c r="E6938" t="s">
        <v>1327</v>
      </c>
      <c r="F6938" t="str">
        <f t="shared" si="248"/>
        <v>62330000</v>
      </c>
      <c r="H6938" t="s">
        <v>1328</v>
      </c>
      <c r="J6938" s="4">
        <v>2746670</v>
      </c>
    </row>
    <row r="6939" spans="1:11" hidden="1" outlineLevel="2" x14ac:dyDescent="0.35">
      <c r="A6939" t="s">
        <v>11</v>
      </c>
      <c r="B6939" s="1">
        <v>45731</v>
      </c>
      <c r="C6939" t="str">
        <f>"288"</f>
        <v>288</v>
      </c>
      <c r="E6939" t="s">
        <v>1337</v>
      </c>
      <c r="F6939" t="str">
        <f t="shared" si="248"/>
        <v>62330000</v>
      </c>
      <c r="H6939" t="s">
        <v>1338</v>
      </c>
      <c r="J6939" s="4">
        <v>1272255</v>
      </c>
    </row>
    <row r="6940" spans="1:11" hidden="1" outlineLevel="2" x14ac:dyDescent="0.35">
      <c r="A6940" t="s">
        <v>11</v>
      </c>
      <c r="B6940" s="1">
        <v>45731</v>
      </c>
      <c r="C6940" t="str">
        <f>"289"</f>
        <v>289</v>
      </c>
      <c r="E6940" t="s">
        <v>1339</v>
      </c>
      <c r="F6940" t="str">
        <f t="shared" si="248"/>
        <v>62330000</v>
      </c>
      <c r="H6940" t="s">
        <v>1340</v>
      </c>
      <c r="J6940" s="4">
        <v>741250</v>
      </c>
    </row>
    <row r="6941" spans="1:11" hidden="1" outlineLevel="2" x14ac:dyDescent="0.35">
      <c r="A6941" t="s">
        <v>11</v>
      </c>
      <c r="B6941" s="1">
        <v>45731</v>
      </c>
      <c r="C6941" t="str">
        <f>"290"</f>
        <v>290</v>
      </c>
      <c r="E6941" t="s">
        <v>1341</v>
      </c>
      <c r="F6941" t="str">
        <f t="shared" si="248"/>
        <v>62330000</v>
      </c>
      <c r="H6941" t="s">
        <v>1342</v>
      </c>
      <c r="J6941" s="4">
        <v>633432</v>
      </c>
    </row>
    <row r="6942" spans="1:11" hidden="1" outlineLevel="2" x14ac:dyDescent="0.35">
      <c r="A6942" t="s">
        <v>11</v>
      </c>
      <c r="B6942" s="1">
        <v>45731</v>
      </c>
      <c r="C6942" t="str">
        <f>"291"</f>
        <v>291</v>
      </c>
      <c r="E6942" t="s">
        <v>1343</v>
      </c>
      <c r="F6942" t="str">
        <f t="shared" si="248"/>
        <v>62330000</v>
      </c>
      <c r="H6942" t="s">
        <v>1344</v>
      </c>
      <c r="J6942" s="4">
        <v>606478</v>
      </c>
    </row>
    <row r="6943" spans="1:11" hidden="1" outlineLevel="2" x14ac:dyDescent="0.35">
      <c r="A6943" t="s">
        <v>11</v>
      </c>
      <c r="B6943" s="1">
        <v>45731</v>
      </c>
      <c r="C6943" t="str">
        <f>"292"</f>
        <v>292</v>
      </c>
      <c r="E6943" t="s">
        <v>1345</v>
      </c>
      <c r="F6943" t="str">
        <f t="shared" si="248"/>
        <v>62330000</v>
      </c>
      <c r="H6943" t="s">
        <v>1346</v>
      </c>
      <c r="J6943" s="4">
        <v>1132091</v>
      </c>
    </row>
    <row r="6944" spans="1:11" hidden="1" outlineLevel="2" x14ac:dyDescent="0.35">
      <c r="A6944" t="s">
        <v>101</v>
      </c>
      <c r="B6944" s="1">
        <v>45731</v>
      </c>
      <c r="C6944" t="str">
        <f>"31"</f>
        <v>31</v>
      </c>
      <c r="E6944" t="s">
        <v>2770</v>
      </c>
      <c r="F6944" t="str">
        <f t="shared" si="248"/>
        <v>62330000</v>
      </c>
      <c r="H6944" t="s">
        <v>2771</v>
      </c>
      <c r="K6944" s="4">
        <v>1066987</v>
      </c>
    </row>
    <row r="6945" spans="1:11" hidden="1" outlineLevel="2" x14ac:dyDescent="0.35">
      <c r="A6945" t="s">
        <v>101</v>
      </c>
      <c r="B6945" s="1">
        <v>45731</v>
      </c>
      <c r="C6945" t="str">
        <f>"32"</f>
        <v>32</v>
      </c>
      <c r="E6945" t="s">
        <v>2772</v>
      </c>
      <c r="F6945" t="str">
        <f t="shared" si="248"/>
        <v>62330000</v>
      </c>
      <c r="H6945" t="s">
        <v>2773</v>
      </c>
      <c r="K6945" s="4">
        <v>363469</v>
      </c>
    </row>
    <row r="6946" spans="1:11" hidden="1" outlineLevel="2" x14ac:dyDescent="0.35">
      <c r="A6946" t="s">
        <v>101</v>
      </c>
      <c r="B6946" s="1">
        <v>45731</v>
      </c>
      <c r="C6946" t="str">
        <f>"33"</f>
        <v>33</v>
      </c>
      <c r="E6946" t="s">
        <v>2774</v>
      </c>
      <c r="F6946" t="str">
        <f t="shared" si="248"/>
        <v>62330000</v>
      </c>
      <c r="H6946" t="s">
        <v>2775</v>
      </c>
      <c r="K6946" s="4">
        <v>1604817</v>
      </c>
    </row>
    <row r="6947" spans="1:11" hidden="1" outlineLevel="2" x14ac:dyDescent="0.35">
      <c r="A6947" t="s">
        <v>101</v>
      </c>
      <c r="B6947" s="1">
        <v>45731</v>
      </c>
      <c r="C6947" t="str">
        <f>"34"</f>
        <v>34</v>
      </c>
      <c r="E6947" t="s">
        <v>2776</v>
      </c>
      <c r="F6947" t="str">
        <f t="shared" si="248"/>
        <v>62330000</v>
      </c>
      <c r="H6947" t="s">
        <v>2777</v>
      </c>
      <c r="K6947" s="4">
        <v>154409</v>
      </c>
    </row>
    <row r="6948" spans="1:11" hidden="1" outlineLevel="2" x14ac:dyDescent="0.35">
      <c r="A6948" t="s">
        <v>101</v>
      </c>
      <c r="B6948" s="1">
        <v>45731</v>
      </c>
      <c r="C6948" t="str">
        <f>"35"</f>
        <v>35</v>
      </c>
      <c r="E6948" t="s">
        <v>1345</v>
      </c>
      <c r="F6948" t="str">
        <f t="shared" si="248"/>
        <v>62330000</v>
      </c>
      <c r="H6948" t="s">
        <v>2778</v>
      </c>
      <c r="K6948" s="4">
        <v>1132091</v>
      </c>
    </row>
    <row r="6949" spans="1:11" hidden="1" outlineLevel="2" x14ac:dyDescent="0.35">
      <c r="A6949" t="s">
        <v>101</v>
      </c>
      <c r="B6949" s="1">
        <v>45731</v>
      </c>
      <c r="C6949" t="str">
        <f>"36"</f>
        <v>36</v>
      </c>
      <c r="E6949" t="s">
        <v>2779</v>
      </c>
      <c r="F6949" t="str">
        <f t="shared" si="248"/>
        <v>62330000</v>
      </c>
      <c r="H6949" t="s">
        <v>2780</v>
      </c>
      <c r="K6949" s="4">
        <v>606478</v>
      </c>
    </row>
    <row r="6950" spans="1:11" hidden="1" outlineLevel="2" x14ac:dyDescent="0.35">
      <c r="A6950" t="s">
        <v>101</v>
      </c>
      <c r="B6950" s="1">
        <v>45731</v>
      </c>
      <c r="C6950" t="str">
        <f>"37"</f>
        <v>37</v>
      </c>
      <c r="E6950" t="s">
        <v>1341</v>
      </c>
      <c r="F6950" t="str">
        <f t="shared" si="248"/>
        <v>62330000</v>
      </c>
      <c r="H6950" t="s">
        <v>2781</v>
      </c>
      <c r="K6950" s="4">
        <v>633432</v>
      </c>
    </row>
    <row r="6951" spans="1:11" hidden="1" outlineLevel="2" x14ac:dyDescent="0.35">
      <c r="A6951" t="s">
        <v>101</v>
      </c>
      <c r="B6951" s="1">
        <v>45731</v>
      </c>
      <c r="C6951" t="str">
        <f>"38"</f>
        <v>38</v>
      </c>
      <c r="E6951" t="s">
        <v>1339</v>
      </c>
      <c r="F6951" t="str">
        <f t="shared" si="248"/>
        <v>62330000</v>
      </c>
      <c r="H6951" t="s">
        <v>2782</v>
      </c>
      <c r="K6951" s="4">
        <v>741250</v>
      </c>
    </row>
    <row r="6952" spans="1:11" hidden="1" outlineLevel="2" x14ac:dyDescent="0.35">
      <c r="A6952" t="s">
        <v>101</v>
      </c>
      <c r="B6952" s="1">
        <v>45731</v>
      </c>
      <c r="C6952" t="str">
        <f>"39"</f>
        <v>39</v>
      </c>
      <c r="E6952" t="s">
        <v>1337</v>
      </c>
      <c r="F6952" t="str">
        <f t="shared" si="248"/>
        <v>62330000</v>
      </c>
      <c r="H6952" t="s">
        <v>2783</v>
      </c>
      <c r="K6952" s="4">
        <v>1272255</v>
      </c>
    </row>
    <row r="6953" spans="1:11" hidden="1" outlineLevel="2" x14ac:dyDescent="0.35">
      <c r="A6953" t="s">
        <v>101</v>
      </c>
      <c r="B6953" s="1">
        <v>45731</v>
      </c>
      <c r="C6953" t="str">
        <f>"44"</f>
        <v>44</v>
      </c>
      <c r="E6953" t="s">
        <v>2788</v>
      </c>
      <c r="F6953" t="str">
        <f t="shared" si="248"/>
        <v>62330000</v>
      </c>
      <c r="H6953" t="s">
        <v>2789</v>
      </c>
      <c r="K6953" s="4">
        <v>970364</v>
      </c>
    </row>
    <row r="6954" spans="1:11" hidden="1" outlineLevel="2" x14ac:dyDescent="0.35">
      <c r="A6954" t="s">
        <v>101</v>
      </c>
      <c r="B6954" s="1">
        <v>45731</v>
      </c>
      <c r="C6954" t="str">
        <f>"45"</f>
        <v>45</v>
      </c>
      <c r="E6954" t="s">
        <v>1321</v>
      </c>
      <c r="F6954" t="str">
        <f t="shared" si="248"/>
        <v>62330000</v>
      </c>
      <c r="H6954" t="s">
        <v>2790</v>
      </c>
      <c r="K6954" s="4">
        <v>1239910</v>
      </c>
    </row>
    <row r="6955" spans="1:11" hidden="1" outlineLevel="2" x14ac:dyDescent="0.35">
      <c r="A6955" t="s">
        <v>101</v>
      </c>
      <c r="B6955" s="1">
        <v>45731</v>
      </c>
      <c r="C6955" t="str">
        <f>"46"</f>
        <v>46</v>
      </c>
      <c r="E6955" t="s">
        <v>1323</v>
      </c>
      <c r="F6955" t="str">
        <f t="shared" si="248"/>
        <v>62330000</v>
      </c>
      <c r="H6955" t="s">
        <v>2791</v>
      </c>
      <c r="K6955" s="4">
        <v>916455</v>
      </c>
    </row>
    <row r="6956" spans="1:11" hidden="1" outlineLevel="2" x14ac:dyDescent="0.35">
      <c r="A6956" t="s">
        <v>101</v>
      </c>
      <c r="B6956" s="1">
        <v>45731</v>
      </c>
      <c r="C6956" t="str">
        <f>"48"</f>
        <v>48</v>
      </c>
      <c r="E6956" t="s">
        <v>2792</v>
      </c>
      <c r="F6956" t="str">
        <f t="shared" si="248"/>
        <v>62330000</v>
      </c>
      <c r="H6956" t="s">
        <v>2793</v>
      </c>
      <c r="K6956" s="4">
        <v>288589</v>
      </c>
    </row>
    <row r="6957" spans="1:11" hidden="1" outlineLevel="2" x14ac:dyDescent="0.35">
      <c r="A6957" t="s">
        <v>101</v>
      </c>
      <c r="B6957" s="1">
        <v>45731</v>
      </c>
      <c r="C6957" t="str">
        <f>"49"</f>
        <v>49</v>
      </c>
      <c r="E6957" t="s">
        <v>2794</v>
      </c>
      <c r="F6957" t="str">
        <f t="shared" si="248"/>
        <v>62330000</v>
      </c>
      <c r="H6957" t="s">
        <v>2795</v>
      </c>
      <c r="K6957" s="4">
        <v>288589</v>
      </c>
    </row>
    <row r="6958" spans="1:11" hidden="1" outlineLevel="2" x14ac:dyDescent="0.35">
      <c r="A6958" t="s">
        <v>101</v>
      </c>
      <c r="B6958" s="1">
        <v>45731</v>
      </c>
      <c r="C6958" t="str">
        <f>"50"</f>
        <v>50</v>
      </c>
      <c r="E6958" t="s">
        <v>2796</v>
      </c>
      <c r="F6958" t="str">
        <f t="shared" si="248"/>
        <v>62330000</v>
      </c>
      <c r="H6958" t="s">
        <v>2797</v>
      </c>
      <c r="K6958" s="4">
        <v>288589</v>
      </c>
    </row>
    <row r="6959" spans="1:11" hidden="1" outlineLevel="2" x14ac:dyDescent="0.35">
      <c r="A6959" t="s">
        <v>101</v>
      </c>
      <c r="B6959" s="1">
        <v>45731</v>
      </c>
      <c r="C6959" t="str">
        <f>"51"</f>
        <v>51</v>
      </c>
      <c r="E6959" t="s">
        <v>2798</v>
      </c>
      <c r="F6959" t="str">
        <f t="shared" si="248"/>
        <v>62330000</v>
      </c>
      <c r="H6959" t="s">
        <v>2799</v>
      </c>
      <c r="K6959" s="4">
        <v>154409</v>
      </c>
    </row>
    <row r="6960" spans="1:11" hidden="1" outlineLevel="2" x14ac:dyDescent="0.35">
      <c r="A6960" t="s">
        <v>101</v>
      </c>
      <c r="B6960" s="1">
        <v>45731</v>
      </c>
      <c r="C6960" t="str">
        <f>"52"</f>
        <v>52</v>
      </c>
      <c r="E6960" t="s">
        <v>2800</v>
      </c>
      <c r="F6960" t="str">
        <f t="shared" si="248"/>
        <v>62330000</v>
      </c>
      <c r="H6960" t="s">
        <v>2801</v>
      </c>
      <c r="K6960" s="4">
        <v>154409</v>
      </c>
    </row>
    <row r="6961" spans="1:11" hidden="1" outlineLevel="2" x14ac:dyDescent="0.35">
      <c r="A6961" t="s">
        <v>101</v>
      </c>
      <c r="B6961" s="1">
        <v>45731</v>
      </c>
      <c r="C6961" t="str">
        <f>"53"</f>
        <v>53</v>
      </c>
      <c r="E6961" t="s">
        <v>2802</v>
      </c>
      <c r="F6961" t="str">
        <f t="shared" si="248"/>
        <v>62330000</v>
      </c>
      <c r="H6961" t="s">
        <v>2803</v>
      </c>
      <c r="K6961" s="4">
        <v>2746670</v>
      </c>
    </row>
    <row r="6962" spans="1:11" hidden="1" outlineLevel="2" x14ac:dyDescent="0.35">
      <c r="A6962" t="s">
        <v>101</v>
      </c>
      <c r="B6962" s="1">
        <v>45747</v>
      </c>
      <c r="C6962" t="str">
        <f>"47"</f>
        <v>47</v>
      </c>
      <c r="E6962" t="s">
        <v>2872</v>
      </c>
      <c r="F6962" t="str">
        <f t="shared" si="248"/>
        <v>62330000</v>
      </c>
      <c r="H6962" t="s">
        <v>2873</v>
      </c>
      <c r="K6962" s="4">
        <v>362602</v>
      </c>
    </row>
    <row r="6963" spans="1:11" outlineLevel="1" collapsed="1" x14ac:dyDescent="0.35">
      <c r="B6963" s="1"/>
      <c r="F6963" s="3" t="s">
        <v>6632</v>
      </c>
      <c r="J6963" s="4">
        <f>SUBTOTAL(9,J6925:J6962)</f>
        <v>14985774</v>
      </c>
      <c r="K6963" s="4">
        <f>SUBTOTAL(9,K6925:K6962)</f>
        <v>14985774</v>
      </c>
    </row>
    <row r="6964" spans="1:11" hidden="1" outlineLevel="2" x14ac:dyDescent="0.35">
      <c r="A6964" t="s">
        <v>11</v>
      </c>
      <c r="B6964" s="1">
        <v>45731</v>
      </c>
      <c r="C6964" t="str">
        <f>"284"</f>
        <v>284</v>
      </c>
      <c r="E6964" t="s">
        <v>1329</v>
      </c>
      <c r="F6964" t="str">
        <f t="shared" ref="F6964:F6981" si="249">"62330100"</f>
        <v>62330100</v>
      </c>
      <c r="H6964" t="s">
        <v>1330</v>
      </c>
      <c r="J6964" s="4">
        <v>2071868</v>
      </c>
    </row>
    <row r="6965" spans="1:11" hidden="1" outlineLevel="2" x14ac:dyDescent="0.35">
      <c r="A6965" t="s">
        <v>11</v>
      </c>
      <c r="B6965" s="1">
        <v>45731</v>
      </c>
      <c r="C6965" t="str">
        <f>"285"</f>
        <v>285</v>
      </c>
      <c r="E6965" t="s">
        <v>1331</v>
      </c>
      <c r="F6965" t="str">
        <f t="shared" si="249"/>
        <v>62330100</v>
      </c>
      <c r="H6965" t="s">
        <v>1332</v>
      </c>
      <c r="J6965" s="4">
        <v>4143735</v>
      </c>
    </row>
    <row r="6966" spans="1:11" hidden="1" outlineLevel="2" x14ac:dyDescent="0.35">
      <c r="A6966" t="s">
        <v>11</v>
      </c>
      <c r="B6966" s="1">
        <v>45731</v>
      </c>
      <c r="C6966" t="str">
        <f>"286"</f>
        <v>286</v>
      </c>
      <c r="E6966" t="s">
        <v>1333</v>
      </c>
      <c r="F6966" t="str">
        <f t="shared" si="249"/>
        <v>62330100</v>
      </c>
      <c r="H6966" t="s">
        <v>1334</v>
      </c>
      <c r="J6966" s="4">
        <v>4143735</v>
      </c>
    </row>
    <row r="6967" spans="1:11" hidden="1" outlineLevel="2" x14ac:dyDescent="0.35">
      <c r="A6967" t="s">
        <v>11</v>
      </c>
      <c r="B6967" s="1">
        <v>45731</v>
      </c>
      <c r="C6967" t="str">
        <f>"287"</f>
        <v>287</v>
      </c>
      <c r="E6967" t="s">
        <v>1335</v>
      </c>
      <c r="F6967" t="str">
        <f t="shared" si="249"/>
        <v>62330100</v>
      </c>
      <c r="H6967" t="s">
        <v>1336</v>
      </c>
      <c r="J6967" s="4">
        <v>2071868</v>
      </c>
    </row>
    <row r="6968" spans="1:11" hidden="1" outlineLevel="2" x14ac:dyDescent="0.35">
      <c r="A6968" t="s">
        <v>11</v>
      </c>
      <c r="B6968" s="1">
        <v>45731</v>
      </c>
      <c r="C6968" t="str">
        <f>"295"</f>
        <v>295</v>
      </c>
      <c r="E6968" t="s">
        <v>1347</v>
      </c>
      <c r="F6968" t="str">
        <f t="shared" si="249"/>
        <v>62330100</v>
      </c>
      <c r="H6968" t="s">
        <v>1348</v>
      </c>
      <c r="J6968" s="4">
        <v>2946650</v>
      </c>
    </row>
    <row r="6969" spans="1:11" hidden="1" outlineLevel="2" x14ac:dyDescent="0.35">
      <c r="A6969" t="s">
        <v>11</v>
      </c>
      <c r="B6969" s="1">
        <v>45731</v>
      </c>
      <c r="C6969" t="str">
        <f>"296"</f>
        <v>296</v>
      </c>
      <c r="E6969" t="s">
        <v>1349</v>
      </c>
      <c r="F6969" t="str">
        <f t="shared" si="249"/>
        <v>62330100</v>
      </c>
      <c r="H6969" t="s">
        <v>1350</v>
      </c>
      <c r="J6969" s="4">
        <v>2946650</v>
      </c>
    </row>
    <row r="6970" spans="1:11" hidden="1" outlineLevel="2" x14ac:dyDescent="0.35">
      <c r="A6970" t="s">
        <v>11</v>
      </c>
      <c r="B6970" s="1">
        <v>45731</v>
      </c>
      <c r="C6970" t="str">
        <f>"297"</f>
        <v>297</v>
      </c>
      <c r="E6970" t="s">
        <v>1351</v>
      </c>
      <c r="F6970" t="str">
        <f t="shared" si="249"/>
        <v>62330100</v>
      </c>
      <c r="H6970" t="s">
        <v>1352</v>
      </c>
      <c r="J6970" s="4">
        <v>3928866</v>
      </c>
    </row>
    <row r="6971" spans="1:11" hidden="1" outlineLevel="2" x14ac:dyDescent="0.35">
      <c r="A6971" t="s">
        <v>11</v>
      </c>
      <c r="B6971" s="1">
        <v>45746</v>
      </c>
      <c r="C6971" t="str">
        <f>"293"</f>
        <v>293</v>
      </c>
      <c r="E6971" t="s">
        <v>1353</v>
      </c>
      <c r="F6971" t="str">
        <f t="shared" si="249"/>
        <v>62330100</v>
      </c>
      <c r="H6971" t="s">
        <v>1355</v>
      </c>
      <c r="J6971" s="4">
        <v>3137491</v>
      </c>
    </row>
    <row r="6972" spans="1:11" hidden="1" outlineLevel="2" x14ac:dyDescent="0.35">
      <c r="A6972" t="s">
        <v>11</v>
      </c>
      <c r="B6972" s="1">
        <v>45746</v>
      </c>
      <c r="C6972" t="str">
        <f>"294"</f>
        <v>294</v>
      </c>
      <c r="E6972" t="s">
        <v>1356</v>
      </c>
      <c r="F6972" t="str">
        <f t="shared" si="249"/>
        <v>62330100</v>
      </c>
      <c r="H6972" t="s">
        <v>1357</v>
      </c>
      <c r="J6972" s="4">
        <v>844097</v>
      </c>
    </row>
    <row r="6973" spans="1:11" hidden="1" outlineLevel="2" x14ac:dyDescent="0.35">
      <c r="A6973" t="s">
        <v>101</v>
      </c>
      <c r="B6973" s="1">
        <v>45731</v>
      </c>
      <c r="C6973" t="str">
        <f>"40"</f>
        <v>40</v>
      </c>
      <c r="E6973" t="s">
        <v>1329</v>
      </c>
      <c r="F6973" t="str">
        <f t="shared" si="249"/>
        <v>62330100</v>
      </c>
      <c r="H6973" t="s">
        <v>2784</v>
      </c>
      <c r="K6973" s="4">
        <v>2071868</v>
      </c>
    </row>
    <row r="6974" spans="1:11" hidden="1" outlineLevel="2" x14ac:dyDescent="0.35">
      <c r="A6974" t="s">
        <v>101</v>
      </c>
      <c r="B6974" s="1">
        <v>45731</v>
      </c>
      <c r="C6974" t="str">
        <f>"41"</f>
        <v>41</v>
      </c>
      <c r="E6974" t="s">
        <v>1331</v>
      </c>
      <c r="F6974" t="str">
        <f t="shared" si="249"/>
        <v>62330100</v>
      </c>
      <c r="H6974" t="s">
        <v>2785</v>
      </c>
      <c r="K6974" s="4">
        <v>4143735</v>
      </c>
    </row>
    <row r="6975" spans="1:11" hidden="1" outlineLevel="2" x14ac:dyDescent="0.35">
      <c r="A6975" t="s">
        <v>101</v>
      </c>
      <c r="B6975" s="1">
        <v>45731</v>
      </c>
      <c r="C6975" t="str">
        <f>"42"</f>
        <v>42</v>
      </c>
      <c r="E6975" t="s">
        <v>1333</v>
      </c>
      <c r="F6975" t="str">
        <f t="shared" si="249"/>
        <v>62330100</v>
      </c>
      <c r="H6975" t="s">
        <v>2786</v>
      </c>
      <c r="K6975" s="4">
        <v>4143735</v>
      </c>
    </row>
    <row r="6976" spans="1:11" hidden="1" outlineLevel="2" x14ac:dyDescent="0.35">
      <c r="A6976" t="s">
        <v>101</v>
      </c>
      <c r="B6976" s="1">
        <v>45731</v>
      </c>
      <c r="C6976" t="str">
        <f>"43"</f>
        <v>43</v>
      </c>
      <c r="E6976" t="s">
        <v>1335</v>
      </c>
      <c r="F6976" t="str">
        <f t="shared" si="249"/>
        <v>62330100</v>
      </c>
      <c r="H6976" t="s">
        <v>2787</v>
      </c>
      <c r="K6976" s="4">
        <v>2071868</v>
      </c>
    </row>
    <row r="6977" spans="1:11" hidden="1" outlineLevel="2" x14ac:dyDescent="0.35">
      <c r="A6977" t="s">
        <v>101</v>
      </c>
      <c r="B6977" s="1">
        <v>45731</v>
      </c>
      <c r="C6977" t="str">
        <f>"54"</f>
        <v>54</v>
      </c>
      <c r="E6977" t="s">
        <v>1347</v>
      </c>
      <c r="F6977" t="str">
        <f t="shared" si="249"/>
        <v>62330100</v>
      </c>
      <c r="H6977" t="s">
        <v>2804</v>
      </c>
      <c r="K6977" s="4">
        <v>2946650</v>
      </c>
    </row>
    <row r="6978" spans="1:11" hidden="1" outlineLevel="2" x14ac:dyDescent="0.35">
      <c r="A6978" t="s">
        <v>101</v>
      </c>
      <c r="B6978" s="1">
        <v>45731</v>
      </c>
      <c r="C6978" t="str">
        <f>"55"</f>
        <v>55</v>
      </c>
      <c r="E6978" t="s">
        <v>1349</v>
      </c>
      <c r="F6978" t="str">
        <f t="shared" si="249"/>
        <v>62330100</v>
      </c>
      <c r="H6978" t="s">
        <v>2805</v>
      </c>
      <c r="K6978" s="4">
        <v>2946650</v>
      </c>
    </row>
    <row r="6979" spans="1:11" hidden="1" outlineLevel="2" x14ac:dyDescent="0.35">
      <c r="A6979" t="s">
        <v>101</v>
      </c>
      <c r="B6979" s="1">
        <v>45731</v>
      </c>
      <c r="C6979" t="str">
        <f>"56"</f>
        <v>56</v>
      </c>
      <c r="E6979" t="s">
        <v>1351</v>
      </c>
      <c r="F6979" t="str">
        <f t="shared" si="249"/>
        <v>62330100</v>
      </c>
      <c r="H6979" t="s">
        <v>2806</v>
      </c>
      <c r="K6979" s="4">
        <v>3928866</v>
      </c>
    </row>
    <row r="6980" spans="1:11" hidden="1" outlineLevel="2" x14ac:dyDescent="0.35">
      <c r="A6980" t="s">
        <v>101</v>
      </c>
      <c r="B6980" s="1">
        <v>45746</v>
      </c>
      <c r="C6980" t="str">
        <f>"29"</f>
        <v>29</v>
      </c>
      <c r="E6980" t="s">
        <v>2822</v>
      </c>
      <c r="F6980" t="str">
        <f t="shared" si="249"/>
        <v>62330100</v>
      </c>
      <c r="H6980" t="s">
        <v>2823</v>
      </c>
      <c r="K6980" s="4">
        <v>3137491</v>
      </c>
    </row>
    <row r="6981" spans="1:11" hidden="1" outlineLevel="2" x14ac:dyDescent="0.35">
      <c r="A6981" t="s">
        <v>101</v>
      </c>
      <c r="B6981" s="1">
        <v>45746</v>
      </c>
      <c r="C6981" t="str">
        <f>"30"</f>
        <v>30</v>
      </c>
      <c r="E6981" t="s">
        <v>2824</v>
      </c>
      <c r="F6981" t="str">
        <f t="shared" si="249"/>
        <v>62330100</v>
      </c>
      <c r="H6981" t="s">
        <v>2825</v>
      </c>
      <c r="K6981" s="4">
        <v>844097</v>
      </c>
    </row>
    <row r="6982" spans="1:11" outlineLevel="1" collapsed="1" x14ac:dyDescent="0.35">
      <c r="B6982" s="1"/>
      <c r="F6982" s="3" t="s">
        <v>6633</v>
      </c>
      <c r="J6982" s="4">
        <f>SUBTOTAL(9,J6964:J6981)</f>
        <v>26234960</v>
      </c>
      <c r="K6982" s="4">
        <f>SUBTOTAL(9,K6964:K6981)</f>
        <v>26234960</v>
      </c>
    </row>
    <row r="6983" spans="1:11" hidden="1" outlineLevel="2" x14ac:dyDescent="0.35">
      <c r="A6983" t="s">
        <v>26</v>
      </c>
      <c r="B6983" s="1">
        <v>45736</v>
      </c>
      <c r="C6983" t="str">
        <f>"92"</f>
        <v>92</v>
      </c>
      <c r="D6983" t="s">
        <v>1699</v>
      </c>
      <c r="E6983" t="str">
        <f>"0000103"</f>
        <v>0000103</v>
      </c>
      <c r="F6983" t="str">
        <f>"62410000"</f>
        <v>62410000</v>
      </c>
      <c r="H6983" t="s">
        <v>1700</v>
      </c>
      <c r="J6983" s="4">
        <v>192000</v>
      </c>
    </row>
    <row r="6984" spans="1:11" hidden="1" outlineLevel="2" x14ac:dyDescent="0.35">
      <c r="A6984" t="s">
        <v>2337</v>
      </c>
      <c r="B6984" s="1">
        <v>45726</v>
      </c>
      <c r="C6984" t="str">
        <f>"712"</f>
        <v>712</v>
      </c>
      <c r="E6984" t="str">
        <f>"17331"</f>
        <v>17331</v>
      </c>
      <c r="F6984" t="str">
        <f>"62410000"</f>
        <v>62410000</v>
      </c>
      <c r="H6984" t="s">
        <v>2436</v>
      </c>
      <c r="J6984" s="4">
        <v>15000</v>
      </c>
    </row>
    <row r="6985" spans="1:11" hidden="1" outlineLevel="2" x14ac:dyDescent="0.35">
      <c r="A6985" t="s">
        <v>2337</v>
      </c>
      <c r="B6985" s="1">
        <v>45729</v>
      </c>
      <c r="C6985" t="str">
        <f>"755"</f>
        <v>755</v>
      </c>
      <c r="E6985" t="str">
        <f>"17374"</f>
        <v>17374</v>
      </c>
      <c r="F6985" t="str">
        <f>"62410000"</f>
        <v>62410000</v>
      </c>
      <c r="H6985" t="s">
        <v>2496</v>
      </c>
      <c r="J6985" s="4">
        <v>2000</v>
      </c>
    </row>
    <row r="6986" spans="1:11" outlineLevel="1" collapsed="1" x14ac:dyDescent="0.35">
      <c r="B6986" s="1"/>
      <c r="F6986" s="3" t="s">
        <v>6634</v>
      </c>
      <c r="J6986" s="4">
        <f>SUBTOTAL(9,J6983:J6985)</f>
        <v>209000</v>
      </c>
      <c r="K6986" s="4">
        <f>SUBTOTAL(9,K6983:K6985)</f>
        <v>0</v>
      </c>
    </row>
    <row r="6987" spans="1:11" hidden="1" outlineLevel="2" x14ac:dyDescent="0.35">
      <c r="A6987" t="s">
        <v>26</v>
      </c>
      <c r="B6987" s="1">
        <v>45723</v>
      </c>
      <c r="C6987" t="str">
        <f>"28"</f>
        <v>28</v>
      </c>
      <c r="D6987" t="s">
        <v>1516</v>
      </c>
      <c r="E6987" t="s">
        <v>1517</v>
      </c>
      <c r="F6987" t="str">
        <f t="shared" ref="F6987:F7015" si="250">"62411000"</f>
        <v>62411000</v>
      </c>
      <c r="H6987" t="s">
        <v>1518</v>
      </c>
      <c r="J6987" s="4">
        <v>1401705</v>
      </c>
    </row>
    <row r="6988" spans="1:11" hidden="1" outlineLevel="2" x14ac:dyDescent="0.35">
      <c r="A6988" t="s">
        <v>26</v>
      </c>
      <c r="B6988" s="1">
        <v>45723</v>
      </c>
      <c r="C6988" t="str">
        <f>"32"</f>
        <v>32</v>
      </c>
      <c r="D6988" t="s">
        <v>1527</v>
      </c>
      <c r="E6988" t="str">
        <f>"0235662"</f>
        <v>0235662</v>
      </c>
      <c r="F6988" t="str">
        <f t="shared" si="250"/>
        <v>62411000</v>
      </c>
      <c r="H6988" t="s">
        <v>1528</v>
      </c>
      <c r="J6988" s="4">
        <v>390000</v>
      </c>
    </row>
    <row r="6989" spans="1:11" hidden="1" outlineLevel="2" x14ac:dyDescent="0.35">
      <c r="A6989" t="s">
        <v>26</v>
      </c>
      <c r="B6989" s="1">
        <v>45723</v>
      </c>
      <c r="C6989" t="str">
        <f>"33"</f>
        <v>33</v>
      </c>
      <c r="D6989" t="s">
        <v>1529</v>
      </c>
      <c r="E6989" t="str">
        <f>"0235668"</f>
        <v>0235668</v>
      </c>
      <c r="F6989" t="str">
        <f t="shared" si="250"/>
        <v>62411000</v>
      </c>
      <c r="H6989" t="s">
        <v>1528</v>
      </c>
      <c r="J6989" s="4">
        <v>390000</v>
      </c>
    </row>
    <row r="6990" spans="1:11" hidden="1" outlineLevel="2" x14ac:dyDescent="0.35">
      <c r="A6990" t="s">
        <v>26</v>
      </c>
      <c r="B6990" s="1">
        <v>45726</v>
      </c>
      <c r="C6990" t="str">
        <f>"63"</f>
        <v>63</v>
      </c>
      <c r="D6990" t="s">
        <v>1570</v>
      </c>
      <c r="E6990" t="str">
        <f>"0001867"</f>
        <v>0001867</v>
      </c>
      <c r="F6990" t="str">
        <f t="shared" si="250"/>
        <v>62411000</v>
      </c>
      <c r="H6990" t="s">
        <v>1571</v>
      </c>
      <c r="J6990" s="4">
        <v>192000</v>
      </c>
    </row>
    <row r="6991" spans="1:11" hidden="1" outlineLevel="2" x14ac:dyDescent="0.35">
      <c r="A6991" t="s">
        <v>26</v>
      </c>
      <c r="B6991" s="1">
        <v>45726</v>
      </c>
      <c r="C6991" t="str">
        <f>"125"</f>
        <v>125</v>
      </c>
      <c r="D6991" t="s">
        <v>1580</v>
      </c>
      <c r="E6991" t="str">
        <f>"0000048"</f>
        <v>0000048</v>
      </c>
      <c r="F6991" t="str">
        <f t="shared" si="250"/>
        <v>62411000</v>
      </c>
      <c r="H6991" t="s">
        <v>1581</v>
      </c>
      <c r="J6991" s="4">
        <v>770000</v>
      </c>
    </row>
    <row r="6992" spans="1:11" hidden="1" outlineLevel="2" x14ac:dyDescent="0.35">
      <c r="A6992" t="s">
        <v>26</v>
      </c>
      <c r="B6992" s="1">
        <v>45726</v>
      </c>
      <c r="C6992" t="str">
        <f>"157"</f>
        <v>157</v>
      </c>
      <c r="D6992" t="s">
        <v>1568</v>
      </c>
      <c r="E6992" t="str">
        <f>"0000064"</f>
        <v>0000064</v>
      </c>
      <c r="F6992" t="str">
        <f t="shared" si="250"/>
        <v>62411000</v>
      </c>
      <c r="H6992" t="s">
        <v>1582</v>
      </c>
      <c r="J6992" s="4">
        <v>154400</v>
      </c>
    </row>
    <row r="6993" spans="1:10" hidden="1" outlineLevel="2" x14ac:dyDescent="0.35">
      <c r="A6993" t="s">
        <v>26</v>
      </c>
      <c r="B6993" s="1">
        <v>45737</v>
      </c>
      <c r="C6993" t="str">
        <f>"93"</f>
        <v>93</v>
      </c>
      <c r="D6993" t="s">
        <v>1704</v>
      </c>
      <c r="E6993" t="str">
        <f>"0235671"</f>
        <v>0235671</v>
      </c>
      <c r="F6993" t="str">
        <f t="shared" si="250"/>
        <v>62411000</v>
      </c>
      <c r="H6993" t="s">
        <v>1705</v>
      </c>
      <c r="J6993" s="4">
        <v>185000</v>
      </c>
    </row>
    <row r="6994" spans="1:10" hidden="1" outlineLevel="2" x14ac:dyDescent="0.35">
      <c r="A6994" t="s">
        <v>26</v>
      </c>
      <c r="B6994" s="1">
        <v>45737</v>
      </c>
      <c r="C6994" t="str">
        <f>"94"</f>
        <v>94</v>
      </c>
      <c r="D6994" t="s">
        <v>1706</v>
      </c>
      <c r="E6994" t="str">
        <f>"0235673"</f>
        <v>0235673</v>
      </c>
      <c r="F6994" t="str">
        <f t="shared" si="250"/>
        <v>62411000</v>
      </c>
      <c r="H6994" t="s">
        <v>1705</v>
      </c>
      <c r="J6994" s="4">
        <v>390000</v>
      </c>
    </row>
    <row r="6995" spans="1:10" hidden="1" outlineLevel="2" x14ac:dyDescent="0.35">
      <c r="A6995" t="s">
        <v>26</v>
      </c>
      <c r="B6995" s="1">
        <v>45737</v>
      </c>
      <c r="C6995" t="str">
        <f>"126"</f>
        <v>126</v>
      </c>
      <c r="D6995" t="s">
        <v>1707</v>
      </c>
      <c r="E6995" t="str">
        <f>"0235680"</f>
        <v>0235680</v>
      </c>
      <c r="F6995" t="str">
        <f t="shared" si="250"/>
        <v>62411000</v>
      </c>
      <c r="H6995" t="s">
        <v>1708</v>
      </c>
      <c r="J6995" s="4">
        <v>390000</v>
      </c>
    </row>
    <row r="6996" spans="1:10" hidden="1" outlineLevel="2" x14ac:dyDescent="0.35">
      <c r="A6996" t="s">
        <v>26</v>
      </c>
      <c r="B6996" s="1">
        <v>45737</v>
      </c>
      <c r="C6996" t="str">
        <f>"127"</f>
        <v>127</v>
      </c>
      <c r="D6996" t="s">
        <v>1709</v>
      </c>
      <c r="E6996" t="str">
        <f>"0235687"</f>
        <v>0235687</v>
      </c>
      <c r="F6996" t="str">
        <f t="shared" si="250"/>
        <v>62411000</v>
      </c>
      <c r="H6996" t="s">
        <v>1710</v>
      </c>
      <c r="J6996" s="4">
        <v>390000</v>
      </c>
    </row>
    <row r="6997" spans="1:10" hidden="1" outlineLevel="2" x14ac:dyDescent="0.35">
      <c r="A6997" t="s">
        <v>26</v>
      </c>
      <c r="B6997" s="1">
        <v>45737</v>
      </c>
      <c r="C6997" t="str">
        <f>"128"</f>
        <v>128</v>
      </c>
      <c r="D6997" t="s">
        <v>1711</v>
      </c>
      <c r="E6997" t="str">
        <f>"0235688"</f>
        <v>0235688</v>
      </c>
      <c r="F6997" t="str">
        <f t="shared" si="250"/>
        <v>62411000</v>
      </c>
      <c r="H6997" t="s">
        <v>1712</v>
      </c>
      <c r="J6997" s="4">
        <v>65000</v>
      </c>
    </row>
    <row r="6998" spans="1:10" hidden="1" outlineLevel="2" x14ac:dyDescent="0.35">
      <c r="A6998" t="s">
        <v>26</v>
      </c>
      <c r="B6998" s="1">
        <v>45740</v>
      </c>
      <c r="C6998" t="str">
        <f>"129"</f>
        <v>129</v>
      </c>
      <c r="D6998" t="s">
        <v>1721</v>
      </c>
      <c r="E6998" t="str">
        <f>"0235690"</f>
        <v>0235690</v>
      </c>
      <c r="F6998" t="str">
        <f t="shared" si="250"/>
        <v>62411000</v>
      </c>
      <c r="H6998" t="s">
        <v>1722</v>
      </c>
      <c r="J6998" s="4">
        <v>50000</v>
      </c>
    </row>
    <row r="6999" spans="1:10" hidden="1" outlineLevel="2" x14ac:dyDescent="0.35">
      <c r="A6999" t="s">
        <v>26</v>
      </c>
      <c r="B6999" s="1">
        <v>45742</v>
      </c>
      <c r="C6999" t="str">
        <f>"137"</f>
        <v>137</v>
      </c>
      <c r="D6999" t="s">
        <v>1742</v>
      </c>
      <c r="E6999" t="str">
        <f>"0748127"</f>
        <v>0748127</v>
      </c>
      <c r="F6999" t="str">
        <f t="shared" si="250"/>
        <v>62411000</v>
      </c>
      <c r="H6999" t="s">
        <v>1743</v>
      </c>
      <c r="J6999" s="4">
        <v>180000</v>
      </c>
    </row>
    <row r="7000" spans="1:10" hidden="1" outlineLevel="2" x14ac:dyDescent="0.35">
      <c r="A7000" t="s">
        <v>26</v>
      </c>
      <c r="B7000" s="1">
        <v>45742</v>
      </c>
      <c r="C7000" t="str">
        <f>"139"</f>
        <v>139</v>
      </c>
      <c r="D7000" t="s">
        <v>1746</v>
      </c>
      <c r="E7000" t="s">
        <v>1747</v>
      </c>
      <c r="F7000" t="str">
        <f t="shared" si="250"/>
        <v>62411000</v>
      </c>
      <c r="H7000" t="s">
        <v>1748</v>
      </c>
      <c r="J7000" s="4">
        <v>708000</v>
      </c>
    </row>
    <row r="7001" spans="1:10" hidden="1" outlineLevel="2" x14ac:dyDescent="0.35">
      <c r="A7001" t="s">
        <v>26</v>
      </c>
      <c r="B7001" s="1">
        <v>45742</v>
      </c>
      <c r="C7001" t="str">
        <f>"140"</f>
        <v>140</v>
      </c>
      <c r="D7001" t="s">
        <v>1749</v>
      </c>
      <c r="E7001" t="str">
        <f>"0748146"</f>
        <v>0748146</v>
      </c>
      <c r="F7001" t="str">
        <f t="shared" si="250"/>
        <v>62411000</v>
      </c>
      <c r="H7001" t="s">
        <v>1750</v>
      </c>
      <c r="J7001" s="4">
        <v>45000</v>
      </c>
    </row>
    <row r="7002" spans="1:10" hidden="1" outlineLevel="2" x14ac:dyDescent="0.35">
      <c r="A7002" t="s">
        <v>26</v>
      </c>
      <c r="B7002" s="1">
        <v>45742</v>
      </c>
      <c r="C7002" t="str">
        <f>"141"</f>
        <v>141</v>
      </c>
      <c r="D7002" t="s">
        <v>1751</v>
      </c>
      <c r="E7002" t="str">
        <f>"0748147"</f>
        <v>0748147</v>
      </c>
      <c r="F7002" t="str">
        <f t="shared" si="250"/>
        <v>62411000</v>
      </c>
      <c r="H7002" t="s">
        <v>1752</v>
      </c>
      <c r="J7002" s="4">
        <v>93000</v>
      </c>
    </row>
    <row r="7003" spans="1:10" hidden="1" outlineLevel="2" x14ac:dyDescent="0.35">
      <c r="A7003" t="s">
        <v>2018</v>
      </c>
      <c r="B7003" s="1">
        <v>45734</v>
      </c>
      <c r="C7003" t="str">
        <f>"415"</f>
        <v>415</v>
      </c>
      <c r="F7003" t="str">
        <f t="shared" si="250"/>
        <v>62411000</v>
      </c>
      <c r="H7003" t="s">
        <v>2122</v>
      </c>
      <c r="J7003" s="4">
        <v>50500</v>
      </c>
    </row>
    <row r="7004" spans="1:10" hidden="1" outlineLevel="2" x14ac:dyDescent="0.35">
      <c r="A7004" t="s">
        <v>2219</v>
      </c>
      <c r="B7004" s="1">
        <v>45740</v>
      </c>
      <c r="C7004" t="str">
        <f>"503"</f>
        <v>503</v>
      </c>
      <c r="F7004" t="str">
        <f t="shared" si="250"/>
        <v>62411000</v>
      </c>
      <c r="H7004" t="s">
        <v>2299</v>
      </c>
      <c r="J7004" s="4">
        <v>60000</v>
      </c>
    </row>
    <row r="7005" spans="1:10" hidden="1" outlineLevel="2" x14ac:dyDescent="0.35">
      <c r="A7005" t="s">
        <v>2337</v>
      </c>
      <c r="B7005" s="1">
        <v>45719</v>
      </c>
      <c r="C7005" t="str">
        <f>"649"</f>
        <v>649</v>
      </c>
      <c r="E7005" t="str">
        <f>"17268"</f>
        <v>17268</v>
      </c>
      <c r="F7005" t="str">
        <f t="shared" si="250"/>
        <v>62411000</v>
      </c>
      <c r="H7005" t="s">
        <v>2344</v>
      </c>
      <c r="J7005" s="4">
        <v>10000</v>
      </c>
    </row>
    <row r="7006" spans="1:10" hidden="1" outlineLevel="2" x14ac:dyDescent="0.35">
      <c r="A7006" t="s">
        <v>2337</v>
      </c>
      <c r="B7006" s="1">
        <v>45723</v>
      </c>
      <c r="C7006" t="str">
        <f>"691"</f>
        <v>691</v>
      </c>
      <c r="E7006" t="str">
        <f>"17310"</f>
        <v>17310</v>
      </c>
      <c r="F7006" t="str">
        <f t="shared" si="250"/>
        <v>62411000</v>
      </c>
      <c r="H7006" t="s">
        <v>2408</v>
      </c>
      <c r="J7006" s="4">
        <v>140000</v>
      </c>
    </row>
    <row r="7007" spans="1:10" hidden="1" outlineLevel="2" x14ac:dyDescent="0.35">
      <c r="A7007" t="s">
        <v>2337</v>
      </c>
      <c r="B7007" s="1">
        <v>45723</v>
      </c>
      <c r="C7007" t="str">
        <f>"695"</f>
        <v>695</v>
      </c>
      <c r="E7007" t="str">
        <f>"17314"</f>
        <v>17314</v>
      </c>
      <c r="F7007" t="str">
        <f t="shared" si="250"/>
        <v>62411000</v>
      </c>
      <c r="H7007" t="s">
        <v>2412</v>
      </c>
      <c r="J7007" s="4">
        <v>15000</v>
      </c>
    </row>
    <row r="7008" spans="1:10" hidden="1" outlineLevel="2" x14ac:dyDescent="0.35">
      <c r="A7008" t="s">
        <v>2337</v>
      </c>
      <c r="B7008" s="1">
        <v>45730</v>
      </c>
      <c r="C7008" t="str">
        <f>"760"</f>
        <v>760</v>
      </c>
      <c r="E7008" t="str">
        <f>"17379"</f>
        <v>17379</v>
      </c>
      <c r="F7008" t="str">
        <f t="shared" si="250"/>
        <v>62411000</v>
      </c>
      <c r="H7008" t="s">
        <v>2501</v>
      </c>
      <c r="J7008" s="4">
        <v>140000</v>
      </c>
    </row>
    <row r="7009" spans="1:11" hidden="1" outlineLevel="2" x14ac:dyDescent="0.35">
      <c r="A7009" t="s">
        <v>2337</v>
      </c>
      <c r="B7009" s="1">
        <v>45730</v>
      </c>
      <c r="C7009" t="str">
        <f>"763"</f>
        <v>763</v>
      </c>
      <c r="E7009" t="str">
        <f>"17382"</f>
        <v>17382</v>
      </c>
      <c r="F7009" t="str">
        <f t="shared" si="250"/>
        <v>62411000</v>
      </c>
      <c r="H7009" t="s">
        <v>2507</v>
      </c>
      <c r="J7009" s="4">
        <v>8000</v>
      </c>
    </row>
    <row r="7010" spans="1:11" hidden="1" outlineLevel="2" x14ac:dyDescent="0.35">
      <c r="A7010" t="s">
        <v>2337</v>
      </c>
      <c r="B7010" s="1">
        <v>45737</v>
      </c>
      <c r="C7010" t="str">
        <f>"821"</f>
        <v>821</v>
      </c>
      <c r="E7010" t="str">
        <f>"17477"</f>
        <v>17477</v>
      </c>
      <c r="F7010" t="str">
        <f t="shared" si="250"/>
        <v>62411000</v>
      </c>
      <c r="H7010" t="s">
        <v>2574</v>
      </c>
      <c r="J7010" s="4">
        <v>55000</v>
      </c>
    </row>
    <row r="7011" spans="1:11" hidden="1" outlineLevel="2" x14ac:dyDescent="0.35">
      <c r="A7011" t="s">
        <v>2337</v>
      </c>
      <c r="B7011" s="1">
        <v>45737</v>
      </c>
      <c r="C7011" t="str">
        <f>"827"</f>
        <v>827</v>
      </c>
      <c r="E7011" t="str">
        <f>"17483"</f>
        <v>17483</v>
      </c>
      <c r="F7011" t="str">
        <f t="shared" si="250"/>
        <v>62411000</v>
      </c>
      <c r="H7011" t="s">
        <v>2582</v>
      </c>
      <c r="J7011" s="4">
        <v>140000</v>
      </c>
    </row>
    <row r="7012" spans="1:11" hidden="1" outlineLevel="2" x14ac:dyDescent="0.35">
      <c r="A7012" t="s">
        <v>2337</v>
      </c>
      <c r="B7012" s="1">
        <v>45740</v>
      </c>
      <c r="C7012" t="str">
        <f>"844"</f>
        <v>844</v>
      </c>
      <c r="E7012" t="str">
        <f>"17500"</f>
        <v>17500</v>
      </c>
      <c r="F7012" t="str">
        <f t="shared" si="250"/>
        <v>62411000</v>
      </c>
      <c r="H7012" t="s">
        <v>2599</v>
      </c>
      <c r="J7012" s="4">
        <v>20000</v>
      </c>
    </row>
    <row r="7013" spans="1:11" hidden="1" outlineLevel="2" x14ac:dyDescent="0.35">
      <c r="A7013" t="s">
        <v>2337</v>
      </c>
      <c r="B7013" s="1">
        <v>45744</v>
      </c>
      <c r="C7013" t="str">
        <f>"873"</f>
        <v>873</v>
      </c>
      <c r="E7013" t="str">
        <f>"15879"</f>
        <v>15879</v>
      </c>
      <c r="F7013" t="str">
        <f t="shared" si="250"/>
        <v>62411000</v>
      </c>
      <c r="H7013" t="s">
        <v>2633</v>
      </c>
      <c r="J7013" s="4">
        <v>140000</v>
      </c>
    </row>
    <row r="7014" spans="1:11" hidden="1" outlineLevel="2" x14ac:dyDescent="0.35">
      <c r="A7014" t="s">
        <v>101</v>
      </c>
      <c r="B7014" s="1">
        <v>45747</v>
      </c>
      <c r="C7014" t="str">
        <f>"74"</f>
        <v>74</v>
      </c>
      <c r="F7014" t="str">
        <f t="shared" si="250"/>
        <v>62411000</v>
      </c>
      <c r="H7014" t="s">
        <v>2921</v>
      </c>
      <c r="J7014" s="4">
        <v>-770000</v>
      </c>
    </row>
    <row r="7015" spans="1:11" hidden="1" outlineLevel="2" x14ac:dyDescent="0.35">
      <c r="A7015" t="s">
        <v>101</v>
      </c>
      <c r="B7015" s="1">
        <v>45747</v>
      </c>
      <c r="C7015" t="str">
        <f>"75"</f>
        <v>75</v>
      </c>
      <c r="F7015" t="str">
        <f t="shared" si="250"/>
        <v>62411000</v>
      </c>
      <c r="H7015" t="s">
        <v>2922</v>
      </c>
      <c r="J7015" s="4">
        <v>-154400</v>
      </c>
    </row>
    <row r="7016" spans="1:11" outlineLevel="1" collapsed="1" x14ac:dyDescent="0.35">
      <c r="B7016" s="1"/>
      <c r="F7016" s="3" t="s">
        <v>6635</v>
      </c>
      <c r="J7016" s="4">
        <f>SUBTOTAL(9,J6987:J7015)</f>
        <v>5648205</v>
      </c>
      <c r="K7016" s="4">
        <f>SUBTOTAL(9,K6987:K7015)</f>
        <v>0</v>
      </c>
    </row>
    <row r="7017" spans="1:11" hidden="1" outlineLevel="2" x14ac:dyDescent="0.35">
      <c r="A7017" t="s">
        <v>354</v>
      </c>
      <c r="B7017" s="1">
        <v>45719</v>
      </c>
      <c r="C7017" t="str">
        <f>"489"</f>
        <v>489</v>
      </c>
      <c r="D7017" t="s">
        <v>368</v>
      </c>
      <c r="E7017" t="str">
        <f>"0001560"</f>
        <v>0001560</v>
      </c>
      <c r="F7017" t="str">
        <f t="shared" ref="F7017:F7056" si="251">"62420000"</f>
        <v>62420000</v>
      </c>
      <c r="H7017" t="s">
        <v>369</v>
      </c>
      <c r="J7017" s="4">
        <v>15120</v>
      </c>
    </row>
    <row r="7018" spans="1:11" hidden="1" outlineLevel="2" x14ac:dyDescent="0.35">
      <c r="A7018" t="s">
        <v>354</v>
      </c>
      <c r="B7018" s="1">
        <v>45720</v>
      </c>
      <c r="C7018" t="str">
        <f>"484"</f>
        <v>484</v>
      </c>
      <c r="D7018" t="s">
        <v>512</v>
      </c>
      <c r="E7018" s="2">
        <v>46015</v>
      </c>
      <c r="F7018" t="str">
        <f t="shared" si="251"/>
        <v>62420000</v>
      </c>
      <c r="H7018" t="s">
        <v>513</v>
      </c>
      <c r="J7018" s="4">
        <v>96000</v>
      </c>
    </row>
    <row r="7019" spans="1:11" hidden="1" outlineLevel="2" x14ac:dyDescent="0.35">
      <c r="A7019" t="s">
        <v>354</v>
      </c>
      <c r="B7019" s="1">
        <v>45720</v>
      </c>
      <c r="C7019" t="str">
        <f>"578"</f>
        <v>578</v>
      </c>
      <c r="D7019" t="s">
        <v>514</v>
      </c>
      <c r="E7019" t="str">
        <f>"0000258"</f>
        <v>0000258</v>
      </c>
      <c r="F7019" t="str">
        <f t="shared" si="251"/>
        <v>62420000</v>
      </c>
      <c r="H7019" t="s">
        <v>515</v>
      </c>
      <c r="J7019" s="4">
        <v>450000</v>
      </c>
    </row>
    <row r="7020" spans="1:11" hidden="1" outlineLevel="2" x14ac:dyDescent="0.35">
      <c r="A7020" t="s">
        <v>354</v>
      </c>
      <c r="B7020" s="1">
        <v>45722</v>
      </c>
      <c r="C7020" t="str">
        <f>"544"</f>
        <v>544</v>
      </c>
      <c r="D7020" t="s">
        <v>543</v>
      </c>
      <c r="E7020" t="s">
        <v>544</v>
      </c>
      <c r="F7020" t="str">
        <f t="shared" si="251"/>
        <v>62420000</v>
      </c>
      <c r="H7020" t="s">
        <v>545</v>
      </c>
      <c r="J7020" s="4">
        <v>174900</v>
      </c>
    </row>
    <row r="7021" spans="1:11" hidden="1" outlineLevel="2" x14ac:dyDescent="0.35">
      <c r="A7021" t="s">
        <v>354</v>
      </c>
      <c r="B7021" s="1">
        <v>45726</v>
      </c>
      <c r="C7021" t="str">
        <f>"540"</f>
        <v>540</v>
      </c>
      <c r="D7021" t="s">
        <v>678</v>
      </c>
      <c r="E7021" t="str">
        <f>"0000256"</f>
        <v>0000256</v>
      </c>
      <c r="F7021" t="str">
        <f t="shared" si="251"/>
        <v>62420000</v>
      </c>
      <c r="H7021" t="s">
        <v>679</v>
      </c>
      <c r="J7021" s="4">
        <v>103717</v>
      </c>
    </row>
    <row r="7022" spans="1:11" hidden="1" outlineLevel="2" x14ac:dyDescent="0.35">
      <c r="A7022" t="s">
        <v>354</v>
      </c>
      <c r="B7022" s="1">
        <v>45726</v>
      </c>
      <c r="C7022" t="str">
        <f>"541"</f>
        <v>541</v>
      </c>
      <c r="D7022" t="s">
        <v>680</v>
      </c>
      <c r="E7022" t="str">
        <f>"0000267"</f>
        <v>0000267</v>
      </c>
      <c r="F7022" t="str">
        <f t="shared" si="251"/>
        <v>62420000</v>
      </c>
      <c r="H7022" t="s">
        <v>681</v>
      </c>
      <c r="J7022" s="4">
        <v>127119</v>
      </c>
    </row>
    <row r="7023" spans="1:11" hidden="1" outlineLevel="2" x14ac:dyDescent="0.35">
      <c r="A7023" t="s">
        <v>354</v>
      </c>
      <c r="B7023" s="1">
        <v>45726</v>
      </c>
      <c r="C7023" t="str">
        <f>"542"</f>
        <v>542</v>
      </c>
      <c r="D7023" t="s">
        <v>682</v>
      </c>
      <c r="E7023" t="str">
        <f>"0000304"</f>
        <v>0000304</v>
      </c>
      <c r="F7023" t="str">
        <f t="shared" si="251"/>
        <v>62420000</v>
      </c>
      <c r="H7023" t="s">
        <v>683</v>
      </c>
      <c r="J7023" s="4">
        <v>656431</v>
      </c>
    </row>
    <row r="7024" spans="1:11" hidden="1" outlineLevel="2" x14ac:dyDescent="0.35">
      <c r="A7024" t="s">
        <v>354</v>
      </c>
      <c r="B7024" s="1">
        <v>45726</v>
      </c>
      <c r="C7024" t="str">
        <f>"543"</f>
        <v>543</v>
      </c>
      <c r="D7024" t="s">
        <v>684</v>
      </c>
      <c r="E7024" t="str">
        <f>"0000305"</f>
        <v>0000305</v>
      </c>
      <c r="F7024" t="str">
        <f t="shared" si="251"/>
        <v>62420000</v>
      </c>
      <c r="H7024" t="s">
        <v>685</v>
      </c>
      <c r="J7024" s="4">
        <v>150388</v>
      </c>
    </row>
    <row r="7025" spans="1:10" hidden="1" outlineLevel="2" x14ac:dyDescent="0.35">
      <c r="A7025" t="s">
        <v>354</v>
      </c>
      <c r="B7025" s="1">
        <v>45735</v>
      </c>
      <c r="C7025" t="str">
        <f>"754"</f>
        <v>754</v>
      </c>
      <c r="D7025" t="s">
        <v>909</v>
      </c>
      <c r="E7025" t="s">
        <v>910</v>
      </c>
      <c r="F7025" t="str">
        <f t="shared" si="251"/>
        <v>62420000</v>
      </c>
      <c r="H7025" t="s">
        <v>911</v>
      </c>
      <c r="J7025" s="4">
        <v>48000</v>
      </c>
    </row>
    <row r="7026" spans="1:10" hidden="1" outlineLevel="2" x14ac:dyDescent="0.35">
      <c r="A7026" t="s">
        <v>354</v>
      </c>
      <c r="B7026" s="1">
        <v>45735</v>
      </c>
      <c r="C7026" t="str">
        <f>"755"</f>
        <v>755</v>
      </c>
      <c r="D7026" t="s">
        <v>912</v>
      </c>
      <c r="E7026" t="s">
        <v>913</v>
      </c>
      <c r="F7026" t="str">
        <f t="shared" si="251"/>
        <v>62420000</v>
      </c>
      <c r="H7026" t="s">
        <v>914</v>
      </c>
      <c r="J7026" s="4">
        <v>96000</v>
      </c>
    </row>
    <row r="7027" spans="1:10" hidden="1" outlineLevel="2" x14ac:dyDescent="0.35">
      <c r="A7027" t="s">
        <v>354</v>
      </c>
      <c r="B7027" s="1">
        <v>45736</v>
      </c>
      <c r="C7027" t="str">
        <f>"674"</f>
        <v>674</v>
      </c>
      <c r="D7027" t="s">
        <v>920</v>
      </c>
      <c r="E7027" t="str">
        <f>"0000318"</f>
        <v>0000318</v>
      </c>
      <c r="F7027" t="str">
        <f t="shared" si="251"/>
        <v>62420000</v>
      </c>
      <c r="H7027" t="s">
        <v>921</v>
      </c>
      <c r="J7027" s="4">
        <v>208535</v>
      </c>
    </row>
    <row r="7028" spans="1:10" hidden="1" outlineLevel="2" x14ac:dyDescent="0.35">
      <c r="A7028" t="s">
        <v>354</v>
      </c>
      <c r="B7028" s="1">
        <v>45736</v>
      </c>
      <c r="C7028" t="str">
        <f>"675"</f>
        <v>675</v>
      </c>
      <c r="D7028" t="s">
        <v>922</v>
      </c>
      <c r="E7028" t="str">
        <f>"0000319"</f>
        <v>0000319</v>
      </c>
      <c r="F7028" t="str">
        <f t="shared" si="251"/>
        <v>62420000</v>
      </c>
      <c r="H7028" t="s">
        <v>923</v>
      </c>
      <c r="J7028" s="4">
        <v>740804</v>
      </c>
    </row>
    <row r="7029" spans="1:10" hidden="1" outlineLevel="2" x14ac:dyDescent="0.35">
      <c r="A7029" t="s">
        <v>354</v>
      </c>
      <c r="B7029" s="1">
        <v>45736</v>
      </c>
      <c r="C7029" t="str">
        <f>"758"</f>
        <v>758</v>
      </c>
      <c r="D7029" t="s">
        <v>935</v>
      </c>
      <c r="E7029" t="str">
        <f>"0000362"</f>
        <v>0000362</v>
      </c>
      <c r="F7029" t="str">
        <f t="shared" si="251"/>
        <v>62420000</v>
      </c>
      <c r="H7029" t="s">
        <v>936</v>
      </c>
      <c r="J7029" s="4">
        <v>121745</v>
      </c>
    </row>
    <row r="7030" spans="1:10" hidden="1" outlineLevel="2" x14ac:dyDescent="0.35">
      <c r="A7030" t="s">
        <v>354</v>
      </c>
      <c r="B7030" s="1">
        <v>45740</v>
      </c>
      <c r="C7030" t="str">
        <f>"760"</f>
        <v>760</v>
      </c>
      <c r="D7030" t="s">
        <v>1001</v>
      </c>
      <c r="E7030" t="str">
        <f>"0000381"</f>
        <v>0000381</v>
      </c>
      <c r="F7030" t="str">
        <f t="shared" si="251"/>
        <v>62420000</v>
      </c>
      <c r="H7030" t="s">
        <v>1002</v>
      </c>
      <c r="J7030" s="4">
        <v>1183955</v>
      </c>
    </row>
    <row r="7031" spans="1:10" hidden="1" outlineLevel="2" x14ac:dyDescent="0.35">
      <c r="A7031" t="s">
        <v>354</v>
      </c>
      <c r="B7031" s="1">
        <v>45741</v>
      </c>
      <c r="C7031" t="str">
        <f>"721"</f>
        <v>721</v>
      </c>
      <c r="D7031" t="s">
        <v>1033</v>
      </c>
      <c r="E7031" t="s">
        <v>1034</v>
      </c>
      <c r="F7031" t="str">
        <f t="shared" si="251"/>
        <v>62420000</v>
      </c>
      <c r="H7031" t="s">
        <v>1035</v>
      </c>
      <c r="J7031" s="4">
        <v>200000</v>
      </c>
    </row>
    <row r="7032" spans="1:10" hidden="1" outlineLevel="2" x14ac:dyDescent="0.35">
      <c r="A7032" t="s">
        <v>354</v>
      </c>
      <c r="B7032" s="1">
        <v>45741</v>
      </c>
      <c r="C7032" t="str">
        <f>"722"</f>
        <v>722</v>
      </c>
      <c r="D7032" t="s">
        <v>1036</v>
      </c>
      <c r="E7032" t="s">
        <v>1037</v>
      </c>
      <c r="F7032" t="str">
        <f t="shared" si="251"/>
        <v>62420000</v>
      </c>
      <c r="H7032" t="s">
        <v>1038</v>
      </c>
      <c r="J7032" s="4">
        <v>680830</v>
      </c>
    </row>
    <row r="7033" spans="1:10" hidden="1" outlineLevel="2" x14ac:dyDescent="0.35">
      <c r="A7033" t="s">
        <v>354</v>
      </c>
      <c r="B7033" s="1">
        <v>45741</v>
      </c>
      <c r="C7033" t="str">
        <f>"723"</f>
        <v>723</v>
      </c>
      <c r="D7033" t="s">
        <v>1039</v>
      </c>
      <c r="E7033" t="s">
        <v>1040</v>
      </c>
      <c r="F7033" t="str">
        <f t="shared" si="251"/>
        <v>62420000</v>
      </c>
      <c r="H7033" t="s">
        <v>1041</v>
      </c>
      <c r="J7033" s="4">
        <v>200000</v>
      </c>
    </row>
    <row r="7034" spans="1:10" hidden="1" outlineLevel="2" x14ac:dyDescent="0.35">
      <c r="A7034" t="s">
        <v>354</v>
      </c>
      <c r="B7034" s="1">
        <v>45741</v>
      </c>
      <c r="C7034" t="str">
        <f>"724"</f>
        <v>724</v>
      </c>
      <c r="D7034" t="s">
        <v>1042</v>
      </c>
      <c r="E7034" t="s">
        <v>1043</v>
      </c>
      <c r="F7034" t="str">
        <f t="shared" si="251"/>
        <v>62420000</v>
      </c>
      <c r="H7034" t="s">
        <v>1044</v>
      </c>
      <c r="J7034" s="4">
        <v>680830</v>
      </c>
    </row>
    <row r="7035" spans="1:10" hidden="1" outlineLevel="2" x14ac:dyDescent="0.35">
      <c r="A7035" t="s">
        <v>2018</v>
      </c>
      <c r="B7035" s="1">
        <v>45721</v>
      </c>
      <c r="C7035" t="str">
        <f>"352"</f>
        <v>352</v>
      </c>
      <c r="F7035" t="str">
        <f t="shared" si="251"/>
        <v>62420000</v>
      </c>
      <c r="H7035" t="s">
        <v>2034</v>
      </c>
      <c r="J7035" s="4">
        <v>40000</v>
      </c>
    </row>
    <row r="7036" spans="1:10" hidden="1" outlineLevel="2" x14ac:dyDescent="0.35">
      <c r="A7036" t="s">
        <v>2018</v>
      </c>
      <c r="B7036" s="1">
        <v>45734</v>
      </c>
      <c r="C7036" t="str">
        <f>"418"</f>
        <v>418</v>
      </c>
      <c r="F7036" t="str">
        <f t="shared" si="251"/>
        <v>62420000</v>
      </c>
      <c r="H7036" t="s">
        <v>2124</v>
      </c>
      <c r="J7036" s="4">
        <v>72500</v>
      </c>
    </row>
    <row r="7037" spans="1:10" hidden="1" outlineLevel="2" x14ac:dyDescent="0.35">
      <c r="A7037" t="s">
        <v>2018</v>
      </c>
      <c r="B7037" s="1">
        <v>45735</v>
      </c>
      <c r="C7037" t="str">
        <f>"429"</f>
        <v>429</v>
      </c>
      <c r="F7037" t="str">
        <f t="shared" si="251"/>
        <v>62420000</v>
      </c>
      <c r="H7037" t="s">
        <v>2125</v>
      </c>
      <c r="J7037" s="4">
        <v>30000</v>
      </c>
    </row>
    <row r="7038" spans="1:10" hidden="1" outlineLevel="2" x14ac:dyDescent="0.35">
      <c r="A7038" t="s">
        <v>2018</v>
      </c>
      <c r="B7038" s="1">
        <v>45745</v>
      </c>
      <c r="C7038" t="str">
        <f>"488"</f>
        <v>488</v>
      </c>
      <c r="F7038" t="str">
        <f t="shared" si="251"/>
        <v>62420000</v>
      </c>
      <c r="H7038" t="s">
        <v>2218</v>
      </c>
      <c r="J7038" s="4">
        <v>167500</v>
      </c>
    </row>
    <row r="7039" spans="1:10" hidden="1" outlineLevel="2" x14ac:dyDescent="0.35">
      <c r="A7039" t="s">
        <v>2219</v>
      </c>
      <c r="B7039" s="1">
        <v>45722</v>
      </c>
      <c r="C7039" t="str">
        <f>"430"</f>
        <v>430</v>
      </c>
      <c r="F7039" t="str">
        <f t="shared" si="251"/>
        <v>62420000</v>
      </c>
      <c r="H7039" t="s">
        <v>2245</v>
      </c>
      <c r="J7039" s="4">
        <v>169000</v>
      </c>
    </row>
    <row r="7040" spans="1:10" hidden="1" outlineLevel="2" x14ac:dyDescent="0.35">
      <c r="A7040" t="s">
        <v>2219</v>
      </c>
      <c r="B7040" s="1">
        <v>45729</v>
      </c>
      <c r="C7040" t="str">
        <f>"466"</f>
        <v>466</v>
      </c>
      <c r="F7040" t="str">
        <f t="shared" si="251"/>
        <v>62420000</v>
      </c>
      <c r="H7040" t="s">
        <v>2273</v>
      </c>
      <c r="J7040" s="4">
        <v>168000</v>
      </c>
    </row>
    <row r="7041" spans="1:10" hidden="1" outlineLevel="2" x14ac:dyDescent="0.35">
      <c r="A7041" t="s">
        <v>2219</v>
      </c>
      <c r="B7041" s="1">
        <v>45736</v>
      </c>
      <c r="C7041" t="str">
        <f>"498"</f>
        <v>498</v>
      </c>
      <c r="F7041" t="str">
        <f t="shared" si="251"/>
        <v>62420000</v>
      </c>
      <c r="H7041" t="s">
        <v>2296</v>
      </c>
      <c r="J7041" s="4">
        <v>140000</v>
      </c>
    </row>
    <row r="7042" spans="1:10" hidden="1" outlineLevel="2" x14ac:dyDescent="0.35">
      <c r="A7042" t="s">
        <v>2219</v>
      </c>
      <c r="B7042" s="1">
        <v>45741</v>
      </c>
      <c r="C7042" t="str">
        <f>"508"</f>
        <v>508</v>
      </c>
      <c r="F7042" t="str">
        <f t="shared" si="251"/>
        <v>62420000</v>
      </c>
      <c r="H7042" t="s">
        <v>2303</v>
      </c>
      <c r="J7042" s="4">
        <v>156000</v>
      </c>
    </row>
    <row r="7043" spans="1:10" hidden="1" outlineLevel="2" x14ac:dyDescent="0.35">
      <c r="A7043" t="s">
        <v>2219</v>
      </c>
      <c r="B7043" s="1">
        <v>45744</v>
      </c>
      <c r="C7043" t="str">
        <f>"525"</f>
        <v>525</v>
      </c>
      <c r="F7043" t="str">
        <f t="shared" si="251"/>
        <v>62420000</v>
      </c>
      <c r="H7043" t="s">
        <v>2317</v>
      </c>
      <c r="J7043" s="4">
        <v>5000</v>
      </c>
    </row>
    <row r="7044" spans="1:10" hidden="1" outlineLevel="2" x14ac:dyDescent="0.35">
      <c r="A7044" t="s">
        <v>2318</v>
      </c>
      <c r="B7044" s="1">
        <v>45724</v>
      </c>
      <c r="C7044" t="str">
        <f>"44"</f>
        <v>44</v>
      </c>
      <c r="F7044" t="str">
        <f t="shared" si="251"/>
        <v>62420000</v>
      </c>
      <c r="H7044" t="s">
        <v>2324</v>
      </c>
      <c r="J7044" s="4">
        <v>35000</v>
      </c>
    </row>
    <row r="7045" spans="1:10" hidden="1" outlineLevel="2" x14ac:dyDescent="0.35">
      <c r="A7045" t="s">
        <v>2337</v>
      </c>
      <c r="B7045" s="1">
        <v>45721</v>
      </c>
      <c r="C7045" t="str">
        <f>"675"</f>
        <v>675</v>
      </c>
      <c r="E7045" t="str">
        <f>"17295"</f>
        <v>17295</v>
      </c>
      <c r="F7045" t="str">
        <f t="shared" si="251"/>
        <v>62420000</v>
      </c>
      <c r="H7045" t="s">
        <v>2380</v>
      </c>
      <c r="J7045" s="4">
        <v>3000</v>
      </c>
    </row>
    <row r="7046" spans="1:10" hidden="1" outlineLevel="2" x14ac:dyDescent="0.35">
      <c r="A7046" t="s">
        <v>2337</v>
      </c>
      <c r="B7046" s="1">
        <v>45723</v>
      </c>
      <c r="C7046" t="str">
        <f>"690"</f>
        <v>690</v>
      </c>
      <c r="E7046" t="str">
        <f>"17309"</f>
        <v>17309</v>
      </c>
      <c r="F7046" t="str">
        <f t="shared" si="251"/>
        <v>62420000</v>
      </c>
      <c r="H7046" t="s">
        <v>2407</v>
      </c>
      <c r="J7046" s="4">
        <v>22000</v>
      </c>
    </row>
    <row r="7047" spans="1:10" hidden="1" outlineLevel="2" x14ac:dyDescent="0.35">
      <c r="A7047" t="s">
        <v>2337</v>
      </c>
      <c r="B7047" s="1">
        <v>45723</v>
      </c>
      <c r="C7047" t="str">
        <f>"693"</f>
        <v>693</v>
      </c>
      <c r="E7047" t="str">
        <f>"17312"</f>
        <v>17312</v>
      </c>
      <c r="F7047" t="str">
        <f t="shared" si="251"/>
        <v>62420000</v>
      </c>
      <c r="H7047" t="s">
        <v>2410</v>
      </c>
      <c r="J7047" s="4">
        <v>60000</v>
      </c>
    </row>
    <row r="7048" spans="1:10" hidden="1" outlineLevel="2" x14ac:dyDescent="0.35">
      <c r="A7048" t="s">
        <v>2337</v>
      </c>
      <c r="B7048" s="1">
        <v>45726</v>
      </c>
      <c r="C7048" t="str">
        <f>"702"</f>
        <v>702</v>
      </c>
      <c r="E7048" t="str">
        <f>"17321"</f>
        <v>17321</v>
      </c>
      <c r="F7048" t="str">
        <f t="shared" si="251"/>
        <v>62420000</v>
      </c>
      <c r="H7048" t="s">
        <v>2420</v>
      </c>
      <c r="J7048" s="4">
        <v>82000</v>
      </c>
    </row>
    <row r="7049" spans="1:10" hidden="1" outlineLevel="2" x14ac:dyDescent="0.35">
      <c r="A7049" t="s">
        <v>2337</v>
      </c>
      <c r="B7049" s="1">
        <v>45728</v>
      </c>
      <c r="C7049" t="str">
        <f>"733"</f>
        <v>733</v>
      </c>
      <c r="E7049" t="str">
        <f>"17352"</f>
        <v>17352</v>
      </c>
      <c r="F7049" t="str">
        <f t="shared" si="251"/>
        <v>62420000</v>
      </c>
      <c r="H7049" t="s">
        <v>2463</v>
      </c>
      <c r="J7049" s="4">
        <v>83000</v>
      </c>
    </row>
    <row r="7050" spans="1:10" hidden="1" outlineLevel="2" x14ac:dyDescent="0.35">
      <c r="A7050" t="s">
        <v>2337</v>
      </c>
      <c r="B7050" s="1">
        <v>45733</v>
      </c>
      <c r="C7050" t="str">
        <f>"770"</f>
        <v>770</v>
      </c>
      <c r="E7050" t="str">
        <f>"17389"</f>
        <v>17389</v>
      </c>
      <c r="F7050" t="str">
        <f t="shared" si="251"/>
        <v>62420000</v>
      </c>
      <c r="H7050" t="s">
        <v>2516</v>
      </c>
      <c r="J7050" s="4">
        <v>50000</v>
      </c>
    </row>
    <row r="7051" spans="1:10" hidden="1" outlineLevel="2" x14ac:dyDescent="0.35">
      <c r="A7051" t="s">
        <v>2337</v>
      </c>
      <c r="B7051" s="1">
        <v>45737</v>
      </c>
      <c r="C7051" t="str">
        <f>"829"</f>
        <v>829</v>
      </c>
      <c r="E7051" t="str">
        <f>"17485"</f>
        <v>17485</v>
      </c>
      <c r="F7051" t="str">
        <f t="shared" si="251"/>
        <v>62420000</v>
      </c>
      <c r="H7051" t="s">
        <v>2584</v>
      </c>
      <c r="J7051" s="4">
        <v>79000</v>
      </c>
    </row>
    <row r="7052" spans="1:10" hidden="1" outlineLevel="2" x14ac:dyDescent="0.35">
      <c r="A7052" t="s">
        <v>2337</v>
      </c>
      <c r="B7052" s="1">
        <v>45740</v>
      </c>
      <c r="C7052" t="str">
        <f>"845"</f>
        <v>845</v>
      </c>
      <c r="E7052" t="str">
        <f>"15854"</f>
        <v>15854</v>
      </c>
      <c r="F7052" t="str">
        <f t="shared" si="251"/>
        <v>62420000</v>
      </c>
      <c r="H7052" t="s">
        <v>2600</v>
      </c>
      <c r="J7052" s="4">
        <v>30000</v>
      </c>
    </row>
    <row r="7053" spans="1:10" hidden="1" outlineLevel="2" x14ac:dyDescent="0.35">
      <c r="A7053" t="s">
        <v>2337</v>
      </c>
      <c r="B7053" s="1">
        <v>45740</v>
      </c>
      <c r="C7053" t="str">
        <f>"848"</f>
        <v>848</v>
      </c>
      <c r="E7053" t="str">
        <f>"15857"</f>
        <v>15857</v>
      </c>
      <c r="F7053" t="str">
        <f t="shared" si="251"/>
        <v>62420000</v>
      </c>
      <c r="H7053" t="s">
        <v>2604</v>
      </c>
      <c r="J7053" s="4">
        <v>30000</v>
      </c>
    </row>
    <row r="7054" spans="1:10" hidden="1" outlineLevel="2" x14ac:dyDescent="0.35">
      <c r="A7054" t="s">
        <v>101</v>
      </c>
      <c r="B7054" s="1">
        <v>45717</v>
      </c>
      <c r="C7054" t="str">
        <f>"2"</f>
        <v>2</v>
      </c>
      <c r="F7054" t="str">
        <f t="shared" si="251"/>
        <v>62420000</v>
      </c>
      <c r="H7054" t="s">
        <v>2743</v>
      </c>
      <c r="J7054" s="4">
        <v>-667745</v>
      </c>
    </row>
    <row r="7055" spans="1:10" hidden="1" outlineLevel="2" x14ac:dyDescent="0.35">
      <c r="A7055" t="s">
        <v>101</v>
      </c>
      <c r="B7055" s="1">
        <v>45747</v>
      </c>
      <c r="C7055" t="str">
        <f>"77"</f>
        <v>77</v>
      </c>
      <c r="F7055" t="str">
        <f t="shared" si="251"/>
        <v>62420000</v>
      </c>
      <c r="H7055" t="s">
        <v>2942</v>
      </c>
      <c r="J7055" s="4">
        <v>445290</v>
      </c>
    </row>
    <row r="7056" spans="1:10" hidden="1" outlineLevel="2" x14ac:dyDescent="0.35">
      <c r="A7056" t="s">
        <v>3056</v>
      </c>
      <c r="B7056" s="1">
        <v>45741</v>
      </c>
      <c r="C7056" t="str">
        <f>"197"</f>
        <v>197</v>
      </c>
      <c r="F7056" t="str">
        <f t="shared" si="251"/>
        <v>62420000</v>
      </c>
      <c r="H7056" t="s">
        <v>3106</v>
      </c>
      <c r="J7056" s="4">
        <v>4000</v>
      </c>
    </row>
    <row r="7057" spans="1:11" outlineLevel="1" collapsed="1" x14ac:dyDescent="0.35">
      <c r="B7057" s="1"/>
      <c r="F7057" s="3" t="s">
        <v>6636</v>
      </c>
      <c r="J7057" s="4">
        <f>SUBTOTAL(9,J7017:J7056)</f>
        <v>7137919</v>
      </c>
      <c r="K7057" s="4">
        <f>SUBTOTAL(9,K7017:K7056)</f>
        <v>0</v>
      </c>
    </row>
    <row r="7058" spans="1:11" hidden="1" outlineLevel="2" x14ac:dyDescent="0.35">
      <c r="A7058" t="s">
        <v>2337</v>
      </c>
      <c r="B7058" s="1">
        <v>45728</v>
      </c>
      <c r="C7058" t="str">
        <f>"732"</f>
        <v>732</v>
      </c>
      <c r="E7058" t="str">
        <f>"17351"</f>
        <v>17351</v>
      </c>
      <c r="F7058" t="str">
        <f>"62425000"</f>
        <v>62425000</v>
      </c>
      <c r="H7058" t="s">
        <v>2460</v>
      </c>
      <c r="J7058" s="4">
        <v>3000</v>
      </c>
    </row>
    <row r="7059" spans="1:11" hidden="1" outlineLevel="2" x14ac:dyDescent="0.35">
      <c r="A7059" t="s">
        <v>2337</v>
      </c>
      <c r="B7059" s="1">
        <v>45741</v>
      </c>
      <c r="C7059" t="str">
        <f>"856"</f>
        <v>856</v>
      </c>
      <c r="E7059" t="str">
        <f>"15864"</f>
        <v>15864</v>
      </c>
      <c r="F7059" t="str">
        <f>"62425000"</f>
        <v>62425000</v>
      </c>
      <c r="H7059" t="s">
        <v>2612</v>
      </c>
      <c r="J7059" s="4">
        <v>19515</v>
      </c>
    </row>
    <row r="7060" spans="1:11" hidden="1" outlineLevel="2" x14ac:dyDescent="0.35">
      <c r="A7060" t="s">
        <v>3056</v>
      </c>
      <c r="B7060" s="1">
        <v>45741</v>
      </c>
      <c r="C7060" t="str">
        <f>"197"</f>
        <v>197</v>
      </c>
      <c r="F7060" t="str">
        <f>"62425000"</f>
        <v>62425000</v>
      </c>
      <c r="H7060" t="s">
        <v>2460</v>
      </c>
      <c r="J7060" s="4">
        <v>3000</v>
      </c>
    </row>
    <row r="7061" spans="1:11" outlineLevel="1" collapsed="1" x14ac:dyDescent="0.35">
      <c r="B7061" s="1"/>
      <c r="F7061" s="3" t="s">
        <v>6637</v>
      </c>
      <c r="J7061" s="4">
        <f>SUBTOTAL(9,J7058:J7060)</f>
        <v>25515</v>
      </c>
      <c r="K7061" s="4">
        <f>SUBTOTAL(9,K7058:K7060)</f>
        <v>0</v>
      </c>
    </row>
    <row r="7062" spans="1:11" hidden="1" outlineLevel="2" x14ac:dyDescent="0.35">
      <c r="A7062" t="s">
        <v>72</v>
      </c>
      <c r="B7062" s="1">
        <v>45719</v>
      </c>
      <c r="C7062" t="str">
        <f>"5"</f>
        <v>5</v>
      </c>
      <c r="D7062" t="s">
        <v>2674</v>
      </c>
      <c r="E7062" t="s">
        <v>2675</v>
      </c>
      <c r="F7062" t="str">
        <f>"62430000"</f>
        <v>62430000</v>
      </c>
      <c r="H7062" t="s">
        <v>2678</v>
      </c>
      <c r="J7062" s="4">
        <v>150000</v>
      </c>
    </row>
    <row r="7063" spans="1:11" outlineLevel="1" collapsed="1" x14ac:dyDescent="0.35">
      <c r="B7063" s="1"/>
      <c r="F7063" s="3" t="s">
        <v>6638</v>
      </c>
      <c r="J7063" s="4">
        <f>SUBTOTAL(9,J7062:J7062)</f>
        <v>150000</v>
      </c>
      <c r="K7063" s="4">
        <f>SUBTOTAL(9,K7062:K7062)</f>
        <v>0</v>
      </c>
    </row>
    <row r="7064" spans="1:11" hidden="1" outlineLevel="2" x14ac:dyDescent="0.35">
      <c r="A7064" t="s">
        <v>11</v>
      </c>
      <c r="B7064" s="1">
        <v>45717</v>
      </c>
      <c r="C7064" t="str">
        <f>"230"</f>
        <v>230</v>
      </c>
      <c r="E7064" t="s">
        <v>1230</v>
      </c>
      <c r="F7064" t="str">
        <f>"62439000"</f>
        <v>62439000</v>
      </c>
      <c r="H7064" t="s">
        <v>1231</v>
      </c>
      <c r="J7064" s="4">
        <v>847458</v>
      </c>
    </row>
    <row r="7065" spans="1:11" hidden="1" outlineLevel="2" x14ac:dyDescent="0.35">
      <c r="A7065" t="s">
        <v>11</v>
      </c>
      <c r="B7065" s="1">
        <v>45717</v>
      </c>
      <c r="C7065" t="str">
        <f>"241"</f>
        <v>241</v>
      </c>
      <c r="E7065" t="s">
        <v>1250</v>
      </c>
      <c r="F7065" t="str">
        <f>"62439000"</f>
        <v>62439000</v>
      </c>
      <c r="H7065" t="s">
        <v>1251</v>
      </c>
      <c r="J7065" s="4">
        <v>100000</v>
      </c>
    </row>
    <row r="7066" spans="1:11" outlineLevel="1" collapsed="1" x14ac:dyDescent="0.35">
      <c r="B7066" s="1"/>
      <c r="F7066" s="3" t="s">
        <v>6639</v>
      </c>
      <c r="J7066" s="4">
        <f>SUBTOTAL(9,J7064:J7065)</f>
        <v>947458</v>
      </c>
      <c r="K7066" s="4">
        <f>SUBTOTAL(9,K7064:K7065)</f>
        <v>0</v>
      </c>
    </row>
    <row r="7067" spans="1:11" hidden="1" outlineLevel="2" x14ac:dyDescent="0.35">
      <c r="A7067" t="s">
        <v>26</v>
      </c>
      <c r="B7067" s="1">
        <v>45719</v>
      </c>
      <c r="C7067" t="str">
        <f>"34"</f>
        <v>34</v>
      </c>
      <c r="D7067" t="s">
        <v>1449</v>
      </c>
      <c r="E7067" t="s">
        <v>1450</v>
      </c>
      <c r="F7067" t="str">
        <f t="shared" ref="F7067:F7074" si="252">"62480000"</f>
        <v>62480000</v>
      </c>
      <c r="H7067" t="s">
        <v>1451</v>
      </c>
      <c r="J7067" s="4">
        <v>1245880</v>
      </c>
    </row>
    <row r="7068" spans="1:11" hidden="1" outlineLevel="2" x14ac:dyDescent="0.35">
      <c r="A7068" t="s">
        <v>26</v>
      </c>
      <c r="B7068" s="1">
        <v>45727</v>
      </c>
      <c r="C7068" t="str">
        <f>"169"</f>
        <v>169</v>
      </c>
      <c r="D7068" t="s">
        <v>1605</v>
      </c>
      <c r="E7068" t="s">
        <v>1606</v>
      </c>
      <c r="F7068" t="str">
        <f t="shared" si="252"/>
        <v>62480000</v>
      </c>
      <c r="H7068" t="s">
        <v>1607</v>
      </c>
      <c r="J7068" s="4">
        <v>1291720</v>
      </c>
    </row>
    <row r="7069" spans="1:11" hidden="1" outlineLevel="2" x14ac:dyDescent="0.35">
      <c r="A7069" t="s">
        <v>26</v>
      </c>
      <c r="B7069" s="1">
        <v>45737</v>
      </c>
      <c r="C7069" t="str">
        <f>"168"</f>
        <v>168</v>
      </c>
      <c r="D7069" t="s">
        <v>1716</v>
      </c>
      <c r="E7069" t="s">
        <v>1717</v>
      </c>
      <c r="F7069" t="str">
        <f t="shared" si="252"/>
        <v>62480000</v>
      </c>
      <c r="H7069" t="s">
        <v>1718</v>
      </c>
      <c r="J7069" s="4">
        <v>1881800</v>
      </c>
    </row>
    <row r="7070" spans="1:11" hidden="1" outlineLevel="2" x14ac:dyDescent="0.35">
      <c r="A7070" t="s">
        <v>2219</v>
      </c>
      <c r="B7070" s="1">
        <v>45728</v>
      </c>
      <c r="C7070" t="str">
        <f>"462"</f>
        <v>462</v>
      </c>
      <c r="F7070" t="str">
        <f t="shared" si="252"/>
        <v>62480000</v>
      </c>
      <c r="H7070" t="s">
        <v>2269</v>
      </c>
      <c r="J7070" s="4">
        <v>50000</v>
      </c>
    </row>
    <row r="7071" spans="1:11" hidden="1" outlineLevel="2" x14ac:dyDescent="0.35">
      <c r="A7071" t="s">
        <v>2337</v>
      </c>
      <c r="B7071" s="1">
        <v>45729</v>
      </c>
      <c r="C7071" t="str">
        <f>"754"</f>
        <v>754</v>
      </c>
      <c r="E7071" t="str">
        <f>"17373"</f>
        <v>17373</v>
      </c>
      <c r="F7071" t="str">
        <f t="shared" si="252"/>
        <v>62480000</v>
      </c>
      <c r="H7071" t="s">
        <v>2495</v>
      </c>
      <c r="J7071" s="4">
        <v>10000</v>
      </c>
    </row>
    <row r="7072" spans="1:11" hidden="1" outlineLevel="2" x14ac:dyDescent="0.35">
      <c r="A7072" t="s">
        <v>2337</v>
      </c>
      <c r="B7072" s="1">
        <v>45736</v>
      </c>
      <c r="C7072" t="str">
        <f>"815"</f>
        <v>815</v>
      </c>
      <c r="E7072" t="str">
        <f>"17471"</f>
        <v>17471</v>
      </c>
      <c r="F7072" t="str">
        <f t="shared" si="252"/>
        <v>62480000</v>
      </c>
      <c r="H7072" t="s">
        <v>2558</v>
      </c>
      <c r="J7072" s="4">
        <v>55000</v>
      </c>
    </row>
    <row r="7073" spans="1:11" hidden="1" outlineLevel="2" x14ac:dyDescent="0.35">
      <c r="A7073" t="s">
        <v>2337</v>
      </c>
      <c r="B7073" s="1">
        <v>45740</v>
      </c>
      <c r="C7073" t="str">
        <f>"833"</f>
        <v>833</v>
      </c>
      <c r="E7073" t="str">
        <f>"17489"</f>
        <v>17489</v>
      </c>
      <c r="F7073" t="str">
        <f t="shared" si="252"/>
        <v>62480000</v>
      </c>
      <c r="H7073" t="s">
        <v>2588</v>
      </c>
      <c r="J7073" s="4">
        <v>70000</v>
      </c>
    </row>
    <row r="7074" spans="1:11" hidden="1" outlineLevel="2" x14ac:dyDescent="0.35">
      <c r="A7074" t="s">
        <v>2337</v>
      </c>
      <c r="B7074" s="1">
        <v>45741</v>
      </c>
      <c r="C7074" t="str">
        <f>"855"</f>
        <v>855</v>
      </c>
      <c r="E7074" t="str">
        <f>"15863"</f>
        <v>15863</v>
      </c>
      <c r="F7074" t="str">
        <f t="shared" si="252"/>
        <v>62480000</v>
      </c>
      <c r="H7074" t="s">
        <v>2611</v>
      </c>
      <c r="J7074" s="4">
        <v>85000</v>
      </c>
    </row>
    <row r="7075" spans="1:11" outlineLevel="1" collapsed="1" x14ac:dyDescent="0.35">
      <c r="B7075" s="1"/>
      <c r="F7075" s="3" t="s">
        <v>6640</v>
      </c>
      <c r="J7075" s="4">
        <f>SUBTOTAL(9,J7067:J7074)</f>
        <v>4689400</v>
      </c>
      <c r="K7075" s="4">
        <f>SUBTOTAL(9,K7067:K7074)</f>
        <v>0</v>
      </c>
    </row>
    <row r="7076" spans="1:11" hidden="1" outlineLevel="2" x14ac:dyDescent="0.35">
      <c r="A7076" t="s">
        <v>11</v>
      </c>
      <c r="B7076" s="1">
        <v>45717</v>
      </c>
      <c r="C7076" t="str">
        <f>"257"</f>
        <v>257</v>
      </c>
      <c r="E7076" t="s">
        <v>1232</v>
      </c>
      <c r="F7076" t="str">
        <f t="shared" ref="F7076:F7095" si="253">"62521000"</f>
        <v>62521000</v>
      </c>
      <c r="H7076" t="s">
        <v>1277</v>
      </c>
      <c r="J7076" s="4">
        <v>21891568</v>
      </c>
    </row>
    <row r="7077" spans="1:11" hidden="1" outlineLevel="2" x14ac:dyDescent="0.35">
      <c r="A7077" t="s">
        <v>11</v>
      </c>
      <c r="B7077" s="1">
        <v>45717</v>
      </c>
      <c r="C7077" t="str">
        <f>"298"</f>
        <v>298</v>
      </c>
      <c r="F7077" t="str">
        <f t="shared" si="253"/>
        <v>62521000</v>
      </c>
      <c r="H7077" t="s">
        <v>1291</v>
      </c>
      <c r="K7077" s="4">
        <v>304719</v>
      </c>
    </row>
    <row r="7078" spans="1:11" hidden="1" outlineLevel="2" x14ac:dyDescent="0.35">
      <c r="A7078" t="s">
        <v>11</v>
      </c>
      <c r="B7078" s="1">
        <v>45717</v>
      </c>
      <c r="C7078" t="str">
        <f>"299"</f>
        <v>299</v>
      </c>
      <c r="F7078" t="str">
        <f t="shared" si="253"/>
        <v>62521000</v>
      </c>
      <c r="H7078" t="s">
        <v>1292</v>
      </c>
      <c r="K7078" s="4">
        <v>542066</v>
      </c>
    </row>
    <row r="7079" spans="1:11" hidden="1" outlineLevel="2" x14ac:dyDescent="0.35">
      <c r="A7079" t="s">
        <v>11</v>
      </c>
      <c r="B7079" s="1">
        <v>45717</v>
      </c>
      <c r="C7079" t="str">
        <f>"300"</f>
        <v>300</v>
      </c>
      <c r="F7079" t="str">
        <f t="shared" si="253"/>
        <v>62521000</v>
      </c>
      <c r="H7079" t="s">
        <v>1293</v>
      </c>
      <c r="K7079" s="4">
        <v>271147</v>
      </c>
    </row>
    <row r="7080" spans="1:11" hidden="1" outlineLevel="2" x14ac:dyDescent="0.35">
      <c r="A7080" t="s">
        <v>11</v>
      </c>
      <c r="B7080" s="1">
        <v>45717</v>
      </c>
      <c r="C7080" t="str">
        <f>"301"</f>
        <v>301</v>
      </c>
      <c r="F7080" t="str">
        <f t="shared" si="253"/>
        <v>62521000</v>
      </c>
      <c r="H7080" t="s">
        <v>1294</v>
      </c>
      <c r="K7080" s="4">
        <v>259330</v>
      </c>
    </row>
    <row r="7081" spans="1:11" hidden="1" outlineLevel="2" x14ac:dyDescent="0.35">
      <c r="A7081" t="s">
        <v>11</v>
      </c>
      <c r="B7081" s="1">
        <v>45717</v>
      </c>
      <c r="C7081" t="str">
        <f>"302"</f>
        <v>302</v>
      </c>
      <c r="F7081" t="str">
        <f t="shared" si="253"/>
        <v>62521000</v>
      </c>
      <c r="H7081" t="s">
        <v>1295</v>
      </c>
      <c r="K7081" s="4">
        <v>132764</v>
      </c>
    </row>
    <row r="7082" spans="1:11" hidden="1" outlineLevel="2" x14ac:dyDescent="0.35">
      <c r="A7082" t="s">
        <v>26</v>
      </c>
      <c r="B7082" s="1">
        <v>45717</v>
      </c>
      <c r="C7082" t="str">
        <f>"1"</f>
        <v>1</v>
      </c>
      <c r="D7082" t="s">
        <v>1358</v>
      </c>
      <c r="E7082" t="s">
        <v>1359</v>
      </c>
      <c r="F7082" t="str">
        <f t="shared" si="253"/>
        <v>62521000</v>
      </c>
      <c r="H7082" t="s">
        <v>1360</v>
      </c>
      <c r="J7082" s="4">
        <v>-19925</v>
      </c>
    </row>
    <row r="7083" spans="1:11" hidden="1" outlineLevel="2" x14ac:dyDescent="0.35">
      <c r="A7083" t="s">
        <v>26</v>
      </c>
      <c r="B7083" s="1">
        <v>45717</v>
      </c>
      <c r="C7083" t="str">
        <f>"2"</f>
        <v>2</v>
      </c>
      <c r="D7083" t="s">
        <v>1361</v>
      </c>
      <c r="E7083" t="s">
        <v>1362</v>
      </c>
      <c r="F7083" t="str">
        <f t="shared" si="253"/>
        <v>62521000</v>
      </c>
      <c r="H7083" t="s">
        <v>1363</v>
      </c>
      <c r="J7083" s="4">
        <v>2000</v>
      </c>
    </row>
    <row r="7084" spans="1:11" hidden="1" outlineLevel="2" x14ac:dyDescent="0.35">
      <c r="A7084" t="s">
        <v>26</v>
      </c>
      <c r="B7084" s="1">
        <v>45717</v>
      </c>
      <c r="C7084" t="str">
        <f>"50"</f>
        <v>50</v>
      </c>
      <c r="D7084" t="s">
        <v>1381</v>
      </c>
      <c r="E7084" t="s">
        <v>1382</v>
      </c>
      <c r="F7084" t="str">
        <f t="shared" si="253"/>
        <v>62521000</v>
      </c>
      <c r="H7084" t="s">
        <v>1383</v>
      </c>
      <c r="J7084" s="4">
        <v>1000</v>
      </c>
    </row>
    <row r="7085" spans="1:11" hidden="1" outlineLevel="2" x14ac:dyDescent="0.35">
      <c r="A7085" t="s">
        <v>26</v>
      </c>
      <c r="B7085" s="1">
        <v>45717</v>
      </c>
      <c r="C7085" t="str">
        <f>"51"</f>
        <v>51</v>
      </c>
      <c r="D7085" t="s">
        <v>1384</v>
      </c>
      <c r="E7085" t="s">
        <v>1385</v>
      </c>
      <c r="F7085" t="str">
        <f t="shared" si="253"/>
        <v>62521000</v>
      </c>
      <c r="H7085" t="s">
        <v>1383</v>
      </c>
      <c r="J7085" s="4">
        <v>1000</v>
      </c>
    </row>
    <row r="7086" spans="1:11" hidden="1" outlineLevel="2" x14ac:dyDescent="0.35">
      <c r="A7086" t="s">
        <v>26</v>
      </c>
      <c r="B7086" s="1">
        <v>45729</v>
      </c>
      <c r="C7086" t="str">
        <f>"170"</f>
        <v>170</v>
      </c>
      <c r="D7086" t="s">
        <v>1628</v>
      </c>
      <c r="E7086" t="s">
        <v>1629</v>
      </c>
      <c r="F7086" t="str">
        <f t="shared" si="253"/>
        <v>62521000</v>
      </c>
      <c r="H7086" t="s">
        <v>1630</v>
      </c>
      <c r="J7086" s="4">
        <v>9</v>
      </c>
    </row>
    <row r="7087" spans="1:11" hidden="1" outlineLevel="2" x14ac:dyDescent="0.35">
      <c r="A7087" t="s">
        <v>26</v>
      </c>
      <c r="B7087" s="1">
        <v>45729</v>
      </c>
      <c r="C7087" t="str">
        <f>"171"</f>
        <v>171</v>
      </c>
      <c r="D7087" t="s">
        <v>1631</v>
      </c>
      <c r="E7087" t="s">
        <v>1632</v>
      </c>
      <c r="F7087" t="str">
        <f t="shared" si="253"/>
        <v>62521000</v>
      </c>
      <c r="H7087" t="s">
        <v>1633</v>
      </c>
      <c r="J7087" s="4">
        <v>19244</v>
      </c>
    </row>
    <row r="7088" spans="1:11" hidden="1" outlineLevel="2" x14ac:dyDescent="0.35">
      <c r="A7088" t="s">
        <v>26</v>
      </c>
      <c r="B7088" s="1">
        <v>45729</v>
      </c>
      <c r="C7088" t="str">
        <f>"172"</f>
        <v>172</v>
      </c>
      <c r="D7088" t="s">
        <v>1634</v>
      </c>
      <c r="E7088" t="s">
        <v>1635</v>
      </c>
      <c r="F7088" t="str">
        <f t="shared" si="253"/>
        <v>62521000</v>
      </c>
      <c r="H7088" t="s">
        <v>1636</v>
      </c>
      <c r="J7088" s="4">
        <v>6</v>
      </c>
    </row>
    <row r="7089" spans="1:11" hidden="1" outlineLevel="2" x14ac:dyDescent="0.35">
      <c r="A7089" t="s">
        <v>26</v>
      </c>
      <c r="B7089" s="1">
        <v>45729</v>
      </c>
      <c r="C7089" t="str">
        <f>"173"</f>
        <v>173</v>
      </c>
      <c r="D7089" t="s">
        <v>1637</v>
      </c>
      <c r="E7089" t="s">
        <v>1638</v>
      </c>
      <c r="F7089" t="str">
        <f t="shared" si="253"/>
        <v>62521000</v>
      </c>
      <c r="H7089" t="s">
        <v>1639</v>
      </c>
      <c r="J7089" s="4">
        <v>467200</v>
      </c>
    </row>
    <row r="7090" spans="1:11" hidden="1" outlineLevel="2" x14ac:dyDescent="0.35">
      <c r="A7090" t="s">
        <v>26</v>
      </c>
      <c r="B7090" s="1">
        <v>45729</v>
      </c>
      <c r="C7090" t="str">
        <f>"174"</f>
        <v>174</v>
      </c>
      <c r="D7090" t="s">
        <v>1640</v>
      </c>
      <c r="E7090" t="s">
        <v>1641</v>
      </c>
      <c r="F7090" t="str">
        <f t="shared" si="253"/>
        <v>62521000</v>
      </c>
      <c r="H7090" t="s">
        <v>1642</v>
      </c>
      <c r="J7090" s="4">
        <v>54148</v>
      </c>
    </row>
    <row r="7091" spans="1:11" hidden="1" outlineLevel="2" x14ac:dyDescent="0.35">
      <c r="A7091" t="s">
        <v>26</v>
      </c>
      <c r="B7091" s="1">
        <v>45729</v>
      </c>
      <c r="C7091" t="str">
        <f>"175"</f>
        <v>175</v>
      </c>
      <c r="D7091" t="s">
        <v>1643</v>
      </c>
      <c r="E7091" t="s">
        <v>1644</v>
      </c>
      <c r="F7091" t="str">
        <f t="shared" si="253"/>
        <v>62521000</v>
      </c>
      <c r="H7091" t="s">
        <v>1645</v>
      </c>
      <c r="J7091" s="4">
        <v>8</v>
      </c>
    </row>
    <row r="7092" spans="1:11" hidden="1" outlineLevel="2" x14ac:dyDescent="0.35">
      <c r="A7092" t="s">
        <v>26</v>
      </c>
      <c r="B7092" s="1">
        <v>45729</v>
      </c>
      <c r="C7092" t="str">
        <f>"176"</f>
        <v>176</v>
      </c>
      <c r="D7092" t="s">
        <v>1646</v>
      </c>
      <c r="E7092" t="s">
        <v>1647</v>
      </c>
      <c r="F7092" t="str">
        <f t="shared" si="253"/>
        <v>62521000</v>
      </c>
      <c r="H7092" t="s">
        <v>1648</v>
      </c>
      <c r="J7092" s="4">
        <v>2000</v>
      </c>
    </row>
    <row r="7093" spans="1:11" hidden="1" outlineLevel="2" x14ac:dyDescent="0.35">
      <c r="A7093" t="s">
        <v>26</v>
      </c>
      <c r="B7093" s="1">
        <v>45729</v>
      </c>
      <c r="C7093" t="str">
        <f>"177"</f>
        <v>177</v>
      </c>
      <c r="D7093" t="s">
        <v>1649</v>
      </c>
      <c r="E7093" t="s">
        <v>1650</v>
      </c>
      <c r="F7093" t="str">
        <f t="shared" si="253"/>
        <v>62521000</v>
      </c>
      <c r="H7093" t="s">
        <v>1651</v>
      </c>
      <c r="J7093" s="4">
        <v>5000</v>
      </c>
    </row>
    <row r="7094" spans="1:11" hidden="1" outlineLevel="2" x14ac:dyDescent="0.35">
      <c r="A7094" t="s">
        <v>26</v>
      </c>
      <c r="B7094" s="1">
        <v>45730</v>
      </c>
      <c r="C7094" t="str">
        <f>"178"</f>
        <v>178</v>
      </c>
      <c r="D7094" t="s">
        <v>1662</v>
      </c>
      <c r="E7094" t="s">
        <v>1663</v>
      </c>
      <c r="F7094" t="str">
        <f t="shared" si="253"/>
        <v>62521000</v>
      </c>
      <c r="H7094" t="s">
        <v>1664</v>
      </c>
      <c r="J7094" s="4">
        <v>1</v>
      </c>
    </row>
    <row r="7095" spans="1:11" hidden="1" outlineLevel="2" x14ac:dyDescent="0.35">
      <c r="A7095" t="s">
        <v>26</v>
      </c>
      <c r="B7095" s="1">
        <v>45741</v>
      </c>
      <c r="C7095" t="str">
        <f>"179"</f>
        <v>179</v>
      </c>
      <c r="D7095" t="s">
        <v>1735</v>
      </c>
      <c r="E7095" t="s">
        <v>1736</v>
      </c>
      <c r="F7095" t="str">
        <f t="shared" si="253"/>
        <v>62521000</v>
      </c>
      <c r="H7095" t="s">
        <v>1737</v>
      </c>
      <c r="J7095" s="4">
        <v>2</v>
      </c>
    </row>
    <row r="7096" spans="1:11" outlineLevel="1" collapsed="1" x14ac:dyDescent="0.35">
      <c r="B7096" s="1"/>
      <c r="F7096" s="3" t="s">
        <v>6641</v>
      </c>
      <c r="J7096" s="4">
        <f>SUBTOTAL(9,J7076:J7095)</f>
        <v>22423261</v>
      </c>
      <c r="K7096" s="4">
        <f>SUBTOTAL(9,K7076:K7095)</f>
        <v>1510026</v>
      </c>
    </row>
    <row r="7097" spans="1:11" hidden="1" outlineLevel="2" x14ac:dyDescent="0.35">
      <c r="A7097" t="s">
        <v>11</v>
      </c>
      <c r="B7097" s="1">
        <v>45717</v>
      </c>
      <c r="C7097" t="str">
        <f>"248"</f>
        <v>248</v>
      </c>
      <c r="E7097" t="s">
        <v>1263</v>
      </c>
      <c r="F7097" t="str">
        <f>"62530000"</f>
        <v>62530000</v>
      </c>
      <c r="H7097" t="s">
        <v>1264</v>
      </c>
      <c r="J7097" s="4">
        <v>1032703</v>
      </c>
    </row>
    <row r="7098" spans="1:11" outlineLevel="1" collapsed="1" x14ac:dyDescent="0.35">
      <c r="B7098" s="1"/>
      <c r="F7098" s="3" t="s">
        <v>6642</v>
      </c>
      <c r="J7098" s="4">
        <f>SUBTOTAL(9,J7097:J7097)</f>
        <v>1032703</v>
      </c>
      <c r="K7098" s="4">
        <f>SUBTOTAL(9,K7097:K7097)</f>
        <v>0</v>
      </c>
    </row>
    <row r="7099" spans="1:11" hidden="1" outlineLevel="2" x14ac:dyDescent="0.35">
      <c r="A7099" t="s">
        <v>11</v>
      </c>
      <c r="B7099" s="1">
        <v>45717</v>
      </c>
      <c r="C7099" t="str">
        <f>"233"</f>
        <v>233</v>
      </c>
      <c r="F7099" t="str">
        <f>"62531000"</f>
        <v>62531000</v>
      </c>
      <c r="H7099" t="s">
        <v>1236</v>
      </c>
      <c r="J7099" s="4">
        <v>4188043</v>
      </c>
    </row>
    <row r="7100" spans="1:11" outlineLevel="1" collapsed="1" x14ac:dyDescent="0.35">
      <c r="B7100" s="1"/>
      <c r="F7100" s="3" t="s">
        <v>6643</v>
      </c>
      <c r="J7100" s="4">
        <f>SUBTOTAL(9,J7099:J7099)</f>
        <v>4188043</v>
      </c>
      <c r="K7100" s="4">
        <f>SUBTOTAL(9,K7099:K7099)</f>
        <v>0</v>
      </c>
    </row>
    <row r="7101" spans="1:11" hidden="1" outlineLevel="2" x14ac:dyDescent="0.35">
      <c r="A7101" t="s">
        <v>11</v>
      </c>
      <c r="B7101" s="1">
        <v>45717</v>
      </c>
      <c r="C7101" t="str">
        <f>"232"</f>
        <v>232</v>
      </c>
      <c r="E7101" t="s">
        <v>1234</v>
      </c>
      <c r="F7101" t="str">
        <f>"62540000"</f>
        <v>62540000</v>
      </c>
      <c r="H7101" t="s">
        <v>1235</v>
      </c>
      <c r="J7101" s="4">
        <v>399458</v>
      </c>
    </row>
    <row r="7102" spans="1:11" outlineLevel="1" collapsed="1" x14ac:dyDescent="0.35">
      <c r="B7102" s="1"/>
      <c r="F7102" s="3" t="s">
        <v>6644</v>
      </c>
      <c r="J7102" s="4">
        <f>SUBTOTAL(9,J7101:J7101)</f>
        <v>399458</v>
      </c>
      <c r="K7102" s="4">
        <f>SUBTOTAL(9,K7101:K7101)</f>
        <v>0</v>
      </c>
    </row>
    <row r="7103" spans="1:11" hidden="1" outlineLevel="2" x14ac:dyDescent="0.35">
      <c r="A7103" t="s">
        <v>11</v>
      </c>
      <c r="B7103" s="1">
        <v>45717</v>
      </c>
      <c r="C7103" t="str">
        <f>"222"</f>
        <v>222</v>
      </c>
      <c r="E7103" t="s">
        <v>1218</v>
      </c>
      <c r="F7103" t="str">
        <f>"62582000"</f>
        <v>62582000</v>
      </c>
      <c r="H7103" t="s">
        <v>1219</v>
      </c>
      <c r="J7103" s="4">
        <v>24650</v>
      </c>
    </row>
    <row r="7104" spans="1:11" hidden="1" outlineLevel="2" x14ac:dyDescent="0.35">
      <c r="A7104" t="s">
        <v>11</v>
      </c>
      <c r="B7104" s="1">
        <v>45717</v>
      </c>
      <c r="C7104" t="str">
        <f>"223"</f>
        <v>223</v>
      </c>
      <c r="E7104" t="s">
        <v>1218</v>
      </c>
      <c r="F7104" t="str">
        <f>"62582000"</f>
        <v>62582000</v>
      </c>
      <c r="H7104" t="s">
        <v>1220</v>
      </c>
      <c r="J7104" s="4">
        <v>176942</v>
      </c>
    </row>
    <row r="7105" spans="1:11" outlineLevel="1" collapsed="1" x14ac:dyDescent="0.35">
      <c r="B7105" s="1"/>
      <c r="F7105" s="3" t="s">
        <v>6645</v>
      </c>
      <c r="J7105" s="4">
        <f>SUBTOTAL(9,J7103:J7104)</f>
        <v>201592</v>
      </c>
      <c r="K7105" s="4">
        <f>SUBTOTAL(9,K7103:K7104)</f>
        <v>0</v>
      </c>
    </row>
    <row r="7106" spans="1:11" hidden="1" outlineLevel="2" x14ac:dyDescent="0.35">
      <c r="A7106" t="s">
        <v>2337</v>
      </c>
      <c r="B7106" s="1">
        <v>45734</v>
      </c>
      <c r="C7106" t="str">
        <f>"796"</f>
        <v>796</v>
      </c>
      <c r="E7106" t="str">
        <f>"17453"</f>
        <v>17453</v>
      </c>
      <c r="F7106" t="str">
        <f>"62650000"</f>
        <v>62650000</v>
      </c>
      <c r="H7106" t="s">
        <v>2533</v>
      </c>
      <c r="J7106" s="4">
        <v>7800</v>
      </c>
    </row>
    <row r="7107" spans="1:11" hidden="1" outlineLevel="2" x14ac:dyDescent="0.35">
      <c r="A7107" t="s">
        <v>2337</v>
      </c>
      <c r="B7107" s="1">
        <v>45741</v>
      </c>
      <c r="C7107" t="str">
        <f>"857"</f>
        <v>857</v>
      </c>
      <c r="E7107" t="str">
        <f>"15865"</f>
        <v>15865</v>
      </c>
      <c r="F7107" t="str">
        <f>"62650000"</f>
        <v>62650000</v>
      </c>
      <c r="H7107" t="s">
        <v>2613</v>
      </c>
      <c r="J7107" s="4">
        <v>7800</v>
      </c>
    </row>
    <row r="7108" spans="1:11" outlineLevel="1" collapsed="1" x14ac:dyDescent="0.35">
      <c r="B7108" s="1"/>
      <c r="F7108" s="3" t="s">
        <v>6646</v>
      </c>
      <c r="J7108" s="4">
        <f>SUBTOTAL(9,J7106:J7107)</f>
        <v>15600</v>
      </c>
      <c r="K7108" s="4">
        <f>SUBTOTAL(9,K7106:K7107)</f>
        <v>0</v>
      </c>
    </row>
    <row r="7109" spans="1:11" hidden="1" outlineLevel="2" x14ac:dyDescent="0.35">
      <c r="A7109" t="s">
        <v>2337</v>
      </c>
      <c r="B7109" s="1">
        <v>45729</v>
      </c>
      <c r="C7109" t="str">
        <f>"753"</f>
        <v>753</v>
      </c>
      <c r="E7109" t="str">
        <f>"17372"</f>
        <v>17372</v>
      </c>
      <c r="F7109" t="str">
        <f>"62720000"</f>
        <v>62720000</v>
      </c>
      <c r="H7109" t="s">
        <v>2492</v>
      </c>
      <c r="J7109" s="4">
        <v>1900</v>
      </c>
    </row>
    <row r="7110" spans="1:11" outlineLevel="1" collapsed="1" x14ac:dyDescent="0.35">
      <c r="B7110" s="1"/>
      <c r="F7110" s="3" t="s">
        <v>6647</v>
      </c>
      <c r="J7110" s="4">
        <f>SUBTOTAL(9,J7109:J7109)</f>
        <v>1900</v>
      </c>
      <c r="K7110" s="4">
        <f>SUBTOTAL(9,K7109:K7109)</f>
        <v>0</v>
      </c>
    </row>
    <row r="7111" spans="1:11" hidden="1" outlineLevel="2" x14ac:dyDescent="0.35">
      <c r="A7111" t="s">
        <v>2337</v>
      </c>
      <c r="B7111" s="1">
        <v>45720</v>
      </c>
      <c r="C7111" t="str">
        <f>"659"</f>
        <v>659</v>
      </c>
      <c r="E7111" t="str">
        <f>"17278"</f>
        <v>17278</v>
      </c>
      <c r="F7111" t="str">
        <f>"62810000"</f>
        <v>62810000</v>
      </c>
      <c r="H7111" t="s">
        <v>2359</v>
      </c>
      <c r="J7111" s="4">
        <v>20000</v>
      </c>
    </row>
    <row r="7112" spans="1:11" hidden="1" outlineLevel="2" x14ac:dyDescent="0.35">
      <c r="A7112" t="s">
        <v>2337</v>
      </c>
      <c r="B7112" s="1">
        <v>45721</v>
      </c>
      <c r="C7112" t="str">
        <f>"681"</f>
        <v>681</v>
      </c>
      <c r="E7112" t="str">
        <f>"17301"</f>
        <v>17301</v>
      </c>
      <c r="F7112" t="str">
        <f>"62810000"</f>
        <v>62810000</v>
      </c>
      <c r="H7112" t="s">
        <v>2395</v>
      </c>
      <c r="J7112" s="4">
        <v>10000</v>
      </c>
    </row>
    <row r="7113" spans="1:11" hidden="1" outlineLevel="2" x14ac:dyDescent="0.35">
      <c r="A7113" t="s">
        <v>101</v>
      </c>
      <c r="B7113" s="1">
        <v>45747</v>
      </c>
      <c r="C7113" t="str">
        <f>"16"</f>
        <v>16</v>
      </c>
      <c r="F7113" t="str">
        <f>"62810000"</f>
        <v>62810000</v>
      </c>
      <c r="H7113" t="s">
        <v>2852</v>
      </c>
      <c r="J7113" s="4">
        <v>3881748</v>
      </c>
    </row>
    <row r="7114" spans="1:11" hidden="1" outlineLevel="2" x14ac:dyDescent="0.35">
      <c r="A7114" t="s">
        <v>3056</v>
      </c>
      <c r="B7114" s="1">
        <v>45720</v>
      </c>
      <c r="C7114" t="str">
        <f>"150"</f>
        <v>150</v>
      </c>
      <c r="F7114" t="str">
        <f>"62810000"</f>
        <v>62810000</v>
      </c>
      <c r="H7114" t="s">
        <v>3064</v>
      </c>
      <c r="J7114" s="4">
        <v>20000</v>
      </c>
    </row>
    <row r="7115" spans="1:11" outlineLevel="1" collapsed="1" x14ac:dyDescent="0.35">
      <c r="B7115" s="1"/>
      <c r="F7115" s="3" t="s">
        <v>6648</v>
      </c>
      <c r="J7115" s="4">
        <f>SUBTOTAL(9,J7111:J7114)</f>
        <v>3931748</v>
      </c>
      <c r="K7115" s="4">
        <f>SUBTOTAL(9,K7111:K7114)</f>
        <v>0</v>
      </c>
    </row>
    <row r="7116" spans="1:11" hidden="1" outlineLevel="2" x14ac:dyDescent="0.35">
      <c r="A7116" t="s">
        <v>11</v>
      </c>
      <c r="B7116" s="1">
        <v>45717</v>
      </c>
      <c r="C7116" t="str">
        <f>"219"</f>
        <v>219</v>
      </c>
      <c r="F7116" t="str">
        <f t="shared" ref="F7116:F7133" si="254">"62880000"</f>
        <v>62880000</v>
      </c>
      <c r="H7116" t="s">
        <v>1213</v>
      </c>
      <c r="J7116" s="4">
        <v>86821</v>
      </c>
    </row>
    <row r="7117" spans="1:11" hidden="1" outlineLevel="2" x14ac:dyDescent="0.35">
      <c r="A7117" t="s">
        <v>11</v>
      </c>
      <c r="B7117" s="1">
        <v>45717</v>
      </c>
      <c r="C7117" t="str">
        <f>"220"</f>
        <v>220</v>
      </c>
      <c r="F7117" t="str">
        <f t="shared" si="254"/>
        <v>62880000</v>
      </c>
      <c r="H7117" t="s">
        <v>1214</v>
      </c>
      <c r="J7117" s="4">
        <v>1430000</v>
      </c>
    </row>
    <row r="7118" spans="1:11" hidden="1" outlineLevel="2" x14ac:dyDescent="0.35">
      <c r="A7118" t="s">
        <v>11</v>
      </c>
      <c r="B7118" s="1">
        <v>45717</v>
      </c>
      <c r="C7118" t="str">
        <f>"229"</f>
        <v>229</v>
      </c>
      <c r="F7118" t="str">
        <f t="shared" si="254"/>
        <v>62880000</v>
      </c>
      <c r="H7118" t="s">
        <v>1229</v>
      </c>
      <c r="J7118" s="4">
        <v>927000</v>
      </c>
    </row>
    <row r="7119" spans="1:11" hidden="1" outlineLevel="2" x14ac:dyDescent="0.35">
      <c r="A7119" t="s">
        <v>11</v>
      </c>
      <c r="B7119" s="1">
        <v>45717</v>
      </c>
      <c r="C7119" t="str">
        <f>"234"</f>
        <v>234</v>
      </c>
      <c r="E7119" t="s">
        <v>1237</v>
      </c>
      <c r="F7119" t="str">
        <f t="shared" si="254"/>
        <v>62880000</v>
      </c>
      <c r="H7119" t="s">
        <v>1238</v>
      </c>
      <c r="J7119" s="4">
        <v>300000</v>
      </c>
    </row>
    <row r="7120" spans="1:11" hidden="1" outlineLevel="2" x14ac:dyDescent="0.35">
      <c r="A7120" t="s">
        <v>11</v>
      </c>
      <c r="B7120" s="1">
        <v>45717</v>
      </c>
      <c r="C7120" t="str">
        <f>"239"</f>
        <v>239</v>
      </c>
      <c r="E7120" t="s">
        <v>1247</v>
      </c>
      <c r="F7120" t="str">
        <f t="shared" si="254"/>
        <v>62880000</v>
      </c>
      <c r="H7120" t="s">
        <v>1248</v>
      </c>
      <c r="J7120" s="4">
        <v>56733</v>
      </c>
    </row>
    <row r="7121" spans="1:11" hidden="1" outlineLevel="2" x14ac:dyDescent="0.35">
      <c r="A7121" t="s">
        <v>11</v>
      </c>
      <c r="B7121" s="1">
        <v>45717</v>
      </c>
      <c r="C7121" t="str">
        <f>"240"</f>
        <v>240</v>
      </c>
      <c r="E7121" t="s">
        <v>1247</v>
      </c>
      <c r="F7121" t="str">
        <f t="shared" si="254"/>
        <v>62880000</v>
      </c>
      <c r="H7121" t="s">
        <v>1249</v>
      </c>
      <c r="J7121" s="4">
        <v>2200000</v>
      </c>
    </row>
    <row r="7122" spans="1:11" hidden="1" outlineLevel="2" x14ac:dyDescent="0.35">
      <c r="A7122" t="s">
        <v>26</v>
      </c>
      <c r="B7122" s="1">
        <v>45726</v>
      </c>
      <c r="C7122" t="str">
        <f>"41"</f>
        <v>41</v>
      </c>
      <c r="D7122" t="s">
        <v>1543</v>
      </c>
      <c r="E7122" t="s">
        <v>1544</v>
      </c>
      <c r="F7122" t="str">
        <f t="shared" si="254"/>
        <v>62880000</v>
      </c>
      <c r="H7122" t="s">
        <v>1545</v>
      </c>
      <c r="J7122" s="4">
        <v>422099</v>
      </c>
    </row>
    <row r="7123" spans="1:11" hidden="1" outlineLevel="2" x14ac:dyDescent="0.35">
      <c r="A7123" t="s">
        <v>26</v>
      </c>
      <c r="B7123" s="1">
        <v>45726</v>
      </c>
      <c r="C7123" t="str">
        <f>"42"</f>
        <v>42</v>
      </c>
      <c r="D7123" t="s">
        <v>1546</v>
      </c>
      <c r="E7123" t="str">
        <f>"8890732032025"</f>
        <v>8890732032025</v>
      </c>
      <c r="F7123" t="str">
        <f t="shared" si="254"/>
        <v>62880000</v>
      </c>
      <c r="H7123" t="s">
        <v>1547</v>
      </c>
      <c r="J7123" s="4">
        <v>20242</v>
      </c>
    </row>
    <row r="7124" spans="1:11" hidden="1" outlineLevel="2" x14ac:dyDescent="0.35">
      <c r="A7124" t="s">
        <v>26</v>
      </c>
      <c r="B7124" s="1">
        <v>45726</v>
      </c>
      <c r="C7124" t="str">
        <f>"43"</f>
        <v>43</v>
      </c>
      <c r="D7124" t="s">
        <v>1548</v>
      </c>
      <c r="E7124" t="str">
        <f>"8892042032025"</f>
        <v>8892042032025</v>
      </c>
      <c r="F7124" t="str">
        <f t="shared" si="254"/>
        <v>62880000</v>
      </c>
      <c r="H7124" t="s">
        <v>1549</v>
      </c>
      <c r="J7124" s="4">
        <v>2017736</v>
      </c>
    </row>
    <row r="7125" spans="1:11" hidden="1" outlineLevel="2" x14ac:dyDescent="0.35">
      <c r="A7125" t="s">
        <v>26</v>
      </c>
      <c r="B7125" s="1">
        <v>45726</v>
      </c>
      <c r="C7125" t="str">
        <f>"45"</f>
        <v>45</v>
      </c>
      <c r="D7125" t="s">
        <v>1552</v>
      </c>
      <c r="E7125" t="str">
        <f>"8991930032025"</f>
        <v>8991930032025</v>
      </c>
      <c r="F7125" t="str">
        <f t="shared" si="254"/>
        <v>62880000</v>
      </c>
      <c r="H7125" t="s">
        <v>1553</v>
      </c>
      <c r="J7125" s="4">
        <v>8875</v>
      </c>
    </row>
    <row r="7126" spans="1:11" hidden="1" outlineLevel="2" x14ac:dyDescent="0.35">
      <c r="A7126" t="s">
        <v>26</v>
      </c>
      <c r="B7126" s="1">
        <v>45736</v>
      </c>
      <c r="C7126" t="str">
        <f>"40"</f>
        <v>40</v>
      </c>
      <c r="D7126" t="s">
        <v>1541</v>
      </c>
      <c r="E7126" t="s">
        <v>1542</v>
      </c>
      <c r="F7126" t="str">
        <f t="shared" si="254"/>
        <v>62880000</v>
      </c>
      <c r="H7126" t="s">
        <v>1540</v>
      </c>
      <c r="J7126" s="4">
        <v>-32346</v>
      </c>
    </row>
    <row r="7127" spans="1:11" hidden="1" outlineLevel="2" x14ac:dyDescent="0.35">
      <c r="A7127" t="s">
        <v>2337</v>
      </c>
      <c r="B7127" s="1">
        <v>45721</v>
      </c>
      <c r="C7127" t="str">
        <f>"677"</f>
        <v>677</v>
      </c>
      <c r="E7127" t="str">
        <f>"17297"</f>
        <v>17297</v>
      </c>
      <c r="F7127" t="str">
        <f t="shared" si="254"/>
        <v>62880000</v>
      </c>
      <c r="H7127" t="s">
        <v>2387</v>
      </c>
      <c r="J7127" s="4">
        <v>19900</v>
      </c>
    </row>
    <row r="7128" spans="1:11" hidden="1" outlineLevel="2" x14ac:dyDescent="0.35">
      <c r="A7128" t="s">
        <v>2337</v>
      </c>
      <c r="B7128" s="1">
        <v>45721</v>
      </c>
      <c r="C7128" t="str">
        <f>"682"</f>
        <v>682</v>
      </c>
      <c r="E7128" t="str">
        <f>"17302"</f>
        <v>17302</v>
      </c>
      <c r="F7128" t="str">
        <f t="shared" si="254"/>
        <v>62880000</v>
      </c>
      <c r="H7128" t="s">
        <v>2396</v>
      </c>
      <c r="J7128" s="4">
        <v>45000</v>
      </c>
    </row>
    <row r="7129" spans="1:11" hidden="1" outlineLevel="2" x14ac:dyDescent="0.35">
      <c r="A7129" t="s">
        <v>2337</v>
      </c>
      <c r="B7129" s="1">
        <v>45722</v>
      </c>
      <c r="C7129" t="str">
        <f>"686"</f>
        <v>686</v>
      </c>
      <c r="E7129" t="str">
        <f>"17305"</f>
        <v>17305</v>
      </c>
      <c r="F7129" t="str">
        <f t="shared" si="254"/>
        <v>62880000</v>
      </c>
      <c r="H7129" t="s">
        <v>2401</v>
      </c>
      <c r="J7129" s="4">
        <v>45000</v>
      </c>
    </row>
    <row r="7130" spans="1:11" hidden="1" outlineLevel="2" x14ac:dyDescent="0.35">
      <c r="A7130" t="s">
        <v>2337</v>
      </c>
      <c r="B7130" s="1">
        <v>45727</v>
      </c>
      <c r="C7130" t="str">
        <f>"726"</f>
        <v>726</v>
      </c>
      <c r="E7130" t="str">
        <f>"17345"</f>
        <v>17345</v>
      </c>
      <c r="F7130" t="str">
        <f t="shared" si="254"/>
        <v>62880000</v>
      </c>
      <c r="H7130" t="s">
        <v>2452</v>
      </c>
      <c r="J7130" s="4">
        <v>45000</v>
      </c>
    </row>
    <row r="7131" spans="1:11" hidden="1" outlineLevel="2" x14ac:dyDescent="0.35">
      <c r="A7131" t="s">
        <v>2337</v>
      </c>
      <c r="B7131" s="1">
        <v>45728</v>
      </c>
      <c r="C7131" t="str">
        <f>"735"</f>
        <v>735</v>
      </c>
      <c r="E7131" t="str">
        <f>"17354"</f>
        <v>17354</v>
      </c>
      <c r="F7131" t="str">
        <f t="shared" si="254"/>
        <v>62880000</v>
      </c>
      <c r="H7131" t="s">
        <v>2465</v>
      </c>
      <c r="J7131" s="4">
        <v>20000</v>
      </c>
    </row>
    <row r="7132" spans="1:11" hidden="1" outlineLevel="2" x14ac:dyDescent="0.35">
      <c r="A7132" t="s">
        <v>2337</v>
      </c>
      <c r="B7132" s="1">
        <v>45734</v>
      </c>
      <c r="C7132" t="str">
        <f>"787"</f>
        <v>787</v>
      </c>
      <c r="E7132" t="str">
        <f>"17394"</f>
        <v>17394</v>
      </c>
      <c r="F7132" t="str">
        <f t="shared" si="254"/>
        <v>62880000</v>
      </c>
      <c r="H7132" t="s">
        <v>2524</v>
      </c>
      <c r="J7132" s="4">
        <v>45000</v>
      </c>
    </row>
    <row r="7133" spans="1:11" hidden="1" outlineLevel="2" x14ac:dyDescent="0.35">
      <c r="A7133" t="s">
        <v>2337</v>
      </c>
      <c r="B7133" s="1">
        <v>45740</v>
      </c>
      <c r="C7133" t="str">
        <f>"838"</f>
        <v>838</v>
      </c>
      <c r="E7133" t="str">
        <f>"17494"</f>
        <v>17494</v>
      </c>
      <c r="F7133" t="str">
        <f t="shared" si="254"/>
        <v>62880000</v>
      </c>
      <c r="H7133" t="s">
        <v>2593</v>
      </c>
      <c r="J7133" s="4">
        <v>45000</v>
      </c>
    </row>
    <row r="7134" spans="1:11" outlineLevel="1" collapsed="1" x14ac:dyDescent="0.35">
      <c r="B7134" s="1"/>
      <c r="F7134" s="3" t="s">
        <v>6649</v>
      </c>
      <c r="J7134" s="4">
        <f>SUBTOTAL(9,J7116:J7133)</f>
        <v>7702060</v>
      </c>
      <c r="K7134" s="4">
        <f>SUBTOTAL(9,K7116:K7133)</f>
        <v>0</v>
      </c>
    </row>
    <row r="7135" spans="1:11" hidden="1" outlineLevel="2" x14ac:dyDescent="0.35">
      <c r="A7135" t="s">
        <v>11</v>
      </c>
      <c r="B7135" s="1">
        <v>45717</v>
      </c>
      <c r="C7135" t="str">
        <f>"238"</f>
        <v>238</v>
      </c>
      <c r="E7135" t="s">
        <v>1245</v>
      </c>
      <c r="F7135" t="str">
        <f t="shared" ref="F7135:F7153" si="255">"62881000"</f>
        <v>62881000</v>
      </c>
      <c r="H7135" t="s">
        <v>1246</v>
      </c>
      <c r="J7135" s="4">
        <v>1350000</v>
      </c>
    </row>
    <row r="7136" spans="1:11" hidden="1" outlineLevel="2" x14ac:dyDescent="0.35">
      <c r="A7136" t="s">
        <v>11</v>
      </c>
      <c r="B7136" s="1">
        <v>45717</v>
      </c>
      <c r="C7136" t="str">
        <f>"251"</f>
        <v>251</v>
      </c>
      <c r="E7136" t="s">
        <v>1269</v>
      </c>
      <c r="F7136" t="str">
        <f t="shared" si="255"/>
        <v>62881000</v>
      </c>
      <c r="H7136" t="s">
        <v>1270</v>
      </c>
      <c r="J7136" s="4">
        <v>330000</v>
      </c>
    </row>
    <row r="7137" spans="1:10" hidden="1" outlineLevel="2" x14ac:dyDescent="0.35">
      <c r="A7137" t="s">
        <v>11</v>
      </c>
      <c r="B7137" s="1">
        <v>45717</v>
      </c>
      <c r="C7137" t="str">
        <f>"258"</f>
        <v>258</v>
      </c>
      <c r="E7137" t="s">
        <v>1245</v>
      </c>
      <c r="F7137" t="str">
        <f t="shared" si="255"/>
        <v>62881000</v>
      </c>
      <c r="H7137" t="s">
        <v>1278</v>
      </c>
      <c r="J7137" s="4">
        <v>1800000</v>
      </c>
    </row>
    <row r="7138" spans="1:10" hidden="1" outlineLevel="2" x14ac:dyDescent="0.35">
      <c r="A7138" t="s">
        <v>26</v>
      </c>
      <c r="B7138" s="1">
        <v>45717</v>
      </c>
      <c r="C7138" t="str">
        <f>"150"</f>
        <v>150</v>
      </c>
      <c r="D7138" t="s">
        <v>1410</v>
      </c>
      <c r="E7138" t="s">
        <v>1411</v>
      </c>
      <c r="F7138" t="str">
        <f t="shared" si="255"/>
        <v>62881000</v>
      </c>
      <c r="H7138" t="s">
        <v>1412</v>
      </c>
      <c r="J7138" s="4">
        <v>554667</v>
      </c>
    </row>
    <row r="7139" spans="1:10" hidden="1" outlineLevel="2" x14ac:dyDescent="0.35">
      <c r="A7139" t="s">
        <v>26</v>
      </c>
      <c r="B7139" s="1">
        <v>45717</v>
      </c>
      <c r="C7139" t="str">
        <f>"151"</f>
        <v>151</v>
      </c>
      <c r="D7139" t="s">
        <v>1413</v>
      </c>
      <c r="E7139" t="s">
        <v>1414</v>
      </c>
      <c r="F7139" t="str">
        <f t="shared" si="255"/>
        <v>62881000</v>
      </c>
      <c r="H7139" t="s">
        <v>1415</v>
      </c>
      <c r="J7139" s="4">
        <v>260000</v>
      </c>
    </row>
    <row r="7140" spans="1:10" hidden="1" outlineLevel="2" x14ac:dyDescent="0.35">
      <c r="A7140" t="s">
        <v>26</v>
      </c>
      <c r="B7140" s="1">
        <v>45717</v>
      </c>
      <c r="C7140" t="str">
        <f>"152"</f>
        <v>152</v>
      </c>
      <c r="D7140" t="s">
        <v>1416</v>
      </c>
      <c r="E7140" t="s">
        <v>1417</v>
      </c>
      <c r="F7140" t="str">
        <f t="shared" si="255"/>
        <v>62881000</v>
      </c>
      <c r="H7140" t="s">
        <v>1418</v>
      </c>
      <c r="J7140" s="4">
        <v>300000</v>
      </c>
    </row>
    <row r="7141" spans="1:10" hidden="1" outlineLevel="2" x14ac:dyDescent="0.35">
      <c r="A7141" t="s">
        <v>26</v>
      </c>
      <c r="B7141" s="1">
        <v>45717</v>
      </c>
      <c r="C7141" t="str">
        <f>"153"</f>
        <v>153</v>
      </c>
      <c r="D7141" t="s">
        <v>1419</v>
      </c>
      <c r="E7141" t="s">
        <v>1420</v>
      </c>
      <c r="F7141" t="str">
        <f t="shared" si="255"/>
        <v>62881000</v>
      </c>
      <c r="H7141" t="s">
        <v>1421</v>
      </c>
      <c r="J7141" s="4">
        <v>580000</v>
      </c>
    </row>
    <row r="7142" spans="1:10" hidden="1" outlineLevel="2" x14ac:dyDescent="0.35">
      <c r="A7142" t="s">
        <v>26</v>
      </c>
      <c r="B7142" s="1">
        <v>45717</v>
      </c>
      <c r="C7142" t="str">
        <f>"154"</f>
        <v>154</v>
      </c>
      <c r="D7142" t="s">
        <v>1422</v>
      </c>
      <c r="E7142" t="s">
        <v>1423</v>
      </c>
      <c r="F7142" t="str">
        <f t="shared" si="255"/>
        <v>62881000</v>
      </c>
      <c r="H7142" t="s">
        <v>1424</v>
      </c>
      <c r="J7142" s="4">
        <v>355099</v>
      </c>
    </row>
    <row r="7143" spans="1:10" hidden="1" outlineLevel="2" x14ac:dyDescent="0.35">
      <c r="A7143" t="s">
        <v>26</v>
      </c>
      <c r="B7143" s="1">
        <v>45717</v>
      </c>
      <c r="C7143" t="str">
        <f>"155"</f>
        <v>155</v>
      </c>
      <c r="D7143" t="s">
        <v>1425</v>
      </c>
      <c r="E7143" t="s">
        <v>1426</v>
      </c>
      <c r="F7143" t="str">
        <f t="shared" si="255"/>
        <v>62881000</v>
      </c>
      <c r="H7143" t="s">
        <v>1427</v>
      </c>
      <c r="J7143" s="4">
        <v>168999</v>
      </c>
    </row>
    <row r="7144" spans="1:10" hidden="1" outlineLevel="2" x14ac:dyDescent="0.35">
      <c r="A7144" t="s">
        <v>26</v>
      </c>
      <c r="B7144" s="1">
        <v>45717</v>
      </c>
      <c r="C7144" t="str">
        <f>"156"</f>
        <v>156</v>
      </c>
      <c r="D7144" t="s">
        <v>1428</v>
      </c>
      <c r="E7144" t="s">
        <v>1429</v>
      </c>
      <c r="F7144" t="str">
        <f t="shared" si="255"/>
        <v>62881000</v>
      </c>
      <c r="H7144" t="s">
        <v>1430</v>
      </c>
      <c r="J7144" s="4">
        <v>-62039</v>
      </c>
    </row>
    <row r="7145" spans="1:10" hidden="1" outlineLevel="2" x14ac:dyDescent="0.35">
      <c r="A7145" t="s">
        <v>26</v>
      </c>
      <c r="B7145" s="1">
        <v>45726</v>
      </c>
      <c r="C7145" t="str">
        <f>"52"</f>
        <v>52</v>
      </c>
      <c r="D7145" t="s">
        <v>1556</v>
      </c>
      <c r="E7145" t="str">
        <f>"0001919"</f>
        <v>0001919</v>
      </c>
      <c r="F7145" t="str">
        <f t="shared" si="255"/>
        <v>62881000</v>
      </c>
      <c r="H7145" t="s">
        <v>1557</v>
      </c>
      <c r="J7145" s="4">
        <v>45000</v>
      </c>
    </row>
    <row r="7146" spans="1:10" hidden="1" outlineLevel="2" x14ac:dyDescent="0.35">
      <c r="A7146" t="s">
        <v>26</v>
      </c>
      <c r="B7146" s="1">
        <v>45726</v>
      </c>
      <c r="C7146" t="str">
        <f>"53"</f>
        <v>53</v>
      </c>
      <c r="D7146" t="s">
        <v>1558</v>
      </c>
      <c r="E7146" t="str">
        <f>"0001920"</f>
        <v>0001920</v>
      </c>
      <c r="F7146" t="str">
        <f t="shared" si="255"/>
        <v>62881000</v>
      </c>
      <c r="H7146" t="s">
        <v>1559</v>
      </c>
      <c r="J7146" s="4">
        <v>276000</v>
      </c>
    </row>
    <row r="7147" spans="1:10" hidden="1" outlineLevel="2" x14ac:dyDescent="0.35">
      <c r="A7147" t="s">
        <v>26</v>
      </c>
      <c r="B7147" s="1">
        <v>45726</v>
      </c>
      <c r="C7147" t="str">
        <f>"54"</f>
        <v>54</v>
      </c>
      <c r="D7147" t="s">
        <v>1560</v>
      </c>
      <c r="E7147" t="str">
        <f>"0001921"</f>
        <v>0001921</v>
      </c>
      <c r="F7147" t="str">
        <f t="shared" si="255"/>
        <v>62881000</v>
      </c>
      <c r="H7147" t="s">
        <v>1561</v>
      </c>
      <c r="J7147" s="4">
        <v>504000</v>
      </c>
    </row>
    <row r="7148" spans="1:10" hidden="1" outlineLevel="2" x14ac:dyDescent="0.35">
      <c r="A7148" t="s">
        <v>26</v>
      </c>
      <c r="B7148" s="1">
        <v>45726</v>
      </c>
      <c r="C7148" t="str">
        <f>"55"</f>
        <v>55</v>
      </c>
      <c r="D7148" t="s">
        <v>1562</v>
      </c>
      <c r="E7148" t="str">
        <f>"001922"</f>
        <v>001922</v>
      </c>
      <c r="F7148" t="str">
        <f t="shared" si="255"/>
        <v>62881000</v>
      </c>
      <c r="H7148" t="s">
        <v>1563</v>
      </c>
      <c r="J7148" s="4">
        <v>340000</v>
      </c>
    </row>
    <row r="7149" spans="1:10" hidden="1" outlineLevel="2" x14ac:dyDescent="0.35">
      <c r="A7149" t="s">
        <v>26</v>
      </c>
      <c r="B7149" s="1">
        <v>45726</v>
      </c>
      <c r="C7149" t="str">
        <f>"56"</f>
        <v>56</v>
      </c>
      <c r="D7149" t="s">
        <v>1564</v>
      </c>
      <c r="E7149" t="str">
        <f>"0001923"</f>
        <v>0001923</v>
      </c>
      <c r="F7149" t="str">
        <f t="shared" si="255"/>
        <v>62881000</v>
      </c>
      <c r="H7149" t="s">
        <v>1565</v>
      </c>
      <c r="J7149" s="4">
        <v>78000</v>
      </c>
    </row>
    <row r="7150" spans="1:10" hidden="1" outlineLevel="2" x14ac:dyDescent="0.35">
      <c r="A7150" t="s">
        <v>26</v>
      </c>
      <c r="B7150" s="1">
        <v>45726</v>
      </c>
      <c r="C7150" t="str">
        <f>"57"</f>
        <v>57</v>
      </c>
      <c r="D7150" t="s">
        <v>1566</v>
      </c>
      <c r="E7150" t="str">
        <f>"0001962"</f>
        <v>0001962</v>
      </c>
      <c r="F7150" t="str">
        <f t="shared" si="255"/>
        <v>62881000</v>
      </c>
      <c r="H7150" t="s">
        <v>1567</v>
      </c>
      <c r="J7150" s="4">
        <v>10000</v>
      </c>
    </row>
    <row r="7151" spans="1:10" hidden="1" outlineLevel="2" x14ac:dyDescent="0.35">
      <c r="A7151" t="s">
        <v>26</v>
      </c>
      <c r="B7151" s="1">
        <v>45734</v>
      </c>
      <c r="C7151" t="str">
        <f>"123"</f>
        <v>123</v>
      </c>
      <c r="D7151" t="s">
        <v>1680</v>
      </c>
      <c r="E7151" t="str">
        <f>"0953"</f>
        <v>0953</v>
      </c>
      <c r="F7151" t="str">
        <f t="shared" si="255"/>
        <v>62881000</v>
      </c>
      <c r="H7151" t="s">
        <v>1681</v>
      </c>
      <c r="J7151" s="4">
        <v>-37500</v>
      </c>
    </row>
    <row r="7152" spans="1:10" hidden="1" outlineLevel="2" x14ac:dyDescent="0.35">
      <c r="A7152" t="s">
        <v>26</v>
      </c>
      <c r="B7152" s="1">
        <v>45737</v>
      </c>
      <c r="C7152" t="str">
        <f>"158"</f>
        <v>158</v>
      </c>
      <c r="D7152" t="s">
        <v>1713</v>
      </c>
      <c r="E7152" t="s">
        <v>1714</v>
      </c>
      <c r="F7152" t="str">
        <f t="shared" si="255"/>
        <v>62881000</v>
      </c>
      <c r="H7152" t="s">
        <v>1715</v>
      </c>
      <c r="J7152" s="4">
        <v>76000</v>
      </c>
    </row>
    <row r="7153" spans="1:11" hidden="1" outlineLevel="2" x14ac:dyDescent="0.35">
      <c r="A7153" t="s">
        <v>72</v>
      </c>
      <c r="B7153" s="1">
        <v>45727</v>
      </c>
      <c r="C7153" t="str">
        <f>"7"</f>
        <v>7</v>
      </c>
      <c r="D7153" t="str">
        <f>"103148"</f>
        <v>103148</v>
      </c>
      <c r="E7153" t="s">
        <v>2681</v>
      </c>
      <c r="F7153" t="str">
        <f t="shared" si="255"/>
        <v>62881000</v>
      </c>
      <c r="H7153" t="s">
        <v>2685</v>
      </c>
      <c r="J7153" s="4">
        <v>76000</v>
      </c>
    </row>
    <row r="7154" spans="1:11" outlineLevel="1" collapsed="1" x14ac:dyDescent="0.35">
      <c r="B7154" s="1"/>
      <c r="F7154" s="3" t="s">
        <v>6650</v>
      </c>
      <c r="J7154" s="4">
        <f>SUBTOTAL(9,J7135:J7153)</f>
        <v>7004226</v>
      </c>
      <c r="K7154" s="4">
        <f>SUBTOTAL(9,K7135:K7153)</f>
        <v>0</v>
      </c>
    </row>
    <row r="7155" spans="1:11" hidden="1" outlineLevel="2" x14ac:dyDescent="0.35">
      <c r="A7155" t="s">
        <v>2318</v>
      </c>
      <c r="B7155" s="1">
        <v>45744</v>
      </c>
      <c r="C7155" t="str">
        <f>"56"</f>
        <v>56</v>
      </c>
      <c r="F7155" t="str">
        <f t="shared" ref="F7155:F7200" si="256">"63170000"</f>
        <v>63170000</v>
      </c>
      <c r="H7155" t="s">
        <v>2335</v>
      </c>
      <c r="J7155" s="4">
        <v>65039</v>
      </c>
    </row>
    <row r="7156" spans="1:11" hidden="1" outlineLevel="2" x14ac:dyDescent="0.35">
      <c r="A7156" t="s">
        <v>3056</v>
      </c>
      <c r="B7156" s="1">
        <v>45717</v>
      </c>
      <c r="C7156" t="str">
        <f>"173"</f>
        <v>173</v>
      </c>
      <c r="F7156" t="str">
        <f t="shared" si="256"/>
        <v>63170000</v>
      </c>
      <c r="H7156" t="s">
        <v>3057</v>
      </c>
      <c r="J7156" s="4">
        <v>667</v>
      </c>
    </row>
    <row r="7157" spans="1:11" hidden="1" outlineLevel="2" x14ac:dyDescent="0.35">
      <c r="A7157" t="s">
        <v>3056</v>
      </c>
      <c r="B7157" s="1">
        <v>45719</v>
      </c>
      <c r="C7157" t="str">
        <f>"145"</f>
        <v>145</v>
      </c>
      <c r="F7157" t="str">
        <f t="shared" si="256"/>
        <v>63170000</v>
      </c>
      <c r="H7157" t="s">
        <v>3058</v>
      </c>
      <c r="J7157" s="4">
        <v>15872</v>
      </c>
    </row>
    <row r="7158" spans="1:11" hidden="1" outlineLevel="2" x14ac:dyDescent="0.35">
      <c r="A7158" t="s">
        <v>3056</v>
      </c>
      <c r="B7158" s="1">
        <v>45719</v>
      </c>
      <c r="C7158" t="str">
        <f>"146"</f>
        <v>146</v>
      </c>
      <c r="F7158" t="str">
        <f t="shared" si="256"/>
        <v>63170000</v>
      </c>
      <c r="H7158" t="s">
        <v>3059</v>
      </c>
      <c r="J7158" s="4">
        <v>55235</v>
      </c>
    </row>
    <row r="7159" spans="1:11" hidden="1" outlineLevel="2" x14ac:dyDescent="0.35">
      <c r="A7159" t="s">
        <v>3056</v>
      </c>
      <c r="B7159" s="1">
        <v>45720</v>
      </c>
      <c r="C7159" t="str">
        <f>"147"</f>
        <v>147</v>
      </c>
      <c r="F7159" t="str">
        <f t="shared" si="256"/>
        <v>63170000</v>
      </c>
      <c r="H7159" t="s">
        <v>3060</v>
      </c>
      <c r="J7159" s="4">
        <v>1795</v>
      </c>
    </row>
    <row r="7160" spans="1:11" hidden="1" outlineLevel="2" x14ac:dyDescent="0.35">
      <c r="A7160" t="s">
        <v>3056</v>
      </c>
      <c r="B7160" s="1">
        <v>45720</v>
      </c>
      <c r="C7160" t="str">
        <f>"149"</f>
        <v>149</v>
      </c>
      <c r="F7160" t="str">
        <f t="shared" si="256"/>
        <v>63170000</v>
      </c>
      <c r="H7160" t="s">
        <v>3061</v>
      </c>
      <c r="J7160" s="4">
        <v>8415</v>
      </c>
    </row>
    <row r="7161" spans="1:11" hidden="1" outlineLevel="2" x14ac:dyDescent="0.35">
      <c r="A7161" t="s">
        <v>3056</v>
      </c>
      <c r="B7161" s="1">
        <v>45720</v>
      </c>
      <c r="C7161" t="str">
        <f>"150"</f>
        <v>150</v>
      </c>
      <c r="F7161" t="str">
        <f t="shared" si="256"/>
        <v>63170000</v>
      </c>
      <c r="H7161" t="s">
        <v>3062</v>
      </c>
      <c r="J7161" s="4">
        <v>1190</v>
      </c>
    </row>
    <row r="7162" spans="1:11" hidden="1" outlineLevel="2" x14ac:dyDescent="0.35">
      <c r="A7162" t="s">
        <v>3056</v>
      </c>
      <c r="B7162" s="1">
        <v>45720</v>
      </c>
      <c r="C7162" t="str">
        <f>"151"</f>
        <v>151</v>
      </c>
      <c r="F7162" t="str">
        <f t="shared" si="256"/>
        <v>63170000</v>
      </c>
      <c r="H7162" t="s">
        <v>3065</v>
      </c>
      <c r="J7162" s="4">
        <v>1700</v>
      </c>
    </row>
    <row r="7163" spans="1:11" hidden="1" outlineLevel="2" x14ac:dyDescent="0.35">
      <c r="A7163" t="s">
        <v>3056</v>
      </c>
      <c r="B7163" s="1">
        <v>45721</v>
      </c>
      <c r="C7163" t="str">
        <f>"152"</f>
        <v>152</v>
      </c>
      <c r="F7163" t="str">
        <f t="shared" si="256"/>
        <v>63170000</v>
      </c>
      <c r="H7163" t="s">
        <v>3066</v>
      </c>
      <c r="J7163" s="4">
        <v>2040</v>
      </c>
    </row>
    <row r="7164" spans="1:11" hidden="1" outlineLevel="2" x14ac:dyDescent="0.35">
      <c r="A7164" t="s">
        <v>3056</v>
      </c>
      <c r="B7164" s="1">
        <v>45722</v>
      </c>
      <c r="C7164" t="str">
        <f>"153"</f>
        <v>153</v>
      </c>
      <c r="F7164" t="str">
        <f t="shared" si="256"/>
        <v>63170000</v>
      </c>
      <c r="H7164" t="s">
        <v>3067</v>
      </c>
      <c r="J7164" s="4">
        <v>2380</v>
      </c>
    </row>
    <row r="7165" spans="1:11" hidden="1" outlineLevel="2" x14ac:dyDescent="0.35">
      <c r="A7165" t="s">
        <v>3056</v>
      </c>
      <c r="B7165" s="1">
        <v>45722</v>
      </c>
      <c r="C7165" t="str">
        <f>"155"</f>
        <v>155</v>
      </c>
      <c r="F7165" t="str">
        <f t="shared" si="256"/>
        <v>63170000</v>
      </c>
      <c r="H7165" t="s">
        <v>3068</v>
      </c>
      <c r="J7165" s="4">
        <v>1318</v>
      </c>
    </row>
    <row r="7166" spans="1:11" hidden="1" outlineLevel="2" x14ac:dyDescent="0.35">
      <c r="A7166" t="s">
        <v>3056</v>
      </c>
      <c r="B7166" s="1">
        <v>45726</v>
      </c>
      <c r="C7166" t="str">
        <f>"157"</f>
        <v>157</v>
      </c>
      <c r="F7166" t="str">
        <f t="shared" si="256"/>
        <v>63170000</v>
      </c>
      <c r="H7166" t="s">
        <v>3071</v>
      </c>
      <c r="J7166" s="4">
        <v>25500</v>
      </c>
    </row>
    <row r="7167" spans="1:11" hidden="1" outlineLevel="2" x14ac:dyDescent="0.35">
      <c r="A7167" t="s">
        <v>3056</v>
      </c>
      <c r="B7167" s="1">
        <v>45726</v>
      </c>
      <c r="C7167" t="str">
        <f>"158"</f>
        <v>158</v>
      </c>
      <c r="F7167" t="str">
        <f t="shared" si="256"/>
        <v>63170000</v>
      </c>
      <c r="H7167" t="s">
        <v>3072</v>
      </c>
      <c r="J7167" s="4">
        <v>12750</v>
      </c>
    </row>
    <row r="7168" spans="1:11" hidden="1" outlineLevel="2" x14ac:dyDescent="0.35">
      <c r="A7168" t="s">
        <v>3056</v>
      </c>
      <c r="B7168" s="1">
        <v>45726</v>
      </c>
      <c r="C7168" t="str">
        <f>"159"</f>
        <v>159</v>
      </c>
      <c r="F7168" t="str">
        <f t="shared" si="256"/>
        <v>63170000</v>
      </c>
      <c r="H7168" t="s">
        <v>3073</v>
      </c>
      <c r="J7168" s="4">
        <v>926</v>
      </c>
    </row>
    <row r="7169" spans="1:10" hidden="1" outlineLevel="2" x14ac:dyDescent="0.35">
      <c r="A7169" t="s">
        <v>3056</v>
      </c>
      <c r="B7169" s="1">
        <v>45726</v>
      </c>
      <c r="C7169" t="str">
        <f>"160"</f>
        <v>160</v>
      </c>
      <c r="F7169" t="str">
        <f t="shared" si="256"/>
        <v>63170000</v>
      </c>
      <c r="H7169" t="s">
        <v>3074</v>
      </c>
      <c r="J7169" s="4">
        <v>29711</v>
      </c>
    </row>
    <row r="7170" spans="1:10" hidden="1" outlineLevel="2" x14ac:dyDescent="0.35">
      <c r="A7170" t="s">
        <v>3056</v>
      </c>
      <c r="B7170" s="1">
        <v>45727</v>
      </c>
      <c r="C7170" t="str">
        <f>"161"</f>
        <v>161</v>
      </c>
      <c r="F7170" t="str">
        <f t="shared" si="256"/>
        <v>63170000</v>
      </c>
      <c r="H7170" t="s">
        <v>3075</v>
      </c>
      <c r="J7170" s="4">
        <v>1904</v>
      </c>
    </row>
    <row r="7171" spans="1:10" hidden="1" outlineLevel="2" x14ac:dyDescent="0.35">
      <c r="A7171" t="s">
        <v>3056</v>
      </c>
      <c r="B7171" s="1">
        <v>45727</v>
      </c>
      <c r="C7171" t="str">
        <f>"162"</f>
        <v>162</v>
      </c>
      <c r="F7171" t="str">
        <f t="shared" si="256"/>
        <v>63170000</v>
      </c>
      <c r="H7171" t="s">
        <v>3076</v>
      </c>
      <c r="J7171" s="4">
        <v>2717</v>
      </c>
    </row>
    <row r="7172" spans="1:10" hidden="1" outlineLevel="2" x14ac:dyDescent="0.35">
      <c r="A7172" t="s">
        <v>3056</v>
      </c>
      <c r="B7172" s="1">
        <v>45728</v>
      </c>
      <c r="C7172" t="str">
        <f>"163"</f>
        <v>163</v>
      </c>
      <c r="F7172" t="str">
        <f t="shared" si="256"/>
        <v>63170000</v>
      </c>
      <c r="H7172" t="s">
        <v>3077</v>
      </c>
      <c r="J7172" s="4">
        <v>1912</v>
      </c>
    </row>
    <row r="7173" spans="1:10" hidden="1" outlineLevel="2" x14ac:dyDescent="0.35">
      <c r="A7173" t="s">
        <v>3056</v>
      </c>
      <c r="B7173" s="1">
        <v>45729</v>
      </c>
      <c r="C7173" t="str">
        <f>"164"</f>
        <v>164</v>
      </c>
      <c r="F7173" t="str">
        <f t="shared" si="256"/>
        <v>63170000</v>
      </c>
      <c r="H7173" t="s">
        <v>3078</v>
      </c>
      <c r="J7173" s="4">
        <v>612</v>
      </c>
    </row>
    <row r="7174" spans="1:10" hidden="1" outlineLevel="2" x14ac:dyDescent="0.35">
      <c r="A7174" t="s">
        <v>3056</v>
      </c>
      <c r="B7174" s="1">
        <v>45729</v>
      </c>
      <c r="C7174" t="str">
        <f>"165"</f>
        <v>165</v>
      </c>
      <c r="F7174" t="str">
        <f t="shared" si="256"/>
        <v>63170000</v>
      </c>
      <c r="H7174" t="s">
        <v>3079</v>
      </c>
      <c r="J7174" s="4">
        <v>298</v>
      </c>
    </row>
    <row r="7175" spans="1:10" hidden="1" outlineLevel="2" x14ac:dyDescent="0.35">
      <c r="A7175" t="s">
        <v>3056</v>
      </c>
      <c r="B7175" s="1">
        <v>45730</v>
      </c>
      <c r="C7175" t="str">
        <f>"166"</f>
        <v>166</v>
      </c>
      <c r="F7175" t="str">
        <f t="shared" si="256"/>
        <v>63170000</v>
      </c>
      <c r="H7175" t="s">
        <v>3081</v>
      </c>
      <c r="J7175" s="4">
        <v>2720</v>
      </c>
    </row>
    <row r="7176" spans="1:10" hidden="1" outlineLevel="2" x14ac:dyDescent="0.35">
      <c r="A7176" t="s">
        <v>3056</v>
      </c>
      <c r="B7176" s="1">
        <v>45730</v>
      </c>
      <c r="C7176" t="str">
        <f>"167"</f>
        <v>167</v>
      </c>
      <c r="F7176" t="str">
        <f t="shared" si="256"/>
        <v>63170000</v>
      </c>
      <c r="H7176" t="s">
        <v>3082</v>
      </c>
      <c r="J7176" s="4">
        <v>892</v>
      </c>
    </row>
    <row r="7177" spans="1:10" hidden="1" outlineLevel="2" x14ac:dyDescent="0.35">
      <c r="A7177" t="s">
        <v>3056</v>
      </c>
      <c r="B7177" s="1">
        <v>45730</v>
      </c>
      <c r="C7177" t="str">
        <f>"168"</f>
        <v>168</v>
      </c>
      <c r="F7177" t="str">
        <f t="shared" si="256"/>
        <v>63170000</v>
      </c>
      <c r="H7177" t="s">
        <v>3083</v>
      </c>
      <c r="J7177" s="4">
        <v>2626</v>
      </c>
    </row>
    <row r="7178" spans="1:10" hidden="1" outlineLevel="2" x14ac:dyDescent="0.35">
      <c r="A7178" t="s">
        <v>3056</v>
      </c>
      <c r="B7178" s="1">
        <v>45730</v>
      </c>
      <c r="C7178" t="str">
        <f>"169"</f>
        <v>169</v>
      </c>
      <c r="F7178" t="str">
        <f t="shared" si="256"/>
        <v>63170000</v>
      </c>
      <c r="H7178" t="s">
        <v>3084</v>
      </c>
      <c r="J7178" s="4">
        <v>1020</v>
      </c>
    </row>
    <row r="7179" spans="1:10" hidden="1" outlineLevel="2" x14ac:dyDescent="0.35">
      <c r="A7179" t="s">
        <v>3056</v>
      </c>
      <c r="B7179" s="1">
        <v>45730</v>
      </c>
      <c r="C7179" t="str">
        <f>"170"</f>
        <v>170</v>
      </c>
      <c r="F7179" t="str">
        <f t="shared" si="256"/>
        <v>63170000</v>
      </c>
      <c r="H7179" t="s">
        <v>3085</v>
      </c>
      <c r="J7179" s="4">
        <v>850</v>
      </c>
    </row>
    <row r="7180" spans="1:10" hidden="1" outlineLevel="2" x14ac:dyDescent="0.35">
      <c r="A7180" t="s">
        <v>3056</v>
      </c>
      <c r="B7180" s="1">
        <v>45735</v>
      </c>
      <c r="C7180" t="str">
        <f>"171"</f>
        <v>171</v>
      </c>
      <c r="F7180" t="str">
        <f t="shared" si="256"/>
        <v>63170000</v>
      </c>
      <c r="H7180" t="s">
        <v>3086</v>
      </c>
      <c r="J7180" s="4">
        <v>4250</v>
      </c>
    </row>
    <row r="7181" spans="1:10" hidden="1" outlineLevel="2" x14ac:dyDescent="0.35">
      <c r="A7181" t="s">
        <v>3056</v>
      </c>
      <c r="B7181" s="1">
        <v>45735</v>
      </c>
      <c r="C7181" t="str">
        <f>"172"</f>
        <v>172</v>
      </c>
      <c r="F7181" t="str">
        <f t="shared" si="256"/>
        <v>63170000</v>
      </c>
      <c r="H7181" t="s">
        <v>3087</v>
      </c>
      <c r="J7181" s="4">
        <v>8500</v>
      </c>
    </row>
    <row r="7182" spans="1:10" hidden="1" outlineLevel="2" x14ac:dyDescent="0.35">
      <c r="A7182" t="s">
        <v>3056</v>
      </c>
      <c r="B7182" s="1">
        <v>45736</v>
      </c>
      <c r="C7182" t="str">
        <f>"183"</f>
        <v>183</v>
      </c>
      <c r="F7182" t="str">
        <f t="shared" si="256"/>
        <v>63170000</v>
      </c>
      <c r="H7182" t="s">
        <v>3088</v>
      </c>
      <c r="J7182" s="4">
        <v>382</v>
      </c>
    </row>
    <row r="7183" spans="1:10" hidden="1" outlineLevel="2" x14ac:dyDescent="0.35">
      <c r="A7183" t="s">
        <v>3056</v>
      </c>
      <c r="B7183" s="1">
        <v>45736</v>
      </c>
      <c r="C7183" t="str">
        <f>"184"</f>
        <v>184</v>
      </c>
      <c r="F7183" t="str">
        <f t="shared" si="256"/>
        <v>63170000</v>
      </c>
      <c r="H7183" t="s">
        <v>3089</v>
      </c>
      <c r="J7183" s="4">
        <v>382</v>
      </c>
    </row>
    <row r="7184" spans="1:10" hidden="1" outlineLevel="2" x14ac:dyDescent="0.35">
      <c r="A7184" t="s">
        <v>3056</v>
      </c>
      <c r="B7184" s="1">
        <v>45736</v>
      </c>
      <c r="C7184" t="str">
        <f>"185"</f>
        <v>185</v>
      </c>
      <c r="F7184" t="str">
        <f t="shared" si="256"/>
        <v>63170000</v>
      </c>
      <c r="H7184" t="s">
        <v>3090</v>
      </c>
      <c r="J7184" s="4">
        <v>1020</v>
      </c>
    </row>
    <row r="7185" spans="1:10" hidden="1" outlineLevel="2" x14ac:dyDescent="0.35">
      <c r="A7185" t="s">
        <v>3056</v>
      </c>
      <c r="B7185" s="1">
        <v>45736</v>
      </c>
      <c r="C7185" t="str">
        <f>"186"</f>
        <v>186</v>
      </c>
      <c r="F7185" t="str">
        <f t="shared" si="256"/>
        <v>63170000</v>
      </c>
      <c r="H7185" t="s">
        <v>3091</v>
      </c>
      <c r="J7185" s="4">
        <v>1828</v>
      </c>
    </row>
    <row r="7186" spans="1:10" hidden="1" outlineLevel="2" x14ac:dyDescent="0.35">
      <c r="A7186" t="s">
        <v>3056</v>
      </c>
      <c r="B7186" s="1">
        <v>45736</v>
      </c>
      <c r="C7186" t="str">
        <f>"187"</f>
        <v>187</v>
      </c>
      <c r="F7186" t="str">
        <f t="shared" si="256"/>
        <v>63170000</v>
      </c>
      <c r="H7186" t="s">
        <v>3092</v>
      </c>
      <c r="J7186" s="4">
        <v>425</v>
      </c>
    </row>
    <row r="7187" spans="1:10" hidden="1" outlineLevel="2" x14ac:dyDescent="0.35">
      <c r="A7187" t="s">
        <v>3056</v>
      </c>
      <c r="B7187" s="1">
        <v>45737</v>
      </c>
      <c r="C7187" t="str">
        <f>"188"</f>
        <v>188</v>
      </c>
      <c r="F7187" t="str">
        <f t="shared" si="256"/>
        <v>63170000</v>
      </c>
      <c r="H7187" t="s">
        <v>3094</v>
      </c>
      <c r="J7187" s="4">
        <v>2550</v>
      </c>
    </row>
    <row r="7188" spans="1:10" hidden="1" outlineLevel="2" x14ac:dyDescent="0.35">
      <c r="A7188" t="s">
        <v>3056</v>
      </c>
      <c r="B7188" s="1">
        <v>45737</v>
      </c>
      <c r="C7188" t="str">
        <f>"189"</f>
        <v>189</v>
      </c>
      <c r="F7188" t="str">
        <f t="shared" si="256"/>
        <v>63170000</v>
      </c>
      <c r="H7188" t="s">
        <v>3087</v>
      </c>
      <c r="J7188" s="4">
        <v>8500</v>
      </c>
    </row>
    <row r="7189" spans="1:10" hidden="1" outlineLevel="2" x14ac:dyDescent="0.35">
      <c r="A7189" t="s">
        <v>3056</v>
      </c>
      <c r="B7189" s="1">
        <v>45737</v>
      </c>
      <c r="C7189" t="str">
        <f>"190"</f>
        <v>190</v>
      </c>
      <c r="F7189" t="str">
        <f t="shared" si="256"/>
        <v>63170000</v>
      </c>
      <c r="H7189" t="s">
        <v>3095</v>
      </c>
      <c r="J7189" s="4">
        <v>114082</v>
      </c>
    </row>
    <row r="7190" spans="1:10" hidden="1" outlineLevel="2" x14ac:dyDescent="0.35">
      <c r="A7190" t="s">
        <v>3056</v>
      </c>
      <c r="B7190" s="1">
        <v>45740</v>
      </c>
      <c r="C7190" t="str">
        <f>"191"</f>
        <v>191</v>
      </c>
      <c r="F7190" t="str">
        <f t="shared" si="256"/>
        <v>63170000</v>
      </c>
      <c r="H7190" t="s">
        <v>3096</v>
      </c>
      <c r="J7190" s="4">
        <v>2550</v>
      </c>
    </row>
    <row r="7191" spans="1:10" hidden="1" outlineLevel="2" x14ac:dyDescent="0.35">
      <c r="A7191" t="s">
        <v>3056</v>
      </c>
      <c r="B7191" s="1">
        <v>45740</v>
      </c>
      <c r="C7191" t="str">
        <f>"193"</f>
        <v>193</v>
      </c>
      <c r="F7191" t="str">
        <f t="shared" si="256"/>
        <v>63170000</v>
      </c>
      <c r="H7191" t="s">
        <v>3098</v>
      </c>
      <c r="J7191" s="4">
        <v>1232</v>
      </c>
    </row>
    <row r="7192" spans="1:10" hidden="1" outlineLevel="2" x14ac:dyDescent="0.35">
      <c r="A7192" t="s">
        <v>3056</v>
      </c>
      <c r="B7192" s="1">
        <v>45740</v>
      </c>
      <c r="C7192" t="str">
        <f>"194"</f>
        <v>194</v>
      </c>
      <c r="F7192" t="str">
        <f t="shared" si="256"/>
        <v>63170000</v>
      </c>
      <c r="H7192" t="s">
        <v>3101</v>
      </c>
      <c r="J7192" s="4">
        <v>382</v>
      </c>
    </row>
    <row r="7193" spans="1:10" hidden="1" outlineLevel="2" x14ac:dyDescent="0.35">
      <c r="A7193" t="s">
        <v>3056</v>
      </c>
      <c r="B7193" s="1">
        <v>45740</v>
      </c>
      <c r="C7193" t="str">
        <f>"195"</f>
        <v>195</v>
      </c>
      <c r="F7193" t="str">
        <f t="shared" si="256"/>
        <v>63170000</v>
      </c>
      <c r="H7193" t="s">
        <v>3102</v>
      </c>
      <c r="J7193" s="4">
        <v>382</v>
      </c>
    </row>
    <row r="7194" spans="1:10" hidden="1" outlineLevel="2" x14ac:dyDescent="0.35">
      <c r="A7194" t="s">
        <v>3056</v>
      </c>
      <c r="B7194" s="1">
        <v>45740</v>
      </c>
      <c r="C7194" t="str">
        <f>"196"</f>
        <v>196</v>
      </c>
      <c r="F7194" t="str">
        <f t="shared" si="256"/>
        <v>63170000</v>
      </c>
      <c r="H7194" t="s">
        <v>3103</v>
      </c>
      <c r="J7194" s="4">
        <v>1275</v>
      </c>
    </row>
    <row r="7195" spans="1:10" hidden="1" outlineLevel="2" x14ac:dyDescent="0.35">
      <c r="A7195" t="s">
        <v>3056</v>
      </c>
      <c r="B7195" s="1">
        <v>45741</v>
      </c>
      <c r="C7195" t="str">
        <f>"197"</f>
        <v>197</v>
      </c>
      <c r="F7195" t="str">
        <f t="shared" si="256"/>
        <v>63170000</v>
      </c>
      <c r="H7195" t="s">
        <v>3107</v>
      </c>
      <c r="J7195" s="4">
        <v>3655</v>
      </c>
    </row>
    <row r="7196" spans="1:10" hidden="1" outlineLevel="2" x14ac:dyDescent="0.35">
      <c r="A7196" t="s">
        <v>3056</v>
      </c>
      <c r="B7196" s="1">
        <v>45742</v>
      </c>
      <c r="C7196" t="str">
        <f>"198"</f>
        <v>198</v>
      </c>
      <c r="F7196" t="str">
        <f t="shared" si="256"/>
        <v>63170000</v>
      </c>
      <c r="H7196" t="s">
        <v>3109</v>
      </c>
      <c r="J7196" s="4">
        <v>17000</v>
      </c>
    </row>
    <row r="7197" spans="1:10" hidden="1" outlineLevel="2" x14ac:dyDescent="0.35">
      <c r="A7197" t="s">
        <v>3056</v>
      </c>
      <c r="B7197" s="1">
        <v>45742</v>
      </c>
      <c r="C7197" t="str">
        <f>"199"</f>
        <v>199</v>
      </c>
      <c r="F7197" t="str">
        <f t="shared" si="256"/>
        <v>63170000</v>
      </c>
      <c r="H7197" t="s">
        <v>3110</v>
      </c>
      <c r="J7197" s="4">
        <v>2550</v>
      </c>
    </row>
    <row r="7198" spans="1:10" hidden="1" outlineLevel="2" x14ac:dyDescent="0.35">
      <c r="A7198" t="s">
        <v>3056</v>
      </c>
      <c r="B7198" s="1">
        <v>45744</v>
      </c>
      <c r="C7198" t="str">
        <f>"200"</f>
        <v>200</v>
      </c>
      <c r="F7198" t="str">
        <f t="shared" si="256"/>
        <v>63170000</v>
      </c>
      <c r="H7198" t="s">
        <v>3111</v>
      </c>
      <c r="J7198" s="4">
        <v>2125</v>
      </c>
    </row>
    <row r="7199" spans="1:10" hidden="1" outlineLevel="2" x14ac:dyDescent="0.35">
      <c r="A7199" t="s">
        <v>3056</v>
      </c>
      <c r="B7199" s="1">
        <v>45744</v>
      </c>
      <c r="C7199" t="str">
        <f>"201"</f>
        <v>201</v>
      </c>
      <c r="F7199" t="str">
        <f t="shared" si="256"/>
        <v>63170000</v>
      </c>
      <c r="H7199" t="s">
        <v>3112</v>
      </c>
      <c r="J7199" s="4">
        <v>163863</v>
      </c>
    </row>
    <row r="7200" spans="1:10" hidden="1" outlineLevel="2" x14ac:dyDescent="0.35">
      <c r="A7200" t="s">
        <v>3056</v>
      </c>
      <c r="B7200" s="1">
        <v>45744</v>
      </c>
      <c r="C7200" t="str">
        <f>"202"</f>
        <v>202</v>
      </c>
      <c r="F7200" t="str">
        <f t="shared" si="256"/>
        <v>63170000</v>
      </c>
      <c r="H7200" t="s">
        <v>3113</v>
      </c>
      <c r="J7200" s="4">
        <v>19267</v>
      </c>
    </row>
    <row r="7201" spans="1:11" outlineLevel="1" collapsed="1" x14ac:dyDescent="0.35">
      <c r="B7201" s="1"/>
      <c r="F7201" s="3" t="s">
        <v>6651</v>
      </c>
      <c r="J7201" s="4">
        <f>SUBTOTAL(9,J7155:J7200)</f>
        <v>596289</v>
      </c>
      <c r="K7201" s="4">
        <f>SUBTOTAL(9,K7155:K7200)</f>
        <v>0</v>
      </c>
    </row>
    <row r="7202" spans="1:11" hidden="1" outlineLevel="2" x14ac:dyDescent="0.35">
      <c r="A7202" t="s">
        <v>1790</v>
      </c>
      <c r="B7202" s="1">
        <v>45720</v>
      </c>
      <c r="C7202" t="str">
        <f>"166"</f>
        <v>166</v>
      </c>
      <c r="F7202" t="str">
        <f t="shared" ref="F7202:F7233" si="257">"63180000"</f>
        <v>63180000</v>
      </c>
      <c r="H7202" t="s">
        <v>58</v>
      </c>
      <c r="J7202" s="4">
        <v>275</v>
      </c>
    </row>
    <row r="7203" spans="1:11" hidden="1" outlineLevel="2" x14ac:dyDescent="0.35">
      <c r="A7203" t="s">
        <v>1790</v>
      </c>
      <c r="B7203" s="1">
        <v>45720</v>
      </c>
      <c r="C7203" t="str">
        <f>"177"</f>
        <v>177</v>
      </c>
      <c r="F7203" t="str">
        <f t="shared" si="257"/>
        <v>63180000</v>
      </c>
      <c r="H7203" t="s">
        <v>58</v>
      </c>
      <c r="J7203" s="4">
        <v>275</v>
      </c>
    </row>
    <row r="7204" spans="1:11" hidden="1" outlineLevel="2" x14ac:dyDescent="0.35">
      <c r="A7204" t="s">
        <v>1790</v>
      </c>
      <c r="B7204" s="1">
        <v>45720</v>
      </c>
      <c r="C7204" t="str">
        <f>"178"</f>
        <v>178</v>
      </c>
      <c r="F7204" t="str">
        <f t="shared" si="257"/>
        <v>63180000</v>
      </c>
      <c r="H7204" t="s">
        <v>58</v>
      </c>
      <c r="J7204" s="4">
        <v>275</v>
      </c>
    </row>
    <row r="7205" spans="1:11" hidden="1" outlineLevel="2" x14ac:dyDescent="0.35">
      <c r="A7205" t="s">
        <v>1790</v>
      </c>
      <c r="B7205" s="1">
        <v>45720</v>
      </c>
      <c r="C7205" t="str">
        <f>"179"</f>
        <v>179</v>
      </c>
      <c r="F7205" t="str">
        <f t="shared" si="257"/>
        <v>63180000</v>
      </c>
      <c r="H7205" t="s">
        <v>58</v>
      </c>
      <c r="J7205" s="4">
        <v>275</v>
      </c>
    </row>
    <row r="7206" spans="1:11" hidden="1" outlineLevel="2" x14ac:dyDescent="0.35">
      <c r="A7206" t="s">
        <v>1790</v>
      </c>
      <c r="B7206" s="1">
        <v>45720</v>
      </c>
      <c r="C7206" t="str">
        <f>"186"</f>
        <v>186</v>
      </c>
      <c r="F7206" t="str">
        <f t="shared" si="257"/>
        <v>63180000</v>
      </c>
      <c r="H7206" t="s">
        <v>58</v>
      </c>
      <c r="J7206" s="4">
        <v>275</v>
      </c>
    </row>
    <row r="7207" spans="1:11" hidden="1" outlineLevel="2" x14ac:dyDescent="0.35">
      <c r="A7207" t="s">
        <v>1790</v>
      </c>
      <c r="B7207" s="1">
        <v>45721</v>
      </c>
      <c r="C7207" t="str">
        <f>"180"</f>
        <v>180</v>
      </c>
      <c r="F7207" t="str">
        <f t="shared" si="257"/>
        <v>63180000</v>
      </c>
      <c r="H7207" t="s">
        <v>58</v>
      </c>
      <c r="J7207" s="4">
        <v>100</v>
      </c>
    </row>
    <row r="7208" spans="1:11" hidden="1" outlineLevel="2" x14ac:dyDescent="0.35">
      <c r="A7208" t="s">
        <v>1790</v>
      </c>
      <c r="B7208" s="1">
        <v>45721</v>
      </c>
      <c r="C7208" t="str">
        <f>"181"</f>
        <v>181</v>
      </c>
      <c r="F7208" t="str">
        <f t="shared" si="257"/>
        <v>63180000</v>
      </c>
      <c r="H7208" t="s">
        <v>58</v>
      </c>
      <c r="J7208" s="4">
        <v>2200</v>
      </c>
    </row>
    <row r="7209" spans="1:11" hidden="1" outlineLevel="2" x14ac:dyDescent="0.35">
      <c r="A7209" t="s">
        <v>1790</v>
      </c>
      <c r="B7209" s="1">
        <v>45722</v>
      </c>
      <c r="C7209" t="str">
        <f>"169"</f>
        <v>169</v>
      </c>
      <c r="F7209" t="str">
        <f t="shared" si="257"/>
        <v>63180000</v>
      </c>
      <c r="H7209" t="s">
        <v>58</v>
      </c>
      <c r="J7209" s="4">
        <v>4400</v>
      </c>
    </row>
    <row r="7210" spans="1:11" hidden="1" outlineLevel="2" x14ac:dyDescent="0.35">
      <c r="A7210" t="s">
        <v>1790</v>
      </c>
      <c r="B7210" s="1">
        <v>45722</v>
      </c>
      <c r="C7210" t="str">
        <f>"187"</f>
        <v>187</v>
      </c>
      <c r="F7210" t="str">
        <f t="shared" si="257"/>
        <v>63180000</v>
      </c>
      <c r="H7210" t="s">
        <v>58</v>
      </c>
      <c r="J7210" s="4">
        <v>275</v>
      </c>
    </row>
    <row r="7211" spans="1:11" hidden="1" outlineLevel="2" x14ac:dyDescent="0.35">
      <c r="A7211" t="s">
        <v>1790</v>
      </c>
      <c r="B7211" s="1">
        <v>45728</v>
      </c>
      <c r="C7211" t="str">
        <f>"167"</f>
        <v>167</v>
      </c>
      <c r="F7211" t="str">
        <f t="shared" si="257"/>
        <v>63180000</v>
      </c>
      <c r="H7211" t="s">
        <v>58</v>
      </c>
      <c r="J7211" s="4">
        <v>275</v>
      </c>
    </row>
    <row r="7212" spans="1:11" hidden="1" outlineLevel="2" x14ac:dyDescent="0.35">
      <c r="A7212" t="s">
        <v>1790</v>
      </c>
      <c r="B7212" s="1">
        <v>45733</v>
      </c>
      <c r="C7212" t="str">
        <f>"188"</f>
        <v>188</v>
      </c>
      <c r="F7212" t="str">
        <f t="shared" si="257"/>
        <v>63180000</v>
      </c>
      <c r="H7212" t="s">
        <v>58</v>
      </c>
      <c r="J7212" s="4">
        <v>275</v>
      </c>
    </row>
    <row r="7213" spans="1:11" hidden="1" outlineLevel="2" x14ac:dyDescent="0.35">
      <c r="A7213" t="s">
        <v>1790</v>
      </c>
      <c r="B7213" s="1">
        <v>45733</v>
      </c>
      <c r="C7213" t="str">
        <f>"189"</f>
        <v>189</v>
      </c>
      <c r="F7213" t="str">
        <f t="shared" si="257"/>
        <v>63180000</v>
      </c>
      <c r="H7213" t="s">
        <v>58</v>
      </c>
      <c r="J7213" s="4">
        <v>275</v>
      </c>
    </row>
    <row r="7214" spans="1:11" hidden="1" outlineLevel="2" x14ac:dyDescent="0.35">
      <c r="A7214" t="s">
        <v>1790</v>
      </c>
      <c r="B7214" s="1">
        <v>45734</v>
      </c>
      <c r="C7214" t="str">
        <f>"190"</f>
        <v>190</v>
      </c>
      <c r="F7214" t="str">
        <f t="shared" si="257"/>
        <v>63180000</v>
      </c>
      <c r="H7214" t="s">
        <v>58</v>
      </c>
      <c r="J7214" s="4">
        <v>275</v>
      </c>
    </row>
    <row r="7215" spans="1:11" hidden="1" outlineLevel="2" x14ac:dyDescent="0.35">
      <c r="A7215" t="s">
        <v>1790</v>
      </c>
      <c r="B7215" s="1">
        <v>45734</v>
      </c>
      <c r="C7215" t="str">
        <f>"191"</f>
        <v>191</v>
      </c>
      <c r="F7215" t="str">
        <f t="shared" si="257"/>
        <v>63180000</v>
      </c>
      <c r="H7215" t="s">
        <v>58</v>
      </c>
      <c r="J7215" s="4">
        <v>275</v>
      </c>
    </row>
    <row r="7216" spans="1:11" hidden="1" outlineLevel="2" x14ac:dyDescent="0.35">
      <c r="A7216" t="s">
        <v>1790</v>
      </c>
      <c r="B7216" s="1">
        <v>45742</v>
      </c>
      <c r="C7216" t="str">
        <f>"194"</f>
        <v>194</v>
      </c>
      <c r="F7216" t="str">
        <f t="shared" si="257"/>
        <v>63180000</v>
      </c>
      <c r="H7216" t="s">
        <v>58</v>
      </c>
      <c r="J7216" s="4">
        <v>31900</v>
      </c>
    </row>
    <row r="7217" spans="1:10" hidden="1" outlineLevel="2" x14ac:dyDescent="0.35">
      <c r="A7217" t="s">
        <v>1790</v>
      </c>
      <c r="B7217" s="1">
        <v>45742</v>
      </c>
      <c r="C7217" t="str">
        <f>"195"</f>
        <v>195</v>
      </c>
      <c r="F7217" t="str">
        <f t="shared" si="257"/>
        <v>63180000</v>
      </c>
      <c r="H7217" t="s">
        <v>58</v>
      </c>
      <c r="J7217" s="4">
        <v>275</v>
      </c>
    </row>
    <row r="7218" spans="1:10" hidden="1" outlineLevel="2" x14ac:dyDescent="0.35">
      <c r="A7218" t="s">
        <v>1790</v>
      </c>
      <c r="B7218" s="1">
        <v>45744</v>
      </c>
      <c r="C7218" t="str">
        <f>"196"</f>
        <v>196</v>
      </c>
      <c r="F7218" t="str">
        <f t="shared" si="257"/>
        <v>63180000</v>
      </c>
      <c r="H7218" t="s">
        <v>58</v>
      </c>
      <c r="J7218" s="4">
        <v>16638</v>
      </c>
    </row>
    <row r="7219" spans="1:10" hidden="1" outlineLevel="2" x14ac:dyDescent="0.35">
      <c r="A7219" t="s">
        <v>1831</v>
      </c>
      <c r="B7219" s="1">
        <v>45730</v>
      </c>
      <c r="C7219" t="str">
        <f>"106"</f>
        <v>106</v>
      </c>
      <c r="F7219" t="str">
        <f t="shared" si="257"/>
        <v>63180000</v>
      </c>
      <c r="H7219" t="s">
        <v>1851</v>
      </c>
      <c r="J7219" s="4">
        <v>71212</v>
      </c>
    </row>
    <row r="7220" spans="1:10" hidden="1" outlineLevel="2" x14ac:dyDescent="0.35">
      <c r="A7220" t="s">
        <v>1831</v>
      </c>
      <c r="B7220" s="1">
        <v>45730</v>
      </c>
      <c r="C7220" t="str">
        <f>"107"</f>
        <v>107</v>
      </c>
      <c r="F7220" t="str">
        <f t="shared" si="257"/>
        <v>63180000</v>
      </c>
      <c r="H7220" t="s">
        <v>1851</v>
      </c>
      <c r="J7220" s="4">
        <v>61996</v>
      </c>
    </row>
    <row r="7221" spans="1:10" hidden="1" outlineLevel="2" x14ac:dyDescent="0.35">
      <c r="A7221" t="s">
        <v>1831</v>
      </c>
      <c r="B7221" s="1">
        <v>45736</v>
      </c>
      <c r="C7221" t="str">
        <f>"105"</f>
        <v>105</v>
      </c>
      <c r="F7221" t="str">
        <f t="shared" si="257"/>
        <v>63180000</v>
      </c>
      <c r="H7221" t="s">
        <v>1869</v>
      </c>
      <c r="J7221" s="4">
        <v>4004</v>
      </c>
    </row>
    <row r="7222" spans="1:10" hidden="1" outlineLevel="2" x14ac:dyDescent="0.35">
      <c r="A7222" t="s">
        <v>1831</v>
      </c>
      <c r="B7222" s="1">
        <v>45744</v>
      </c>
      <c r="C7222" t="str">
        <f>"110"</f>
        <v>110</v>
      </c>
      <c r="F7222" t="str">
        <f t="shared" si="257"/>
        <v>63180000</v>
      </c>
      <c r="H7222" t="s">
        <v>58</v>
      </c>
      <c r="J7222" s="4">
        <v>11000</v>
      </c>
    </row>
    <row r="7223" spans="1:10" hidden="1" outlineLevel="2" x14ac:dyDescent="0.35">
      <c r="A7223" t="s">
        <v>1831</v>
      </c>
      <c r="B7223" s="1">
        <v>45744</v>
      </c>
      <c r="C7223" t="str">
        <f>"111"</f>
        <v>111</v>
      </c>
      <c r="F7223" t="str">
        <f t="shared" si="257"/>
        <v>63180000</v>
      </c>
      <c r="H7223" t="s">
        <v>1871</v>
      </c>
      <c r="J7223" s="4">
        <v>19800</v>
      </c>
    </row>
    <row r="7224" spans="1:10" hidden="1" outlineLevel="2" x14ac:dyDescent="0.35">
      <c r="A7224" t="s">
        <v>1831</v>
      </c>
      <c r="B7224" s="1">
        <v>45744</v>
      </c>
      <c r="C7224" t="str">
        <f>"112"</f>
        <v>112</v>
      </c>
      <c r="F7224" t="str">
        <f t="shared" si="257"/>
        <v>63180000</v>
      </c>
      <c r="H7224" t="s">
        <v>58</v>
      </c>
      <c r="J7224" s="4">
        <v>27748</v>
      </c>
    </row>
    <row r="7225" spans="1:10" hidden="1" outlineLevel="2" x14ac:dyDescent="0.35">
      <c r="A7225" t="s">
        <v>1873</v>
      </c>
      <c r="B7225" s="1">
        <v>45730</v>
      </c>
      <c r="C7225" t="str">
        <f>"60"</f>
        <v>60</v>
      </c>
      <c r="F7225" t="str">
        <f t="shared" si="257"/>
        <v>63180000</v>
      </c>
      <c r="H7225" t="s">
        <v>58</v>
      </c>
      <c r="J7225" s="4">
        <v>2200</v>
      </c>
    </row>
    <row r="7226" spans="1:10" hidden="1" outlineLevel="2" x14ac:dyDescent="0.35">
      <c r="A7226" t="s">
        <v>1873</v>
      </c>
      <c r="B7226" s="1">
        <v>45737</v>
      </c>
      <c r="C7226" t="str">
        <f>"66"</f>
        <v>66</v>
      </c>
      <c r="F7226" t="str">
        <f t="shared" si="257"/>
        <v>63180000</v>
      </c>
      <c r="H7226" t="s">
        <v>1851</v>
      </c>
      <c r="J7226" s="4">
        <v>2200</v>
      </c>
    </row>
    <row r="7227" spans="1:10" hidden="1" outlineLevel="2" x14ac:dyDescent="0.35">
      <c r="A7227" t="s">
        <v>1873</v>
      </c>
      <c r="B7227" s="1">
        <v>45747</v>
      </c>
      <c r="C7227" t="str">
        <f>"68"</f>
        <v>68</v>
      </c>
      <c r="F7227" t="str">
        <f t="shared" si="257"/>
        <v>63180000</v>
      </c>
      <c r="H7227" t="s">
        <v>58</v>
      </c>
      <c r="J7227" s="4">
        <v>20000</v>
      </c>
    </row>
    <row r="7228" spans="1:10" hidden="1" outlineLevel="2" x14ac:dyDescent="0.35">
      <c r="A7228" t="s">
        <v>1873</v>
      </c>
      <c r="B7228" s="1">
        <v>45747</v>
      </c>
      <c r="C7228" t="str">
        <f>"69"</f>
        <v>69</v>
      </c>
      <c r="F7228" t="str">
        <f t="shared" si="257"/>
        <v>63180000</v>
      </c>
      <c r="H7228" t="s">
        <v>58</v>
      </c>
      <c r="J7228" s="4">
        <v>2000</v>
      </c>
    </row>
    <row r="7229" spans="1:10" hidden="1" outlineLevel="2" x14ac:dyDescent="0.35">
      <c r="A7229" t="s">
        <v>1873</v>
      </c>
      <c r="B7229" s="1">
        <v>45747</v>
      </c>
      <c r="C7229" t="str">
        <f>"70"</f>
        <v>70</v>
      </c>
      <c r="F7229" t="str">
        <f t="shared" si="257"/>
        <v>63180000</v>
      </c>
      <c r="H7229" t="s">
        <v>58</v>
      </c>
      <c r="J7229" s="4">
        <v>46349</v>
      </c>
    </row>
    <row r="7230" spans="1:10" hidden="1" outlineLevel="2" x14ac:dyDescent="0.35">
      <c r="A7230" t="s">
        <v>1892</v>
      </c>
      <c r="B7230" s="1">
        <v>45727</v>
      </c>
      <c r="C7230" t="str">
        <f>"55"</f>
        <v>55</v>
      </c>
      <c r="F7230" t="str">
        <f t="shared" si="257"/>
        <v>63180000</v>
      </c>
      <c r="H7230" t="s">
        <v>58</v>
      </c>
      <c r="J7230" s="4">
        <v>11000</v>
      </c>
    </row>
    <row r="7231" spans="1:10" hidden="1" outlineLevel="2" x14ac:dyDescent="0.35">
      <c r="A7231" t="s">
        <v>1892</v>
      </c>
      <c r="B7231" s="1">
        <v>45727</v>
      </c>
      <c r="C7231" t="str">
        <f>"56"</f>
        <v>56</v>
      </c>
      <c r="F7231" t="str">
        <f t="shared" si="257"/>
        <v>63180000</v>
      </c>
      <c r="H7231" t="s">
        <v>58</v>
      </c>
      <c r="J7231" s="4">
        <v>24915</v>
      </c>
    </row>
    <row r="7232" spans="1:10" hidden="1" outlineLevel="2" x14ac:dyDescent="0.35">
      <c r="A7232" t="s">
        <v>1892</v>
      </c>
      <c r="B7232" s="1">
        <v>45727</v>
      </c>
      <c r="C7232" t="str">
        <f>"57"</f>
        <v>57</v>
      </c>
      <c r="F7232" t="str">
        <f t="shared" si="257"/>
        <v>63180000</v>
      </c>
      <c r="H7232" t="s">
        <v>58</v>
      </c>
      <c r="J7232" s="4">
        <v>11000</v>
      </c>
    </row>
    <row r="7233" spans="1:10" hidden="1" outlineLevel="2" x14ac:dyDescent="0.35">
      <c r="A7233" t="s">
        <v>1892</v>
      </c>
      <c r="B7233" s="1">
        <v>45728</v>
      </c>
      <c r="C7233" t="str">
        <f>"58"</f>
        <v>58</v>
      </c>
      <c r="F7233" t="str">
        <f t="shared" si="257"/>
        <v>63180000</v>
      </c>
      <c r="H7233" t="s">
        <v>58</v>
      </c>
      <c r="J7233" s="4">
        <v>11000</v>
      </c>
    </row>
    <row r="7234" spans="1:10" hidden="1" outlineLevel="2" x14ac:dyDescent="0.35">
      <c r="A7234" t="s">
        <v>1892</v>
      </c>
      <c r="B7234" s="1">
        <v>45733</v>
      </c>
      <c r="C7234" t="str">
        <f>"61"</f>
        <v>61</v>
      </c>
      <c r="F7234" t="str">
        <f t="shared" ref="F7234:F7264" si="258">"63180000"</f>
        <v>63180000</v>
      </c>
      <c r="H7234" t="s">
        <v>58</v>
      </c>
      <c r="J7234" s="4">
        <v>5095</v>
      </c>
    </row>
    <row r="7235" spans="1:10" hidden="1" outlineLevel="2" x14ac:dyDescent="0.35">
      <c r="A7235" t="s">
        <v>1892</v>
      </c>
      <c r="B7235" s="1">
        <v>45733</v>
      </c>
      <c r="C7235" t="str">
        <f>"62"</f>
        <v>62</v>
      </c>
      <c r="F7235" t="str">
        <f t="shared" si="258"/>
        <v>63180000</v>
      </c>
      <c r="H7235" t="s">
        <v>58</v>
      </c>
      <c r="J7235" s="4">
        <v>25000</v>
      </c>
    </row>
    <row r="7236" spans="1:10" hidden="1" outlineLevel="2" x14ac:dyDescent="0.35">
      <c r="A7236" t="s">
        <v>1892</v>
      </c>
      <c r="B7236" s="1">
        <v>45744</v>
      </c>
      <c r="C7236" t="str">
        <f>"66"</f>
        <v>66</v>
      </c>
      <c r="F7236" t="str">
        <f t="shared" si="258"/>
        <v>63180000</v>
      </c>
      <c r="H7236" t="s">
        <v>58</v>
      </c>
      <c r="J7236" s="4">
        <v>234007</v>
      </c>
    </row>
    <row r="7237" spans="1:10" hidden="1" outlineLevel="2" x14ac:dyDescent="0.35">
      <c r="A7237" t="s">
        <v>1892</v>
      </c>
      <c r="B7237" s="1">
        <v>45744</v>
      </c>
      <c r="C7237" t="str">
        <f>"67"</f>
        <v>67</v>
      </c>
      <c r="F7237" t="str">
        <f t="shared" si="258"/>
        <v>63180000</v>
      </c>
      <c r="H7237" t="s">
        <v>58</v>
      </c>
      <c r="J7237" s="4">
        <v>39627</v>
      </c>
    </row>
    <row r="7238" spans="1:10" hidden="1" outlineLevel="2" x14ac:dyDescent="0.35">
      <c r="A7238" t="s">
        <v>1892</v>
      </c>
      <c r="B7238" s="1">
        <v>45744</v>
      </c>
      <c r="C7238" t="str">
        <f>"68"</f>
        <v>68</v>
      </c>
      <c r="F7238" t="str">
        <f t="shared" si="258"/>
        <v>63180000</v>
      </c>
      <c r="H7238" t="s">
        <v>58</v>
      </c>
      <c r="J7238" s="4">
        <v>20000</v>
      </c>
    </row>
    <row r="7239" spans="1:10" hidden="1" outlineLevel="2" x14ac:dyDescent="0.35">
      <c r="A7239" t="s">
        <v>1892</v>
      </c>
      <c r="B7239" s="1">
        <v>45744</v>
      </c>
      <c r="C7239" t="str">
        <f>"69"</f>
        <v>69</v>
      </c>
      <c r="F7239" t="str">
        <f t="shared" si="258"/>
        <v>63180000</v>
      </c>
      <c r="H7239" t="s">
        <v>58</v>
      </c>
      <c r="J7239" s="4">
        <v>21256</v>
      </c>
    </row>
    <row r="7240" spans="1:10" hidden="1" outlineLevel="2" x14ac:dyDescent="0.35">
      <c r="A7240" t="s">
        <v>1911</v>
      </c>
      <c r="B7240" s="1">
        <v>45747</v>
      </c>
      <c r="C7240" t="str">
        <f>"237"</f>
        <v>237</v>
      </c>
      <c r="F7240" t="str">
        <f t="shared" si="258"/>
        <v>63180000</v>
      </c>
      <c r="H7240" t="s">
        <v>58</v>
      </c>
      <c r="J7240" s="4">
        <v>221181</v>
      </c>
    </row>
    <row r="7241" spans="1:10" hidden="1" outlineLevel="2" x14ac:dyDescent="0.35">
      <c r="A7241" t="s">
        <v>1911</v>
      </c>
      <c r="B7241" s="1">
        <v>45747</v>
      </c>
      <c r="C7241" t="str">
        <f>"238"</f>
        <v>238</v>
      </c>
      <c r="F7241" t="str">
        <f t="shared" si="258"/>
        <v>63180000</v>
      </c>
      <c r="H7241" t="s">
        <v>58</v>
      </c>
      <c r="J7241" s="4">
        <v>15000</v>
      </c>
    </row>
    <row r="7242" spans="1:10" hidden="1" outlineLevel="2" x14ac:dyDescent="0.35">
      <c r="A7242" t="s">
        <v>1986</v>
      </c>
      <c r="B7242" s="1">
        <v>45730</v>
      </c>
      <c r="C7242" t="str">
        <f>"68"</f>
        <v>68</v>
      </c>
      <c r="F7242" t="str">
        <f t="shared" si="258"/>
        <v>63180000</v>
      </c>
      <c r="H7242" t="s">
        <v>2004</v>
      </c>
      <c r="J7242" s="4">
        <v>55000</v>
      </c>
    </row>
    <row r="7243" spans="1:10" hidden="1" outlineLevel="2" x14ac:dyDescent="0.35">
      <c r="A7243" t="s">
        <v>1986</v>
      </c>
      <c r="B7243" s="1">
        <v>45735</v>
      </c>
      <c r="C7243" t="str">
        <f>"69"</f>
        <v>69</v>
      </c>
      <c r="F7243" t="str">
        <f t="shared" si="258"/>
        <v>63180000</v>
      </c>
      <c r="H7243" t="s">
        <v>58</v>
      </c>
      <c r="J7243" s="4">
        <v>38500</v>
      </c>
    </row>
    <row r="7244" spans="1:10" hidden="1" outlineLevel="2" x14ac:dyDescent="0.35">
      <c r="A7244" t="s">
        <v>1986</v>
      </c>
      <c r="B7244" s="1">
        <v>45735</v>
      </c>
      <c r="C7244" t="str">
        <f>"70"</f>
        <v>70</v>
      </c>
      <c r="F7244" t="str">
        <f t="shared" si="258"/>
        <v>63180000</v>
      </c>
      <c r="H7244" t="s">
        <v>58</v>
      </c>
      <c r="J7244" s="4">
        <v>38500</v>
      </c>
    </row>
    <row r="7245" spans="1:10" hidden="1" outlineLevel="2" x14ac:dyDescent="0.35">
      <c r="A7245" t="s">
        <v>1986</v>
      </c>
      <c r="B7245" s="1">
        <v>45735</v>
      </c>
      <c r="C7245" t="str">
        <f>"80"</f>
        <v>80</v>
      </c>
      <c r="F7245" t="str">
        <f t="shared" si="258"/>
        <v>63180000</v>
      </c>
      <c r="H7245" t="s">
        <v>1851</v>
      </c>
      <c r="J7245" s="4">
        <v>110000</v>
      </c>
    </row>
    <row r="7246" spans="1:10" hidden="1" outlineLevel="2" x14ac:dyDescent="0.35">
      <c r="A7246" t="s">
        <v>1986</v>
      </c>
      <c r="B7246" s="1">
        <v>45736</v>
      </c>
      <c r="C7246" t="str">
        <f>"71"</f>
        <v>71</v>
      </c>
      <c r="F7246" t="str">
        <f t="shared" si="258"/>
        <v>63180000</v>
      </c>
      <c r="H7246" t="s">
        <v>58</v>
      </c>
      <c r="J7246" s="4">
        <v>55000</v>
      </c>
    </row>
    <row r="7247" spans="1:10" hidden="1" outlineLevel="2" x14ac:dyDescent="0.35">
      <c r="A7247" t="s">
        <v>1986</v>
      </c>
      <c r="B7247" s="1">
        <v>45736</v>
      </c>
      <c r="C7247" t="str">
        <f>"72"</f>
        <v>72</v>
      </c>
      <c r="F7247" t="str">
        <f t="shared" si="258"/>
        <v>63180000</v>
      </c>
      <c r="H7247" t="s">
        <v>58</v>
      </c>
      <c r="J7247" s="4">
        <v>55000</v>
      </c>
    </row>
    <row r="7248" spans="1:10" hidden="1" outlineLevel="2" x14ac:dyDescent="0.35">
      <c r="A7248" t="s">
        <v>1986</v>
      </c>
      <c r="B7248" s="1">
        <v>45744</v>
      </c>
      <c r="C7248" t="str">
        <f>"82"</f>
        <v>82</v>
      </c>
      <c r="F7248" t="str">
        <f t="shared" si="258"/>
        <v>63180000</v>
      </c>
      <c r="H7248" t="s">
        <v>1851</v>
      </c>
      <c r="J7248" s="4">
        <v>16500</v>
      </c>
    </row>
    <row r="7249" spans="1:10" hidden="1" outlineLevel="2" x14ac:dyDescent="0.35">
      <c r="A7249" t="s">
        <v>1986</v>
      </c>
      <c r="B7249" s="1">
        <v>45744</v>
      </c>
      <c r="C7249" t="str">
        <f>"83"</f>
        <v>83</v>
      </c>
      <c r="F7249" t="str">
        <f t="shared" si="258"/>
        <v>63180000</v>
      </c>
      <c r="H7249" t="s">
        <v>1851</v>
      </c>
      <c r="J7249" s="4">
        <v>20000</v>
      </c>
    </row>
    <row r="7250" spans="1:10" hidden="1" outlineLevel="2" x14ac:dyDescent="0.35">
      <c r="A7250" t="s">
        <v>1986</v>
      </c>
      <c r="B7250" s="1">
        <v>45744</v>
      </c>
      <c r="C7250" t="str">
        <f>"84"</f>
        <v>84</v>
      </c>
      <c r="F7250" t="str">
        <f t="shared" si="258"/>
        <v>63180000</v>
      </c>
      <c r="H7250" t="s">
        <v>1851</v>
      </c>
      <c r="J7250" s="4">
        <v>79350</v>
      </c>
    </row>
    <row r="7251" spans="1:10" hidden="1" outlineLevel="2" x14ac:dyDescent="0.35">
      <c r="A7251" t="s">
        <v>1986</v>
      </c>
      <c r="B7251" s="1">
        <v>45744</v>
      </c>
      <c r="C7251" t="str">
        <f>"85"</f>
        <v>85</v>
      </c>
      <c r="F7251" t="str">
        <f t="shared" si="258"/>
        <v>63180000</v>
      </c>
      <c r="H7251" t="s">
        <v>1851</v>
      </c>
      <c r="J7251" s="4">
        <v>2000</v>
      </c>
    </row>
    <row r="7252" spans="1:10" hidden="1" outlineLevel="2" x14ac:dyDescent="0.35">
      <c r="A7252" t="s">
        <v>2337</v>
      </c>
      <c r="B7252" s="1">
        <v>45720</v>
      </c>
      <c r="C7252" t="str">
        <f>"665"</f>
        <v>665</v>
      </c>
      <c r="E7252" t="str">
        <f>"17285"</f>
        <v>17285</v>
      </c>
      <c r="F7252" t="str">
        <f t="shared" si="258"/>
        <v>63180000</v>
      </c>
      <c r="H7252" t="s">
        <v>2369</v>
      </c>
      <c r="J7252" s="4">
        <v>11000</v>
      </c>
    </row>
    <row r="7253" spans="1:10" hidden="1" outlineLevel="2" x14ac:dyDescent="0.35">
      <c r="A7253" t="s">
        <v>2337</v>
      </c>
      <c r="B7253" s="1">
        <v>45735</v>
      </c>
      <c r="C7253" t="str">
        <f>"800"</f>
        <v>800</v>
      </c>
      <c r="E7253" t="str">
        <f>"17456"</f>
        <v>17456</v>
      </c>
      <c r="F7253" t="str">
        <f t="shared" si="258"/>
        <v>63180000</v>
      </c>
      <c r="H7253" t="s">
        <v>2537</v>
      </c>
      <c r="J7253" s="4">
        <v>6721</v>
      </c>
    </row>
    <row r="7254" spans="1:10" hidden="1" outlineLevel="2" x14ac:dyDescent="0.35">
      <c r="A7254" t="s">
        <v>3031</v>
      </c>
      <c r="B7254" s="1">
        <v>45719</v>
      </c>
      <c r="C7254" t="str">
        <f>"52"</f>
        <v>52</v>
      </c>
      <c r="F7254" t="str">
        <f t="shared" si="258"/>
        <v>63180000</v>
      </c>
      <c r="H7254" t="s">
        <v>3034</v>
      </c>
      <c r="J7254" s="4">
        <v>11044</v>
      </c>
    </row>
    <row r="7255" spans="1:10" hidden="1" outlineLevel="2" x14ac:dyDescent="0.35">
      <c r="A7255" t="s">
        <v>3031</v>
      </c>
      <c r="B7255" s="1">
        <v>45719</v>
      </c>
      <c r="C7255" t="str">
        <f>"54"</f>
        <v>54</v>
      </c>
      <c r="F7255" t="str">
        <f t="shared" si="258"/>
        <v>63180000</v>
      </c>
      <c r="H7255" t="s">
        <v>3036</v>
      </c>
      <c r="J7255" s="4">
        <v>8268</v>
      </c>
    </row>
    <row r="7256" spans="1:10" hidden="1" outlineLevel="2" x14ac:dyDescent="0.35">
      <c r="A7256" t="s">
        <v>3031</v>
      </c>
      <c r="B7256" s="1">
        <v>45719</v>
      </c>
      <c r="C7256" t="str">
        <f>"56"</f>
        <v>56</v>
      </c>
      <c r="F7256" t="str">
        <f t="shared" si="258"/>
        <v>63180000</v>
      </c>
      <c r="H7256" t="s">
        <v>3038</v>
      </c>
      <c r="J7256" s="4">
        <v>3058</v>
      </c>
    </row>
    <row r="7257" spans="1:10" hidden="1" outlineLevel="2" x14ac:dyDescent="0.35">
      <c r="A7257" t="s">
        <v>3031</v>
      </c>
      <c r="B7257" s="1">
        <v>45719</v>
      </c>
      <c r="C7257" t="str">
        <f>"58"</f>
        <v>58</v>
      </c>
      <c r="F7257" t="str">
        <f t="shared" si="258"/>
        <v>63180000</v>
      </c>
      <c r="H7257" t="s">
        <v>3040</v>
      </c>
      <c r="J7257" s="4">
        <v>849</v>
      </c>
    </row>
    <row r="7258" spans="1:10" hidden="1" outlineLevel="2" x14ac:dyDescent="0.35">
      <c r="A7258" t="s">
        <v>3031</v>
      </c>
      <c r="B7258" s="1">
        <v>45719</v>
      </c>
      <c r="C7258" t="str">
        <f>"60"</f>
        <v>60</v>
      </c>
      <c r="F7258" t="str">
        <f t="shared" si="258"/>
        <v>63180000</v>
      </c>
      <c r="H7258" t="s">
        <v>3042</v>
      </c>
      <c r="J7258" s="4">
        <v>792</v>
      </c>
    </row>
    <row r="7259" spans="1:10" hidden="1" outlineLevel="2" x14ac:dyDescent="0.35">
      <c r="A7259" t="s">
        <v>3031</v>
      </c>
      <c r="B7259" s="1">
        <v>45719</v>
      </c>
      <c r="C7259" t="str">
        <f>"62"</f>
        <v>62</v>
      </c>
      <c r="F7259" t="str">
        <f t="shared" si="258"/>
        <v>63180000</v>
      </c>
      <c r="H7259" t="s">
        <v>3044</v>
      </c>
      <c r="J7259" s="4">
        <v>565</v>
      </c>
    </row>
    <row r="7260" spans="1:10" hidden="1" outlineLevel="2" x14ac:dyDescent="0.35">
      <c r="A7260" t="s">
        <v>3031</v>
      </c>
      <c r="B7260" s="1">
        <v>45719</v>
      </c>
      <c r="C7260" t="str">
        <f>"64"</f>
        <v>64</v>
      </c>
      <c r="F7260" t="str">
        <f t="shared" si="258"/>
        <v>63180000</v>
      </c>
      <c r="H7260" t="s">
        <v>3046</v>
      </c>
      <c r="J7260" s="4">
        <v>367</v>
      </c>
    </row>
    <row r="7261" spans="1:10" hidden="1" outlineLevel="2" x14ac:dyDescent="0.35">
      <c r="A7261" t="s">
        <v>3031</v>
      </c>
      <c r="B7261" s="1">
        <v>45719</v>
      </c>
      <c r="C7261" t="str">
        <f>"66"</f>
        <v>66</v>
      </c>
      <c r="F7261" t="str">
        <f t="shared" si="258"/>
        <v>63180000</v>
      </c>
      <c r="H7261" t="s">
        <v>3048</v>
      </c>
      <c r="J7261" s="4">
        <v>328</v>
      </c>
    </row>
    <row r="7262" spans="1:10" hidden="1" outlineLevel="2" x14ac:dyDescent="0.35">
      <c r="A7262" t="s">
        <v>3031</v>
      </c>
      <c r="B7262" s="1">
        <v>45719</v>
      </c>
      <c r="C7262" t="str">
        <f>"68"</f>
        <v>68</v>
      </c>
      <c r="F7262" t="str">
        <f t="shared" si="258"/>
        <v>63180000</v>
      </c>
      <c r="H7262" t="s">
        <v>3050</v>
      </c>
      <c r="J7262" s="4">
        <v>282</v>
      </c>
    </row>
    <row r="7263" spans="1:10" hidden="1" outlineLevel="2" x14ac:dyDescent="0.35">
      <c r="A7263" t="s">
        <v>3031</v>
      </c>
      <c r="B7263" s="1">
        <v>45727</v>
      </c>
      <c r="C7263" t="str">
        <f>"70"</f>
        <v>70</v>
      </c>
      <c r="F7263" t="str">
        <f t="shared" si="258"/>
        <v>63180000</v>
      </c>
      <c r="H7263" t="s">
        <v>3052</v>
      </c>
      <c r="J7263" s="4">
        <v>4163</v>
      </c>
    </row>
    <row r="7264" spans="1:10" hidden="1" outlineLevel="2" x14ac:dyDescent="0.35">
      <c r="A7264" t="s">
        <v>3031</v>
      </c>
      <c r="B7264" s="1">
        <v>45728</v>
      </c>
      <c r="C7264" t="str">
        <f>"72"</f>
        <v>72</v>
      </c>
      <c r="F7264" t="str">
        <f t="shared" si="258"/>
        <v>63180000</v>
      </c>
      <c r="H7264" t="s">
        <v>3054</v>
      </c>
      <c r="J7264" s="4">
        <v>19602</v>
      </c>
    </row>
    <row r="7265" spans="1:11" outlineLevel="1" collapsed="1" x14ac:dyDescent="0.35">
      <c r="B7265" s="1"/>
      <c r="F7265" s="3" t="s">
        <v>6652</v>
      </c>
      <c r="J7265" s="4">
        <f>SUBTOTAL(9,J7202:J7264)</f>
        <v>1503017</v>
      </c>
      <c r="K7265" s="4">
        <f>SUBTOTAL(9,K7202:K7264)</f>
        <v>0</v>
      </c>
    </row>
    <row r="7266" spans="1:11" hidden="1" outlineLevel="2" x14ac:dyDescent="0.35">
      <c r="A7266" t="s">
        <v>11</v>
      </c>
      <c r="B7266" s="1">
        <v>45717</v>
      </c>
      <c r="C7266" t="str">
        <f>"218"</f>
        <v>218</v>
      </c>
      <c r="E7266" t="s">
        <v>1211</v>
      </c>
      <c r="F7266" t="str">
        <f>"63240000"</f>
        <v>63240000</v>
      </c>
      <c r="H7266" t="s">
        <v>1212</v>
      </c>
      <c r="J7266" s="4">
        <v>700000</v>
      </c>
    </row>
    <row r="7267" spans="1:11" hidden="1" outlineLevel="2" x14ac:dyDescent="0.35">
      <c r="A7267" t="s">
        <v>11</v>
      </c>
      <c r="B7267" s="1">
        <v>45718</v>
      </c>
      <c r="C7267" t="str">
        <f>"267"</f>
        <v>267</v>
      </c>
      <c r="E7267" t="s">
        <v>24</v>
      </c>
      <c r="F7267" t="str">
        <f>"63240000"</f>
        <v>63240000</v>
      </c>
      <c r="H7267" t="s">
        <v>25</v>
      </c>
      <c r="J7267" s="4">
        <v>1461797</v>
      </c>
    </row>
    <row r="7268" spans="1:11" hidden="1" outlineLevel="2" x14ac:dyDescent="0.35">
      <c r="A7268" t="s">
        <v>26</v>
      </c>
      <c r="B7268" s="1">
        <v>45720</v>
      </c>
      <c r="C7268" t="str">
        <f>"18"</f>
        <v>18</v>
      </c>
      <c r="D7268" t="s">
        <v>1460</v>
      </c>
      <c r="E7268" t="str">
        <f>"0000168"</f>
        <v>0000168</v>
      </c>
      <c r="F7268" t="str">
        <f>"63240000"</f>
        <v>63240000</v>
      </c>
      <c r="H7268" t="s">
        <v>1461</v>
      </c>
      <c r="J7268" s="4">
        <v>5200000</v>
      </c>
    </row>
    <row r="7269" spans="1:11" hidden="1" outlineLevel="2" x14ac:dyDescent="0.35">
      <c r="A7269" t="s">
        <v>26</v>
      </c>
      <c r="B7269" s="1">
        <v>45729</v>
      </c>
      <c r="C7269" t="str">
        <f>"97"</f>
        <v>97</v>
      </c>
      <c r="D7269" t="s">
        <v>1622</v>
      </c>
      <c r="E7269" t="str">
        <f>"0010"</f>
        <v>0010</v>
      </c>
      <c r="F7269" t="str">
        <f>"63240000"</f>
        <v>63240000</v>
      </c>
      <c r="H7269" t="s">
        <v>1623</v>
      </c>
      <c r="J7269" s="4">
        <v>6542000</v>
      </c>
    </row>
    <row r="7270" spans="1:11" outlineLevel="1" collapsed="1" x14ac:dyDescent="0.35">
      <c r="B7270" s="1"/>
      <c r="F7270" s="3" t="s">
        <v>6653</v>
      </c>
      <c r="J7270" s="4">
        <f>SUBTOTAL(9,J7266:J7269)</f>
        <v>13903797</v>
      </c>
      <c r="K7270" s="4">
        <f>SUBTOTAL(9,K7266:K7269)</f>
        <v>0</v>
      </c>
    </row>
    <row r="7271" spans="1:11" hidden="1" outlineLevel="2" x14ac:dyDescent="0.35">
      <c r="A7271" t="s">
        <v>101</v>
      </c>
      <c r="B7271" s="1">
        <v>45747</v>
      </c>
      <c r="C7271" t="str">
        <f>"19"</f>
        <v>19</v>
      </c>
      <c r="F7271" t="str">
        <f>"63240100"</f>
        <v>63240100</v>
      </c>
      <c r="H7271" t="s">
        <v>113</v>
      </c>
      <c r="J7271" s="4">
        <v>99736000</v>
      </c>
    </row>
    <row r="7272" spans="1:11" outlineLevel="1" collapsed="1" x14ac:dyDescent="0.35">
      <c r="B7272" s="1"/>
      <c r="F7272" s="3" t="s">
        <v>6654</v>
      </c>
      <c r="J7272" s="4">
        <f>SUBTOTAL(9,J7271:J7271)</f>
        <v>99736000</v>
      </c>
      <c r="K7272" s="4">
        <f>SUBTOTAL(9,K7271:K7271)</f>
        <v>0</v>
      </c>
    </row>
    <row r="7273" spans="1:11" hidden="1" outlineLevel="2" x14ac:dyDescent="0.35">
      <c r="A7273" t="s">
        <v>26</v>
      </c>
      <c r="B7273" s="1">
        <v>45720</v>
      </c>
      <c r="C7273" t="str">
        <f>"19"</f>
        <v>19</v>
      </c>
      <c r="D7273" t="s">
        <v>1462</v>
      </c>
      <c r="E7273" t="str">
        <f>"313"</f>
        <v>313</v>
      </c>
      <c r="F7273" t="str">
        <f>"63250000"</f>
        <v>63250000</v>
      </c>
      <c r="H7273" t="s">
        <v>1463</v>
      </c>
      <c r="J7273" s="4">
        <v>296000</v>
      </c>
    </row>
    <row r="7274" spans="1:11" hidden="1" outlineLevel="2" x14ac:dyDescent="0.35">
      <c r="A7274" t="s">
        <v>26</v>
      </c>
      <c r="B7274" s="1">
        <v>45729</v>
      </c>
      <c r="C7274" t="str">
        <f>"97"</f>
        <v>97</v>
      </c>
      <c r="D7274" t="s">
        <v>1622</v>
      </c>
      <c r="E7274" t="str">
        <f>"0010"</f>
        <v>0010</v>
      </c>
      <c r="F7274" t="str">
        <f>"63250000"</f>
        <v>63250000</v>
      </c>
      <c r="H7274" t="s">
        <v>1623</v>
      </c>
      <c r="J7274" s="4">
        <v>7909800</v>
      </c>
    </row>
    <row r="7275" spans="1:11" hidden="1" outlineLevel="2" x14ac:dyDescent="0.35">
      <c r="A7275" t="s">
        <v>1892</v>
      </c>
      <c r="B7275" s="1">
        <v>45740</v>
      </c>
      <c r="C7275" t="str">
        <f>"65"</f>
        <v>65</v>
      </c>
      <c r="F7275" t="str">
        <f>"63250000"</f>
        <v>63250000</v>
      </c>
      <c r="H7275" t="s">
        <v>1908</v>
      </c>
      <c r="J7275" s="4">
        <v>1015000</v>
      </c>
    </row>
    <row r="7276" spans="1:11" hidden="1" outlineLevel="2" x14ac:dyDescent="0.35">
      <c r="A7276" t="s">
        <v>2337</v>
      </c>
      <c r="B7276" s="1">
        <v>45736</v>
      </c>
      <c r="C7276" t="str">
        <f>"806"</f>
        <v>806</v>
      </c>
      <c r="E7276" t="str">
        <f>"17462"</f>
        <v>17462</v>
      </c>
      <c r="F7276" t="str">
        <f>"63250000"</f>
        <v>63250000</v>
      </c>
      <c r="H7276" t="s">
        <v>2550</v>
      </c>
      <c r="J7276" s="4">
        <v>15000</v>
      </c>
    </row>
    <row r="7277" spans="1:11" outlineLevel="1" collapsed="1" x14ac:dyDescent="0.35">
      <c r="B7277" s="1"/>
      <c r="F7277" s="3" t="s">
        <v>6655</v>
      </c>
      <c r="J7277" s="4">
        <f>SUBTOTAL(9,J7273:J7276)</f>
        <v>9235800</v>
      </c>
      <c r="K7277" s="4">
        <f>SUBTOTAL(9,K7273:K7276)</f>
        <v>0</v>
      </c>
    </row>
    <row r="7278" spans="1:11" hidden="1" outlineLevel="2" x14ac:dyDescent="0.35">
      <c r="A7278" t="s">
        <v>11</v>
      </c>
      <c r="B7278" s="1">
        <v>45717</v>
      </c>
      <c r="C7278" t="str">
        <f>"215"</f>
        <v>215</v>
      </c>
      <c r="E7278" t="s">
        <v>1205</v>
      </c>
      <c r="F7278" t="str">
        <f>"63270000"</f>
        <v>63270000</v>
      </c>
      <c r="H7278" t="s">
        <v>1206</v>
      </c>
      <c r="J7278" s="4">
        <v>345000</v>
      </c>
    </row>
    <row r="7279" spans="1:11" outlineLevel="1" collapsed="1" x14ac:dyDescent="0.35">
      <c r="B7279" s="1"/>
      <c r="F7279" s="3" t="s">
        <v>6656</v>
      </c>
      <c r="J7279" s="4">
        <f>SUBTOTAL(9,J7278:J7278)</f>
        <v>345000</v>
      </c>
      <c r="K7279" s="4">
        <f>SUBTOTAL(9,K7278:K7278)</f>
        <v>0</v>
      </c>
    </row>
    <row r="7280" spans="1:11" hidden="1" outlineLevel="2" x14ac:dyDescent="0.35">
      <c r="A7280" t="s">
        <v>11</v>
      </c>
      <c r="B7280" s="1">
        <v>45717</v>
      </c>
      <c r="C7280" t="str">
        <f>"216"</f>
        <v>216</v>
      </c>
      <c r="E7280" t="s">
        <v>1207</v>
      </c>
      <c r="F7280" t="str">
        <f>"63271000"</f>
        <v>63271000</v>
      </c>
      <c r="H7280" t="s">
        <v>1208</v>
      </c>
      <c r="J7280" s="4">
        <v>600000</v>
      </c>
    </row>
    <row r="7281" spans="1:11" hidden="1" outlineLevel="2" x14ac:dyDescent="0.35">
      <c r="A7281" t="s">
        <v>11</v>
      </c>
      <c r="B7281" s="1">
        <v>45717</v>
      </c>
      <c r="C7281" t="str">
        <f>"217"</f>
        <v>217</v>
      </c>
      <c r="E7281" t="s">
        <v>1209</v>
      </c>
      <c r="F7281" t="str">
        <f>"63271000"</f>
        <v>63271000</v>
      </c>
      <c r="H7281" t="s">
        <v>1210</v>
      </c>
      <c r="J7281" s="4">
        <v>400000</v>
      </c>
    </row>
    <row r="7282" spans="1:11" hidden="1" outlineLevel="2" x14ac:dyDescent="0.35">
      <c r="A7282" t="s">
        <v>11</v>
      </c>
      <c r="B7282" s="1">
        <v>45717</v>
      </c>
      <c r="C7282" t="str">
        <f>"235"</f>
        <v>235</v>
      </c>
      <c r="E7282" t="s">
        <v>1239</v>
      </c>
      <c r="F7282" t="str">
        <f>"63271000"</f>
        <v>63271000</v>
      </c>
      <c r="H7282" t="s">
        <v>1240</v>
      </c>
      <c r="J7282" s="4">
        <v>390000</v>
      </c>
    </row>
    <row r="7283" spans="1:11" hidden="1" outlineLevel="2" x14ac:dyDescent="0.35">
      <c r="A7283" t="s">
        <v>11</v>
      </c>
      <c r="B7283" s="1">
        <v>45717</v>
      </c>
      <c r="C7283" t="str">
        <f>"236"</f>
        <v>236</v>
      </c>
      <c r="E7283" t="s">
        <v>1241</v>
      </c>
      <c r="F7283" t="str">
        <f>"63271000"</f>
        <v>63271000</v>
      </c>
      <c r="H7283" t="s">
        <v>1242</v>
      </c>
      <c r="J7283" s="4">
        <v>90300</v>
      </c>
    </row>
    <row r="7284" spans="1:11" outlineLevel="1" collapsed="1" x14ac:dyDescent="0.35">
      <c r="B7284" s="1"/>
      <c r="F7284" s="3" t="s">
        <v>6657</v>
      </c>
      <c r="J7284" s="4">
        <f>SUBTOTAL(9,J7280:J7283)</f>
        <v>1480300</v>
      </c>
      <c r="K7284" s="4">
        <f>SUBTOTAL(9,K7280:K7283)</f>
        <v>0</v>
      </c>
    </row>
    <row r="7285" spans="1:11" hidden="1" outlineLevel="2" x14ac:dyDescent="0.35">
      <c r="A7285" t="s">
        <v>2337</v>
      </c>
      <c r="B7285" s="1">
        <v>45728</v>
      </c>
      <c r="C7285" t="str">
        <f>"732"</f>
        <v>732</v>
      </c>
      <c r="E7285" t="str">
        <f>"17351"</f>
        <v>17351</v>
      </c>
      <c r="F7285" t="str">
        <f>"63280000"</f>
        <v>63280000</v>
      </c>
      <c r="H7285" t="s">
        <v>2461</v>
      </c>
      <c r="J7285" s="4">
        <v>20000</v>
      </c>
    </row>
    <row r="7286" spans="1:11" hidden="1" outlineLevel="2" x14ac:dyDescent="0.35">
      <c r="A7286" t="s">
        <v>2337</v>
      </c>
      <c r="B7286" s="1">
        <v>45737</v>
      </c>
      <c r="C7286" t="str">
        <f>"820"</f>
        <v>820</v>
      </c>
      <c r="E7286" t="str">
        <f>"17476"</f>
        <v>17476</v>
      </c>
      <c r="F7286" t="str">
        <f>"63280000"</f>
        <v>63280000</v>
      </c>
      <c r="H7286" t="s">
        <v>2571</v>
      </c>
      <c r="J7286" s="4">
        <v>10000</v>
      </c>
    </row>
    <row r="7287" spans="1:11" hidden="1" outlineLevel="2" x14ac:dyDescent="0.35">
      <c r="A7287" t="s">
        <v>2337</v>
      </c>
      <c r="B7287" s="1">
        <v>45744</v>
      </c>
      <c r="C7287" t="str">
        <f>"871"</f>
        <v>871</v>
      </c>
      <c r="E7287" t="str">
        <f>"15877"</f>
        <v>15877</v>
      </c>
      <c r="F7287" t="str">
        <f>"63280000"</f>
        <v>63280000</v>
      </c>
      <c r="H7287" t="s">
        <v>2631</v>
      </c>
      <c r="J7287" s="4">
        <v>10000</v>
      </c>
    </row>
    <row r="7288" spans="1:11" outlineLevel="1" collapsed="1" x14ac:dyDescent="0.35">
      <c r="B7288" s="1"/>
      <c r="F7288" s="3" t="s">
        <v>6658</v>
      </c>
      <c r="J7288" s="4">
        <f>SUBTOTAL(9,J7285:J7287)</f>
        <v>40000</v>
      </c>
      <c r="K7288" s="4">
        <f>SUBTOTAL(9,K7285:K7287)</f>
        <v>0</v>
      </c>
    </row>
    <row r="7289" spans="1:11" hidden="1" outlineLevel="2" x14ac:dyDescent="0.35">
      <c r="A7289" t="s">
        <v>26</v>
      </c>
      <c r="B7289" s="1">
        <v>45720</v>
      </c>
      <c r="C7289" t="str">
        <f>"17"</f>
        <v>17</v>
      </c>
      <c r="D7289" t="s">
        <v>1457</v>
      </c>
      <c r="E7289" t="str">
        <f>"0311858"</f>
        <v>0311858</v>
      </c>
      <c r="F7289" t="str">
        <f>"63280100"</f>
        <v>63280100</v>
      </c>
      <c r="H7289" t="s">
        <v>1459</v>
      </c>
      <c r="J7289" s="4">
        <v>100000</v>
      </c>
    </row>
    <row r="7290" spans="1:11" hidden="1" outlineLevel="2" x14ac:dyDescent="0.35">
      <c r="A7290" t="s">
        <v>26</v>
      </c>
      <c r="B7290" s="1">
        <v>45723</v>
      </c>
      <c r="C7290" t="str">
        <f>"30"</f>
        <v>30</v>
      </c>
      <c r="D7290" t="s">
        <v>1521</v>
      </c>
      <c r="E7290" t="s">
        <v>1522</v>
      </c>
      <c r="F7290" t="str">
        <f>"63280100"</f>
        <v>63280100</v>
      </c>
      <c r="H7290" t="s">
        <v>1523</v>
      </c>
      <c r="J7290" s="4">
        <v>553650</v>
      </c>
    </row>
    <row r="7291" spans="1:11" hidden="1" outlineLevel="2" x14ac:dyDescent="0.35">
      <c r="A7291" t="s">
        <v>26</v>
      </c>
      <c r="B7291" s="1">
        <v>45723</v>
      </c>
      <c r="C7291" t="str">
        <f>"31"</f>
        <v>31</v>
      </c>
      <c r="D7291" t="s">
        <v>1524</v>
      </c>
      <c r="E7291" t="s">
        <v>1525</v>
      </c>
      <c r="F7291" t="str">
        <f>"63280100"</f>
        <v>63280100</v>
      </c>
      <c r="H7291" t="s">
        <v>1526</v>
      </c>
      <c r="J7291" s="4">
        <v>70000</v>
      </c>
    </row>
    <row r="7292" spans="1:11" outlineLevel="1" collapsed="1" x14ac:dyDescent="0.35">
      <c r="B7292" s="1"/>
      <c r="F7292" s="3" t="s">
        <v>6659</v>
      </c>
      <c r="J7292" s="4">
        <f>SUBTOTAL(9,J7289:J7291)</f>
        <v>723650</v>
      </c>
      <c r="K7292" s="4">
        <f>SUBTOTAL(9,K7289:K7291)</f>
        <v>0</v>
      </c>
    </row>
    <row r="7293" spans="1:11" hidden="1" outlineLevel="2" x14ac:dyDescent="0.35">
      <c r="A7293" t="s">
        <v>11</v>
      </c>
      <c r="B7293" s="1">
        <v>45717</v>
      </c>
      <c r="C7293" t="str">
        <f>"204"</f>
        <v>204</v>
      </c>
      <c r="E7293" t="s">
        <v>1183</v>
      </c>
      <c r="F7293" t="str">
        <f>"63430000"</f>
        <v>63430000</v>
      </c>
      <c r="H7293" t="s">
        <v>1184</v>
      </c>
      <c r="J7293" s="4">
        <v>208333</v>
      </c>
    </row>
    <row r="7294" spans="1:11" hidden="1" outlineLevel="2" x14ac:dyDescent="0.35">
      <c r="A7294" t="s">
        <v>11</v>
      </c>
      <c r="B7294" s="1">
        <v>45717</v>
      </c>
      <c r="C7294" t="str">
        <f>"205"</f>
        <v>205</v>
      </c>
      <c r="E7294" t="s">
        <v>1185</v>
      </c>
      <c r="F7294" t="str">
        <f>"63430000"</f>
        <v>63430000</v>
      </c>
      <c r="H7294" t="s">
        <v>1187</v>
      </c>
      <c r="J7294" s="4">
        <v>59225</v>
      </c>
    </row>
    <row r="7295" spans="1:11" hidden="1" outlineLevel="2" x14ac:dyDescent="0.35">
      <c r="A7295" t="s">
        <v>11</v>
      </c>
      <c r="B7295" s="1">
        <v>45717</v>
      </c>
      <c r="C7295" t="str">
        <f>"207"</f>
        <v>207</v>
      </c>
      <c r="E7295" t="s">
        <v>1189</v>
      </c>
      <c r="F7295" t="str">
        <f>"63430000"</f>
        <v>63430000</v>
      </c>
      <c r="H7295" t="s">
        <v>1190</v>
      </c>
      <c r="J7295" s="4">
        <v>290670</v>
      </c>
    </row>
    <row r="7296" spans="1:11" hidden="1" outlineLevel="2" x14ac:dyDescent="0.35">
      <c r="A7296" t="s">
        <v>11</v>
      </c>
      <c r="B7296" s="1">
        <v>45717</v>
      </c>
      <c r="C7296" t="str">
        <f>"209"</f>
        <v>209</v>
      </c>
      <c r="E7296" t="s">
        <v>1193</v>
      </c>
      <c r="F7296" t="str">
        <f>"63430000"</f>
        <v>63430000</v>
      </c>
      <c r="H7296" t="s">
        <v>1194</v>
      </c>
      <c r="J7296" s="4">
        <v>863677</v>
      </c>
    </row>
    <row r="7297" spans="1:11" outlineLevel="1" collapsed="1" x14ac:dyDescent="0.35">
      <c r="B7297" s="1"/>
      <c r="F7297" s="3" t="s">
        <v>6660</v>
      </c>
      <c r="J7297" s="4">
        <f>SUBTOTAL(9,J7293:J7296)</f>
        <v>1421905</v>
      </c>
      <c r="K7297" s="4">
        <f>SUBTOTAL(9,K7293:K7296)</f>
        <v>0</v>
      </c>
    </row>
    <row r="7298" spans="1:11" hidden="1" outlineLevel="2" x14ac:dyDescent="0.35">
      <c r="A7298" t="s">
        <v>11</v>
      </c>
      <c r="B7298" s="1">
        <v>45717</v>
      </c>
      <c r="C7298" t="str">
        <f>"263"</f>
        <v>263</v>
      </c>
      <c r="F7298" t="str">
        <f>"63510000"</f>
        <v>63510000</v>
      </c>
      <c r="H7298" t="s">
        <v>1285</v>
      </c>
      <c r="J7298" s="4">
        <v>454546</v>
      </c>
    </row>
    <row r="7299" spans="1:11" outlineLevel="1" collapsed="1" x14ac:dyDescent="0.35">
      <c r="B7299" s="1"/>
      <c r="F7299" s="3" t="s">
        <v>6661</v>
      </c>
      <c r="J7299" s="4">
        <f>SUBTOTAL(9,J7298:J7298)</f>
        <v>454546</v>
      </c>
      <c r="K7299" s="4">
        <f>SUBTOTAL(9,K7298:K7298)</f>
        <v>0</v>
      </c>
    </row>
    <row r="7300" spans="1:11" hidden="1" outlineLevel="2" x14ac:dyDescent="0.35">
      <c r="A7300" t="s">
        <v>26</v>
      </c>
      <c r="B7300" s="1">
        <v>45723</v>
      </c>
      <c r="C7300" t="str">
        <f>"29"</f>
        <v>29</v>
      </c>
      <c r="D7300" t="s">
        <v>1519</v>
      </c>
      <c r="E7300" t="str">
        <f>"257"</f>
        <v>257</v>
      </c>
      <c r="F7300" t="str">
        <f>"63810000"</f>
        <v>63810000</v>
      </c>
      <c r="H7300" t="s">
        <v>1520</v>
      </c>
      <c r="J7300" s="4">
        <v>5196247</v>
      </c>
    </row>
    <row r="7301" spans="1:11" outlineLevel="1" collapsed="1" x14ac:dyDescent="0.35">
      <c r="B7301" s="1"/>
      <c r="F7301" s="3" t="s">
        <v>6662</v>
      </c>
      <c r="J7301" s="4">
        <f>SUBTOTAL(9,J7300:J7300)</f>
        <v>5196247</v>
      </c>
      <c r="K7301" s="4">
        <f>SUBTOTAL(9,K7300:K7300)</f>
        <v>0</v>
      </c>
    </row>
    <row r="7302" spans="1:11" hidden="1" outlineLevel="2" x14ac:dyDescent="0.35">
      <c r="A7302" t="s">
        <v>2337</v>
      </c>
      <c r="B7302" s="1">
        <v>45719</v>
      </c>
      <c r="C7302" t="str">
        <f>"653"</f>
        <v>653</v>
      </c>
      <c r="E7302" t="str">
        <f>"17272"</f>
        <v>17272</v>
      </c>
      <c r="F7302" t="str">
        <f t="shared" ref="F7302:F7313" si="259">"63830000"</f>
        <v>63830000</v>
      </c>
      <c r="H7302" t="s">
        <v>2349</v>
      </c>
      <c r="J7302" s="4">
        <v>66000</v>
      </c>
    </row>
    <row r="7303" spans="1:11" hidden="1" outlineLevel="2" x14ac:dyDescent="0.35">
      <c r="A7303" t="s">
        <v>2337</v>
      </c>
      <c r="B7303" s="1">
        <v>45720</v>
      </c>
      <c r="C7303" t="str">
        <f>"658"</f>
        <v>658</v>
      </c>
      <c r="E7303" t="str">
        <f>"17277"</f>
        <v>17277</v>
      </c>
      <c r="F7303" t="str">
        <f t="shared" si="259"/>
        <v>63830000</v>
      </c>
      <c r="H7303" t="s">
        <v>2357</v>
      </c>
      <c r="J7303" s="4">
        <v>16100</v>
      </c>
    </row>
    <row r="7304" spans="1:11" hidden="1" outlineLevel="2" x14ac:dyDescent="0.35">
      <c r="A7304" t="s">
        <v>2337</v>
      </c>
      <c r="B7304" s="1">
        <v>45728</v>
      </c>
      <c r="C7304" t="str">
        <f>"737"</f>
        <v>737</v>
      </c>
      <c r="E7304" t="str">
        <f>"17356"</f>
        <v>17356</v>
      </c>
      <c r="F7304" t="str">
        <f t="shared" si="259"/>
        <v>63830000</v>
      </c>
      <c r="H7304" t="s">
        <v>2468</v>
      </c>
      <c r="J7304" s="4">
        <v>40000</v>
      </c>
    </row>
    <row r="7305" spans="1:11" hidden="1" outlineLevel="2" x14ac:dyDescent="0.35">
      <c r="A7305" t="s">
        <v>2337</v>
      </c>
      <c r="B7305" s="1">
        <v>45729</v>
      </c>
      <c r="C7305" t="str">
        <f>"749"</f>
        <v>749</v>
      </c>
      <c r="E7305" t="str">
        <f>"17368"</f>
        <v>17368</v>
      </c>
      <c r="F7305" t="str">
        <f t="shared" si="259"/>
        <v>63830000</v>
      </c>
      <c r="H7305" t="s">
        <v>2488</v>
      </c>
      <c r="J7305" s="4">
        <v>25000</v>
      </c>
    </row>
    <row r="7306" spans="1:11" hidden="1" outlineLevel="2" x14ac:dyDescent="0.35">
      <c r="A7306" t="s">
        <v>2337</v>
      </c>
      <c r="B7306" s="1">
        <v>45730</v>
      </c>
      <c r="C7306" t="str">
        <f>"758"</f>
        <v>758</v>
      </c>
      <c r="E7306" t="str">
        <f>"17377"</f>
        <v>17377</v>
      </c>
      <c r="F7306" t="str">
        <f t="shared" si="259"/>
        <v>63830000</v>
      </c>
      <c r="H7306" t="s">
        <v>2499</v>
      </c>
      <c r="J7306" s="4">
        <v>20000</v>
      </c>
    </row>
    <row r="7307" spans="1:11" hidden="1" outlineLevel="2" x14ac:dyDescent="0.35">
      <c r="A7307" t="s">
        <v>2337</v>
      </c>
      <c r="B7307" s="1">
        <v>45736</v>
      </c>
      <c r="C7307" t="str">
        <f>"810"</f>
        <v>810</v>
      </c>
      <c r="E7307" t="str">
        <f>"17466"</f>
        <v>17466</v>
      </c>
      <c r="F7307" t="str">
        <f t="shared" si="259"/>
        <v>63830000</v>
      </c>
      <c r="H7307" t="s">
        <v>2554</v>
      </c>
      <c r="J7307" s="4">
        <v>150000</v>
      </c>
    </row>
    <row r="7308" spans="1:11" hidden="1" outlineLevel="2" x14ac:dyDescent="0.35">
      <c r="A7308" t="s">
        <v>2337</v>
      </c>
      <c r="B7308" s="1">
        <v>45736</v>
      </c>
      <c r="C7308" t="str">
        <f>"813"</f>
        <v>813</v>
      </c>
      <c r="E7308" t="str">
        <f>"17469"</f>
        <v>17469</v>
      </c>
      <c r="F7308" t="str">
        <f t="shared" si="259"/>
        <v>63830000</v>
      </c>
      <c r="H7308" t="s">
        <v>2488</v>
      </c>
      <c r="J7308" s="4">
        <v>53500</v>
      </c>
    </row>
    <row r="7309" spans="1:11" hidden="1" outlineLevel="2" x14ac:dyDescent="0.35">
      <c r="A7309" t="s">
        <v>2337</v>
      </c>
      <c r="B7309" s="1">
        <v>45741</v>
      </c>
      <c r="C7309" t="str">
        <f>"851"</f>
        <v>851</v>
      </c>
      <c r="E7309" t="str">
        <f>"15859"</f>
        <v>15859</v>
      </c>
      <c r="F7309" t="str">
        <f t="shared" si="259"/>
        <v>63830000</v>
      </c>
      <c r="H7309" t="s">
        <v>2607</v>
      </c>
      <c r="J7309" s="4">
        <v>50000</v>
      </c>
    </row>
    <row r="7310" spans="1:11" hidden="1" outlineLevel="2" x14ac:dyDescent="0.35">
      <c r="A7310" t="s">
        <v>2337</v>
      </c>
      <c r="B7310" s="1">
        <v>45742</v>
      </c>
      <c r="C7310" t="str">
        <f>"863"</f>
        <v>863</v>
      </c>
      <c r="E7310" t="str">
        <f>"15870"</f>
        <v>15870</v>
      </c>
      <c r="F7310" t="str">
        <f t="shared" si="259"/>
        <v>63830000</v>
      </c>
      <c r="H7310" t="s">
        <v>2619</v>
      </c>
      <c r="J7310" s="4">
        <v>97500</v>
      </c>
    </row>
    <row r="7311" spans="1:11" hidden="1" outlineLevel="2" x14ac:dyDescent="0.35">
      <c r="A7311" t="s">
        <v>2337</v>
      </c>
      <c r="B7311" s="1">
        <v>45744</v>
      </c>
      <c r="C7311" t="str">
        <f>"882"</f>
        <v>882</v>
      </c>
      <c r="E7311" t="str">
        <f>"15888"</f>
        <v>15888</v>
      </c>
      <c r="F7311" t="str">
        <f t="shared" si="259"/>
        <v>63830000</v>
      </c>
      <c r="H7311" t="s">
        <v>2488</v>
      </c>
      <c r="J7311" s="4">
        <v>28500</v>
      </c>
    </row>
    <row r="7312" spans="1:11" hidden="1" outlineLevel="2" x14ac:dyDescent="0.35">
      <c r="A7312" t="s">
        <v>3031</v>
      </c>
      <c r="B7312" s="1">
        <v>45727</v>
      </c>
      <c r="C7312" t="str">
        <f>"69"</f>
        <v>69</v>
      </c>
      <c r="F7312" t="str">
        <f t="shared" si="259"/>
        <v>63830000</v>
      </c>
      <c r="H7312" t="s">
        <v>3051</v>
      </c>
      <c r="J7312" s="4">
        <v>189265</v>
      </c>
    </row>
    <row r="7313" spans="1:11" hidden="1" outlineLevel="2" x14ac:dyDescent="0.35">
      <c r="A7313" t="s">
        <v>3056</v>
      </c>
      <c r="B7313" s="1">
        <v>45717</v>
      </c>
      <c r="C7313" t="str">
        <f>"173"</f>
        <v>173</v>
      </c>
      <c r="F7313" t="str">
        <f t="shared" si="259"/>
        <v>63830000</v>
      </c>
      <c r="H7313" t="s">
        <v>3057</v>
      </c>
      <c r="J7313" s="4">
        <v>78500</v>
      </c>
    </row>
    <row r="7314" spans="1:11" outlineLevel="1" collapsed="1" x14ac:dyDescent="0.35">
      <c r="B7314" s="1"/>
      <c r="F7314" s="3" t="s">
        <v>6663</v>
      </c>
      <c r="J7314" s="4">
        <f>SUBTOTAL(9,J7302:J7313)</f>
        <v>814365</v>
      </c>
      <c r="K7314" s="4">
        <f>SUBTOTAL(9,K7302:K7313)</f>
        <v>0</v>
      </c>
    </row>
    <row r="7315" spans="1:11" hidden="1" outlineLevel="2" x14ac:dyDescent="0.35">
      <c r="A7315" t="s">
        <v>2018</v>
      </c>
      <c r="B7315" s="1">
        <v>45721</v>
      </c>
      <c r="C7315" t="str">
        <f>"348"</f>
        <v>348</v>
      </c>
      <c r="F7315" t="str">
        <f t="shared" ref="F7315:F7346" si="260">"63883000"</f>
        <v>63883000</v>
      </c>
      <c r="H7315" t="s">
        <v>2025</v>
      </c>
      <c r="J7315" s="4">
        <v>7500</v>
      </c>
    </row>
    <row r="7316" spans="1:11" hidden="1" outlineLevel="2" x14ac:dyDescent="0.35">
      <c r="A7316" t="s">
        <v>2018</v>
      </c>
      <c r="B7316" s="1">
        <v>45721</v>
      </c>
      <c r="C7316" t="str">
        <f>"349"</f>
        <v>349</v>
      </c>
      <c r="F7316" t="str">
        <f t="shared" si="260"/>
        <v>63883000</v>
      </c>
      <c r="H7316" t="s">
        <v>2028</v>
      </c>
      <c r="J7316" s="4">
        <v>4000</v>
      </c>
    </row>
    <row r="7317" spans="1:11" hidden="1" outlineLevel="2" x14ac:dyDescent="0.35">
      <c r="A7317" t="s">
        <v>2018</v>
      </c>
      <c r="B7317" s="1">
        <v>45721</v>
      </c>
      <c r="C7317" t="str">
        <f>"351"</f>
        <v>351</v>
      </c>
      <c r="F7317" t="str">
        <f t="shared" si="260"/>
        <v>63883000</v>
      </c>
      <c r="H7317" t="s">
        <v>2033</v>
      </c>
      <c r="J7317" s="4">
        <v>32000</v>
      </c>
    </row>
    <row r="7318" spans="1:11" hidden="1" outlineLevel="2" x14ac:dyDescent="0.35">
      <c r="A7318" t="s">
        <v>2018</v>
      </c>
      <c r="B7318" s="1">
        <v>45722</v>
      </c>
      <c r="C7318" t="str">
        <f>"354"</f>
        <v>354</v>
      </c>
      <c r="F7318" t="str">
        <f t="shared" si="260"/>
        <v>63883000</v>
      </c>
      <c r="H7318" t="s">
        <v>2025</v>
      </c>
      <c r="J7318" s="4">
        <v>2000</v>
      </c>
    </row>
    <row r="7319" spans="1:11" hidden="1" outlineLevel="2" x14ac:dyDescent="0.35">
      <c r="A7319" t="s">
        <v>2018</v>
      </c>
      <c r="B7319" s="1">
        <v>45722</v>
      </c>
      <c r="C7319" t="str">
        <f>"355"</f>
        <v>355</v>
      </c>
      <c r="F7319" t="str">
        <f t="shared" si="260"/>
        <v>63883000</v>
      </c>
      <c r="H7319" t="s">
        <v>2039</v>
      </c>
      <c r="J7319" s="4">
        <v>2000</v>
      </c>
    </row>
    <row r="7320" spans="1:11" hidden="1" outlineLevel="2" x14ac:dyDescent="0.35">
      <c r="A7320" t="s">
        <v>2018</v>
      </c>
      <c r="B7320" s="1">
        <v>45722</v>
      </c>
      <c r="C7320" t="str">
        <f>"356"</f>
        <v>356</v>
      </c>
      <c r="F7320" t="str">
        <f t="shared" si="260"/>
        <v>63883000</v>
      </c>
      <c r="H7320" t="s">
        <v>2042</v>
      </c>
      <c r="J7320" s="4">
        <v>2000</v>
      </c>
    </row>
    <row r="7321" spans="1:11" hidden="1" outlineLevel="2" x14ac:dyDescent="0.35">
      <c r="A7321" t="s">
        <v>2018</v>
      </c>
      <c r="B7321" s="1">
        <v>45722</v>
      </c>
      <c r="C7321" t="str">
        <f>"357"</f>
        <v>357</v>
      </c>
      <c r="F7321" t="str">
        <f t="shared" si="260"/>
        <v>63883000</v>
      </c>
      <c r="H7321" t="s">
        <v>2028</v>
      </c>
      <c r="J7321" s="4">
        <v>2000</v>
      </c>
    </row>
    <row r="7322" spans="1:11" hidden="1" outlineLevel="2" x14ac:dyDescent="0.35">
      <c r="A7322" t="s">
        <v>2018</v>
      </c>
      <c r="B7322" s="1">
        <v>45724</v>
      </c>
      <c r="C7322" t="str">
        <f>"363"</f>
        <v>363</v>
      </c>
      <c r="F7322" t="str">
        <f t="shared" si="260"/>
        <v>63883000</v>
      </c>
      <c r="H7322" t="s">
        <v>2050</v>
      </c>
      <c r="J7322" s="4">
        <v>3500</v>
      </c>
    </row>
    <row r="7323" spans="1:11" hidden="1" outlineLevel="2" x14ac:dyDescent="0.35">
      <c r="A7323" t="s">
        <v>2018</v>
      </c>
      <c r="B7323" s="1">
        <v>45726</v>
      </c>
      <c r="C7323" t="str">
        <f>"370"</f>
        <v>370</v>
      </c>
      <c r="F7323" t="str">
        <f t="shared" si="260"/>
        <v>63883000</v>
      </c>
      <c r="H7323" t="s">
        <v>2059</v>
      </c>
      <c r="J7323" s="4">
        <v>2000</v>
      </c>
    </row>
    <row r="7324" spans="1:11" hidden="1" outlineLevel="2" x14ac:dyDescent="0.35">
      <c r="A7324" t="s">
        <v>2018</v>
      </c>
      <c r="B7324" s="1">
        <v>45726</v>
      </c>
      <c r="C7324" t="str">
        <f>"373"</f>
        <v>373</v>
      </c>
      <c r="F7324" t="str">
        <f t="shared" si="260"/>
        <v>63883000</v>
      </c>
      <c r="H7324" t="s">
        <v>2064</v>
      </c>
      <c r="J7324" s="4">
        <v>2000</v>
      </c>
    </row>
    <row r="7325" spans="1:11" hidden="1" outlineLevel="2" x14ac:dyDescent="0.35">
      <c r="A7325" t="s">
        <v>2018</v>
      </c>
      <c r="B7325" s="1">
        <v>45726</v>
      </c>
      <c r="C7325" t="str">
        <f>"375"</f>
        <v>375</v>
      </c>
      <c r="F7325" t="str">
        <f t="shared" si="260"/>
        <v>63883000</v>
      </c>
      <c r="H7325" t="s">
        <v>2068</v>
      </c>
      <c r="J7325" s="4">
        <v>2000</v>
      </c>
    </row>
    <row r="7326" spans="1:11" hidden="1" outlineLevel="2" x14ac:dyDescent="0.35">
      <c r="A7326" t="s">
        <v>2018</v>
      </c>
      <c r="B7326" s="1">
        <v>45727</v>
      </c>
      <c r="C7326" t="str">
        <f>"378"</f>
        <v>378</v>
      </c>
      <c r="F7326" t="str">
        <f t="shared" si="260"/>
        <v>63883000</v>
      </c>
      <c r="H7326" t="s">
        <v>2073</v>
      </c>
      <c r="J7326" s="4">
        <v>7000</v>
      </c>
    </row>
    <row r="7327" spans="1:11" hidden="1" outlineLevel="2" x14ac:dyDescent="0.35">
      <c r="A7327" t="s">
        <v>2018</v>
      </c>
      <c r="B7327" s="1">
        <v>45727</v>
      </c>
      <c r="C7327" t="str">
        <f>"379"</f>
        <v>379</v>
      </c>
      <c r="F7327" t="str">
        <f t="shared" si="260"/>
        <v>63883000</v>
      </c>
      <c r="H7327" t="s">
        <v>2076</v>
      </c>
      <c r="J7327" s="4">
        <v>2000</v>
      </c>
    </row>
    <row r="7328" spans="1:11" hidden="1" outlineLevel="2" x14ac:dyDescent="0.35">
      <c r="A7328" t="s">
        <v>2018</v>
      </c>
      <c r="B7328" s="1">
        <v>45727</v>
      </c>
      <c r="C7328" t="str">
        <f>"380"</f>
        <v>380</v>
      </c>
      <c r="F7328" t="str">
        <f t="shared" si="260"/>
        <v>63883000</v>
      </c>
      <c r="H7328" t="s">
        <v>2077</v>
      </c>
      <c r="J7328" s="4">
        <v>2000</v>
      </c>
    </row>
    <row r="7329" spans="1:10" hidden="1" outlineLevel="2" x14ac:dyDescent="0.35">
      <c r="A7329" t="s">
        <v>2018</v>
      </c>
      <c r="B7329" s="1">
        <v>45727</v>
      </c>
      <c r="C7329" t="str">
        <f>"381"</f>
        <v>381</v>
      </c>
      <c r="F7329" t="str">
        <f t="shared" si="260"/>
        <v>63883000</v>
      </c>
      <c r="H7329" t="s">
        <v>2080</v>
      </c>
      <c r="J7329" s="4">
        <v>18000</v>
      </c>
    </row>
    <row r="7330" spans="1:10" hidden="1" outlineLevel="2" x14ac:dyDescent="0.35">
      <c r="A7330" t="s">
        <v>2018</v>
      </c>
      <c r="B7330" s="1">
        <v>45728</v>
      </c>
      <c r="C7330" t="str">
        <f>"387"</f>
        <v>387</v>
      </c>
      <c r="F7330" t="str">
        <f t="shared" si="260"/>
        <v>63883000</v>
      </c>
      <c r="H7330" t="s">
        <v>2087</v>
      </c>
      <c r="J7330" s="4">
        <v>2200</v>
      </c>
    </row>
    <row r="7331" spans="1:10" hidden="1" outlineLevel="2" x14ac:dyDescent="0.35">
      <c r="A7331" t="s">
        <v>2018</v>
      </c>
      <c r="B7331" s="1">
        <v>45728</v>
      </c>
      <c r="C7331" t="str">
        <f>"389"</f>
        <v>389</v>
      </c>
      <c r="F7331" t="str">
        <f t="shared" si="260"/>
        <v>63883000</v>
      </c>
      <c r="H7331" t="s">
        <v>2089</v>
      </c>
      <c r="J7331" s="4">
        <v>2000</v>
      </c>
    </row>
    <row r="7332" spans="1:10" hidden="1" outlineLevel="2" x14ac:dyDescent="0.35">
      <c r="A7332" t="s">
        <v>2018</v>
      </c>
      <c r="B7332" s="1">
        <v>45728</v>
      </c>
      <c r="C7332" t="str">
        <f>"390"</f>
        <v>390</v>
      </c>
      <c r="F7332" t="str">
        <f t="shared" si="260"/>
        <v>63883000</v>
      </c>
      <c r="H7332" t="s">
        <v>2090</v>
      </c>
      <c r="J7332" s="4">
        <v>2000</v>
      </c>
    </row>
    <row r="7333" spans="1:10" hidden="1" outlineLevel="2" x14ac:dyDescent="0.35">
      <c r="A7333" t="s">
        <v>2018</v>
      </c>
      <c r="B7333" s="1">
        <v>45728</v>
      </c>
      <c r="C7333" t="str">
        <f>"391"</f>
        <v>391</v>
      </c>
      <c r="F7333" t="str">
        <f t="shared" si="260"/>
        <v>63883000</v>
      </c>
      <c r="H7333" t="s">
        <v>2092</v>
      </c>
      <c r="J7333" s="4">
        <v>2000</v>
      </c>
    </row>
    <row r="7334" spans="1:10" hidden="1" outlineLevel="2" x14ac:dyDescent="0.35">
      <c r="A7334" t="s">
        <v>2018</v>
      </c>
      <c r="B7334" s="1">
        <v>45728</v>
      </c>
      <c r="C7334" t="str">
        <f>"392"</f>
        <v>392</v>
      </c>
      <c r="F7334" t="str">
        <f t="shared" si="260"/>
        <v>63883000</v>
      </c>
      <c r="H7334" t="s">
        <v>2095</v>
      </c>
      <c r="J7334" s="4">
        <v>22000</v>
      </c>
    </row>
    <row r="7335" spans="1:10" hidden="1" outlineLevel="2" x14ac:dyDescent="0.35">
      <c r="A7335" t="s">
        <v>2018</v>
      </c>
      <c r="B7335" s="1">
        <v>45729</v>
      </c>
      <c r="C7335" t="str">
        <f>"393"</f>
        <v>393</v>
      </c>
      <c r="F7335" t="str">
        <f t="shared" si="260"/>
        <v>63883000</v>
      </c>
      <c r="H7335" t="s">
        <v>2096</v>
      </c>
      <c r="J7335" s="4">
        <v>2000</v>
      </c>
    </row>
    <row r="7336" spans="1:10" hidden="1" outlineLevel="2" x14ac:dyDescent="0.35">
      <c r="A7336" t="s">
        <v>2018</v>
      </c>
      <c r="B7336" s="1">
        <v>45729</v>
      </c>
      <c r="C7336" t="str">
        <f>"394"</f>
        <v>394</v>
      </c>
      <c r="F7336" t="str">
        <f t="shared" si="260"/>
        <v>63883000</v>
      </c>
      <c r="H7336" t="s">
        <v>2090</v>
      </c>
      <c r="J7336" s="4">
        <v>2000</v>
      </c>
    </row>
    <row r="7337" spans="1:10" hidden="1" outlineLevel="2" x14ac:dyDescent="0.35">
      <c r="A7337" t="s">
        <v>2018</v>
      </c>
      <c r="B7337" s="1">
        <v>45729</v>
      </c>
      <c r="C7337" t="str">
        <f>"395"</f>
        <v>395</v>
      </c>
      <c r="F7337" t="str">
        <f t="shared" si="260"/>
        <v>63883000</v>
      </c>
      <c r="H7337" t="s">
        <v>2089</v>
      </c>
      <c r="J7337" s="4">
        <v>2000</v>
      </c>
    </row>
    <row r="7338" spans="1:10" hidden="1" outlineLevel="2" x14ac:dyDescent="0.35">
      <c r="A7338" t="s">
        <v>2018</v>
      </c>
      <c r="B7338" s="1">
        <v>45730</v>
      </c>
      <c r="C7338" t="str">
        <f>"398"</f>
        <v>398</v>
      </c>
      <c r="F7338" t="str">
        <f t="shared" si="260"/>
        <v>63883000</v>
      </c>
      <c r="H7338" t="s">
        <v>2090</v>
      </c>
      <c r="J7338" s="4">
        <v>2000</v>
      </c>
    </row>
    <row r="7339" spans="1:10" hidden="1" outlineLevel="2" x14ac:dyDescent="0.35">
      <c r="A7339" t="s">
        <v>2018</v>
      </c>
      <c r="B7339" s="1">
        <v>45730</v>
      </c>
      <c r="C7339" t="str">
        <f>"399"</f>
        <v>399</v>
      </c>
      <c r="F7339" t="str">
        <f t="shared" si="260"/>
        <v>63883000</v>
      </c>
      <c r="H7339" t="s">
        <v>2101</v>
      </c>
      <c r="J7339" s="4">
        <v>2000</v>
      </c>
    </row>
    <row r="7340" spans="1:10" hidden="1" outlineLevel="2" x14ac:dyDescent="0.35">
      <c r="A7340" t="s">
        <v>2018</v>
      </c>
      <c r="B7340" s="1">
        <v>45734</v>
      </c>
      <c r="C7340" t="str">
        <f>"413"</f>
        <v>413</v>
      </c>
      <c r="F7340" t="str">
        <f t="shared" si="260"/>
        <v>63883000</v>
      </c>
      <c r="H7340" t="s">
        <v>2119</v>
      </c>
      <c r="J7340" s="4">
        <v>2000</v>
      </c>
    </row>
    <row r="7341" spans="1:10" hidden="1" outlineLevel="2" x14ac:dyDescent="0.35">
      <c r="A7341" t="s">
        <v>2018</v>
      </c>
      <c r="B7341" s="1">
        <v>45734</v>
      </c>
      <c r="C7341" t="str">
        <f>"414"</f>
        <v>414</v>
      </c>
      <c r="F7341" t="str">
        <f t="shared" si="260"/>
        <v>63883000</v>
      </c>
      <c r="H7341" t="s">
        <v>2121</v>
      </c>
      <c r="J7341" s="4">
        <v>2000</v>
      </c>
    </row>
    <row r="7342" spans="1:10" hidden="1" outlineLevel="2" x14ac:dyDescent="0.35">
      <c r="A7342" t="s">
        <v>2018</v>
      </c>
      <c r="B7342" s="1">
        <v>45734</v>
      </c>
      <c r="C7342" t="str">
        <f>"420"</f>
        <v>420</v>
      </c>
      <c r="F7342" t="str">
        <f t="shared" si="260"/>
        <v>63883000</v>
      </c>
      <c r="H7342" t="s">
        <v>2128</v>
      </c>
      <c r="J7342" s="4">
        <v>2020</v>
      </c>
    </row>
    <row r="7343" spans="1:10" hidden="1" outlineLevel="2" x14ac:dyDescent="0.35">
      <c r="A7343" t="s">
        <v>2018</v>
      </c>
      <c r="B7343" s="1">
        <v>45734</v>
      </c>
      <c r="C7343" t="str">
        <f>"421"</f>
        <v>421</v>
      </c>
      <c r="F7343" t="str">
        <f t="shared" si="260"/>
        <v>63883000</v>
      </c>
      <c r="H7343" t="s">
        <v>2131</v>
      </c>
      <c r="J7343" s="4">
        <v>2020</v>
      </c>
    </row>
    <row r="7344" spans="1:10" hidden="1" outlineLevel="2" x14ac:dyDescent="0.35">
      <c r="A7344" t="s">
        <v>2018</v>
      </c>
      <c r="B7344" s="1">
        <v>45734</v>
      </c>
      <c r="C7344" t="str">
        <f>"423"</f>
        <v>423</v>
      </c>
      <c r="F7344" t="str">
        <f t="shared" si="260"/>
        <v>63883000</v>
      </c>
      <c r="H7344" t="s">
        <v>2134</v>
      </c>
      <c r="J7344" s="4">
        <v>2020</v>
      </c>
    </row>
    <row r="7345" spans="1:10" hidden="1" outlineLevel="2" x14ac:dyDescent="0.35">
      <c r="A7345" t="s">
        <v>2018</v>
      </c>
      <c r="B7345" s="1">
        <v>45735</v>
      </c>
      <c r="C7345" t="str">
        <f>"426"</f>
        <v>426</v>
      </c>
      <c r="F7345" t="str">
        <f t="shared" si="260"/>
        <v>63883000</v>
      </c>
      <c r="H7345" t="s">
        <v>2139</v>
      </c>
      <c r="J7345" s="4">
        <v>2000</v>
      </c>
    </row>
    <row r="7346" spans="1:10" hidden="1" outlineLevel="2" x14ac:dyDescent="0.35">
      <c r="A7346" t="s">
        <v>2018</v>
      </c>
      <c r="B7346" s="1">
        <v>45735</v>
      </c>
      <c r="C7346" t="str">
        <f>"431"</f>
        <v>431</v>
      </c>
      <c r="F7346" t="str">
        <f t="shared" si="260"/>
        <v>63883000</v>
      </c>
      <c r="H7346" t="s">
        <v>2145</v>
      </c>
      <c r="J7346" s="4">
        <v>2020</v>
      </c>
    </row>
    <row r="7347" spans="1:10" hidden="1" outlineLevel="2" x14ac:dyDescent="0.35">
      <c r="A7347" t="s">
        <v>2018</v>
      </c>
      <c r="B7347" s="1">
        <v>45736</v>
      </c>
      <c r="C7347" t="str">
        <f>"436"</f>
        <v>436</v>
      </c>
      <c r="F7347" t="str">
        <f t="shared" ref="F7347:F7378" si="261">"63883000"</f>
        <v>63883000</v>
      </c>
      <c r="H7347" t="s">
        <v>2087</v>
      </c>
      <c r="J7347" s="4">
        <v>2020</v>
      </c>
    </row>
    <row r="7348" spans="1:10" hidden="1" outlineLevel="2" x14ac:dyDescent="0.35">
      <c r="A7348" t="s">
        <v>2018</v>
      </c>
      <c r="B7348" s="1">
        <v>45737</v>
      </c>
      <c r="C7348" t="str">
        <f>"439"</f>
        <v>439</v>
      </c>
      <c r="F7348" t="str">
        <f t="shared" si="261"/>
        <v>63883000</v>
      </c>
      <c r="H7348" t="s">
        <v>2156</v>
      </c>
      <c r="J7348" s="4">
        <v>2020</v>
      </c>
    </row>
    <row r="7349" spans="1:10" hidden="1" outlineLevel="2" x14ac:dyDescent="0.35">
      <c r="A7349" t="s">
        <v>2018</v>
      </c>
      <c r="B7349" s="1">
        <v>45737</v>
      </c>
      <c r="C7349" t="str">
        <f>"442"</f>
        <v>442</v>
      </c>
      <c r="F7349" t="str">
        <f t="shared" si="261"/>
        <v>63883000</v>
      </c>
      <c r="H7349" t="s">
        <v>2163</v>
      </c>
      <c r="J7349" s="4">
        <v>2020</v>
      </c>
    </row>
    <row r="7350" spans="1:10" hidden="1" outlineLevel="2" x14ac:dyDescent="0.35">
      <c r="A7350" t="s">
        <v>2018</v>
      </c>
      <c r="B7350" s="1">
        <v>45737</v>
      </c>
      <c r="C7350" t="str">
        <f>"443"</f>
        <v>443</v>
      </c>
      <c r="F7350" t="str">
        <f t="shared" si="261"/>
        <v>63883000</v>
      </c>
      <c r="H7350" t="s">
        <v>2166</v>
      </c>
      <c r="J7350" s="4">
        <v>2020</v>
      </c>
    </row>
    <row r="7351" spans="1:10" hidden="1" outlineLevel="2" x14ac:dyDescent="0.35">
      <c r="A7351" t="s">
        <v>2018</v>
      </c>
      <c r="B7351" s="1">
        <v>45738</v>
      </c>
      <c r="C7351" t="str">
        <f>"450"</f>
        <v>450</v>
      </c>
      <c r="F7351" t="str">
        <f t="shared" si="261"/>
        <v>63883000</v>
      </c>
      <c r="H7351" t="s">
        <v>2156</v>
      </c>
      <c r="J7351" s="4">
        <v>2000</v>
      </c>
    </row>
    <row r="7352" spans="1:10" hidden="1" outlineLevel="2" x14ac:dyDescent="0.35">
      <c r="A7352" t="s">
        <v>2018</v>
      </c>
      <c r="B7352" s="1">
        <v>45738</v>
      </c>
      <c r="C7352" t="str">
        <f>"451"</f>
        <v>451</v>
      </c>
      <c r="F7352" t="str">
        <f t="shared" si="261"/>
        <v>63883000</v>
      </c>
      <c r="H7352" t="s">
        <v>2174</v>
      </c>
      <c r="J7352" s="4">
        <v>2000</v>
      </c>
    </row>
    <row r="7353" spans="1:10" hidden="1" outlineLevel="2" x14ac:dyDescent="0.35">
      <c r="A7353" t="s">
        <v>2018</v>
      </c>
      <c r="B7353" s="1">
        <v>45740</v>
      </c>
      <c r="C7353" t="str">
        <f>"456"</f>
        <v>456</v>
      </c>
      <c r="F7353" t="str">
        <f t="shared" si="261"/>
        <v>63883000</v>
      </c>
      <c r="H7353" t="s">
        <v>2068</v>
      </c>
      <c r="J7353" s="4">
        <v>2020</v>
      </c>
    </row>
    <row r="7354" spans="1:10" hidden="1" outlineLevel="2" x14ac:dyDescent="0.35">
      <c r="A7354" t="s">
        <v>2018</v>
      </c>
      <c r="B7354" s="1">
        <v>45740</v>
      </c>
      <c r="C7354" t="str">
        <f>"457"</f>
        <v>457</v>
      </c>
      <c r="F7354" t="str">
        <f t="shared" si="261"/>
        <v>63883000</v>
      </c>
      <c r="H7354" t="s">
        <v>2121</v>
      </c>
      <c r="J7354" s="4">
        <v>4040</v>
      </c>
    </row>
    <row r="7355" spans="1:10" hidden="1" outlineLevel="2" x14ac:dyDescent="0.35">
      <c r="A7355" t="s">
        <v>2018</v>
      </c>
      <c r="B7355" s="1">
        <v>45740</v>
      </c>
      <c r="C7355" t="str">
        <f>"458"</f>
        <v>458</v>
      </c>
      <c r="F7355" t="str">
        <f t="shared" si="261"/>
        <v>63883000</v>
      </c>
      <c r="H7355" t="s">
        <v>2182</v>
      </c>
      <c r="J7355" s="4">
        <v>2020</v>
      </c>
    </row>
    <row r="7356" spans="1:10" hidden="1" outlineLevel="2" x14ac:dyDescent="0.35">
      <c r="A7356" t="s">
        <v>2018</v>
      </c>
      <c r="B7356" s="1">
        <v>45740</v>
      </c>
      <c r="C7356" t="str">
        <f>"458"</f>
        <v>458</v>
      </c>
      <c r="F7356" t="str">
        <f t="shared" si="261"/>
        <v>63883000</v>
      </c>
      <c r="H7356" t="s">
        <v>2182</v>
      </c>
      <c r="J7356" s="4">
        <v>-2020</v>
      </c>
    </row>
    <row r="7357" spans="1:10" hidden="1" outlineLevel="2" x14ac:dyDescent="0.35">
      <c r="A7357" t="s">
        <v>2018</v>
      </c>
      <c r="B7357" s="1">
        <v>45740</v>
      </c>
      <c r="C7357" t="str">
        <f>"459"</f>
        <v>459</v>
      </c>
      <c r="F7357" t="str">
        <f t="shared" si="261"/>
        <v>63883000</v>
      </c>
      <c r="H7357" t="s">
        <v>2186</v>
      </c>
      <c r="J7357" s="4">
        <v>2020</v>
      </c>
    </row>
    <row r="7358" spans="1:10" hidden="1" outlineLevel="2" x14ac:dyDescent="0.35">
      <c r="A7358" t="s">
        <v>2018</v>
      </c>
      <c r="B7358" s="1">
        <v>45740</v>
      </c>
      <c r="C7358" t="str">
        <f>"460"</f>
        <v>460</v>
      </c>
      <c r="F7358" t="str">
        <f t="shared" si="261"/>
        <v>63883000</v>
      </c>
      <c r="H7358" t="s">
        <v>2174</v>
      </c>
      <c r="J7358" s="4">
        <v>2020</v>
      </c>
    </row>
    <row r="7359" spans="1:10" hidden="1" outlineLevel="2" x14ac:dyDescent="0.35">
      <c r="A7359" t="s">
        <v>2018</v>
      </c>
      <c r="B7359" s="1">
        <v>45740</v>
      </c>
      <c r="C7359" t="str">
        <f>"461"</f>
        <v>461</v>
      </c>
      <c r="F7359" t="str">
        <f t="shared" si="261"/>
        <v>63883000</v>
      </c>
      <c r="H7359" t="s">
        <v>2156</v>
      </c>
      <c r="J7359" s="4">
        <v>2020</v>
      </c>
    </row>
    <row r="7360" spans="1:10" hidden="1" outlineLevel="2" x14ac:dyDescent="0.35">
      <c r="A7360" t="s">
        <v>2018</v>
      </c>
      <c r="B7360" s="1">
        <v>45741</v>
      </c>
      <c r="C7360" t="str">
        <f>"462"</f>
        <v>462</v>
      </c>
      <c r="F7360" t="str">
        <f t="shared" si="261"/>
        <v>63883000</v>
      </c>
      <c r="H7360" t="s">
        <v>2190</v>
      </c>
      <c r="J7360" s="4">
        <v>2020</v>
      </c>
    </row>
    <row r="7361" spans="1:10" hidden="1" outlineLevel="2" x14ac:dyDescent="0.35">
      <c r="A7361" t="s">
        <v>2018</v>
      </c>
      <c r="B7361" s="1">
        <v>45741</v>
      </c>
      <c r="C7361" t="str">
        <f>"463"</f>
        <v>463</v>
      </c>
      <c r="F7361" t="str">
        <f t="shared" si="261"/>
        <v>63883000</v>
      </c>
      <c r="H7361" t="s">
        <v>2068</v>
      </c>
      <c r="J7361" s="4">
        <v>2020</v>
      </c>
    </row>
    <row r="7362" spans="1:10" hidden="1" outlineLevel="2" x14ac:dyDescent="0.35">
      <c r="A7362" t="s">
        <v>2018</v>
      </c>
      <c r="B7362" s="1">
        <v>45741</v>
      </c>
      <c r="C7362" t="str">
        <f>"464"</f>
        <v>464</v>
      </c>
      <c r="F7362" t="str">
        <f t="shared" si="261"/>
        <v>63883000</v>
      </c>
      <c r="H7362" t="s">
        <v>2174</v>
      </c>
      <c r="J7362" s="4">
        <v>2020</v>
      </c>
    </row>
    <row r="7363" spans="1:10" hidden="1" outlineLevel="2" x14ac:dyDescent="0.35">
      <c r="A7363" t="s">
        <v>2018</v>
      </c>
      <c r="B7363" s="1">
        <v>45741</v>
      </c>
      <c r="C7363" t="str">
        <f>"465"</f>
        <v>465</v>
      </c>
      <c r="F7363" t="str">
        <f t="shared" si="261"/>
        <v>63883000</v>
      </c>
      <c r="H7363" t="s">
        <v>2195</v>
      </c>
      <c r="J7363" s="4">
        <v>2020</v>
      </c>
    </row>
    <row r="7364" spans="1:10" hidden="1" outlineLevel="2" x14ac:dyDescent="0.35">
      <c r="A7364" t="s">
        <v>2018</v>
      </c>
      <c r="B7364" s="1">
        <v>45741</v>
      </c>
      <c r="C7364" t="str">
        <f>"467"</f>
        <v>467</v>
      </c>
      <c r="F7364" t="str">
        <f t="shared" si="261"/>
        <v>63883000</v>
      </c>
      <c r="H7364" t="s">
        <v>2182</v>
      </c>
      <c r="J7364" s="4">
        <v>4040</v>
      </c>
    </row>
    <row r="7365" spans="1:10" hidden="1" outlineLevel="2" x14ac:dyDescent="0.35">
      <c r="A7365" t="s">
        <v>2018</v>
      </c>
      <c r="B7365" s="1">
        <v>45742</v>
      </c>
      <c r="C7365" t="str">
        <f>"472"</f>
        <v>472</v>
      </c>
      <c r="F7365" t="str">
        <f t="shared" si="261"/>
        <v>63883000</v>
      </c>
      <c r="H7365" t="s">
        <v>2068</v>
      </c>
      <c r="J7365" s="4">
        <v>2020</v>
      </c>
    </row>
    <row r="7366" spans="1:10" hidden="1" outlineLevel="2" x14ac:dyDescent="0.35">
      <c r="A7366" t="s">
        <v>2018</v>
      </c>
      <c r="B7366" s="1">
        <v>45742</v>
      </c>
      <c r="C7366" t="str">
        <f>"473"</f>
        <v>473</v>
      </c>
      <c r="F7366" t="str">
        <f t="shared" si="261"/>
        <v>63883000</v>
      </c>
      <c r="H7366" t="s">
        <v>2121</v>
      </c>
      <c r="J7366" s="4">
        <v>4040</v>
      </c>
    </row>
    <row r="7367" spans="1:10" hidden="1" outlineLevel="2" x14ac:dyDescent="0.35">
      <c r="A7367" t="s">
        <v>2018</v>
      </c>
      <c r="B7367" s="1">
        <v>45742</v>
      </c>
      <c r="C7367" t="str">
        <f>"474"</f>
        <v>474</v>
      </c>
      <c r="F7367" t="str">
        <f t="shared" si="261"/>
        <v>63883000</v>
      </c>
      <c r="H7367" t="s">
        <v>2190</v>
      </c>
      <c r="J7367" s="4">
        <v>2020</v>
      </c>
    </row>
    <row r="7368" spans="1:10" hidden="1" outlineLevel="2" x14ac:dyDescent="0.35">
      <c r="A7368" t="s">
        <v>2219</v>
      </c>
      <c r="B7368" s="1">
        <v>45717</v>
      </c>
      <c r="C7368" t="str">
        <f>"403"</f>
        <v>403</v>
      </c>
      <c r="F7368" t="str">
        <f t="shared" si="261"/>
        <v>63883000</v>
      </c>
      <c r="H7368" t="s">
        <v>2222</v>
      </c>
      <c r="J7368" s="4">
        <v>19000</v>
      </c>
    </row>
    <row r="7369" spans="1:10" hidden="1" outlineLevel="2" x14ac:dyDescent="0.35">
      <c r="A7369" t="s">
        <v>2219</v>
      </c>
      <c r="B7369" s="1">
        <v>45717</v>
      </c>
      <c r="C7369" t="str">
        <f>"404"</f>
        <v>404</v>
      </c>
      <c r="F7369" t="str">
        <f t="shared" si="261"/>
        <v>63883000</v>
      </c>
      <c r="H7369" t="s">
        <v>2223</v>
      </c>
      <c r="J7369" s="4">
        <v>19000</v>
      </c>
    </row>
    <row r="7370" spans="1:10" hidden="1" outlineLevel="2" x14ac:dyDescent="0.35">
      <c r="A7370" t="s">
        <v>2219</v>
      </c>
      <c r="B7370" s="1">
        <v>45717</v>
      </c>
      <c r="C7370" t="str">
        <f>"405"</f>
        <v>405</v>
      </c>
      <c r="F7370" t="str">
        <f t="shared" si="261"/>
        <v>63883000</v>
      </c>
      <c r="H7370" t="s">
        <v>2224</v>
      </c>
      <c r="J7370" s="4">
        <v>14000</v>
      </c>
    </row>
    <row r="7371" spans="1:10" hidden="1" outlineLevel="2" x14ac:dyDescent="0.35">
      <c r="A7371" t="s">
        <v>2219</v>
      </c>
      <c r="B7371" s="1">
        <v>45717</v>
      </c>
      <c r="C7371" t="str">
        <f>"406"</f>
        <v>406</v>
      </c>
      <c r="F7371" t="str">
        <f t="shared" si="261"/>
        <v>63883000</v>
      </c>
      <c r="H7371" t="s">
        <v>2225</v>
      </c>
      <c r="J7371" s="4">
        <v>12000</v>
      </c>
    </row>
    <row r="7372" spans="1:10" hidden="1" outlineLevel="2" x14ac:dyDescent="0.35">
      <c r="A7372" t="s">
        <v>2219</v>
      </c>
      <c r="B7372" s="1">
        <v>45717</v>
      </c>
      <c r="C7372" t="str">
        <f>"407"</f>
        <v>407</v>
      </c>
      <c r="F7372" t="str">
        <f t="shared" si="261"/>
        <v>63883000</v>
      </c>
      <c r="H7372" t="s">
        <v>2226</v>
      </c>
      <c r="J7372" s="4">
        <v>12000</v>
      </c>
    </row>
    <row r="7373" spans="1:10" hidden="1" outlineLevel="2" x14ac:dyDescent="0.35">
      <c r="A7373" t="s">
        <v>2219</v>
      </c>
      <c r="B7373" s="1">
        <v>45719</v>
      </c>
      <c r="C7373" t="str">
        <f>"411"</f>
        <v>411</v>
      </c>
      <c r="F7373" t="str">
        <f t="shared" si="261"/>
        <v>63883000</v>
      </c>
      <c r="H7373" t="s">
        <v>2224</v>
      </c>
      <c r="J7373" s="4">
        <v>12000</v>
      </c>
    </row>
    <row r="7374" spans="1:10" hidden="1" outlineLevel="2" x14ac:dyDescent="0.35">
      <c r="A7374" t="s">
        <v>2219</v>
      </c>
      <c r="B7374" s="1">
        <v>45719</v>
      </c>
      <c r="C7374" t="str">
        <f>"412"</f>
        <v>412</v>
      </c>
      <c r="F7374" t="str">
        <f t="shared" si="261"/>
        <v>63883000</v>
      </c>
      <c r="H7374" t="s">
        <v>2225</v>
      </c>
      <c r="J7374" s="4">
        <v>19000</v>
      </c>
    </row>
    <row r="7375" spans="1:10" hidden="1" outlineLevel="2" x14ac:dyDescent="0.35">
      <c r="A7375" t="s">
        <v>2219</v>
      </c>
      <c r="B7375" s="1">
        <v>45719</v>
      </c>
      <c r="C7375" t="str">
        <f>"413"</f>
        <v>413</v>
      </c>
      <c r="F7375" t="str">
        <f t="shared" si="261"/>
        <v>63883000</v>
      </c>
      <c r="H7375" t="s">
        <v>2230</v>
      </c>
      <c r="J7375" s="4">
        <v>14000</v>
      </c>
    </row>
    <row r="7376" spans="1:10" hidden="1" outlineLevel="2" x14ac:dyDescent="0.35">
      <c r="A7376" t="s">
        <v>2219</v>
      </c>
      <c r="B7376" s="1">
        <v>45719</v>
      </c>
      <c r="C7376" t="str">
        <f>"414"</f>
        <v>414</v>
      </c>
      <c r="F7376" t="str">
        <f t="shared" si="261"/>
        <v>63883000</v>
      </c>
      <c r="H7376" t="s">
        <v>2231</v>
      </c>
      <c r="J7376" s="4">
        <v>19000</v>
      </c>
    </row>
    <row r="7377" spans="1:10" hidden="1" outlineLevel="2" x14ac:dyDescent="0.35">
      <c r="A7377" t="s">
        <v>2219</v>
      </c>
      <c r="B7377" s="1">
        <v>45719</v>
      </c>
      <c r="C7377" t="str">
        <f>"415"</f>
        <v>415</v>
      </c>
      <c r="F7377" t="str">
        <f t="shared" si="261"/>
        <v>63883000</v>
      </c>
      <c r="H7377" t="s">
        <v>2232</v>
      </c>
      <c r="J7377" s="4">
        <v>10000</v>
      </c>
    </row>
    <row r="7378" spans="1:10" hidden="1" outlineLevel="2" x14ac:dyDescent="0.35">
      <c r="A7378" t="s">
        <v>2219</v>
      </c>
      <c r="B7378" s="1">
        <v>45720</v>
      </c>
      <c r="C7378" t="str">
        <f>"422"</f>
        <v>422</v>
      </c>
      <c r="F7378" t="str">
        <f t="shared" si="261"/>
        <v>63883000</v>
      </c>
      <c r="H7378" t="s">
        <v>2238</v>
      </c>
      <c r="J7378" s="4">
        <v>14000</v>
      </c>
    </row>
    <row r="7379" spans="1:10" hidden="1" outlineLevel="2" x14ac:dyDescent="0.35">
      <c r="A7379" t="s">
        <v>2219</v>
      </c>
      <c r="B7379" s="1">
        <v>45720</v>
      </c>
      <c r="C7379" t="str">
        <f>"423"</f>
        <v>423</v>
      </c>
      <c r="F7379" t="str">
        <f t="shared" ref="F7379:F7406" si="262">"63883000"</f>
        <v>63883000</v>
      </c>
      <c r="H7379" t="s">
        <v>2239</v>
      </c>
      <c r="J7379" s="4">
        <v>14000</v>
      </c>
    </row>
    <row r="7380" spans="1:10" hidden="1" outlineLevel="2" x14ac:dyDescent="0.35">
      <c r="A7380" t="s">
        <v>2219</v>
      </c>
      <c r="B7380" s="1">
        <v>45726</v>
      </c>
      <c r="C7380" t="str">
        <f>"453"</f>
        <v>453</v>
      </c>
      <c r="F7380" t="str">
        <f t="shared" si="262"/>
        <v>63883000</v>
      </c>
      <c r="H7380" t="s">
        <v>2262</v>
      </c>
      <c r="J7380" s="4">
        <v>19000</v>
      </c>
    </row>
    <row r="7381" spans="1:10" hidden="1" outlineLevel="2" x14ac:dyDescent="0.35">
      <c r="A7381" t="s">
        <v>2219</v>
      </c>
      <c r="B7381" s="1">
        <v>45729</v>
      </c>
      <c r="C7381" t="str">
        <f>"470"</f>
        <v>470</v>
      </c>
      <c r="F7381" t="str">
        <f t="shared" si="262"/>
        <v>63883000</v>
      </c>
      <c r="H7381" t="s">
        <v>2276</v>
      </c>
      <c r="J7381" s="4">
        <v>19000</v>
      </c>
    </row>
    <row r="7382" spans="1:10" hidden="1" outlineLevel="2" x14ac:dyDescent="0.35">
      <c r="A7382" t="s">
        <v>2337</v>
      </c>
      <c r="B7382" s="1">
        <v>45720</v>
      </c>
      <c r="C7382" t="str">
        <f>"662"</f>
        <v>662</v>
      </c>
      <c r="E7382" t="str">
        <f>"17282"</f>
        <v>17282</v>
      </c>
      <c r="F7382" t="str">
        <f t="shared" si="262"/>
        <v>63883000</v>
      </c>
      <c r="H7382" t="s">
        <v>2363</v>
      </c>
      <c r="J7382" s="4">
        <v>33500</v>
      </c>
    </row>
    <row r="7383" spans="1:10" hidden="1" outlineLevel="2" x14ac:dyDescent="0.35">
      <c r="A7383" t="s">
        <v>2337</v>
      </c>
      <c r="B7383" s="1">
        <v>45720</v>
      </c>
      <c r="C7383" t="str">
        <f>"663"</f>
        <v>663</v>
      </c>
      <c r="E7383" t="str">
        <f>"17283"</f>
        <v>17283</v>
      </c>
      <c r="F7383" t="str">
        <f t="shared" si="262"/>
        <v>63883000</v>
      </c>
      <c r="H7383" t="s">
        <v>2365</v>
      </c>
      <c r="J7383" s="4">
        <v>128000</v>
      </c>
    </row>
    <row r="7384" spans="1:10" hidden="1" outlineLevel="2" x14ac:dyDescent="0.35">
      <c r="A7384" t="s">
        <v>2337</v>
      </c>
      <c r="B7384" s="1">
        <v>45721</v>
      </c>
      <c r="C7384" t="str">
        <f>"675"</f>
        <v>675</v>
      </c>
      <c r="E7384" t="str">
        <f>"17295"</f>
        <v>17295</v>
      </c>
      <c r="F7384" t="str">
        <f t="shared" si="262"/>
        <v>63883000</v>
      </c>
      <c r="H7384" t="s">
        <v>2383</v>
      </c>
      <c r="J7384" s="4">
        <v>55000</v>
      </c>
    </row>
    <row r="7385" spans="1:10" hidden="1" outlineLevel="2" x14ac:dyDescent="0.35">
      <c r="A7385" t="s">
        <v>2337</v>
      </c>
      <c r="B7385" s="1">
        <v>45721</v>
      </c>
      <c r="C7385" t="str">
        <f>"680"</f>
        <v>680</v>
      </c>
      <c r="E7385" t="str">
        <f>"17300"</f>
        <v>17300</v>
      </c>
      <c r="F7385" t="str">
        <f t="shared" si="262"/>
        <v>63883000</v>
      </c>
      <c r="H7385" t="s">
        <v>2390</v>
      </c>
      <c r="J7385" s="4">
        <v>317900</v>
      </c>
    </row>
    <row r="7386" spans="1:10" hidden="1" outlineLevel="2" x14ac:dyDescent="0.35">
      <c r="A7386" t="s">
        <v>2337</v>
      </c>
      <c r="B7386" s="1">
        <v>45723</v>
      </c>
      <c r="C7386" t="str">
        <f>"689"</f>
        <v>689</v>
      </c>
      <c r="E7386" t="str">
        <f>"17308"</f>
        <v>17308</v>
      </c>
      <c r="F7386" t="str">
        <f t="shared" si="262"/>
        <v>63883000</v>
      </c>
      <c r="H7386" t="s">
        <v>2405</v>
      </c>
      <c r="J7386" s="4">
        <v>117600</v>
      </c>
    </row>
    <row r="7387" spans="1:10" hidden="1" outlineLevel="2" x14ac:dyDescent="0.35">
      <c r="A7387" t="s">
        <v>2337</v>
      </c>
      <c r="B7387" s="1">
        <v>45726</v>
      </c>
      <c r="C7387" t="str">
        <f>"710"</f>
        <v>710</v>
      </c>
      <c r="E7387" t="str">
        <f>"17329"</f>
        <v>17329</v>
      </c>
      <c r="F7387" t="str">
        <f t="shared" si="262"/>
        <v>63883000</v>
      </c>
      <c r="H7387" t="s">
        <v>2430</v>
      </c>
      <c r="J7387" s="4">
        <v>27300</v>
      </c>
    </row>
    <row r="7388" spans="1:10" hidden="1" outlineLevel="2" x14ac:dyDescent="0.35">
      <c r="A7388" t="s">
        <v>2337</v>
      </c>
      <c r="B7388" s="1">
        <v>45726</v>
      </c>
      <c r="C7388" t="str">
        <f>"714"</f>
        <v>714</v>
      </c>
      <c r="E7388" t="str">
        <f>"17333"</f>
        <v>17333</v>
      </c>
      <c r="F7388" t="str">
        <f t="shared" si="262"/>
        <v>63883000</v>
      </c>
      <c r="H7388" t="s">
        <v>2440</v>
      </c>
      <c r="J7388" s="4">
        <v>66500</v>
      </c>
    </row>
    <row r="7389" spans="1:10" hidden="1" outlineLevel="2" x14ac:dyDescent="0.35">
      <c r="A7389" t="s">
        <v>2337</v>
      </c>
      <c r="B7389" s="1">
        <v>45728</v>
      </c>
      <c r="C7389" t="str">
        <f>"737"</f>
        <v>737</v>
      </c>
      <c r="E7389" t="str">
        <f>"17356"</f>
        <v>17356</v>
      </c>
      <c r="F7389" t="str">
        <f t="shared" si="262"/>
        <v>63883000</v>
      </c>
      <c r="H7389" t="s">
        <v>2469</v>
      </c>
      <c r="J7389" s="4">
        <v>34500</v>
      </c>
    </row>
    <row r="7390" spans="1:10" hidden="1" outlineLevel="2" x14ac:dyDescent="0.35">
      <c r="A7390" t="s">
        <v>2337</v>
      </c>
      <c r="B7390" s="1">
        <v>45728</v>
      </c>
      <c r="C7390" t="str">
        <f>"738"</f>
        <v>738</v>
      </c>
      <c r="E7390" t="str">
        <f>"17357"</f>
        <v>17357</v>
      </c>
      <c r="F7390" t="str">
        <f t="shared" si="262"/>
        <v>63883000</v>
      </c>
      <c r="H7390" t="s">
        <v>2472</v>
      </c>
      <c r="J7390" s="4">
        <v>2000</v>
      </c>
    </row>
    <row r="7391" spans="1:10" hidden="1" outlineLevel="2" x14ac:dyDescent="0.35">
      <c r="A7391" t="s">
        <v>2337</v>
      </c>
      <c r="B7391" s="1">
        <v>45728</v>
      </c>
      <c r="C7391" t="str">
        <f>"739"</f>
        <v>739</v>
      </c>
      <c r="E7391" t="str">
        <f>"17358"</f>
        <v>17358</v>
      </c>
      <c r="F7391" t="str">
        <f t="shared" si="262"/>
        <v>63883000</v>
      </c>
      <c r="H7391" t="s">
        <v>2475</v>
      </c>
      <c r="J7391" s="4">
        <v>50000</v>
      </c>
    </row>
    <row r="7392" spans="1:10" hidden="1" outlineLevel="2" x14ac:dyDescent="0.35">
      <c r="A7392" t="s">
        <v>2337</v>
      </c>
      <c r="B7392" s="1">
        <v>45729</v>
      </c>
      <c r="C7392" t="str">
        <f>"745"</f>
        <v>745</v>
      </c>
      <c r="E7392" t="str">
        <f>"17364"</f>
        <v>17364</v>
      </c>
      <c r="F7392" t="str">
        <f t="shared" si="262"/>
        <v>63883000</v>
      </c>
      <c r="H7392" t="s">
        <v>2481</v>
      </c>
      <c r="J7392" s="4">
        <v>11500</v>
      </c>
    </row>
    <row r="7393" spans="1:11" hidden="1" outlineLevel="2" x14ac:dyDescent="0.35">
      <c r="A7393" t="s">
        <v>2337</v>
      </c>
      <c r="B7393" s="1">
        <v>45729</v>
      </c>
      <c r="C7393" t="str">
        <f>"746"</f>
        <v>746</v>
      </c>
      <c r="E7393" t="str">
        <f>"17365"</f>
        <v>17365</v>
      </c>
      <c r="F7393" t="str">
        <f t="shared" si="262"/>
        <v>63883000</v>
      </c>
      <c r="H7393" t="s">
        <v>2483</v>
      </c>
      <c r="J7393" s="4">
        <v>11000</v>
      </c>
    </row>
    <row r="7394" spans="1:11" hidden="1" outlineLevel="2" x14ac:dyDescent="0.35">
      <c r="A7394" t="s">
        <v>2337</v>
      </c>
      <c r="B7394" s="1">
        <v>45730</v>
      </c>
      <c r="C7394" t="str">
        <f>"766"</f>
        <v>766</v>
      </c>
      <c r="E7394" t="str">
        <f>"17385"</f>
        <v>17385</v>
      </c>
      <c r="F7394" t="str">
        <f t="shared" si="262"/>
        <v>63883000</v>
      </c>
      <c r="H7394" t="s">
        <v>2512</v>
      </c>
      <c r="J7394" s="4">
        <v>167000</v>
      </c>
    </row>
    <row r="7395" spans="1:11" hidden="1" outlineLevel="2" x14ac:dyDescent="0.35">
      <c r="A7395" t="s">
        <v>2337</v>
      </c>
      <c r="B7395" s="1">
        <v>45733</v>
      </c>
      <c r="C7395" t="str">
        <f>"773"</f>
        <v>773</v>
      </c>
      <c r="E7395" t="str">
        <f>"17392"</f>
        <v>17392</v>
      </c>
      <c r="F7395" t="str">
        <f t="shared" si="262"/>
        <v>63883000</v>
      </c>
      <c r="H7395" t="s">
        <v>2521</v>
      </c>
      <c r="J7395" s="4">
        <v>56700</v>
      </c>
    </row>
    <row r="7396" spans="1:11" hidden="1" outlineLevel="2" x14ac:dyDescent="0.35">
      <c r="A7396" t="s">
        <v>2337</v>
      </c>
      <c r="B7396" s="1">
        <v>45735</v>
      </c>
      <c r="C7396" t="str">
        <f>"801"</f>
        <v>801</v>
      </c>
      <c r="E7396" t="str">
        <f>"17457"</f>
        <v>17457</v>
      </c>
      <c r="F7396" t="str">
        <f t="shared" si="262"/>
        <v>63883000</v>
      </c>
      <c r="H7396" t="s">
        <v>2540</v>
      </c>
      <c r="J7396" s="4">
        <v>35000</v>
      </c>
    </row>
    <row r="7397" spans="1:11" hidden="1" outlineLevel="2" x14ac:dyDescent="0.35">
      <c r="A7397" t="s">
        <v>2337</v>
      </c>
      <c r="B7397" s="1">
        <v>45735</v>
      </c>
      <c r="C7397" t="str">
        <f>"802"</f>
        <v>802</v>
      </c>
      <c r="E7397" t="str">
        <f>"17458"</f>
        <v>17458</v>
      </c>
      <c r="F7397" t="str">
        <f t="shared" si="262"/>
        <v>63883000</v>
      </c>
      <c r="H7397" t="s">
        <v>2544</v>
      </c>
      <c r="J7397" s="4">
        <v>60900</v>
      </c>
    </row>
    <row r="7398" spans="1:11" hidden="1" outlineLevel="2" x14ac:dyDescent="0.35">
      <c r="A7398" t="s">
        <v>2337</v>
      </c>
      <c r="B7398" s="1">
        <v>45737</v>
      </c>
      <c r="C7398" t="str">
        <f>"816"</f>
        <v>816</v>
      </c>
      <c r="E7398" t="str">
        <f>"17472"</f>
        <v>17472</v>
      </c>
      <c r="F7398" t="str">
        <f t="shared" si="262"/>
        <v>63883000</v>
      </c>
      <c r="H7398" t="s">
        <v>2563</v>
      </c>
      <c r="J7398" s="4">
        <v>10500</v>
      </c>
    </row>
    <row r="7399" spans="1:11" hidden="1" outlineLevel="2" x14ac:dyDescent="0.35">
      <c r="A7399" t="s">
        <v>2337</v>
      </c>
      <c r="B7399" s="1">
        <v>45737</v>
      </c>
      <c r="C7399" t="str">
        <f>"818"</f>
        <v>818</v>
      </c>
      <c r="E7399" t="str">
        <f>"17474"</f>
        <v>17474</v>
      </c>
      <c r="F7399" t="str">
        <f t="shared" si="262"/>
        <v>63883000</v>
      </c>
      <c r="H7399" t="s">
        <v>2383</v>
      </c>
      <c r="J7399" s="4">
        <v>44000</v>
      </c>
    </row>
    <row r="7400" spans="1:11" hidden="1" outlineLevel="2" x14ac:dyDescent="0.35">
      <c r="A7400" t="s">
        <v>2337</v>
      </c>
      <c r="B7400" s="1">
        <v>45737</v>
      </c>
      <c r="C7400" t="str">
        <f>"820"</f>
        <v>820</v>
      </c>
      <c r="E7400" t="str">
        <f>"17476"</f>
        <v>17476</v>
      </c>
      <c r="F7400" t="str">
        <f t="shared" si="262"/>
        <v>63883000</v>
      </c>
      <c r="H7400" t="s">
        <v>2572</v>
      </c>
      <c r="J7400" s="4">
        <v>66500</v>
      </c>
    </row>
    <row r="7401" spans="1:11" hidden="1" outlineLevel="2" x14ac:dyDescent="0.35">
      <c r="A7401" t="s">
        <v>2337</v>
      </c>
      <c r="B7401" s="1">
        <v>45737</v>
      </c>
      <c r="C7401" t="str">
        <f>"823"</f>
        <v>823</v>
      </c>
      <c r="E7401" t="str">
        <f>"17479"</f>
        <v>17479</v>
      </c>
      <c r="F7401" t="str">
        <f t="shared" si="262"/>
        <v>63883000</v>
      </c>
      <c r="H7401" t="s">
        <v>2579</v>
      </c>
      <c r="J7401" s="4">
        <v>25500</v>
      </c>
    </row>
    <row r="7402" spans="1:11" hidden="1" outlineLevel="2" x14ac:dyDescent="0.35">
      <c r="A7402" t="s">
        <v>2337</v>
      </c>
      <c r="B7402" s="1">
        <v>45742</v>
      </c>
      <c r="C7402" t="str">
        <f>"867"</f>
        <v>867</v>
      </c>
      <c r="E7402" t="str">
        <f>"15874"</f>
        <v>15874</v>
      </c>
      <c r="F7402" t="str">
        <f t="shared" si="262"/>
        <v>63883000</v>
      </c>
      <c r="H7402" t="s">
        <v>2625</v>
      </c>
      <c r="J7402" s="4">
        <v>48300</v>
      </c>
    </row>
    <row r="7403" spans="1:11" hidden="1" outlineLevel="2" x14ac:dyDescent="0.35">
      <c r="A7403" t="s">
        <v>2337</v>
      </c>
      <c r="B7403" s="1">
        <v>45744</v>
      </c>
      <c r="C7403" t="str">
        <f>"877"</f>
        <v>877</v>
      </c>
      <c r="E7403" t="str">
        <f>"15883"</f>
        <v>15883</v>
      </c>
      <c r="F7403" t="str">
        <f t="shared" si="262"/>
        <v>63883000</v>
      </c>
      <c r="H7403" t="s">
        <v>2639</v>
      </c>
      <c r="J7403" s="4">
        <v>34000</v>
      </c>
    </row>
    <row r="7404" spans="1:11" hidden="1" outlineLevel="2" x14ac:dyDescent="0.35">
      <c r="A7404" t="s">
        <v>2337</v>
      </c>
      <c r="B7404" s="1">
        <v>45744</v>
      </c>
      <c r="C7404" t="str">
        <f>"879"</f>
        <v>879</v>
      </c>
      <c r="E7404" t="str">
        <f>"15885"</f>
        <v>15885</v>
      </c>
      <c r="F7404" t="str">
        <f t="shared" si="262"/>
        <v>63883000</v>
      </c>
      <c r="H7404" t="s">
        <v>2645</v>
      </c>
      <c r="J7404" s="4">
        <v>62000</v>
      </c>
    </row>
    <row r="7405" spans="1:11" hidden="1" outlineLevel="2" x14ac:dyDescent="0.35">
      <c r="A7405" t="s">
        <v>2337</v>
      </c>
      <c r="B7405" s="1">
        <v>45744</v>
      </c>
      <c r="C7405" t="str">
        <f>"883"</f>
        <v>883</v>
      </c>
      <c r="E7405" t="str">
        <f>"15889"</f>
        <v>15889</v>
      </c>
      <c r="F7405" t="str">
        <f t="shared" si="262"/>
        <v>63883000</v>
      </c>
      <c r="H7405" t="s">
        <v>2653</v>
      </c>
      <c r="J7405" s="4">
        <v>121500</v>
      </c>
    </row>
    <row r="7406" spans="1:11" hidden="1" outlineLevel="2" x14ac:dyDescent="0.35">
      <c r="A7406" t="s">
        <v>3056</v>
      </c>
      <c r="B7406" s="1">
        <v>45741</v>
      </c>
      <c r="C7406" t="str">
        <f>"197"</f>
        <v>197</v>
      </c>
      <c r="F7406" t="str">
        <f t="shared" si="262"/>
        <v>63883000</v>
      </c>
      <c r="H7406" t="s">
        <v>2383</v>
      </c>
      <c r="J7406" s="4">
        <v>3000</v>
      </c>
    </row>
    <row r="7407" spans="1:11" outlineLevel="1" collapsed="1" x14ac:dyDescent="0.35">
      <c r="B7407" s="1"/>
      <c r="F7407" s="3" t="s">
        <v>6664</v>
      </c>
      <c r="J7407" s="4">
        <f>SUBTOTAL(9,J7315:J7406)</f>
        <v>1994380</v>
      </c>
      <c r="K7407" s="4">
        <f>SUBTOTAL(9,K7315:K7406)</f>
        <v>0</v>
      </c>
    </row>
    <row r="7408" spans="1:11" hidden="1" outlineLevel="2" x14ac:dyDescent="0.35">
      <c r="A7408" t="s">
        <v>11</v>
      </c>
      <c r="B7408" s="1">
        <v>45717</v>
      </c>
      <c r="C7408" t="str">
        <f>"259"</f>
        <v>259</v>
      </c>
      <c r="F7408" t="str">
        <f t="shared" ref="F7408:F7413" si="263">"64110000"</f>
        <v>64110000</v>
      </c>
      <c r="H7408" t="s">
        <v>1279</v>
      </c>
      <c r="J7408" s="4">
        <v>2417280</v>
      </c>
    </row>
    <row r="7409" spans="1:11" hidden="1" outlineLevel="2" x14ac:dyDescent="0.35">
      <c r="A7409" t="s">
        <v>11</v>
      </c>
      <c r="B7409" s="1">
        <v>45717</v>
      </c>
      <c r="C7409" t="str">
        <f>"260"</f>
        <v>260</v>
      </c>
      <c r="E7409" t="s">
        <v>1280</v>
      </c>
      <c r="F7409" t="str">
        <f t="shared" si="263"/>
        <v>64110000</v>
      </c>
      <c r="H7409" t="s">
        <v>1281</v>
      </c>
      <c r="J7409" s="4">
        <v>521163</v>
      </c>
    </row>
    <row r="7410" spans="1:11" hidden="1" outlineLevel="2" x14ac:dyDescent="0.35">
      <c r="A7410" t="s">
        <v>11</v>
      </c>
      <c r="B7410" s="1">
        <v>45717</v>
      </c>
      <c r="C7410" t="str">
        <f>"261"</f>
        <v>261</v>
      </c>
      <c r="E7410" t="s">
        <v>1280</v>
      </c>
      <c r="F7410" t="str">
        <f t="shared" si="263"/>
        <v>64110000</v>
      </c>
      <c r="H7410" t="s">
        <v>1282</v>
      </c>
      <c r="J7410" s="4">
        <v>1100</v>
      </c>
    </row>
    <row r="7411" spans="1:11" hidden="1" outlineLevel="2" x14ac:dyDescent="0.35">
      <c r="A7411" t="s">
        <v>11</v>
      </c>
      <c r="B7411" s="1">
        <v>45717</v>
      </c>
      <c r="C7411" t="str">
        <f>"262"</f>
        <v>262</v>
      </c>
      <c r="E7411" t="s">
        <v>1283</v>
      </c>
      <c r="F7411" t="str">
        <f t="shared" si="263"/>
        <v>64110000</v>
      </c>
      <c r="H7411" t="s">
        <v>1284</v>
      </c>
      <c r="J7411" s="4">
        <v>11613443</v>
      </c>
    </row>
    <row r="7412" spans="1:11" hidden="1" outlineLevel="2" x14ac:dyDescent="0.35">
      <c r="A7412" t="s">
        <v>11</v>
      </c>
      <c r="B7412" s="1">
        <v>45717</v>
      </c>
      <c r="C7412" t="str">
        <f>"265"</f>
        <v>265</v>
      </c>
      <c r="E7412" t="s">
        <v>1280</v>
      </c>
      <c r="F7412" t="str">
        <f t="shared" si="263"/>
        <v>64110000</v>
      </c>
      <c r="H7412" t="s">
        <v>1288</v>
      </c>
      <c r="J7412" s="4">
        <v>483034</v>
      </c>
    </row>
    <row r="7413" spans="1:11" hidden="1" outlineLevel="2" x14ac:dyDescent="0.35">
      <c r="A7413" t="s">
        <v>11</v>
      </c>
      <c r="B7413" s="1">
        <v>45717</v>
      </c>
      <c r="C7413" t="str">
        <f>"266"</f>
        <v>266</v>
      </c>
      <c r="E7413" t="s">
        <v>1289</v>
      </c>
      <c r="F7413" t="str">
        <f t="shared" si="263"/>
        <v>64110000</v>
      </c>
      <c r="H7413" t="s">
        <v>1290</v>
      </c>
      <c r="J7413" s="4">
        <v>101118</v>
      </c>
    </row>
    <row r="7414" spans="1:11" outlineLevel="1" collapsed="1" x14ac:dyDescent="0.35">
      <c r="B7414" s="1"/>
      <c r="F7414" s="3" t="s">
        <v>6665</v>
      </c>
      <c r="J7414" s="4">
        <f>SUBTOTAL(9,J7408:J7413)</f>
        <v>15137138</v>
      </c>
      <c r="K7414" s="4">
        <f>SUBTOTAL(9,K7408:K7413)</f>
        <v>0</v>
      </c>
    </row>
    <row r="7415" spans="1:11" hidden="1" outlineLevel="2" x14ac:dyDescent="0.35">
      <c r="A7415" t="s">
        <v>11</v>
      </c>
      <c r="B7415" s="1">
        <v>45717</v>
      </c>
      <c r="C7415" t="str">
        <f>"250"</f>
        <v>250</v>
      </c>
      <c r="E7415" t="s">
        <v>1267</v>
      </c>
      <c r="F7415" t="str">
        <f>"64111000"</f>
        <v>64111000</v>
      </c>
      <c r="H7415" t="s">
        <v>1268</v>
      </c>
      <c r="J7415" s="4">
        <v>668083</v>
      </c>
    </row>
    <row r="7416" spans="1:11" outlineLevel="1" collapsed="1" x14ac:dyDescent="0.35">
      <c r="B7416" s="1"/>
      <c r="F7416" s="3" t="s">
        <v>6666</v>
      </c>
      <c r="J7416" s="4">
        <f>SUBTOTAL(9,J7415:J7415)</f>
        <v>668083</v>
      </c>
      <c r="K7416" s="4">
        <f>SUBTOTAL(9,K7415:K7415)</f>
        <v>0</v>
      </c>
    </row>
    <row r="7417" spans="1:11" hidden="1" outlineLevel="2" x14ac:dyDescent="0.35">
      <c r="A7417" t="s">
        <v>11</v>
      </c>
      <c r="B7417" s="1">
        <v>45717</v>
      </c>
      <c r="C7417" t="str">
        <f>"225"</f>
        <v>225</v>
      </c>
      <c r="F7417" t="str">
        <f>"64121000"</f>
        <v>64121000</v>
      </c>
      <c r="H7417" t="s">
        <v>1223</v>
      </c>
      <c r="J7417" s="4">
        <v>3413578</v>
      </c>
    </row>
    <row r="7418" spans="1:11" outlineLevel="1" collapsed="1" x14ac:dyDescent="0.35">
      <c r="B7418" s="1"/>
      <c r="F7418" s="3" t="s">
        <v>6667</v>
      </c>
      <c r="J7418" s="4">
        <f>SUBTOTAL(9,J7417:J7417)</f>
        <v>3413578</v>
      </c>
      <c r="K7418" s="4">
        <f>SUBTOTAL(9,K7417:K7417)</f>
        <v>0</v>
      </c>
    </row>
    <row r="7419" spans="1:11" hidden="1" outlineLevel="2" x14ac:dyDescent="0.35">
      <c r="A7419" t="s">
        <v>11</v>
      </c>
      <c r="B7419" s="1">
        <v>45717</v>
      </c>
      <c r="C7419" t="str">
        <f>"226"</f>
        <v>226</v>
      </c>
      <c r="E7419" t="s">
        <v>1224</v>
      </c>
      <c r="F7419" t="str">
        <f>"64130000"</f>
        <v>64130000</v>
      </c>
      <c r="H7419" t="s">
        <v>1225</v>
      </c>
      <c r="J7419" s="4">
        <v>2830381</v>
      </c>
    </row>
    <row r="7420" spans="1:11" hidden="1" outlineLevel="2" x14ac:dyDescent="0.35">
      <c r="A7420" t="s">
        <v>2964</v>
      </c>
      <c r="B7420" s="1">
        <v>45747</v>
      </c>
      <c r="C7420" t="s">
        <v>2965</v>
      </c>
      <c r="D7420" t="s">
        <v>2966</v>
      </c>
      <c r="F7420" t="str">
        <f>"64130000"</f>
        <v>64130000</v>
      </c>
      <c r="H7420" t="s">
        <v>2986</v>
      </c>
      <c r="J7420" s="4">
        <v>4031932</v>
      </c>
    </row>
    <row r="7421" spans="1:11" hidden="1" outlineLevel="2" x14ac:dyDescent="0.35">
      <c r="A7421" t="s">
        <v>2964</v>
      </c>
      <c r="B7421" s="1">
        <v>45747</v>
      </c>
      <c r="C7421" t="s">
        <v>2965</v>
      </c>
      <c r="D7421" t="s">
        <v>2966</v>
      </c>
      <c r="F7421" t="str">
        <f>"64130000"</f>
        <v>64130000</v>
      </c>
      <c r="H7421" t="s">
        <v>2987</v>
      </c>
      <c r="J7421" s="4">
        <v>328831</v>
      </c>
    </row>
    <row r="7422" spans="1:11" outlineLevel="1" collapsed="1" x14ac:dyDescent="0.35">
      <c r="B7422" s="1"/>
      <c r="F7422" s="3" t="s">
        <v>6668</v>
      </c>
      <c r="J7422" s="4">
        <f>SUBTOTAL(9,J7419:J7421)</f>
        <v>7191144</v>
      </c>
      <c r="K7422" s="4">
        <f>SUBTOTAL(9,K7419:K7421)</f>
        <v>0</v>
      </c>
    </row>
    <row r="7423" spans="1:11" hidden="1" outlineLevel="2" x14ac:dyDescent="0.35">
      <c r="A7423" t="s">
        <v>2964</v>
      </c>
      <c r="B7423" s="1">
        <v>45747</v>
      </c>
      <c r="C7423" t="s">
        <v>2965</v>
      </c>
      <c r="D7423" t="s">
        <v>2966</v>
      </c>
      <c r="F7423" t="str">
        <f>"64140000"</f>
        <v>64140000</v>
      </c>
      <c r="H7423" t="s">
        <v>2988</v>
      </c>
      <c r="J7423" s="4">
        <v>727831</v>
      </c>
    </row>
    <row r="7424" spans="1:11" hidden="1" outlineLevel="2" x14ac:dyDescent="0.35">
      <c r="A7424" t="s">
        <v>2964</v>
      </c>
      <c r="B7424" s="1">
        <v>45747</v>
      </c>
      <c r="C7424" t="s">
        <v>2965</v>
      </c>
      <c r="D7424" t="s">
        <v>2966</v>
      </c>
      <c r="F7424" t="str">
        <f>"64140000"</f>
        <v>64140000</v>
      </c>
      <c r="H7424" t="s">
        <v>2989</v>
      </c>
      <c r="J7424" s="4">
        <v>109605</v>
      </c>
    </row>
    <row r="7425" spans="1:11" outlineLevel="1" collapsed="1" x14ac:dyDescent="0.35">
      <c r="B7425" s="1"/>
      <c r="F7425" s="3" t="s">
        <v>6669</v>
      </c>
      <c r="J7425" s="4">
        <f>SUBTOTAL(9,J7423:J7424)</f>
        <v>837436</v>
      </c>
      <c r="K7425" s="4">
        <f>SUBTOTAL(9,K7423:K7424)</f>
        <v>0</v>
      </c>
    </row>
    <row r="7426" spans="1:11" hidden="1" outlineLevel="2" x14ac:dyDescent="0.35">
      <c r="A7426" t="s">
        <v>2964</v>
      </c>
      <c r="B7426" s="1">
        <v>45747</v>
      </c>
      <c r="C7426" t="s">
        <v>2965</v>
      </c>
      <c r="D7426" t="s">
        <v>2966</v>
      </c>
      <c r="F7426" t="str">
        <f>"64150000"</f>
        <v>64150000</v>
      </c>
      <c r="H7426" t="s">
        <v>2990</v>
      </c>
      <c r="J7426" s="4">
        <v>2183534</v>
      </c>
    </row>
    <row r="7427" spans="1:11" hidden="1" outlineLevel="2" x14ac:dyDescent="0.35">
      <c r="A7427" t="s">
        <v>2964</v>
      </c>
      <c r="B7427" s="1">
        <v>45747</v>
      </c>
      <c r="C7427" t="s">
        <v>2965</v>
      </c>
      <c r="D7427" t="s">
        <v>2966</v>
      </c>
      <c r="F7427" t="str">
        <f>"64150000"</f>
        <v>64150000</v>
      </c>
      <c r="H7427" t="s">
        <v>2991</v>
      </c>
      <c r="J7427" s="4">
        <v>328818</v>
      </c>
    </row>
    <row r="7428" spans="1:11" outlineLevel="1" collapsed="1" x14ac:dyDescent="0.35">
      <c r="B7428" s="1"/>
      <c r="F7428" s="3" t="s">
        <v>6670</v>
      </c>
      <c r="J7428" s="4">
        <f>SUBTOTAL(9,J7426:J7427)</f>
        <v>2512352</v>
      </c>
      <c r="K7428" s="4">
        <f>SUBTOTAL(9,K7426:K7427)</f>
        <v>0</v>
      </c>
    </row>
    <row r="7429" spans="1:11" hidden="1" outlineLevel="2" x14ac:dyDescent="0.35">
      <c r="A7429" t="s">
        <v>101</v>
      </c>
      <c r="B7429" s="1">
        <v>45746</v>
      </c>
      <c r="C7429" t="str">
        <f>"14"</f>
        <v>14</v>
      </c>
      <c r="F7429" t="str">
        <f>"64501000"</f>
        <v>64501000</v>
      </c>
      <c r="H7429" t="s">
        <v>114</v>
      </c>
      <c r="J7429" s="4">
        <v>1411490</v>
      </c>
    </row>
    <row r="7430" spans="1:11" outlineLevel="1" collapsed="1" x14ac:dyDescent="0.35">
      <c r="B7430" s="1"/>
      <c r="F7430" s="3" t="s">
        <v>6671</v>
      </c>
      <c r="J7430" s="4">
        <f>SUBTOTAL(9,J7429:J7429)</f>
        <v>1411490</v>
      </c>
      <c r="K7430" s="4">
        <f>SUBTOTAL(9,K7429:K7429)</f>
        <v>0</v>
      </c>
    </row>
    <row r="7431" spans="1:11" hidden="1" outlineLevel="2" x14ac:dyDescent="0.35">
      <c r="A7431" t="s">
        <v>26</v>
      </c>
      <c r="B7431" s="1">
        <v>45727</v>
      </c>
      <c r="C7431" t="str">
        <f>"64"</f>
        <v>64</v>
      </c>
      <c r="D7431" t="s">
        <v>1586</v>
      </c>
      <c r="E7431" t="s">
        <v>1587</v>
      </c>
      <c r="F7431" t="str">
        <f>"64611000"</f>
        <v>64611000</v>
      </c>
      <c r="H7431" t="s">
        <v>1589</v>
      </c>
      <c r="J7431" s="4">
        <v>231949</v>
      </c>
    </row>
    <row r="7432" spans="1:11" hidden="1" outlineLevel="2" x14ac:dyDescent="0.35">
      <c r="A7432" t="s">
        <v>2018</v>
      </c>
      <c r="B7432" s="1">
        <v>45742</v>
      </c>
      <c r="C7432" t="str">
        <f>"468"</f>
        <v>468</v>
      </c>
      <c r="F7432" t="str">
        <f>"64611000"</f>
        <v>64611000</v>
      </c>
      <c r="H7432" t="s">
        <v>2200</v>
      </c>
      <c r="J7432" s="4">
        <v>10000</v>
      </c>
    </row>
    <row r="7433" spans="1:11" outlineLevel="1" collapsed="1" x14ac:dyDescent="0.35">
      <c r="B7433" s="1"/>
      <c r="F7433" s="3" t="s">
        <v>6672</v>
      </c>
      <c r="J7433" s="4">
        <f>SUBTOTAL(9,J7431:J7432)</f>
        <v>241949</v>
      </c>
      <c r="K7433" s="4">
        <f>SUBTOTAL(9,K7431:K7432)</f>
        <v>0</v>
      </c>
    </row>
    <row r="7434" spans="1:11" hidden="1" outlineLevel="2" x14ac:dyDescent="0.35">
      <c r="A7434" t="s">
        <v>11</v>
      </c>
      <c r="B7434" s="1">
        <v>45717</v>
      </c>
      <c r="C7434" t="str">
        <f>"252"</f>
        <v>252</v>
      </c>
      <c r="F7434" t="str">
        <f>"64620000"</f>
        <v>64620000</v>
      </c>
      <c r="H7434" t="s">
        <v>1271</v>
      </c>
      <c r="J7434" s="4">
        <v>49091</v>
      </c>
    </row>
    <row r="7435" spans="1:11" hidden="1" outlineLevel="2" x14ac:dyDescent="0.35">
      <c r="A7435" t="s">
        <v>11</v>
      </c>
      <c r="B7435" s="1">
        <v>45717</v>
      </c>
      <c r="C7435" t="str">
        <f>"253"</f>
        <v>253</v>
      </c>
      <c r="F7435" t="str">
        <f>"64620000"</f>
        <v>64620000</v>
      </c>
      <c r="H7435" t="s">
        <v>1272</v>
      </c>
      <c r="J7435" s="4">
        <v>9263</v>
      </c>
    </row>
    <row r="7436" spans="1:11" hidden="1" outlineLevel="2" x14ac:dyDescent="0.35">
      <c r="A7436" t="s">
        <v>11</v>
      </c>
      <c r="B7436" s="1">
        <v>45717</v>
      </c>
      <c r="C7436" t="str">
        <f>"254"</f>
        <v>254</v>
      </c>
      <c r="F7436" t="str">
        <f>"64620000"</f>
        <v>64620000</v>
      </c>
      <c r="H7436" t="s">
        <v>1273</v>
      </c>
      <c r="J7436" s="4">
        <v>23375</v>
      </c>
    </row>
    <row r="7437" spans="1:11" outlineLevel="1" collapsed="1" x14ac:dyDescent="0.35">
      <c r="B7437" s="1"/>
      <c r="F7437" s="3" t="s">
        <v>6673</v>
      </c>
      <c r="J7437" s="4">
        <f>SUBTOTAL(9,J7434:J7436)</f>
        <v>81729</v>
      </c>
      <c r="K7437" s="4">
        <f>SUBTOTAL(9,K7434:K7436)</f>
        <v>0</v>
      </c>
    </row>
    <row r="7438" spans="1:11" hidden="1" outlineLevel="2" x14ac:dyDescent="0.35">
      <c r="A7438" t="s">
        <v>1831</v>
      </c>
      <c r="B7438" s="1">
        <v>45727</v>
      </c>
      <c r="C7438" t="str">
        <f>"87"</f>
        <v>87</v>
      </c>
      <c r="F7438" t="str">
        <f t="shared" ref="F7438:F7468" si="264">"64630000"</f>
        <v>64630000</v>
      </c>
      <c r="H7438" t="s">
        <v>1845</v>
      </c>
      <c r="J7438" s="4">
        <v>350000</v>
      </c>
    </row>
    <row r="7439" spans="1:11" hidden="1" outlineLevel="2" x14ac:dyDescent="0.35">
      <c r="A7439" t="s">
        <v>1873</v>
      </c>
      <c r="B7439" s="1">
        <v>45730</v>
      </c>
      <c r="C7439" t="str">
        <f>"55"</f>
        <v>55</v>
      </c>
      <c r="F7439" t="str">
        <f t="shared" si="264"/>
        <v>64630000</v>
      </c>
      <c r="H7439" t="s">
        <v>1889</v>
      </c>
      <c r="J7439" s="4">
        <v>450000</v>
      </c>
    </row>
    <row r="7440" spans="1:11" hidden="1" outlineLevel="2" x14ac:dyDescent="0.35">
      <c r="A7440" t="s">
        <v>1911</v>
      </c>
      <c r="B7440" s="1">
        <v>45720</v>
      </c>
      <c r="C7440" t="str">
        <f>"172"</f>
        <v>172</v>
      </c>
      <c r="F7440" t="str">
        <f t="shared" si="264"/>
        <v>64630000</v>
      </c>
      <c r="H7440" t="s">
        <v>1919</v>
      </c>
      <c r="J7440" s="4">
        <v>1330000</v>
      </c>
    </row>
    <row r="7441" spans="1:10" hidden="1" outlineLevel="2" x14ac:dyDescent="0.35">
      <c r="A7441" t="s">
        <v>2018</v>
      </c>
      <c r="B7441" s="1">
        <v>45723</v>
      </c>
      <c r="C7441" t="str">
        <f>"358"</f>
        <v>358</v>
      </c>
      <c r="F7441" t="str">
        <f t="shared" si="264"/>
        <v>64630000</v>
      </c>
      <c r="H7441" t="s">
        <v>2043</v>
      </c>
      <c r="J7441" s="4">
        <v>100000</v>
      </c>
    </row>
    <row r="7442" spans="1:10" hidden="1" outlineLevel="2" x14ac:dyDescent="0.35">
      <c r="A7442" t="s">
        <v>2018</v>
      </c>
      <c r="B7442" s="1">
        <v>45726</v>
      </c>
      <c r="C7442" t="str">
        <f>"367"</f>
        <v>367</v>
      </c>
      <c r="F7442" t="str">
        <f t="shared" si="264"/>
        <v>64630000</v>
      </c>
      <c r="H7442" t="s">
        <v>2054</v>
      </c>
      <c r="J7442" s="4">
        <v>25000</v>
      </c>
    </row>
    <row r="7443" spans="1:10" hidden="1" outlineLevel="2" x14ac:dyDescent="0.35">
      <c r="A7443" t="s">
        <v>2018</v>
      </c>
      <c r="B7443" s="1">
        <v>45728</v>
      </c>
      <c r="C7443" t="str">
        <f>"384"</f>
        <v>384</v>
      </c>
      <c r="F7443" t="str">
        <f t="shared" si="264"/>
        <v>64630000</v>
      </c>
      <c r="H7443" t="s">
        <v>2054</v>
      </c>
      <c r="J7443" s="4">
        <v>17500</v>
      </c>
    </row>
    <row r="7444" spans="1:10" hidden="1" outlineLevel="2" x14ac:dyDescent="0.35">
      <c r="A7444" t="s">
        <v>2018</v>
      </c>
      <c r="B7444" s="1">
        <v>45730</v>
      </c>
      <c r="C7444" t="str">
        <f>"400"</f>
        <v>400</v>
      </c>
      <c r="F7444" t="str">
        <f t="shared" si="264"/>
        <v>64630000</v>
      </c>
      <c r="H7444" t="s">
        <v>2054</v>
      </c>
      <c r="J7444" s="4">
        <v>12500</v>
      </c>
    </row>
    <row r="7445" spans="1:10" hidden="1" outlineLevel="2" x14ac:dyDescent="0.35">
      <c r="A7445" t="s">
        <v>2018</v>
      </c>
      <c r="B7445" s="1">
        <v>45735</v>
      </c>
      <c r="C7445" t="str">
        <f>"428"</f>
        <v>428</v>
      </c>
      <c r="F7445" t="str">
        <f t="shared" si="264"/>
        <v>64630000</v>
      </c>
      <c r="H7445" t="s">
        <v>2043</v>
      </c>
      <c r="J7445" s="4">
        <v>100000</v>
      </c>
    </row>
    <row r="7446" spans="1:10" hidden="1" outlineLevel="2" x14ac:dyDescent="0.35">
      <c r="A7446" t="s">
        <v>2018</v>
      </c>
      <c r="B7446" s="1">
        <v>45736</v>
      </c>
      <c r="C7446" t="str">
        <f>"434"</f>
        <v>434</v>
      </c>
      <c r="F7446" t="str">
        <f t="shared" si="264"/>
        <v>64630000</v>
      </c>
      <c r="H7446" t="s">
        <v>2054</v>
      </c>
      <c r="J7446" s="4">
        <v>15000</v>
      </c>
    </row>
    <row r="7447" spans="1:10" hidden="1" outlineLevel="2" x14ac:dyDescent="0.35">
      <c r="A7447" t="s">
        <v>2018</v>
      </c>
      <c r="B7447" s="1">
        <v>45740</v>
      </c>
      <c r="C7447" t="str">
        <f>"455"</f>
        <v>455</v>
      </c>
      <c r="F7447" t="str">
        <f t="shared" si="264"/>
        <v>64630000</v>
      </c>
      <c r="H7447" t="s">
        <v>2054</v>
      </c>
      <c r="J7447" s="4">
        <v>12500</v>
      </c>
    </row>
    <row r="7448" spans="1:10" hidden="1" outlineLevel="2" x14ac:dyDescent="0.35">
      <c r="A7448" t="s">
        <v>2018</v>
      </c>
      <c r="B7448" s="1">
        <v>45744</v>
      </c>
      <c r="C7448" t="str">
        <f>"483"</f>
        <v>483</v>
      </c>
      <c r="F7448" t="str">
        <f t="shared" si="264"/>
        <v>64630000</v>
      </c>
      <c r="H7448" t="s">
        <v>2054</v>
      </c>
      <c r="J7448" s="4">
        <v>50000</v>
      </c>
    </row>
    <row r="7449" spans="1:10" hidden="1" outlineLevel="2" x14ac:dyDescent="0.35">
      <c r="A7449" t="s">
        <v>2219</v>
      </c>
      <c r="B7449" s="1">
        <v>45719</v>
      </c>
      <c r="C7449" t="str">
        <f>"408"</f>
        <v>408</v>
      </c>
      <c r="F7449" t="str">
        <f t="shared" si="264"/>
        <v>64630000</v>
      </c>
      <c r="H7449" t="s">
        <v>2227</v>
      </c>
      <c r="J7449" s="4">
        <v>7500</v>
      </c>
    </row>
    <row r="7450" spans="1:10" hidden="1" outlineLevel="2" x14ac:dyDescent="0.35">
      <c r="A7450" t="s">
        <v>2219</v>
      </c>
      <c r="B7450" s="1">
        <v>45720</v>
      </c>
      <c r="C7450" t="str">
        <f>"418"</f>
        <v>418</v>
      </c>
      <c r="F7450" t="str">
        <f t="shared" si="264"/>
        <v>64630000</v>
      </c>
      <c r="H7450" t="s">
        <v>2227</v>
      </c>
      <c r="J7450" s="4">
        <v>15000</v>
      </c>
    </row>
    <row r="7451" spans="1:10" hidden="1" outlineLevel="2" x14ac:dyDescent="0.35">
      <c r="A7451" t="s">
        <v>2219</v>
      </c>
      <c r="B7451" s="1">
        <v>45721</v>
      </c>
      <c r="C7451" t="str">
        <f>"424"</f>
        <v>424</v>
      </c>
      <c r="F7451" t="str">
        <f t="shared" si="264"/>
        <v>64630000</v>
      </c>
      <c r="H7451" t="s">
        <v>2227</v>
      </c>
      <c r="J7451" s="4">
        <v>15000</v>
      </c>
    </row>
    <row r="7452" spans="1:10" hidden="1" outlineLevel="2" x14ac:dyDescent="0.35">
      <c r="A7452" t="s">
        <v>2219</v>
      </c>
      <c r="B7452" s="1">
        <v>45722</v>
      </c>
      <c r="C7452" t="str">
        <f>"431"</f>
        <v>431</v>
      </c>
      <c r="F7452" t="str">
        <f t="shared" si="264"/>
        <v>64630000</v>
      </c>
      <c r="H7452" t="s">
        <v>2227</v>
      </c>
      <c r="J7452" s="4">
        <v>12500</v>
      </c>
    </row>
    <row r="7453" spans="1:10" hidden="1" outlineLevel="2" x14ac:dyDescent="0.35">
      <c r="A7453" t="s">
        <v>2219</v>
      </c>
      <c r="B7453" s="1">
        <v>45723</v>
      </c>
      <c r="C7453" t="str">
        <f>"440"</f>
        <v>440</v>
      </c>
      <c r="F7453" t="str">
        <f t="shared" si="264"/>
        <v>64630000</v>
      </c>
      <c r="H7453" t="s">
        <v>2227</v>
      </c>
      <c r="J7453" s="4">
        <v>17500</v>
      </c>
    </row>
    <row r="7454" spans="1:10" hidden="1" outlineLevel="2" x14ac:dyDescent="0.35">
      <c r="A7454" t="s">
        <v>2219</v>
      </c>
      <c r="B7454" s="1">
        <v>45724</v>
      </c>
      <c r="C7454" t="str">
        <f>"444"</f>
        <v>444</v>
      </c>
      <c r="F7454" t="str">
        <f t="shared" si="264"/>
        <v>64630000</v>
      </c>
      <c r="H7454" t="s">
        <v>2227</v>
      </c>
      <c r="J7454" s="4">
        <v>12500</v>
      </c>
    </row>
    <row r="7455" spans="1:10" hidden="1" outlineLevel="2" x14ac:dyDescent="0.35">
      <c r="A7455" t="s">
        <v>2219</v>
      </c>
      <c r="B7455" s="1">
        <v>45726</v>
      </c>
      <c r="C7455" t="str">
        <f>"449"</f>
        <v>449</v>
      </c>
      <c r="F7455" t="str">
        <f t="shared" si="264"/>
        <v>64630000</v>
      </c>
      <c r="H7455" t="s">
        <v>2227</v>
      </c>
      <c r="J7455" s="4">
        <v>15000</v>
      </c>
    </row>
    <row r="7456" spans="1:10" hidden="1" outlineLevel="2" x14ac:dyDescent="0.35">
      <c r="A7456" t="s">
        <v>2219</v>
      </c>
      <c r="B7456" s="1">
        <v>45727</v>
      </c>
      <c r="C7456" t="str">
        <f>"456"</f>
        <v>456</v>
      </c>
      <c r="F7456" t="str">
        <f t="shared" si="264"/>
        <v>64630000</v>
      </c>
      <c r="H7456" t="s">
        <v>2227</v>
      </c>
      <c r="J7456" s="4">
        <v>10000</v>
      </c>
    </row>
    <row r="7457" spans="1:11" hidden="1" outlineLevel="2" x14ac:dyDescent="0.35">
      <c r="A7457" t="s">
        <v>2219</v>
      </c>
      <c r="B7457" s="1">
        <v>45728</v>
      </c>
      <c r="C7457" t="str">
        <f>"461"</f>
        <v>461</v>
      </c>
      <c r="F7457" t="str">
        <f t="shared" si="264"/>
        <v>64630000</v>
      </c>
      <c r="H7457" t="s">
        <v>2227</v>
      </c>
      <c r="J7457" s="4">
        <v>17500</v>
      </c>
    </row>
    <row r="7458" spans="1:11" hidden="1" outlineLevel="2" x14ac:dyDescent="0.35">
      <c r="A7458" t="s">
        <v>2219</v>
      </c>
      <c r="B7458" s="1">
        <v>45729</v>
      </c>
      <c r="C7458" t="str">
        <f>"469"</f>
        <v>469</v>
      </c>
      <c r="F7458" t="str">
        <f t="shared" si="264"/>
        <v>64630000</v>
      </c>
      <c r="H7458" t="s">
        <v>2227</v>
      </c>
      <c r="J7458" s="4">
        <v>10000</v>
      </c>
    </row>
    <row r="7459" spans="1:11" hidden="1" outlineLevel="2" x14ac:dyDescent="0.35">
      <c r="A7459" t="s">
        <v>2219</v>
      </c>
      <c r="B7459" s="1">
        <v>45730</v>
      </c>
      <c r="C7459" t="str">
        <f>"474"</f>
        <v>474</v>
      </c>
      <c r="F7459" t="str">
        <f t="shared" si="264"/>
        <v>64630000</v>
      </c>
      <c r="H7459" t="s">
        <v>2227</v>
      </c>
      <c r="J7459" s="4">
        <v>17500</v>
      </c>
    </row>
    <row r="7460" spans="1:11" hidden="1" outlineLevel="2" x14ac:dyDescent="0.35">
      <c r="A7460" t="s">
        <v>2219</v>
      </c>
      <c r="B7460" s="1">
        <v>45733</v>
      </c>
      <c r="C7460" t="str">
        <f>"478"</f>
        <v>478</v>
      </c>
      <c r="F7460" t="str">
        <f t="shared" si="264"/>
        <v>64630000</v>
      </c>
      <c r="H7460" t="s">
        <v>2227</v>
      </c>
      <c r="J7460" s="4">
        <v>12500</v>
      </c>
    </row>
    <row r="7461" spans="1:11" hidden="1" outlineLevel="2" x14ac:dyDescent="0.35">
      <c r="A7461" t="s">
        <v>2219</v>
      </c>
      <c r="B7461" s="1">
        <v>45734</v>
      </c>
      <c r="C7461" t="str">
        <f>"483"</f>
        <v>483</v>
      </c>
      <c r="F7461" t="str">
        <f t="shared" si="264"/>
        <v>64630000</v>
      </c>
      <c r="H7461" t="s">
        <v>2227</v>
      </c>
      <c r="J7461" s="4">
        <v>17500</v>
      </c>
    </row>
    <row r="7462" spans="1:11" hidden="1" outlineLevel="2" x14ac:dyDescent="0.35">
      <c r="A7462" t="s">
        <v>2219</v>
      </c>
      <c r="B7462" s="1">
        <v>45735</v>
      </c>
      <c r="C7462" t="str">
        <f>"489"</f>
        <v>489</v>
      </c>
      <c r="F7462" t="str">
        <f t="shared" si="264"/>
        <v>64630000</v>
      </c>
      <c r="H7462" t="s">
        <v>2227</v>
      </c>
      <c r="J7462" s="4">
        <v>7500</v>
      </c>
    </row>
    <row r="7463" spans="1:11" hidden="1" outlineLevel="2" x14ac:dyDescent="0.35">
      <c r="A7463" t="s">
        <v>2219</v>
      </c>
      <c r="B7463" s="1">
        <v>45736</v>
      </c>
      <c r="C7463" t="str">
        <f>"492"</f>
        <v>492</v>
      </c>
      <c r="F7463" t="str">
        <f t="shared" si="264"/>
        <v>64630000</v>
      </c>
      <c r="H7463" t="s">
        <v>2227</v>
      </c>
      <c r="J7463" s="4">
        <v>22500</v>
      </c>
    </row>
    <row r="7464" spans="1:11" hidden="1" outlineLevel="2" x14ac:dyDescent="0.35">
      <c r="A7464" t="s">
        <v>2219</v>
      </c>
      <c r="B7464" s="1">
        <v>45737</v>
      </c>
      <c r="C7464" t="str">
        <f>"499"</f>
        <v>499</v>
      </c>
      <c r="F7464" t="str">
        <f t="shared" si="264"/>
        <v>64630000</v>
      </c>
      <c r="H7464" t="s">
        <v>2227</v>
      </c>
      <c r="J7464" s="4">
        <v>12500</v>
      </c>
    </row>
    <row r="7465" spans="1:11" hidden="1" outlineLevel="2" x14ac:dyDescent="0.35">
      <c r="A7465" t="s">
        <v>2219</v>
      </c>
      <c r="B7465" s="1">
        <v>45740</v>
      </c>
      <c r="C7465" t="str">
        <f>"502"</f>
        <v>502</v>
      </c>
      <c r="F7465" t="str">
        <f t="shared" si="264"/>
        <v>64630000</v>
      </c>
      <c r="H7465" t="s">
        <v>2227</v>
      </c>
      <c r="J7465" s="4">
        <v>15000</v>
      </c>
    </row>
    <row r="7466" spans="1:11" hidden="1" outlineLevel="2" x14ac:dyDescent="0.35">
      <c r="A7466" t="s">
        <v>2219</v>
      </c>
      <c r="B7466" s="1">
        <v>45741</v>
      </c>
      <c r="C7466" t="str">
        <f>"507"</f>
        <v>507</v>
      </c>
      <c r="F7466" t="str">
        <f t="shared" si="264"/>
        <v>64630000</v>
      </c>
      <c r="H7466" t="s">
        <v>2227</v>
      </c>
      <c r="J7466" s="4">
        <v>12500</v>
      </c>
    </row>
    <row r="7467" spans="1:11" hidden="1" outlineLevel="2" x14ac:dyDescent="0.35">
      <c r="A7467" t="s">
        <v>2219</v>
      </c>
      <c r="B7467" s="1">
        <v>45742</v>
      </c>
      <c r="C7467" t="str">
        <f>"511"</f>
        <v>511</v>
      </c>
      <c r="F7467" t="str">
        <f t="shared" si="264"/>
        <v>64630000</v>
      </c>
      <c r="H7467" t="s">
        <v>2227</v>
      </c>
      <c r="J7467" s="4">
        <v>22500</v>
      </c>
    </row>
    <row r="7468" spans="1:11" hidden="1" outlineLevel="2" x14ac:dyDescent="0.35">
      <c r="A7468" t="s">
        <v>2219</v>
      </c>
      <c r="B7468" s="1">
        <v>45744</v>
      </c>
      <c r="C7468" t="str">
        <f>"519"</f>
        <v>519</v>
      </c>
      <c r="F7468" t="str">
        <f t="shared" si="264"/>
        <v>64630000</v>
      </c>
      <c r="H7468" t="s">
        <v>2227</v>
      </c>
      <c r="J7468" s="4">
        <v>10000</v>
      </c>
    </row>
    <row r="7469" spans="1:11" outlineLevel="1" collapsed="1" x14ac:dyDescent="0.35">
      <c r="B7469" s="1"/>
      <c r="F7469" s="3" t="s">
        <v>6674</v>
      </c>
      <c r="J7469" s="4">
        <f>SUBTOTAL(9,J7438:J7468)</f>
        <v>2745000</v>
      </c>
      <c r="K7469" s="4">
        <f>SUBTOTAL(9,K7438:K7468)</f>
        <v>0</v>
      </c>
    </row>
    <row r="7470" spans="1:11" hidden="1" outlineLevel="2" x14ac:dyDescent="0.35">
      <c r="A7470" t="s">
        <v>11</v>
      </c>
      <c r="B7470" s="1">
        <v>45717</v>
      </c>
      <c r="C7470" t="str">
        <f>"210"</f>
        <v>210</v>
      </c>
      <c r="E7470" t="s">
        <v>1195</v>
      </c>
      <c r="F7470" t="str">
        <f t="shared" ref="F7470:F7488" si="265">"64630100"</f>
        <v>64630100</v>
      </c>
      <c r="H7470" t="s">
        <v>1196</v>
      </c>
      <c r="J7470" s="4">
        <v>1026000</v>
      </c>
    </row>
    <row r="7471" spans="1:11" hidden="1" outlineLevel="2" x14ac:dyDescent="0.35">
      <c r="A7471" t="s">
        <v>11</v>
      </c>
      <c r="B7471" s="1">
        <v>45717</v>
      </c>
      <c r="C7471" t="str">
        <f>"211"</f>
        <v>211</v>
      </c>
      <c r="E7471" t="s">
        <v>1197</v>
      </c>
      <c r="F7471" t="str">
        <f t="shared" si="265"/>
        <v>64630100</v>
      </c>
      <c r="H7471" t="s">
        <v>1198</v>
      </c>
      <c r="J7471" s="4">
        <v>52708</v>
      </c>
    </row>
    <row r="7472" spans="1:11" hidden="1" outlineLevel="2" x14ac:dyDescent="0.35">
      <c r="A7472" t="s">
        <v>11</v>
      </c>
      <c r="B7472" s="1">
        <v>45717</v>
      </c>
      <c r="C7472" t="str">
        <f>"212"</f>
        <v>212</v>
      </c>
      <c r="F7472" t="str">
        <f t="shared" si="265"/>
        <v>64630100</v>
      </c>
      <c r="H7472" t="s">
        <v>1199</v>
      </c>
      <c r="J7472" s="4">
        <v>130333</v>
      </c>
    </row>
    <row r="7473" spans="1:10" hidden="1" outlineLevel="2" x14ac:dyDescent="0.35">
      <c r="A7473" t="s">
        <v>11</v>
      </c>
      <c r="B7473" s="1">
        <v>45717</v>
      </c>
      <c r="C7473" t="str">
        <f>"264"</f>
        <v>264</v>
      </c>
      <c r="E7473" t="s">
        <v>1286</v>
      </c>
      <c r="F7473" t="str">
        <f t="shared" si="265"/>
        <v>64630100</v>
      </c>
      <c r="H7473" t="s">
        <v>1287</v>
      </c>
      <c r="J7473" s="4">
        <v>1055000</v>
      </c>
    </row>
    <row r="7474" spans="1:10" hidden="1" outlineLevel="2" x14ac:dyDescent="0.35">
      <c r="A7474" t="s">
        <v>2219</v>
      </c>
      <c r="B7474" s="1">
        <v>45723</v>
      </c>
      <c r="C7474" t="str">
        <f>"438"</f>
        <v>438</v>
      </c>
      <c r="F7474" t="str">
        <f t="shared" si="265"/>
        <v>64630100</v>
      </c>
      <c r="H7474" t="s">
        <v>2251</v>
      </c>
      <c r="J7474" s="4">
        <v>30100</v>
      </c>
    </row>
    <row r="7475" spans="1:10" hidden="1" outlineLevel="2" x14ac:dyDescent="0.35">
      <c r="A7475" t="s">
        <v>2219</v>
      </c>
      <c r="B7475" s="1">
        <v>45723</v>
      </c>
      <c r="C7475" t="str">
        <f>"439"</f>
        <v>439</v>
      </c>
      <c r="F7475" t="str">
        <f t="shared" si="265"/>
        <v>64630100</v>
      </c>
      <c r="H7475" t="s">
        <v>2252</v>
      </c>
      <c r="J7475" s="4">
        <v>30100</v>
      </c>
    </row>
    <row r="7476" spans="1:10" hidden="1" outlineLevel="2" x14ac:dyDescent="0.35">
      <c r="A7476" t="s">
        <v>2219</v>
      </c>
      <c r="B7476" s="1">
        <v>45729</v>
      </c>
      <c r="C7476" t="str">
        <f>"468"</f>
        <v>468</v>
      </c>
      <c r="F7476" t="str">
        <f t="shared" si="265"/>
        <v>64630100</v>
      </c>
      <c r="H7476" t="s">
        <v>2275</v>
      </c>
      <c r="J7476" s="4">
        <v>30100</v>
      </c>
    </row>
    <row r="7477" spans="1:10" hidden="1" outlineLevel="2" x14ac:dyDescent="0.35">
      <c r="A7477" t="s">
        <v>2337</v>
      </c>
      <c r="B7477" s="1">
        <v>45721</v>
      </c>
      <c r="C7477" t="str">
        <f>"683"</f>
        <v>683</v>
      </c>
      <c r="E7477" t="str">
        <f>"17303"</f>
        <v>17303</v>
      </c>
      <c r="F7477" t="str">
        <f t="shared" si="265"/>
        <v>64630100</v>
      </c>
      <c r="H7477" t="s">
        <v>2398</v>
      </c>
      <c r="J7477" s="4">
        <v>84200</v>
      </c>
    </row>
    <row r="7478" spans="1:10" hidden="1" outlineLevel="2" x14ac:dyDescent="0.35">
      <c r="A7478" t="s">
        <v>2337</v>
      </c>
      <c r="B7478" s="1">
        <v>45728</v>
      </c>
      <c r="C7478" t="str">
        <f>"732"</f>
        <v>732</v>
      </c>
      <c r="E7478" t="str">
        <f>"17351"</f>
        <v>17351</v>
      </c>
      <c r="F7478" t="str">
        <f t="shared" si="265"/>
        <v>64630100</v>
      </c>
      <c r="H7478" t="s">
        <v>2462</v>
      </c>
      <c r="J7478" s="4">
        <v>13000</v>
      </c>
    </row>
    <row r="7479" spans="1:10" hidden="1" outlineLevel="2" x14ac:dyDescent="0.35">
      <c r="A7479" t="s">
        <v>2337</v>
      </c>
      <c r="B7479" s="1">
        <v>45728</v>
      </c>
      <c r="C7479" t="str">
        <f>"737"</f>
        <v>737</v>
      </c>
      <c r="E7479" t="str">
        <f>"17356"</f>
        <v>17356</v>
      </c>
      <c r="F7479" t="str">
        <f t="shared" si="265"/>
        <v>64630100</v>
      </c>
      <c r="H7479" t="s">
        <v>2470</v>
      </c>
      <c r="J7479" s="4">
        <v>8500</v>
      </c>
    </row>
    <row r="7480" spans="1:10" hidden="1" outlineLevel="2" x14ac:dyDescent="0.35">
      <c r="A7480" t="s">
        <v>2337</v>
      </c>
      <c r="B7480" s="1">
        <v>45728</v>
      </c>
      <c r="C7480" t="str">
        <f>"738"</f>
        <v>738</v>
      </c>
      <c r="E7480" t="str">
        <f>"17357"</f>
        <v>17357</v>
      </c>
      <c r="F7480" t="str">
        <f t="shared" si="265"/>
        <v>64630100</v>
      </c>
      <c r="H7480" t="s">
        <v>2462</v>
      </c>
      <c r="J7480" s="4">
        <v>7500</v>
      </c>
    </row>
    <row r="7481" spans="1:10" hidden="1" outlineLevel="2" x14ac:dyDescent="0.35">
      <c r="A7481" t="s">
        <v>2337</v>
      </c>
      <c r="B7481" s="1">
        <v>45729</v>
      </c>
      <c r="C7481" t="str">
        <f>"746"</f>
        <v>746</v>
      </c>
      <c r="E7481" t="str">
        <f>"17365"</f>
        <v>17365</v>
      </c>
      <c r="F7481" t="str">
        <f t="shared" si="265"/>
        <v>64630100</v>
      </c>
      <c r="H7481" t="s">
        <v>2485</v>
      </c>
      <c r="J7481" s="4">
        <v>10000</v>
      </c>
    </row>
    <row r="7482" spans="1:10" hidden="1" outlineLevel="2" x14ac:dyDescent="0.35">
      <c r="A7482" t="s">
        <v>2337</v>
      </c>
      <c r="B7482" s="1">
        <v>45730</v>
      </c>
      <c r="C7482" t="str">
        <f>"762"</f>
        <v>762</v>
      </c>
      <c r="E7482" t="str">
        <f>"17381"</f>
        <v>17381</v>
      </c>
      <c r="F7482" t="str">
        <f t="shared" si="265"/>
        <v>64630100</v>
      </c>
      <c r="H7482" t="s">
        <v>2503</v>
      </c>
      <c r="J7482" s="4">
        <v>143300</v>
      </c>
    </row>
    <row r="7483" spans="1:10" hidden="1" outlineLevel="2" x14ac:dyDescent="0.35">
      <c r="A7483" t="s">
        <v>2337</v>
      </c>
      <c r="B7483" s="1">
        <v>45730</v>
      </c>
      <c r="C7483" t="str">
        <f>"762"</f>
        <v>762</v>
      </c>
      <c r="E7483" t="str">
        <f>"17381"</f>
        <v>17381</v>
      </c>
      <c r="F7483" t="str">
        <f t="shared" si="265"/>
        <v>64630100</v>
      </c>
      <c r="H7483" t="s">
        <v>2504</v>
      </c>
      <c r="J7483" s="4">
        <v>2000</v>
      </c>
    </row>
    <row r="7484" spans="1:10" hidden="1" outlineLevel="2" x14ac:dyDescent="0.35">
      <c r="A7484" t="s">
        <v>2337</v>
      </c>
      <c r="B7484" s="1">
        <v>45730</v>
      </c>
      <c r="C7484" t="str">
        <f>"762"</f>
        <v>762</v>
      </c>
      <c r="E7484" t="str">
        <f>"17381"</f>
        <v>17381</v>
      </c>
      <c r="F7484" t="str">
        <f t="shared" si="265"/>
        <v>64630100</v>
      </c>
      <c r="H7484" t="s">
        <v>2505</v>
      </c>
      <c r="J7484" s="4">
        <v>15000</v>
      </c>
    </row>
    <row r="7485" spans="1:10" hidden="1" outlineLevel="2" x14ac:dyDescent="0.35">
      <c r="A7485" t="s">
        <v>2337</v>
      </c>
      <c r="B7485" s="1">
        <v>45737</v>
      </c>
      <c r="C7485" t="str">
        <f>"822"</f>
        <v>822</v>
      </c>
      <c r="E7485" t="str">
        <f>"17478"</f>
        <v>17478</v>
      </c>
      <c r="F7485" t="str">
        <f t="shared" si="265"/>
        <v>64630100</v>
      </c>
      <c r="H7485" t="s">
        <v>2575</v>
      </c>
      <c r="J7485" s="4">
        <v>252000</v>
      </c>
    </row>
    <row r="7486" spans="1:10" hidden="1" outlineLevel="2" x14ac:dyDescent="0.35">
      <c r="A7486" t="s">
        <v>2337</v>
      </c>
      <c r="B7486" s="1">
        <v>45744</v>
      </c>
      <c r="C7486" t="str">
        <f>"877"</f>
        <v>877</v>
      </c>
      <c r="E7486" t="str">
        <f>"15883"</f>
        <v>15883</v>
      </c>
      <c r="F7486" t="str">
        <f t="shared" si="265"/>
        <v>64630100</v>
      </c>
      <c r="H7486" t="s">
        <v>2640</v>
      </c>
      <c r="J7486" s="4">
        <v>5000</v>
      </c>
    </row>
    <row r="7487" spans="1:10" hidden="1" outlineLevel="2" x14ac:dyDescent="0.35">
      <c r="A7487" t="s">
        <v>2337</v>
      </c>
      <c r="B7487" s="1">
        <v>45744</v>
      </c>
      <c r="C7487" t="str">
        <f>"879"</f>
        <v>879</v>
      </c>
      <c r="E7487" t="str">
        <f>"15885"</f>
        <v>15885</v>
      </c>
      <c r="F7487" t="str">
        <f t="shared" si="265"/>
        <v>64630100</v>
      </c>
      <c r="H7487" t="s">
        <v>2646</v>
      </c>
      <c r="J7487" s="4">
        <v>1500</v>
      </c>
    </row>
    <row r="7488" spans="1:10" hidden="1" outlineLevel="2" x14ac:dyDescent="0.35">
      <c r="A7488" t="s">
        <v>3056</v>
      </c>
      <c r="B7488" s="1">
        <v>45744</v>
      </c>
      <c r="C7488" t="str">
        <f>"200"</f>
        <v>200</v>
      </c>
      <c r="F7488" t="str">
        <f t="shared" si="265"/>
        <v>64630100</v>
      </c>
      <c r="H7488" t="s">
        <v>3111</v>
      </c>
      <c r="J7488" s="4">
        <v>250000</v>
      </c>
    </row>
    <row r="7489" spans="1:11" outlineLevel="1" collapsed="1" x14ac:dyDescent="0.35">
      <c r="B7489" s="1"/>
      <c r="F7489" s="3" t="s">
        <v>6675</v>
      </c>
      <c r="J7489" s="4">
        <f>SUBTOTAL(9,J7470:J7488)</f>
        <v>3146341</v>
      </c>
      <c r="K7489" s="4">
        <f>SUBTOTAL(9,K7470:K7488)</f>
        <v>0</v>
      </c>
    </row>
    <row r="7490" spans="1:11" hidden="1" outlineLevel="2" x14ac:dyDescent="0.35">
      <c r="A7490" t="s">
        <v>26</v>
      </c>
      <c r="B7490" s="1">
        <v>45727</v>
      </c>
      <c r="C7490" t="str">
        <f>"64"</f>
        <v>64</v>
      </c>
      <c r="D7490" t="s">
        <v>1586</v>
      </c>
      <c r="E7490" t="s">
        <v>1587</v>
      </c>
      <c r="F7490" t="str">
        <f>"64640000"</f>
        <v>64640000</v>
      </c>
      <c r="H7490" t="s">
        <v>1589</v>
      </c>
      <c r="J7490" s="4">
        <v>645000</v>
      </c>
    </row>
    <row r="7491" spans="1:11" outlineLevel="1" collapsed="1" x14ac:dyDescent="0.35">
      <c r="B7491" s="1"/>
      <c r="F7491" s="3" t="s">
        <v>6676</v>
      </c>
      <c r="J7491" s="4">
        <f>SUBTOTAL(9,J7490:J7490)</f>
        <v>645000</v>
      </c>
      <c r="K7491" s="4">
        <f>SUBTOTAL(9,K7490:K7490)</f>
        <v>0</v>
      </c>
    </row>
    <row r="7492" spans="1:11" hidden="1" outlineLevel="2" x14ac:dyDescent="0.35">
      <c r="A7492" t="s">
        <v>11</v>
      </c>
      <c r="B7492" s="1">
        <v>45717</v>
      </c>
      <c r="C7492" t="str">
        <f>"227"</f>
        <v>227</v>
      </c>
      <c r="E7492" t="s">
        <v>1226</v>
      </c>
      <c r="F7492" t="str">
        <f>"64680000"</f>
        <v>64680000</v>
      </c>
      <c r="H7492" t="s">
        <v>1227</v>
      </c>
      <c r="J7492" s="4">
        <v>45000</v>
      </c>
    </row>
    <row r="7493" spans="1:11" outlineLevel="1" collapsed="1" x14ac:dyDescent="0.35">
      <c r="B7493" s="1"/>
      <c r="F7493" s="3" t="s">
        <v>6677</v>
      </c>
      <c r="J7493" s="4">
        <f>SUBTOTAL(9,J7492:J7492)</f>
        <v>45000</v>
      </c>
      <c r="K7493" s="4">
        <f>SUBTOTAL(9,K7492:K7492)</f>
        <v>0</v>
      </c>
    </row>
    <row r="7494" spans="1:11" hidden="1" outlineLevel="2" x14ac:dyDescent="0.35">
      <c r="A7494" t="s">
        <v>2018</v>
      </c>
      <c r="B7494" s="1">
        <v>45726</v>
      </c>
      <c r="C7494" t="str">
        <f>"371"</f>
        <v>371</v>
      </c>
      <c r="F7494" t="str">
        <f t="shared" ref="F7494:F7509" si="266">"64685000"</f>
        <v>64685000</v>
      </c>
      <c r="H7494" t="s">
        <v>2060</v>
      </c>
      <c r="J7494" s="4">
        <v>5000</v>
      </c>
    </row>
    <row r="7495" spans="1:11" hidden="1" outlineLevel="2" x14ac:dyDescent="0.35">
      <c r="A7495" t="s">
        <v>2018</v>
      </c>
      <c r="B7495" s="1">
        <v>45728</v>
      </c>
      <c r="C7495" t="str">
        <f>"383"</f>
        <v>383</v>
      </c>
      <c r="F7495" t="str">
        <f t="shared" si="266"/>
        <v>64685000</v>
      </c>
      <c r="H7495" t="s">
        <v>2082</v>
      </c>
      <c r="J7495" s="4">
        <v>5000</v>
      </c>
    </row>
    <row r="7496" spans="1:11" hidden="1" outlineLevel="2" x14ac:dyDescent="0.35">
      <c r="A7496" t="s">
        <v>2018</v>
      </c>
      <c r="B7496" s="1">
        <v>45741</v>
      </c>
      <c r="C7496" t="str">
        <f>"466"</f>
        <v>466</v>
      </c>
      <c r="F7496" t="str">
        <f t="shared" si="266"/>
        <v>64685000</v>
      </c>
      <c r="H7496" t="s">
        <v>2198</v>
      </c>
      <c r="J7496" s="4">
        <v>2000</v>
      </c>
    </row>
    <row r="7497" spans="1:11" hidden="1" outlineLevel="2" x14ac:dyDescent="0.35">
      <c r="A7497" t="s">
        <v>2337</v>
      </c>
      <c r="B7497" s="1">
        <v>45721</v>
      </c>
      <c r="C7497" t="str">
        <f>"675"</f>
        <v>675</v>
      </c>
      <c r="E7497" t="str">
        <f>"17295"</f>
        <v>17295</v>
      </c>
      <c r="F7497" t="str">
        <f t="shared" si="266"/>
        <v>64685000</v>
      </c>
      <c r="H7497" t="s">
        <v>2384</v>
      </c>
      <c r="J7497" s="4">
        <v>3000</v>
      </c>
    </row>
    <row r="7498" spans="1:11" hidden="1" outlineLevel="2" x14ac:dyDescent="0.35">
      <c r="A7498" t="s">
        <v>2337</v>
      </c>
      <c r="B7498" s="1">
        <v>45721</v>
      </c>
      <c r="C7498" t="str">
        <f>"675"</f>
        <v>675</v>
      </c>
      <c r="E7498" t="str">
        <f>"17295"</f>
        <v>17295</v>
      </c>
      <c r="F7498" t="str">
        <f t="shared" si="266"/>
        <v>64685000</v>
      </c>
      <c r="H7498" t="s">
        <v>2385</v>
      </c>
      <c r="J7498" s="4">
        <v>2000</v>
      </c>
    </row>
    <row r="7499" spans="1:11" hidden="1" outlineLevel="2" x14ac:dyDescent="0.35">
      <c r="A7499" t="s">
        <v>2337</v>
      </c>
      <c r="B7499" s="1">
        <v>45721</v>
      </c>
      <c r="C7499" t="str">
        <f>"676"</f>
        <v>676</v>
      </c>
      <c r="E7499" t="str">
        <f>"17296"</f>
        <v>17296</v>
      </c>
      <c r="F7499" t="str">
        <f t="shared" si="266"/>
        <v>64685000</v>
      </c>
      <c r="H7499" t="s">
        <v>2386</v>
      </c>
      <c r="J7499" s="4">
        <v>2000</v>
      </c>
    </row>
    <row r="7500" spans="1:11" hidden="1" outlineLevel="2" x14ac:dyDescent="0.35">
      <c r="A7500" t="s">
        <v>2337</v>
      </c>
      <c r="B7500" s="1">
        <v>45721</v>
      </c>
      <c r="C7500" t="str">
        <f>"683"</f>
        <v>683</v>
      </c>
      <c r="E7500" t="str">
        <f>"17303"</f>
        <v>17303</v>
      </c>
      <c r="F7500" t="str">
        <f t="shared" si="266"/>
        <v>64685000</v>
      </c>
      <c r="H7500" t="s">
        <v>2397</v>
      </c>
      <c r="J7500" s="4">
        <v>56000</v>
      </c>
    </row>
    <row r="7501" spans="1:11" hidden="1" outlineLevel="2" x14ac:dyDescent="0.35">
      <c r="A7501" t="s">
        <v>2337</v>
      </c>
      <c r="B7501" s="1">
        <v>45726</v>
      </c>
      <c r="C7501" t="str">
        <f>"714"</f>
        <v>714</v>
      </c>
      <c r="E7501" t="str">
        <f>"17333"</f>
        <v>17333</v>
      </c>
      <c r="F7501" t="str">
        <f t="shared" si="266"/>
        <v>64685000</v>
      </c>
      <c r="H7501" t="s">
        <v>2438</v>
      </c>
      <c r="J7501" s="4">
        <v>20000</v>
      </c>
    </row>
    <row r="7502" spans="1:11" hidden="1" outlineLevel="2" x14ac:dyDescent="0.35">
      <c r="A7502" t="s">
        <v>2337</v>
      </c>
      <c r="B7502" s="1">
        <v>45730</v>
      </c>
      <c r="C7502" t="str">
        <f>"762"</f>
        <v>762</v>
      </c>
      <c r="E7502" t="str">
        <f>"17381"</f>
        <v>17381</v>
      </c>
      <c r="F7502" t="str">
        <f t="shared" si="266"/>
        <v>64685000</v>
      </c>
      <c r="H7502" t="s">
        <v>2506</v>
      </c>
      <c r="J7502" s="4">
        <v>130000</v>
      </c>
    </row>
    <row r="7503" spans="1:11" hidden="1" outlineLevel="2" x14ac:dyDescent="0.35">
      <c r="A7503" t="s">
        <v>2337</v>
      </c>
      <c r="B7503" s="1">
        <v>45735</v>
      </c>
      <c r="C7503" t="str">
        <f>"801"</f>
        <v>801</v>
      </c>
      <c r="E7503" t="str">
        <f>"17457"</f>
        <v>17457</v>
      </c>
      <c r="F7503" t="str">
        <f t="shared" si="266"/>
        <v>64685000</v>
      </c>
      <c r="H7503" t="s">
        <v>2541</v>
      </c>
      <c r="J7503" s="4">
        <v>10000</v>
      </c>
    </row>
    <row r="7504" spans="1:11" hidden="1" outlineLevel="2" x14ac:dyDescent="0.35">
      <c r="A7504" t="s">
        <v>2337</v>
      </c>
      <c r="B7504" s="1">
        <v>45737</v>
      </c>
      <c r="C7504" t="str">
        <f>"820"</f>
        <v>820</v>
      </c>
      <c r="E7504" t="str">
        <f>"17476"</f>
        <v>17476</v>
      </c>
      <c r="F7504" t="str">
        <f t="shared" si="266"/>
        <v>64685000</v>
      </c>
      <c r="H7504" t="s">
        <v>2573</v>
      </c>
      <c r="J7504" s="4">
        <v>7000</v>
      </c>
    </row>
    <row r="7505" spans="1:11" hidden="1" outlineLevel="2" x14ac:dyDescent="0.35">
      <c r="A7505" t="s">
        <v>2337</v>
      </c>
      <c r="B7505" s="1">
        <v>45737</v>
      </c>
      <c r="C7505" t="str">
        <f>"822"</f>
        <v>822</v>
      </c>
      <c r="E7505" t="str">
        <f>"17478"</f>
        <v>17478</v>
      </c>
      <c r="F7505" t="str">
        <f t="shared" si="266"/>
        <v>64685000</v>
      </c>
      <c r="H7505" t="s">
        <v>2576</v>
      </c>
      <c r="J7505" s="4">
        <v>30000</v>
      </c>
    </row>
    <row r="7506" spans="1:11" hidden="1" outlineLevel="2" x14ac:dyDescent="0.35">
      <c r="A7506" t="s">
        <v>2337</v>
      </c>
      <c r="B7506" s="1">
        <v>45740</v>
      </c>
      <c r="C7506" t="str">
        <f>"848"</f>
        <v>848</v>
      </c>
      <c r="E7506" t="str">
        <f>"15857"</f>
        <v>15857</v>
      </c>
      <c r="F7506" t="str">
        <f t="shared" si="266"/>
        <v>64685000</v>
      </c>
      <c r="H7506" t="s">
        <v>2605</v>
      </c>
      <c r="J7506" s="4">
        <v>10000</v>
      </c>
    </row>
    <row r="7507" spans="1:11" hidden="1" outlineLevel="2" x14ac:dyDescent="0.35">
      <c r="A7507" t="s">
        <v>2337</v>
      </c>
      <c r="B7507" s="1">
        <v>45744</v>
      </c>
      <c r="C7507" t="str">
        <f>"879"</f>
        <v>879</v>
      </c>
      <c r="E7507" t="str">
        <f>"15885"</f>
        <v>15885</v>
      </c>
      <c r="F7507" t="str">
        <f t="shared" si="266"/>
        <v>64685000</v>
      </c>
      <c r="H7507" t="s">
        <v>2647</v>
      </c>
      <c r="J7507" s="4">
        <v>20000</v>
      </c>
    </row>
    <row r="7508" spans="1:11" hidden="1" outlineLevel="2" x14ac:dyDescent="0.35">
      <c r="A7508" t="s">
        <v>2337</v>
      </c>
      <c r="B7508" s="1">
        <v>45744</v>
      </c>
      <c r="C7508" t="str">
        <f>"880"</f>
        <v>880</v>
      </c>
      <c r="E7508" t="str">
        <f>"15886"</f>
        <v>15886</v>
      </c>
      <c r="F7508" t="str">
        <f t="shared" si="266"/>
        <v>64685000</v>
      </c>
      <c r="H7508" t="s">
        <v>2650</v>
      </c>
      <c r="J7508" s="4">
        <v>5000</v>
      </c>
    </row>
    <row r="7509" spans="1:11" hidden="1" outlineLevel="2" x14ac:dyDescent="0.35">
      <c r="A7509" t="s">
        <v>3056</v>
      </c>
      <c r="B7509" s="1">
        <v>45741</v>
      </c>
      <c r="C7509" t="str">
        <f>"197"</f>
        <v>197</v>
      </c>
      <c r="F7509" t="str">
        <f t="shared" si="266"/>
        <v>64685000</v>
      </c>
      <c r="H7509" t="s">
        <v>3108</v>
      </c>
      <c r="J7509" s="4">
        <v>11000</v>
      </c>
    </row>
    <row r="7510" spans="1:11" outlineLevel="1" collapsed="1" x14ac:dyDescent="0.35">
      <c r="B7510" s="1"/>
      <c r="F7510" s="3" t="s">
        <v>6678</v>
      </c>
      <c r="J7510" s="4">
        <f>SUBTOTAL(9,J7494:J7509)</f>
        <v>318000</v>
      </c>
      <c r="K7510" s="4">
        <f>SUBTOTAL(9,K7494:K7509)</f>
        <v>0</v>
      </c>
    </row>
    <row r="7511" spans="1:11" hidden="1" outlineLevel="2" x14ac:dyDescent="0.35">
      <c r="A7511" t="s">
        <v>11</v>
      </c>
      <c r="B7511" s="1">
        <v>45717</v>
      </c>
      <c r="C7511" t="str">
        <f>"255"</f>
        <v>255</v>
      </c>
      <c r="E7511" t="s">
        <v>1274</v>
      </c>
      <c r="F7511" t="str">
        <f>"64810000"</f>
        <v>64810000</v>
      </c>
      <c r="H7511" t="s">
        <v>1275</v>
      </c>
      <c r="J7511" s="4">
        <v>3412000</v>
      </c>
    </row>
    <row r="7512" spans="1:11" outlineLevel="1" collapsed="1" x14ac:dyDescent="0.35">
      <c r="B7512" s="1"/>
      <c r="F7512" s="3" t="s">
        <v>6679</v>
      </c>
      <c r="J7512" s="4">
        <f>SUBTOTAL(9,J7511:J7511)</f>
        <v>3412000</v>
      </c>
      <c r="K7512" s="4">
        <f>SUBTOTAL(9,K7511:K7511)</f>
        <v>0</v>
      </c>
    </row>
    <row r="7513" spans="1:11" hidden="1" outlineLevel="2" x14ac:dyDescent="0.35">
      <c r="A7513" t="s">
        <v>26</v>
      </c>
      <c r="B7513" s="1">
        <v>45717</v>
      </c>
      <c r="C7513" t="str">
        <f>"181"</f>
        <v>181</v>
      </c>
      <c r="D7513" t="s">
        <v>1435</v>
      </c>
      <c r="E7513" t="str">
        <f>"241095251"</f>
        <v>241095251</v>
      </c>
      <c r="F7513" t="str">
        <f t="shared" ref="F7513:F7519" si="267">"65110100"</f>
        <v>65110100</v>
      </c>
      <c r="H7513" t="s">
        <v>1436</v>
      </c>
      <c r="J7513" s="4">
        <v>115092</v>
      </c>
    </row>
    <row r="7514" spans="1:11" hidden="1" outlineLevel="2" x14ac:dyDescent="0.35">
      <c r="A7514" t="s">
        <v>26</v>
      </c>
      <c r="B7514" s="1">
        <v>45717</v>
      </c>
      <c r="C7514" t="str">
        <f>"182"</f>
        <v>182</v>
      </c>
      <c r="D7514" t="s">
        <v>1437</v>
      </c>
      <c r="E7514" t="str">
        <f>"251010286"</f>
        <v>251010286</v>
      </c>
      <c r="F7514" t="str">
        <f t="shared" si="267"/>
        <v>65110100</v>
      </c>
      <c r="H7514" t="s">
        <v>1436</v>
      </c>
      <c r="J7514" s="4">
        <v>27612</v>
      </c>
    </row>
    <row r="7515" spans="1:11" hidden="1" outlineLevel="2" x14ac:dyDescent="0.35">
      <c r="A7515" t="s">
        <v>26</v>
      </c>
      <c r="B7515" s="1">
        <v>45717</v>
      </c>
      <c r="C7515" t="str">
        <f>"183"</f>
        <v>183</v>
      </c>
      <c r="D7515" t="s">
        <v>1438</v>
      </c>
      <c r="E7515" t="str">
        <f>"251010377"</f>
        <v>251010377</v>
      </c>
      <c r="F7515" t="str">
        <f t="shared" si="267"/>
        <v>65110100</v>
      </c>
      <c r="H7515" t="s">
        <v>1436</v>
      </c>
      <c r="J7515" s="4">
        <v>55960</v>
      </c>
    </row>
    <row r="7516" spans="1:11" hidden="1" outlineLevel="2" x14ac:dyDescent="0.35">
      <c r="A7516" t="s">
        <v>26</v>
      </c>
      <c r="B7516" s="1">
        <v>45717</v>
      </c>
      <c r="C7516" t="str">
        <f>"184"</f>
        <v>184</v>
      </c>
      <c r="D7516" t="s">
        <v>1439</v>
      </c>
      <c r="E7516" t="str">
        <f>"251014164"</f>
        <v>251014164</v>
      </c>
      <c r="F7516" t="str">
        <f t="shared" si="267"/>
        <v>65110100</v>
      </c>
      <c r="H7516" t="s">
        <v>1436</v>
      </c>
      <c r="J7516" s="4">
        <v>21580</v>
      </c>
    </row>
    <row r="7517" spans="1:11" hidden="1" outlineLevel="2" x14ac:dyDescent="0.35">
      <c r="A7517" t="s">
        <v>26</v>
      </c>
      <c r="B7517" s="1">
        <v>45717</v>
      </c>
      <c r="C7517" t="str">
        <f>"185"</f>
        <v>185</v>
      </c>
      <c r="D7517" t="s">
        <v>1440</v>
      </c>
      <c r="E7517" t="str">
        <f>"251014551"</f>
        <v>251014551</v>
      </c>
      <c r="F7517" t="str">
        <f t="shared" si="267"/>
        <v>65110100</v>
      </c>
      <c r="H7517" t="s">
        <v>1436</v>
      </c>
      <c r="J7517" s="4">
        <v>4425</v>
      </c>
    </row>
    <row r="7518" spans="1:11" hidden="1" outlineLevel="2" x14ac:dyDescent="0.35">
      <c r="A7518" t="s">
        <v>26</v>
      </c>
      <c r="B7518" s="1">
        <v>45717</v>
      </c>
      <c r="C7518" t="str">
        <f>"186"</f>
        <v>186</v>
      </c>
      <c r="D7518" t="s">
        <v>1441</v>
      </c>
      <c r="E7518" t="str">
        <f>"251016856"</f>
        <v>251016856</v>
      </c>
      <c r="F7518" t="str">
        <f t="shared" si="267"/>
        <v>65110100</v>
      </c>
      <c r="H7518" t="s">
        <v>1436</v>
      </c>
      <c r="J7518" s="4">
        <v>185723</v>
      </c>
    </row>
    <row r="7519" spans="1:11" hidden="1" outlineLevel="2" x14ac:dyDescent="0.35">
      <c r="A7519" t="s">
        <v>26</v>
      </c>
      <c r="B7519" s="1">
        <v>45717</v>
      </c>
      <c r="C7519" t="str">
        <f>"187"</f>
        <v>187</v>
      </c>
      <c r="D7519" t="s">
        <v>1442</v>
      </c>
      <c r="E7519" t="str">
        <f>"251018605"</f>
        <v>251018605</v>
      </c>
      <c r="F7519" t="str">
        <f t="shared" si="267"/>
        <v>65110100</v>
      </c>
      <c r="H7519" t="s">
        <v>1436</v>
      </c>
      <c r="J7519" s="4">
        <v>156298</v>
      </c>
    </row>
    <row r="7520" spans="1:11" outlineLevel="1" collapsed="1" x14ac:dyDescent="0.35">
      <c r="B7520" s="1"/>
      <c r="F7520" s="3" t="s">
        <v>6680</v>
      </c>
      <c r="J7520" s="4">
        <f>SUBTOTAL(9,J7513:J7519)</f>
        <v>566690</v>
      </c>
      <c r="K7520" s="4">
        <f>SUBTOTAL(9,K7513:K7519)</f>
        <v>0</v>
      </c>
    </row>
    <row r="7521" spans="1:10" hidden="1" outlineLevel="2" x14ac:dyDescent="0.35">
      <c r="A7521" t="s">
        <v>26</v>
      </c>
      <c r="B7521" s="1">
        <v>45717</v>
      </c>
      <c r="C7521" t="str">
        <f>"99"</f>
        <v>99</v>
      </c>
      <c r="D7521" t="s">
        <v>1394</v>
      </c>
      <c r="E7521" t="s">
        <v>1395</v>
      </c>
      <c r="F7521" t="str">
        <f t="shared" ref="F7521:F7551" si="268">"65110200"</f>
        <v>65110200</v>
      </c>
      <c r="H7521" t="s">
        <v>1396</v>
      </c>
      <c r="J7521" s="4">
        <v>285788</v>
      </c>
    </row>
    <row r="7522" spans="1:10" hidden="1" outlineLevel="2" x14ac:dyDescent="0.35">
      <c r="A7522" t="s">
        <v>26</v>
      </c>
      <c r="B7522" s="1">
        <v>45717</v>
      </c>
      <c r="C7522" t="str">
        <f>"100"</f>
        <v>100</v>
      </c>
      <c r="D7522" t="s">
        <v>1397</v>
      </c>
      <c r="E7522" t="s">
        <v>1398</v>
      </c>
      <c r="F7522" t="str">
        <f t="shared" si="268"/>
        <v>65110200</v>
      </c>
      <c r="H7522" t="s">
        <v>1396</v>
      </c>
      <c r="J7522" s="4">
        <v>1397680</v>
      </c>
    </row>
    <row r="7523" spans="1:10" hidden="1" outlineLevel="2" x14ac:dyDescent="0.35">
      <c r="A7523" t="s">
        <v>26</v>
      </c>
      <c r="B7523" s="1">
        <v>45717</v>
      </c>
      <c r="C7523" t="str">
        <f>"101"</f>
        <v>101</v>
      </c>
      <c r="D7523" t="s">
        <v>1399</v>
      </c>
      <c r="E7523" t="s">
        <v>1400</v>
      </c>
      <c r="F7523" t="str">
        <f t="shared" si="268"/>
        <v>65110200</v>
      </c>
      <c r="H7523" t="s">
        <v>1396</v>
      </c>
      <c r="J7523" s="4">
        <v>28320</v>
      </c>
    </row>
    <row r="7524" spans="1:10" hidden="1" outlineLevel="2" x14ac:dyDescent="0.35">
      <c r="A7524" t="s">
        <v>26</v>
      </c>
      <c r="B7524" s="1">
        <v>45717</v>
      </c>
      <c r="C7524" t="str">
        <f>"102"</f>
        <v>102</v>
      </c>
      <c r="D7524" t="s">
        <v>1401</v>
      </c>
      <c r="E7524" t="s">
        <v>1402</v>
      </c>
      <c r="F7524" t="str">
        <f t="shared" si="268"/>
        <v>65110200</v>
      </c>
      <c r="H7524" t="s">
        <v>1396</v>
      </c>
      <c r="J7524" s="4">
        <v>56640</v>
      </c>
    </row>
    <row r="7525" spans="1:10" hidden="1" outlineLevel="2" x14ac:dyDescent="0.35">
      <c r="A7525" t="s">
        <v>26</v>
      </c>
      <c r="B7525" s="1">
        <v>45717</v>
      </c>
      <c r="C7525" t="str">
        <f>"103"</f>
        <v>103</v>
      </c>
      <c r="D7525" t="s">
        <v>1403</v>
      </c>
      <c r="E7525" t="s">
        <v>1404</v>
      </c>
      <c r="F7525" t="str">
        <f t="shared" si="268"/>
        <v>65110200</v>
      </c>
      <c r="H7525" t="s">
        <v>1405</v>
      </c>
      <c r="J7525" s="4">
        <v>57943</v>
      </c>
    </row>
    <row r="7526" spans="1:10" hidden="1" outlineLevel="2" x14ac:dyDescent="0.35">
      <c r="A7526" t="s">
        <v>26</v>
      </c>
      <c r="B7526" s="1">
        <v>45717</v>
      </c>
      <c r="C7526" t="str">
        <f>"165"</f>
        <v>165</v>
      </c>
      <c r="D7526" t="s">
        <v>1431</v>
      </c>
      <c r="E7526" t="s">
        <v>1432</v>
      </c>
      <c r="F7526" t="str">
        <f t="shared" si="268"/>
        <v>65110200</v>
      </c>
      <c r="H7526" t="s">
        <v>1405</v>
      </c>
      <c r="J7526" s="4">
        <v>86915</v>
      </c>
    </row>
    <row r="7527" spans="1:10" hidden="1" outlineLevel="2" x14ac:dyDescent="0.35">
      <c r="A7527" t="s">
        <v>26</v>
      </c>
      <c r="B7527" s="1">
        <v>45717</v>
      </c>
      <c r="C7527" t="str">
        <f>"166"</f>
        <v>166</v>
      </c>
      <c r="D7527" t="s">
        <v>1433</v>
      </c>
      <c r="E7527" t="s">
        <v>1434</v>
      </c>
      <c r="F7527" t="str">
        <f t="shared" si="268"/>
        <v>65110200</v>
      </c>
      <c r="H7527" t="s">
        <v>1405</v>
      </c>
      <c r="J7527" s="4">
        <v>86915</v>
      </c>
    </row>
    <row r="7528" spans="1:10" hidden="1" outlineLevel="2" x14ac:dyDescent="0.35">
      <c r="A7528" t="s">
        <v>26</v>
      </c>
      <c r="B7528" s="1">
        <v>45720</v>
      </c>
      <c r="C7528" t="str">
        <f>"104"</f>
        <v>104</v>
      </c>
      <c r="D7528" t="s">
        <v>1486</v>
      </c>
      <c r="E7528" t="s">
        <v>1487</v>
      </c>
      <c r="F7528" t="str">
        <f t="shared" si="268"/>
        <v>65110200</v>
      </c>
      <c r="H7528" t="s">
        <v>1405</v>
      </c>
      <c r="J7528" s="4">
        <v>28971</v>
      </c>
    </row>
    <row r="7529" spans="1:10" hidden="1" outlineLevel="2" x14ac:dyDescent="0.35">
      <c r="A7529" t="s">
        <v>26</v>
      </c>
      <c r="B7529" s="1">
        <v>45720</v>
      </c>
      <c r="C7529" t="str">
        <f>"105"</f>
        <v>105</v>
      </c>
      <c r="D7529" t="s">
        <v>1488</v>
      </c>
      <c r="E7529" t="s">
        <v>1489</v>
      </c>
      <c r="F7529" t="str">
        <f t="shared" si="268"/>
        <v>65110200</v>
      </c>
      <c r="H7529" t="s">
        <v>1405</v>
      </c>
      <c r="J7529" s="4">
        <v>342831</v>
      </c>
    </row>
    <row r="7530" spans="1:10" hidden="1" outlineLevel="2" x14ac:dyDescent="0.35">
      <c r="A7530" t="s">
        <v>26</v>
      </c>
      <c r="B7530" s="1">
        <v>45721</v>
      </c>
      <c r="C7530" t="str">
        <f>"115"</f>
        <v>115</v>
      </c>
      <c r="D7530" t="s">
        <v>1490</v>
      </c>
      <c r="E7530" t="str">
        <f>"86462"</f>
        <v>86462</v>
      </c>
      <c r="F7530" t="str">
        <f t="shared" si="268"/>
        <v>65110200</v>
      </c>
      <c r="H7530" t="s">
        <v>1491</v>
      </c>
      <c r="J7530" s="4">
        <v>171099</v>
      </c>
    </row>
    <row r="7531" spans="1:10" hidden="1" outlineLevel="2" x14ac:dyDescent="0.35">
      <c r="A7531" t="s">
        <v>26</v>
      </c>
      <c r="B7531" s="1">
        <v>45721</v>
      </c>
      <c r="C7531" t="str">
        <f>"116"</f>
        <v>116</v>
      </c>
      <c r="D7531" t="s">
        <v>1492</v>
      </c>
      <c r="E7531" t="str">
        <f>"86476"</f>
        <v>86476</v>
      </c>
      <c r="F7531" t="str">
        <f t="shared" si="268"/>
        <v>65110200</v>
      </c>
      <c r="H7531" t="s">
        <v>1491</v>
      </c>
      <c r="J7531" s="4">
        <v>1709722</v>
      </c>
    </row>
    <row r="7532" spans="1:10" hidden="1" outlineLevel="2" x14ac:dyDescent="0.35">
      <c r="A7532" t="s">
        <v>26</v>
      </c>
      <c r="B7532" s="1">
        <v>45721</v>
      </c>
      <c r="C7532" t="str">
        <f>"117"</f>
        <v>117</v>
      </c>
      <c r="D7532" t="s">
        <v>1493</v>
      </c>
      <c r="E7532" t="str">
        <f>"86477"</f>
        <v>86477</v>
      </c>
      <c r="F7532" t="str">
        <f t="shared" si="268"/>
        <v>65110200</v>
      </c>
      <c r="H7532" t="s">
        <v>1491</v>
      </c>
      <c r="J7532" s="4">
        <v>372880</v>
      </c>
    </row>
    <row r="7533" spans="1:10" hidden="1" outlineLevel="2" x14ac:dyDescent="0.35">
      <c r="A7533" t="s">
        <v>26</v>
      </c>
      <c r="B7533" s="1">
        <v>45721</v>
      </c>
      <c r="C7533" t="str">
        <f>"118"</f>
        <v>118</v>
      </c>
      <c r="D7533" t="s">
        <v>1494</v>
      </c>
      <c r="E7533" t="str">
        <f>"86840"</f>
        <v>86840</v>
      </c>
      <c r="F7533" t="str">
        <f t="shared" si="268"/>
        <v>65110200</v>
      </c>
      <c r="H7533" t="s">
        <v>1491</v>
      </c>
      <c r="J7533" s="4">
        <v>1762827</v>
      </c>
    </row>
    <row r="7534" spans="1:10" hidden="1" outlineLevel="2" x14ac:dyDescent="0.35">
      <c r="A7534" t="s">
        <v>26</v>
      </c>
      <c r="B7534" s="1">
        <v>45722</v>
      </c>
      <c r="C7534" t="str">
        <f>"106"</f>
        <v>106</v>
      </c>
      <c r="D7534" t="s">
        <v>1514</v>
      </c>
      <c r="E7534" t="s">
        <v>1515</v>
      </c>
      <c r="F7534" t="str">
        <f t="shared" si="268"/>
        <v>65110200</v>
      </c>
      <c r="H7534" t="s">
        <v>1405</v>
      </c>
      <c r="J7534" s="4">
        <v>173829</v>
      </c>
    </row>
    <row r="7535" spans="1:10" hidden="1" outlineLevel="2" x14ac:dyDescent="0.35">
      <c r="A7535" t="s">
        <v>26</v>
      </c>
      <c r="B7535" s="1">
        <v>45726</v>
      </c>
      <c r="C7535" t="str">
        <f>"107"</f>
        <v>107</v>
      </c>
      <c r="D7535" t="s">
        <v>1572</v>
      </c>
      <c r="E7535" t="s">
        <v>1573</v>
      </c>
      <c r="F7535" t="str">
        <f t="shared" si="268"/>
        <v>65110200</v>
      </c>
      <c r="H7535" t="s">
        <v>1396</v>
      </c>
      <c r="J7535" s="4">
        <v>50858</v>
      </c>
    </row>
    <row r="7536" spans="1:10" hidden="1" outlineLevel="2" x14ac:dyDescent="0.35">
      <c r="A7536" t="s">
        <v>26</v>
      </c>
      <c r="B7536" s="1">
        <v>45726</v>
      </c>
      <c r="C7536" t="str">
        <f>"108"</f>
        <v>108</v>
      </c>
      <c r="D7536" t="s">
        <v>1574</v>
      </c>
      <c r="E7536" t="s">
        <v>1575</v>
      </c>
      <c r="F7536" t="str">
        <f t="shared" si="268"/>
        <v>65110200</v>
      </c>
      <c r="H7536" t="s">
        <v>1396</v>
      </c>
      <c r="J7536" s="4">
        <v>51273</v>
      </c>
    </row>
    <row r="7537" spans="1:11" hidden="1" outlineLevel="2" x14ac:dyDescent="0.35">
      <c r="A7537" t="s">
        <v>26</v>
      </c>
      <c r="B7537" s="1">
        <v>45726</v>
      </c>
      <c r="C7537" t="str">
        <f>"109"</f>
        <v>109</v>
      </c>
      <c r="D7537" t="s">
        <v>1576</v>
      </c>
      <c r="E7537" t="s">
        <v>1577</v>
      </c>
      <c r="F7537" t="str">
        <f t="shared" si="268"/>
        <v>65110200</v>
      </c>
      <c r="H7537" t="s">
        <v>1396</v>
      </c>
      <c r="J7537" s="4">
        <v>27672</v>
      </c>
    </row>
    <row r="7538" spans="1:11" hidden="1" outlineLevel="2" x14ac:dyDescent="0.35">
      <c r="A7538" t="s">
        <v>26</v>
      </c>
      <c r="B7538" s="1">
        <v>45726</v>
      </c>
      <c r="C7538" t="str">
        <f>"110"</f>
        <v>110</v>
      </c>
      <c r="D7538" t="s">
        <v>1578</v>
      </c>
      <c r="E7538" t="s">
        <v>1579</v>
      </c>
      <c r="F7538" t="str">
        <f t="shared" si="268"/>
        <v>65110200</v>
      </c>
      <c r="H7538" t="s">
        <v>1396</v>
      </c>
      <c r="J7538" s="4">
        <v>59000</v>
      </c>
    </row>
    <row r="7539" spans="1:11" hidden="1" outlineLevel="2" x14ac:dyDescent="0.35">
      <c r="A7539" t="s">
        <v>26</v>
      </c>
      <c r="B7539" s="1">
        <v>45727</v>
      </c>
      <c r="C7539" t="str">
        <f>"111"</f>
        <v>111</v>
      </c>
      <c r="D7539" t="s">
        <v>1601</v>
      </c>
      <c r="E7539" t="s">
        <v>1602</v>
      </c>
      <c r="F7539" t="str">
        <f t="shared" si="268"/>
        <v>65110200</v>
      </c>
      <c r="H7539" t="s">
        <v>1396</v>
      </c>
      <c r="J7539" s="4">
        <v>14160</v>
      </c>
    </row>
    <row r="7540" spans="1:11" hidden="1" outlineLevel="2" x14ac:dyDescent="0.35">
      <c r="A7540" t="s">
        <v>26</v>
      </c>
      <c r="B7540" s="1">
        <v>45733</v>
      </c>
      <c r="C7540" t="str">
        <f>"146"</f>
        <v>146</v>
      </c>
      <c r="D7540" t="s">
        <v>1670</v>
      </c>
      <c r="E7540" t="s">
        <v>1671</v>
      </c>
      <c r="F7540" t="str">
        <f t="shared" si="268"/>
        <v>65110200</v>
      </c>
      <c r="H7540" t="s">
        <v>1405</v>
      </c>
      <c r="J7540" s="4">
        <v>60358</v>
      </c>
    </row>
    <row r="7541" spans="1:11" hidden="1" outlineLevel="2" x14ac:dyDescent="0.35">
      <c r="A7541" t="s">
        <v>26</v>
      </c>
      <c r="B7541" s="1">
        <v>45733</v>
      </c>
      <c r="C7541" t="str">
        <f>"147"</f>
        <v>147</v>
      </c>
      <c r="D7541" t="s">
        <v>1672</v>
      </c>
      <c r="E7541" t="s">
        <v>1673</v>
      </c>
      <c r="F7541" t="str">
        <f t="shared" si="268"/>
        <v>65110200</v>
      </c>
      <c r="H7541" t="s">
        <v>1405</v>
      </c>
      <c r="J7541" s="4">
        <v>144858</v>
      </c>
    </row>
    <row r="7542" spans="1:11" hidden="1" outlineLevel="2" x14ac:dyDescent="0.35">
      <c r="A7542" t="s">
        <v>26</v>
      </c>
      <c r="B7542" s="1">
        <v>45733</v>
      </c>
      <c r="C7542" t="str">
        <f>"148"</f>
        <v>148</v>
      </c>
      <c r="D7542" t="s">
        <v>1674</v>
      </c>
      <c r="E7542" t="s">
        <v>1675</v>
      </c>
      <c r="F7542" t="str">
        <f t="shared" si="268"/>
        <v>65110200</v>
      </c>
      <c r="H7542" t="s">
        <v>1405</v>
      </c>
      <c r="J7542" s="4">
        <v>181063</v>
      </c>
    </row>
    <row r="7543" spans="1:11" hidden="1" outlineLevel="2" x14ac:dyDescent="0.35">
      <c r="A7543" t="s">
        <v>26</v>
      </c>
      <c r="B7543" s="1">
        <v>45740</v>
      </c>
      <c r="C7543" t="str">
        <f>"119"</f>
        <v>119</v>
      </c>
      <c r="D7543" t="s">
        <v>1719</v>
      </c>
      <c r="E7543" t="str">
        <f>"87269"</f>
        <v>87269</v>
      </c>
      <c r="F7543" t="str">
        <f t="shared" si="268"/>
        <v>65110200</v>
      </c>
      <c r="H7543" t="s">
        <v>1491</v>
      </c>
      <c r="J7543" s="4">
        <v>56640</v>
      </c>
    </row>
    <row r="7544" spans="1:11" hidden="1" outlineLevel="2" x14ac:dyDescent="0.35">
      <c r="A7544" t="s">
        <v>26</v>
      </c>
      <c r="B7544" s="1">
        <v>45740</v>
      </c>
      <c r="C7544" t="str">
        <f>"120"</f>
        <v>120</v>
      </c>
      <c r="D7544" t="s">
        <v>1720</v>
      </c>
      <c r="E7544" t="str">
        <f>"87323"</f>
        <v>87323</v>
      </c>
      <c r="F7544" t="str">
        <f t="shared" si="268"/>
        <v>65110200</v>
      </c>
      <c r="H7544" t="s">
        <v>1491</v>
      </c>
      <c r="J7544" s="4">
        <v>396480</v>
      </c>
    </row>
    <row r="7545" spans="1:11" hidden="1" outlineLevel="2" x14ac:dyDescent="0.35">
      <c r="A7545" t="s">
        <v>26</v>
      </c>
      <c r="B7545" s="1">
        <v>45742</v>
      </c>
      <c r="C7545" t="str">
        <f>"121"</f>
        <v>121</v>
      </c>
      <c r="D7545" t="s">
        <v>1740</v>
      </c>
      <c r="E7545" t="s">
        <v>1741</v>
      </c>
      <c r="F7545" t="str">
        <f t="shared" si="268"/>
        <v>65110200</v>
      </c>
      <c r="H7545" t="s">
        <v>1396</v>
      </c>
      <c r="J7545" s="4">
        <v>236000</v>
      </c>
    </row>
    <row r="7546" spans="1:11" hidden="1" outlineLevel="2" x14ac:dyDescent="0.35">
      <c r="A7546" t="s">
        <v>26</v>
      </c>
      <c r="B7546" s="1">
        <v>45744</v>
      </c>
      <c r="C7546" t="str">
        <f>"142"</f>
        <v>142</v>
      </c>
      <c r="D7546" t="s">
        <v>1753</v>
      </c>
      <c r="E7546" t="s">
        <v>1754</v>
      </c>
      <c r="F7546" t="str">
        <f t="shared" si="268"/>
        <v>65110200</v>
      </c>
      <c r="H7546" t="s">
        <v>1405</v>
      </c>
      <c r="J7546" s="4">
        <v>57943</v>
      </c>
    </row>
    <row r="7547" spans="1:11" hidden="1" outlineLevel="2" x14ac:dyDescent="0.35">
      <c r="A7547" t="s">
        <v>26</v>
      </c>
      <c r="B7547" s="1">
        <v>45744</v>
      </c>
      <c r="C7547" t="str">
        <f>"143"</f>
        <v>143</v>
      </c>
      <c r="D7547" t="s">
        <v>1755</v>
      </c>
      <c r="E7547" t="s">
        <v>1756</v>
      </c>
      <c r="F7547" t="str">
        <f t="shared" si="268"/>
        <v>65110200</v>
      </c>
      <c r="H7547" t="s">
        <v>1405</v>
      </c>
      <c r="J7547" s="4">
        <v>14486</v>
      </c>
    </row>
    <row r="7548" spans="1:11" hidden="1" outlineLevel="2" x14ac:dyDescent="0.35">
      <c r="A7548" t="s">
        <v>26</v>
      </c>
      <c r="B7548" s="1">
        <v>45744</v>
      </c>
      <c r="C7548" t="str">
        <f>"144"</f>
        <v>144</v>
      </c>
      <c r="D7548" t="s">
        <v>1757</v>
      </c>
      <c r="E7548" t="s">
        <v>1758</v>
      </c>
      <c r="F7548" t="str">
        <f t="shared" si="268"/>
        <v>65110200</v>
      </c>
      <c r="H7548" t="s">
        <v>1405</v>
      </c>
      <c r="J7548" s="4">
        <v>57943</v>
      </c>
    </row>
    <row r="7549" spans="1:11" hidden="1" outlineLevel="2" x14ac:dyDescent="0.35">
      <c r="A7549" t="s">
        <v>26</v>
      </c>
      <c r="B7549" s="1">
        <v>45744</v>
      </c>
      <c r="C7549" t="str">
        <f>"145"</f>
        <v>145</v>
      </c>
      <c r="D7549" t="s">
        <v>1759</v>
      </c>
      <c r="E7549" t="s">
        <v>1760</v>
      </c>
      <c r="F7549" t="str">
        <f t="shared" si="268"/>
        <v>65110200</v>
      </c>
      <c r="H7549" t="s">
        <v>1405</v>
      </c>
      <c r="J7549" s="4">
        <v>173829</v>
      </c>
    </row>
    <row r="7550" spans="1:11" hidden="1" outlineLevel="2" x14ac:dyDescent="0.35">
      <c r="A7550" t="s">
        <v>101</v>
      </c>
      <c r="B7550" s="1">
        <v>45730</v>
      </c>
      <c r="C7550" t="str">
        <f>"12"</f>
        <v>12</v>
      </c>
      <c r="F7550" t="str">
        <f t="shared" si="268"/>
        <v>65110200</v>
      </c>
      <c r="H7550" t="s">
        <v>2768</v>
      </c>
      <c r="J7550" s="4">
        <v>5411205</v>
      </c>
    </row>
    <row r="7551" spans="1:11" hidden="1" outlineLevel="2" x14ac:dyDescent="0.35">
      <c r="A7551" t="s">
        <v>101</v>
      </c>
      <c r="B7551" s="1">
        <v>45730</v>
      </c>
      <c r="C7551" t="str">
        <f>"63"</f>
        <v>63</v>
      </c>
      <c r="F7551" t="str">
        <f t="shared" si="268"/>
        <v>65110200</v>
      </c>
      <c r="H7551" t="s">
        <v>2769</v>
      </c>
      <c r="J7551" s="4">
        <v>-5411205</v>
      </c>
    </row>
    <row r="7552" spans="1:11" outlineLevel="1" collapsed="1" x14ac:dyDescent="0.35">
      <c r="B7552" s="1"/>
      <c r="F7552" s="3" t="s">
        <v>6681</v>
      </c>
      <c r="J7552" s="4">
        <f>SUBTOTAL(9,J7521:J7551)</f>
        <v>8144923</v>
      </c>
      <c r="K7552" s="4">
        <f>SUBTOTAL(9,K7521:K7551)</f>
        <v>0</v>
      </c>
    </row>
    <row r="7553" spans="1:11" hidden="1" outlineLevel="2" x14ac:dyDescent="0.35">
      <c r="A7553" t="s">
        <v>11</v>
      </c>
      <c r="B7553" s="1">
        <v>45717</v>
      </c>
      <c r="C7553" t="str">
        <f>"228"</f>
        <v>228</v>
      </c>
      <c r="F7553" t="str">
        <f>"65810000"</f>
        <v>65810000</v>
      </c>
      <c r="H7553" t="s">
        <v>1228</v>
      </c>
      <c r="J7553" s="4">
        <v>2058825</v>
      </c>
    </row>
    <row r="7554" spans="1:11" outlineLevel="1" collapsed="1" x14ac:dyDescent="0.35">
      <c r="B7554" s="1"/>
      <c r="F7554" s="3" t="s">
        <v>6682</v>
      </c>
      <c r="J7554" s="4">
        <f>SUBTOTAL(9,J7553:J7553)</f>
        <v>2058825</v>
      </c>
      <c r="K7554" s="4">
        <f>SUBTOTAL(9,K7553:K7553)</f>
        <v>0</v>
      </c>
    </row>
    <row r="7555" spans="1:11" hidden="1" outlineLevel="2" x14ac:dyDescent="0.35">
      <c r="A7555" t="s">
        <v>2337</v>
      </c>
      <c r="B7555" s="1">
        <v>45744</v>
      </c>
      <c r="C7555" t="str">
        <f>"881"</f>
        <v>881</v>
      </c>
      <c r="E7555" t="str">
        <f>"15887"</f>
        <v>15887</v>
      </c>
      <c r="F7555" t="str">
        <f>"65820000"</f>
        <v>65820000</v>
      </c>
      <c r="H7555" t="s">
        <v>2651</v>
      </c>
      <c r="J7555" s="4">
        <v>1000000</v>
      </c>
    </row>
    <row r="7556" spans="1:11" outlineLevel="1" collapsed="1" x14ac:dyDescent="0.35">
      <c r="B7556" s="1"/>
      <c r="F7556" s="3" t="s">
        <v>6683</v>
      </c>
      <c r="J7556" s="4">
        <f>SUBTOTAL(9,J7555:J7555)</f>
        <v>1000000</v>
      </c>
      <c r="K7556" s="4">
        <f>SUBTOTAL(9,K7555:K7555)</f>
        <v>0</v>
      </c>
    </row>
    <row r="7557" spans="1:11" hidden="1" outlineLevel="2" x14ac:dyDescent="0.35">
      <c r="A7557" t="s">
        <v>2337</v>
      </c>
      <c r="B7557" s="1">
        <v>45727</v>
      </c>
      <c r="C7557" t="str">
        <f>"721"</f>
        <v>721</v>
      </c>
      <c r="E7557" t="str">
        <f>"17340"</f>
        <v>17340</v>
      </c>
      <c r="F7557" t="str">
        <f>"65880000"</f>
        <v>65880000</v>
      </c>
      <c r="H7557" t="s">
        <v>2447</v>
      </c>
      <c r="J7557" s="4">
        <v>-2000000</v>
      </c>
    </row>
    <row r="7558" spans="1:11" hidden="1" outlineLevel="2" x14ac:dyDescent="0.35">
      <c r="A7558" t="s">
        <v>75</v>
      </c>
      <c r="B7558" s="1">
        <v>45737</v>
      </c>
      <c r="C7558" t="str">
        <f>"12"</f>
        <v>12</v>
      </c>
      <c r="D7558" t="s">
        <v>2717</v>
      </c>
      <c r="E7558" t="s">
        <v>2718</v>
      </c>
      <c r="F7558" t="str">
        <f>"65880000"</f>
        <v>65880000</v>
      </c>
      <c r="H7558" t="s">
        <v>2719</v>
      </c>
      <c r="J7558" s="4">
        <v>10000000</v>
      </c>
    </row>
    <row r="7559" spans="1:11" hidden="1" outlineLevel="2" x14ac:dyDescent="0.35">
      <c r="A7559" t="s">
        <v>101</v>
      </c>
      <c r="B7559" s="1">
        <v>45747</v>
      </c>
      <c r="C7559" t="str">
        <f>"78"</f>
        <v>78</v>
      </c>
      <c r="F7559" t="str">
        <f>"65880000"</f>
        <v>65880000</v>
      </c>
      <c r="H7559" t="s">
        <v>2943</v>
      </c>
      <c r="J7559" s="4">
        <v>4</v>
      </c>
    </row>
    <row r="7560" spans="1:11" outlineLevel="1" collapsed="1" x14ac:dyDescent="0.35">
      <c r="B7560" s="1"/>
      <c r="F7560" s="3" t="s">
        <v>6684</v>
      </c>
      <c r="J7560" s="4">
        <f>SUBTOTAL(9,J7557:J7559)</f>
        <v>8000004</v>
      </c>
      <c r="K7560" s="4">
        <f>SUBTOTAL(9,K7557:K7559)</f>
        <v>0</v>
      </c>
    </row>
    <row r="7561" spans="1:11" hidden="1" outlineLevel="2" x14ac:dyDescent="0.35">
      <c r="A7561" t="s">
        <v>1911</v>
      </c>
      <c r="B7561" s="1">
        <v>45727</v>
      </c>
      <c r="C7561" t="str">
        <f>"170"</f>
        <v>170</v>
      </c>
      <c r="F7561" t="str">
        <f>"65889000"</f>
        <v>65889000</v>
      </c>
      <c r="H7561" t="s">
        <v>1927</v>
      </c>
      <c r="K7561" s="4">
        <v>200</v>
      </c>
    </row>
    <row r="7562" spans="1:11" outlineLevel="1" collapsed="1" x14ac:dyDescent="0.35">
      <c r="B7562" s="1"/>
      <c r="F7562" s="3" t="s">
        <v>6685</v>
      </c>
      <c r="J7562" s="4">
        <f>SUBTOTAL(9,J7561:J7561)</f>
        <v>0</v>
      </c>
      <c r="K7562" s="4">
        <f>SUBTOTAL(9,K7561:K7561)</f>
        <v>200</v>
      </c>
    </row>
    <row r="7563" spans="1:11" hidden="1" outlineLevel="2" x14ac:dyDescent="0.35">
      <c r="A7563" t="s">
        <v>101</v>
      </c>
      <c r="B7563" s="1">
        <v>45740</v>
      </c>
      <c r="C7563" t="str">
        <f>"24"</f>
        <v>24</v>
      </c>
      <c r="F7563" t="str">
        <f>"65940000"</f>
        <v>65940000</v>
      </c>
      <c r="H7563" t="s">
        <v>2820</v>
      </c>
      <c r="J7563" s="4">
        <v>514844</v>
      </c>
    </row>
    <row r="7564" spans="1:11" hidden="1" outlineLevel="2" x14ac:dyDescent="0.35">
      <c r="A7564" t="s">
        <v>101</v>
      </c>
      <c r="B7564" s="1">
        <v>45747</v>
      </c>
      <c r="C7564" t="str">
        <f>"25"</f>
        <v>25</v>
      </c>
      <c r="F7564" t="str">
        <f>"65940000"</f>
        <v>65940000</v>
      </c>
      <c r="H7564" t="s">
        <v>2867</v>
      </c>
      <c r="J7564" s="4">
        <v>5692000</v>
      </c>
    </row>
    <row r="7565" spans="1:11" outlineLevel="1" collapsed="1" x14ac:dyDescent="0.35">
      <c r="B7565" s="1"/>
      <c r="F7565" s="3" t="s">
        <v>6686</v>
      </c>
      <c r="J7565" s="4">
        <f>SUBTOTAL(9,J7563:J7564)</f>
        <v>6206844</v>
      </c>
      <c r="K7565" s="4">
        <f>SUBTOTAL(9,K7563:K7564)</f>
        <v>0</v>
      </c>
    </row>
    <row r="7566" spans="1:11" hidden="1" outlineLevel="2" x14ac:dyDescent="0.35">
      <c r="A7566" t="s">
        <v>2964</v>
      </c>
      <c r="B7566" s="1">
        <v>45747</v>
      </c>
      <c r="C7566" t="s">
        <v>2965</v>
      </c>
      <c r="D7566" t="s">
        <v>2966</v>
      </c>
      <c r="F7566" t="str">
        <f>"66110000"</f>
        <v>66110000</v>
      </c>
      <c r="H7566" t="s">
        <v>2992</v>
      </c>
      <c r="J7566" s="4">
        <v>119955720</v>
      </c>
    </row>
    <row r="7567" spans="1:11" hidden="1" outlineLevel="2" x14ac:dyDescent="0.35">
      <c r="A7567" t="s">
        <v>2964</v>
      </c>
      <c r="B7567" s="1">
        <v>45747</v>
      </c>
      <c r="C7567" t="s">
        <v>2965</v>
      </c>
      <c r="D7567" t="s">
        <v>2966</v>
      </c>
      <c r="F7567" t="str">
        <f>"66110000"</f>
        <v>66110000</v>
      </c>
      <c r="H7567" t="s">
        <v>2993</v>
      </c>
      <c r="J7567" s="4">
        <v>15277963</v>
      </c>
    </row>
    <row r="7568" spans="1:11" outlineLevel="1" collapsed="1" x14ac:dyDescent="0.35">
      <c r="B7568" s="1"/>
      <c r="F7568" s="3" t="s">
        <v>6687</v>
      </c>
      <c r="J7568" s="4">
        <f>SUBTOTAL(9,J7566:J7567)</f>
        <v>135233683</v>
      </c>
      <c r="K7568" s="4">
        <f>SUBTOTAL(9,K7566:K7567)</f>
        <v>0</v>
      </c>
    </row>
    <row r="7569" spans="1:11" hidden="1" outlineLevel="2" x14ac:dyDescent="0.35">
      <c r="A7569" t="s">
        <v>2964</v>
      </c>
      <c r="B7569" s="1">
        <v>45747</v>
      </c>
      <c r="C7569" t="s">
        <v>2965</v>
      </c>
      <c r="D7569" t="s">
        <v>2966</v>
      </c>
      <c r="F7569" t="str">
        <f>"66110100"</f>
        <v>66110100</v>
      </c>
      <c r="H7569" t="s">
        <v>2994</v>
      </c>
      <c r="J7569" s="4">
        <v>3291955</v>
      </c>
    </row>
    <row r="7570" spans="1:11" hidden="1" outlineLevel="2" x14ac:dyDescent="0.35">
      <c r="A7570" t="s">
        <v>2964</v>
      </c>
      <c r="B7570" s="1">
        <v>45747</v>
      </c>
      <c r="C7570" t="s">
        <v>2965</v>
      </c>
      <c r="D7570" t="s">
        <v>2966</v>
      </c>
      <c r="F7570" t="str">
        <f>"66110100"</f>
        <v>66110100</v>
      </c>
      <c r="H7570" t="s">
        <v>2995</v>
      </c>
      <c r="J7570" s="4">
        <v>1018060</v>
      </c>
    </row>
    <row r="7571" spans="1:11" outlineLevel="1" collapsed="1" x14ac:dyDescent="0.35">
      <c r="B7571" s="1"/>
      <c r="F7571" s="3" t="s">
        <v>6688</v>
      </c>
      <c r="J7571" s="4">
        <f>SUBTOTAL(9,J7569:J7570)</f>
        <v>4310015</v>
      </c>
      <c r="K7571" s="4">
        <f>SUBTOTAL(9,K7569:K7570)</f>
        <v>0</v>
      </c>
    </row>
    <row r="7572" spans="1:11" hidden="1" outlineLevel="2" x14ac:dyDescent="0.35">
      <c r="A7572" t="s">
        <v>2964</v>
      </c>
      <c r="B7572" s="1">
        <v>45747</v>
      </c>
      <c r="C7572" t="s">
        <v>2965</v>
      </c>
      <c r="D7572" t="s">
        <v>2966</v>
      </c>
      <c r="F7572" t="str">
        <f>"66120010"</f>
        <v>66120010</v>
      </c>
      <c r="H7572" t="s">
        <v>2996</v>
      </c>
      <c r="J7572" s="4">
        <v>4992883</v>
      </c>
    </row>
    <row r="7573" spans="1:11" outlineLevel="1" collapsed="1" x14ac:dyDescent="0.35">
      <c r="B7573" s="1"/>
      <c r="F7573" s="3" t="s">
        <v>6689</v>
      </c>
      <c r="J7573" s="4">
        <f>SUBTOTAL(9,J7572:J7572)</f>
        <v>4992883</v>
      </c>
      <c r="K7573" s="4">
        <f>SUBTOTAL(9,K7572:K7572)</f>
        <v>0</v>
      </c>
    </row>
    <row r="7574" spans="1:11" hidden="1" outlineLevel="2" x14ac:dyDescent="0.35">
      <c r="A7574" t="s">
        <v>2964</v>
      </c>
      <c r="B7574" s="1">
        <v>45747</v>
      </c>
      <c r="C7574" t="s">
        <v>2965</v>
      </c>
      <c r="D7574" t="s">
        <v>2966</v>
      </c>
      <c r="F7574" t="str">
        <f>"66120100"</f>
        <v>66120100</v>
      </c>
      <c r="H7574" t="s">
        <v>2997</v>
      </c>
      <c r="J7574" s="4">
        <v>11408350</v>
      </c>
    </row>
    <row r="7575" spans="1:11" hidden="1" outlineLevel="2" x14ac:dyDescent="0.35">
      <c r="A7575" t="s">
        <v>2964</v>
      </c>
      <c r="B7575" s="1">
        <v>45747</v>
      </c>
      <c r="C7575" t="s">
        <v>2965</v>
      </c>
      <c r="D7575" t="s">
        <v>2966</v>
      </c>
      <c r="F7575" t="str">
        <f>"66120100"</f>
        <v>66120100</v>
      </c>
      <c r="H7575" t="s">
        <v>2998</v>
      </c>
      <c r="J7575" s="4">
        <v>1449574</v>
      </c>
    </row>
    <row r="7576" spans="1:11" outlineLevel="1" collapsed="1" x14ac:dyDescent="0.35">
      <c r="B7576" s="1"/>
      <c r="F7576" s="3" t="s">
        <v>6690</v>
      </c>
      <c r="J7576" s="4">
        <f>SUBTOTAL(9,J7574:J7575)</f>
        <v>12857924</v>
      </c>
      <c r="K7576" s="4">
        <f>SUBTOTAL(9,K7574:K7575)</f>
        <v>0</v>
      </c>
    </row>
    <row r="7577" spans="1:11" hidden="1" outlineLevel="2" x14ac:dyDescent="0.35">
      <c r="A7577" t="s">
        <v>2964</v>
      </c>
      <c r="B7577" s="1">
        <v>45747</v>
      </c>
      <c r="C7577" t="s">
        <v>2965</v>
      </c>
      <c r="D7577" t="s">
        <v>2966</v>
      </c>
      <c r="F7577" t="str">
        <f>"66120200"</f>
        <v>66120200</v>
      </c>
      <c r="H7577" t="s">
        <v>2999</v>
      </c>
      <c r="J7577" s="4">
        <v>28966143</v>
      </c>
    </row>
    <row r="7578" spans="1:11" outlineLevel="1" collapsed="1" x14ac:dyDescent="0.35">
      <c r="B7578" s="1"/>
      <c r="F7578" s="3" t="s">
        <v>6691</v>
      </c>
      <c r="J7578" s="4">
        <f>SUBTOTAL(9,J7577:J7577)</f>
        <v>28966143</v>
      </c>
      <c r="K7578" s="4">
        <f>SUBTOTAL(9,K7577:K7577)</f>
        <v>0</v>
      </c>
    </row>
    <row r="7579" spans="1:11" hidden="1" outlineLevel="2" x14ac:dyDescent="0.35">
      <c r="A7579" t="s">
        <v>2964</v>
      </c>
      <c r="B7579" s="1">
        <v>45747</v>
      </c>
      <c r="C7579" t="s">
        <v>2965</v>
      </c>
      <c r="D7579" t="s">
        <v>2966</v>
      </c>
      <c r="F7579" t="str">
        <f>"66120300"</f>
        <v>66120300</v>
      </c>
      <c r="H7579" t="s">
        <v>3000</v>
      </c>
      <c r="J7579" s="4">
        <v>589211</v>
      </c>
    </row>
    <row r="7580" spans="1:11" hidden="1" outlineLevel="2" x14ac:dyDescent="0.35">
      <c r="A7580" t="s">
        <v>2964</v>
      </c>
      <c r="B7580" s="1">
        <v>45747</v>
      </c>
      <c r="C7580" t="s">
        <v>2965</v>
      </c>
      <c r="D7580" t="s">
        <v>2966</v>
      </c>
      <c r="F7580" t="str">
        <f>"66120300"</f>
        <v>66120300</v>
      </c>
      <c r="H7580" t="s">
        <v>3001</v>
      </c>
      <c r="J7580" s="4">
        <v>1139619</v>
      </c>
    </row>
    <row r="7581" spans="1:11" outlineLevel="1" collapsed="1" x14ac:dyDescent="0.35">
      <c r="B7581" s="1"/>
      <c r="F7581" s="3" t="s">
        <v>6692</v>
      </c>
      <c r="J7581" s="4">
        <f>SUBTOTAL(9,J7579:J7580)</f>
        <v>1728830</v>
      </c>
      <c r="K7581" s="4">
        <f>SUBTOTAL(9,K7579:K7580)</f>
        <v>0</v>
      </c>
    </row>
    <row r="7582" spans="1:11" hidden="1" outlineLevel="2" x14ac:dyDescent="0.35">
      <c r="A7582" t="s">
        <v>2964</v>
      </c>
      <c r="B7582" s="1">
        <v>45747</v>
      </c>
      <c r="C7582" t="s">
        <v>2965</v>
      </c>
      <c r="D7582" t="s">
        <v>2966</v>
      </c>
      <c r="F7582" t="str">
        <f>"66130000"</f>
        <v>66130000</v>
      </c>
      <c r="H7582" t="s">
        <v>3002</v>
      </c>
      <c r="J7582" s="4">
        <v>10331648</v>
      </c>
    </row>
    <row r="7583" spans="1:11" hidden="1" outlineLevel="2" x14ac:dyDescent="0.35">
      <c r="A7583" t="s">
        <v>2964</v>
      </c>
      <c r="B7583" s="1">
        <v>45747</v>
      </c>
      <c r="C7583" t="s">
        <v>2965</v>
      </c>
      <c r="D7583" t="s">
        <v>2966</v>
      </c>
      <c r="F7583" t="str">
        <f>"66130000"</f>
        <v>66130000</v>
      </c>
      <c r="H7583" t="s">
        <v>3003</v>
      </c>
      <c r="J7583" s="4">
        <v>7323224</v>
      </c>
    </row>
    <row r="7584" spans="1:11" outlineLevel="1" collapsed="1" x14ac:dyDescent="0.35">
      <c r="B7584" s="1"/>
      <c r="F7584" s="3" t="s">
        <v>6693</v>
      </c>
      <c r="J7584" s="4">
        <f>SUBTOTAL(9,J7582:J7583)</f>
        <v>17654872</v>
      </c>
      <c r="K7584" s="4">
        <f>SUBTOTAL(9,K7582:K7583)</f>
        <v>0</v>
      </c>
    </row>
    <row r="7585" spans="1:11" hidden="1" outlineLevel="2" x14ac:dyDescent="0.35">
      <c r="A7585" t="s">
        <v>2964</v>
      </c>
      <c r="B7585" s="1">
        <v>45747</v>
      </c>
      <c r="C7585" t="s">
        <v>2965</v>
      </c>
      <c r="D7585" t="s">
        <v>2966</v>
      </c>
      <c r="F7585" t="str">
        <f>"66140000"</f>
        <v>66140000</v>
      </c>
      <c r="H7585" t="s">
        <v>3004</v>
      </c>
      <c r="J7585" s="4">
        <v>741453</v>
      </c>
    </row>
    <row r="7586" spans="1:11" hidden="1" outlineLevel="2" x14ac:dyDescent="0.35">
      <c r="A7586" t="s">
        <v>2964</v>
      </c>
      <c r="B7586" s="1">
        <v>45747</v>
      </c>
      <c r="C7586" t="s">
        <v>2965</v>
      </c>
      <c r="D7586" t="s">
        <v>2966</v>
      </c>
      <c r="F7586" t="str">
        <f>"66140000"</f>
        <v>66140000</v>
      </c>
      <c r="H7586" t="s">
        <v>3005</v>
      </c>
      <c r="K7586" s="4">
        <v>46946</v>
      </c>
    </row>
    <row r="7587" spans="1:11" hidden="1" outlineLevel="2" x14ac:dyDescent="0.35">
      <c r="A7587" t="s">
        <v>2964</v>
      </c>
      <c r="B7587" s="1">
        <v>45747</v>
      </c>
      <c r="C7587" t="s">
        <v>2965</v>
      </c>
      <c r="D7587" t="s">
        <v>2966</v>
      </c>
      <c r="F7587" t="str">
        <f>"66140000"</f>
        <v>66140000</v>
      </c>
      <c r="H7587" t="s">
        <v>3006</v>
      </c>
      <c r="J7587" s="4">
        <v>2644381</v>
      </c>
    </row>
    <row r="7588" spans="1:11" outlineLevel="1" collapsed="1" x14ac:dyDescent="0.35">
      <c r="B7588" s="1"/>
      <c r="F7588" s="3" t="s">
        <v>6694</v>
      </c>
      <c r="J7588" s="4">
        <f>SUBTOTAL(9,J7585:J7587)</f>
        <v>3385834</v>
      </c>
      <c r="K7588" s="4">
        <f>SUBTOTAL(9,K7585:K7587)</f>
        <v>46946</v>
      </c>
    </row>
    <row r="7589" spans="1:11" hidden="1" outlineLevel="2" x14ac:dyDescent="0.35">
      <c r="A7589" t="s">
        <v>3056</v>
      </c>
      <c r="B7589" s="1">
        <v>45719</v>
      </c>
      <c r="C7589" t="str">
        <f>"146"</f>
        <v>146</v>
      </c>
      <c r="F7589" t="str">
        <f>"66181000"</f>
        <v>66181000</v>
      </c>
      <c r="H7589" t="s">
        <v>3059</v>
      </c>
      <c r="J7589" s="4">
        <v>6498335</v>
      </c>
    </row>
    <row r="7590" spans="1:11" hidden="1" outlineLevel="2" x14ac:dyDescent="0.35">
      <c r="A7590" t="s">
        <v>3056</v>
      </c>
      <c r="B7590" s="1">
        <v>45727</v>
      </c>
      <c r="C7590" t="str">
        <f>"162"</f>
        <v>162</v>
      </c>
      <c r="F7590" t="str">
        <f>"66181000"</f>
        <v>66181000</v>
      </c>
      <c r="H7590" t="s">
        <v>3076</v>
      </c>
      <c r="J7590" s="4">
        <v>319667</v>
      </c>
    </row>
    <row r="7591" spans="1:11" hidden="1" outlineLevel="2" x14ac:dyDescent="0.35">
      <c r="A7591" t="s">
        <v>3056</v>
      </c>
      <c r="B7591" s="1">
        <v>45744</v>
      </c>
      <c r="C7591" t="str">
        <f>"202"</f>
        <v>202</v>
      </c>
      <c r="F7591" t="str">
        <f>"66181000"</f>
        <v>66181000</v>
      </c>
      <c r="H7591" t="s">
        <v>3113</v>
      </c>
      <c r="J7591" s="4">
        <v>2266666</v>
      </c>
    </row>
    <row r="7592" spans="1:11" outlineLevel="1" collapsed="1" x14ac:dyDescent="0.35">
      <c r="B7592" s="1"/>
      <c r="F7592" s="3" t="s">
        <v>6695</v>
      </c>
      <c r="J7592" s="4">
        <f>SUBTOTAL(9,J7589:J7591)</f>
        <v>9084668</v>
      </c>
      <c r="K7592" s="4">
        <f>SUBTOTAL(9,K7589:K7591)</f>
        <v>0</v>
      </c>
    </row>
    <row r="7593" spans="1:11" hidden="1" outlineLevel="2" x14ac:dyDescent="0.35">
      <c r="A7593" t="s">
        <v>3025</v>
      </c>
      <c r="B7593" s="1">
        <v>45717</v>
      </c>
      <c r="C7593" t="str">
        <f>"5"</f>
        <v>5</v>
      </c>
      <c r="E7593" t="s">
        <v>3026</v>
      </c>
      <c r="F7593" t="str">
        <f>"66182000"</f>
        <v>66182000</v>
      </c>
      <c r="H7593" t="s">
        <v>3027</v>
      </c>
      <c r="J7593" s="4">
        <v>-7132680</v>
      </c>
    </row>
    <row r="7594" spans="1:11" hidden="1" outlineLevel="2" x14ac:dyDescent="0.35">
      <c r="A7594" t="s">
        <v>3025</v>
      </c>
      <c r="B7594" s="1">
        <v>45747</v>
      </c>
      <c r="C7594" t="str">
        <f>"6"</f>
        <v>6</v>
      </c>
      <c r="E7594" t="s">
        <v>3026</v>
      </c>
      <c r="F7594" t="str">
        <f>"66182000"</f>
        <v>66182000</v>
      </c>
      <c r="H7594" t="s">
        <v>3028</v>
      </c>
      <c r="J7594" s="4">
        <v>10950100</v>
      </c>
    </row>
    <row r="7595" spans="1:11" hidden="1" outlineLevel="2" x14ac:dyDescent="0.35">
      <c r="A7595" t="s">
        <v>3025</v>
      </c>
      <c r="B7595" s="1">
        <v>45747</v>
      </c>
      <c r="C7595" t="str">
        <f>"7"</f>
        <v>7</v>
      </c>
      <c r="E7595" t="s">
        <v>3029</v>
      </c>
      <c r="F7595" t="str">
        <f>"66182000"</f>
        <v>66182000</v>
      </c>
      <c r="H7595" t="s">
        <v>3030</v>
      </c>
      <c r="J7595" s="4">
        <v>28952888</v>
      </c>
    </row>
    <row r="7596" spans="1:11" outlineLevel="1" collapsed="1" x14ac:dyDescent="0.35">
      <c r="B7596" s="1"/>
      <c r="F7596" s="3" t="s">
        <v>6696</v>
      </c>
      <c r="J7596" s="4">
        <f>SUBTOTAL(9,J7593:J7595)</f>
        <v>32770308</v>
      </c>
      <c r="K7596" s="4">
        <f>SUBTOTAL(9,K7593:K7595)</f>
        <v>0</v>
      </c>
    </row>
    <row r="7597" spans="1:11" hidden="1" outlineLevel="2" x14ac:dyDescent="0.35">
      <c r="A7597" t="s">
        <v>11</v>
      </c>
      <c r="B7597" s="1">
        <v>45718</v>
      </c>
      <c r="C7597" t="str">
        <f>"269"</f>
        <v>269</v>
      </c>
      <c r="E7597" t="s">
        <v>1298</v>
      </c>
      <c r="F7597" t="str">
        <f>"66183000"</f>
        <v>66183000</v>
      </c>
      <c r="H7597" t="s">
        <v>1300</v>
      </c>
      <c r="J7597" s="4">
        <v>18501542</v>
      </c>
    </row>
    <row r="7598" spans="1:11" outlineLevel="1" collapsed="1" x14ac:dyDescent="0.35">
      <c r="B7598" s="1"/>
      <c r="F7598" s="3" t="s">
        <v>6697</v>
      </c>
      <c r="J7598" s="4">
        <f>SUBTOTAL(9,J7597:J7597)</f>
        <v>18501542</v>
      </c>
      <c r="K7598" s="4">
        <f>SUBTOTAL(9,K7597:K7597)</f>
        <v>0</v>
      </c>
    </row>
    <row r="7599" spans="1:11" hidden="1" outlineLevel="2" x14ac:dyDescent="0.35">
      <c r="A7599" t="s">
        <v>1911</v>
      </c>
      <c r="B7599" s="1">
        <v>45722</v>
      </c>
      <c r="C7599" t="str">
        <f>"163"</f>
        <v>163</v>
      </c>
      <c r="F7599" t="str">
        <f>"66310000"</f>
        <v>66310000</v>
      </c>
      <c r="H7599" t="s">
        <v>1922</v>
      </c>
      <c r="J7599" s="4">
        <v>864720</v>
      </c>
    </row>
    <row r="7600" spans="1:11" outlineLevel="1" collapsed="1" x14ac:dyDescent="0.35">
      <c r="B7600" s="1"/>
      <c r="F7600" s="3" t="s">
        <v>6698</v>
      </c>
      <c r="J7600" s="4">
        <f>SUBTOTAL(9,J7599:J7599)</f>
        <v>864720</v>
      </c>
      <c r="K7600" s="4">
        <f>SUBTOTAL(9,K7599:K7599)</f>
        <v>0</v>
      </c>
    </row>
    <row r="7601" spans="1:11" hidden="1" outlineLevel="2" x14ac:dyDescent="0.35">
      <c r="A7601" t="s">
        <v>2964</v>
      </c>
      <c r="B7601" s="1">
        <v>45747</v>
      </c>
      <c r="C7601" t="s">
        <v>2965</v>
      </c>
      <c r="D7601" t="s">
        <v>2966</v>
      </c>
      <c r="F7601" t="str">
        <f>"66320000"</f>
        <v>66320000</v>
      </c>
      <c r="H7601" t="s">
        <v>3007</v>
      </c>
      <c r="J7601" s="4">
        <v>21464381</v>
      </c>
    </row>
    <row r="7602" spans="1:11" outlineLevel="1" collapsed="1" x14ac:dyDescent="0.35">
      <c r="B7602" s="1"/>
      <c r="F7602" s="3" t="s">
        <v>6699</v>
      </c>
      <c r="J7602" s="4">
        <f>SUBTOTAL(9,J7601:J7601)</f>
        <v>21464381</v>
      </c>
      <c r="K7602" s="4">
        <f>SUBTOTAL(9,K7601:K7601)</f>
        <v>0</v>
      </c>
    </row>
    <row r="7603" spans="1:11" hidden="1" outlineLevel="2" x14ac:dyDescent="0.35">
      <c r="A7603" t="s">
        <v>2964</v>
      </c>
      <c r="B7603" s="1">
        <v>45747</v>
      </c>
      <c r="C7603" t="s">
        <v>2965</v>
      </c>
      <c r="D7603" t="s">
        <v>2966</v>
      </c>
      <c r="F7603" t="str">
        <f>"66340000"</f>
        <v>66340000</v>
      </c>
      <c r="H7603" t="s">
        <v>3008</v>
      </c>
      <c r="J7603" s="4">
        <v>18890669</v>
      </c>
    </row>
    <row r="7604" spans="1:11" hidden="1" outlineLevel="2" x14ac:dyDescent="0.35">
      <c r="A7604" t="s">
        <v>2964</v>
      </c>
      <c r="B7604" s="1">
        <v>45747</v>
      </c>
      <c r="C7604" t="s">
        <v>2965</v>
      </c>
      <c r="D7604" t="s">
        <v>2966</v>
      </c>
      <c r="F7604" t="str">
        <f>"66340000"</f>
        <v>66340000</v>
      </c>
      <c r="H7604" t="s">
        <v>3009</v>
      </c>
      <c r="J7604" s="4">
        <v>1388643</v>
      </c>
    </row>
    <row r="7605" spans="1:11" outlineLevel="1" collapsed="1" x14ac:dyDescent="0.35">
      <c r="B7605" s="1"/>
      <c r="F7605" s="3" t="s">
        <v>6700</v>
      </c>
      <c r="J7605" s="4">
        <f>SUBTOTAL(9,J7603:J7604)</f>
        <v>20279312</v>
      </c>
      <c r="K7605" s="4">
        <f>SUBTOTAL(9,K7603:K7604)</f>
        <v>0</v>
      </c>
    </row>
    <row r="7606" spans="1:11" hidden="1" outlineLevel="2" x14ac:dyDescent="0.35">
      <c r="A7606" t="s">
        <v>11</v>
      </c>
      <c r="B7606" s="1">
        <v>45717</v>
      </c>
      <c r="C7606" t="str">
        <f>"208"</f>
        <v>208</v>
      </c>
      <c r="E7606" t="s">
        <v>1191</v>
      </c>
      <c r="F7606" t="str">
        <f t="shared" ref="F7606:F7611" si="269">"66381000"</f>
        <v>66381000</v>
      </c>
      <c r="H7606" t="s">
        <v>1192</v>
      </c>
      <c r="J7606" s="4">
        <v>250000</v>
      </c>
    </row>
    <row r="7607" spans="1:11" hidden="1" outlineLevel="2" x14ac:dyDescent="0.35">
      <c r="A7607" t="s">
        <v>11</v>
      </c>
      <c r="B7607" s="1">
        <v>45717</v>
      </c>
      <c r="C7607" t="str">
        <f>"224"</f>
        <v>224</v>
      </c>
      <c r="E7607" t="s">
        <v>1221</v>
      </c>
      <c r="F7607" t="str">
        <f t="shared" si="269"/>
        <v>66381000</v>
      </c>
      <c r="H7607" t="s">
        <v>1222</v>
      </c>
      <c r="J7607" s="4">
        <v>15589</v>
      </c>
    </row>
    <row r="7608" spans="1:11" hidden="1" outlineLevel="2" x14ac:dyDescent="0.35">
      <c r="A7608" t="s">
        <v>11</v>
      </c>
      <c r="B7608" s="1">
        <v>45717</v>
      </c>
      <c r="C7608" t="str">
        <f>"237"</f>
        <v>237</v>
      </c>
      <c r="E7608" t="s">
        <v>1243</v>
      </c>
      <c r="F7608" t="str">
        <f t="shared" si="269"/>
        <v>66381000</v>
      </c>
      <c r="H7608" t="s">
        <v>1244</v>
      </c>
      <c r="J7608" s="4">
        <v>264084</v>
      </c>
    </row>
    <row r="7609" spans="1:11" hidden="1" outlineLevel="2" x14ac:dyDescent="0.35">
      <c r="A7609" t="s">
        <v>11</v>
      </c>
      <c r="B7609" s="1">
        <v>45717</v>
      </c>
      <c r="C7609" t="str">
        <f>"244"</f>
        <v>244</v>
      </c>
      <c r="F7609" t="str">
        <f t="shared" si="269"/>
        <v>66381000</v>
      </c>
      <c r="H7609" t="s">
        <v>1256</v>
      </c>
      <c r="J7609" s="4">
        <v>2000000</v>
      </c>
    </row>
    <row r="7610" spans="1:11" hidden="1" outlineLevel="2" x14ac:dyDescent="0.35">
      <c r="A7610" t="s">
        <v>11</v>
      </c>
      <c r="B7610" s="1">
        <v>45717</v>
      </c>
      <c r="C7610" t="str">
        <f>"245"</f>
        <v>245</v>
      </c>
      <c r="E7610" t="s">
        <v>1257</v>
      </c>
      <c r="F7610" t="str">
        <f t="shared" si="269"/>
        <v>66381000</v>
      </c>
      <c r="H7610" t="s">
        <v>1258</v>
      </c>
      <c r="J7610" s="4">
        <v>1800000</v>
      </c>
    </row>
    <row r="7611" spans="1:11" hidden="1" outlineLevel="2" x14ac:dyDescent="0.35">
      <c r="A7611" t="s">
        <v>26</v>
      </c>
      <c r="B7611" s="1">
        <v>45742</v>
      </c>
      <c r="C7611" t="str">
        <f>"138"</f>
        <v>138</v>
      </c>
      <c r="D7611" t="s">
        <v>1744</v>
      </c>
      <c r="E7611" t="str">
        <f>"0748141"</f>
        <v>0748141</v>
      </c>
      <c r="F7611" t="str">
        <f t="shared" si="269"/>
        <v>66381000</v>
      </c>
      <c r="H7611" t="s">
        <v>1745</v>
      </c>
      <c r="J7611" s="4">
        <v>108000</v>
      </c>
    </row>
    <row r="7612" spans="1:11" outlineLevel="1" collapsed="1" x14ac:dyDescent="0.35">
      <c r="B7612" s="1"/>
      <c r="F7612" s="3" t="s">
        <v>6701</v>
      </c>
      <c r="J7612" s="4">
        <f>SUBTOTAL(9,J7606:J7611)</f>
        <v>4437673</v>
      </c>
      <c r="K7612" s="4">
        <f>SUBTOTAL(9,K7606:K7611)</f>
        <v>0</v>
      </c>
    </row>
    <row r="7613" spans="1:11" hidden="1" outlineLevel="2" x14ac:dyDescent="0.35">
      <c r="A7613" t="s">
        <v>11</v>
      </c>
      <c r="B7613" s="1">
        <v>45717</v>
      </c>
      <c r="C7613" t="str">
        <f>"214"</f>
        <v>214</v>
      </c>
      <c r="E7613" t="s">
        <v>1203</v>
      </c>
      <c r="F7613" t="str">
        <f>"66410000"</f>
        <v>66410000</v>
      </c>
      <c r="H7613" t="s">
        <v>1204</v>
      </c>
      <c r="J7613" s="4">
        <v>6000000</v>
      </c>
    </row>
    <row r="7614" spans="1:11" hidden="1" outlineLevel="2" x14ac:dyDescent="0.35">
      <c r="A7614" t="s">
        <v>101</v>
      </c>
      <c r="B7614" s="1">
        <v>45747</v>
      </c>
      <c r="C7614" t="str">
        <f>"15"</f>
        <v>15</v>
      </c>
      <c r="F7614" t="str">
        <f>"66410000"</f>
        <v>66410000</v>
      </c>
      <c r="H7614" t="s">
        <v>2849</v>
      </c>
      <c r="J7614" s="4">
        <v>246500</v>
      </c>
    </row>
    <row r="7615" spans="1:11" outlineLevel="1" collapsed="1" x14ac:dyDescent="0.35">
      <c r="B7615" s="1"/>
      <c r="F7615" s="3" t="s">
        <v>6702</v>
      </c>
      <c r="J7615" s="4">
        <f>SUBTOTAL(9,J7613:J7614)</f>
        <v>6246500</v>
      </c>
      <c r="K7615" s="4">
        <f>SUBTOTAL(9,K7613:K7614)</f>
        <v>0</v>
      </c>
    </row>
    <row r="7616" spans="1:11" hidden="1" outlineLevel="2" x14ac:dyDescent="0.35">
      <c r="A7616" t="s">
        <v>2964</v>
      </c>
      <c r="B7616" s="1">
        <v>45747</v>
      </c>
      <c r="C7616" t="s">
        <v>2965</v>
      </c>
      <c r="D7616" t="s">
        <v>2966</v>
      </c>
      <c r="F7616" t="str">
        <f>"66411000"</f>
        <v>66411000</v>
      </c>
      <c r="H7616" t="s">
        <v>3010</v>
      </c>
      <c r="J7616" s="4">
        <v>2197069</v>
      </c>
    </row>
    <row r="7617" spans="1:11" hidden="1" outlineLevel="2" x14ac:dyDescent="0.35">
      <c r="A7617" t="s">
        <v>2964</v>
      </c>
      <c r="B7617" s="1">
        <v>45747</v>
      </c>
      <c r="C7617" t="s">
        <v>2965</v>
      </c>
      <c r="D7617" t="s">
        <v>2966</v>
      </c>
      <c r="F7617" t="str">
        <f>"66411000"</f>
        <v>66411000</v>
      </c>
      <c r="H7617" t="s">
        <v>3011</v>
      </c>
      <c r="J7617" s="4">
        <v>273219</v>
      </c>
    </row>
    <row r="7618" spans="1:11" hidden="1" outlineLevel="2" x14ac:dyDescent="0.35">
      <c r="A7618" t="s">
        <v>2964</v>
      </c>
      <c r="B7618" s="1">
        <v>45747</v>
      </c>
      <c r="C7618" t="s">
        <v>2965</v>
      </c>
      <c r="D7618" t="s">
        <v>2966</v>
      </c>
      <c r="F7618" t="str">
        <f>"66411000"</f>
        <v>66411000</v>
      </c>
      <c r="H7618" t="s">
        <v>3012</v>
      </c>
      <c r="J7618" s="4">
        <v>17252</v>
      </c>
    </row>
    <row r="7619" spans="1:11" hidden="1" outlineLevel="2" x14ac:dyDescent="0.35">
      <c r="A7619" t="s">
        <v>2964</v>
      </c>
      <c r="B7619" s="1">
        <v>45747</v>
      </c>
      <c r="C7619" t="s">
        <v>2965</v>
      </c>
      <c r="D7619" t="s">
        <v>2966</v>
      </c>
      <c r="F7619" t="str">
        <f>"66411000"</f>
        <v>66411000</v>
      </c>
      <c r="H7619" t="s">
        <v>3013</v>
      </c>
      <c r="J7619" s="4">
        <v>349353</v>
      </c>
    </row>
    <row r="7620" spans="1:11" hidden="1" outlineLevel="2" x14ac:dyDescent="0.35">
      <c r="A7620" t="s">
        <v>2964</v>
      </c>
      <c r="B7620" s="1">
        <v>45747</v>
      </c>
      <c r="C7620" t="s">
        <v>2965</v>
      </c>
      <c r="D7620" t="s">
        <v>2966</v>
      </c>
      <c r="F7620" t="str">
        <f>"66411000"</f>
        <v>66411000</v>
      </c>
      <c r="H7620" t="s">
        <v>3014</v>
      </c>
      <c r="J7620" s="4">
        <v>21565</v>
      </c>
    </row>
    <row r="7621" spans="1:11" outlineLevel="1" collapsed="1" x14ac:dyDescent="0.35">
      <c r="B7621" s="1"/>
      <c r="F7621" s="3" t="s">
        <v>6703</v>
      </c>
      <c r="J7621" s="4">
        <f>SUBTOTAL(9,J7616:J7620)</f>
        <v>2858458</v>
      </c>
      <c r="K7621" s="4">
        <f>SUBTOTAL(9,K7616:K7620)</f>
        <v>0</v>
      </c>
    </row>
    <row r="7622" spans="1:11" hidden="1" outlineLevel="2" x14ac:dyDescent="0.35">
      <c r="A7622" t="s">
        <v>2964</v>
      </c>
      <c r="B7622" s="1">
        <v>45747</v>
      </c>
      <c r="C7622" t="s">
        <v>2965</v>
      </c>
      <c r="D7622" t="s">
        <v>2966</v>
      </c>
      <c r="F7622" t="str">
        <f>"66412000"</f>
        <v>66412000</v>
      </c>
      <c r="H7622" t="s">
        <v>3015</v>
      </c>
      <c r="J7622" s="4">
        <v>1910278</v>
      </c>
    </row>
    <row r="7623" spans="1:11" hidden="1" outlineLevel="2" x14ac:dyDescent="0.35">
      <c r="A7623" t="s">
        <v>2964</v>
      </c>
      <c r="B7623" s="1">
        <v>45747</v>
      </c>
      <c r="C7623" t="s">
        <v>2965</v>
      </c>
      <c r="D7623" t="s">
        <v>2966</v>
      </c>
      <c r="F7623" t="str">
        <f>"66412000"</f>
        <v>66412000</v>
      </c>
      <c r="H7623" t="s">
        <v>3016</v>
      </c>
      <c r="J7623" s="4">
        <v>237555</v>
      </c>
    </row>
    <row r="7624" spans="1:11" hidden="1" outlineLevel="2" x14ac:dyDescent="0.35">
      <c r="A7624" t="s">
        <v>2964</v>
      </c>
      <c r="B7624" s="1">
        <v>45747</v>
      </c>
      <c r="C7624" t="s">
        <v>2965</v>
      </c>
      <c r="D7624" t="s">
        <v>2966</v>
      </c>
      <c r="F7624" t="str">
        <f>"66412000"</f>
        <v>66412000</v>
      </c>
      <c r="H7624" t="s">
        <v>3017</v>
      </c>
      <c r="J7624" s="4">
        <v>15000</v>
      </c>
    </row>
    <row r="7625" spans="1:11" hidden="1" outlineLevel="2" x14ac:dyDescent="0.35">
      <c r="A7625" t="s">
        <v>2964</v>
      </c>
      <c r="B7625" s="1">
        <v>45747</v>
      </c>
      <c r="C7625" t="s">
        <v>2965</v>
      </c>
      <c r="D7625" t="s">
        <v>2966</v>
      </c>
      <c r="F7625" t="str">
        <f>"66412000"</f>
        <v>66412000</v>
      </c>
      <c r="H7625" t="s">
        <v>3018</v>
      </c>
      <c r="J7625" s="4">
        <v>303750</v>
      </c>
    </row>
    <row r="7626" spans="1:11" hidden="1" outlineLevel="2" x14ac:dyDescent="0.35">
      <c r="A7626" t="s">
        <v>2964</v>
      </c>
      <c r="B7626" s="1">
        <v>45747</v>
      </c>
      <c r="C7626" t="s">
        <v>2965</v>
      </c>
      <c r="D7626" t="s">
        <v>2966</v>
      </c>
      <c r="F7626" t="str">
        <f>"66412000"</f>
        <v>66412000</v>
      </c>
      <c r="H7626" t="s">
        <v>3019</v>
      </c>
      <c r="J7626" s="4">
        <v>18750</v>
      </c>
    </row>
    <row r="7627" spans="1:11" outlineLevel="1" collapsed="1" x14ac:dyDescent="0.35">
      <c r="B7627" s="1"/>
      <c r="F7627" s="3" t="s">
        <v>6704</v>
      </c>
      <c r="J7627" s="4">
        <f>SUBTOTAL(9,J7622:J7626)</f>
        <v>2485333</v>
      </c>
      <c r="K7627" s="4">
        <f>SUBTOTAL(9,K7622:K7626)</f>
        <v>0</v>
      </c>
    </row>
    <row r="7628" spans="1:11" hidden="1" outlineLevel="2" x14ac:dyDescent="0.35">
      <c r="A7628" t="s">
        <v>2964</v>
      </c>
      <c r="B7628" s="1">
        <v>45747</v>
      </c>
      <c r="C7628" t="s">
        <v>2965</v>
      </c>
      <c r="D7628" t="s">
        <v>2966</v>
      </c>
      <c r="F7628" t="str">
        <f>"66413000"</f>
        <v>66413000</v>
      </c>
      <c r="H7628" t="s">
        <v>3020</v>
      </c>
      <c r="J7628" s="4">
        <v>11007669</v>
      </c>
    </row>
    <row r="7629" spans="1:11" hidden="1" outlineLevel="2" x14ac:dyDescent="0.35">
      <c r="A7629" t="s">
        <v>2964</v>
      </c>
      <c r="B7629" s="1">
        <v>45747</v>
      </c>
      <c r="C7629" t="s">
        <v>2965</v>
      </c>
      <c r="D7629" t="s">
        <v>2966</v>
      </c>
      <c r="F7629" t="str">
        <f>"66413000"</f>
        <v>66413000</v>
      </c>
      <c r="H7629" t="s">
        <v>3021</v>
      </c>
      <c r="J7629" s="4">
        <v>1115401</v>
      </c>
    </row>
    <row r="7630" spans="1:11" hidden="1" outlineLevel="2" x14ac:dyDescent="0.35">
      <c r="A7630" t="s">
        <v>2964</v>
      </c>
      <c r="B7630" s="1">
        <v>45747</v>
      </c>
      <c r="C7630" t="s">
        <v>2965</v>
      </c>
      <c r="D7630" t="s">
        <v>2966</v>
      </c>
      <c r="F7630" t="str">
        <f>"66413000"</f>
        <v>66413000</v>
      </c>
      <c r="H7630" t="s">
        <v>3022</v>
      </c>
      <c r="J7630" s="4">
        <v>1039500</v>
      </c>
    </row>
    <row r="7631" spans="1:11" hidden="1" outlineLevel="2" x14ac:dyDescent="0.35">
      <c r="A7631" t="s">
        <v>2964</v>
      </c>
      <c r="B7631" s="1">
        <v>45747</v>
      </c>
      <c r="C7631" t="s">
        <v>2965</v>
      </c>
      <c r="D7631" t="s">
        <v>2966</v>
      </c>
      <c r="F7631" t="str">
        <f>"66413000"</f>
        <v>66413000</v>
      </c>
      <c r="H7631" t="s">
        <v>3023</v>
      </c>
      <c r="J7631" s="4">
        <v>1987117</v>
      </c>
    </row>
    <row r="7632" spans="1:11" hidden="1" outlineLevel="2" x14ac:dyDescent="0.35">
      <c r="A7632" t="s">
        <v>2964</v>
      </c>
      <c r="B7632" s="1">
        <v>45747</v>
      </c>
      <c r="C7632" t="s">
        <v>2965</v>
      </c>
      <c r="D7632" t="s">
        <v>2966</v>
      </c>
      <c r="F7632" t="str">
        <f>"66413000"</f>
        <v>66413000</v>
      </c>
      <c r="H7632" t="s">
        <v>3024</v>
      </c>
      <c r="J7632" s="4">
        <v>122924</v>
      </c>
    </row>
    <row r="7633" spans="1:11" outlineLevel="1" collapsed="1" x14ac:dyDescent="0.35">
      <c r="B7633" s="1"/>
      <c r="F7633" s="3" t="s">
        <v>6705</v>
      </c>
      <c r="J7633" s="4">
        <f>SUBTOTAL(9,J7628:J7632)</f>
        <v>15272611</v>
      </c>
      <c r="K7633" s="4">
        <f>SUBTOTAL(9,K7628:K7632)</f>
        <v>0</v>
      </c>
    </row>
    <row r="7634" spans="1:11" hidden="1" outlineLevel="2" x14ac:dyDescent="0.35">
      <c r="A7634" t="s">
        <v>2337</v>
      </c>
      <c r="B7634" s="1">
        <v>45727</v>
      </c>
      <c r="C7634" t="str">
        <f>"715"</f>
        <v>715</v>
      </c>
      <c r="E7634" t="str">
        <f>"17334"</f>
        <v>17334</v>
      </c>
      <c r="F7634" t="str">
        <f>"66830000"</f>
        <v>66830000</v>
      </c>
      <c r="H7634" t="s">
        <v>2441</v>
      </c>
      <c r="J7634" s="4">
        <v>15000</v>
      </c>
    </row>
    <row r="7635" spans="1:11" hidden="1" outlineLevel="2" x14ac:dyDescent="0.35">
      <c r="A7635" t="s">
        <v>2337</v>
      </c>
      <c r="B7635" s="1">
        <v>45727</v>
      </c>
      <c r="C7635" t="str">
        <f>"716"</f>
        <v>716</v>
      </c>
      <c r="E7635" t="str">
        <f>"17335"</f>
        <v>17335</v>
      </c>
      <c r="F7635" t="str">
        <f>"66830000"</f>
        <v>66830000</v>
      </c>
      <c r="H7635" t="s">
        <v>2442</v>
      </c>
      <c r="J7635" s="4">
        <v>50000</v>
      </c>
    </row>
    <row r="7636" spans="1:11" hidden="1" outlineLevel="2" x14ac:dyDescent="0.35">
      <c r="A7636" t="s">
        <v>2337</v>
      </c>
      <c r="B7636" s="1">
        <v>45727</v>
      </c>
      <c r="C7636" t="str">
        <f>"717"</f>
        <v>717</v>
      </c>
      <c r="E7636" t="str">
        <f>"17336"</f>
        <v>17336</v>
      </c>
      <c r="F7636" t="str">
        <f>"66830000"</f>
        <v>66830000</v>
      </c>
      <c r="H7636" t="s">
        <v>2443</v>
      </c>
      <c r="J7636" s="4">
        <v>15000</v>
      </c>
    </row>
    <row r="7637" spans="1:11" outlineLevel="1" collapsed="1" x14ac:dyDescent="0.35">
      <c r="B7637" s="1"/>
      <c r="F7637" s="3" t="s">
        <v>6706</v>
      </c>
      <c r="J7637" s="4">
        <f>SUBTOTAL(9,J7634:J7636)</f>
        <v>80000</v>
      </c>
      <c r="K7637" s="4">
        <f>SUBTOTAL(9,K7634:K7636)</f>
        <v>0</v>
      </c>
    </row>
    <row r="7638" spans="1:11" hidden="1" outlineLevel="2" x14ac:dyDescent="0.35">
      <c r="A7638" t="s">
        <v>11</v>
      </c>
      <c r="B7638" s="1">
        <v>45718</v>
      </c>
      <c r="C7638" t="str">
        <f>"268"</f>
        <v>268</v>
      </c>
      <c r="E7638" t="s">
        <v>1296</v>
      </c>
      <c r="F7638" t="str">
        <f t="shared" ref="F7638:F7646" si="270">"66840000"</f>
        <v>66840000</v>
      </c>
      <c r="H7638" t="s">
        <v>1297</v>
      </c>
      <c r="J7638" s="4">
        <v>2691550</v>
      </c>
    </row>
    <row r="7639" spans="1:11" hidden="1" outlineLevel="2" x14ac:dyDescent="0.35">
      <c r="A7639" t="s">
        <v>1831</v>
      </c>
      <c r="B7639" s="1">
        <v>45721</v>
      </c>
      <c r="C7639" t="str">
        <f>"89"</f>
        <v>89</v>
      </c>
      <c r="F7639" t="str">
        <f t="shared" si="270"/>
        <v>66840000</v>
      </c>
      <c r="H7639" t="s">
        <v>1844</v>
      </c>
      <c r="J7639" s="4">
        <v>728000</v>
      </c>
    </row>
    <row r="7640" spans="1:11" hidden="1" outlineLevel="2" x14ac:dyDescent="0.35">
      <c r="A7640" t="s">
        <v>2318</v>
      </c>
      <c r="B7640" s="1">
        <v>45719</v>
      </c>
      <c r="C7640" t="str">
        <f>"41"</f>
        <v>41</v>
      </c>
      <c r="F7640" t="str">
        <f t="shared" si="270"/>
        <v>66840000</v>
      </c>
      <c r="H7640" t="s">
        <v>2321</v>
      </c>
      <c r="J7640" s="4">
        <v>2000</v>
      </c>
    </row>
    <row r="7641" spans="1:11" hidden="1" outlineLevel="2" x14ac:dyDescent="0.35">
      <c r="A7641" t="s">
        <v>2318</v>
      </c>
      <c r="B7641" s="1">
        <v>45719</v>
      </c>
      <c r="C7641" t="str">
        <f>"42"</f>
        <v>42</v>
      </c>
      <c r="F7641" t="str">
        <f t="shared" si="270"/>
        <v>66840000</v>
      </c>
      <c r="H7641" t="s">
        <v>2322</v>
      </c>
      <c r="J7641" s="4">
        <v>8700</v>
      </c>
    </row>
    <row r="7642" spans="1:11" hidden="1" outlineLevel="2" x14ac:dyDescent="0.35">
      <c r="A7642" t="s">
        <v>2318</v>
      </c>
      <c r="B7642" s="1">
        <v>45719</v>
      </c>
      <c r="C7642" t="str">
        <f>"43"</f>
        <v>43</v>
      </c>
      <c r="F7642" t="str">
        <f t="shared" si="270"/>
        <v>66840000</v>
      </c>
      <c r="H7642" t="s">
        <v>2323</v>
      </c>
      <c r="J7642" s="4">
        <v>6700</v>
      </c>
    </row>
    <row r="7643" spans="1:11" hidden="1" outlineLevel="2" x14ac:dyDescent="0.35">
      <c r="A7643" t="s">
        <v>2318</v>
      </c>
      <c r="B7643" s="1">
        <v>45726</v>
      </c>
      <c r="C7643" t="str">
        <f>"46"</f>
        <v>46</v>
      </c>
      <c r="F7643" t="str">
        <f t="shared" si="270"/>
        <v>66840000</v>
      </c>
      <c r="H7643" t="s">
        <v>2326</v>
      </c>
      <c r="J7643" s="4">
        <v>1000</v>
      </c>
    </row>
    <row r="7644" spans="1:11" hidden="1" outlineLevel="2" x14ac:dyDescent="0.35">
      <c r="A7644" t="s">
        <v>2318</v>
      </c>
      <c r="B7644" s="1">
        <v>45745</v>
      </c>
      <c r="C7644" t="str">
        <f>"55"</f>
        <v>55</v>
      </c>
      <c r="F7644" t="str">
        <f t="shared" si="270"/>
        <v>66840000</v>
      </c>
      <c r="H7644" t="s">
        <v>2336</v>
      </c>
      <c r="J7644" s="4">
        <v>262750</v>
      </c>
    </row>
    <row r="7645" spans="1:11" hidden="1" outlineLevel="2" x14ac:dyDescent="0.35">
      <c r="A7645" t="s">
        <v>2337</v>
      </c>
      <c r="B7645" s="1">
        <v>45719</v>
      </c>
      <c r="C7645" t="str">
        <f>"654"</f>
        <v>654</v>
      </c>
      <c r="E7645" t="str">
        <f>"17273"</f>
        <v>17273</v>
      </c>
      <c r="F7645" t="str">
        <f t="shared" si="270"/>
        <v>66840000</v>
      </c>
      <c r="H7645" t="s">
        <v>2350</v>
      </c>
      <c r="J7645" s="4">
        <v>7500</v>
      </c>
    </row>
    <row r="7646" spans="1:11" hidden="1" outlineLevel="2" x14ac:dyDescent="0.35">
      <c r="A7646" t="s">
        <v>2337</v>
      </c>
      <c r="B7646" s="1">
        <v>45721</v>
      </c>
      <c r="C7646" t="str">
        <f>"671"</f>
        <v>671</v>
      </c>
      <c r="E7646" t="str">
        <f>"17291"</f>
        <v>17291</v>
      </c>
      <c r="F7646" t="str">
        <f t="shared" si="270"/>
        <v>66840000</v>
      </c>
      <c r="H7646" t="s">
        <v>2375</v>
      </c>
      <c r="J7646" s="4">
        <v>20000</v>
      </c>
    </row>
    <row r="7647" spans="1:11" outlineLevel="1" collapsed="1" x14ac:dyDescent="0.35">
      <c r="B7647" s="1"/>
      <c r="F7647" s="3" t="s">
        <v>6707</v>
      </c>
      <c r="J7647" s="4">
        <f>SUBTOTAL(9,J7638:J7646)</f>
        <v>3728200</v>
      </c>
      <c r="K7647" s="4">
        <f>SUBTOTAL(9,K7638:K7646)</f>
        <v>0</v>
      </c>
    </row>
    <row r="7648" spans="1:11" hidden="1" outlineLevel="2" x14ac:dyDescent="0.35">
      <c r="A7648" t="s">
        <v>11</v>
      </c>
      <c r="B7648" s="1">
        <v>45717</v>
      </c>
      <c r="C7648" t="str">
        <f>"231"</f>
        <v>231</v>
      </c>
      <c r="E7648" t="s">
        <v>1232</v>
      </c>
      <c r="F7648" t="str">
        <f>"66850000"</f>
        <v>66850000</v>
      </c>
      <c r="H7648" t="s">
        <v>1233</v>
      </c>
      <c r="J7648" s="4">
        <v>11078181</v>
      </c>
    </row>
    <row r="7649" spans="1:11" hidden="1" outlineLevel="2" x14ac:dyDescent="0.35">
      <c r="A7649" t="s">
        <v>26</v>
      </c>
      <c r="B7649" s="1">
        <v>45717</v>
      </c>
      <c r="C7649" t="str">
        <f>"47"</f>
        <v>47</v>
      </c>
      <c r="D7649" t="s">
        <v>1372</v>
      </c>
      <c r="E7649" t="s">
        <v>1373</v>
      </c>
      <c r="F7649" t="str">
        <f>"66850000"</f>
        <v>66850000</v>
      </c>
      <c r="H7649" t="s">
        <v>1374</v>
      </c>
      <c r="J7649" s="4">
        <v>94071</v>
      </c>
    </row>
    <row r="7650" spans="1:11" hidden="1" outlineLevel="2" x14ac:dyDescent="0.35">
      <c r="A7650" t="s">
        <v>26</v>
      </c>
      <c r="B7650" s="1">
        <v>45717</v>
      </c>
      <c r="C7650" t="str">
        <f>"48"</f>
        <v>48</v>
      </c>
      <c r="D7650" t="s">
        <v>1375</v>
      </c>
      <c r="E7650" t="s">
        <v>1376</v>
      </c>
      <c r="F7650" t="str">
        <f>"66850000"</f>
        <v>66850000</v>
      </c>
      <c r="H7650" t="s">
        <v>1377</v>
      </c>
      <c r="J7650" s="4">
        <v>60727</v>
      </c>
    </row>
    <row r="7651" spans="1:11" hidden="1" outlineLevel="2" x14ac:dyDescent="0.35">
      <c r="A7651" t="s">
        <v>26</v>
      </c>
      <c r="B7651" s="1">
        <v>45717</v>
      </c>
      <c r="C7651" t="str">
        <f>"49"</f>
        <v>49</v>
      </c>
      <c r="D7651" t="s">
        <v>1378</v>
      </c>
      <c r="E7651" t="s">
        <v>1379</v>
      </c>
      <c r="F7651" t="str">
        <f>"66850000"</f>
        <v>66850000</v>
      </c>
      <c r="H7651" t="s">
        <v>1380</v>
      </c>
      <c r="J7651" s="4">
        <v>68966</v>
      </c>
    </row>
    <row r="7652" spans="1:11" outlineLevel="1" collapsed="1" x14ac:dyDescent="0.35">
      <c r="B7652" s="1"/>
      <c r="F7652" s="3" t="s">
        <v>6708</v>
      </c>
      <c r="J7652" s="4">
        <f>SUBTOTAL(9,J7648:J7651)</f>
        <v>11301945</v>
      </c>
      <c r="K7652" s="4">
        <f>SUBTOTAL(9,K7648:K7651)</f>
        <v>0</v>
      </c>
    </row>
    <row r="7653" spans="1:11" hidden="1" outlineLevel="2" x14ac:dyDescent="0.35">
      <c r="A7653" t="s">
        <v>11</v>
      </c>
      <c r="B7653" s="1">
        <v>45717</v>
      </c>
      <c r="C7653" t="str">
        <f>"206"</f>
        <v>206</v>
      </c>
      <c r="F7653" t="str">
        <f>"66850010"</f>
        <v>66850010</v>
      </c>
      <c r="H7653" t="s">
        <v>1188</v>
      </c>
      <c r="J7653" s="4">
        <v>137482</v>
      </c>
    </row>
    <row r="7654" spans="1:11" hidden="1" outlineLevel="2" x14ac:dyDescent="0.35">
      <c r="A7654" t="s">
        <v>11</v>
      </c>
      <c r="B7654" s="1">
        <v>45717</v>
      </c>
      <c r="C7654" t="str">
        <f>"213"</f>
        <v>213</v>
      </c>
      <c r="D7654" t="s">
        <v>1200</v>
      </c>
      <c r="E7654" t="s">
        <v>1201</v>
      </c>
      <c r="F7654" t="str">
        <f>"66850010"</f>
        <v>66850010</v>
      </c>
      <c r="H7654" t="s">
        <v>1202</v>
      </c>
      <c r="J7654" s="4">
        <v>1105288</v>
      </c>
    </row>
    <row r="7655" spans="1:11" outlineLevel="1" collapsed="1" x14ac:dyDescent="0.35">
      <c r="B7655" s="1"/>
      <c r="F7655" s="3" t="s">
        <v>6709</v>
      </c>
      <c r="J7655" s="4">
        <f>SUBTOTAL(9,J7653:J7654)</f>
        <v>1242770</v>
      </c>
      <c r="K7655" s="4">
        <f>SUBTOTAL(9,K7653:K7654)</f>
        <v>0</v>
      </c>
    </row>
    <row r="7656" spans="1:11" hidden="1" outlineLevel="2" x14ac:dyDescent="0.35">
      <c r="A7656" t="s">
        <v>1790</v>
      </c>
      <c r="B7656" s="1">
        <v>45731</v>
      </c>
      <c r="C7656" t="str">
        <f>"160"</f>
        <v>160</v>
      </c>
      <c r="F7656" t="str">
        <f>"67120000"</f>
        <v>67120000</v>
      </c>
      <c r="H7656" t="s">
        <v>1809</v>
      </c>
      <c r="J7656" s="4">
        <v>1468580</v>
      </c>
    </row>
    <row r="7657" spans="1:11" hidden="1" outlineLevel="2" x14ac:dyDescent="0.35">
      <c r="A7657" t="s">
        <v>1892</v>
      </c>
      <c r="B7657" s="1">
        <v>45726</v>
      </c>
      <c r="C7657" t="str">
        <f>"70"</f>
        <v>70</v>
      </c>
      <c r="F7657" t="str">
        <f>"67120000"</f>
        <v>67120000</v>
      </c>
      <c r="H7657" t="s">
        <v>1900</v>
      </c>
      <c r="J7657" s="4">
        <v>5132748</v>
      </c>
    </row>
    <row r="7658" spans="1:11" hidden="1" outlineLevel="2" x14ac:dyDescent="0.35">
      <c r="A7658" t="s">
        <v>1911</v>
      </c>
      <c r="B7658" s="1">
        <v>45739</v>
      </c>
      <c r="C7658" t="str">
        <f>"188"</f>
        <v>188</v>
      </c>
      <c r="F7658" t="str">
        <f>"67120000"</f>
        <v>67120000</v>
      </c>
      <c r="H7658" t="s">
        <v>1942</v>
      </c>
      <c r="J7658" s="4">
        <v>10442166</v>
      </c>
    </row>
    <row r="7659" spans="1:11" hidden="1" outlineLevel="2" x14ac:dyDescent="0.35">
      <c r="A7659" t="s">
        <v>1911</v>
      </c>
      <c r="B7659" s="1">
        <v>45744</v>
      </c>
      <c r="C7659" t="str">
        <f>"189"</f>
        <v>189</v>
      </c>
      <c r="F7659" t="str">
        <f>"67120000"</f>
        <v>67120000</v>
      </c>
      <c r="H7659" t="s">
        <v>1976</v>
      </c>
      <c r="J7659" s="4">
        <v>7383318</v>
      </c>
    </row>
    <row r="7660" spans="1:11" hidden="1" outlineLevel="2" x14ac:dyDescent="0.35">
      <c r="A7660" t="s">
        <v>1986</v>
      </c>
      <c r="B7660" s="1">
        <v>45738</v>
      </c>
      <c r="C7660" t="str">
        <f>"73"</f>
        <v>73</v>
      </c>
      <c r="F7660" t="str">
        <f>"67120000"</f>
        <v>67120000</v>
      </c>
      <c r="H7660" t="s">
        <v>2012</v>
      </c>
      <c r="J7660" s="4">
        <v>2657273</v>
      </c>
    </row>
    <row r="7661" spans="1:11" outlineLevel="1" collapsed="1" x14ac:dyDescent="0.35">
      <c r="B7661" s="1"/>
      <c r="F7661" s="3" t="s">
        <v>6710</v>
      </c>
      <c r="J7661" s="4">
        <f>SUBTOTAL(9,J7656:J7660)</f>
        <v>27084085</v>
      </c>
      <c r="K7661" s="4">
        <f>SUBTOTAL(9,K7656:K7660)</f>
        <v>0</v>
      </c>
    </row>
    <row r="7662" spans="1:11" hidden="1" outlineLevel="2" x14ac:dyDescent="0.35">
      <c r="A7662" t="s">
        <v>101</v>
      </c>
      <c r="B7662" s="1">
        <v>45747</v>
      </c>
      <c r="C7662" t="str">
        <f>"10"</f>
        <v>10</v>
      </c>
      <c r="F7662" t="str">
        <f>"67130100"</f>
        <v>67130100</v>
      </c>
      <c r="H7662" t="s">
        <v>2846</v>
      </c>
      <c r="J7662" s="4">
        <v>9478356</v>
      </c>
    </row>
    <row r="7663" spans="1:11" outlineLevel="1" collapsed="1" x14ac:dyDescent="0.35">
      <c r="B7663" s="1"/>
      <c r="F7663" s="3" t="s">
        <v>6711</v>
      </c>
      <c r="J7663" s="4">
        <f>SUBTOTAL(9,J7662:J7662)</f>
        <v>9478356</v>
      </c>
      <c r="K7663" s="4">
        <f>SUBTOTAL(9,K7662:K7662)</f>
        <v>0</v>
      </c>
    </row>
    <row r="7664" spans="1:11" hidden="1" outlineLevel="2" x14ac:dyDescent="0.35">
      <c r="A7664" t="s">
        <v>101</v>
      </c>
      <c r="B7664" s="1">
        <v>45731</v>
      </c>
      <c r="C7664" t="str">
        <f>"31"</f>
        <v>31</v>
      </c>
      <c r="E7664" t="s">
        <v>2770</v>
      </c>
      <c r="F7664" t="str">
        <f t="shared" ref="F7664:F7691" si="271">"67210000"</f>
        <v>67210000</v>
      </c>
      <c r="H7664" t="s">
        <v>2771</v>
      </c>
      <c r="J7664" s="4">
        <v>189476</v>
      </c>
    </row>
    <row r="7665" spans="1:10" hidden="1" outlineLevel="2" x14ac:dyDescent="0.35">
      <c r="A7665" t="s">
        <v>101</v>
      </c>
      <c r="B7665" s="1">
        <v>45731</v>
      </c>
      <c r="C7665" t="str">
        <f>"32"</f>
        <v>32</v>
      </c>
      <c r="E7665" t="s">
        <v>2772</v>
      </c>
      <c r="F7665" t="str">
        <f t="shared" si="271"/>
        <v>67210000</v>
      </c>
      <c r="H7665" t="s">
        <v>2773</v>
      </c>
      <c r="J7665" s="4">
        <v>64545</v>
      </c>
    </row>
    <row r="7666" spans="1:10" hidden="1" outlineLevel="2" x14ac:dyDescent="0.35">
      <c r="A7666" t="s">
        <v>101</v>
      </c>
      <c r="B7666" s="1">
        <v>45731</v>
      </c>
      <c r="C7666" t="str">
        <f>"33"</f>
        <v>33</v>
      </c>
      <c r="E7666" t="s">
        <v>2774</v>
      </c>
      <c r="F7666" t="str">
        <f t="shared" si="271"/>
        <v>67210000</v>
      </c>
      <c r="H7666" t="s">
        <v>2775</v>
      </c>
      <c r="J7666" s="4">
        <v>284984</v>
      </c>
    </row>
    <row r="7667" spans="1:10" hidden="1" outlineLevel="2" x14ac:dyDescent="0.35">
      <c r="A7667" t="s">
        <v>101</v>
      </c>
      <c r="B7667" s="1">
        <v>45731</v>
      </c>
      <c r="C7667" t="str">
        <f>"34"</f>
        <v>34</v>
      </c>
      <c r="E7667" t="s">
        <v>2776</v>
      </c>
      <c r="F7667" t="str">
        <f t="shared" si="271"/>
        <v>67210000</v>
      </c>
      <c r="H7667" t="s">
        <v>2777</v>
      </c>
      <c r="J7667" s="4">
        <v>28303</v>
      </c>
    </row>
    <row r="7668" spans="1:10" hidden="1" outlineLevel="2" x14ac:dyDescent="0.35">
      <c r="A7668" t="s">
        <v>101</v>
      </c>
      <c r="B7668" s="1">
        <v>45731</v>
      </c>
      <c r="C7668" t="str">
        <f>"35"</f>
        <v>35</v>
      </c>
      <c r="E7668" t="s">
        <v>1345</v>
      </c>
      <c r="F7668" t="str">
        <f t="shared" si="271"/>
        <v>67210000</v>
      </c>
      <c r="H7668" t="s">
        <v>2778</v>
      </c>
      <c r="J7668" s="4">
        <v>193174</v>
      </c>
    </row>
    <row r="7669" spans="1:10" hidden="1" outlineLevel="2" x14ac:dyDescent="0.35">
      <c r="A7669" t="s">
        <v>101</v>
      </c>
      <c r="B7669" s="1">
        <v>45731</v>
      </c>
      <c r="C7669" t="str">
        <f>"36"</f>
        <v>36</v>
      </c>
      <c r="E7669" t="s">
        <v>2779</v>
      </c>
      <c r="F7669" t="str">
        <f t="shared" si="271"/>
        <v>67210000</v>
      </c>
      <c r="H7669" t="s">
        <v>2780</v>
      </c>
      <c r="J7669" s="4">
        <v>103487</v>
      </c>
    </row>
    <row r="7670" spans="1:10" hidden="1" outlineLevel="2" x14ac:dyDescent="0.35">
      <c r="A7670" t="s">
        <v>101</v>
      </c>
      <c r="B7670" s="1">
        <v>45731</v>
      </c>
      <c r="C7670" t="str">
        <f>"37"</f>
        <v>37</v>
      </c>
      <c r="E7670" t="s">
        <v>1341</v>
      </c>
      <c r="F7670" t="str">
        <f t="shared" si="271"/>
        <v>67210000</v>
      </c>
      <c r="H7670" t="s">
        <v>2781</v>
      </c>
      <c r="J7670" s="4">
        <v>108086</v>
      </c>
    </row>
    <row r="7671" spans="1:10" hidden="1" outlineLevel="2" x14ac:dyDescent="0.35">
      <c r="A7671" t="s">
        <v>101</v>
      </c>
      <c r="B7671" s="1">
        <v>45731</v>
      </c>
      <c r="C7671" t="str">
        <f>"38"</f>
        <v>38</v>
      </c>
      <c r="E7671" t="s">
        <v>1339</v>
      </c>
      <c r="F7671" t="str">
        <f t="shared" si="271"/>
        <v>67210000</v>
      </c>
      <c r="H7671" t="s">
        <v>2782</v>
      </c>
      <c r="J7671" s="4">
        <v>126483</v>
      </c>
    </row>
    <row r="7672" spans="1:10" hidden="1" outlineLevel="2" x14ac:dyDescent="0.35">
      <c r="A7672" t="s">
        <v>101</v>
      </c>
      <c r="B7672" s="1">
        <v>45731</v>
      </c>
      <c r="C7672" t="str">
        <f>"39"</f>
        <v>39</v>
      </c>
      <c r="E7672" t="s">
        <v>1337</v>
      </c>
      <c r="F7672" t="str">
        <f t="shared" si="271"/>
        <v>67210000</v>
      </c>
      <c r="H7672" t="s">
        <v>2783</v>
      </c>
      <c r="J7672" s="4">
        <v>217092</v>
      </c>
    </row>
    <row r="7673" spans="1:10" hidden="1" outlineLevel="2" x14ac:dyDescent="0.35">
      <c r="A7673" t="s">
        <v>101</v>
      </c>
      <c r="B7673" s="1">
        <v>45731</v>
      </c>
      <c r="C7673" t="str">
        <f>"40"</f>
        <v>40</v>
      </c>
      <c r="E7673" t="s">
        <v>1329</v>
      </c>
      <c r="F7673" t="str">
        <f t="shared" si="271"/>
        <v>67210000</v>
      </c>
      <c r="H7673" t="s">
        <v>2784</v>
      </c>
      <c r="J7673" s="4">
        <v>353535</v>
      </c>
    </row>
    <row r="7674" spans="1:10" hidden="1" outlineLevel="2" x14ac:dyDescent="0.35">
      <c r="A7674" t="s">
        <v>101</v>
      </c>
      <c r="B7674" s="1">
        <v>45731</v>
      </c>
      <c r="C7674" t="str">
        <f>"41"</f>
        <v>41</v>
      </c>
      <c r="E7674" t="s">
        <v>1331</v>
      </c>
      <c r="F7674" t="str">
        <f t="shared" si="271"/>
        <v>67210000</v>
      </c>
      <c r="H7674" t="s">
        <v>2785</v>
      </c>
      <c r="J7674" s="4">
        <v>707069</v>
      </c>
    </row>
    <row r="7675" spans="1:10" hidden="1" outlineLevel="2" x14ac:dyDescent="0.35">
      <c r="A7675" t="s">
        <v>101</v>
      </c>
      <c r="B7675" s="1">
        <v>45731</v>
      </c>
      <c r="C7675" t="str">
        <f>"42"</f>
        <v>42</v>
      </c>
      <c r="E7675" t="s">
        <v>1333</v>
      </c>
      <c r="F7675" t="str">
        <f t="shared" si="271"/>
        <v>67210000</v>
      </c>
      <c r="H7675" t="s">
        <v>2786</v>
      </c>
      <c r="J7675" s="4">
        <v>707069</v>
      </c>
    </row>
    <row r="7676" spans="1:10" hidden="1" outlineLevel="2" x14ac:dyDescent="0.35">
      <c r="A7676" t="s">
        <v>101</v>
      </c>
      <c r="B7676" s="1">
        <v>45731</v>
      </c>
      <c r="C7676" t="str">
        <f>"43"</f>
        <v>43</v>
      </c>
      <c r="E7676" t="s">
        <v>1335</v>
      </c>
      <c r="F7676" t="str">
        <f t="shared" si="271"/>
        <v>67210000</v>
      </c>
      <c r="H7676" t="s">
        <v>2787</v>
      </c>
      <c r="J7676" s="4">
        <v>353535</v>
      </c>
    </row>
    <row r="7677" spans="1:10" hidden="1" outlineLevel="2" x14ac:dyDescent="0.35">
      <c r="A7677" t="s">
        <v>101</v>
      </c>
      <c r="B7677" s="1">
        <v>45731</v>
      </c>
      <c r="C7677" t="str">
        <f>"44"</f>
        <v>44</v>
      </c>
      <c r="E7677" t="s">
        <v>2788</v>
      </c>
      <c r="F7677" t="str">
        <f t="shared" si="271"/>
        <v>67210000</v>
      </c>
      <c r="H7677" t="s">
        <v>2789</v>
      </c>
      <c r="J7677" s="4">
        <v>128618</v>
      </c>
    </row>
    <row r="7678" spans="1:10" hidden="1" outlineLevel="2" x14ac:dyDescent="0.35">
      <c r="A7678" t="s">
        <v>101</v>
      </c>
      <c r="B7678" s="1">
        <v>45731</v>
      </c>
      <c r="C7678" t="str">
        <f>"45"</f>
        <v>45</v>
      </c>
      <c r="E7678" t="s">
        <v>1321</v>
      </c>
      <c r="F7678" t="str">
        <f t="shared" si="271"/>
        <v>67210000</v>
      </c>
      <c r="H7678" t="s">
        <v>2790</v>
      </c>
      <c r="J7678" s="4">
        <v>106498</v>
      </c>
    </row>
    <row r="7679" spans="1:10" hidden="1" outlineLevel="2" x14ac:dyDescent="0.35">
      <c r="A7679" t="s">
        <v>101</v>
      </c>
      <c r="B7679" s="1">
        <v>45731</v>
      </c>
      <c r="C7679" t="str">
        <f>"46"</f>
        <v>46</v>
      </c>
      <c r="E7679" t="s">
        <v>1323</v>
      </c>
      <c r="F7679" t="str">
        <f t="shared" si="271"/>
        <v>67210000</v>
      </c>
      <c r="H7679" t="s">
        <v>2791</v>
      </c>
      <c r="J7679" s="4">
        <v>78716</v>
      </c>
    </row>
    <row r="7680" spans="1:10" hidden="1" outlineLevel="2" x14ac:dyDescent="0.35">
      <c r="A7680" t="s">
        <v>101</v>
      </c>
      <c r="B7680" s="1">
        <v>45731</v>
      </c>
      <c r="C7680" t="str">
        <f>"48"</f>
        <v>48</v>
      </c>
      <c r="E7680" t="s">
        <v>2792</v>
      </c>
      <c r="F7680" t="str">
        <f t="shared" si="271"/>
        <v>67210000</v>
      </c>
      <c r="H7680" t="s">
        <v>2793</v>
      </c>
      <c r="J7680" s="4">
        <v>59391</v>
      </c>
    </row>
    <row r="7681" spans="1:11" hidden="1" outlineLevel="2" x14ac:dyDescent="0.35">
      <c r="A7681" t="s">
        <v>101</v>
      </c>
      <c r="B7681" s="1">
        <v>45731</v>
      </c>
      <c r="C7681" t="str">
        <f>"49"</f>
        <v>49</v>
      </c>
      <c r="E7681" t="s">
        <v>2794</v>
      </c>
      <c r="F7681" t="str">
        <f t="shared" si="271"/>
        <v>67210000</v>
      </c>
      <c r="H7681" t="s">
        <v>2795</v>
      </c>
      <c r="J7681" s="4">
        <v>59391</v>
      </c>
    </row>
    <row r="7682" spans="1:11" hidden="1" outlineLevel="2" x14ac:dyDescent="0.35">
      <c r="A7682" t="s">
        <v>101</v>
      </c>
      <c r="B7682" s="1">
        <v>45731</v>
      </c>
      <c r="C7682" t="str">
        <f>"50"</f>
        <v>50</v>
      </c>
      <c r="E7682" t="s">
        <v>2796</v>
      </c>
      <c r="F7682" t="str">
        <f t="shared" si="271"/>
        <v>67210000</v>
      </c>
      <c r="H7682" t="s">
        <v>2797</v>
      </c>
      <c r="J7682" s="4">
        <v>59391</v>
      </c>
    </row>
    <row r="7683" spans="1:11" hidden="1" outlineLevel="2" x14ac:dyDescent="0.35">
      <c r="A7683" t="s">
        <v>101</v>
      </c>
      <c r="B7683" s="1">
        <v>45731</v>
      </c>
      <c r="C7683" t="str">
        <f>"51"</f>
        <v>51</v>
      </c>
      <c r="E7683" t="s">
        <v>2798</v>
      </c>
      <c r="F7683" t="str">
        <f t="shared" si="271"/>
        <v>67210000</v>
      </c>
      <c r="H7683" t="s">
        <v>2799</v>
      </c>
      <c r="J7683" s="4">
        <v>28303</v>
      </c>
    </row>
    <row r="7684" spans="1:11" hidden="1" outlineLevel="2" x14ac:dyDescent="0.35">
      <c r="A7684" t="s">
        <v>101</v>
      </c>
      <c r="B7684" s="1">
        <v>45731</v>
      </c>
      <c r="C7684" t="str">
        <f>"52"</f>
        <v>52</v>
      </c>
      <c r="E7684" t="s">
        <v>2800</v>
      </c>
      <c r="F7684" t="str">
        <f t="shared" si="271"/>
        <v>67210000</v>
      </c>
      <c r="H7684" t="s">
        <v>2801</v>
      </c>
      <c r="J7684" s="4">
        <v>28303</v>
      </c>
    </row>
    <row r="7685" spans="1:11" hidden="1" outlineLevel="2" x14ac:dyDescent="0.35">
      <c r="A7685" t="s">
        <v>101</v>
      </c>
      <c r="B7685" s="1">
        <v>45731</v>
      </c>
      <c r="C7685" t="str">
        <f>"53"</f>
        <v>53</v>
      </c>
      <c r="E7685" t="s">
        <v>2802</v>
      </c>
      <c r="F7685" t="str">
        <f t="shared" si="271"/>
        <v>67210000</v>
      </c>
      <c r="H7685" t="s">
        <v>2803</v>
      </c>
      <c r="J7685" s="4">
        <v>399457</v>
      </c>
    </row>
    <row r="7686" spans="1:11" hidden="1" outlineLevel="2" x14ac:dyDescent="0.35">
      <c r="A7686" t="s">
        <v>101</v>
      </c>
      <c r="B7686" s="1">
        <v>45731</v>
      </c>
      <c r="C7686" t="str">
        <f>"54"</f>
        <v>54</v>
      </c>
      <c r="E7686" t="s">
        <v>1347</v>
      </c>
      <c r="F7686" t="str">
        <f t="shared" si="271"/>
        <v>67210000</v>
      </c>
      <c r="H7686" t="s">
        <v>2804</v>
      </c>
      <c r="J7686" s="4">
        <v>922687</v>
      </c>
    </row>
    <row r="7687" spans="1:11" hidden="1" outlineLevel="2" x14ac:dyDescent="0.35">
      <c r="A7687" t="s">
        <v>101</v>
      </c>
      <c r="B7687" s="1">
        <v>45731</v>
      </c>
      <c r="C7687" t="str">
        <f>"55"</f>
        <v>55</v>
      </c>
      <c r="E7687" t="s">
        <v>1349</v>
      </c>
      <c r="F7687" t="str">
        <f t="shared" si="271"/>
        <v>67210000</v>
      </c>
      <c r="H7687" t="s">
        <v>2805</v>
      </c>
      <c r="J7687" s="4">
        <v>922687</v>
      </c>
    </row>
    <row r="7688" spans="1:11" hidden="1" outlineLevel="2" x14ac:dyDescent="0.35">
      <c r="A7688" t="s">
        <v>101</v>
      </c>
      <c r="B7688" s="1">
        <v>45731</v>
      </c>
      <c r="C7688" t="str">
        <f>"56"</f>
        <v>56</v>
      </c>
      <c r="E7688" t="s">
        <v>1351</v>
      </c>
      <c r="F7688" t="str">
        <f t="shared" si="271"/>
        <v>67210000</v>
      </c>
      <c r="H7688" t="s">
        <v>2806</v>
      </c>
      <c r="J7688" s="4">
        <v>1230249</v>
      </c>
    </row>
    <row r="7689" spans="1:11" hidden="1" outlineLevel="2" x14ac:dyDescent="0.35">
      <c r="A7689" t="s">
        <v>101</v>
      </c>
      <c r="B7689" s="1">
        <v>45746</v>
      </c>
      <c r="C7689" t="str">
        <f>"29"</f>
        <v>29</v>
      </c>
      <c r="E7689" t="s">
        <v>2822</v>
      </c>
      <c r="F7689" t="str">
        <f t="shared" si="271"/>
        <v>67210000</v>
      </c>
      <c r="H7689" t="s">
        <v>2823</v>
      </c>
      <c r="J7689" s="4">
        <v>66899</v>
      </c>
    </row>
    <row r="7690" spans="1:11" hidden="1" outlineLevel="2" x14ac:dyDescent="0.35">
      <c r="A7690" t="s">
        <v>101</v>
      </c>
      <c r="B7690" s="1">
        <v>45746</v>
      </c>
      <c r="C7690" t="str">
        <f>"30"</f>
        <v>30</v>
      </c>
      <c r="E7690" t="s">
        <v>2824</v>
      </c>
      <c r="F7690" t="str">
        <f t="shared" si="271"/>
        <v>67210000</v>
      </c>
      <c r="H7690" t="s">
        <v>2825</v>
      </c>
      <c r="J7690" s="4">
        <v>17999</v>
      </c>
    </row>
    <row r="7691" spans="1:11" hidden="1" outlineLevel="2" x14ac:dyDescent="0.35">
      <c r="A7691" t="s">
        <v>101</v>
      </c>
      <c r="B7691" s="1">
        <v>45747</v>
      </c>
      <c r="C7691" t="str">
        <f>"47"</f>
        <v>47</v>
      </c>
      <c r="E7691" t="s">
        <v>2872</v>
      </c>
      <c r="F7691" t="str">
        <f t="shared" si="271"/>
        <v>67210000</v>
      </c>
      <c r="H7691" t="s">
        <v>2873</v>
      </c>
      <c r="J7691" s="4">
        <v>64393</v>
      </c>
    </row>
    <row r="7692" spans="1:11" outlineLevel="1" collapsed="1" x14ac:dyDescent="0.35">
      <c r="B7692" s="1"/>
      <c r="F7692" s="3" t="s">
        <v>6712</v>
      </c>
      <c r="J7692" s="4">
        <f>SUBTOTAL(9,J7664:J7691)</f>
        <v>7609820</v>
      </c>
      <c r="K7692" s="4">
        <f>SUBTOTAL(9,K7664:K7691)</f>
        <v>0</v>
      </c>
    </row>
    <row r="7693" spans="1:11" hidden="1" outlineLevel="2" x14ac:dyDescent="0.35">
      <c r="A7693" t="s">
        <v>101</v>
      </c>
      <c r="B7693" s="1">
        <v>45747</v>
      </c>
      <c r="C7693" t="str">
        <f>"11"</f>
        <v>11</v>
      </c>
      <c r="F7693" t="str">
        <f>"67410000"</f>
        <v>67410000</v>
      </c>
      <c r="H7693" t="s">
        <v>2847</v>
      </c>
      <c r="J7693" s="4">
        <v>3324096</v>
      </c>
    </row>
    <row r="7694" spans="1:11" outlineLevel="1" collapsed="1" x14ac:dyDescent="0.35">
      <c r="B7694" s="1"/>
      <c r="F7694" s="3" t="s">
        <v>6713</v>
      </c>
      <c r="J7694" s="4">
        <f>SUBTOTAL(9,J7693:J7693)</f>
        <v>3324096</v>
      </c>
      <c r="K7694" s="4">
        <f>SUBTOTAL(9,K7693:K7693)</f>
        <v>0</v>
      </c>
    </row>
    <row r="7695" spans="1:11" hidden="1" outlineLevel="2" x14ac:dyDescent="0.35">
      <c r="A7695" t="s">
        <v>11</v>
      </c>
      <c r="B7695" s="1">
        <v>45717</v>
      </c>
      <c r="C7695" t="str">
        <f>"256"</f>
        <v>256</v>
      </c>
      <c r="F7695" t="str">
        <f>"67450000"</f>
        <v>67450000</v>
      </c>
      <c r="H7695" t="s">
        <v>1276</v>
      </c>
      <c r="J7695" s="4">
        <v>2821694</v>
      </c>
    </row>
    <row r="7696" spans="1:11" hidden="1" outlineLevel="2" x14ac:dyDescent="0.35">
      <c r="A7696" t="s">
        <v>1790</v>
      </c>
      <c r="B7696" s="1">
        <v>45747</v>
      </c>
      <c r="C7696" t="str">
        <f>"197"</f>
        <v>197</v>
      </c>
      <c r="F7696" t="str">
        <f>"67450000"</f>
        <v>67450000</v>
      </c>
      <c r="H7696" t="s">
        <v>1830</v>
      </c>
      <c r="J7696" s="4">
        <v>2734720</v>
      </c>
    </row>
    <row r="7697" spans="1:11" outlineLevel="1" collapsed="1" x14ac:dyDescent="0.35">
      <c r="B7697" s="1"/>
      <c r="F7697" s="3" t="s">
        <v>6714</v>
      </c>
      <c r="J7697" s="4">
        <f>SUBTOTAL(9,J7695:J7696)</f>
        <v>5556414</v>
      </c>
      <c r="K7697" s="4">
        <f>SUBTOTAL(9,K7695:K7696)</f>
        <v>0</v>
      </c>
    </row>
    <row r="7698" spans="1:11" hidden="1" outlineLevel="2" x14ac:dyDescent="0.35">
      <c r="A7698" t="s">
        <v>101</v>
      </c>
      <c r="B7698" s="1">
        <v>45747</v>
      </c>
      <c r="C7698" t="str">
        <f>"5"</f>
        <v>5</v>
      </c>
      <c r="F7698" t="str">
        <f>"68120000"</f>
        <v>68120000</v>
      </c>
      <c r="H7698" t="s">
        <v>2844</v>
      </c>
      <c r="J7698" s="4">
        <v>1049967</v>
      </c>
    </row>
    <row r="7699" spans="1:11" hidden="1" outlineLevel="2" x14ac:dyDescent="0.35">
      <c r="A7699" t="s">
        <v>101</v>
      </c>
      <c r="B7699" s="1">
        <v>45747</v>
      </c>
      <c r="C7699" t="str">
        <f>"65"</f>
        <v>65</v>
      </c>
      <c r="F7699" t="str">
        <f>"68120000"</f>
        <v>68120000</v>
      </c>
      <c r="H7699" t="s">
        <v>2899</v>
      </c>
      <c r="J7699" s="4">
        <v>1049968</v>
      </c>
    </row>
    <row r="7700" spans="1:11" hidden="1" outlineLevel="2" x14ac:dyDescent="0.35">
      <c r="A7700" t="s">
        <v>101</v>
      </c>
      <c r="B7700" s="1">
        <v>45747</v>
      </c>
      <c r="C7700" t="str">
        <f>"79"</f>
        <v>79</v>
      </c>
      <c r="F7700" t="str">
        <f>"68120000"</f>
        <v>68120000</v>
      </c>
      <c r="H7700" t="s">
        <v>2960</v>
      </c>
      <c r="J7700" s="4">
        <v>-1049967</v>
      </c>
    </row>
    <row r="7701" spans="1:11" outlineLevel="1" collapsed="1" x14ac:dyDescent="0.35">
      <c r="B7701" s="1"/>
      <c r="F7701" s="3" t="s">
        <v>6715</v>
      </c>
      <c r="J7701" s="4">
        <f>SUBTOTAL(9,J7698:J7700)</f>
        <v>1049968</v>
      </c>
      <c r="K7701" s="4">
        <f>SUBTOTAL(9,K7698:K7700)</f>
        <v>0</v>
      </c>
    </row>
    <row r="7702" spans="1:11" hidden="1" outlineLevel="2" x14ac:dyDescent="0.35">
      <c r="A7702" t="s">
        <v>101</v>
      </c>
      <c r="B7702" s="1">
        <v>45747</v>
      </c>
      <c r="C7702" t="str">
        <f>"5"</f>
        <v>5</v>
      </c>
      <c r="F7702" t="str">
        <f>"68130000"</f>
        <v>68130000</v>
      </c>
      <c r="H7702" t="s">
        <v>2845</v>
      </c>
      <c r="J7702" s="4">
        <v>140392026</v>
      </c>
    </row>
    <row r="7703" spans="1:11" hidden="1" outlineLevel="2" x14ac:dyDescent="0.35">
      <c r="A7703" t="s">
        <v>101</v>
      </c>
      <c r="B7703" s="1">
        <v>45747</v>
      </c>
      <c r="C7703" t="str">
        <f>"65"</f>
        <v>65</v>
      </c>
      <c r="F7703" t="str">
        <f>"68130000"</f>
        <v>68130000</v>
      </c>
      <c r="H7703" t="s">
        <v>2900</v>
      </c>
      <c r="J7703" s="4">
        <v>140446767</v>
      </c>
    </row>
    <row r="7704" spans="1:11" hidden="1" outlineLevel="2" x14ac:dyDescent="0.35">
      <c r="A7704" t="s">
        <v>101</v>
      </c>
      <c r="B7704" s="1">
        <v>45747</v>
      </c>
      <c r="C7704" t="str">
        <f>"79"</f>
        <v>79</v>
      </c>
      <c r="F7704" t="str">
        <f>"68130000"</f>
        <v>68130000</v>
      </c>
      <c r="H7704" t="s">
        <v>2961</v>
      </c>
      <c r="J7704" s="4">
        <v>-140392026</v>
      </c>
    </row>
    <row r="7705" spans="1:11" outlineLevel="1" collapsed="1" x14ac:dyDescent="0.35">
      <c r="B7705" s="1"/>
      <c r="F7705" s="3" t="s">
        <v>6716</v>
      </c>
      <c r="J7705" s="4">
        <f>SUBTOTAL(9,J7702:J7704)</f>
        <v>140446767</v>
      </c>
      <c r="K7705" s="4">
        <f>SUBTOTAL(9,K7702:K7704)</f>
        <v>0</v>
      </c>
    </row>
    <row r="7706" spans="1:11" hidden="1" outlineLevel="2" x14ac:dyDescent="0.35">
      <c r="A7706" t="s">
        <v>101</v>
      </c>
      <c r="B7706" s="1">
        <v>45717</v>
      </c>
      <c r="C7706" t="str">
        <f>"4"</f>
        <v>4</v>
      </c>
      <c r="F7706" t="str">
        <f>"69110030"</f>
        <v>69110030</v>
      </c>
      <c r="H7706" t="s">
        <v>2745</v>
      </c>
      <c r="J7706" s="4">
        <v>4265926</v>
      </c>
    </row>
    <row r="7707" spans="1:11" outlineLevel="1" collapsed="1" x14ac:dyDescent="0.35">
      <c r="B7707" s="1"/>
      <c r="F7707" s="3" t="s">
        <v>6717</v>
      </c>
      <c r="J7707" s="4">
        <f>SUBTOTAL(9,J7706:J7706)</f>
        <v>4265926</v>
      </c>
      <c r="K7707" s="4">
        <f>SUBTOTAL(9,K7706:K7706)</f>
        <v>0</v>
      </c>
    </row>
    <row r="7708" spans="1:11" hidden="1" outlineLevel="2" x14ac:dyDescent="0.35">
      <c r="A7708" t="s">
        <v>101</v>
      </c>
      <c r="B7708" s="1">
        <v>45717</v>
      </c>
      <c r="C7708" t="str">
        <f t="shared" ref="C7708:C7715" si="272">"66"</f>
        <v>66</v>
      </c>
      <c r="F7708" t="str">
        <f t="shared" ref="F7708:F7771" si="273">"70610010"</f>
        <v>70610010</v>
      </c>
      <c r="H7708" t="s">
        <v>2754</v>
      </c>
      <c r="K7708" s="4">
        <v>-78520790</v>
      </c>
    </row>
    <row r="7709" spans="1:11" hidden="1" outlineLevel="2" x14ac:dyDescent="0.35">
      <c r="A7709" t="s">
        <v>101</v>
      </c>
      <c r="B7709" s="1">
        <v>45717</v>
      </c>
      <c r="C7709" t="str">
        <f t="shared" si="272"/>
        <v>66</v>
      </c>
      <c r="F7709" t="str">
        <f t="shared" si="273"/>
        <v>70610010</v>
      </c>
      <c r="H7709" t="s">
        <v>2755</v>
      </c>
      <c r="K7709" s="4">
        <v>345263019</v>
      </c>
    </row>
    <row r="7710" spans="1:11" hidden="1" outlineLevel="2" x14ac:dyDescent="0.35">
      <c r="A7710" t="s">
        <v>101</v>
      </c>
      <c r="B7710" s="1">
        <v>45717</v>
      </c>
      <c r="C7710" t="str">
        <f t="shared" si="272"/>
        <v>66</v>
      </c>
      <c r="F7710" t="str">
        <f t="shared" si="273"/>
        <v>70610010</v>
      </c>
      <c r="H7710" t="s">
        <v>2756</v>
      </c>
      <c r="K7710" s="4">
        <v>-800001</v>
      </c>
    </row>
    <row r="7711" spans="1:11" hidden="1" outlineLevel="2" x14ac:dyDescent="0.35">
      <c r="A7711" t="s">
        <v>101</v>
      </c>
      <c r="B7711" s="1">
        <v>45717</v>
      </c>
      <c r="C7711" t="str">
        <f t="shared" si="272"/>
        <v>66</v>
      </c>
      <c r="F7711" t="str">
        <f t="shared" si="273"/>
        <v>70610010</v>
      </c>
      <c r="H7711" t="s">
        <v>2757</v>
      </c>
      <c r="K7711" s="4">
        <v>-31817100</v>
      </c>
    </row>
    <row r="7712" spans="1:11" hidden="1" outlineLevel="2" x14ac:dyDescent="0.35">
      <c r="A7712" t="s">
        <v>101</v>
      </c>
      <c r="B7712" s="1">
        <v>45717</v>
      </c>
      <c r="C7712" t="str">
        <f t="shared" si="272"/>
        <v>66</v>
      </c>
      <c r="F7712" t="str">
        <f t="shared" si="273"/>
        <v>70610010</v>
      </c>
      <c r="H7712" t="s">
        <v>2756</v>
      </c>
      <c r="K7712" s="4">
        <v>-228971671</v>
      </c>
    </row>
    <row r="7713" spans="1:11" hidden="1" outlineLevel="2" x14ac:dyDescent="0.35">
      <c r="A7713" t="s">
        <v>101</v>
      </c>
      <c r="B7713" s="1">
        <v>45717</v>
      </c>
      <c r="C7713" t="str">
        <f t="shared" si="272"/>
        <v>66</v>
      </c>
      <c r="F7713" t="str">
        <f t="shared" si="273"/>
        <v>70610010</v>
      </c>
      <c r="H7713" t="s">
        <v>2758</v>
      </c>
      <c r="K7713" s="4">
        <v>-20888000</v>
      </c>
    </row>
    <row r="7714" spans="1:11" hidden="1" outlineLevel="2" x14ac:dyDescent="0.35">
      <c r="A7714" t="s">
        <v>101</v>
      </c>
      <c r="B7714" s="1">
        <v>45717</v>
      </c>
      <c r="C7714" t="str">
        <f t="shared" si="272"/>
        <v>66</v>
      </c>
      <c r="F7714" t="str">
        <f t="shared" si="273"/>
        <v>70610010</v>
      </c>
      <c r="H7714" t="s">
        <v>2759</v>
      </c>
      <c r="K7714" s="4">
        <v>-97260655</v>
      </c>
    </row>
    <row r="7715" spans="1:11" hidden="1" outlineLevel="2" x14ac:dyDescent="0.35">
      <c r="A7715" t="s">
        <v>101</v>
      </c>
      <c r="B7715" s="1">
        <v>45717</v>
      </c>
      <c r="C7715" t="str">
        <f t="shared" si="272"/>
        <v>66</v>
      </c>
      <c r="F7715" t="str">
        <f t="shared" si="273"/>
        <v>70610010</v>
      </c>
      <c r="H7715" t="s">
        <v>2760</v>
      </c>
      <c r="K7715" s="4">
        <v>300000</v>
      </c>
    </row>
    <row r="7716" spans="1:11" hidden="1" outlineLevel="2" x14ac:dyDescent="0.35">
      <c r="A7716" t="s">
        <v>101</v>
      </c>
      <c r="B7716" s="1">
        <v>45747</v>
      </c>
      <c r="C7716" t="str">
        <f t="shared" ref="C7716:C7723" si="274">"67"</f>
        <v>67</v>
      </c>
      <c r="F7716" t="str">
        <f t="shared" si="273"/>
        <v>70610010</v>
      </c>
      <c r="H7716" t="s">
        <v>2902</v>
      </c>
      <c r="K7716" s="4">
        <v>94286110</v>
      </c>
    </row>
    <row r="7717" spans="1:11" hidden="1" outlineLevel="2" x14ac:dyDescent="0.35">
      <c r="A7717" t="s">
        <v>101</v>
      </c>
      <c r="B7717" s="1">
        <v>45747</v>
      </c>
      <c r="C7717" t="str">
        <f t="shared" si="274"/>
        <v>67</v>
      </c>
      <c r="F7717" t="str">
        <f t="shared" si="273"/>
        <v>70610010</v>
      </c>
      <c r="H7717" t="s">
        <v>2903</v>
      </c>
      <c r="K7717" s="4">
        <v>-389778789</v>
      </c>
    </row>
    <row r="7718" spans="1:11" hidden="1" outlineLevel="2" x14ac:dyDescent="0.35">
      <c r="A7718" t="s">
        <v>101</v>
      </c>
      <c r="B7718" s="1">
        <v>45747</v>
      </c>
      <c r="C7718" t="str">
        <f t="shared" si="274"/>
        <v>67</v>
      </c>
      <c r="F7718" t="str">
        <f t="shared" si="273"/>
        <v>70610010</v>
      </c>
      <c r="H7718" t="s">
        <v>2904</v>
      </c>
      <c r="K7718" s="4">
        <v>1</v>
      </c>
    </row>
    <row r="7719" spans="1:11" hidden="1" outlineLevel="2" x14ac:dyDescent="0.35">
      <c r="A7719" t="s">
        <v>101</v>
      </c>
      <c r="B7719" s="1">
        <v>45747</v>
      </c>
      <c r="C7719" t="str">
        <f t="shared" si="274"/>
        <v>67</v>
      </c>
      <c r="F7719" t="str">
        <f t="shared" si="273"/>
        <v>70610010</v>
      </c>
      <c r="H7719" t="s">
        <v>2905</v>
      </c>
      <c r="K7719" s="4">
        <v>61614700</v>
      </c>
    </row>
    <row r="7720" spans="1:11" hidden="1" outlineLevel="2" x14ac:dyDescent="0.35">
      <c r="A7720" t="s">
        <v>101</v>
      </c>
      <c r="B7720" s="1">
        <v>45747</v>
      </c>
      <c r="C7720" t="str">
        <f t="shared" si="274"/>
        <v>67</v>
      </c>
      <c r="F7720" t="str">
        <f t="shared" si="273"/>
        <v>70610010</v>
      </c>
      <c r="H7720" t="s">
        <v>2906</v>
      </c>
      <c r="K7720" s="4">
        <v>350443031</v>
      </c>
    </row>
    <row r="7721" spans="1:11" hidden="1" outlineLevel="2" x14ac:dyDescent="0.35">
      <c r="A7721" t="s">
        <v>101</v>
      </c>
      <c r="B7721" s="1">
        <v>45747</v>
      </c>
      <c r="C7721" t="str">
        <f t="shared" si="274"/>
        <v>67</v>
      </c>
      <c r="F7721" t="str">
        <f t="shared" si="273"/>
        <v>70610010</v>
      </c>
      <c r="H7721" t="s">
        <v>2907</v>
      </c>
      <c r="K7721" s="4">
        <v>30686000</v>
      </c>
    </row>
    <row r="7722" spans="1:11" hidden="1" outlineLevel="2" x14ac:dyDescent="0.35">
      <c r="A7722" t="s">
        <v>101</v>
      </c>
      <c r="B7722" s="1">
        <v>45747</v>
      </c>
      <c r="C7722" t="str">
        <f t="shared" si="274"/>
        <v>67</v>
      </c>
      <c r="F7722" t="str">
        <f t="shared" si="273"/>
        <v>70610010</v>
      </c>
      <c r="H7722" t="s">
        <v>2908</v>
      </c>
      <c r="K7722" s="4">
        <v>135313571</v>
      </c>
    </row>
    <row r="7723" spans="1:11" hidden="1" outlineLevel="2" x14ac:dyDescent="0.35">
      <c r="A7723" t="s">
        <v>101</v>
      </c>
      <c r="B7723" s="1">
        <v>45747</v>
      </c>
      <c r="C7723" t="str">
        <f t="shared" si="274"/>
        <v>67</v>
      </c>
      <c r="F7723" t="str">
        <f t="shared" si="273"/>
        <v>70610010</v>
      </c>
      <c r="H7723" t="s">
        <v>2909</v>
      </c>
      <c r="K7723" s="4">
        <v>-300000</v>
      </c>
    </row>
    <row r="7724" spans="1:11" hidden="1" outlineLevel="2" x14ac:dyDescent="0.35">
      <c r="A7724" t="s">
        <v>131</v>
      </c>
      <c r="B7724" s="1">
        <v>45717</v>
      </c>
      <c r="C7724" t="s">
        <v>5494</v>
      </c>
      <c r="D7724" t="s">
        <v>5494</v>
      </c>
      <c r="F7724" t="str">
        <f t="shared" si="273"/>
        <v>70610010</v>
      </c>
      <c r="H7724" t="s">
        <v>5495</v>
      </c>
      <c r="I7724" s="1">
        <v>45716</v>
      </c>
      <c r="K7724" s="4">
        <v>5589000</v>
      </c>
    </row>
    <row r="7725" spans="1:11" hidden="1" outlineLevel="2" x14ac:dyDescent="0.35">
      <c r="A7725" t="s">
        <v>131</v>
      </c>
      <c r="B7725" s="1">
        <v>45717</v>
      </c>
      <c r="C7725" t="s">
        <v>5496</v>
      </c>
      <c r="D7725" t="s">
        <v>5496</v>
      </c>
      <c r="F7725" t="str">
        <f t="shared" si="273"/>
        <v>70610010</v>
      </c>
      <c r="H7725" t="s">
        <v>5497</v>
      </c>
      <c r="K7725" s="4">
        <v>1700000</v>
      </c>
    </row>
    <row r="7726" spans="1:11" hidden="1" outlineLevel="2" x14ac:dyDescent="0.35">
      <c r="A7726" t="s">
        <v>131</v>
      </c>
      <c r="B7726" s="1">
        <v>45717</v>
      </c>
      <c r="C7726" t="s">
        <v>5500</v>
      </c>
      <c r="D7726" t="s">
        <v>5500</v>
      </c>
      <c r="F7726" t="str">
        <f t="shared" si="273"/>
        <v>70610010</v>
      </c>
      <c r="H7726" t="s">
        <v>5501</v>
      </c>
      <c r="I7726" s="1">
        <v>45744</v>
      </c>
      <c r="K7726" s="4">
        <v>210000</v>
      </c>
    </row>
    <row r="7727" spans="1:11" hidden="1" outlineLevel="2" x14ac:dyDescent="0.35">
      <c r="A7727" t="s">
        <v>131</v>
      </c>
      <c r="B7727" s="1">
        <v>45717</v>
      </c>
      <c r="C7727" t="s">
        <v>1778</v>
      </c>
      <c r="D7727" t="s">
        <v>1778</v>
      </c>
      <c r="F7727" t="str">
        <f t="shared" si="273"/>
        <v>70610010</v>
      </c>
      <c r="H7727" t="s">
        <v>5502</v>
      </c>
      <c r="I7727" s="1">
        <v>45744</v>
      </c>
      <c r="K7727" s="4">
        <v>35241650</v>
      </c>
    </row>
    <row r="7728" spans="1:11" hidden="1" outlineLevel="2" x14ac:dyDescent="0.35">
      <c r="A7728" t="s">
        <v>131</v>
      </c>
      <c r="B7728" s="1">
        <v>45717</v>
      </c>
      <c r="C7728" t="s">
        <v>5503</v>
      </c>
      <c r="D7728" t="s">
        <v>5503</v>
      </c>
      <c r="F7728" t="str">
        <f t="shared" si="273"/>
        <v>70610010</v>
      </c>
      <c r="H7728" t="s">
        <v>5501</v>
      </c>
      <c r="I7728" s="1">
        <v>45744</v>
      </c>
      <c r="K7728" s="4">
        <v>22124187</v>
      </c>
    </row>
    <row r="7729" spans="1:11" hidden="1" outlineLevel="2" x14ac:dyDescent="0.35">
      <c r="A7729" t="s">
        <v>131</v>
      </c>
      <c r="B7729" s="1">
        <v>45717</v>
      </c>
      <c r="C7729" t="s">
        <v>5504</v>
      </c>
      <c r="D7729" t="s">
        <v>5504</v>
      </c>
      <c r="F7729" t="str">
        <f t="shared" si="273"/>
        <v>70610010</v>
      </c>
      <c r="H7729" t="s">
        <v>5495</v>
      </c>
      <c r="K7729" s="4">
        <v>395043</v>
      </c>
    </row>
    <row r="7730" spans="1:11" hidden="1" outlineLevel="2" x14ac:dyDescent="0.35">
      <c r="A7730" t="s">
        <v>131</v>
      </c>
      <c r="B7730" s="1">
        <v>45717</v>
      </c>
      <c r="C7730" t="s">
        <v>5505</v>
      </c>
      <c r="D7730" t="s">
        <v>5505</v>
      </c>
      <c r="F7730" t="str">
        <f t="shared" si="273"/>
        <v>70610010</v>
      </c>
      <c r="H7730" t="s">
        <v>5506</v>
      </c>
      <c r="K7730" s="4">
        <v>9622328</v>
      </c>
    </row>
    <row r="7731" spans="1:11" hidden="1" outlineLevel="2" x14ac:dyDescent="0.35">
      <c r="A7731" t="s">
        <v>131</v>
      </c>
      <c r="B7731" s="1">
        <v>45717</v>
      </c>
      <c r="C7731" t="s">
        <v>5507</v>
      </c>
      <c r="D7731" t="s">
        <v>5507</v>
      </c>
      <c r="F7731" t="str">
        <f t="shared" si="273"/>
        <v>70610010</v>
      </c>
      <c r="H7731" t="s">
        <v>5508</v>
      </c>
      <c r="I7731" s="1">
        <v>45748</v>
      </c>
      <c r="K7731" s="4">
        <v>931500</v>
      </c>
    </row>
    <row r="7732" spans="1:11" hidden="1" outlineLevel="2" x14ac:dyDescent="0.35">
      <c r="A7732" t="s">
        <v>131</v>
      </c>
      <c r="B7732" s="1">
        <v>45717</v>
      </c>
      <c r="C7732" t="s">
        <v>5509</v>
      </c>
      <c r="D7732" t="s">
        <v>5509</v>
      </c>
      <c r="F7732" t="str">
        <f t="shared" si="273"/>
        <v>70610010</v>
      </c>
      <c r="H7732" t="s">
        <v>5510</v>
      </c>
      <c r="K7732" s="4">
        <v>800000</v>
      </c>
    </row>
    <row r="7733" spans="1:11" hidden="1" outlineLevel="2" x14ac:dyDescent="0.35">
      <c r="A7733" t="s">
        <v>131</v>
      </c>
      <c r="B7733" s="1">
        <v>45717</v>
      </c>
      <c r="C7733" t="s">
        <v>1788</v>
      </c>
      <c r="D7733" t="s">
        <v>1788</v>
      </c>
      <c r="F7733" t="str">
        <f t="shared" si="273"/>
        <v>70610010</v>
      </c>
      <c r="H7733" t="s">
        <v>5502</v>
      </c>
      <c r="I7733" s="1">
        <v>45744</v>
      </c>
      <c r="K7733" s="4">
        <v>40055300</v>
      </c>
    </row>
    <row r="7734" spans="1:11" hidden="1" outlineLevel="2" x14ac:dyDescent="0.35">
      <c r="A7734" t="s">
        <v>131</v>
      </c>
      <c r="B7734" s="1">
        <v>45718</v>
      </c>
      <c r="C7734" t="s">
        <v>5511</v>
      </c>
      <c r="D7734" t="s">
        <v>5511</v>
      </c>
      <c r="F7734" t="str">
        <f t="shared" si="273"/>
        <v>70610010</v>
      </c>
      <c r="H7734" t="s">
        <v>5512</v>
      </c>
      <c r="I7734" s="1">
        <v>45749</v>
      </c>
      <c r="K7734" s="4">
        <v>670000</v>
      </c>
    </row>
    <row r="7735" spans="1:11" hidden="1" outlineLevel="2" x14ac:dyDescent="0.35">
      <c r="A7735" t="s">
        <v>131</v>
      </c>
      <c r="B7735" s="1">
        <v>45718</v>
      </c>
      <c r="C7735" t="s">
        <v>5513</v>
      </c>
      <c r="D7735" t="s">
        <v>5513</v>
      </c>
      <c r="F7735" t="str">
        <f t="shared" si="273"/>
        <v>70610010</v>
      </c>
      <c r="H7735" t="s">
        <v>5514</v>
      </c>
      <c r="I7735" s="1">
        <v>45749</v>
      </c>
      <c r="J7735" s="4">
        <v>931500</v>
      </c>
    </row>
    <row r="7736" spans="1:11" hidden="1" outlineLevel="2" x14ac:dyDescent="0.35">
      <c r="A7736" t="s">
        <v>131</v>
      </c>
      <c r="B7736" s="1">
        <v>45719</v>
      </c>
      <c r="C7736" t="s">
        <v>5515</v>
      </c>
      <c r="D7736" t="s">
        <v>5515</v>
      </c>
      <c r="F7736" t="str">
        <f t="shared" si="273"/>
        <v>70610010</v>
      </c>
      <c r="H7736" t="s">
        <v>5516</v>
      </c>
      <c r="I7736" s="1">
        <v>45750</v>
      </c>
      <c r="K7736" s="4">
        <v>130000</v>
      </c>
    </row>
    <row r="7737" spans="1:11" hidden="1" outlineLevel="2" x14ac:dyDescent="0.35">
      <c r="A7737" t="s">
        <v>131</v>
      </c>
      <c r="B7737" s="1">
        <v>45720</v>
      </c>
      <c r="C7737" t="s">
        <v>5517</v>
      </c>
      <c r="D7737" t="s">
        <v>5517</v>
      </c>
      <c r="F7737" t="str">
        <f t="shared" si="273"/>
        <v>70610010</v>
      </c>
      <c r="H7737" t="s">
        <v>5518</v>
      </c>
      <c r="I7737" s="1">
        <v>45751</v>
      </c>
      <c r="K7737" s="4">
        <v>150000</v>
      </c>
    </row>
    <row r="7738" spans="1:11" hidden="1" outlineLevel="2" x14ac:dyDescent="0.35">
      <c r="A7738" t="s">
        <v>131</v>
      </c>
      <c r="B7738" s="1">
        <v>45720</v>
      </c>
      <c r="C7738" t="s">
        <v>5519</v>
      </c>
      <c r="D7738" t="s">
        <v>5519</v>
      </c>
      <c r="F7738" t="str">
        <f t="shared" si="273"/>
        <v>70610010</v>
      </c>
      <c r="H7738" t="s">
        <v>5518</v>
      </c>
      <c r="I7738" s="1">
        <v>45751</v>
      </c>
      <c r="K7738" s="4">
        <v>150000</v>
      </c>
    </row>
    <row r="7739" spans="1:11" hidden="1" outlineLevel="2" x14ac:dyDescent="0.35">
      <c r="A7739" t="s">
        <v>131</v>
      </c>
      <c r="B7739" s="1">
        <v>45720</v>
      </c>
      <c r="C7739" t="s">
        <v>5520</v>
      </c>
      <c r="D7739" t="s">
        <v>5520</v>
      </c>
      <c r="F7739" t="str">
        <f t="shared" si="273"/>
        <v>70610010</v>
      </c>
      <c r="H7739" t="s">
        <v>5518</v>
      </c>
      <c r="I7739" s="1">
        <v>45751</v>
      </c>
      <c r="K7739" s="4">
        <v>150000</v>
      </c>
    </row>
    <row r="7740" spans="1:11" hidden="1" outlineLevel="2" x14ac:dyDescent="0.35">
      <c r="A7740" t="s">
        <v>131</v>
      </c>
      <c r="B7740" s="1">
        <v>45720</v>
      </c>
      <c r="C7740" t="s">
        <v>5521</v>
      </c>
      <c r="D7740" t="s">
        <v>5521</v>
      </c>
      <c r="F7740" t="str">
        <f t="shared" si="273"/>
        <v>70610010</v>
      </c>
      <c r="H7740" t="s">
        <v>5522</v>
      </c>
      <c r="I7740" s="1">
        <v>45777</v>
      </c>
      <c r="K7740" s="4">
        <v>198000</v>
      </c>
    </row>
    <row r="7741" spans="1:11" hidden="1" outlineLevel="2" x14ac:dyDescent="0.35">
      <c r="A7741" t="s">
        <v>131</v>
      </c>
      <c r="B7741" s="1">
        <v>45720</v>
      </c>
      <c r="C7741" t="s">
        <v>5523</v>
      </c>
      <c r="D7741" t="s">
        <v>5523</v>
      </c>
      <c r="F7741" t="str">
        <f t="shared" si="273"/>
        <v>70610010</v>
      </c>
      <c r="H7741" t="s">
        <v>5508</v>
      </c>
      <c r="I7741" s="1">
        <v>45751</v>
      </c>
      <c r="K7741" s="4">
        <v>21725</v>
      </c>
    </row>
    <row r="7742" spans="1:11" hidden="1" outlineLevel="2" x14ac:dyDescent="0.35">
      <c r="A7742" t="s">
        <v>131</v>
      </c>
      <c r="B7742" s="1">
        <v>45721</v>
      </c>
      <c r="C7742" t="s">
        <v>5524</v>
      </c>
      <c r="D7742" t="s">
        <v>5524</v>
      </c>
      <c r="F7742" t="str">
        <f t="shared" si="273"/>
        <v>70610010</v>
      </c>
      <c r="H7742" t="s">
        <v>5518</v>
      </c>
      <c r="I7742" s="1">
        <v>45752</v>
      </c>
      <c r="K7742" s="4">
        <v>150000</v>
      </c>
    </row>
    <row r="7743" spans="1:11" hidden="1" outlineLevel="2" x14ac:dyDescent="0.35">
      <c r="A7743" t="s">
        <v>131</v>
      </c>
      <c r="B7743" s="1">
        <v>45721</v>
      </c>
      <c r="C7743" t="s">
        <v>5525</v>
      </c>
      <c r="D7743" t="s">
        <v>5525</v>
      </c>
      <c r="F7743" t="str">
        <f t="shared" si="273"/>
        <v>70610010</v>
      </c>
      <c r="H7743" t="s">
        <v>5526</v>
      </c>
      <c r="I7743" s="1">
        <v>45721</v>
      </c>
      <c r="K7743" s="4">
        <v>3342072</v>
      </c>
    </row>
    <row r="7744" spans="1:11" hidden="1" outlineLevel="2" x14ac:dyDescent="0.35">
      <c r="A7744" t="s">
        <v>131</v>
      </c>
      <c r="B7744" s="1">
        <v>45721</v>
      </c>
      <c r="C7744" t="s">
        <v>5527</v>
      </c>
      <c r="D7744" t="s">
        <v>5527</v>
      </c>
      <c r="F7744" t="str">
        <f t="shared" si="273"/>
        <v>70610010</v>
      </c>
      <c r="H7744" t="s">
        <v>5506</v>
      </c>
      <c r="I7744" s="1">
        <v>45752</v>
      </c>
      <c r="K7744" s="4">
        <v>7064469</v>
      </c>
    </row>
    <row r="7745" spans="1:11" hidden="1" outlineLevel="2" x14ac:dyDescent="0.35">
      <c r="A7745" t="s">
        <v>131</v>
      </c>
      <c r="B7745" s="1">
        <v>45722</v>
      </c>
      <c r="C7745" t="s">
        <v>5528</v>
      </c>
      <c r="D7745" t="s">
        <v>5528</v>
      </c>
      <c r="F7745" t="str">
        <f t="shared" si="273"/>
        <v>70610010</v>
      </c>
      <c r="H7745" t="s">
        <v>5512</v>
      </c>
      <c r="I7745" s="1">
        <v>45753</v>
      </c>
      <c r="K7745" s="4">
        <v>201000</v>
      </c>
    </row>
    <row r="7746" spans="1:11" hidden="1" outlineLevel="2" x14ac:dyDescent="0.35">
      <c r="A7746" t="s">
        <v>131</v>
      </c>
      <c r="B7746" s="1">
        <v>45722</v>
      </c>
      <c r="C7746" t="s">
        <v>5529</v>
      </c>
      <c r="D7746" t="s">
        <v>5529</v>
      </c>
      <c r="F7746" t="str">
        <f t="shared" si="273"/>
        <v>70610010</v>
      </c>
      <c r="H7746" t="s">
        <v>5518</v>
      </c>
      <c r="I7746" s="1">
        <v>45753</v>
      </c>
      <c r="K7746" s="4">
        <v>150000</v>
      </c>
    </row>
    <row r="7747" spans="1:11" hidden="1" outlineLevel="2" x14ac:dyDescent="0.35">
      <c r="A7747" t="s">
        <v>131</v>
      </c>
      <c r="B7747" s="1">
        <v>45722</v>
      </c>
      <c r="C7747" t="s">
        <v>5530</v>
      </c>
      <c r="D7747" t="s">
        <v>5530</v>
      </c>
      <c r="F7747" t="str">
        <f t="shared" si="273"/>
        <v>70610010</v>
      </c>
      <c r="H7747" t="s">
        <v>5518</v>
      </c>
      <c r="I7747" s="1">
        <v>45753</v>
      </c>
      <c r="K7747" s="4">
        <v>150000</v>
      </c>
    </row>
    <row r="7748" spans="1:11" hidden="1" outlineLevel="2" x14ac:dyDescent="0.35">
      <c r="A7748" t="s">
        <v>131</v>
      </c>
      <c r="B7748" s="1">
        <v>45722</v>
      </c>
      <c r="C7748" t="s">
        <v>5531</v>
      </c>
      <c r="D7748" t="s">
        <v>5531</v>
      </c>
      <c r="F7748" t="str">
        <f t="shared" si="273"/>
        <v>70610010</v>
      </c>
      <c r="H7748" t="s">
        <v>5518</v>
      </c>
      <c r="I7748" s="1">
        <v>45753</v>
      </c>
      <c r="K7748" s="4">
        <v>150000</v>
      </c>
    </row>
    <row r="7749" spans="1:11" hidden="1" outlineLevel="2" x14ac:dyDescent="0.35">
      <c r="A7749" t="s">
        <v>131</v>
      </c>
      <c r="B7749" s="1">
        <v>45722</v>
      </c>
      <c r="C7749" t="s">
        <v>5532</v>
      </c>
      <c r="D7749" t="s">
        <v>5532</v>
      </c>
      <c r="F7749" t="str">
        <f t="shared" si="273"/>
        <v>70610010</v>
      </c>
      <c r="H7749" t="s">
        <v>5518</v>
      </c>
      <c r="I7749" s="1">
        <v>45753</v>
      </c>
      <c r="K7749" s="4">
        <v>150000</v>
      </c>
    </row>
    <row r="7750" spans="1:11" hidden="1" outlineLevel="2" x14ac:dyDescent="0.35">
      <c r="A7750" t="s">
        <v>131</v>
      </c>
      <c r="B7750" s="1">
        <v>45722</v>
      </c>
      <c r="C7750" t="s">
        <v>5533</v>
      </c>
      <c r="D7750" t="s">
        <v>5533</v>
      </c>
      <c r="F7750" t="str">
        <f t="shared" si="273"/>
        <v>70610010</v>
      </c>
      <c r="H7750" t="s">
        <v>5518</v>
      </c>
      <c r="I7750" s="1">
        <v>45753</v>
      </c>
      <c r="K7750" s="4">
        <v>150000</v>
      </c>
    </row>
    <row r="7751" spans="1:11" hidden="1" outlineLevel="2" x14ac:dyDescent="0.35">
      <c r="A7751" t="s">
        <v>131</v>
      </c>
      <c r="B7751" s="1">
        <v>45722</v>
      </c>
      <c r="C7751" t="s">
        <v>5534</v>
      </c>
      <c r="D7751" t="s">
        <v>5534</v>
      </c>
      <c r="F7751" t="str">
        <f t="shared" si="273"/>
        <v>70610010</v>
      </c>
      <c r="H7751" t="s">
        <v>5518</v>
      </c>
      <c r="I7751" s="1">
        <v>45753</v>
      </c>
      <c r="K7751" s="4">
        <v>150000</v>
      </c>
    </row>
    <row r="7752" spans="1:11" hidden="1" outlineLevel="2" x14ac:dyDescent="0.35">
      <c r="A7752" t="s">
        <v>131</v>
      </c>
      <c r="B7752" s="1">
        <v>45722</v>
      </c>
      <c r="C7752" t="s">
        <v>5535</v>
      </c>
      <c r="D7752" t="s">
        <v>5535</v>
      </c>
      <c r="F7752" t="str">
        <f t="shared" si="273"/>
        <v>70610010</v>
      </c>
      <c r="H7752" t="s">
        <v>5518</v>
      </c>
      <c r="I7752" s="1">
        <v>45753</v>
      </c>
      <c r="K7752" s="4">
        <v>150000</v>
      </c>
    </row>
    <row r="7753" spans="1:11" hidden="1" outlineLevel="2" x14ac:dyDescent="0.35">
      <c r="A7753" t="s">
        <v>131</v>
      </c>
      <c r="B7753" s="1">
        <v>45722</v>
      </c>
      <c r="C7753" t="s">
        <v>5536</v>
      </c>
      <c r="D7753" t="s">
        <v>5536</v>
      </c>
      <c r="F7753" t="str">
        <f t="shared" si="273"/>
        <v>70610010</v>
      </c>
      <c r="H7753" t="s">
        <v>5518</v>
      </c>
      <c r="I7753" s="1">
        <v>45753</v>
      </c>
      <c r="K7753" s="4">
        <v>150000</v>
      </c>
    </row>
    <row r="7754" spans="1:11" hidden="1" outlineLevel="2" x14ac:dyDescent="0.35">
      <c r="A7754" t="s">
        <v>131</v>
      </c>
      <c r="B7754" s="1">
        <v>45722</v>
      </c>
      <c r="C7754" t="s">
        <v>5537</v>
      </c>
      <c r="D7754" t="s">
        <v>5537</v>
      </c>
      <c r="F7754" t="str">
        <f t="shared" si="273"/>
        <v>70610010</v>
      </c>
      <c r="H7754" t="s">
        <v>5518</v>
      </c>
      <c r="I7754" s="1">
        <v>45753</v>
      </c>
      <c r="K7754" s="4">
        <v>150000</v>
      </c>
    </row>
    <row r="7755" spans="1:11" hidden="1" outlineLevel="2" x14ac:dyDescent="0.35">
      <c r="A7755" t="s">
        <v>131</v>
      </c>
      <c r="B7755" s="1">
        <v>45722</v>
      </c>
      <c r="C7755" t="s">
        <v>5538</v>
      </c>
      <c r="D7755" t="s">
        <v>5538</v>
      </c>
      <c r="F7755" t="str">
        <f t="shared" si="273"/>
        <v>70610010</v>
      </c>
      <c r="H7755" t="s">
        <v>5518</v>
      </c>
      <c r="I7755" s="1">
        <v>45753</v>
      </c>
      <c r="K7755" s="4">
        <v>150000</v>
      </c>
    </row>
    <row r="7756" spans="1:11" hidden="1" outlineLevel="2" x14ac:dyDescent="0.35">
      <c r="A7756" t="s">
        <v>131</v>
      </c>
      <c r="B7756" s="1">
        <v>45722</v>
      </c>
      <c r="C7756" t="s">
        <v>5539</v>
      </c>
      <c r="D7756" t="s">
        <v>5539</v>
      </c>
      <c r="F7756" t="str">
        <f t="shared" si="273"/>
        <v>70610010</v>
      </c>
      <c r="H7756" t="s">
        <v>5518</v>
      </c>
      <c r="I7756" s="1">
        <v>45753</v>
      </c>
      <c r="K7756" s="4">
        <v>300000</v>
      </c>
    </row>
    <row r="7757" spans="1:11" hidden="1" outlineLevel="2" x14ac:dyDescent="0.35">
      <c r="A7757" t="s">
        <v>131</v>
      </c>
      <c r="B7757" s="1">
        <v>45722</v>
      </c>
      <c r="C7757" t="s">
        <v>5540</v>
      </c>
      <c r="D7757" t="s">
        <v>5540</v>
      </c>
      <c r="F7757" t="str">
        <f t="shared" si="273"/>
        <v>70610010</v>
      </c>
      <c r="H7757" t="s">
        <v>5518</v>
      </c>
      <c r="I7757" s="1">
        <v>45753</v>
      </c>
      <c r="K7757" s="4">
        <v>150000</v>
      </c>
    </row>
    <row r="7758" spans="1:11" hidden="1" outlineLevel="2" x14ac:dyDescent="0.35">
      <c r="A7758" t="s">
        <v>131</v>
      </c>
      <c r="B7758" s="1">
        <v>45722</v>
      </c>
      <c r="C7758" t="s">
        <v>5541</v>
      </c>
      <c r="D7758" t="s">
        <v>5541</v>
      </c>
      <c r="F7758" t="str">
        <f t="shared" si="273"/>
        <v>70610010</v>
      </c>
      <c r="H7758" t="s">
        <v>180</v>
      </c>
      <c r="I7758" s="1">
        <v>45777</v>
      </c>
      <c r="K7758" s="4">
        <v>300000</v>
      </c>
    </row>
    <row r="7759" spans="1:11" hidden="1" outlineLevel="2" x14ac:dyDescent="0.35">
      <c r="A7759" t="s">
        <v>131</v>
      </c>
      <c r="B7759" s="1">
        <v>45722</v>
      </c>
      <c r="C7759" t="s">
        <v>5542</v>
      </c>
      <c r="D7759" t="s">
        <v>5542</v>
      </c>
      <c r="F7759" t="str">
        <f t="shared" si="273"/>
        <v>70610010</v>
      </c>
      <c r="H7759" t="s">
        <v>5522</v>
      </c>
      <c r="I7759" s="1">
        <v>45777</v>
      </c>
      <c r="K7759" s="4">
        <v>198000</v>
      </c>
    </row>
    <row r="7760" spans="1:11" hidden="1" outlineLevel="2" x14ac:dyDescent="0.35">
      <c r="A7760" t="s">
        <v>131</v>
      </c>
      <c r="B7760" s="1">
        <v>45722</v>
      </c>
      <c r="C7760" t="s">
        <v>5543</v>
      </c>
      <c r="D7760" t="s">
        <v>5543</v>
      </c>
      <c r="F7760" t="str">
        <f t="shared" si="273"/>
        <v>70610010</v>
      </c>
      <c r="H7760" t="s">
        <v>5522</v>
      </c>
      <c r="I7760" s="1">
        <v>45777</v>
      </c>
      <c r="K7760" s="4">
        <v>66000</v>
      </c>
    </row>
    <row r="7761" spans="1:11" hidden="1" outlineLevel="2" x14ac:dyDescent="0.35">
      <c r="A7761" t="s">
        <v>131</v>
      </c>
      <c r="B7761" s="1">
        <v>45723</v>
      </c>
      <c r="C7761" t="s">
        <v>5544</v>
      </c>
      <c r="D7761" t="s">
        <v>5544</v>
      </c>
      <c r="F7761" t="str">
        <f t="shared" si="273"/>
        <v>70610010</v>
      </c>
      <c r="H7761" t="s">
        <v>5512</v>
      </c>
      <c r="I7761" s="1">
        <v>45754</v>
      </c>
      <c r="K7761" s="4">
        <v>1072000</v>
      </c>
    </row>
    <row r="7762" spans="1:11" hidden="1" outlineLevel="2" x14ac:dyDescent="0.35">
      <c r="A7762" t="s">
        <v>131</v>
      </c>
      <c r="B7762" s="1">
        <v>45723</v>
      </c>
      <c r="C7762" t="s">
        <v>5545</v>
      </c>
      <c r="D7762" t="s">
        <v>5545</v>
      </c>
      <c r="F7762" t="str">
        <f t="shared" si="273"/>
        <v>70610010</v>
      </c>
      <c r="H7762" t="s">
        <v>5512</v>
      </c>
      <c r="I7762" s="1">
        <v>45754</v>
      </c>
      <c r="K7762" s="4">
        <v>201000</v>
      </c>
    </row>
    <row r="7763" spans="1:11" hidden="1" outlineLevel="2" x14ac:dyDescent="0.35">
      <c r="A7763" t="s">
        <v>131</v>
      </c>
      <c r="B7763" s="1">
        <v>45723</v>
      </c>
      <c r="C7763" t="s">
        <v>5546</v>
      </c>
      <c r="D7763" t="s">
        <v>5546</v>
      </c>
      <c r="F7763" t="str">
        <f t="shared" si="273"/>
        <v>70610010</v>
      </c>
      <c r="H7763" t="s">
        <v>5518</v>
      </c>
      <c r="I7763" s="1">
        <v>45754</v>
      </c>
      <c r="K7763" s="4">
        <v>150000</v>
      </c>
    </row>
    <row r="7764" spans="1:11" hidden="1" outlineLevel="2" x14ac:dyDescent="0.35">
      <c r="A7764" t="s">
        <v>131</v>
      </c>
      <c r="B7764" s="1">
        <v>45723</v>
      </c>
      <c r="C7764" t="s">
        <v>5547</v>
      </c>
      <c r="D7764" t="s">
        <v>5547</v>
      </c>
      <c r="F7764" t="str">
        <f t="shared" si="273"/>
        <v>70610010</v>
      </c>
      <c r="H7764" t="s">
        <v>5518</v>
      </c>
      <c r="I7764" s="1">
        <v>45754</v>
      </c>
      <c r="K7764" s="4">
        <v>150000</v>
      </c>
    </row>
    <row r="7765" spans="1:11" hidden="1" outlineLevel="2" x14ac:dyDescent="0.35">
      <c r="A7765" t="s">
        <v>131</v>
      </c>
      <c r="B7765" s="1">
        <v>45723</v>
      </c>
      <c r="C7765" t="s">
        <v>5548</v>
      </c>
      <c r="D7765" t="s">
        <v>5548</v>
      </c>
      <c r="F7765" t="str">
        <f t="shared" si="273"/>
        <v>70610010</v>
      </c>
      <c r="H7765" t="s">
        <v>5518</v>
      </c>
      <c r="I7765" s="1">
        <v>45754</v>
      </c>
      <c r="K7765" s="4">
        <v>150000</v>
      </c>
    </row>
    <row r="7766" spans="1:11" hidden="1" outlineLevel="2" x14ac:dyDescent="0.35">
      <c r="A7766" t="s">
        <v>131</v>
      </c>
      <c r="B7766" s="1">
        <v>45723</v>
      </c>
      <c r="C7766" t="s">
        <v>5549</v>
      </c>
      <c r="D7766" t="s">
        <v>5549</v>
      </c>
      <c r="F7766" t="str">
        <f t="shared" si="273"/>
        <v>70610010</v>
      </c>
      <c r="H7766" t="s">
        <v>5518</v>
      </c>
      <c r="I7766" s="1">
        <v>45754</v>
      </c>
      <c r="K7766" s="4">
        <v>150000</v>
      </c>
    </row>
    <row r="7767" spans="1:11" hidden="1" outlineLevel="2" x14ac:dyDescent="0.35">
      <c r="A7767" t="s">
        <v>131</v>
      </c>
      <c r="B7767" s="1">
        <v>45723</v>
      </c>
      <c r="C7767" t="s">
        <v>5550</v>
      </c>
      <c r="D7767" t="s">
        <v>5550</v>
      </c>
      <c r="F7767" t="str">
        <f t="shared" si="273"/>
        <v>70610010</v>
      </c>
      <c r="H7767" t="s">
        <v>5551</v>
      </c>
      <c r="I7767" s="1">
        <v>45723</v>
      </c>
      <c r="K7767" s="4">
        <v>297000</v>
      </c>
    </row>
    <row r="7768" spans="1:11" hidden="1" outlineLevel="2" x14ac:dyDescent="0.35">
      <c r="A7768" t="s">
        <v>131</v>
      </c>
      <c r="B7768" s="1">
        <v>45723</v>
      </c>
      <c r="C7768" t="s">
        <v>5552</v>
      </c>
      <c r="D7768" t="s">
        <v>5552</v>
      </c>
      <c r="F7768" t="str">
        <f t="shared" si="273"/>
        <v>70610010</v>
      </c>
      <c r="H7768" t="s">
        <v>180</v>
      </c>
      <c r="I7768" s="1">
        <v>45777</v>
      </c>
      <c r="K7768" s="4">
        <v>99000</v>
      </c>
    </row>
    <row r="7769" spans="1:11" hidden="1" outlineLevel="2" x14ac:dyDescent="0.35">
      <c r="A7769" t="s">
        <v>131</v>
      </c>
      <c r="B7769" s="1">
        <v>45723</v>
      </c>
      <c r="C7769" t="s">
        <v>5553</v>
      </c>
      <c r="D7769" t="s">
        <v>5553</v>
      </c>
      <c r="F7769" t="str">
        <f t="shared" si="273"/>
        <v>70610010</v>
      </c>
      <c r="H7769" t="s">
        <v>5522</v>
      </c>
      <c r="I7769" s="1">
        <v>45777</v>
      </c>
      <c r="K7769" s="4">
        <v>660000</v>
      </c>
    </row>
    <row r="7770" spans="1:11" hidden="1" outlineLevel="2" x14ac:dyDescent="0.35">
      <c r="A7770" t="s">
        <v>131</v>
      </c>
      <c r="B7770" s="1">
        <v>45723</v>
      </c>
      <c r="C7770" t="s">
        <v>5554</v>
      </c>
      <c r="D7770" t="s">
        <v>5554</v>
      </c>
      <c r="F7770" t="str">
        <f t="shared" si="273"/>
        <v>70610010</v>
      </c>
      <c r="H7770" t="s">
        <v>5555</v>
      </c>
      <c r="I7770" s="1">
        <v>45723</v>
      </c>
      <c r="K7770" s="4">
        <v>100000</v>
      </c>
    </row>
    <row r="7771" spans="1:11" hidden="1" outlineLevel="2" x14ac:dyDescent="0.35">
      <c r="A7771" t="s">
        <v>131</v>
      </c>
      <c r="B7771" s="1">
        <v>45725</v>
      </c>
      <c r="C7771" t="s">
        <v>5557</v>
      </c>
      <c r="D7771" t="s">
        <v>5557</v>
      </c>
      <c r="F7771" t="str">
        <f t="shared" si="273"/>
        <v>70610010</v>
      </c>
      <c r="H7771" t="s">
        <v>5508</v>
      </c>
      <c r="I7771" s="1">
        <v>45756</v>
      </c>
      <c r="K7771" s="4">
        <v>931500</v>
      </c>
    </row>
    <row r="7772" spans="1:11" hidden="1" outlineLevel="2" x14ac:dyDescent="0.35">
      <c r="A7772" t="s">
        <v>131</v>
      </c>
      <c r="B7772" s="1">
        <v>45725</v>
      </c>
      <c r="C7772" t="s">
        <v>5558</v>
      </c>
      <c r="D7772" t="s">
        <v>5558</v>
      </c>
      <c r="F7772" t="str">
        <f t="shared" ref="F7772:F7835" si="275">"70610010"</f>
        <v>70610010</v>
      </c>
      <c r="H7772" t="s">
        <v>5508</v>
      </c>
      <c r="I7772" s="1">
        <v>45756</v>
      </c>
      <c r="K7772" s="4">
        <v>931500</v>
      </c>
    </row>
    <row r="7773" spans="1:11" hidden="1" outlineLevel="2" x14ac:dyDescent="0.35">
      <c r="A7773" t="s">
        <v>131</v>
      </c>
      <c r="B7773" s="1">
        <v>45725</v>
      </c>
      <c r="C7773" t="s">
        <v>5559</v>
      </c>
      <c r="D7773" t="s">
        <v>5559</v>
      </c>
      <c r="F7773" t="str">
        <f t="shared" si="275"/>
        <v>70610010</v>
      </c>
      <c r="H7773" t="s">
        <v>5508</v>
      </c>
      <c r="I7773" s="1">
        <v>45756</v>
      </c>
      <c r="K7773" s="4">
        <v>931500</v>
      </c>
    </row>
    <row r="7774" spans="1:11" hidden="1" outlineLevel="2" x14ac:dyDescent="0.35">
      <c r="A7774" t="s">
        <v>131</v>
      </c>
      <c r="B7774" s="1">
        <v>45725</v>
      </c>
      <c r="C7774" t="s">
        <v>5560</v>
      </c>
      <c r="D7774" t="s">
        <v>5560</v>
      </c>
      <c r="F7774" t="str">
        <f t="shared" si="275"/>
        <v>70610010</v>
      </c>
      <c r="H7774" t="s">
        <v>5508</v>
      </c>
      <c r="I7774" s="1">
        <v>45756</v>
      </c>
      <c r="K7774" s="4">
        <v>931500</v>
      </c>
    </row>
    <row r="7775" spans="1:11" hidden="1" outlineLevel="2" x14ac:dyDescent="0.35">
      <c r="A7775" t="s">
        <v>131</v>
      </c>
      <c r="B7775" s="1">
        <v>45726</v>
      </c>
      <c r="C7775" t="s">
        <v>5561</v>
      </c>
      <c r="D7775" t="s">
        <v>5561</v>
      </c>
      <c r="F7775" t="str">
        <f t="shared" si="275"/>
        <v>70610010</v>
      </c>
      <c r="H7775" t="s">
        <v>180</v>
      </c>
      <c r="I7775" s="1">
        <v>45777</v>
      </c>
      <c r="K7775" s="4">
        <v>297000</v>
      </c>
    </row>
    <row r="7776" spans="1:11" hidden="1" outlineLevel="2" x14ac:dyDescent="0.35">
      <c r="A7776" t="s">
        <v>131</v>
      </c>
      <c r="B7776" s="1">
        <v>45726</v>
      </c>
      <c r="C7776" t="s">
        <v>5562</v>
      </c>
      <c r="D7776" t="s">
        <v>5562</v>
      </c>
      <c r="F7776" t="str">
        <f t="shared" si="275"/>
        <v>70610010</v>
      </c>
      <c r="H7776" t="s">
        <v>5508</v>
      </c>
      <c r="I7776" s="1">
        <v>45757</v>
      </c>
      <c r="K7776" s="4">
        <v>5589000</v>
      </c>
    </row>
    <row r="7777" spans="1:11" hidden="1" outlineLevel="2" x14ac:dyDescent="0.35">
      <c r="A7777" t="s">
        <v>131</v>
      </c>
      <c r="B7777" s="1">
        <v>45726</v>
      </c>
      <c r="C7777" t="s">
        <v>5563</v>
      </c>
      <c r="D7777" t="s">
        <v>5563</v>
      </c>
      <c r="F7777" t="str">
        <f t="shared" si="275"/>
        <v>70610010</v>
      </c>
      <c r="H7777" t="s">
        <v>5508</v>
      </c>
      <c r="I7777" s="1">
        <v>45757</v>
      </c>
      <c r="K7777" s="4">
        <v>4657500</v>
      </c>
    </row>
    <row r="7778" spans="1:11" hidden="1" outlineLevel="2" x14ac:dyDescent="0.35">
      <c r="A7778" t="s">
        <v>131</v>
      </c>
      <c r="B7778" s="1">
        <v>45726</v>
      </c>
      <c r="C7778" t="s">
        <v>5564</v>
      </c>
      <c r="D7778" t="s">
        <v>5564</v>
      </c>
      <c r="F7778" t="str">
        <f t="shared" si="275"/>
        <v>70610010</v>
      </c>
      <c r="H7778" t="s">
        <v>5508</v>
      </c>
      <c r="I7778" s="1">
        <v>45757</v>
      </c>
      <c r="K7778" s="4">
        <v>4657500</v>
      </c>
    </row>
    <row r="7779" spans="1:11" hidden="1" outlineLevel="2" x14ac:dyDescent="0.35">
      <c r="A7779" t="s">
        <v>131</v>
      </c>
      <c r="B7779" s="1">
        <v>45726</v>
      </c>
      <c r="C7779" t="s">
        <v>5565</v>
      </c>
      <c r="D7779" t="s">
        <v>5565</v>
      </c>
      <c r="F7779" t="str">
        <f t="shared" si="275"/>
        <v>70610010</v>
      </c>
      <c r="H7779" t="s">
        <v>5508</v>
      </c>
      <c r="I7779" s="1">
        <v>45757</v>
      </c>
      <c r="K7779" s="4">
        <v>1863000</v>
      </c>
    </row>
    <row r="7780" spans="1:11" hidden="1" outlineLevel="2" x14ac:dyDescent="0.35">
      <c r="A7780" t="s">
        <v>131</v>
      </c>
      <c r="B7780" s="1">
        <v>45726</v>
      </c>
      <c r="C7780" t="s">
        <v>5566</v>
      </c>
      <c r="D7780" t="s">
        <v>5566</v>
      </c>
      <c r="F7780" t="str">
        <f t="shared" si="275"/>
        <v>70610010</v>
      </c>
      <c r="H7780" t="s">
        <v>5508</v>
      </c>
      <c r="I7780" s="1">
        <v>45757</v>
      </c>
      <c r="K7780" s="4">
        <v>931500</v>
      </c>
    </row>
    <row r="7781" spans="1:11" hidden="1" outlineLevel="2" x14ac:dyDescent="0.35">
      <c r="A7781" t="s">
        <v>131</v>
      </c>
      <c r="B7781" s="1">
        <v>45726</v>
      </c>
      <c r="C7781" t="s">
        <v>5567</v>
      </c>
      <c r="D7781" t="s">
        <v>5567</v>
      </c>
      <c r="F7781" t="str">
        <f t="shared" si="275"/>
        <v>70610010</v>
      </c>
      <c r="H7781" t="s">
        <v>5508</v>
      </c>
      <c r="I7781" s="1">
        <v>45757</v>
      </c>
      <c r="K7781" s="4">
        <v>4657500</v>
      </c>
    </row>
    <row r="7782" spans="1:11" hidden="1" outlineLevel="2" x14ac:dyDescent="0.35">
      <c r="A7782" t="s">
        <v>131</v>
      </c>
      <c r="B7782" s="1">
        <v>45726</v>
      </c>
      <c r="C7782" t="s">
        <v>5568</v>
      </c>
      <c r="D7782" t="s">
        <v>5568</v>
      </c>
      <c r="F7782" t="str">
        <f t="shared" si="275"/>
        <v>70610010</v>
      </c>
      <c r="H7782" t="s">
        <v>5508</v>
      </c>
      <c r="I7782" s="1">
        <v>45757</v>
      </c>
      <c r="K7782" s="4">
        <v>444800</v>
      </c>
    </row>
    <row r="7783" spans="1:11" hidden="1" outlineLevel="2" x14ac:dyDescent="0.35">
      <c r="A7783" t="s">
        <v>131</v>
      </c>
      <c r="B7783" s="1">
        <v>45726</v>
      </c>
      <c r="C7783" t="s">
        <v>5569</v>
      </c>
      <c r="D7783" t="s">
        <v>5569</v>
      </c>
      <c r="F7783" t="str">
        <f t="shared" si="275"/>
        <v>70610010</v>
      </c>
      <c r="H7783" t="s">
        <v>5512</v>
      </c>
      <c r="I7783" s="1">
        <v>45757</v>
      </c>
      <c r="K7783" s="4">
        <v>268000</v>
      </c>
    </row>
    <row r="7784" spans="1:11" hidden="1" outlineLevel="2" x14ac:dyDescent="0.35">
      <c r="A7784" t="s">
        <v>131</v>
      </c>
      <c r="B7784" s="1">
        <v>45726</v>
      </c>
      <c r="C7784" t="s">
        <v>5570</v>
      </c>
      <c r="D7784" t="s">
        <v>5570</v>
      </c>
      <c r="F7784" t="str">
        <f t="shared" si="275"/>
        <v>70610010</v>
      </c>
      <c r="H7784" t="s">
        <v>5518</v>
      </c>
      <c r="I7784" s="1">
        <v>45757</v>
      </c>
      <c r="K7784" s="4">
        <v>150000</v>
      </c>
    </row>
    <row r="7785" spans="1:11" hidden="1" outlineLevel="2" x14ac:dyDescent="0.35">
      <c r="A7785" t="s">
        <v>131</v>
      </c>
      <c r="B7785" s="1">
        <v>45726</v>
      </c>
      <c r="C7785" t="s">
        <v>5571</v>
      </c>
      <c r="D7785" t="s">
        <v>5571</v>
      </c>
      <c r="F7785" t="str">
        <f t="shared" si="275"/>
        <v>70610010</v>
      </c>
      <c r="H7785" t="s">
        <v>5522</v>
      </c>
      <c r="I7785" s="1">
        <v>45757</v>
      </c>
      <c r="K7785" s="4">
        <v>99000</v>
      </c>
    </row>
    <row r="7786" spans="1:11" hidden="1" outlineLevel="2" x14ac:dyDescent="0.35">
      <c r="A7786" t="s">
        <v>131</v>
      </c>
      <c r="B7786" s="1">
        <v>45726</v>
      </c>
      <c r="C7786" t="s">
        <v>5572</v>
      </c>
      <c r="D7786" t="s">
        <v>5572</v>
      </c>
      <c r="F7786" t="str">
        <f t="shared" si="275"/>
        <v>70610010</v>
      </c>
      <c r="H7786" t="s">
        <v>5573</v>
      </c>
      <c r="I7786" s="1">
        <v>45757</v>
      </c>
      <c r="K7786" s="4">
        <v>1400000</v>
      </c>
    </row>
    <row r="7787" spans="1:11" hidden="1" outlineLevel="2" x14ac:dyDescent="0.35">
      <c r="A7787" t="s">
        <v>131</v>
      </c>
      <c r="B7787" s="1">
        <v>45726</v>
      </c>
      <c r="C7787" t="s">
        <v>5574</v>
      </c>
      <c r="D7787" t="s">
        <v>5574</v>
      </c>
      <c r="F7787" t="str">
        <f t="shared" si="275"/>
        <v>70610010</v>
      </c>
      <c r="H7787" t="s">
        <v>5573</v>
      </c>
      <c r="I7787" s="1">
        <v>45757</v>
      </c>
      <c r="K7787" s="4">
        <v>1200000</v>
      </c>
    </row>
    <row r="7788" spans="1:11" hidden="1" outlineLevel="2" x14ac:dyDescent="0.35">
      <c r="A7788" t="s">
        <v>131</v>
      </c>
      <c r="B7788" s="1">
        <v>45726</v>
      </c>
      <c r="C7788" t="s">
        <v>5580</v>
      </c>
      <c r="D7788" t="s">
        <v>5580</v>
      </c>
      <c r="F7788" t="str">
        <f t="shared" si="275"/>
        <v>70610010</v>
      </c>
      <c r="H7788" t="s">
        <v>5581</v>
      </c>
      <c r="I7788" s="1">
        <v>45757</v>
      </c>
      <c r="K7788" s="4">
        <v>2699658</v>
      </c>
    </row>
    <row r="7789" spans="1:11" hidden="1" outlineLevel="2" x14ac:dyDescent="0.35">
      <c r="A7789" t="s">
        <v>131</v>
      </c>
      <c r="B7789" s="1">
        <v>45726</v>
      </c>
      <c r="C7789" t="s">
        <v>5582</v>
      </c>
      <c r="D7789" t="s">
        <v>5582</v>
      </c>
      <c r="F7789" t="str">
        <f t="shared" si="275"/>
        <v>70610010</v>
      </c>
      <c r="H7789" t="s">
        <v>5581</v>
      </c>
      <c r="I7789" s="1">
        <v>45757</v>
      </c>
      <c r="K7789" s="4">
        <v>41619288</v>
      </c>
    </row>
    <row r="7790" spans="1:11" hidden="1" outlineLevel="2" x14ac:dyDescent="0.35">
      <c r="A7790" t="s">
        <v>131</v>
      </c>
      <c r="B7790" s="1">
        <v>45726</v>
      </c>
      <c r="C7790" t="s">
        <v>5583</v>
      </c>
      <c r="D7790" t="s">
        <v>5583</v>
      </c>
      <c r="F7790" t="str">
        <f t="shared" si="275"/>
        <v>70610010</v>
      </c>
      <c r="H7790" t="s">
        <v>5508</v>
      </c>
      <c r="I7790" s="1">
        <v>45757</v>
      </c>
      <c r="K7790" s="4">
        <v>931500</v>
      </c>
    </row>
    <row r="7791" spans="1:11" hidden="1" outlineLevel="2" x14ac:dyDescent="0.35">
      <c r="A7791" t="s">
        <v>131</v>
      </c>
      <c r="B7791" s="1">
        <v>45726</v>
      </c>
      <c r="C7791" t="s">
        <v>5584</v>
      </c>
      <c r="D7791" t="s">
        <v>5584</v>
      </c>
      <c r="F7791" t="str">
        <f t="shared" si="275"/>
        <v>70610010</v>
      </c>
      <c r="H7791" t="s">
        <v>5585</v>
      </c>
      <c r="I7791" s="1">
        <v>45741</v>
      </c>
      <c r="K7791" s="4">
        <v>200000</v>
      </c>
    </row>
    <row r="7792" spans="1:11" hidden="1" outlineLevel="2" x14ac:dyDescent="0.35">
      <c r="A7792" t="s">
        <v>131</v>
      </c>
      <c r="B7792" s="1">
        <v>45727</v>
      </c>
      <c r="C7792" t="s">
        <v>5588</v>
      </c>
      <c r="D7792" t="s">
        <v>5588</v>
      </c>
      <c r="F7792" t="str">
        <f t="shared" si="275"/>
        <v>70610010</v>
      </c>
      <c r="H7792" t="s">
        <v>5589</v>
      </c>
      <c r="I7792" s="1">
        <v>45727</v>
      </c>
      <c r="K7792" s="4">
        <v>1050000</v>
      </c>
    </row>
    <row r="7793" spans="1:11" hidden="1" outlineLevel="2" x14ac:dyDescent="0.35">
      <c r="A7793" t="s">
        <v>131</v>
      </c>
      <c r="B7793" s="1">
        <v>45727</v>
      </c>
      <c r="C7793" t="s">
        <v>5590</v>
      </c>
      <c r="D7793" t="s">
        <v>5590</v>
      </c>
      <c r="F7793" t="str">
        <f t="shared" si="275"/>
        <v>70610010</v>
      </c>
      <c r="H7793" t="s">
        <v>180</v>
      </c>
      <c r="I7793" s="1">
        <v>45777</v>
      </c>
      <c r="K7793" s="4">
        <v>99000</v>
      </c>
    </row>
    <row r="7794" spans="1:11" hidden="1" outlineLevel="2" x14ac:dyDescent="0.35">
      <c r="A7794" t="s">
        <v>131</v>
      </c>
      <c r="B7794" s="1">
        <v>45727</v>
      </c>
      <c r="C7794" t="s">
        <v>5591</v>
      </c>
      <c r="D7794" t="s">
        <v>5591</v>
      </c>
      <c r="F7794" t="str">
        <f t="shared" si="275"/>
        <v>70610010</v>
      </c>
      <c r="H7794" t="s">
        <v>5508</v>
      </c>
      <c r="I7794" s="1">
        <v>45758</v>
      </c>
      <c r="K7794" s="4">
        <v>258038</v>
      </c>
    </row>
    <row r="7795" spans="1:11" hidden="1" outlineLevel="2" x14ac:dyDescent="0.35">
      <c r="A7795" t="s">
        <v>131</v>
      </c>
      <c r="B7795" s="1">
        <v>45727</v>
      </c>
      <c r="C7795" t="s">
        <v>5592</v>
      </c>
      <c r="D7795" t="s">
        <v>5592</v>
      </c>
      <c r="F7795" t="str">
        <f t="shared" si="275"/>
        <v>70610010</v>
      </c>
      <c r="H7795" t="s">
        <v>5508</v>
      </c>
      <c r="I7795" s="1">
        <v>45758</v>
      </c>
      <c r="K7795" s="4">
        <v>258038</v>
      </c>
    </row>
    <row r="7796" spans="1:11" hidden="1" outlineLevel="2" x14ac:dyDescent="0.35">
      <c r="A7796" t="s">
        <v>131</v>
      </c>
      <c r="B7796" s="1">
        <v>45727</v>
      </c>
      <c r="C7796" t="s">
        <v>5593</v>
      </c>
      <c r="D7796" t="s">
        <v>5593</v>
      </c>
      <c r="F7796" t="str">
        <f t="shared" si="275"/>
        <v>70610010</v>
      </c>
      <c r="H7796" t="s">
        <v>5508</v>
      </c>
      <c r="I7796" s="1">
        <v>45758</v>
      </c>
      <c r="K7796" s="4">
        <v>258038</v>
      </c>
    </row>
    <row r="7797" spans="1:11" hidden="1" outlineLevel="2" x14ac:dyDescent="0.35">
      <c r="A7797" t="s">
        <v>131</v>
      </c>
      <c r="B7797" s="1">
        <v>45727</v>
      </c>
      <c r="C7797" t="s">
        <v>5594</v>
      </c>
      <c r="D7797" t="s">
        <v>5594</v>
      </c>
      <c r="F7797" t="str">
        <f t="shared" si="275"/>
        <v>70610010</v>
      </c>
      <c r="H7797" t="s">
        <v>5508</v>
      </c>
      <c r="I7797" s="1">
        <v>45758</v>
      </c>
      <c r="K7797" s="4">
        <v>931500</v>
      </c>
    </row>
    <row r="7798" spans="1:11" hidden="1" outlineLevel="2" x14ac:dyDescent="0.35">
      <c r="A7798" t="s">
        <v>131</v>
      </c>
      <c r="B7798" s="1">
        <v>45727</v>
      </c>
      <c r="C7798" t="s">
        <v>5595</v>
      </c>
      <c r="D7798" t="s">
        <v>5595</v>
      </c>
      <c r="F7798" t="str">
        <f t="shared" si="275"/>
        <v>70610010</v>
      </c>
      <c r="H7798" t="s">
        <v>5508</v>
      </c>
      <c r="I7798" s="1">
        <v>45758</v>
      </c>
      <c r="K7798" s="4">
        <v>931500</v>
      </c>
    </row>
    <row r="7799" spans="1:11" hidden="1" outlineLevel="2" x14ac:dyDescent="0.35">
      <c r="A7799" t="s">
        <v>131</v>
      </c>
      <c r="B7799" s="1">
        <v>45727</v>
      </c>
      <c r="C7799" t="s">
        <v>5596</v>
      </c>
      <c r="D7799" t="s">
        <v>5596</v>
      </c>
      <c r="F7799" t="str">
        <f t="shared" si="275"/>
        <v>70610010</v>
      </c>
      <c r="H7799" t="s">
        <v>5508</v>
      </c>
      <c r="I7799" s="1">
        <v>45758</v>
      </c>
      <c r="K7799" s="4">
        <v>931500</v>
      </c>
    </row>
    <row r="7800" spans="1:11" hidden="1" outlineLevel="2" x14ac:dyDescent="0.35">
      <c r="A7800" t="s">
        <v>131</v>
      </c>
      <c r="B7800" s="1">
        <v>45727</v>
      </c>
      <c r="C7800" t="s">
        <v>5597</v>
      </c>
      <c r="D7800" t="s">
        <v>5597</v>
      </c>
      <c r="F7800" t="str">
        <f t="shared" si="275"/>
        <v>70610010</v>
      </c>
      <c r="H7800" t="s">
        <v>5508</v>
      </c>
      <c r="I7800" s="1">
        <v>45758</v>
      </c>
      <c r="K7800" s="4">
        <v>931500</v>
      </c>
    </row>
    <row r="7801" spans="1:11" hidden="1" outlineLevel="2" x14ac:dyDescent="0.35">
      <c r="A7801" t="s">
        <v>131</v>
      </c>
      <c r="B7801" s="1">
        <v>45728</v>
      </c>
      <c r="C7801" t="s">
        <v>5598</v>
      </c>
      <c r="D7801" t="s">
        <v>5598</v>
      </c>
      <c r="F7801" t="str">
        <f t="shared" si="275"/>
        <v>70610010</v>
      </c>
      <c r="H7801" t="s">
        <v>139</v>
      </c>
      <c r="I7801" s="1">
        <v>45728</v>
      </c>
      <c r="K7801" s="4">
        <v>400000</v>
      </c>
    </row>
    <row r="7802" spans="1:11" hidden="1" outlineLevel="2" x14ac:dyDescent="0.35">
      <c r="A7802" t="s">
        <v>131</v>
      </c>
      <c r="B7802" s="1">
        <v>45728</v>
      </c>
      <c r="C7802" t="s">
        <v>5599</v>
      </c>
      <c r="D7802" t="s">
        <v>5599</v>
      </c>
      <c r="F7802" t="str">
        <f t="shared" si="275"/>
        <v>70610010</v>
      </c>
      <c r="H7802" t="s">
        <v>139</v>
      </c>
      <c r="I7802" s="1">
        <v>45728</v>
      </c>
      <c r="K7802" s="4">
        <v>400000</v>
      </c>
    </row>
    <row r="7803" spans="1:11" hidden="1" outlineLevel="2" x14ac:dyDescent="0.35">
      <c r="A7803" t="s">
        <v>131</v>
      </c>
      <c r="B7803" s="1">
        <v>45728</v>
      </c>
      <c r="C7803" t="s">
        <v>5600</v>
      </c>
      <c r="D7803" t="s">
        <v>5600</v>
      </c>
      <c r="F7803" t="str">
        <f t="shared" si="275"/>
        <v>70610010</v>
      </c>
      <c r="H7803" t="s">
        <v>5512</v>
      </c>
      <c r="I7803" s="1">
        <v>45759</v>
      </c>
      <c r="K7803" s="4">
        <v>201000</v>
      </c>
    </row>
    <row r="7804" spans="1:11" hidden="1" outlineLevel="2" x14ac:dyDescent="0.35">
      <c r="A7804" t="s">
        <v>131</v>
      </c>
      <c r="B7804" s="1">
        <v>45728</v>
      </c>
      <c r="C7804" t="s">
        <v>5601</v>
      </c>
      <c r="D7804" t="s">
        <v>5601</v>
      </c>
      <c r="F7804" t="str">
        <f t="shared" si="275"/>
        <v>70610010</v>
      </c>
      <c r="H7804" t="s">
        <v>5602</v>
      </c>
      <c r="I7804" s="1">
        <v>45728</v>
      </c>
      <c r="K7804" s="4">
        <v>396000</v>
      </c>
    </row>
    <row r="7805" spans="1:11" hidden="1" outlineLevel="2" x14ac:dyDescent="0.35">
      <c r="A7805" t="s">
        <v>131</v>
      </c>
      <c r="B7805" s="1">
        <v>45728</v>
      </c>
      <c r="C7805" t="s">
        <v>5603</v>
      </c>
      <c r="D7805" t="s">
        <v>5603</v>
      </c>
      <c r="F7805" t="str">
        <f t="shared" si="275"/>
        <v>70610010</v>
      </c>
      <c r="H7805" t="s">
        <v>180</v>
      </c>
      <c r="I7805" s="1">
        <v>45777</v>
      </c>
      <c r="K7805" s="4">
        <v>301250</v>
      </c>
    </row>
    <row r="7806" spans="1:11" hidden="1" outlineLevel="2" x14ac:dyDescent="0.35">
      <c r="A7806" t="s">
        <v>131</v>
      </c>
      <c r="B7806" s="1">
        <v>45729</v>
      </c>
      <c r="C7806" t="s">
        <v>5606</v>
      </c>
      <c r="D7806" t="s">
        <v>5606</v>
      </c>
      <c r="F7806" t="str">
        <f t="shared" si="275"/>
        <v>70610010</v>
      </c>
      <c r="H7806" t="s">
        <v>5607</v>
      </c>
      <c r="I7806" s="1">
        <v>45777</v>
      </c>
      <c r="K7806" s="4">
        <v>14335256</v>
      </c>
    </row>
    <row r="7807" spans="1:11" hidden="1" outlineLevel="2" x14ac:dyDescent="0.35">
      <c r="A7807" t="s">
        <v>131</v>
      </c>
      <c r="B7807" s="1">
        <v>45729</v>
      </c>
      <c r="C7807" t="s">
        <v>5608</v>
      </c>
      <c r="D7807" t="s">
        <v>5608</v>
      </c>
      <c r="F7807" t="str">
        <f t="shared" si="275"/>
        <v>70610010</v>
      </c>
      <c r="H7807" t="s">
        <v>5609</v>
      </c>
      <c r="I7807" s="1">
        <v>45777</v>
      </c>
      <c r="J7807" s="4">
        <v>1040000</v>
      </c>
    </row>
    <row r="7808" spans="1:11" hidden="1" outlineLevel="2" x14ac:dyDescent="0.35">
      <c r="A7808" t="s">
        <v>131</v>
      </c>
      <c r="B7808" s="1">
        <v>45729</v>
      </c>
      <c r="C7808" t="s">
        <v>5610</v>
      </c>
      <c r="D7808" t="s">
        <v>5610</v>
      </c>
      <c r="F7808" t="str">
        <f t="shared" si="275"/>
        <v>70610010</v>
      </c>
      <c r="H7808" t="s">
        <v>5508</v>
      </c>
      <c r="I7808" s="1">
        <v>45760</v>
      </c>
      <c r="K7808" s="4">
        <v>931500</v>
      </c>
    </row>
    <row r="7809" spans="1:11" hidden="1" outlineLevel="2" x14ac:dyDescent="0.35">
      <c r="A7809" t="s">
        <v>131</v>
      </c>
      <c r="B7809" s="1">
        <v>45729</v>
      </c>
      <c r="C7809" t="s">
        <v>5610</v>
      </c>
      <c r="D7809" t="s">
        <v>5610</v>
      </c>
      <c r="F7809" t="str">
        <f t="shared" si="275"/>
        <v>70610010</v>
      </c>
      <c r="H7809" t="s">
        <v>5611</v>
      </c>
      <c r="I7809" s="1">
        <v>45760</v>
      </c>
      <c r="K7809" s="4">
        <v>-931500</v>
      </c>
    </row>
    <row r="7810" spans="1:11" hidden="1" outlineLevel="2" x14ac:dyDescent="0.35">
      <c r="A7810" t="s">
        <v>131</v>
      </c>
      <c r="B7810" s="1">
        <v>45730</v>
      </c>
      <c r="C7810" t="s">
        <v>5612</v>
      </c>
      <c r="D7810" t="s">
        <v>5612</v>
      </c>
      <c r="F7810" t="str">
        <f t="shared" si="275"/>
        <v>70610010</v>
      </c>
      <c r="H7810" t="s">
        <v>5499</v>
      </c>
      <c r="I7810" s="1">
        <v>45730</v>
      </c>
      <c r="K7810" s="4">
        <v>300000</v>
      </c>
    </row>
    <row r="7811" spans="1:11" hidden="1" outlineLevel="2" x14ac:dyDescent="0.35">
      <c r="A7811" t="s">
        <v>131</v>
      </c>
      <c r="B7811" s="1">
        <v>45730</v>
      </c>
      <c r="C7811" t="s">
        <v>5613</v>
      </c>
      <c r="D7811" t="s">
        <v>5613</v>
      </c>
      <c r="F7811" t="str">
        <f t="shared" si="275"/>
        <v>70610010</v>
      </c>
      <c r="H7811" t="s">
        <v>5499</v>
      </c>
      <c r="I7811" s="1">
        <v>45730</v>
      </c>
      <c r="K7811" s="4">
        <v>300000</v>
      </c>
    </row>
    <row r="7812" spans="1:11" hidden="1" outlineLevel="2" x14ac:dyDescent="0.35">
      <c r="A7812" t="s">
        <v>131</v>
      </c>
      <c r="B7812" s="1">
        <v>45730</v>
      </c>
      <c r="C7812" t="s">
        <v>5614</v>
      </c>
      <c r="D7812" t="s">
        <v>5614</v>
      </c>
      <c r="F7812" t="str">
        <f t="shared" si="275"/>
        <v>70610010</v>
      </c>
      <c r="H7812" t="s">
        <v>5499</v>
      </c>
      <c r="I7812" s="1">
        <v>45730</v>
      </c>
      <c r="K7812" s="4">
        <v>450000</v>
      </c>
    </row>
    <row r="7813" spans="1:11" hidden="1" outlineLevel="2" x14ac:dyDescent="0.35">
      <c r="A7813" t="s">
        <v>131</v>
      </c>
      <c r="B7813" s="1">
        <v>45730</v>
      </c>
      <c r="C7813" t="s">
        <v>5615</v>
      </c>
      <c r="D7813" t="s">
        <v>5615</v>
      </c>
      <c r="F7813" t="str">
        <f t="shared" si="275"/>
        <v>70610010</v>
      </c>
      <c r="H7813" t="s">
        <v>5512</v>
      </c>
      <c r="I7813" s="1">
        <v>45761</v>
      </c>
      <c r="K7813" s="4">
        <v>134000</v>
      </c>
    </row>
    <row r="7814" spans="1:11" hidden="1" outlineLevel="2" x14ac:dyDescent="0.35">
      <c r="A7814" t="s">
        <v>131</v>
      </c>
      <c r="B7814" s="1">
        <v>45730</v>
      </c>
      <c r="C7814" t="s">
        <v>5616</v>
      </c>
      <c r="D7814" t="s">
        <v>5616</v>
      </c>
      <c r="F7814" t="str">
        <f t="shared" si="275"/>
        <v>70610010</v>
      </c>
      <c r="H7814" t="s">
        <v>165</v>
      </c>
      <c r="I7814" s="1">
        <v>45730</v>
      </c>
      <c r="K7814" s="4">
        <v>402000</v>
      </c>
    </row>
    <row r="7815" spans="1:11" hidden="1" outlineLevel="2" x14ac:dyDescent="0.35">
      <c r="A7815" t="s">
        <v>131</v>
      </c>
      <c r="B7815" s="1">
        <v>45730</v>
      </c>
      <c r="C7815" t="s">
        <v>5617</v>
      </c>
      <c r="D7815" t="s">
        <v>5617</v>
      </c>
      <c r="F7815" t="str">
        <f t="shared" si="275"/>
        <v>70610010</v>
      </c>
      <c r="H7815" t="s">
        <v>5518</v>
      </c>
      <c r="I7815" s="1">
        <v>45761</v>
      </c>
      <c r="K7815" s="4">
        <v>150000</v>
      </c>
    </row>
    <row r="7816" spans="1:11" hidden="1" outlineLevel="2" x14ac:dyDescent="0.35">
      <c r="A7816" t="s">
        <v>131</v>
      </c>
      <c r="B7816" s="1">
        <v>45730</v>
      </c>
      <c r="C7816" t="s">
        <v>5618</v>
      </c>
      <c r="D7816" t="s">
        <v>5618</v>
      </c>
      <c r="F7816" t="str">
        <f t="shared" si="275"/>
        <v>70610010</v>
      </c>
      <c r="H7816" t="s">
        <v>5518</v>
      </c>
      <c r="I7816" s="1">
        <v>45761</v>
      </c>
      <c r="K7816" s="4">
        <v>150000</v>
      </c>
    </row>
    <row r="7817" spans="1:11" hidden="1" outlineLevel="2" x14ac:dyDescent="0.35">
      <c r="A7817" t="s">
        <v>131</v>
      </c>
      <c r="B7817" s="1">
        <v>45730</v>
      </c>
      <c r="C7817" t="s">
        <v>5619</v>
      </c>
      <c r="D7817" t="s">
        <v>5619</v>
      </c>
      <c r="F7817" t="str">
        <f t="shared" si="275"/>
        <v>70610010</v>
      </c>
      <c r="H7817" t="s">
        <v>5551</v>
      </c>
      <c r="I7817" s="1">
        <v>45730</v>
      </c>
      <c r="K7817" s="4">
        <v>300000</v>
      </c>
    </row>
    <row r="7818" spans="1:11" hidden="1" outlineLevel="2" x14ac:dyDescent="0.35">
      <c r="A7818" t="s">
        <v>131</v>
      </c>
      <c r="B7818" s="1">
        <v>45730</v>
      </c>
      <c r="C7818" t="s">
        <v>5620</v>
      </c>
      <c r="D7818" t="s">
        <v>5620</v>
      </c>
      <c r="F7818" t="str">
        <f t="shared" si="275"/>
        <v>70610010</v>
      </c>
      <c r="H7818" t="s">
        <v>5621</v>
      </c>
      <c r="I7818" s="1">
        <v>45761</v>
      </c>
      <c r="K7818" s="4">
        <v>20598381</v>
      </c>
    </row>
    <row r="7819" spans="1:11" hidden="1" outlineLevel="2" x14ac:dyDescent="0.35">
      <c r="A7819" t="s">
        <v>131</v>
      </c>
      <c r="B7819" s="1">
        <v>45730</v>
      </c>
      <c r="C7819" t="s">
        <v>5622</v>
      </c>
      <c r="D7819" t="s">
        <v>5622</v>
      </c>
      <c r="F7819" t="str">
        <f t="shared" si="275"/>
        <v>70610010</v>
      </c>
      <c r="H7819" t="s">
        <v>5508</v>
      </c>
      <c r="I7819" s="1">
        <v>45761</v>
      </c>
      <c r="K7819" s="4">
        <v>931500</v>
      </c>
    </row>
    <row r="7820" spans="1:11" hidden="1" outlineLevel="2" x14ac:dyDescent="0.35">
      <c r="A7820" t="s">
        <v>131</v>
      </c>
      <c r="B7820" s="1">
        <v>45730</v>
      </c>
      <c r="C7820" t="s">
        <v>5622</v>
      </c>
      <c r="D7820" t="s">
        <v>5622</v>
      </c>
      <c r="F7820" t="str">
        <f t="shared" si="275"/>
        <v>70610010</v>
      </c>
      <c r="H7820" t="s">
        <v>5611</v>
      </c>
      <c r="I7820" s="1">
        <v>45761</v>
      </c>
      <c r="K7820" s="4">
        <v>-931500</v>
      </c>
    </row>
    <row r="7821" spans="1:11" hidden="1" outlineLevel="2" x14ac:dyDescent="0.35">
      <c r="A7821" t="s">
        <v>131</v>
      </c>
      <c r="B7821" s="1">
        <v>45730</v>
      </c>
      <c r="C7821" t="s">
        <v>5623</v>
      </c>
      <c r="D7821" t="s">
        <v>5623</v>
      </c>
      <c r="F7821" t="str">
        <f t="shared" si="275"/>
        <v>70610010</v>
      </c>
      <c r="H7821" t="s">
        <v>5508</v>
      </c>
      <c r="I7821" s="1">
        <v>45761</v>
      </c>
      <c r="K7821" s="4">
        <v>931500</v>
      </c>
    </row>
    <row r="7822" spans="1:11" hidden="1" outlineLevel="2" x14ac:dyDescent="0.35">
      <c r="A7822" t="s">
        <v>131</v>
      </c>
      <c r="B7822" s="1">
        <v>45730</v>
      </c>
      <c r="C7822" t="s">
        <v>5623</v>
      </c>
      <c r="D7822" t="s">
        <v>5623</v>
      </c>
      <c r="F7822" t="str">
        <f t="shared" si="275"/>
        <v>70610010</v>
      </c>
      <c r="H7822" t="s">
        <v>5611</v>
      </c>
      <c r="I7822" s="1">
        <v>45761</v>
      </c>
      <c r="K7822" s="4">
        <v>-931500</v>
      </c>
    </row>
    <row r="7823" spans="1:11" hidden="1" outlineLevel="2" x14ac:dyDescent="0.35">
      <c r="A7823" t="s">
        <v>131</v>
      </c>
      <c r="B7823" s="1">
        <v>45731</v>
      </c>
      <c r="C7823" t="s">
        <v>5625</v>
      </c>
      <c r="D7823" t="s">
        <v>5625</v>
      </c>
      <c r="F7823" t="str">
        <f t="shared" si="275"/>
        <v>70610010</v>
      </c>
      <c r="H7823" t="s">
        <v>5508</v>
      </c>
      <c r="I7823" s="1">
        <v>45762</v>
      </c>
      <c r="K7823" s="4">
        <v>931500</v>
      </c>
    </row>
    <row r="7824" spans="1:11" hidden="1" outlineLevel="2" x14ac:dyDescent="0.35">
      <c r="A7824" t="s">
        <v>131</v>
      </c>
      <c r="B7824" s="1">
        <v>45731</v>
      </c>
      <c r="C7824" t="s">
        <v>5626</v>
      </c>
      <c r="D7824" t="s">
        <v>5626</v>
      </c>
      <c r="F7824" t="str">
        <f t="shared" si="275"/>
        <v>70610010</v>
      </c>
      <c r="H7824" t="s">
        <v>5508</v>
      </c>
      <c r="I7824" s="1">
        <v>45762</v>
      </c>
      <c r="K7824" s="4">
        <v>931500</v>
      </c>
    </row>
    <row r="7825" spans="1:11" hidden="1" outlineLevel="2" x14ac:dyDescent="0.35">
      <c r="A7825" t="s">
        <v>131</v>
      </c>
      <c r="B7825" s="1">
        <v>45731</v>
      </c>
      <c r="C7825" t="s">
        <v>5627</v>
      </c>
      <c r="D7825" t="s">
        <v>5627</v>
      </c>
      <c r="F7825" t="str">
        <f t="shared" si="275"/>
        <v>70610010</v>
      </c>
      <c r="H7825" t="s">
        <v>5508</v>
      </c>
      <c r="I7825" s="1">
        <v>45762</v>
      </c>
      <c r="K7825" s="4">
        <v>931500</v>
      </c>
    </row>
    <row r="7826" spans="1:11" hidden="1" outlineLevel="2" x14ac:dyDescent="0.35">
      <c r="A7826" t="s">
        <v>131</v>
      </c>
      <c r="B7826" s="1">
        <v>45731</v>
      </c>
      <c r="C7826" t="s">
        <v>5628</v>
      </c>
      <c r="D7826" t="s">
        <v>5628</v>
      </c>
      <c r="F7826" t="str">
        <f t="shared" si="275"/>
        <v>70610010</v>
      </c>
      <c r="H7826" t="s">
        <v>5508</v>
      </c>
      <c r="I7826" s="1">
        <v>45762</v>
      </c>
      <c r="K7826" s="4">
        <v>931500</v>
      </c>
    </row>
    <row r="7827" spans="1:11" hidden="1" outlineLevel="2" x14ac:dyDescent="0.35">
      <c r="A7827" t="s">
        <v>131</v>
      </c>
      <c r="B7827" s="1">
        <v>45732</v>
      </c>
      <c r="C7827" t="s">
        <v>5629</v>
      </c>
      <c r="D7827" t="s">
        <v>5629</v>
      </c>
      <c r="F7827" t="str">
        <f t="shared" si="275"/>
        <v>70610010</v>
      </c>
      <c r="H7827" t="s">
        <v>5508</v>
      </c>
      <c r="I7827" s="1">
        <v>45763</v>
      </c>
      <c r="K7827" s="4">
        <v>7347902</v>
      </c>
    </row>
    <row r="7828" spans="1:11" hidden="1" outlineLevel="2" x14ac:dyDescent="0.35">
      <c r="A7828" t="s">
        <v>131</v>
      </c>
      <c r="B7828" s="1">
        <v>45732</v>
      </c>
      <c r="C7828" t="s">
        <v>5632</v>
      </c>
      <c r="D7828" t="s">
        <v>5632</v>
      </c>
      <c r="F7828" t="str">
        <f t="shared" si="275"/>
        <v>70610010</v>
      </c>
      <c r="H7828" t="s">
        <v>5508</v>
      </c>
      <c r="I7828" s="1">
        <v>45763</v>
      </c>
      <c r="K7828" s="4">
        <v>7347902</v>
      </c>
    </row>
    <row r="7829" spans="1:11" hidden="1" outlineLevel="2" x14ac:dyDescent="0.35">
      <c r="A7829" t="s">
        <v>131</v>
      </c>
      <c r="B7829" s="1">
        <v>45733</v>
      </c>
      <c r="C7829" t="s">
        <v>5633</v>
      </c>
      <c r="D7829" t="s">
        <v>5633</v>
      </c>
      <c r="F7829" t="str">
        <f t="shared" si="275"/>
        <v>70610010</v>
      </c>
      <c r="H7829" t="s">
        <v>5508</v>
      </c>
      <c r="I7829" s="1">
        <v>45764</v>
      </c>
      <c r="K7829" s="4">
        <v>1863000</v>
      </c>
    </row>
    <row r="7830" spans="1:11" hidden="1" outlineLevel="2" x14ac:dyDescent="0.35">
      <c r="A7830" t="s">
        <v>131</v>
      </c>
      <c r="B7830" s="1">
        <v>45733</v>
      </c>
      <c r="C7830" t="s">
        <v>5634</v>
      </c>
      <c r="D7830" t="s">
        <v>5634</v>
      </c>
      <c r="F7830" t="str">
        <f t="shared" si="275"/>
        <v>70610010</v>
      </c>
      <c r="H7830" t="s">
        <v>5508</v>
      </c>
      <c r="I7830" s="1">
        <v>45764</v>
      </c>
      <c r="K7830" s="4">
        <v>745200</v>
      </c>
    </row>
    <row r="7831" spans="1:11" hidden="1" outlineLevel="2" x14ac:dyDescent="0.35">
      <c r="A7831" t="s">
        <v>131</v>
      </c>
      <c r="B7831" s="1">
        <v>45733</v>
      </c>
      <c r="C7831" t="s">
        <v>5635</v>
      </c>
      <c r="D7831" t="s">
        <v>5635</v>
      </c>
      <c r="F7831" t="str">
        <f t="shared" si="275"/>
        <v>70610010</v>
      </c>
      <c r="H7831" t="s">
        <v>5508</v>
      </c>
      <c r="I7831" s="1">
        <v>45764</v>
      </c>
      <c r="K7831" s="4">
        <v>745200</v>
      </c>
    </row>
    <row r="7832" spans="1:11" hidden="1" outlineLevel="2" x14ac:dyDescent="0.35">
      <c r="A7832" t="s">
        <v>131</v>
      </c>
      <c r="B7832" s="1">
        <v>45733</v>
      </c>
      <c r="C7832" t="s">
        <v>5636</v>
      </c>
      <c r="D7832" t="s">
        <v>5636</v>
      </c>
      <c r="F7832" t="str">
        <f t="shared" si="275"/>
        <v>70610010</v>
      </c>
      <c r="H7832" t="s">
        <v>5508</v>
      </c>
      <c r="I7832" s="1">
        <v>45764</v>
      </c>
      <c r="K7832" s="4">
        <v>4657500</v>
      </c>
    </row>
    <row r="7833" spans="1:11" hidden="1" outlineLevel="2" x14ac:dyDescent="0.35">
      <c r="A7833" t="s">
        <v>131</v>
      </c>
      <c r="B7833" s="1">
        <v>45733</v>
      </c>
      <c r="C7833" t="s">
        <v>5637</v>
      </c>
      <c r="D7833" t="s">
        <v>5637</v>
      </c>
      <c r="F7833" t="str">
        <f t="shared" si="275"/>
        <v>70610010</v>
      </c>
      <c r="H7833" t="s">
        <v>5508</v>
      </c>
      <c r="I7833" s="1">
        <v>45764</v>
      </c>
      <c r="K7833" s="4">
        <v>4657500</v>
      </c>
    </row>
    <row r="7834" spans="1:11" hidden="1" outlineLevel="2" x14ac:dyDescent="0.35">
      <c r="A7834" t="s">
        <v>131</v>
      </c>
      <c r="B7834" s="1">
        <v>45733</v>
      </c>
      <c r="C7834" t="s">
        <v>5638</v>
      </c>
      <c r="D7834" t="s">
        <v>5638</v>
      </c>
      <c r="F7834" t="str">
        <f t="shared" si="275"/>
        <v>70610010</v>
      </c>
      <c r="H7834" t="s">
        <v>5508</v>
      </c>
      <c r="I7834" s="1">
        <v>45764</v>
      </c>
      <c r="K7834" s="4">
        <v>258038</v>
      </c>
    </row>
    <row r="7835" spans="1:11" hidden="1" outlineLevel="2" x14ac:dyDescent="0.35">
      <c r="A7835" t="s">
        <v>131</v>
      </c>
      <c r="B7835" s="1">
        <v>45733</v>
      </c>
      <c r="C7835" t="s">
        <v>5639</v>
      </c>
      <c r="D7835" t="s">
        <v>5639</v>
      </c>
      <c r="F7835" t="str">
        <f t="shared" si="275"/>
        <v>70610010</v>
      </c>
      <c r="H7835" t="s">
        <v>5508</v>
      </c>
      <c r="I7835" s="1">
        <v>45764</v>
      </c>
      <c r="K7835" s="4">
        <v>444800</v>
      </c>
    </row>
    <row r="7836" spans="1:11" hidden="1" outlineLevel="2" x14ac:dyDescent="0.35">
      <c r="A7836" t="s">
        <v>131</v>
      </c>
      <c r="B7836" s="1">
        <v>45733</v>
      </c>
      <c r="C7836" t="s">
        <v>5640</v>
      </c>
      <c r="D7836" t="s">
        <v>5640</v>
      </c>
      <c r="F7836" t="str">
        <f t="shared" ref="F7836:F7899" si="276">"70610010"</f>
        <v>70610010</v>
      </c>
      <c r="H7836" t="s">
        <v>5518</v>
      </c>
      <c r="I7836" s="1">
        <v>45764</v>
      </c>
      <c r="K7836" s="4">
        <v>600000</v>
      </c>
    </row>
    <row r="7837" spans="1:11" hidden="1" outlineLevel="2" x14ac:dyDescent="0.35">
      <c r="A7837" t="s">
        <v>131</v>
      </c>
      <c r="B7837" s="1">
        <v>45733</v>
      </c>
      <c r="C7837" t="s">
        <v>5641</v>
      </c>
      <c r="D7837" t="s">
        <v>5641</v>
      </c>
      <c r="F7837" t="str">
        <f t="shared" si="276"/>
        <v>70610010</v>
      </c>
      <c r="H7837" t="s">
        <v>5518</v>
      </c>
      <c r="I7837" s="1">
        <v>45764</v>
      </c>
      <c r="K7837" s="4">
        <v>150000</v>
      </c>
    </row>
    <row r="7838" spans="1:11" hidden="1" outlineLevel="2" x14ac:dyDescent="0.35">
      <c r="A7838" t="s">
        <v>131</v>
      </c>
      <c r="B7838" s="1">
        <v>45733</v>
      </c>
      <c r="C7838" t="s">
        <v>5642</v>
      </c>
      <c r="D7838" t="s">
        <v>5642</v>
      </c>
      <c r="F7838" t="str">
        <f t="shared" si="276"/>
        <v>70610010</v>
      </c>
      <c r="H7838" t="s">
        <v>5518</v>
      </c>
      <c r="I7838" s="1">
        <v>45764</v>
      </c>
      <c r="K7838" s="4">
        <v>150000</v>
      </c>
    </row>
    <row r="7839" spans="1:11" hidden="1" outlineLevel="2" x14ac:dyDescent="0.35">
      <c r="A7839" t="s">
        <v>131</v>
      </c>
      <c r="B7839" s="1">
        <v>45733</v>
      </c>
      <c r="C7839" t="s">
        <v>5643</v>
      </c>
      <c r="D7839" t="s">
        <v>5643</v>
      </c>
      <c r="F7839" t="str">
        <f t="shared" si="276"/>
        <v>70610010</v>
      </c>
      <c r="H7839" t="s">
        <v>5518</v>
      </c>
      <c r="I7839" s="1">
        <v>45764</v>
      </c>
      <c r="K7839" s="4">
        <v>150000</v>
      </c>
    </row>
    <row r="7840" spans="1:11" hidden="1" outlineLevel="2" x14ac:dyDescent="0.35">
      <c r="A7840" t="s">
        <v>131</v>
      </c>
      <c r="B7840" s="1">
        <v>45733</v>
      </c>
      <c r="C7840" t="s">
        <v>5644</v>
      </c>
      <c r="D7840" t="s">
        <v>5644</v>
      </c>
      <c r="F7840" t="str">
        <f t="shared" si="276"/>
        <v>70610010</v>
      </c>
      <c r="H7840" t="s">
        <v>5518</v>
      </c>
      <c r="I7840" s="1">
        <v>45764</v>
      </c>
      <c r="K7840" s="4">
        <v>150000</v>
      </c>
    </row>
    <row r="7841" spans="1:11" hidden="1" outlineLevel="2" x14ac:dyDescent="0.35">
      <c r="A7841" t="s">
        <v>131</v>
      </c>
      <c r="B7841" s="1">
        <v>45733</v>
      </c>
      <c r="C7841" t="s">
        <v>5645</v>
      </c>
      <c r="D7841" t="s">
        <v>5645</v>
      </c>
      <c r="F7841" t="str">
        <f t="shared" si="276"/>
        <v>70610010</v>
      </c>
      <c r="H7841" t="s">
        <v>5518</v>
      </c>
      <c r="I7841" s="1">
        <v>45764</v>
      </c>
      <c r="K7841" s="4">
        <v>150000</v>
      </c>
    </row>
    <row r="7842" spans="1:11" hidden="1" outlineLevel="2" x14ac:dyDescent="0.35">
      <c r="A7842" t="s">
        <v>131</v>
      </c>
      <c r="B7842" s="1">
        <v>45733</v>
      </c>
      <c r="C7842" t="s">
        <v>5646</v>
      </c>
      <c r="D7842" t="s">
        <v>5646</v>
      </c>
      <c r="F7842" t="str">
        <f t="shared" si="276"/>
        <v>70610010</v>
      </c>
      <c r="H7842" t="s">
        <v>5518</v>
      </c>
      <c r="I7842" s="1">
        <v>45764</v>
      </c>
      <c r="K7842" s="4">
        <v>150000</v>
      </c>
    </row>
    <row r="7843" spans="1:11" hidden="1" outlineLevel="2" x14ac:dyDescent="0.35">
      <c r="A7843" t="s">
        <v>131</v>
      </c>
      <c r="B7843" s="1">
        <v>45733</v>
      </c>
      <c r="C7843" t="s">
        <v>5647</v>
      </c>
      <c r="D7843" t="s">
        <v>5647</v>
      </c>
      <c r="F7843" t="str">
        <f t="shared" si="276"/>
        <v>70610010</v>
      </c>
      <c r="H7843" t="s">
        <v>5518</v>
      </c>
      <c r="I7843" s="1">
        <v>45764</v>
      </c>
      <c r="K7843" s="4">
        <v>150000</v>
      </c>
    </row>
    <row r="7844" spans="1:11" hidden="1" outlineLevel="2" x14ac:dyDescent="0.35">
      <c r="A7844" t="s">
        <v>131</v>
      </c>
      <c r="B7844" s="1">
        <v>45733</v>
      </c>
      <c r="C7844" t="s">
        <v>5648</v>
      </c>
      <c r="D7844" t="s">
        <v>5648</v>
      </c>
      <c r="F7844" t="str">
        <f t="shared" si="276"/>
        <v>70610010</v>
      </c>
      <c r="H7844" t="s">
        <v>5518</v>
      </c>
      <c r="I7844" s="1">
        <v>45764</v>
      </c>
      <c r="K7844" s="4">
        <v>150000</v>
      </c>
    </row>
    <row r="7845" spans="1:11" hidden="1" outlineLevel="2" x14ac:dyDescent="0.35">
      <c r="A7845" t="s">
        <v>131</v>
      </c>
      <c r="B7845" s="1">
        <v>45733</v>
      </c>
      <c r="C7845" t="s">
        <v>5649</v>
      </c>
      <c r="D7845" t="s">
        <v>5649</v>
      </c>
      <c r="F7845" t="str">
        <f t="shared" si="276"/>
        <v>70610010</v>
      </c>
      <c r="H7845" t="s">
        <v>5518</v>
      </c>
      <c r="I7845" s="1">
        <v>45764</v>
      </c>
      <c r="K7845" s="4">
        <v>150000</v>
      </c>
    </row>
    <row r="7846" spans="1:11" hidden="1" outlineLevel="2" x14ac:dyDescent="0.35">
      <c r="A7846" t="s">
        <v>131</v>
      </c>
      <c r="B7846" s="1">
        <v>45733</v>
      </c>
      <c r="C7846" t="s">
        <v>5650</v>
      </c>
      <c r="D7846" t="s">
        <v>5650</v>
      </c>
      <c r="F7846" t="str">
        <f t="shared" si="276"/>
        <v>70610010</v>
      </c>
      <c r="H7846" t="s">
        <v>5518</v>
      </c>
      <c r="I7846" s="1">
        <v>45764</v>
      </c>
      <c r="K7846" s="4">
        <v>150000</v>
      </c>
    </row>
    <row r="7847" spans="1:11" hidden="1" outlineLevel="2" x14ac:dyDescent="0.35">
      <c r="A7847" t="s">
        <v>131</v>
      </c>
      <c r="B7847" s="1">
        <v>45733</v>
      </c>
      <c r="C7847" t="s">
        <v>5651</v>
      </c>
      <c r="D7847" t="s">
        <v>5651</v>
      </c>
      <c r="F7847" t="str">
        <f t="shared" si="276"/>
        <v>70610010</v>
      </c>
      <c r="H7847" t="s">
        <v>5518</v>
      </c>
      <c r="I7847" s="1">
        <v>45764</v>
      </c>
      <c r="K7847" s="4">
        <v>150000</v>
      </c>
    </row>
    <row r="7848" spans="1:11" hidden="1" outlineLevel="2" x14ac:dyDescent="0.35">
      <c r="A7848" t="s">
        <v>131</v>
      </c>
      <c r="B7848" s="1">
        <v>45733</v>
      </c>
      <c r="C7848" t="s">
        <v>5652</v>
      </c>
      <c r="D7848" t="s">
        <v>5652</v>
      </c>
      <c r="F7848" t="str">
        <f t="shared" si="276"/>
        <v>70610010</v>
      </c>
      <c r="H7848" t="s">
        <v>5518</v>
      </c>
      <c r="I7848" s="1">
        <v>45764</v>
      </c>
      <c r="K7848" s="4">
        <v>150000</v>
      </c>
    </row>
    <row r="7849" spans="1:11" hidden="1" outlineLevel="2" x14ac:dyDescent="0.35">
      <c r="A7849" t="s">
        <v>131</v>
      </c>
      <c r="B7849" s="1">
        <v>45733</v>
      </c>
      <c r="C7849" t="s">
        <v>5653</v>
      </c>
      <c r="D7849" t="s">
        <v>5653</v>
      </c>
      <c r="F7849" t="str">
        <f t="shared" si="276"/>
        <v>70610010</v>
      </c>
      <c r="H7849" t="s">
        <v>5518</v>
      </c>
      <c r="I7849" s="1">
        <v>45764</v>
      </c>
      <c r="K7849" s="4">
        <v>150000</v>
      </c>
    </row>
    <row r="7850" spans="1:11" hidden="1" outlineLevel="2" x14ac:dyDescent="0.35">
      <c r="A7850" t="s">
        <v>131</v>
      </c>
      <c r="B7850" s="1">
        <v>45733</v>
      </c>
      <c r="C7850" t="s">
        <v>5654</v>
      </c>
      <c r="D7850" t="s">
        <v>5654</v>
      </c>
      <c r="F7850" t="str">
        <f t="shared" si="276"/>
        <v>70610010</v>
      </c>
      <c r="H7850" t="s">
        <v>5518</v>
      </c>
      <c r="I7850" s="1">
        <v>45764</v>
      </c>
      <c r="K7850" s="4">
        <v>150000</v>
      </c>
    </row>
    <row r="7851" spans="1:11" hidden="1" outlineLevel="2" x14ac:dyDescent="0.35">
      <c r="A7851" t="s">
        <v>131</v>
      </c>
      <c r="B7851" s="1">
        <v>45733</v>
      </c>
      <c r="C7851" t="s">
        <v>5655</v>
      </c>
      <c r="D7851" t="s">
        <v>5655</v>
      </c>
      <c r="F7851" t="str">
        <f t="shared" si="276"/>
        <v>70610010</v>
      </c>
      <c r="H7851" t="s">
        <v>5518</v>
      </c>
      <c r="I7851" s="1">
        <v>45764</v>
      </c>
      <c r="K7851" s="4">
        <v>150000</v>
      </c>
    </row>
    <row r="7852" spans="1:11" hidden="1" outlineLevel="2" x14ac:dyDescent="0.35">
      <c r="A7852" t="s">
        <v>131</v>
      </c>
      <c r="B7852" s="1">
        <v>45733</v>
      </c>
      <c r="C7852" t="s">
        <v>5656</v>
      </c>
      <c r="D7852" t="s">
        <v>5656</v>
      </c>
      <c r="F7852" t="str">
        <f t="shared" si="276"/>
        <v>70610010</v>
      </c>
      <c r="H7852" t="s">
        <v>5518</v>
      </c>
      <c r="I7852" s="1">
        <v>45764</v>
      </c>
      <c r="K7852" s="4">
        <v>150000</v>
      </c>
    </row>
    <row r="7853" spans="1:11" hidden="1" outlineLevel="2" x14ac:dyDescent="0.35">
      <c r="A7853" t="s">
        <v>131</v>
      </c>
      <c r="B7853" s="1">
        <v>45733</v>
      </c>
      <c r="C7853" t="s">
        <v>5657</v>
      </c>
      <c r="D7853" t="s">
        <v>5657</v>
      </c>
      <c r="F7853" t="str">
        <f t="shared" si="276"/>
        <v>70610010</v>
      </c>
      <c r="H7853" t="s">
        <v>5518</v>
      </c>
      <c r="I7853" s="1">
        <v>45764</v>
      </c>
      <c r="K7853" s="4">
        <v>150000</v>
      </c>
    </row>
    <row r="7854" spans="1:11" hidden="1" outlineLevel="2" x14ac:dyDescent="0.35">
      <c r="A7854" t="s">
        <v>131</v>
      </c>
      <c r="B7854" s="1">
        <v>45733</v>
      </c>
      <c r="C7854" t="s">
        <v>5658</v>
      </c>
      <c r="D7854" t="s">
        <v>5658</v>
      </c>
      <c r="F7854" t="str">
        <f t="shared" si="276"/>
        <v>70610010</v>
      </c>
      <c r="H7854" t="s">
        <v>5518</v>
      </c>
      <c r="I7854" s="1">
        <v>45764</v>
      </c>
      <c r="K7854" s="4">
        <v>150000</v>
      </c>
    </row>
    <row r="7855" spans="1:11" hidden="1" outlineLevel="2" x14ac:dyDescent="0.35">
      <c r="A7855" t="s">
        <v>131</v>
      </c>
      <c r="B7855" s="1">
        <v>45733</v>
      </c>
      <c r="C7855" t="s">
        <v>5659</v>
      </c>
      <c r="D7855" t="s">
        <v>5659</v>
      </c>
      <c r="F7855" t="str">
        <f t="shared" si="276"/>
        <v>70610010</v>
      </c>
      <c r="H7855" t="s">
        <v>5518</v>
      </c>
      <c r="I7855" s="1">
        <v>45764</v>
      </c>
      <c r="K7855" s="4">
        <v>150000</v>
      </c>
    </row>
    <row r="7856" spans="1:11" hidden="1" outlineLevel="2" x14ac:dyDescent="0.35">
      <c r="A7856" t="s">
        <v>131</v>
      </c>
      <c r="B7856" s="1">
        <v>45733</v>
      </c>
      <c r="C7856" t="s">
        <v>5660</v>
      </c>
      <c r="D7856" t="s">
        <v>5660</v>
      </c>
      <c r="F7856" t="str">
        <f t="shared" si="276"/>
        <v>70610010</v>
      </c>
      <c r="H7856" t="s">
        <v>5518</v>
      </c>
      <c r="I7856" s="1">
        <v>45764</v>
      </c>
      <c r="K7856" s="4">
        <v>150000</v>
      </c>
    </row>
    <row r="7857" spans="1:11" hidden="1" outlineLevel="2" x14ac:dyDescent="0.35">
      <c r="A7857" t="s">
        <v>131</v>
      </c>
      <c r="B7857" s="1">
        <v>45733</v>
      </c>
      <c r="C7857" t="s">
        <v>5661</v>
      </c>
      <c r="D7857" t="s">
        <v>5661</v>
      </c>
      <c r="F7857" t="str">
        <f t="shared" si="276"/>
        <v>70610010</v>
      </c>
      <c r="H7857" t="s">
        <v>5518</v>
      </c>
      <c r="I7857" s="1">
        <v>45764</v>
      </c>
      <c r="K7857" s="4">
        <v>150000</v>
      </c>
    </row>
    <row r="7858" spans="1:11" hidden="1" outlineLevel="2" x14ac:dyDescent="0.35">
      <c r="A7858" t="s">
        <v>131</v>
      </c>
      <c r="B7858" s="1">
        <v>45733</v>
      </c>
      <c r="C7858" t="s">
        <v>5662</v>
      </c>
      <c r="D7858" t="s">
        <v>5662</v>
      </c>
      <c r="F7858" t="str">
        <f t="shared" si="276"/>
        <v>70610010</v>
      </c>
      <c r="H7858" t="s">
        <v>5518</v>
      </c>
      <c r="I7858" s="1">
        <v>45764</v>
      </c>
      <c r="K7858" s="4">
        <v>300000</v>
      </c>
    </row>
    <row r="7859" spans="1:11" hidden="1" outlineLevel="2" x14ac:dyDescent="0.35">
      <c r="A7859" t="s">
        <v>131</v>
      </c>
      <c r="B7859" s="1">
        <v>45733</v>
      </c>
      <c r="C7859" t="s">
        <v>5663</v>
      </c>
      <c r="D7859" t="s">
        <v>5663</v>
      </c>
      <c r="F7859" t="str">
        <f t="shared" si="276"/>
        <v>70610010</v>
      </c>
      <c r="H7859" t="s">
        <v>5518</v>
      </c>
      <c r="I7859" s="1">
        <v>45764</v>
      </c>
      <c r="K7859" s="4">
        <v>150000</v>
      </c>
    </row>
    <row r="7860" spans="1:11" hidden="1" outlineLevel="2" x14ac:dyDescent="0.35">
      <c r="A7860" t="s">
        <v>131</v>
      </c>
      <c r="B7860" s="1">
        <v>45733</v>
      </c>
      <c r="C7860" t="s">
        <v>5664</v>
      </c>
      <c r="D7860" t="s">
        <v>5664</v>
      </c>
      <c r="F7860" t="str">
        <f t="shared" si="276"/>
        <v>70610010</v>
      </c>
      <c r="H7860" t="s">
        <v>5518</v>
      </c>
      <c r="I7860" s="1">
        <v>45764</v>
      </c>
      <c r="K7860" s="4">
        <v>150000</v>
      </c>
    </row>
    <row r="7861" spans="1:11" hidden="1" outlineLevel="2" x14ac:dyDescent="0.35">
      <c r="A7861" t="s">
        <v>131</v>
      </c>
      <c r="B7861" s="1">
        <v>45733</v>
      </c>
      <c r="C7861" t="s">
        <v>5665</v>
      </c>
      <c r="D7861" t="s">
        <v>5665</v>
      </c>
      <c r="F7861" t="str">
        <f t="shared" si="276"/>
        <v>70610010</v>
      </c>
      <c r="H7861" t="s">
        <v>5581</v>
      </c>
      <c r="I7861" s="1">
        <v>45764</v>
      </c>
      <c r="K7861" s="4">
        <v>2423070</v>
      </c>
    </row>
    <row r="7862" spans="1:11" hidden="1" outlineLevel="2" x14ac:dyDescent="0.35">
      <c r="A7862" t="s">
        <v>131</v>
      </c>
      <c r="B7862" s="1">
        <v>45733</v>
      </c>
      <c r="C7862" t="s">
        <v>5665</v>
      </c>
      <c r="D7862" t="s">
        <v>5665</v>
      </c>
      <c r="F7862" t="str">
        <f t="shared" si="276"/>
        <v>70610010</v>
      </c>
      <c r="H7862" t="s">
        <v>5666</v>
      </c>
      <c r="I7862" s="1">
        <v>45764</v>
      </c>
      <c r="K7862" s="4">
        <v>-2423070</v>
      </c>
    </row>
    <row r="7863" spans="1:11" hidden="1" outlineLevel="2" x14ac:dyDescent="0.35">
      <c r="A7863" t="s">
        <v>131</v>
      </c>
      <c r="B7863" s="1">
        <v>45733</v>
      </c>
      <c r="C7863" t="s">
        <v>5667</v>
      </c>
      <c r="D7863" t="s">
        <v>5667</v>
      </c>
      <c r="F7863" t="str">
        <f t="shared" si="276"/>
        <v>70610010</v>
      </c>
      <c r="H7863" t="s">
        <v>5581</v>
      </c>
      <c r="I7863" s="1">
        <v>45764</v>
      </c>
      <c r="K7863" s="4">
        <v>17720532</v>
      </c>
    </row>
    <row r="7864" spans="1:11" hidden="1" outlineLevel="2" x14ac:dyDescent="0.35">
      <c r="A7864" t="s">
        <v>131</v>
      </c>
      <c r="B7864" s="1">
        <v>45733</v>
      </c>
      <c r="C7864" t="s">
        <v>5667</v>
      </c>
      <c r="D7864" t="s">
        <v>5667</v>
      </c>
      <c r="F7864" t="str">
        <f t="shared" si="276"/>
        <v>70610010</v>
      </c>
      <c r="H7864" t="s">
        <v>5666</v>
      </c>
      <c r="I7864" s="1">
        <v>45764</v>
      </c>
      <c r="K7864" s="4">
        <v>-17720532</v>
      </c>
    </row>
    <row r="7865" spans="1:11" hidden="1" outlineLevel="2" x14ac:dyDescent="0.35">
      <c r="A7865" t="s">
        <v>131</v>
      </c>
      <c r="B7865" s="1">
        <v>45734</v>
      </c>
      <c r="C7865" t="s">
        <v>5670</v>
      </c>
      <c r="D7865" t="s">
        <v>5670</v>
      </c>
      <c r="F7865" t="str">
        <f t="shared" si="276"/>
        <v>70610010</v>
      </c>
      <c r="H7865" t="s">
        <v>5671</v>
      </c>
      <c r="I7865" s="1">
        <v>45734</v>
      </c>
      <c r="K7865" s="4">
        <v>1000000</v>
      </c>
    </row>
    <row r="7866" spans="1:11" hidden="1" outlineLevel="2" x14ac:dyDescent="0.35">
      <c r="A7866" t="s">
        <v>131</v>
      </c>
      <c r="B7866" s="1">
        <v>45734</v>
      </c>
      <c r="C7866" t="s">
        <v>5672</v>
      </c>
      <c r="D7866" t="s">
        <v>5672</v>
      </c>
      <c r="F7866" t="str">
        <f t="shared" si="276"/>
        <v>70610010</v>
      </c>
      <c r="H7866" t="s">
        <v>5516</v>
      </c>
      <c r="I7866" s="1">
        <v>45765</v>
      </c>
      <c r="K7866" s="4">
        <v>130000</v>
      </c>
    </row>
    <row r="7867" spans="1:11" hidden="1" outlineLevel="2" x14ac:dyDescent="0.35">
      <c r="A7867" t="s">
        <v>131</v>
      </c>
      <c r="B7867" s="1">
        <v>45734</v>
      </c>
      <c r="C7867" t="s">
        <v>5673</v>
      </c>
      <c r="D7867" t="s">
        <v>5673</v>
      </c>
      <c r="F7867" t="str">
        <f t="shared" si="276"/>
        <v>70610010</v>
      </c>
      <c r="H7867" t="s">
        <v>5674</v>
      </c>
      <c r="I7867" s="1">
        <v>45765</v>
      </c>
      <c r="K7867" s="4">
        <v>8778000</v>
      </c>
    </row>
    <row r="7868" spans="1:11" hidden="1" outlineLevel="2" x14ac:dyDescent="0.35">
      <c r="A7868" t="s">
        <v>131</v>
      </c>
      <c r="B7868" s="1">
        <v>45734</v>
      </c>
      <c r="C7868" t="s">
        <v>5675</v>
      </c>
      <c r="D7868" t="s">
        <v>5675</v>
      </c>
      <c r="F7868" t="str">
        <f t="shared" si="276"/>
        <v>70610010</v>
      </c>
      <c r="H7868" t="s">
        <v>5518</v>
      </c>
      <c r="I7868" s="1">
        <v>45765</v>
      </c>
      <c r="K7868" s="4">
        <v>150000</v>
      </c>
    </row>
    <row r="7869" spans="1:11" hidden="1" outlineLevel="2" x14ac:dyDescent="0.35">
      <c r="A7869" t="s">
        <v>131</v>
      </c>
      <c r="B7869" s="1">
        <v>45734</v>
      </c>
      <c r="C7869" t="s">
        <v>5675</v>
      </c>
      <c r="D7869" t="s">
        <v>5675</v>
      </c>
      <c r="F7869" t="str">
        <f t="shared" si="276"/>
        <v>70610010</v>
      </c>
      <c r="H7869" t="s">
        <v>5518</v>
      </c>
      <c r="I7869" s="1">
        <v>45765</v>
      </c>
      <c r="K7869" s="4">
        <v>150000</v>
      </c>
    </row>
    <row r="7870" spans="1:11" hidden="1" outlineLevel="2" x14ac:dyDescent="0.35">
      <c r="A7870" t="s">
        <v>131</v>
      </c>
      <c r="B7870" s="1">
        <v>45734</v>
      </c>
      <c r="C7870" t="s">
        <v>5675</v>
      </c>
      <c r="D7870" t="s">
        <v>5675</v>
      </c>
      <c r="F7870" t="str">
        <f t="shared" si="276"/>
        <v>70610010</v>
      </c>
      <c r="H7870" t="s">
        <v>5676</v>
      </c>
      <c r="I7870" s="1">
        <v>45765</v>
      </c>
      <c r="K7870" s="4">
        <v>-150000</v>
      </c>
    </row>
    <row r="7871" spans="1:11" hidden="1" outlineLevel="2" x14ac:dyDescent="0.35">
      <c r="A7871" t="s">
        <v>131</v>
      </c>
      <c r="B7871" s="1">
        <v>45734</v>
      </c>
      <c r="C7871" t="s">
        <v>5677</v>
      </c>
      <c r="D7871" t="s">
        <v>5677</v>
      </c>
      <c r="F7871" t="str">
        <f t="shared" si="276"/>
        <v>70610010</v>
      </c>
      <c r="H7871" t="s">
        <v>5551</v>
      </c>
      <c r="I7871" s="1">
        <v>45734</v>
      </c>
      <c r="K7871" s="4">
        <v>300000</v>
      </c>
    </row>
    <row r="7872" spans="1:11" hidden="1" outlineLevel="2" x14ac:dyDescent="0.35">
      <c r="A7872" t="s">
        <v>131</v>
      </c>
      <c r="B7872" s="1">
        <v>45734</v>
      </c>
      <c r="C7872" t="s">
        <v>5677</v>
      </c>
      <c r="D7872" t="s">
        <v>5677</v>
      </c>
      <c r="F7872" t="str">
        <f t="shared" si="276"/>
        <v>70610010</v>
      </c>
      <c r="H7872" t="s">
        <v>5551</v>
      </c>
      <c r="I7872" s="1">
        <v>45734</v>
      </c>
      <c r="K7872" s="4">
        <v>300000</v>
      </c>
    </row>
    <row r="7873" spans="1:11" hidden="1" outlineLevel="2" x14ac:dyDescent="0.35">
      <c r="A7873" t="s">
        <v>131</v>
      </c>
      <c r="B7873" s="1">
        <v>45734</v>
      </c>
      <c r="C7873" t="s">
        <v>5677</v>
      </c>
      <c r="D7873" t="s">
        <v>5677</v>
      </c>
      <c r="F7873" t="str">
        <f t="shared" si="276"/>
        <v>70610010</v>
      </c>
      <c r="H7873" t="s">
        <v>5678</v>
      </c>
      <c r="I7873" s="1">
        <v>45734</v>
      </c>
      <c r="K7873" s="4">
        <v>-300000</v>
      </c>
    </row>
    <row r="7874" spans="1:11" hidden="1" outlineLevel="2" x14ac:dyDescent="0.35">
      <c r="A7874" t="s">
        <v>131</v>
      </c>
      <c r="B7874" s="1">
        <v>45734</v>
      </c>
      <c r="C7874" t="s">
        <v>5679</v>
      </c>
      <c r="D7874" t="s">
        <v>5679</v>
      </c>
      <c r="F7874" t="str">
        <f t="shared" si="276"/>
        <v>70610010</v>
      </c>
      <c r="H7874" t="s">
        <v>5522</v>
      </c>
      <c r="I7874" s="1">
        <v>45777</v>
      </c>
      <c r="K7874" s="4">
        <v>132000</v>
      </c>
    </row>
    <row r="7875" spans="1:11" hidden="1" outlineLevel="2" x14ac:dyDescent="0.35">
      <c r="A7875" t="s">
        <v>131</v>
      </c>
      <c r="B7875" s="1">
        <v>45734</v>
      </c>
      <c r="C7875" t="s">
        <v>5679</v>
      </c>
      <c r="D7875" t="s">
        <v>5679</v>
      </c>
      <c r="F7875" t="str">
        <f t="shared" si="276"/>
        <v>70610010</v>
      </c>
      <c r="H7875" t="s">
        <v>5522</v>
      </c>
      <c r="I7875" s="1">
        <v>45777</v>
      </c>
      <c r="K7875" s="4">
        <v>132000</v>
      </c>
    </row>
    <row r="7876" spans="1:11" hidden="1" outlineLevel="2" x14ac:dyDescent="0.35">
      <c r="A7876" t="s">
        <v>131</v>
      </c>
      <c r="B7876" s="1">
        <v>45734</v>
      </c>
      <c r="C7876" t="s">
        <v>5679</v>
      </c>
      <c r="D7876" t="s">
        <v>5679</v>
      </c>
      <c r="F7876" t="str">
        <f t="shared" si="276"/>
        <v>70610010</v>
      </c>
      <c r="H7876" t="s">
        <v>5680</v>
      </c>
      <c r="I7876" s="1">
        <v>45777</v>
      </c>
      <c r="K7876" s="4">
        <v>-132000</v>
      </c>
    </row>
    <row r="7877" spans="1:11" hidden="1" outlineLevel="2" x14ac:dyDescent="0.35">
      <c r="A7877" t="s">
        <v>131</v>
      </c>
      <c r="B7877" s="1">
        <v>45734</v>
      </c>
      <c r="C7877" t="s">
        <v>5681</v>
      </c>
      <c r="D7877" t="s">
        <v>5681</v>
      </c>
      <c r="F7877" t="str">
        <f t="shared" si="276"/>
        <v>70610010</v>
      </c>
      <c r="H7877" t="s">
        <v>5522</v>
      </c>
      <c r="I7877" s="1">
        <v>45777</v>
      </c>
      <c r="K7877" s="4">
        <v>330000</v>
      </c>
    </row>
    <row r="7878" spans="1:11" hidden="1" outlineLevel="2" x14ac:dyDescent="0.35">
      <c r="A7878" t="s">
        <v>131</v>
      </c>
      <c r="B7878" s="1">
        <v>45734</v>
      </c>
      <c r="C7878" t="s">
        <v>5682</v>
      </c>
      <c r="D7878" t="s">
        <v>5682</v>
      </c>
      <c r="F7878" t="str">
        <f t="shared" si="276"/>
        <v>70610010</v>
      </c>
      <c r="H7878" t="s">
        <v>5522</v>
      </c>
      <c r="I7878" s="1">
        <v>45777</v>
      </c>
      <c r="K7878" s="4">
        <v>330000</v>
      </c>
    </row>
    <row r="7879" spans="1:11" hidden="1" outlineLevel="2" x14ac:dyDescent="0.35">
      <c r="A7879" t="s">
        <v>131</v>
      </c>
      <c r="B7879" s="1">
        <v>45734</v>
      </c>
      <c r="C7879" t="s">
        <v>5682</v>
      </c>
      <c r="D7879" t="s">
        <v>5682</v>
      </c>
      <c r="F7879" t="str">
        <f t="shared" si="276"/>
        <v>70610010</v>
      </c>
      <c r="H7879" t="s">
        <v>5522</v>
      </c>
      <c r="I7879" s="1">
        <v>45777</v>
      </c>
      <c r="K7879" s="4">
        <v>330000</v>
      </c>
    </row>
    <row r="7880" spans="1:11" hidden="1" outlineLevel="2" x14ac:dyDescent="0.35">
      <c r="A7880" t="s">
        <v>131</v>
      </c>
      <c r="B7880" s="1">
        <v>45734</v>
      </c>
      <c r="C7880" t="s">
        <v>5682</v>
      </c>
      <c r="D7880" t="s">
        <v>5682</v>
      </c>
      <c r="F7880" t="str">
        <f t="shared" si="276"/>
        <v>70610010</v>
      </c>
      <c r="H7880" t="s">
        <v>5680</v>
      </c>
      <c r="I7880" s="1">
        <v>45777</v>
      </c>
      <c r="K7880" s="4">
        <v>-330000</v>
      </c>
    </row>
    <row r="7881" spans="1:11" hidden="1" outlineLevel="2" x14ac:dyDescent="0.35">
      <c r="A7881" t="s">
        <v>131</v>
      </c>
      <c r="B7881" s="1">
        <v>45734</v>
      </c>
      <c r="C7881" t="s">
        <v>5683</v>
      </c>
      <c r="D7881" t="s">
        <v>5683</v>
      </c>
      <c r="F7881" t="str">
        <f t="shared" si="276"/>
        <v>70610010</v>
      </c>
      <c r="H7881" t="s">
        <v>5522</v>
      </c>
      <c r="I7881" s="1">
        <v>45777</v>
      </c>
      <c r="K7881" s="4">
        <v>132000</v>
      </c>
    </row>
    <row r="7882" spans="1:11" hidden="1" outlineLevel="2" x14ac:dyDescent="0.35">
      <c r="A7882" t="s">
        <v>131</v>
      </c>
      <c r="B7882" s="1">
        <v>45734</v>
      </c>
      <c r="C7882" t="s">
        <v>5683</v>
      </c>
      <c r="D7882" t="s">
        <v>5683</v>
      </c>
      <c r="F7882" t="str">
        <f t="shared" si="276"/>
        <v>70610010</v>
      </c>
      <c r="H7882" t="s">
        <v>5522</v>
      </c>
      <c r="I7882" s="1">
        <v>45777</v>
      </c>
      <c r="K7882" s="4">
        <v>132000</v>
      </c>
    </row>
    <row r="7883" spans="1:11" hidden="1" outlineLevel="2" x14ac:dyDescent="0.35">
      <c r="A7883" t="s">
        <v>131</v>
      </c>
      <c r="B7883" s="1">
        <v>45734</v>
      </c>
      <c r="C7883" t="s">
        <v>5683</v>
      </c>
      <c r="D7883" t="s">
        <v>5683</v>
      </c>
      <c r="F7883" t="str">
        <f t="shared" si="276"/>
        <v>70610010</v>
      </c>
      <c r="H7883" t="s">
        <v>5680</v>
      </c>
      <c r="I7883" s="1">
        <v>45777</v>
      </c>
      <c r="K7883" s="4">
        <v>-132000</v>
      </c>
    </row>
    <row r="7884" spans="1:11" hidden="1" outlineLevel="2" x14ac:dyDescent="0.35">
      <c r="A7884" t="s">
        <v>131</v>
      </c>
      <c r="B7884" s="1">
        <v>45734</v>
      </c>
      <c r="C7884" t="s">
        <v>5684</v>
      </c>
      <c r="D7884" t="s">
        <v>5684</v>
      </c>
      <c r="F7884" t="str">
        <f t="shared" si="276"/>
        <v>70610010</v>
      </c>
      <c r="H7884" t="s">
        <v>5522</v>
      </c>
      <c r="I7884" s="1">
        <v>45777</v>
      </c>
      <c r="K7884" s="4">
        <v>330000</v>
      </c>
    </row>
    <row r="7885" spans="1:11" hidden="1" outlineLevel="2" x14ac:dyDescent="0.35">
      <c r="A7885" t="s">
        <v>131</v>
      </c>
      <c r="B7885" s="1">
        <v>45734</v>
      </c>
      <c r="C7885" t="s">
        <v>5684</v>
      </c>
      <c r="D7885" t="s">
        <v>5684</v>
      </c>
      <c r="F7885" t="str">
        <f t="shared" si="276"/>
        <v>70610010</v>
      </c>
      <c r="H7885" t="s">
        <v>5522</v>
      </c>
      <c r="I7885" s="1">
        <v>45777</v>
      </c>
      <c r="K7885" s="4">
        <v>330000</v>
      </c>
    </row>
    <row r="7886" spans="1:11" hidden="1" outlineLevel="2" x14ac:dyDescent="0.35">
      <c r="A7886" t="s">
        <v>131</v>
      </c>
      <c r="B7886" s="1">
        <v>45734</v>
      </c>
      <c r="C7886" t="s">
        <v>5684</v>
      </c>
      <c r="D7886" t="s">
        <v>5684</v>
      </c>
      <c r="F7886" t="str">
        <f t="shared" si="276"/>
        <v>70610010</v>
      </c>
      <c r="H7886" t="s">
        <v>5680</v>
      </c>
      <c r="I7886" s="1">
        <v>45777</v>
      </c>
      <c r="K7886" s="4">
        <v>-330000</v>
      </c>
    </row>
    <row r="7887" spans="1:11" hidden="1" outlineLevel="2" x14ac:dyDescent="0.35">
      <c r="A7887" t="s">
        <v>131</v>
      </c>
      <c r="B7887" s="1">
        <v>45736</v>
      </c>
      <c r="C7887" t="s">
        <v>5685</v>
      </c>
      <c r="D7887" t="s">
        <v>5685</v>
      </c>
      <c r="F7887" t="str">
        <f t="shared" si="276"/>
        <v>70610010</v>
      </c>
      <c r="H7887" t="s">
        <v>5581</v>
      </c>
      <c r="I7887" s="1">
        <v>45767</v>
      </c>
      <c r="K7887" s="4">
        <v>20384138</v>
      </c>
    </row>
    <row r="7888" spans="1:11" hidden="1" outlineLevel="2" x14ac:dyDescent="0.35">
      <c r="A7888" t="s">
        <v>131</v>
      </c>
      <c r="B7888" s="1">
        <v>45736</v>
      </c>
      <c r="C7888" t="s">
        <v>5685</v>
      </c>
      <c r="D7888" t="s">
        <v>5685</v>
      </c>
      <c r="F7888" t="str">
        <f t="shared" si="276"/>
        <v>70610010</v>
      </c>
      <c r="H7888" t="s">
        <v>5581</v>
      </c>
      <c r="I7888" s="1">
        <v>45767</v>
      </c>
      <c r="K7888" s="4">
        <v>20384138</v>
      </c>
    </row>
    <row r="7889" spans="1:11" hidden="1" outlineLevel="2" x14ac:dyDescent="0.35">
      <c r="A7889" t="s">
        <v>131</v>
      </c>
      <c r="B7889" s="1">
        <v>45736</v>
      </c>
      <c r="C7889" t="s">
        <v>5685</v>
      </c>
      <c r="D7889" t="s">
        <v>5685</v>
      </c>
      <c r="F7889" t="str">
        <f t="shared" si="276"/>
        <v>70610010</v>
      </c>
      <c r="H7889" t="s">
        <v>5666</v>
      </c>
      <c r="I7889" s="1">
        <v>45767</v>
      </c>
      <c r="K7889" s="4">
        <v>-20384138</v>
      </c>
    </row>
    <row r="7890" spans="1:11" hidden="1" outlineLevel="2" x14ac:dyDescent="0.35">
      <c r="A7890" t="s">
        <v>131</v>
      </c>
      <c r="B7890" s="1">
        <v>45736</v>
      </c>
      <c r="C7890" t="s">
        <v>1780</v>
      </c>
      <c r="D7890" t="s">
        <v>1780</v>
      </c>
      <c r="F7890" t="str">
        <f t="shared" si="276"/>
        <v>70610010</v>
      </c>
      <c r="H7890" t="s">
        <v>5686</v>
      </c>
      <c r="I7890" s="1">
        <v>45767</v>
      </c>
      <c r="K7890" s="4">
        <v>1200000</v>
      </c>
    </row>
    <row r="7891" spans="1:11" hidden="1" outlineLevel="2" x14ac:dyDescent="0.35">
      <c r="A7891" t="s">
        <v>131</v>
      </c>
      <c r="B7891" s="1">
        <v>45736</v>
      </c>
      <c r="C7891" t="s">
        <v>1780</v>
      </c>
      <c r="D7891" t="s">
        <v>1780</v>
      </c>
      <c r="F7891" t="str">
        <f t="shared" si="276"/>
        <v>70610010</v>
      </c>
      <c r="H7891" t="s">
        <v>5686</v>
      </c>
      <c r="I7891" s="1">
        <v>45767</v>
      </c>
      <c r="K7891" s="4">
        <v>1200000</v>
      </c>
    </row>
    <row r="7892" spans="1:11" hidden="1" outlineLevel="2" x14ac:dyDescent="0.35">
      <c r="A7892" t="s">
        <v>131</v>
      </c>
      <c r="B7892" s="1">
        <v>45736</v>
      </c>
      <c r="C7892" t="s">
        <v>1780</v>
      </c>
      <c r="D7892" t="s">
        <v>1780</v>
      </c>
      <c r="F7892" t="str">
        <f t="shared" si="276"/>
        <v>70610010</v>
      </c>
      <c r="H7892" t="s">
        <v>5687</v>
      </c>
      <c r="I7892" s="1">
        <v>45767</v>
      </c>
      <c r="K7892" s="4">
        <v>-1200000</v>
      </c>
    </row>
    <row r="7893" spans="1:11" hidden="1" outlineLevel="2" x14ac:dyDescent="0.35">
      <c r="A7893" t="s">
        <v>131</v>
      </c>
      <c r="B7893" s="1">
        <v>45736</v>
      </c>
      <c r="C7893" t="s">
        <v>5688</v>
      </c>
      <c r="D7893" t="s">
        <v>5688</v>
      </c>
      <c r="F7893" t="str">
        <f t="shared" si="276"/>
        <v>70610010</v>
      </c>
      <c r="H7893" t="s">
        <v>5512</v>
      </c>
      <c r="I7893" s="1">
        <v>45767</v>
      </c>
      <c r="K7893" s="4">
        <v>536000</v>
      </c>
    </row>
    <row r="7894" spans="1:11" hidden="1" outlineLevel="2" x14ac:dyDescent="0.35">
      <c r="A7894" t="s">
        <v>131</v>
      </c>
      <c r="B7894" s="1">
        <v>45736</v>
      </c>
      <c r="C7894" t="s">
        <v>5688</v>
      </c>
      <c r="D7894" t="s">
        <v>5688</v>
      </c>
      <c r="F7894" t="str">
        <f t="shared" si="276"/>
        <v>70610010</v>
      </c>
      <c r="H7894" t="s">
        <v>5512</v>
      </c>
      <c r="I7894" s="1">
        <v>45767</v>
      </c>
      <c r="K7894" s="4">
        <v>536000</v>
      </c>
    </row>
    <row r="7895" spans="1:11" hidden="1" outlineLevel="2" x14ac:dyDescent="0.35">
      <c r="A7895" t="s">
        <v>131</v>
      </c>
      <c r="B7895" s="1">
        <v>45736</v>
      </c>
      <c r="C7895" t="s">
        <v>5688</v>
      </c>
      <c r="D7895" t="s">
        <v>5688</v>
      </c>
      <c r="F7895" t="str">
        <f t="shared" si="276"/>
        <v>70610010</v>
      </c>
      <c r="H7895" t="s">
        <v>5689</v>
      </c>
      <c r="I7895" s="1">
        <v>45767</v>
      </c>
      <c r="K7895" s="4">
        <v>-536000</v>
      </c>
    </row>
    <row r="7896" spans="1:11" hidden="1" outlineLevel="2" x14ac:dyDescent="0.35">
      <c r="A7896" t="s">
        <v>131</v>
      </c>
      <c r="B7896" s="1">
        <v>45736</v>
      </c>
      <c r="C7896" t="s">
        <v>5690</v>
      </c>
      <c r="D7896" t="s">
        <v>5690</v>
      </c>
      <c r="F7896" t="str">
        <f t="shared" si="276"/>
        <v>70610010</v>
      </c>
      <c r="H7896" t="s">
        <v>5512</v>
      </c>
      <c r="I7896" s="1">
        <v>45767</v>
      </c>
      <c r="K7896" s="4">
        <v>2010000</v>
      </c>
    </row>
    <row r="7897" spans="1:11" hidden="1" outlineLevel="2" x14ac:dyDescent="0.35">
      <c r="A7897" t="s">
        <v>131</v>
      </c>
      <c r="B7897" s="1">
        <v>45736</v>
      </c>
      <c r="C7897" t="s">
        <v>5690</v>
      </c>
      <c r="D7897" t="s">
        <v>5690</v>
      </c>
      <c r="F7897" t="str">
        <f t="shared" si="276"/>
        <v>70610010</v>
      </c>
      <c r="H7897" t="s">
        <v>5512</v>
      </c>
      <c r="I7897" s="1">
        <v>45767</v>
      </c>
      <c r="K7897" s="4">
        <v>2010000</v>
      </c>
    </row>
    <row r="7898" spans="1:11" hidden="1" outlineLevel="2" x14ac:dyDescent="0.35">
      <c r="A7898" t="s">
        <v>131</v>
      </c>
      <c r="B7898" s="1">
        <v>45736</v>
      </c>
      <c r="C7898" t="s">
        <v>5690</v>
      </c>
      <c r="D7898" t="s">
        <v>5690</v>
      </c>
      <c r="F7898" t="str">
        <f t="shared" si="276"/>
        <v>70610010</v>
      </c>
      <c r="H7898" t="s">
        <v>5689</v>
      </c>
      <c r="I7898" s="1">
        <v>45767</v>
      </c>
      <c r="K7898" s="4">
        <v>-2010000</v>
      </c>
    </row>
    <row r="7899" spans="1:11" hidden="1" outlineLevel="2" x14ac:dyDescent="0.35">
      <c r="A7899" t="s">
        <v>131</v>
      </c>
      <c r="B7899" s="1">
        <v>45736</v>
      </c>
      <c r="C7899" t="s">
        <v>5691</v>
      </c>
      <c r="D7899" t="s">
        <v>5691</v>
      </c>
      <c r="F7899" t="str">
        <f t="shared" si="276"/>
        <v>70610010</v>
      </c>
      <c r="H7899" t="s">
        <v>5512</v>
      </c>
      <c r="I7899" s="1">
        <v>45767</v>
      </c>
      <c r="K7899" s="4">
        <v>402000</v>
      </c>
    </row>
    <row r="7900" spans="1:11" hidden="1" outlineLevel="2" x14ac:dyDescent="0.35">
      <c r="A7900" t="s">
        <v>131</v>
      </c>
      <c r="B7900" s="1">
        <v>45736</v>
      </c>
      <c r="C7900" t="s">
        <v>5691</v>
      </c>
      <c r="D7900" t="s">
        <v>5691</v>
      </c>
      <c r="F7900" t="str">
        <f t="shared" ref="F7900:F7963" si="277">"70610010"</f>
        <v>70610010</v>
      </c>
      <c r="H7900" t="s">
        <v>5512</v>
      </c>
      <c r="I7900" s="1">
        <v>45767</v>
      </c>
      <c r="K7900" s="4">
        <v>402000</v>
      </c>
    </row>
    <row r="7901" spans="1:11" hidden="1" outlineLevel="2" x14ac:dyDescent="0.35">
      <c r="A7901" t="s">
        <v>131</v>
      </c>
      <c r="B7901" s="1">
        <v>45736</v>
      </c>
      <c r="C7901" t="s">
        <v>5691</v>
      </c>
      <c r="D7901" t="s">
        <v>5691</v>
      </c>
      <c r="F7901" t="str">
        <f t="shared" si="277"/>
        <v>70610010</v>
      </c>
      <c r="H7901" t="s">
        <v>5689</v>
      </c>
      <c r="I7901" s="1">
        <v>45767</v>
      </c>
      <c r="K7901" s="4">
        <v>-402000</v>
      </c>
    </row>
    <row r="7902" spans="1:11" hidden="1" outlineLevel="2" x14ac:dyDescent="0.35">
      <c r="A7902" t="s">
        <v>131</v>
      </c>
      <c r="B7902" s="1">
        <v>45736</v>
      </c>
      <c r="C7902" t="s">
        <v>5692</v>
      </c>
      <c r="D7902" t="s">
        <v>5692</v>
      </c>
      <c r="F7902" t="str">
        <f t="shared" si="277"/>
        <v>70610010</v>
      </c>
      <c r="H7902" t="s">
        <v>139</v>
      </c>
      <c r="I7902" s="1">
        <v>45777</v>
      </c>
      <c r="K7902" s="4">
        <v>536000</v>
      </c>
    </row>
    <row r="7903" spans="1:11" hidden="1" outlineLevel="2" x14ac:dyDescent="0.35">
      <c r="A7903" t="s">
        <v>131</v>
      </c>
      <c r="B7903" s="1">
        <v>45736</v>
      </c>
      <c r="C7903" t="s">
        <v>5692</v>
      </c>
      <c r="D7903" t="s">
        <v>5692</v>
      </c>
      <c r="F7903" t="str">
        <f t="shared" si="277"/>
        <v>70610010</v>
      </c>
      <c r="H7903" t="s">
        <v>139</v>
      </c>
      <c r="I7903" s="1">
        <v>45777</v>
      </c>
      <c r="K7903" s="4">
        <v>536000</v>
      </c>
    </row>
    <row r="7904" spans="1:11" hidden="1" outlineLevel="2" x14ac:dyDescent="0.35">
      <c r="A7904" t="s">
        <v>131</v>
      </c>
      <c r="B7904" s="1">
        <v>45736</v>
      </c>
      <c r="C7904" t="s">
        <v>5692</v>
      </c>
      <c r="D7904" t="s">
        <v>5692</v>
      </c>
      <c r="F7904" t="str">
        <f t="shared" si="277"/>
        <v>70610010</v>
      </c>
      <c r="H7904" t="s">
        <v>254</v>
      </c>
      <c r="I7904" s="1">
        <v>45777</v>
      </c>
      <c r="K7904" s="4">
        <v>-536000</v>
      </c>
    </row>
    <row r="7905" spans="1:11" hidden="1" outlineLevel="2" x14ac:dyDescent="0.35">
      <c r="A7905" t="s">
        <v>131</v>
      </c>
      <c r="B7905" s="1">
        <v>45736</v>
      </c>
      <c r="C7905" t="s">
        <v>5693</v>
      </c>
      <c r="D7905" t="s">
        <v>5693</v>
      </c>
      <c r="F7905" t="str">
        <f t="shared" si="277"/>
        <v>70610010</v>
      </c>
      <c r="H7905" t="s">
        <v>5518</v>
      </c>
      <c r="I7905" s="1">
        <v>45767</v>
      </c>
      <c r="K7905" s="4">
        <v>150000</v>
      </c>
    </row>
    <row r="7906" spans="1:11" hidden="1" outlineLevel="2" x14ac:dyDescent="0.35">
      <c r="A7906" t="s">
        <v>131</v>
      </c>
      <c r="B7906" s="1">
        <v>45736</v>
      </c>
      <c r="C7906" t="s">
        <v>5693</v>
      </c>
      <c r="D7906" t="s">
        <v>5693</v>
      </c>
      <c r="F7906" t="str">
        <f t="shared" si="277"/>
        <v>70610010</v>
      </c>
      <c r="H7906" t="s">
        <v>5518</v>
      </c>
      <c r="I7906" s="1">
        <v>45767</v>
      </c>
      <c r="K7906" s="4">
        <v>150000</v>
      </c>
    </row>
    <row r="7907" spans="1:11" hidden="1" outlineLevel="2" x14ac:dyDescent="0.35">
      <c r="A7907" t="s">
        <v>131</v>
      </c>
      <c r="B7907" s="1">
        <v>45736</v>
      </c>
      <c r="C7907" t="s">
        <v>5693</v>
      </c>
      <c r="D7907" t="s">
        <v>5693</v>
      </c>
      <c r="F7907" t="str">
        <f t="shared" si="277"/>
        <v>70610010</v>
      </c>
      <c r="H7907" t="s">
        <v>5676</v>
      </c>
      <c r="I7907" s="1">
        <v>45767</v>
      </c>
      <c r="K7907" s="4">
        <v>-150000</v>
      </c>
    </row>
    <row r="7908" spans="1:11" hidden="1" outlineLevel="2" x14ac:dyDescent="0.35">
      <c r="A7908" t="s">
        <v>131</v>
      </c>
      <c r="B7908" s="1">
        <v>45736</v>
      </c>
      <c r="C7908" t="s">
        <v>5694</v>
      </c>
      <c r="D7908" t="s">
        <v>5694</v>
      </c>
      <c r="F7908" t="str">
        <f t="shared" si="277"/>
        <v>70610010</v>
      </c>
      <c r="H7908" t="s">
        <v>180</v>
      </c>
      <c r="I7908" s="1">
        <v>45777</v>
      </c>
      <c r="K7908" s="4">
        <v>297000</v>
      </c>
    </row>
    <row r="7909" spans="1:11" hidden="1" outlineLevel="2" x14ac:dyDescent="0.35">
      <c r="A7909" t="s">
        <v>131</v>
      </c>
      <c r="B7909" s="1">
        <v>45736</v>
      </c>
      <c r="C7909" t="s">
        <v>5694</v>
      </c>
      <c r="D7909" t="s">
        <v>5694</v>
      </c>
      <c r="F7909" t="str">
        <f t="shared" si="277"/>
        <v>70610010</v>
      </c>
      <c r="H7909" t="s">
        <v>180</v>
      </c>
      <c r="I7909" s="1">
        <v>45777</v>
      </c>
      <c r="K7909" s="4">
        <v>297000</v>
      </c>
    </row>
    <row r="7910" spans="1:11" hidden="1" outlineLevel="2" x14ac:dyDescent="0.35">
      <c r="A7910" t="s">
        <v>131</v>
      </c>
      <c r="B7910" s="1">
        <v>45736</v>
      </c>
      <c r="C7910" t="s">
        <v>5694</v>
      </c>
      <c r="D7910" t="s">
        <v>5694</v>
      </c>
      <c r="F7910" t="str">
        <f t="shared" si="277"/>
        <v>70610010</v>
      </c>
      <c r="H7910" t="s">
        <v>257</v>
      </c>
      <c r="I7910" s="1">
        <v>45777</v>
      </c>
      <c r="K7910" s="4">
        <v>-297000</v>
      </c>
    </row>
    <row r="7911" spans="1:11" hidden="1" outlineLevel="2" x14ac:dyDescent="0.35">
      <c r="A7911" t="s">
        <v>131</v>
      </c>
      <c r="B7911" s="1">
        <v>45736</v>
      </c>
      <c r="C7911" t="s">
        <v>5696</v>
      </c>
      <c r="D7911" t="s">
        <v>5696</v>
      </c>
      <c r="F7911" t="str">
        <f t="shared" si="277"/>
        <v>70610010</v>
      </c>
      <c r="H7911" t="s">
        <v>5508</v>
      </c>
      <c r="I7911" s="1">
        <v>45767</v>
      </c>
      <c r="K7911" s="4">
        <v>931500</v>
      </c>
    </row>
    <row r="7912" spans="1:11" hidden="1" outlineLevel="2" x14ac:dyDescent="0.35">
      <c r="A7912" t="s">
        <v>131</v>
      </c>
      <c r="B7912" s="1">
        <v>45736</v>
      </c>
      <c r="C7912" t="s">
        <v>5696</v>
      </c>
      <c r="D7912" t="s">
        <v>5696</v>
      </c>
      <c r="F7912" t="str">
        <f t="shared" si="277"/>
        <v>70610010</v>
      </c>
      <c r="H7912" t="s">
        <v>5508</v>
      </c>
      <c r="I7912" s="1">
        <v>45767</v>
      </c>
      <c r="K7912" s="4">
        <v>931500</v>
      </c>
    </row>
    <row r="7913" spans="1:11" hidden="1" outlineLevel="2" x14ac:dyDescent="0.35">
      <c r="A7913" t="s">
        <v>131</v>
      </c>
      <c r="B7913" s="1">
        <v>45736</v>
      </c>
      <c r="C7913" t="s">
        <v>5696</v>
      </c>
      <c r="D7913" t="s">
        <v>5696</v>
      </c>
      <c r="F7913" t="str">
        <f t="shared" si="277"/>
        <v>70610010</v>
      </c>
      <c r="H7913" t="s">
        <v>5611</v>
      </c>
      <c r="I7913" s="1">
        <v>45767</v>
      </c>
      <c r="K7913" s="4">
        <v>-931500</v>
      </c>
    </row>
    <row r="7914" spans="1:11" hidden="1" outlineLevel="2" x14ac:dyDescent="0.35">
      <c r="A7914" t="s">
        <v>131</v>
      </c>
      <c r="B7914" s="1">
        <v>45736</v>
      </c>
      <c r="C7914" t="s">
        <v>5698</v>
      </c>
      <c r="D7914" t="s">
        <v>5698</v>
      </c>
      <c r="F7914" t="str">
        <f t="shared" si="277"/>
        <v>70610010</v>
      </c>
      <c r="H7914" t="s">
        <v>5508</v>
      </c>
      <c r="I7914" s="1">
        <v>45767</v>
      </c>
      <c r="K7914" s="4">
        <v>7347902</v>
      </c>
    </row>
    <row r="7915" spans="1:11" hidden="1" outlineLevel="2" x14ac:dyDescent="0.35">
      <c r="A7915" t="s">
        <v>131</v>
      </c>
      <c r="B7915" s="1">
        <v>45736</v>
      </c>
      <c r="C7915" t="s">
        <v>5698</v>
      </c>
      <c r="D7915" t="s">
        <v>5698</v>
      </c>
      <c r="F7915" t="str">
        <f t="shared" si="277"/>
        <v>70610010</v>
      </c>
      <c r="H7915" t="s">
        <v>5508</v>
      </c>
      <c r="I7915" s="1">
        <v>45767</v>
      </c>
      <c r="K7915" s="4">
        <v>7347902</v>
      </c>
    </row>
    <row r="7916" spans="1:11" hidden="1" outlineLevel="2" x14ac:dyDescent="0.35">
      <c r="A7916" t="s">
        <v>131</v>
      </c>
      <c r="B7916" s="1">
        <v>45736</v>
      </c>
      <c r="C7916" t="s">
        <v>5698</v>
      </c>
      <c r="D7916" t="s">
        <v>5698</v>
      </c>
      <c r="F7916" t="str">
        <f t="shared" si="277"/>
        <v>70610010</v>
      </c>
      <c r="H7916" t="s">
        <v>5611</v>
      </c>
      <c r="I7916" s="1">
        <v>45767</v>
      </c>
      <c r="K7916" s="4">
        <v>-7347902</v>
      </c>
    </row>
    <row r="7917" spans="1:11" hidden="1" outlineLevel="2" x14ac:dyDescent="0.35">
      <c r="A7917" t="s">
        <v>131</v>
      </c>
      <c r="B7917" s="1">
        <v>45737</v>
      </c>
      <c r="C7917" t="s">
        <v>5700</v>
      </c>
      <c r="D7917" t="s">
        <v>5700</v>
      </c>
      <c r="F7917" t="str">
        <f t="shared" si="277"/>
        <v>70610010</v>
      </c>
      <c r="H7917" t="s">
        <v>5508</v>
      </c>
      <c r="I7917" s="1">
        <v>45768</v>
      </c>
      <c r="K7917" s="4">
        <v>258038</v>
      </c>
    </row>
    <row r="7918" spans="1:11" hidden="1" outlineLevel="2" x14ac:dyDescent="0.35">
      <c r="A7918" t="s">
        <v>131</v>
      </c>
      <c r="B7918" s="1">
        <v>45737</v>
      </c>
      <c r="C7918" t="s">
        <v>5700</v>
      </c>
      <c r="D7918" t="s">
        <v>5700</v>
      </c>
      <c r="F7918" t="str">
        <f t="shared" si="277"/>
        <v>70610010</v>
      </c>
      <c r="H7918" t="s">
        <v>5508</v>
      </c>
      <c r="I7918" s="1">
        <v>45768</v>
      </c>
      <c r="K7918" s="4">
        <v>258038</v>
      </c>
    </row>
    <row r="7919" spans="1:11" hidden="1" outlineLevel="2" x14ac:dyDescent="0.35">
      <c r="A7919" t="s">
        <v>131</v>
      </c>
      <c r="B7919" s="1">
        <v>45737</v>
      </c>
      <c r="C7919" t="s">
        <v>5700</v>
      </c>
      <c r="D7919" t="s">
        <v>5700</v>
      </c>
      <c r="F7919" t="str">
        <f t="shared" si="277"/>
        <v>70610010</v>
      </c>
      <c r="H7919" t="s">
        <v>5611</v>
      </c>
      <c r="I7919" s="1">
        <v>45768</v>
      </c>
      <c r="K7919" s="4">
        <v>-258038</v>
      </c>
    </row>
    <row r="7920" spans="1:11" hidden="1" outlineLevel="2" x14ac:dyDescent="0.35">
      <c r="A7920" t="s">
        <v>131</v>
      </c>
      <c r="B7920" s="1">
        <v>45737</v>
      </c>
      <c r="C7920" t="s">
        <v>5701</v>
      </c>
      <c r="D7920" t="s">
        <v>5701</v>
      </c>
      <c r="F7920" t="str">
        <f t="shared" si="277"/>
        <v>70610010</v>
      </c>
      <c r="H7920" t="s">
        <v>5508</v>
      </c>
      <c r="I7920" s="1">
        <v>45768</v>
      </c>
      <c r="K7920" s="4">
        <v>258038</v>
      </c>
    </row>
    <row r="7921" spans="1:11" hidden="1" outlineLevel="2" x14ac:dyDescent="0.35">
      <c r="A7921" t="s">
        <v>131</v>
      </c>
      <c r="B7921" s="1">
        <v>45737</v>
      </c>
      <c r="C7921" t="s">
        <v>5701</v>
      </c>
      <c r="D7921" t="s">
        <v>5701</v>
      </c>
      <c r="F7921" t="str">
        <f t="shared" si="277"/>
        <v>70610010</v>
      </c>
      <c r="H7921" t="s">
        <v>5508</v>
      </c>
      <c r="I7921" s="1">
        <v>45768</v>
      </c>
      <c r="K7921" s="4">
        <v>258038</v>
      </c>
    </row>
    <row r="7922" spans="1:11" hidden="1" outlineLevel="2" x14ac:dyDescent="0.35">
      <c r="A7922" t="s">
        <v>131</v>
      </c>
      <c r="B7922" s="1">
        <v>45737</v>
      </c>
      <c r="C7922" t="s">
        <v>5701</v>
      </c>
      <c r="D7922" t="s">
        <v>5701</v>
      </c>
      <c r="F7922" t="str">
        <f t="shared" si="277"/>
        <v>70610010</v>
      </c>
      <c r="H7922" t="s">
        <v>5611</v>
      </c>
      <c r="I7922" s="1">
        <v>45768</v>
      </c>
      <c r="K7922" s="4">
        <v>-258038</v>
      </c>
    </row>
    <row r="7923" spans="1:11" hidden="1" outlineLevel="2" x14ac:dyDescent="0.35">
      <c r="A7923" t="s">
        <v>131</v>
      </c>
      <c r="B7923" s="1">
        <v>45737</v>
      </c>
      <c r="C7923" t="s">
        <v>1782</v>
      </c>
      <c r="D7923" t="s">
        <v>1782</v>
      </c>
      <c r="F7923" t="str">
        <f t="shared" si="277"/>
        <v>70610010</v>
      </c>
      <c r="H7923" t="s">
        <v>5686</v>
      </c>
      <c r="I7923" s="1">
        <v>45768</v>
      </c>
      <c r="K7923" s="4">
        <v>1230000</v>
      </c>
    </row>
    <row r="7924" spans="1:11" hidden="1" outlineLevel="2" x14ac:dyDescent="0.35">
      <c r="A7924" t="s">
        <v>131</v>
      </c>
      <c r="B7924" s="1">
        <v>45737</v>
      </c>
      <c r="C7924" t="s">
        <v>1782</v>
      </c>
      <c r="D7924" t="s">
        <v>1782</v>
      </c>
      <c r="F7924" t="str">
        <f t="shared" si="277"/>
        <v>70610010</v>
      </c>
      <c r="H7924" t="s">
        <v>5686</v>
      </c>
      <c r="I7924" s="1">
        <v>45768</v>
      </c>
      <c r="K7924" s="4">
        <v>1230000</v>
      </c>
    </row>
    <row r="7925" spans="1:11" hidden="1" outlineLevel="2" x14ac:dyDescent="0.35">
      <c r="A7925" t="s">
        <v>131</v>
      </c>
      <c r="B7925" s="1">
        <v>45737</v>
      </c>
      <c r="C7925" t="s">
        <v>1782</v>
      </c>
      <c r="D7925" t="s">
        <v>1782</v>
      </c>
      <c r="F7925" t="str">
        <f t="shared" si="277"/>
        <v>70610010</v>
      </c>
      <c r="H7925" t="s">
        <v>5687</v>
      </c>
      <c r="I7925" s="1">
        <v>45768</v>
      </c>
      <c r="K7925" s="4">
        <v>-1230000</v>
      </c>
    </row>
    <row r="7926" spans="1:11" hidden="1" outlineLevel="2" x14ac:dyDescent="0.35">
      <c r="A7926" t="s">
        <v>131</v>
      </c>
      <c r="B7926" s="1">
        <v>45737</v>
      </c>
      <c r="C7926" t="s">
        <v>1784</v>
      </c>
      <c r="D7926" t="s">
        <v>1784</v>
      </c>
      <c r="F7926" t="str">
        <f t="shared" si="277"/>
        <v>70610010</v>
      </c>
      <c r="H7926" t="s">
        <v>5686</v>
      </c>
      <c r="I7926" s="1">
        <v>45768</v>
      </c>
      <c r="K7926" s="4">
        <v>1230000</v>
      </c>
    </row>
    <row r="7927" spans="1:11" hidden="1" outlineLevel="2" x14ac:dyDescent="0.35">
      <c r="A7927" t="s">
        <v>131</v>
      </c>
      <c r="B7927" s="1">
        <v>45737</v>
      </c>
      <c r="C7927" t="s">
        <v>1784</v>
      </c>
      <c r="D7927" t="s">
        <v>1784</v>
      </c>
      <c r="F7927" t="str">
        <f t="shared" si="277"/>
        <v>70610010</v>
      </c>
      <c r="H7927" t="s">
        <v>5686</v>
      </c>
      <c r="I7927" s="1">
        <v>45768</v>
      </c>
      <c r="K7927" s="4">
        <v>1230000</v>
      </c>
    </row>
    <row r="7928" spans="1:11" hidden="1" outlineLevel="2" x14ac:dyDescent="0.35">
      <c r="A7928" t="s">
        <v>131</v>
      </c>
      <c r="B7928" s="1">
        <v>45737</v>
      </c>
      <c r="C7928" t="s">
        <v>1784</v>
      </c>
      <c r="D7928" t="s">
        <v>1784</v>
      </c>
      <c r="F7928" t="str">
        <f t="shared" si="277"/>
        <v>70610010</v>
      </c>
      <c r="H7928" t="s">
        <v>5687</v>
      </c>
      <c r="I7928" s="1">
        <v>45768</v>
      </c>
      <c r="K7928" s="4">
        <v>-1230000</v>
      </c>
    </row>
    <row r="7929" spans="1:11" hidden="1" outlineLevel="2" x14ac:dyDescent="0.35">
      <c r="A7929" t="s">
        <v>131</v>
      </c>
      <c r="B7929" s="1">
        <v>45737</v>
      </c>
      <c r="C7929" t="s">
        <v>5702</v>
      </c>
      <c r="D7929" t="s">
        <v>5702</v>
      </c>
      <c r="F7929" t="str">
        <f t="shared" si="277"/>
        <v>70610010</v>
      </c>
      <c r="H7929" t="s">
        <v>5518</v>
      </c>
      <c r="I7929" s="1">
        <v>45768</v>
      </c>
      <c r="K7929" s="4">
        <v>150000</v>
      </c>
    </row>
    <row r="7930" spans="1:11" hidden="1" outlineLevel="2" x14ac:dyDescent="0.35">
      <c r="A7930" t="s">
        <v>131</v>
      </c>
      <c r="B7930" s="1">
        <v>45737</v>
      </c>
      <c r="C7930" t="s">
        <v>5703</v>
      </c>
      <c r="D7930" t="s">
        <v>5703</v>
      </c>
      <c r="F7930" t="str">
        <f t="shared" si="277"/>
        <v>70610010</v>
      </c>
      <c r="H7930" t="s">
        <v>5518</v>
      </c>
      <c r="I7930" s="1">
        <v>45768</v>
      </c>
      <c r="K7930" s="4">
        <v>150000</v>
      </c>
    </row>
    <row r="7931" spans="1:11" hidden="1" outlineLevel="2" x14ac:dyDescent="0.35">
      <c r="A7931" t="s">
        <v>131</v>
      </c>
      <c r="B7931" s="1">
        <v>45737</v>
      </c>
      <c r="C7931" t="s">
        <v>5704</v>
      </c>
      <c r="D7931" t="s">
        <v>5704</v>
      </c>
      <c r="F7931" t="str">
        <f t="shared" si="277"/>
        <v>70610010</v>
      </c>
      <c r="H7931" t="s">
        <v>5508</v>
      </c>
      <c r="I7931" s="1">
        <v>45768</v>
      </c>
      <c r="K7931" s="4">
        <v>931500</v>
      </c>
    </row>
    <row r="7932" spans="1:11" hidden="1" outlineLevel="2" x14ac:dyDescent="0.35">
      <c r="A7932" t="s">
        <v>131</v>
      </c>
      <c r="B7932" s="1">
        <v>45737</v>
      </c>
      <c r="C7932" t="s">
        <v>5704</v>
      </c>
      <c r="D7932" t="s">
        <v>5704</v>
      </c>
      <c r="F7932" t="str">
        <f t="shared" si="277"/>
        <v>70610010</v>
      </c>
      <c r="H7932" t="s">
        <v>5508</v>
      </c>
      <c r="I7932" s="1">
        <v>45768</v>
      </c>
      <c r="K7932" s="4">
        <v>931500</v>
      </c>
    </row>
    <row r="7933" spans="1:11" hidden="1" outlineLevel="2" x14ac:dyDescent="0.35">
      <c r="A7933" t="s">
        <v>131</v>
      </c>
      <c r="B7933" s="1">
        <v>45737</v>
      </c>
      <c r="C7933" t="s">
        <v>5704</v>
      </c>
      <c r="D7933" t="s">
        <v>5704</v>
      </c>
      <c r="F7933" t="str">
        <f t="shared" si="277"/>
        <v>70610010</v>
      </c>
      <c r="H7933" t="s">
        <v>5611</v>
      </c>
      <c r="I7933" s="1">
        <v>45768</v>
      </c>
      <c r="K7933" s="4">
        <v>-931500</v>
      </c>
    </row>
    <row r="7934" spans="1:11" hidden="1" outlineLevel="2" x14ac:dyDescent="0.35">
      <c r="A7934" t="s">
        <v>131</v>
      </c>
      <c r="B7934" s="1">
        <v>45737</v>
      </c>
      <c r="C7934" t="s">
        <v>5705</v>
      </c>
      <c r="D7934" t="s">
        <v>5705</v>
      </c>
      <c r="F7934" t="str">
        <f t="shared" si="277"/>
        <v>70610010</v>
      </c>
      <c r="H7934" t="s">
        <v>5508</v>
      </c>
      <c r="I7934" s="1">
        <v>45768</v>
      </c>
      <c r="K7934" s="4">
        <v>931500</v>
      </c>
    </row>
    <row r="7935" spans="1:11" hidden="1" outlineLevel="2" x14ac:dyDescent="0.35">
      <c r="A7935" t="s">
        <v>131</v>
      </c>
      <c r="B7935" s="1">
        <v>45737</v>
      </c>
      <c r="C7935" t="s">
        <v>5705</v>
      </c>
      <c r="D7935" t="s">
        <v>5705</v>
      </c>
      <c r="F7935" t="str">
        <f t="shared" si="277"/>
        <v>70610010</v>
      </c>
      <c r="H7935" t="s">
        <v>5508</v>
      </c>
      <c r="I7935" s="1">
        <v>45768</v>
      </c>
      <c r="K7935" s="4">
        <v>931500</v>
      </c>
    </row>
    <row r="7936" spans="1:11" hidden="1" outlineLevel="2" x14ac:dyDescent="0.35">
      <c r="A7936" t="s">
        <v>131</v>
      </c>
      <c r="B7936" s="1">
        <v>45737</v>
      </c>
      <c r="C7936" t="s">
        <v>5705</v>
      </c>
      <c r="D7936" t="s">
        <v>5705</v>
      </c>
      <c r="F7936" t="str">
        <f t="shared" si="277"/>
        <v>70610010</v>
      </c>
      <c r="H7936" t="s">
        <v>5611</v>
      </c>
      <c r="I7936" s="1">
        <v>45768</v>
      </c>
      <c r="K7936" s="4">
        <v>-931500</v>
      </c>
    </row>
    <row r="7937" spans="1:11" hidden="1" outlineLevel="2" x14ac:dyDescent="0.35">
      <c r="A7937" t="s">
        <v>131</v>
      </c>
      <c r="B7937" s="1">
        <v>45738</v>
      </c>
      <c r="C7937" t="s">
        <v>5706</v>
      </c>
      <c r="D7937" t="s">
        <v>5706</v>
      </c>
      <c r="F7937" t="str">
        <f t="shared" si="277"/>
        <v>70610010</v>
      </c>
      <c r="H7937" t="s">
        <v>5508</v>
      </c>
      <c r="I7937" s="1">
        <v>45769</v>
      </c>
      <c r="K7937" s="4">
        <v>4657500</v>
      </c>
    </row>
    <row r="7938" spans="1:11" hidden="1" outlineLevel="2" x14ac:dyDescent="0.35">
      <c r="A7938" t="s">
        <v>131</v>
      </c>
      <c r="B7938" s="1">
        <v>45738</v>
      </c>
      <c r="C7938" t="s">
        <v>5706</v>
      </c>
      <c r="D7938" t="s">
        <v>5706</v>
      </c>
      <c r="F7938" t="str">
        <f t="shared" si="277"/>
        <v>70610010</v>
      </c>
      <c r="H7938" t="s">
        <v>5508</v>
      </c>
      <c r="I7938" s="1">
        <v>45769</v>
      </c>
      <c r="K7938" s="4">
        <v>4657500</v>
      </c>
    </row>
    <row r="7939" spans="1:11" hidden="1" outlineLevel="2" x14ac:dyDescent="0.35">
      <c r="A7939" t="s">
        <v>131</v>
      </c>
      <c r="B7939" s="1">
        <v>45738</v>
      </c>
      <c r="C7939" t="s">
        <v>5706</v>
      </c>
      <c r="D7939" t="s">
        <v>5706</v>
      </c>
      <c r="F7939" t="str">
        <f t="shared" si="277"/>
        <v>70610010</v>
      </c>
      <c r="H7939" t="s">
        <v>5611</v>
      </c>
      <c r="I7939" s="1">
        <v>45769</v>
      </c>
      <c r="K7939" s="4">
        <v>-4657500</v>
      </c>
    </row>
    <row r="7940" spans="1:11" hidden="1" outlineLevel="2" x14ac:dyDescent="0.35">
      <c r="A7940" t="s">
        <v>131</v>
      </c>
      <c r="B7940" s="1">
        <v>45738</v>
      </c>
      <c r="C7940" t="s">
        <v>5707</v>
      </c>
      <c r="D7940" t="s">
        <v>5707</v>
      </c>
      <c r="F7940" t="str">
        <f t="shared" si="277"/>
        <v>70610010</v>
      </c>
      <c r="H7940" t="s">
        <v>5508</v>
      </c>
      <c r="I7940" s="1">
        <v>45769</v>
      </c>
      <c r="K7940" s="4">
        <v>4657500</v>
      </c>
    </row>
    <row r="7941" spans="1:11" hidden="1" outlineLevel="2" x14ac:dyDescent="0.35">
      <c r="A7941" t="s">
        <v>131</v>
      </c>
      <c r="B7941" s="1">
        <v>45738</v>
      </c>
      <c r="C7941" t="s">
        <v>5707</v>
      </c>
      <c r="D7941" t="s">
        <v>5707</v>
      </c>
      <c r="F7941" t="str">
        <f t="shared" si="277"/>
        <v>70610010</v>
      </c>
      <c r="H7941" t="s">
        <v>5508</v>
      </c>
      <c r="I7941" s="1">
        <v>45769</v>
      </c>
      <c r="K7941" s="4">
        <v>4657500</v>
      </c>
    </row>
    <row r="7942" spans="1:11" hidden="1" outlineLevel="2" x14ac:dyDescent="0.35">
      <c r="A7942" t="s">
        <v>131</v>
      </c>
      <c r="B7942" s="1">
        <v>45738</v>
      </c>
      <c r="C7942" t="s">
        <v>5707</v>
      </c>
      <c r="D7942" t="s">
        <v>5707</v>
      </c>
      <c r="F7942" t="str">
        <f t="shared" si="277"/>
        <v>70610010</v>
      </c>
      <c r="H7942" t="s">
        <v>5611</v>
      </c>
      <c r="I7942" s="1">
        <v>45769</v>
      </c>
      <c r="K7942" s="4">
        <v>-4657500</v>
      </c>
    </row>
    <row r="7943" spans="1:11" hidden="1" outlineLevel="2" x14ac:dyDescent="0.35">
      <c r="A7943" t="s">
        <v>131</v>
      </c>
      <c r="B7943" s="1">
        <v>45740</v>
      </c>
      <c r="C7943" t="s">
        <v>5708</v>
      </c>
      <c r="D7943" t="s">
        <v>5708</v>
      </c>
      <c r="F7943" t="str">
        <f t="shared" si="277"/>
        <v>70610010</v>
      </c>
      <c r="H7943" t="s">
        <v>5508</v>
      </c>
      <c r="I7943" s="1">
        <v>45771</v>
      </c>
      <c r="K7943" s="4">
        <v>931500</v>
      </c>
    </row>
    <row r="7944" spans="1:11" hidden="1" outlineLevel="2" x14ac:dyDescent="0.35">
      <c r="A7944" t="s">
        <v>131</v>
      </c>
      <c r="B7944" s="1">
        <v>45740</v>
      </c>
      <c r="C7944" t="s">
        <v>5709</v>
      </c>
      <c r="D7944" t="s">
        <v>5709</v>
      </c>
      <c r="F7944" t="str">
        <f t="shared" si="277"/>
        <v>70610010</v>
      </c>
      <c r="H7944" t="s">
        <v>5508</v>
      </c>
      <c r="I7944" s="1">
        <v>45771</v>
      </c>
      <c r="K7944" s="4">
        <v>931500</v>
      </c>
    </row>
    <row r="7945" spans="1:11" hidden="1" outlineLevel="2" x14ac:dyDescent="0.35">
      <c r="A7945" t="s">
        <v>131</v>
      </c>
      <c r="B7945" s="1">
        <v>45740</v>
      </c>
      <c r="C7945" t="s">
        <v>5710</v>
      </c>
      <c r="D7945" t="s">
        <v>5710</v>
      </c>
      <c r="F7945" t="str">
        <f t="shared" si="277"/>
        <v>70610010</v>
      </c>
      <c r="H7945" t="s">
        <v>5508</v>
      </c>
      <c r="I7945" s="1">
        <v>45771</v>
      </c>
      <c r="K7945" s="4">
        <v>931500</v>
      </c>
    </row>
    <row r="7946" spans="1:11" hidden="1" outlineLevel="2" x14ac:dyDescent="0.35">
      <c r="A7946" t="s">
        <v>131</v>
      </c>
      <c r="B7946" s="1">
        <v>45740</v>
      </c>
      <c r="C7946" t="s">
        <v>5711</v>
      </c>
      <c r="D7946" t="s">
        <v>5711</v>
      </c>
      <c r="F7946" t="str">
        <f t="shared" si="277"/>
        <v>70610010</v>
      </c>
      <c r="H7946" t="s">
        <v>139</v>
      </c>
      <c r="I7946" s="1">
        <v>45740</v>
      </c>
      <c r="K7946" s="4">
        <v>800000</v>
      </c>
    </row>
    <row r="7947" spans="1:11" hidden="1" outlineLevel="2" x14ac:dyDescent="0.35">
      <c r="A7947" t="s">
        <v>131</v>
      </c>
      <c r="B7947" s="1">
        <v>45740</v>
      </c>
      <c r="C7947" t="s">
        <v>5712</v>
      </c>
      <c r="D7947" t="s">
        <v>5712</v>
      </c>
      <c r="F7947" t="str">
        <f t="shared" si="277"/>
        <v>70610010</v>
      </c>
      <c r="H7947" t="s">
        <v>5518</v>
      </c>
      <c r="I7947" s="1">
        <v>45771</v>
      </c>
      <c r="K7947" s="4">
        <v>150000</v>
      </c>
    </row>
    <row r="7948" spans="1:11" hidden="1" outlineLevel="2" x14ac:dyDescent="0.35">
      <c r="A7948" t="s">
        <v>131</v>
      </c>
      <c r="B7948" s="1">
        <v>45740</v>
      </c>
      <c r="C7948" t="s">
        <v>5713</v>
      </c>
      <c r="D7948" t="s">
        <v>5713</v>
      </c>
      <c r="F7948" t="str">
        <f t="shared" si="277"/>
        <v>70610010</v>
      </c>
      <c r="H7948" t="s">
        <v>5518</v>
      </c>
      <c r="I7948" s="1">
        <v>45771</v>
      </c>
      <c r="K7948" s="4">
        <v>150000</v>
      </c>
    </row>
    <row r="7949" spans="1:11" hidden="1" outlineLevel="2" x14ac:dyDescent="0.35">
      <c r="A7949" t="s">
        <v>131</v>
      </c>
      <c r="B7949" s="1">
        <v>45740</v>
      </c>
      <c r="C7949" t="s">
        <v>5714</v>
      </c>
      <c r="D7949" t="s">
        <v>5714</v>
      </c>
      <c r="F7949" t="str">
        <f t="shared" si="277"/>
        <v>70610010</v>
      </c>
      <c r="H7949" t="s">
        <v>5518</v>
      </c>
      <c r="I7949" s="1">
        <v>45771</v>
      </c>
      <c r="K7949" s="4">
        <v>150000</v>
      </c>
    </row>
    <row r="7950" spans="1:11" hidden="1" outlineLevel="2" x14ac:dyDescent="0.35">
      <c r="A7950" t="s">
        <v>131</v>
      </c>
      <c r="B7950" s="1">
        <v>45740</v>
      </c>
      <c r="C7950" t="s">
        <v>5715</v>
      </c>
      <c r="D7950" t="s">
        <v>5715</v>
      </c>
      <c r="F7950" t="str">
        <f t="shared" si="277"/>
        <v>70610010</v>
      </c>
      <c r="H7950" t="s">
        <v>5518</v>
      </c>
      <c r="I7950" s="1">
        <v>45771</v>
      </c>
      <c r="K7950" s="4">
        <v>150000</v>
      </c>
    </row>
    <row r="7951" spans="1:11" hidden="1" outlineLevel="2" x14ac:dyDescent="0.35">
      <c r="A7951" t="s">
        <v>131</v>
      </c>
      <c r="B7951" s="1">
        <v>45740</v>
      </c>
      <c r="C7951" t="s">
        <v>5716</v>
      </c>
      <c r="D7951" t="s">
        <v>5716</v>
      </c>
      <c r="F7951" t="str">
        <f t="shared" si="277"/>
        <v>70610010</v>
      </c>
      <c r="H7951" t="s">
        <v>5518</v>
      </c>
      <c r="I7951" s="1">
        <v>45771</v>
      </c>
      <c r="K7951" s="4">
        <v>150000</v>
      </c>
    </row>
    <row r="7952" spans="1:11" hidden="1" outlineLevel="2" x14ac:dyDescent="0.35">
      <c r="A7952" t="s">
        <v>131</v>
      </c>
      <c r="B7952" s="1">
        <v>45740</v>
      </c>
      <c r="C7952" t="s">
        <v>5717</v>
      </c>
      <c r="D7952" t="s">
        <v>5717</v>
      </c>
      <c r="F7952" t="str">
        <f t="shared" si="277"/>
        <v>70610010</v>
      </c>
      <c r="H7952" t="s">
        <v>5518</v>
      </c>
      <c r="I7952" s="1">
        <v>45771</v>
      </c>
      <c r="K7952" s="4">
        <v>150000</v>
      </c>
    </row>
    <row r="7953" spans="1:11" hidden="1" outlineLevel="2" x14ac:dyDescent="0.35">
      <c r="A7953" t="s">
        <v>131</v>
      </c>
      <c r="B7953" s="1">
        <v>45740</v>
      </c>
      <c r="C7953" t="s">
        <v>5718</v>
      </c>
      <c r="D7953" t="s">
        <v>5718</v>
      </c>
      <c r="F7953" t="str">
        <f t="shared" si="277"/>
        <v>70610010</v>
      </c>
      <c r="H7953" t="s">
        <v>5518</v>
      </c>
      <c r="I7953" s="1">
        <v>45771</v>
      </c>
      <c r="K7953" s="4">
        <v>150000</v>
      </c>
    </row>
    <row r="7954" spans="1:11" hidden="1" outlineLevel="2" x14ac:dyDescent="0.35">
      <c r="A7954" t="s">
        <v>131</v>
      </c>
      <c r="B7954" s="1">
        <v>45740</v>
      </c>
      <c r="C7954" t="s">
        <v>5719</v>
      </c>
      <c r="D7954" t="s">
        <v>5719</v>
      </c>
      <c r="F7954" t="str">
        <f t="shared" si="277"/>
        <v>70610010</v>
      </c>
      <c r="H7954" t="s">
        <v>5518</v>
      </c>
      <c r="I7954" s="1">
        <v>45771</v>
      </c>
      <c r="K7954" s="4">
        <v>150000</v>
      </c>
    </row>
    <row r="7955" spans="1:11" hidden="1" outlineLevel="2" x14ac:dyDescent="0.35">
      <c r="A7955" t="s">
        <v>131</v>
      </c>
      <c r="B7955" s="1">
        <v>45740</v>
      </c>
      <c r="C7955" t="s">
        <v>5720</v>
      </c>
      <c r="D7955" t="s">
        <v>5720</v>
      </c>
      <c r="F7955" t="str">
        <f t="shared" si="277"/>
        <v>70610010</v>
      </c>
      <c r="H7955" t="s">
        <v>5518</v>
      </c>
      <c r="I7955" s="1">
        <v>45771</v>
      </c>
      <c r="K7955" s="4">
        <v>150000</v>
      </c>
    </row>
    <row r="7956" spans="1:11" hidden="1" outlineLevel="2" x14ac:dyDescent="0.35">
      <c r="A7956" t="s">
        <v>131</v>
      </c>
      <c r="B7956" s="1">
        <v>45740</v>
      </c>
      <c r="C7956" t="s">
        <v>5721</v>
      </c>
      <c r="D7956" t="s">
        <v>5721</v>
      </c>
      <c r="F7956" t="str">
        <f t="shared" si="277"/>
        <v>70610010</v>
      </c>
      <c r="H7956" t="s">
        <v>5518</v>
      </c>
      <c r="I7956" s="1">
        <v>45771</v>
      </c>
      <c r="K7956" s="4">
        <v>150000</v>
      </c>
    </row>
    <row r="7957" spans="1:11" hidden="1" outlineLevel="2" x14ac:dyDescent="0.35">
      <c r="A7957" t="s">
        <v>131</v>
      </c>
      <c r="B7957" s="1">
        <v>45740</v>
      </c>
      <c r="C7957" t="s">
        <v>5722</v>
      </c>
      <c r="D7957" t="s">
        <v>5722</v>
      </c>
      <c r="F7957" t="str">
        <f t="shared" si="277"/>
        <v>70610010</v>
      </c>
      <c r="H7957" t="s">
        <v>5518</v>
      </c>
      <c r="I7957" s="1">
        <v>45771</v>
      </c>
      <c r="K7957" s="4">
        <v>300000</v>
      </c>
    </row>
    <row r="7958" spans="1:11" hidden="1" outlineLevel="2" x14ac:dyDescent="0.35">
      <c r="A7958" t="s">
        <v>131</v>
      </c>
      <c r="B7958" s="1">
        <v>45740</v>
      </c>
      <c r="C7958" t="s">
        <v>5723</v>
      </c>
      <c r="D7958" t="s">
        <v>5723</v>
      </c>
      <c r="F7958" t="str">
        <f t="shared" si="277"/>
        <v>70610010</v>
      </c>
      <c r="H7958" t="s">
        <v>5518</v>
      </c>
      <c r="I7958" s="1">
        <v>45771</v>
      </c>
      <c r="K7958" s="4">
        <v>150000</v>
      </c>
    </row>
    <row r="7959" spans="1:11" hidden="1" outlineLevel="2" x14ac:dyDescent="0.35">
      <c r="A7959" t="s">
        <v>131</v>
      </c>
      <c r="B7959" s="1">
        <v>45740</v>
      </c>
      <c r="C7959" t="s">
        <v>5724</v>
      </c>
      <c r="D7959" t="s">
        <v>5724</v>
      </c>
      <c r="F7959" t="str">
        <f t="shared" si="277"/>
        <v>70610010</v>
      </c>
      <c r="H7959" t="s">
        <v>5518</v>
      </c>
      <c r="I7959" s="1">
        <v>45771</v>
      </c>
      <c r="K7959" s="4">
        <v>150000</v>
      </c>
    </row>
    <row r="7960" spans="1:11" hidden="1" outlineLevel="2" x14ac:dyDescent="0.35">
      <c r="A7960" t="s">
        <v>131</v>
      </c>
      <c r="B7960" s="1">
        <v>45740</v>
      </c>
      <c r="C7960" t="s">
        <v>5725</v>
      </c>
      <c r="D7960" t="s">
        <v>5725</v>
      </c>
      <c r="F7960" t="str">
        <f t="shared" si="277"/>
        <v>70610010</v>
      </c>
      <c r="H7960" t="s">
        <v>5518</v>
      </c>
      <c r="I7960" s="1">
        <v>45771</v>
      </c>
      <c r="K7960" s="4">
        <v>150000</v>
      </c>
    </row>
    <row r="7961" spans="1:11" hidden="1" outlineLevel="2" x14ac:dyDescent="0.35">
      <c r="A7961" t="s">
        <v>131</v>
      </c>
      <c r="B7961" s="1">
        <v>45740</v>
      </c>
      <c r="C7961" t="s">
        <v>5703</v>
      </c>
      <c r="D7961" t="s">
        <v>5703</v>
      </c>
      <c r="F7961" t="str">
        <f t="shared" si="277"/>
        <v>70610010</v>
      </c>
      <c r="H7961" t="s">
        <v>5518</v>
      </c>
      <c r="I7961" s="1">
        <v>45771</v>
      </c>
      <c r="K7961" s="4">
        <v>150000</v>
      </c>
    </row>
    <row r="7962" spans="1:11" hidden="1" outlineLevel="2" x14ac:dyDescent="0.35">
      <c r="A7962" t="s">
        <v>131</v>
      </c>
      <c r="B7962" s="1">
        <v>45740</v>
      </c>
      <c r="C7962" t="s">
        <v>5703</v>
      </c>
      <c r="D7962" t="s">
        <v>5703</v>
      </c>
      <c r="F7962" t="str">
        <f t="shared" si="277"/>
        <v>70610010</v>
      </c>
      <c r="H7962" t="s">
        <v>5676</v>
      </c>
      <c r="I7962" s="1">
        <v>45771</v>
      </c>
      <c r="K7962" s="4">
        <v>-150000</v>
      </c>
    </row>
    <row r="7963" spans="1:11" hidden="1" outlineLevel="2" x14ac:dyDescent="0.35">
      <c r="A7963" t="s">
        <v>131</v>
      </c>
      <c r="B7963" s="1">
        <v>45740</v>
      </c>
      <c r="C7963" t="s">
        <v>5726</v>
      </c>
      <c r="D7963" t="s">
        <v>5726</v>
      </c>
      <c r="F7963" t="str">
        <f t="shared" si="277"/>
        <v>70610010</v>
      </c>
      <c r="H7963" t="s">
        <v>5518</v>
      </c>
      <c r="I7963" s="1">
        <v>45771</v>
      </c>
      <c r="K7963" s="4">
        <v>300000</v>
      </c>
    </row>
    <row r="7964" spans="1:11" hidden="1" outlineLevel="2" x14ac:dyDescent="0.35">
      <c r="A7964" t="s">
        <v>131</v>
      </c>
      <c r="B7964" s="1">
        <v>45740</v>
      </c>
      <c r="C7964" t="s">
        <v>5727</v>
      </c>
      <c r="D7964" t="s">
        <v>5727</v>
      </c>
      <c r="F7964" t="str">
        <f t="shared" ref="F7964:F8027" si="278">"70610010"</f>
        <v>70610010</v>
      </c>
      <c r="H7964" t="s">
        <v>180</v>
      </c>
      <c r="I7964" s="1">
        <v>45771</v>
      </c>
      <c r="K7964" s="4">
        <v>396000</v>
      </c>
    </row>
    <row r="7965" spans="1:11" hidden="1" outlineLevel="2" x14ac:dyDescent="0.35">
      <c r="A7965" t="s">
        <v>131</v>
      </c>
      <c r="B7965" s="1">
        <v>45740</v>
      </c>
      <c r="C7965" t="s">
        <v>5728</v>
      </c>
      <c r="D7965" t="s">
        <v>5728</v>
      </c>
      <c r="F7965" t="str">
        <f t="shared" si="278"/>
        <v>70610010</v>
      </c>
      <c r="H7965" t="s">
        <v>5508</v>
      </c>
      <c r="I7965" s="1">
        <v>45771</v>
      </c>
      <c r="K7965" s="4">
        <v>21735</v>
      </c>
    </row>
    <row r="7966" spans="1:11" hidden="1" outlineLevel="2" x14ac:dyDescent="0.35">
      <c r="A7966" t="s">
        <v>131</v>
      </c>
      <c r="B7966" s="1">
        <v>45741</v>
      </c>
      <c r="C7966" t="s">
        <v>5731</v>
      </c>
      <c r="D7966" t="s">
        <v>5731</v>
      </c>
      <c r="F7966" t="str">
        <f t="shared" si="278"/>
        <v>70610010</v>
      </c>
      <c r="H7966" t="s">
        <v>5518</v>
      </c>
      <c r="I7966" s="1">
        <v>45772</v>
      </c>
      <c r="K7966" s="4">
        <v>150000</v>
      </c>
    </row>
    <row r="7967" spans="1:11" hidden="1" outlineLevel="2" x14ac:dyDescent="0.35">
      <c r="A7967" t="s">
        <v>131</v>
      </c>
      <c r="B7967" s="1">
        <v>45741</v>
      </c>
      <c r="C7967" t="s">
        <v>5732</v>
      </c>
      <c r="D7967" t="s">
        <v>5732</v>
      </c>
      <c r="F7967" t="str">
        <f t="shared" si="278"/>
        <v>70610010</v>
      </c>
      <c r="H7967" t="s">
        <v>5518</v>
      </c>
      <c r="I7967" s="1">
        <v>45772</v>
      </c>
      <c r="K7967" s="4">
        <v>150000</v>
      </c>
    </row>
    <row r="7968" spans="1:11" hidden="1" outlineLevel="2" x14ac:dyDescent="0.35">
      <c r="A7968" t="s">
        <v>131</v>
      </c>
      <c r="B7968" s="1">
        <v>45741</v>
      </c>
      <c r="C7968" t="s">
        <v>5733</v>
      </c>
      <c r="D7968" t="s">
        <v>5733</v>
      </c>
      <c r="F7968" t="str">
        <f t="shared" si="278"/>
        <v>70610010</v>
      </c>
      <c r="H7968" t="s">
        <v>180</v>
      </c>
      <c r="I7968" s="1">
        <v>45777</v>
      </c>
      <c r="K7968" s="4">
        <v>297000</v>
      </c>
    </row>
    <row r="7969" spans="1:11" hidden="1" outlineLevel="2" x14ac:dyDescent="0.35">
      <c r="A7969" t="s">
        <v>131</v>
      </c>
      <c r="B7969" s="1">
        <v>45741</v>
      </c>
      <c r="C7969" t="s">
        <v>5734</v>
      </c>
      <c r="D7969" t="s">
        <v>5734</v>
      </c>
      <c r="F7969" t="str">
        <f t="shared" si="278"/>
        <v>70610010</v>
      </c>
      <c r="H7969" t="s">
        <v>5551</v>
      </c>
      <c r="I7969" s="1">
        <v>45741</v>
      </c>
      <c r="K7969" s="4">
        <v>300000</v>
      </c>
    </row>
    <row r="7970" spans="1:11" hidden="1" outlineLevel="2" x14ac:dyDescent="0.35">
      <c r="A7970" t="s">
        <v>131</v>
      </c>
      <c r="B7970" s="1">
        <v>45741</v>
      </c>
      <c r="C7970" t="s">
        <v>5735</v>
      </c>
      <c r="D7970" t="s">
        <v>5735</v>
      </c>
      <c r="F7970" t="str">
        <f t="shared" si="278"/>
        <v>70610010</v>
      </c>
      <c r="H7970" t="s">
        <v>180</v>
      </c>
      <c r="I7970" s="1">
        <v>45777</v>
      </c>
      <c r="K7970" s="4">
        <v>99000</v>
      </c>
    </row>
    <row r="7971" spans="1:11" hidden="1" outlineLevel="2" x14ac:dyDescent="0.35">
      <c r="A7971" t="s">
        <v>131</v>
      </c>
      <c r="B7971" s="1">
        <v>45741</v>
      </c>
      <c r="C7971" t="s">
        <v>5736</v>
      </c>
      <c r="D7971" t="s">
        <v>5736</v>
      </c>
      <c r="F7971" t="str">
        <f t="shared" si="278"/>
        <v>70610010</v>
      </c>
      <c r="H7971" t="s">
        <v>180</v>
      </c>
      <c r="I7971" s="1">
        <v>45777</v>
      </c>
      <c r="K7971" s="4">
        <v>99000</v>
      </c>
    </row>
    <row r="7972" spans="1:11" hidden="1" outlineLevel="2" x14ac:dyDescent="0.35">
      <c r="A7972" t="s">
        <v>131</v>
      </c>
      <c r="B7972" s="1">
        <v>45741</v>
      </c>
      <c r="C7972" t="s">
        <v>5737</v>
      </c>
      <c r="D7972" t="s">
        <v>5737</v>
      </c>
      <c r="F7972" t="str">
        <f t="shared" si="278"/>
        <v>70610010</v>
      </c>
      <c r="H7972" t="s">
        <v>180</v>
      </c>
      <c r="I7972" s="1">
        <v>45777</v>
      </c>
      <c r="K7972" s="4">
        <v>99000</v>
      </c>
    </row>
    <row r="7973" spans="1:11" hidden="1" outlineLevel="2" x14ac:dyDescent="0.35">
      <c r="A7973" t="s">
        <v>131</v>
      </c>
      <c r="B7973" s="1">
        <v>45741</v>
      </c>
      <c r="C7973" t="s">
        <v>5738</v>
      </c>
      <c r="D7973" t="s">
        <v>5738</v>
      </c>
      <c r="F7973" t="str">
        <f t="shared" si="278"/>
        <v>70610010</v>
      </c>
      <c r="H7973" t="s">
        <v>180</v>
      </c>
      <c r="I7973" s="1">
        <v>45777</v>
      </c>
      <c r="K7973" s="4">
        <v>99000</v>
      </c>
    </row>
    <row r="7974" spans="1:11" hidden="1" outlineLevel="2" x14ac:dyDescent="0.35">
      <c r="A7974" t="s">
        <v>131</v>
      </c>
      <c r="B7974" s="1">
        <v>45741</v>
      </c>
      <c r="C7974" t="s">
        <v>5739</v>
      </c>
      <c r="D7974" t="s">
        <v>5739</v>
      </c>
      <c r="F7974" t="str">
        <f t="shared" si="278"/>
        <v>70610010</v>
      </c>
      <c r="H7974" t="s">
        <v>5740</v>
      </c>
      <c r="I7974" s="1">
        <v>45741</v>
      </c>
      <c r="K7974" s="4">
        <v>1680000</v>
      </c>
    </row>
    <row r="7975" spans="1:11" hidden="1" outlineLevel="2" x14ac:dyDescent="0.35">
      <c r="A7975" t="s">
        <v>131</v>
      </c>
      <c r="B7975" s="1">
        <v>45741</v>
      </c>
      <c r="C7975" t="s">
        <v>5741</v>
      </c>
      <c r="D7975" t="s">
        <v>5741</v>
      </c>
      <c r="F7975" t="str">
        <f t="shared" si="278"/>
        <v>70610010</v>
      </c>
      <c r="H7975" t="s">
        <v>5512</v>
      </c>
      <c r="I7975" s="1">
        <v>45772</v>
      </c>
      <c r="K7975" s="4">
        <v>201000</v>
      </c>
    </row>
    <row r="7976" spans="1:11" hidden="1" outlineLevel="2" x14ac:dyDescent="0.35">
      <c r="A7976" t="s">
        <v>131</v>
      </c>
      <c r="B7976" s="1">
        <v>45741</v>
      </c>
      <c r="C7976" t="s">
        <v>5743</v>
      </c>
      <c r="D7976" t="s">
        <v>5743</v>
      </c>
      <c r="F7976" t="str">
        <f t="shared" si="278"/>
        <v>70610010</v>
      </c>
      <c r="H7976" t="s">
        <v>5508</v>
      </c>
      <c r="I7976" s="1">
        <v>45772</v>
      </c>
      <c r="K7976" s="4">
        <v>7347902</v>
      </c>
    </row>
    <row r="7977" spans="1:11" hidden="1" outlineLevel="2" x14ac:dyDescent="0.35">
      <c r="A7977" t="s">
        <v>131</v>
      </c>
      <c r="B7977" s="1">
        <v>45741</v>
      </c>
      <c r="C7977" t="s">
        <v>5744</v>
      </c>
      <c r="D7977" t="s">
        <v>5744</v>
      </c>
      <c r="F7977" t="str">
        <f t="shared" si="278"/>
        <v>70610010</v>
      </c>
      <c r="H7977" t="s">
        <v>5508</v>
      </c>
      <c r="I7977" s="1">
        <v>45772</v>
      </c>
      <c r="K7977" s="4">
        <v>258038</v>
      </c>
    </row>
    <row r="7978" spans="1:11" hidden="1" outlineLevel="2" x14ac:dyDescent="0.35">
      <c r="A7978" t="s">
        <v>131</v>
      </c>
      <c r="B7978" s="1">
        <v>45741</v>
      </c>
      <c r="C7978" t="s">
        <v>5745</v>
      </c>
      <c r="D7978" t="s">
        <v>5745</v>
      </c>
      <c r="F7978" t="str">
        <f t="shared" si="278"/>
        <v>70610010</v>
      </c>
      <c r="H7978" t="s">
        <v>5508</v>
      </c>
      <c r="I7978" s="1">
        <v>45772</v>
      </c>
      <c r="K7978" s="4">
        <v>258038</v>
      </c>
    </row>
    <row r="7979" spans="1:11" hidden="1" outlineLevel="2" x14ac:dyDescent="0.35">
      <c r="A7979" t="s">
        <v>131</v>
      </c>
      <c r="B7979" s="1">
        <v>45742</v>
      </c>
      <c r="C7979" t="s">
        <v>5746</v>
      </c>
      <c r="D7979" t="s">
        <v>5746</v>
      </c>
      <c r="F7979" t="str">
        <f t="shared" si="278"/>
        <v>70610010</v>
      </c>
      <c r="H7979" t="s">
        <v>165</v>
      </c>
      <c r="I7979" s="1">
        <v>45742</v>
      </c>
      <c r="K7979" s="4">
        <v>904500</v>
      </c>
    </row>
    <row r="7980" spans="1:11" hidden="1" outlineLevel="2" x14ac:dyDescent="0.35">
      <c r="A7980" t="s">
        <v>131</v>
      </c>
      <c r="B7980" s="1">
        <v>45742</v>
      </c>
      <c r="C7980" t="s">
        <v>5747</v>
      </c>
      <c r="D7980" t="s">
        <v>5747</v>
      </c>
      <c r="F7980" t="str">
        <f t="shared" si="278"/>
        <v>70610010</v>
      </c>
      <c r="H7980" t="s">
        <v>5748</v>
      </c>
      <c r="I7980" s="1">
        <v>45777</v>
      </c>
      <c r="K7980" s="4">
        <v>1248000</v>
      </c>
    </row>
    <row r="7981" spans="1:11" hidden="1" outlineLevel="2" x14ac:dyDescent="0.35">
      <c r="A7981" t="s">
        <v>131</v>
      </c>
      <c r="B7981" s="1">
        <v>45742</v>
      </c>
      <c r="C7981" t="s">
        <v>5749</v>
      </c>
      <c r="D7981" t="s">
        <v>5749</v>
      </c>
      <c r="F7981" t="str">
        <f t="shared" si="278"/>
        <v>70610010</v>
      </c>
      <c r="H7981" t="s">
        <v>5748</v>
      </c>
      <c r="I7981" s="1">
        <v>45777</v>
      </c>
      <c r="K7981" s="4">
        <v>1040000</v>
      </c>
    </row>
    <row r="7982" spans="1:11" hidden="1" outlineLevel="2" x14ac:dyDescent="0.35">
      <c r="A7982" t="s">
        <v>131</v>
      </c>
      <c r="B7982" s="1">
        <v>45742</v>
      </c>
      <c r="C7982" t="s">
        <v>5750</v>
      </c>
      <c r="D7982" t="s">
        <v>5750</v>
      </c>
      <c r="F7982" t="str">
        <f t="shared" si="278"/>
        <v>70610010</v>
      </c>
      <c r="H7982" t="s">
        <v>5748</v>
      </c>
      <c r="I7982" s="1">
        <v>45777</v>
      </c>
      <c r="K7982" s="4">
        <v>2496000</v>
      </c>
    </row>
    <row r="7983" spans="1:11" hidden="1" outlineLevel="2" x14ac:dyDescent="0.35">
      <c r="A7983" t="s">
        <v>131</v>
      </c>
      <c r="B7983" s="1">
        <v>45742</v>
      </c>
      <c r="C7983" t="s">
        <v>5751</v>
      </c>
      <c r="D7983" t="s">
        <v>5751</v>
      </c>
      <c r="F7983" t="str">
        <f t="shared" si="278"/>
        <v>70610010</v>
      </c>
      <c r="H7983" t="s">
        <v>5748</v>
      </c>
      <c r="I7983" s="1">
        <v>45777</v>
      </c>
      <c r="K7983" s="4">
        <v>1248000</v>
      </c>
    </row>
    <row r="7984" spans="1:11" hidden="1" outlineLevel="2" x14ac:dyDescent="0.35">
      <c r="A7984" t="s">
        <v>131</v>
      </c>
      <c r="B7984" s="1">
        <v>45742</v>
      </c>
      <c r="C7984" t="s">
        <v>5752</v>
      </c>
      <c r="D7984" t="s">
        <v>5752</v>
      </c>
      <c r="F7984" t="str">
        <f t="shared" si="278"/>
        <v>70610010</v>
      </c>
      <c r="H7984" t="s">
        <v>5748</v>
      </c>
      <c r="I7984" s="1">
        <v>45777</v>
      </c>
      <c r="K7984" s="4">
        <v>1040000</v>
      </c>
    </row>
    <row r="7985" spans="1:11" hidden="1" outlineLevel="2" x14ac:dyDescent="0.35">
      <c r="A7985" t="s">
        <v>131</v>
      </c>
      <c r="B7985" s="1">
        <v>45742</v>
      </c>
      <c r="C7985" t="s">
        <v>5753</v>
      </c>
      <c r="D7985" t="s">
        <v>5753</v>
      </c>
      <c r="F7985" t="str">
        <f t="shared" si="278"/>
        <v>70610010</v>
      </c>
      <c r="H7985" t="s">
        <v>5748</v>
      </c>
      <c r="I7985" s="1">
        <v>45777</v>
      </c>
      <c r="K7985" s="4">
        <v>1040000</v>
      </c>
    </row>
    <row r="7986" spans="1:11" hidden="1" outlineLevel="2" x14ac:dyDescent="0.35">
      <c r="A7986" t="s">
        <v>131</v>
      </c>
      <c r="B7986" s="1">
        <v>45742</v>
      </c>
      <c r="C7986" t="s">
        <v>5754</v>
      </c>
      <c r="D7986" t="s">
        <v>5754</v>
      </c>
      <c r="F7986" t="str">
        <f t="shared" si="278"/>
        <v>70610010</v>
      </c>
      <c r="H7986" t="s">
        <v>5748</v>
      </c>
      <c r="I7986" s="1">
        <v>45777</v>
      </c>
      <c r="K7986" s="4">
        <v>1040000</v>
      </c>
    </row>
    <row r="7987" spans="1:11" hidden="1" outlineLevel="2" x14ac:dyDescent="0.35">
      <c r="A7987" t="s">
        <v>131</v>
      </c>
      <c r="B7987" s="1">
        <v>45742</v>
      </c>
      <c r="C7987" t="s">
        <v>5755</v>
      </c>
      <c r="D7987" t="s">
        <v>5755</v>
      </c>
      <c r="F7987" t="str">
        <f t="shared" si="278"/>
        <v>70610010</v>
      </c>
      <c r="H7987" t="s">
        <v>5748</v>
      </c>
      <c r="I7987" s="1">
        <v>45777</v>
      </c>
      <c r="K7987" s="4">
        <v>1040000</v>
      </c>
    </row>
    <row r="7988" spans="1:11" hidden="1" outlineLevel="2" x14ac:dyDescent="0.35">
      <c r="A7988" t="s">
        <v>131</v>
      </c>
      <c r="B7988" s="1">
        <v>45742</v>
      </c>
      <c r="C7988" t="s">
        <v>5756</v>
      </c>
      <c r="D7988" t="s">
        <v>5756</v>
      </c>
      <c r="F7988" t="str">
        <f t="shared" si="278"/>
        <v>70610010</v>
      </c>
      <c r="H7988" t="s">
        <v>5748</v>
      </c>
      <c r="I7988" s="1">
        <v>45777</v>
      </c>
      <c r="K7988" s="4">
        <v>416000</v>
      </c>
    </row>
    <row r="7989" spans="1:11" hidden="1" outlineLevel="2" x14ac:dyDescent="0.35">
      <c r="A7989" t="s">
        <v>131</v>
      </c>
      <c r="B7989" s="1">
        <v>45742</v>
      </c>
      <c r="C7989" t="s">
        <v>5757</v>
      </c>
      <c r="D7989" t="s">
        <v>5757</v>
      </c>
      <c r="F7989" t="str">
        <f t="shared" si="278"/>
        <v>70610010</v>
      </c>
      <c r="H7989" t="s">
        <v>5748</v>
      </c>
      <c r="I7989" s="1">
        <v>45777</v>
      </c>
      <c r="K7989" s="4">
        <v>1248000</v>
      </c>
    </row>
    <row r="7990" spans="1:11" hidden="1" outlineLevel="2" x14ac:dyDescent="0.35">
      <c r="A7990" t="s">
        <v>131</v>
      </c>
      <c r="B7990" s="1">
        <v>45742</v>
      </c>
      <c r="C7990" t="s">
        <v>5758</v>
      </c>
      <c r="D7990" t="s">
        <v>5758</v>
      </c>
      <c r="F7990" t="str">
        <f t="shared" si="278"/>
        <v>70610010</v>
      </c>
      <c r="H7990" t="s">
        <v>5508</v>
      </c>
      <c r="I7990" s="1">
        <v>45773</v>
      </c>
      <c r="K7990" s="4">
        <v>931500</v>
      </c>
    </row>
    <row r="7991" spans="1:11" hidden="1" outlineLevel="2" x14ac:dyDescent="0.35">
      <c r="A7991" t="s">
        <v>131</v>
      </c>
      <c r="B7991" s="1">
        <v>45742</v>
      </c>
      <c r="C7991" t="s">
        <v>5759</v>
      </c>
      <c r="D7991" t="s">
        <v>5759</v>
      </c>
      <c r="F7991" t="str">
        <f t="shared" si="278"/>
        <v>70610010</v>
      </c>
      <c r="H7991" t="s">
        <v>5508</v>
      </c>
      <c r="I7991" s="1">
        <v>45773</v>
      </c>
      <c r="K7991" s="4">
        <v>21725</v>
      </c>
    </row>
    <row r="7992" spans="1:11" hidden="1" outlineLevel="2" x14ac:dyDescent="0.35">
      <c r="A7992" t="s">
        <v>131</v>
      </c>
      <c r="B7992" s="1">
        <v>45742</v>
      </c>
      <c r="C7992" t="s">
        <v>5760</v>
      </c>
      <c r="D7992" t="s">
        <v>5760</v>
      </c>
      <c r="F7992" t="str">
        <f t="shared" si="278"/>
        <v>70610010</v>
      </c>
      <c r="H7992" t="s">
        <v>5508</v>
      </c>
      <c r="I7992" s="1">
        <v>45773</v>
      </c>
      <c r="K7992" s="4">
        <v>108675</v>
      </c>
    </row>
    <row r="7993" spans="1:11" hidden="1" outlineLevel="2" x14ac:dyDescent="0.35">
      <c r="A7993" t="s">
        <v>131</v>
      </c>
      <c r="B7993" s="1">
        <v>45742</v>
      </c>
      <c r="C7993" t="s">
        <v>5761</v>
      </c>
      <c r="D7993" t="s">
        <v>5761</v>
      </c>
      <c r="F7993" t="str">
        <f t="shared" si="278"/>
        <v>70610010</v>
      </c>
      <c r="H7993" t="s">
        <v>5508</v>
      </c>
      <c r="I7993" s="1">
        <v>45773</v>
      </c>
      <c r="K7993" s="4">
        <v>43470</v>
      </c>
    </row>
    <row r="7994" spans="1:11" hidden="1" outlineLevel="2" x14ac:dyDescent="0.35">
      <c r="A7994" t="s">
        <v>131</v>
      </c>
      <c r="B7994" s="1">
        <v>45742</v>
      </c>
      <c r="C7994" t="s">
        <v>5762</v>
      </c>
      <c r="D7994" t="s">
        <v>5762</v>
      </c>
      <c r="F7994" t="str">
        <f t="shared" si="278"/>
        <v>70610010</v>
      </c>
      <c r="H7994" t="s">
        <v>5508</v>
      </c>
      <c r="I7994" s="1">
        <v>45773</v>
      </c>
      <c r="K7994" s="4">
        <v>21735</v>
      </c>
    </row>
    <row r="7995" spans="1:11" hidden="1" outlineLevel="2" x14ac:dyDescent="0.35">
      <c r="A7995" t="s">
        <v>131</v>
      </c>
      <c r="B7995" s="1">
        <v>45742</v>
      </c>
      <c r="C7995" t="s">
        <v>5763</v>
      </c>
      <c r="D7995" t="s">
        <v>5763</v>
      </c>
      <c r="F7995" t="str">
        <f t="shared" si="278"/>
        <v>70610010</v>
      </c>
      <c r="H7995" t="s">
        <v>5508</v>
      </c>
      <c r="I7995" s="1">
        <v>45773</v>
      </c>
      <c r="K7995" s="4">
        <v>43470</v>
      </c>
    </row>
    <row r="7996" spans="1:11" hidden="1" outlineLevel="2" x14ac:dyDescent="0.35">
      <c r="A7996" t="s">
        <v>131</v>
      </c>
      <c r="B7996" s="1">
        <v>45742</v>
      </c>
      <c r="C7996" t="s">
        <v>5764</v>
      </c>
      <c r="D7996" t="s">
        <v>5764</v>
      </c>
      <c r="F7996" t="str">
        <f t="shared" si="278"/>
        <v>70610010</v>
      </c>
      <c r="H7996" t="s">
        <v>5508</v>
      </c>
      <c r="I7996" s="1">
        <v>45773</v>
      </c>
      <c r="K7996" s="4">
        <v>931500</v>
      </c>
    </row>
    <row r="7997" spans="1:11" hidden="1" outlineLevel="2" x14ac:dyDescent="0.35">
      <c r="A7997" t="s">
        <v>131</v>
      </c>
      <c r="B7997" s="1">
        <v>45742</v>
      </c>
      <c r="C7997" t="s">
        <v>5765</v>
      </c>
      <c r="D7997" t="s">
        <v>5765</v>
      </c>
      <c r="F7997" t="str">
        <f t="shared" si="278"/>
        <v>70610010</v>
      </c>
      <c r="H7997" t="s">
        <v>5508</v>
      </c>
      <c r="I7997" s="1">
        <v>45773</v>
      </c>
      <c r="K7997" s="4">
        <v>931500</v>
      </c>
    </row>
    <row r="7998" spans="1:11" hidden="1" outlineLevel="2" x14ac:dyDescent="0.35">
      <c r="A7998" t="s">
        <v>131</v>
      </c>
      <c r="B7998" s="1">
        <v>45742</v>
      </c>
      <c r="C7998" t="s">
        <v>5766</v>
      </c>
      <c r="D7998" t="s">
        <v>5766</v>
      </c>
      <c r="F7998" t="str">
        <f t="shared" si="278"/>
        <v>70610010</v>
      </c>
      <c r="H7998" t="s">
        <v>5508</v>
      </c>
      <c r="I7998" s="1">
        <v>45773</v>
      </c>
      <c r="K7998" s="4">
        <v>931500</v>
      </c>
    </row>
    <row r="7999" spans="1:11" hidden="1" outlineLevel="2" x14ac:dyDescent="0.35">
      <c r="A7999" t="s">
        <v>131</v>
      </c>
      <c r="B7999" s="1">
        <v>45742</v>
      </c>
      <c r="C7999" t="s">
        <v>5767</v>
      </c>
      <c r="D7999" t="s">
        <v>5767</v>
      </c>
      <c r="F7999" t="str">
        <f t="shared" si="278"/>
        <v>70610010</v>
      </c>
      <c r="H7999" t="s">
        <v>5508</v>
      </c>
      <c r="I7999" s="1">
        <v>45773</v>
      </c>
      <c r="K7999" s="4">
        <v>931500</v>
      </c>
    </row>
    <row r="8000" spans="1:11" hidden="1" outlineLevel="2" x14ac:dyDescent="0.35">
      <c r="A8000" t="s">
        <v>131</v>
      </c>
      <c r="B8000" s="1">
        <v>45744</v>
      </c>
      <c r="C8000" t="s">
        <v>5769</v>
      </c>
      <c r="D8000" t="s">
        <v>5769</v>
      </c>
      <c r="F8000" t="str">
        <f t="shared" si="278"/>
        <v>70610010</v>
      </c>
      <c r="H8000" t="s">
        <v>5770</v>
      </c>
      <c r="I8000" s="1">
        <v>45775</v>
      </c>
      <c r="K8000" s="4">
        <v>80000</v>
      </c>
    </row>
    <row r="8001" spans="1:11" hidden="1" outlineLevel="2" x14ac:dyDescent="0.35">
      <c r="A8001" t="s">
        <v>131</v>
      </c>
      <c r="B8001" s="1">
        <v>45744</v>
      </c>
      <c r="C8001" t="s">
        <v>5771</v>
      </c>
      <c r="D8001" t="s">
        <v>5771</v>
      </c>
      <c r="F8001" t="str">
        <f t="shared" si="278"/>
        <v>70610010</v>
      </c>
      <c r="H8001" t="s">
        <v>5516</v>
      </c>
      <c r="I8001" s="1">
        <v>45775</v>
      </c>
      <c r="K8001" s="4">
        <v>1612000</v>
      </c>
    </row>
    <row r="8002" spans="1:11" hidden="1" outlineLevel="2" x14ac:dyDescent="0.35">
      <c r="A8002" t="s">
        <v>131</v>
      </c>
      <c r="B8002" s="1">
        <v>45744</v>
      </c>
      <c r="C8002" t="s">
        <v>5772</v>
      </c>
      <c r="D8002" t="s">
        <v>5772</v>
      </c>
      <c r="F8002" t="str">
        <f t="shared" si="278"/>
        <v>70610010</v>
      </c>
      <c r="H8002" t="s">
        <v>5686</v>
      </c>
      <c r="I8002" s="1">
        <v>45775</v>
      </c>
      <c r="K8002" s="4">
        <v>1750000</v>
      </c>
    </row>
    <row r="8003" spans="1:11" hidden="1" outlineLevel="2" x14ac:dyDescent="0.35">
      <c r="A8003" t="s">
        <v>131</v>
      </c>
      <c r="B8003" s="1">
        <v>45744</v>
      </c>
      <c r="C8003" t="s">
        <v>5773</v>
      </c>
      <c r="D8003" t="s">
        <v>5773</v>
      </c>
      <c r="F8003" t="str">
        <f t="shared" si="278"/>
        <v>70610010</v>
      </c>
      <c r="H8003" t="s">
        <v>5508</v>
      </c>
      <c r="I8003" s="1">
        <v>45775</v>
      </c>
      <c r="K8003" s="4">
        <v>7347902</v>
      </c>
    </row>
    <row r="8004" spans="1:11" hidden="1" outlineLevel="2" x14ac:dyDescent="0.35">
      <c r="A8004" t="s">
        <v>131</v>
      </c>
      <c r="B8004" s="1">
        <v>45744</v>
      </c>
      <c r="C8004" t="s">
        <v>5774</v>
      </c>
      <c r="D8004" t="s">
        <v>5774</v>
      </c>
      <c r="F8004" t="str">
        <f t="shared" si="278"/>
        <v>70610010</v>
      </c>
      <c r="H8004" t="s">
        <v>139</v>
      </c>
      <c r="I8004" s="1">
        <v>45744</v>
      </c>
      <c r="K8004" s="4">
        <v>600000</v>
      </c>
    </row>
    <row r="8005" spans="1:11" hidden="1" outlineLevel="2" x14ac:dyDescent="0.35">
      <c r="A8005" t="s">
        <v>131</v>
      </c>
      <c r="B8005" s="1">
        <v>45744</v>
      </c>
      <c r="C8005" t="s">
        <v>5775</v>
      </c>
      <c r="D8005" t="s">
        <v>5775</v>
      </c>
      <c r="F8005" t="str">
        <f t="shared" si="278"/>
        <v>70610010</v>
      </c>
      <c r="H8005" t="s">
        <v>139</v>
      </c>
      <c r="I8005" s="1">
        <v>45744</v>
      </c>
      <c r="K8005" s="4">
        <v>400000</v>
      </c>
    </row>
    <row r="8006" spans="1:11" hidden="1" outlineLevel="2" x14ac:dyDescent="0.35">
      <c r="A8006" t="s">
        <v>131</v>
      </c>
      <c r="B8006" s="1">
        <v>45744</v>
      </c>
      <c r="C8006" t="s">
        <v>5776</v>
      </c>
      <c r="D8006" t="s">
        <v>5776</v>
      </c>
      <c r="F8006" t="str">
        <f t="shared" si="278"/>
        <v>70610010</v>
      </c>
      <c r="H8006" t="s">
        <v>139</v>
      </c>
      <c r="I8006" s="1">
        <v>45744</v>
      </c>
      <c r="K8006" s="4">
        <v>300000</v>
      </c>
    </row>
    <row r="8007" spans="1:11" hidden="1" outlineLevel="2" x14ac:dyDescent="0.35">
      <c r="A8007" t="s">
        <v>131</v>
      </c>
      <c r="B8007" s="1">
        <v>45744</v>
      </c>
      <c r="C8007" t="s">
        <v>5777</v>
      </c>
      <c r="D8007" t="s">
        <v>5777</v>
      </c>
      <c r="F8007" t="str">
        <f t="shared" si="278"/>
        <v>70610010</v>
      </c>
      <c r="H8007" t="s">
        <v>139</v>
      </c>
      <c r="I8007" s="1">
        <v>45744</v>
      </c>
      <c r="K8007" s="4">
        <v>536000</v>
      </c>
    </row>
    <row r="8008" spans="1:11" hidden="1" outlineLevel="2" x14ac:dyDescent="0.35">
      <c r="A8008" t="s">
        <v>131</v>
      </c>
      <c r="B8008" s="1">
        <v>45744</v>
      </c>
      <c r="C8008" t="s">
        <v>5778</v>
      </c>
      <c r="D8008" t="s">
        <v>5778</v>
      </c>
      <c r="F8008" t="str">
        <f t="shared" si="278"/>
        <v>70610010</v>
      </c>
      <c r="H8008" t="s">
        <v>5512</v>
      </c>
      <c r="I8008" s="1">
        <v>45775</v>
      </c>
      <c r="K8008" s="4">
        <v>536000</v>
      </c>
    </row>
    <row r="8009" spans="1:11" hidden="1" outlineLevel="2" x14ac:dyDescent="0.35">
      <c r="A8009" t="s">
        <v>131</v>
      </c>
      <c r="B8009" s="1">
        <v>45744</v>
      </c>
      <c r="C8009" t="s">
        <v>5779</v>
      </c>
      <c r="D8009" t="s">
        <v>5779</v>
      </c>
      <c r="F8009" t="str">
        <f t="shared" si="278"/>
        <v>70610010</v>
      </c>
      <c r="H8009" t="s">
        <v>5512</v>
      </c>
      <c r="I8009" s="1">
        <v>45775</v>
      </c>
      <c r="K8009" s="4">
        <v>268000</v>
      </c>
    </row>
    <row r="8010" spans="1:11" hidden="1" outlineLevel="2" x14ac:dyDescent="0.35">
      <c r="A8010" t="s">
        <v>131</v>
      </c>
      <c r="B8010" s="1">
        <v>45744</v>
      </c>
      <c r="C8010" t="s">
        <v>5780</v>
      </c>
      <c r="D8010" t="s">
        <v>5780</v>
      </c>
      <c r="F8010" t="str">
        <f t="shared" si="278"/>
        <v>70610010</v>
      </c>
      <c r="H8010" t="s">
        <v>5518</v>
      </c>
      <c r="I8010" s="1">
        <v>45775</v>
      </c>
      <c r="K8010" s="4">
        <v>150000</v>
      </c>
    </row>
    <row r="8011" spans="1:11" hidden="1" outlineLevel="2" x14ac:dyDescent="0.35">
      <c r="A8011" t="s">
        <v>131</v>
      </c>
      <c r="B8011" s="1">
        <v>45744</v>
      </c>
      <c r="C8011" t="s">
        <v>5781</v>
      </c>
      <c r="D8011" t="s">
        <v>5781</v>
      </c>
      <c r="F8011" t="str">
        <f t="shared" si="278"/>
        <v>70610010</v>
      </c>
      <c r="H8011" t="s">
        <v>5518</v>
      </c>
      <c r="I8011" s="1">
        <v>45775</v>
      </c>
      <c r="K8011" s="4">
        <v>150000</v>
      </c>
    </row>
    <row r="8012" spans="1:11" hidden="1" outlineLevel="2" x14ac:dyDescent="0.35">
      <c r="A8012" t="s">
        <v>131</v>
      </c>
      <c r="B8012" s="1">
        <v>45744</v>
      </c>
      <c r="C8012" t="s">
        <v>5782</v>
      </c>
      <c r="D8012" t="s">
        <v>5782</v>
      </c>
      <c r="F8012" t="str">
        <f t="shared" si="278"/>
        <v>70610010</v>
      </c>
      <c r="H8012" t="s">
        <v>5518</v>
      </c>
      <c r="I8012" s="1">
        <v>45775</v>
      </c>
      <c r="K8012" s="4">
        <v>150000</v>
      </c>
    </row>
    <row r="8013" spans="1:11" hidden="1" outlineLevel="2" x14ac:dyDescent="0.35">
      <c r="A8013" t="s">
        <v>131</v>
      </c>
      <c r="B8013" s="1">
        <v>45744</v>
      </c>
      <c r="C8013" t="s">
        <v>5783</v>
      </c>
      <c r="D8013" t="s">
        <v>5783</v>
      </c>
      <c r="F8013" t="str">
        <f t="shared" si="278"/>
        <v>70610010</v>
      </c>
      <c r="H8013" t="s">
        <v>5518</v>
      </c>
      <c r="I8013" s="1">
        <v>45775</v>
      </c>
      <c r="K8013" s="4">
        <v>150000</v>
      </c>
    </row>
    <row r="8014" spans="1:11" hidden="1" outlineLevel="2" x14ac:dyDescent="0.35">
      <c r="A8014" t="s">
        <v>131</v>
      </c>
      <c r="B8014" s="1">
        <v>45744</v>
      </c>
      <c r="C8014" t="s">
        <v>5784</v>
      </c>
      <c r="D8014" t="s">
        <v>5784</v>
      </c>
      <c r="F8014" t="str">
        <f t="shared" si="278"/>
        <v>70610010</v>
      </c>
      <c r="H8014" t="s">
        <v>5518</v>
      </c>
      <c r="I8014" s="1">
        <v>45775</v>
      </c>
      <c r="K8014" s="4">
        <v>150000</v>
      </c>
    </row>
    <row r="8015" spans="1:11" hidden="1" outlineLevel="2" x14ac:dyDescent="0.35">
      <c r="A8015" t="s">
        <v>131</v>
      </c>
      <c r="B8015" s="1">
        <v>45744</v>
      </c>
      <c r="C8015" t="s">
        <v>5785</v>
      </c>
      <c r="D8015" t="s">
        <v>5785</v>
      </c>
      <c r="F8015" t="str">
        <f t="shared" si="278"/>
        <v>70610010</v>
      </c>
      <c r="H8015" t="s">
        <v>5518</v>
      </c>
      <c r="I8015" s="1">
        <v>45775</v>
      </c>
      <c r="K8015" s="4">
        <v>150000</v>
      </c>
    </row>
    <row r="8016" spans="1:11" hidden="1" outlineLevel="2" x14ac:dyDescent="0.35">
      <c r="A8016" t="s">
        <v>131</v>
      </c>
      <c r="B8016" s="1">
        <v>45744</v>
      </c>
      <c r="C8016" t="s">
        <v>5786</v>
      </c>
      <c r="D8016" t="s">
        <v>5786</v>
      </c>
      <c r="F8016" t="str">
        <f t="shared" si="278"/>
        <v>70610010</v>
      </c>
      <c r="H8016" t="s">
        <v>180</v>
      </c>
      <c r="I8016" s="1">
        <v>45775</v>
      </c>
      <c r="K8016" s="4">
        <v>99000</v>
      </c>
    </row>
    <row r="8017" spans="1:11" hidden="1" outlineLevel="2" x14ac:dyDescent="0.35">
      <c r="A8017" t="s">
        <v>131</v>
      </c>
      <c r="B8017" s="1">
        <v>45744</v>
      </c>
      <c r="C8017" t="s">
        <v>5788</v>
      </c>
      <c r="D8017" t="s">
        <v>5788</v>
      </c>
      <c r="F8017" t="str">
        <f t="shared" si="278"/>
        <v>70610010</v>
      </c>
      <c r="H8017" t="s">
        <v>5789</v>
      </c>
      <c r="I8017" s="1">
        <v>45744</v>
      </c>
      <c r="K8017" s="4">
        <v>150000</v>
      </c>
    </row>
    <row r="8018" spans="1:11" hidden="1" outlineLevel="2" x14ac:dyDescent="0.35">
      <c r="A8018" t="s">
        <v>131</v>
      </c>
      <c r="B8018" s="1">
        <v>45744</v>
      </c>
      <c r="C8018" t="s">
        <v>5790</v>
      </c>
      <c r="D8018" t="s">
        <v>5790</v>
      </c>
      <c r="F8018" t="str">
        <f t="shared" si="278"/>
        <v>70610010</v>
      </c>
      <c r="H8018" t="s">
        <v>5671</v>
      </c>
      <c r="I8018" s="1">
        <v>45744</v>
      </c>
      <c r="K8018" s="4">
        <v>1900000</v>
      </c>
    </row>
    <row r="8019" spans="1:11" hidden="1" outlineLevel="2" x14ac:dyDescent="0.35">
      <c r="A8019" t="s">
        <v>131</v>
      </c>
      <c r="B8019" s="1">
        <v>45744</v>
      </c>
      <c r="C8019" t="s">
        <v>5791</v>
      </c>
      <c r="D8019" t="s">
        <v>5791</v>
      </c>
      <c r="F8019" t="str">
        <f t="shared" si="278"/>
        <v>70610010</v>
      </c>
      <c r="H8019" t="s">
        <v>5792</v>
      </c>
      <c r="I8019" s="1">
        <v>45777</v>
      </c>
      <c r="K8019" s="4">
        <v>250000</v>
      </c>
    </row>
    <row r="8020" spans="1:11" hidden="1" outlineLevel="2" x14ac:dyDescent="0.35">
      <c r="A8020" t="s">
        <v>131</v>
      </c>
      <c r="B8020" s="1">
        <v>45744</v>
      </c>
      <c r="C8020" t="s">
        <v>5796</v>
      </c>
      <c r="D8020" t="s">
        <v>5796</v>
      </c>
      <c r="F8020" t="str">
        <f t="shared" si="278"/>
        <v>70610010</v>
      </c>
      <c r="H8020" t="s">
        <v>5508</v>
      </c>
      <c r="I8020" s="1">
        <v>45775</v>
      </c>
      <c r="K8020" s="4">
        <v>258038</v>
      </c>
    </row>
    <row r="8021" spans="1:11" hidden="1" outlineLevel="2" x14ac:dyDescent="0.35">
      <c r="A8021" t="s">
        <v>131</v>
      </c>
      <c r="B8021" s="1">
        <v>45744</v>
      </c>
      <c r="C8021" t="s">
        <v>5797</v>
      </c>
      <c r="D8021" t="s">
        <v>5797</v>
      </c>
      <c r="F8021" t="str">
        <f t="shared" si="278"/>
        <v>70610010</v>
      </c>
      <c r="H8021" t="s">
        <v>5508</v>
      </c>
      <c r="I8021" s="1">
        <v>45775</v>
      </c>
      <c r="K8021" s="4">
        <v>258038</v>
      </c>
    </row>
    <row r="8022" spans="1:11" hidden="1" outlineLevel="2" x14ac:dyDescent="0.35">
      <c r="A8022" t="s">
        <v>131</v>
      </c>
      <c r="B8022" s="1">
        <v>45744</v>
      </c>
      <c r="C8022" t="s">
        <v>5798</v>
      </c>
      <c r="D8022" t="s">
        <v>5798</v>
      </c>
      <c r="F8022" t="str">
        <f t="shared" si="278"/>
        <v>70610010</v>
      </c>
      <c r="H8022" t="s">
        <v>5508</v>
      </c>
      <c r="I8022" s="1">
        <v>45775</v>
      </c>
      <c r="K8022" s="4">
        <v>258038</v>
      </c>
    </row>
    <row r="8023" spans="1:11" hidden="1" outlineLevel="2" x14ac:dyDescent="0.35">
      <c r="A8023" t="s">
        <v>131</v>
      </c>
      <c r="B8023" s="1">
        <v>45744</v>
      </c>
      <c r="C8023" t="s">
        <v>5799</v>
      </c>
      <c r="D8023" t="s">
        <v>5799</v>
      </c>
      <c r="F8023" t="str">
        <f t="shared" si="278"/>
        <v>70610010</v>
      </c>
      <c r="H8023" t="s">
        <v>5508</v>
      </c>
      <c r="I8023" s="1">
        <v>45775</v>
      </c>
      <c r="K8023" s="4">
        <v>258038</v>
      </c>
    </row>
    <row r="8024" spans="1:11" hidden="1" outlineLevel="2" x14ac:dyDescent="0.35">
      <c r="A8024" t="s">
        <v>131</v>
      </c>
      <c r="B8024" s="1">
        <v>45744</v>
      </c>
      <c r="C8024" t="s">
        <v>5800</v>
      </c>
      <c r="D8024" t="s">
        <v>5800</v>
      </c>
      <c r="F8024" t="str">
        <f t="shared" si="278"/>
        <v>70610010</v>
      </c>
      <c r="H8024" t="s">
        <v>5508</v>
      </c>
      <c r="I8024" s="1">
        <v>45775</v>
      </c>
      <c r="K8024" s="4">
        <v>258038</v>
      </c>
    </row>
    <row r="8025" spans="1:11" hidden="1" outlineLevel="2" x14ac:dyDescent="0.35">
      <c r="A8025" t="s">
        <v>131</v>
      </c>
      <c r="B8025" s="1">
        <v>45744</v>
      </c>
      <c r="C8025" t="s">
        <v>5801</v>
      </c>
      <c r="D8025" t="s">
        <v>5801</v>
      </c>
      <c r="F8025" t="str">
        <f t="shared" si="278"/>
        <v>70610010</v>
      </c>
      <c r="H8025" t="s">
        <v>5508</v>
      </c>
      <c r="I8025" s="1">
        <v>45775</v>
      </c>
      <c r="K8025" s="4">
        <v>258038</v>
      </c>
    </row>
    <row r="8026" spans="1:11" hidden="1" outlineLevel="2" x14ac:dyDescent="0.35">
      <c r="A8026" t="s">
        <v>131</v>
      </c>
      <c r="B8026" s="1">
        <v>45744</v>
      </c>
      <c r="C8026" t="s">
        <v>5802</v>
      </c>
      <c r="D8026" t="s">
        <v>5802</v>
      </c>
      <c r="F8026" t="str">
        <f t="shared" si="278"/>
        <v>70610010</v>
      </c>
      <c r="H8026" t="s">
        <v>5508</v>
      </c>
      <c r="I8026" s="1">
        <v>45775</v>
      </c>
      <c r="K8026" s="4">
        <v>258038</v>
      </c>
    </row>
    <row r="8027" spans="1:11" hidden="1" outlineLevel="2" x14ac:dyDescent="0.35">
      <c r="A8027" t="s">
        <v>131</v>
      </c>
      <c r="B8027" s="1">
        <v>45744</v>
      </c>
      <c r="C8027" t="s">
        <v>5803</v>
      </c>
      <c r="D8027" t="s">
        <v>5803</v>
      </c>
      <c r="F8027" t="str">
        <f t="shared" si="278"/>
        <v>70610010</v>
      </c>
      <c r="H8027" t="s">
        <v>5508</v>
      </c>
      <c r="I8027" s="1">
        <v>45775</v>
      </c>
      <c r="K8027" s="4">
        <v>931500</v>
      </c>
    </row>
    <row r="8028" spans="1:11" hidden="1" outlineLevel="2" x14ac:dyDescent="0.35">
      <c r="A8028" t="s">
        <v>131</v>
      </c>
      <c r="B8028" s="1">
        <v>45744</v>
      </c>
      <c r="C8028" t="s">
        <v>5804</v>
      </c>
      <c r="D8028" t="s">
        <v>5804</v>
      </c>
      <c r="F8028" t="str">
        <f t="shared" ref="F8028:F8084" si="279">"70610010"</f>
        <v>70610010</v>
      </c>
      <c r="H8028" t="s">
        <v>5508</v>
      </c>
      <c r="I8028" s="1">
        <v>45775</v>
      </c>
      <c r="K8028" s="4">
        <v>931500</v>
      </c>
    </row>
    <row r="8029" spans="1:11" hidden="1" outlineLevel="2" x14ac:dyDescent="0.35">
      <c r="A8029" t="s">
        <v>131</v>
      </c>
      <c r="B8029" s="1">
        <v>45744</v>
      </c>
      <c r="C8029" t="s">
        <v>5805</v>
      </c>
      <c r="D8029" t="s">
        <v>5805</v>
      </c>
      <c r="F8029" t="str">
        <f t="shared" si="279"/>
        <v>70610010</v>
      </c>
      <c r="H8029" t="s">
        <v>5508</v>
      </c>
      <c r="I8029" s="1">
        <v>45775</v>
      </c>
      <c r="K8029" s="4">
        <v>931500</v>
      </c>
    </row>
    <row r="8030" spans="1:11" hidden="1" outlineLevel="2" x14ac:dyDescent="0.35">
      <c r="A8030" t="s">
        <v>131</v>
      </c>
      <c r="B8030" s="1">
        <v>45744</v>
      </c>
      <c r="C8030" t="s">
        <v>5806</v>
      </c>
      <c r="D8030" t="s">
        <v>5806</v>
      </c>
      <c r="F8030" t="str">
        <f t="shared" si="279"/>
        <v>70610010</v>
      </c>
      <c r="H8030" t="s">
        <v>5508</v>
      </c>
      <c r="I8030" s="1">
        <v>45775</v>
      </c>
      <c r="K8030" s="4">
        <v>931500</v>
      </c>
    </row>
    <row r="8031" spans="1:11" hidden="1" outlineLevel="2" x14ac:dyDescent="0.35">
      <c r="A8031" t="s">
        <v>131</v>
      </c>
      <c r="B8031" s="1">
        <v>45744</v>
      </c>
      <c r="C8031" t="s">
        <v>5806</v>
      </c>
      <c r="D8031" t="s">
        <v>5806</v>
      </c>
      <c r="F8031" t="str">
        <f t="shared" si="279"/>
        <v>70610010</v>
      </c>
      <c r="H8031" t="s">
        <v>5611</v>
      </c>
      <c r="I8031" s="1">
        <v>45775</v>
      </c>
      <c r="K8031" s="4">
        <v>-931500</v>
      </c>
    </row>
    <row r="8032" spans="1:11" hidden="1" outlineLevel="2" x14ac:dyDescent="0.35">
      <c r="A8032" t="s">
        <v>131</v>
      </c>
      <c r="B8032" s="1">
        <v>45744</v>
      </c>
      <c r="C8032" t="s">
        <v>5807</v>
      </c>
      <c r="D8032" t="s">
        <v>5807</v>
      </c>
      <c r="F8032" t="str">
        <f t="shared" si="279"/>
        <v>70610010</v>
      </c>
      <c r="H8032" t="s">
        <v>5686</v>
      </c>
      <c r="I8032" s="1">
        <v>45775</v>
      </c>
      <c r="K8032" s="4">
        <v>750000</v>
      </c>
    </row>
    <row r="8033" spans="1:11" hidden="1" outlineLevel="2" x14ac:dyDescent="0.35">
      <c r="A8033" t="s">
        <v>131</v>
      </c>
      <c r="B8033" s="1">
        <v>45744</v>
      </c>
      <c r="C8033" t="s">
        <v>5808</v>
      </c>
      <c r="D8033" t="s">
        <v>5808</v>
      </c>
      <c r="F8033" t="str">
        <f t="shared" si="279"/>
        <v>70610010</v>
      </c>
      <c r="H8033" t="s">
        <v>5686</v>
      </c>
      <c r="I8033" s="1">
        <v>45775</v>
      </c>
      <c r="K8033" s="4">
        <v>500000</v>
      </c>
    </row>
    <row r="8034" spans="1:11" hidden="1" outlineLevel="2" x14ac:dyDescent="0.35">
      <c r="A8034" t="s">
        <v>131</v>
      </c>
      <c r="B8034" s="1">
        <v>45745</v>
      </c>
      <c r="C8034" t="s">
        <v>5809</v>
      </c>
      <c r="D8034" t="s">
        <v>5809</v>
      </c>
      <c r="F8034" t="str">
        <f t="shared" si="279"/>
        <v>70610010</v>
      </c>
      <c r="H8034" t="s">
        <v>5508</v>
      </c>
      <c r="I8034" s="1">
        <v>45776</v>
      </c>
      <c r="K8034" s="4">
        <v>3726000</v>
      </c>
    </row>
    <row r="8035" spans="1:11" hidden="1" outlineLevel="2" x14ac:dyDescent="0.35">
      <c r="A8035" t="s">
        <v>131</v>
      </c>
      <c r="B8035" s="1">
        <v>45745</v>
      </c>
      <c r="C8035" t="s">
        <v>5810</v>
      </c>
      <c r="D8035" t="s">
        <v>5810</v>
      </c>
      <c r="F8035" t="str">
        <f t="shared" si="279"/>
        <v>70610010</v>
      </c>
      <c r="H8035" t="s">
        <v>5508</v>
      </c>
      <c r="I8035" s="1">
        <v>45776</v>
      </c>
      <c r="K8035" s="4">
        <v>1863000</v>
      </c>
    </row>
    <row r="8036" spans="1:11" hidden="1" outlineLevel="2" x14ac:dyDescent="0.35">
      <c r="A8036" t="s">
        <v>131</v>
      </c>
      <c r="B8036" s="1">
        <v>45745</v>
      </c>
      <c r="C8036" t="s">
        <v>5811</v>
      </c>
      <c r="D8036" t="s">
        <v>5811</v>
      </c>
      <c r="F8036" t="str">
        <f t="shared" si="279"/>
        <v>70610010</v>
      </c>
      <c r="H8036" t="s">
        <v>5508</v>
      </c>
      <c r="I8036" s="1">
        <v>45776</v>
      </c>
      <c r="K8036" s="4">
        <v>5589000</v>
      </c>
    </row>
    <row r="8037" spans="1:11" hidden="1" outlineLevel="2" x14ac:dyDescent="0.35">
      <c r="A8037" t="s">
        <v>131</v>
      </c>
      <c r="B8037" s="1">
        <v>45747</v>
      </c>
      <c r="C8037" t="s">
        <v>5814</v>
      </c>
      <c r="D8037" t="s">
        <v>5814</v>
      </c>
      <c r="F8037" t="str">
        <f t="shared" si="279"/>
        <v>70610010</v>
      </c>
      <c r="H8037" t="s">
        <v>5686</v>
      </c>
      <c r="I8037" s="1">
        <v>45777</v>
      </c>
      <c r="K8037" s="4">
        <v>3600000</v>
      </c>
    </row>
    <row r="8038" spans="1:11" hidden="1" outlineLevel="2" x14ac:dyDescent="0.35">
      <c r="A8038" t="s">
        <v>131</v>
      </c>
      <c r="B8038" s="1">
        <v>45747</v>
      </c>
      <c r="C8038" t="s">
        <v>5815</v>
      </c>
      <c r="D8038" t="s">
        <v>5815</v>
      </c>
      <c r="F8038" t="str">
        <f t="shared" si="279"/>
        <v>70610010</v>
      </c>
      <c r="H8038" t="s">
        <v>5816</v>
      </c>
      <c r="I8038" s="1">
        <v>45777</v>
      </c>
      <c r="K8038" s="4">
        <v>900000</v>
      </c>
    </row>
    <row r="8039" spans="1:11" hidden="1" outlineLevel="2" x14ac:dyDescent="0.35">
      <c r="A8039" t="s">
        <v>131</v>
      </c>
      <c r="B8039" s="1">
        <v>45747</v>
      </c>
      <c r="C8039" t="s">
        <v>5817</v>
      </c>
      <c r="D8039" t="s">
        <v>5817</v>
      </c>
      <c r="F8039" t="str">
        <f t="shared" si="279"/>
        <v>70610010</v>
      </c>
      <c r="H8039" t="s">
        <v>5576</v>
      </c>
      <c r="I8039" s="1">
        <v>45747</v>
      </c>
      <c r="K8039" s="4">
        <v>8010000</v>
      </c>
    </row>
    <row r="8040" spans="1:11" hidden="1" outlineLevel="2" x14ac:dyDescent="0.35">
      <c r="A8040" t="s">
        <v>131</v>
      </c>
      <c r="B8040" s="1">
        <v>45747</v>
      </c>
      <c r="C8040" t="s">
        <v>5818</v>
      </c>
      <c r="D8040" t="s">
        <v>5818</v>
      </c>
      <c r="F8040" t="str">
        <f t="shared" si="279"/>
        <v>70610010</v>
      </c>
      <c r="H8040" t="s">
        <v>5819</v>
      </c>
      <c r="I8040" s="1">
        <v>45747</v>
      </c>
      <c r="J8040" s="4">
        <v>800000</v>
      </c>
    </row>
    <row r="8041" spans="1:11" hidden="1" outlineLevel="2" x14ac:dyDescent="0.35">
      <c r="A8041" t="s">
        <v>131</v>
      </c>
      <c r="B8041" s="1">
        <v>45747</v>
      </c>
      <c r="C8041" t="s">
        <v>5820</v>
      </c>
      <c r="D8041" t="s">
        <v>5820</v>
      </c>
      <c r="F8041" t="str">
        <f t="shared" si="279"/>
        <v>70610010</v>
      </c>
      <c r="H8041" t="s">
        <v>5686</v>
      </c>
      <c r="I8041" s="1">
        <v>45777</v>
      </c>
      <c r="K8041" s="4">
        <v>39625350</v>
      </c>
    </row>
    <row r="8042" spans="1:11" hidden="1" outlineLevel="2" x14ac:dyDescent="0.35">
      <c r="A8042" t="s">
        <v>131</v>
      </c>
      <c r="B8042" s="1">
        <v>45747</v>
      </c>
      <c r="C8042" t="s">
        <v>5821</v>
      </c>
      <c r="D8042" t="s">
        <v>5821</v>
      </c>
      <c r="F8042" t="str">
        <f t="shared" si="279"/>
        <v>70610010</v>
      </c>
      <c r="H8042" t="s">
        <v>139</v>
      </c>
      <c r="I8042" s="1">
        <v>45747</v>
      </c>
      <c r="K8042" s="4">
        <v>4741200</v>
      </c>
    </row>
    <row r="8043" spans="1:11" hidden="1" outlineLevel="2" x14ac:dyDescent="0.35">
      <c r="A8043" t="s">
        <v>131</v>
      </c>
      <c r="B8043" s="1">
        <v>45747</v>
      </c>
      <c r="C8043" t="s">
        <v>5822</v>
      </c>
      <c r="D8043" t="s">
        <v>5822</v>
      </c>
      <c r="F8043" t="str">
        <f t="shared" si="279"/>
        <v>70610010</v>
      </c>
      <c r="H8043" t="s">
        <v>139</v>
      </c>
      <c r="I8043" s="1">
        <v>45747</v>
      </c>
      <c r="K8043" s="4">
        <v>864000</v>
      </c>
    </row>
    <row r="8044" spans="1:11" hidden="1" outlineLevel="2" x14ac:dyDescent="0.35">
      <c r="A8044" t="s">
        <v>131</v>
      </c>
      <c r="B8044" s="1">
        <v>45747</v>
      </c>
      <c r="C8044" t="s">
        <v>5823</v>
      </c>
      <c r="D8044" t="s">
        <v>5823</v>
      </c>
      <c r="F8044" t="str">
        <f t="shared" si="279"/>
        <v>70610010</v>
      </c>
      <c r="H8044" t="s">
        <v>139</v>
      </c>
      <c r="I8044" s="1">
        <v>45777</v>
      </c>
      <c r="K8044" s="4">
        <v>2211000</v>
      </c>
    </row>
    <row r="8045" spans="1:11" hidden="1" outlineLevel="2" x14ac:dyDescent="0.35">
      <c r="A8045" t="s">
        <v>131</v>
      </c>
      <c r="B8045" s="1">
        <v>45747</v>
      </c>
      <c r="C8045" t="s">
        <v>5824</v>
      </c>
      <c r="D8045" t="s">
        <v>5824</v>
      </c>
      <c r="F8045" t="str">
        <f t="shared" si="279"/>
        <v>70610010</v>
      </c>
      <c r="H8045" t="s">
        <v>5825</v>
      </c>
      <c r="I8045" s="1">
        <v>45777</v>
      </c>
      <c r="K8045" s="4">
        <v>396000</v>
      </c>
    </row>
    <row r="8046" spans="1:11" hidden="1" outlineLevel="2" x14ac:dyDescent="0.35">
      <c r="A8046" t="s">
        <v>131</v>
      </c>
      <c r="B8046" s="1">
        <v>45747</v>
      </c>
      <c r="C8046" t="s">
        <v>5826</v>
      </c>
      <c r="D8046" t="s">
        <v>5826</v>
      </c>
      <c r="F8046" t="str">
        <f t="shared" si="279"/>
        <v>70610010</v>
      </c>
      <c r="H8046" t="s">
        <v>5518</v>
      </c>
      <c r="I8046" s="1">
        <v>45777</v>
      </c>
      <c r="K8046" s="4">
        <v>150000</v>
      </c>
    </row>
    <row r="8047" spans="1:11" hidden="1" outlineLevel="2" x14ac:dyDescent="0.35">
      <c r="A8047" t="s">
        <v>131</v>
      </c>
      <c r="B8047" s="1">
        <v>45747</v>
      </c>
      <c r="C8047" t="s">
        <v>5827</v>
      </c>
      <c r="D8047" t="s">
        <v>5827</v>
      </c>
      <c r="F8047" t="str">
        <f t="shared" si="279"/>
        <v>70610010</v>
      </c>
      <c r="H8047" t="s">
        <v>5518</v>
      </c>
      <c r="I8047" s="1">
        <v>45777</v>
      </c>
      <c r="K8047" s="4">
        <v>150000</v>
      </c>
    </row>
    <row r="8048" spans="1:11" hidden="1" outlineLevel="2" x14ac:dyDescent="0.35">
      <c r="A8048" t="s">
        <v>131</v>
      </c>
      <c r="B8048" s="1">
        <v>45747</v>
      </c>
      <c r="C8048" t="s">
        <v>5828</v>
      </c>
      <c r="D8048" t="s">
        <v>5828</v>
      </c>
      <c r="F8048" t="str">
        <f t="shared" si="279"/>
        <v>70610010</v>
      </c>
      <c r="H8048" t="s">
        <v>5518</v>
      </c>
      <c r="I8048" s="1">
        <v>45777</v>
      </c>
      <c r="K8048" s="4">
        <v>150000</v>
      </c>
    </row>
    <row r="8049" spans="1:11" hidden="1" outlineLevel="2" x14ac:dyDescent="0.35">
      <c r="A8049" t="s">
        <v>131</v>
      </c>
      <c r="B8049" s="1">
        <v>45747</v>
      </c>
      <c r="C8049" t="s">
        <v>5829</v>
      </c>
      <c r="D8049" t="s">
        <v>5829</v>
      </c>
      <c r="F8049" t="str">
        <f t="shared" si="279"/>
        <v>70610010</v>
      </c>
      <c r="H8049" t="s">
        <v>5518</v>
      </c>
      <c r="I8049" s="1">
        <v>45777</v>
      </c>
      <c r="K8049" s="4">
        <v>150000</v>
      </c>
    </row>
    <row r="8050" spans="1:11" hidden="1" outlineLevel="2" x14ac:dyDescent="0.35">
      <c r="A8050" t="s">
        <v>131</v>
      </c>
      <c r="B8050" s="1">
        <v>45747</v>
      </c>
      <c r="C8050" t="s">
        <v>5830</v>
      </c>
      <c r="D8050" t="s">
        <v>5830</v>
      </c>
      <c r="F8050" t="str">
        <f t="shared" si="279"/>
        <v>70610010</v>
      </c>
      <c r="H8050" t="s">
        <v>5518</v>
      </c>
      <c r="I8050" s="1">
        <v>45777</v>
      </c>
      <c r="K8050" s="4">
        <v>150000</v>
      </c>
    </row>
    <row r="8051" spans="1:11" hidden="1" outlineLevel="2" x14ac:dyDescent="0.35">
      <c r="A8051" t="s">
        <v>131</v>
      </c>
      <c r="B8051" s="1">
        <v>45747</v>
      </c>
      <c r="C8051" t="s">
        <v>5831</v>
      </c>
      <c r="D8051" t="s">
        <v>5831</v>
      </c>
      <c r="F8051" t="str">
        <f t="shared" si="279"/>
        <v>70610010</v>
      </c>
      <c r="H8051" t="s">
        <v>5518</v>
      </c>
      <c r="I8051" s="1">
        <v>45777</v>
      </c>
      <c r="K8051" s="4">
        <v>150000</v>
      </c>
    </row>
    <row r="8052" spans="1:11" hidden="1" outlineLevel="2" x14ac:dyDescent="0.35">
      <c r="A8052" t="s">
        <v>131</v>
      </c>
      <c r="B8052" s="1">
        <v>45747</v>
      </c>
      <c r="C8052" t="s">
        <v>5832</v>
      </c>
      <c r="D8052" t="s">
        <v>5832</v>
      </c>
      <c r="F8052" t="str">
        <f t="shared" si="279"/>
        <v>70610010</v>
      </c>
      <c r="H8052" t="s">
        <v>5518</v>
      </c>
      <c r="I8052" s="1">
        <v>45777</v>
      </c>
      <c r="K8052" s="4">
        <v>150000</v>
      </c>
    </row>
    <row r="8053" spans="1:11" hidden="1" outlineLevel="2" x14ac:dyDescent="0.35">
      <c r="A8053" t="s">
        <v>131</v>
      </c>
      <c r="B8053" s="1">
        <v>45747</v>
      </c>
      <c r="C8053" t="s">
        <v>5833</v>
      </c>
      <c r="D8053" t="s">
        <v>5833</v>
      </c>
      <c r="F8053" t="str">
        <f t="shared" si="279"/>
        <v>70610010</v>
      </c>
      <c r="H8053" t="s">
        <v>5518</v>
      </c>
      <c r="I8053" s="1">
        <v>45777</v>
      </c>
      <c r="K8053" s="4">
        <v>150000</v>
      </c>
    </row>
    <row r="8054" spans="1:11" hidden="1" outlineLevel="2" x14ac:dyDescent="0.35">
      <c r="A8054" t="s">
        <v>131</v>
      </c>
      <c r="B8054" s="1">
        <v>45747</v>
      </c>
      <c r="C8054" t="s">
        <v>5834</v>
      </c>
      <c r="D8054" t="s">
        <v>5834</v>
      </c>
      <c r="F8054" t="str">
        <f t="shared" si="279"/>
        <v>70610010</v>
      </c>
      <c r="H8054" t="s">
        <v>5518</v>
      </c>
      <c r="I8054" s="1">
        <v>45777</v>
      </c>
      <c r="K8054" s="4">
        <v>150000</v>
      </c>
    </row>
    <row r="8055" spans="1:11" hidden="1" outlineLevel="2" x14ac:dyDescent="0.35">
      <c r="A8055" t="s">
        <v>131</v>
      </c>
      <c r="B8055" s="1">
        <v>45747</v>
      </c>
      <c r="C8055" t="s">
        <v>5835</v>
      </c>
      <c r="D8055" t="s">
        <v>5835</v>
      </c>
      <c r="F8055" t="str">
        <f t="shared" si="279"/>
        <v>70610010</v>
      </c>
      <c r="H8055" t="s">
        <v>5518</v>
      </c>
      <c r="I8055" s="1">
        <v>45777</v>
      </c>
      <c r="K8055" s="4">
        <v>150000</v>
      </c>
    </row>
    <row r="8056" spans="1:11" hidden="1" outlineLevel="2" x14ac:dyDescent="0.35">
      <c r="A8056" t="s">
        <v>131</v>
      </c>
      <c r="B8056" s="1">
        <v>45747</v>
      </c>
      <c r="C8056" t="s">
        <v>5836</v>
      </c>
      <c r="D8056" t="s">
        <v>5836</v>
      </c>
      <c r="F8056" t="str">
        <f t="shared" si="279"/>
        <v>70610010</v>
      </c>
      <c r="H8056" t="s">
        <v>5518</v>
      </c>
      <c r="I8056" s="1">
        <v>45777</v>
      </c>
      <c r="K8056" s="4">
        <v>150000</v>
      </c>
    </row>
    <row r="8057" spans="1:11" hidden="1" outlineLevel="2" x14ac:dyDescent="0.35">
      <c r="A8057" t="s">
        <v>131</v>
      </c>
      <c r="B8057" s="1">
        <v>45747</v>
      </c>
      <c r="C8057" t="s">
        <v>5837</v>
      </c>
      <c r="D8057" t="s">
        <v>5837</v>
      </c>
      <c r="F8057" t="str">
        <f t="shared" si="279"/>
        <v>70610010</v>
      </c>
      <c r="H8057" t="s">
        <v>5518</v>
      </c>
      <c r="I8057" s="1">
        <v>45777</v>
      </c>
      <c r="K8057" s="4">
        <v>150000</v>
      </c>
    </row>
    <row r="8058" spans="1:11" hidden="1" outlineLevel="2" x14ac:dyDescent="0.35">
      <c r="A8058" t="s">
        <v>131</v>
      </c>
      <c r="B8058" s="1">
        <v>45747</v>
      </c>
      <c r="C8058" t="s">
        <v>5838</v>
      </c>
      <c r="D8058" t="s">
        <v>5838</v>
      </c>
      <c r="F8058" t="str">
        <f t="shared" si="279"/>
        <v>70610010</v>
      </c>
      <c r="H8058" t="s">
        <v>5518</v>
      </c>
      <c r="I8058" s="1">
        <v>45777</v>
      </c>
      <c r="K8058" s="4">
        <v>150000</v>
      </c>
    </row>
    <row r="8059" spans="1:11" hidden="1" outlineLevel="2" x14ac:dyDescent="0.35">
      <c r="A8059" t="s">
        <v>131</v>
      </c>
      <c r="B8059" s="1">
        <v>45747</v>
      </c>
      <c r="C8059" t="s">
        <v>5839</v>
      </c>
      <c r="D8059" t="s">
        <v>5839</v>
      </c>
      <c r="F8059" t="str">
        <f t="shared" si="279"/>
        <v>70610010</v>
      </c>
      <c r="H8059" t="s">
        <v>5518</v>
      </c>
      <c r="I8059" s="1">
        <v>45777</v>
      </c>
      <c r="K8059" s="4">
        <v>300000</v>
      </c>
    </row>
    <row r="8060" spans="1:11" hidden="1" outlineLevel="2" x14ac:dyDescent="0.35">
      <c r="A8060" t="s">
        <v>131</v>
      </c>
      <c r="B8060" s="1">
        <v>45747</v>
      </c>
      <c r="C8060" t="s">
        <v>5840</v>
      </c>
      <c r="D8060" t="s">
        <v>5840</v>
      </c>
      <c r="F8060" t="str">
        <f t="shared" si="279"/>
        <v>70610010</v>
      </c>
      <c r="H8060" t="s">
        <v>5518</v>
      </c>
      <c r="I8060" s="1">
        <v>45777</v>
      </c>
      <c r="K8060" s="4">
        <v>300000</v>
      </c>
    </row>
    <row r="8061" spans="1:11" hidden="1" outlineLevel="2" x14ac:dyDescent="0.35">
      <c r="A8061" t="s">
        <v>131</v>
      </c>
      <c r="B8061" s="1">
        <v>45747</v>
      </c>
      <c r="C8061" t="s">
        <v>5841</v>
      </c>
      <c r="D8061" t="s">
        <v>5841</v>
      </c>
      <c r="F8061" t="str">
        <f t="shared" si="279"/>
        <v>70610010</v>
      </c>
      <c r="H8061" t="s">
        <v>5551</v>
      </c>
      <c r="I8061" s="1">
        <v>45747</v>
      </c>
      <c r="K8061" s="4">
        <v>297000</v>
      </c>
    </row>
    <row r="8062" spans="1:11" hidden="1" outlineLevel="2" x14ac:dyDescent="0.35">
      <c r="A8062" t="s">
        <v>131</v>
      </c>
      <c r="B8062" s="1">
        <v>45747</v>
      </c>
      <c r="C8062" t="s">
        <v>5842</v>
      </c>
      <c r="D8062" t="s">
        <v>5842</v>
      </c>
      <c r="F8062" t="str">
        <f t="shared" si="279"/>
        <v>70610010</v>
      </c>
      <c r="H8062" t="s">
        <v>5551</v>
      </c>
      <c r="I8062" s="1">
        <v>45747</v>
      </c>
      <c r="K8062" s="4">
        <v>297000</v>
      </c>
    </row>
    <row r="8063" spans="1:11" hidden="1" outlineLevel="2" x14ac:dyDescent="0.35">
      <c r="A8063" t="s">
        <v>131</v>
      </c>
      <c r="B8063" s="1">
        <v>45747</v>
      </c>
      <c r="C8063" t="s">
        <v>5843</v>
      </c>
      <c r="D8063" t="s">
        <v>5843</v>
      </c>
      <c r="F8063" t="str">
        <f t="shared" si="279"/>
        <v>70610010</v>
      </c>
      <c r="H8063" t="s">
        <v>180</v>
      </c>
      <c r="I8063" s="1">
        <v>45777</v>
      </c>
      <c r="K8063" s="4">
        <v>297000</v>
      </c>
    </row>
    <row r="8064" spans="1:11" hidden="1" outlineLevel="2" x14ac:dyDescent="0.35">
      <c r="A8064" t="s">
        <v>131</v>
      </c>
      <c r="B8064" s="1">
        <v>45747</v>
      </c>
      <c r="C8064" t="s">
        <v>5844</v>
      </c>
      <c r="D8064" t="s">
        <v>5844</v>
      </c>
      <c r="F8064" t="str">
        <f t="shared" si="279"/>
        <v>70610010</v>
      </c>
      <c r="H8064" t="s">
        <v>180</v>
      </c>
      <c r="I8064" s="1">
        <v>45777</v>
      </c>
      <c r="K8064" s="4">
        <v>99000</v>
      </c>
    </row>
    <row r="8065" spans="1:11" hidden="1" outlineLevel="2" x14ac:dyDescent="0.35">
      <c r="A8065" t="s">
        <v>131</v>
      </c>
      <c r="B8065" s="1">
        <v>45747</v>
      </c>
      <c r="C8065" t="s">
        <v>5845</v>
      </c>
      <c r="D8065" t="s">
        <v>5845</v>
      </c>
      <c r="F8065" t="str">
        <f t="shared" si="279"/>
        <v>70610010</v>
      </c>
      <c r="H8065" t="s">
        <v>5522</v>
      </c>
      <c r="I8065" s="1">
        <v>45777</v>
      </c>
      <c r="K8065" s="4">
        <v>198000</v>
      </c>
    </row>
    <row r="8066" spans="1:11" hidden="1" outlineLevel="2" x14ac:dyDescent="0.35">
      <c r="A8066" t="s">
        <v>131</v>
      </c>
      <c r="B8066" s="1">
        <v>45747</v>
      </c>
      <c r="C8066" t="s">
        <v>5846</v>
      </c>
      <c r="D8066" t="s">
        <v>5846</v>
      </c>
      <c r="F8066" t="str">
        <f t="shared" si="279"/>
        <v>70610010</v>
      </c>
      <c r="H8066" t="s">
        <v>5508</v>
      </c>
      <c r="I8066" s="1">
        <v>45777</v>
      </c>
      <c r="K8066" s="4">
        <v>556000</v>
      </c>
    </row>
    <row r="8067" spans="1:11" hidden="1" outlineLevel="2" x14ac:dyDescent="0.35">
      <c r="A8067" t="s">
        <v>131</v>
      </c>
      <c r="B8067" s="1">
        <v>45747</v>
      </c>
      <c r="C8067" t="s">
        <v>5847</v>
      </c>
      <c r="D8067" t="s">
        <v>5847</v>
      </c>
      <c r="F8067" t="str">
        <f t="shared" si="279"/>
        <v>70610010</v>
      </c>
      <c r="H8067" t="s">
        <v>5508</v>
      </c>
      <c r="I8067" s="1">
        <v>45777</v>
      </c>
      <c r="K8067" s="4">
        <v>556000</v>
      </c>
    </row>
    <row r="8068" spans="1:11" hidden="1" outlineLevel="2" x14ac:dyDescent="0.35">
      <c r="A8068" t="s">
        <v>131</v>
      </c>
      <c r="B8068" s="1">
        <v>45747</v>
      </c>
      <c r="C8068" t="s">
        <v>5848</v>
      </c>
      <c r="D8068" t="s">
        <v>5848</v>
      </c>
      <c r="F8068" t="str">
        <f t="shared" si="279"/>
        <v>70610010</v>
      </c>
      <c r="H8068" t="s">
        <v>5508</v>
      </c>
      <c r="I8068" s="1">
        <v>45777</v>
      </c>
      <c r="K8068" s="4">
        <v>3726000</v>
      </c>
    </row>
    <row r="8069" spans="1:11" hidden="1" outlineLevel="2" x14ac:dyDescent="0.35">
      <c r="A8069" t="s">
        <v>131</v>
      </c>
      <c r="B8069" s="1">
        <v>45747</v>
      </c>
      <c r="C8069" t="s">
        <v>5849</v>
      </c>
      <c r="D8069" t="s">
        <v>5849</v>
      </c>
      <c r="F8069" t="str">
        <f t="shared" si="279"/>
        <v>70610010</v>
      </c>
      <c r="H8069" t="s">
        <v>139</v>
      </c>
      <c r="I8069" s="1">
        <v>45747</v>
      </c>
      <c r="K8069" s="4">
        <v>1115600</v>
      </c>
    </row>
    <row r="8070" spans="1:11" hidden="1" outlineLevel="2" x14ac:dyDescent="0.35">
      <c r="A8070" t="s">
        <v>131</v>
      </c>
      <c r="B8070" s="1">
        <v>45747</v>
      </c>
      <c r="C8070" t="s">
        <v>5850</v>
      </c>
      <c r="D8070" t="s">
        <v>5850</v>
      </c>
      <c r="F8070" t="str">
        <f t="shared" si="279"/>
        <v>70610010</v>
      </c>
      <c r="H8070" t="s">
        <v>139</v>
      </c>
      <c r="I8070" s="1">
        <v>45747</v>
      </c>
      <c r="K8070" s="4">
        <v>683600</v>
      </c>
    </row>
    <row r="8071" spans="1:11" hidden="1" outlineLevel="2" x14ac:dyDescent="0.35">
      <c r="A8071" t="s">
        <v>131</v>
      </c>
      <c r="B8071" s="1">
        <v>45747</v>
      </c>
      <c r="C8071" t="s">
        <v>5851</v>
      </c>
      <c r="D8071" t="s">
        <v>5851</v>
      </c>
      <c r="F8071" t="str">
        <f t="shared" si="279"/>
        <v>70610010</v>
      </c>
      <c r="H8071" t="s">
        <v>139</v>
      </c>
      <c r="I8071" s="1">
        <v>45747</v>
      </c>
      <c r="K8071" s="4">
        <v>432000</v>
      </c>
    </row>
    <row r="8072" spans="1:11" hidden="1" outlineLevel="2" x14ac:dyDescent="0.35">
      <c r="A8072" t="s">
        <v>131</v>
      </c>
      <c r="B8072" s="1">
        <v>45747</v>
      </c>
      <c r="C8072" t="s">
        <v>5852</v>
      </c>
      <c r="D8072" t="s">
        <v>5852</v>
      </c>
      <c r="F8072" t="str">
        <f t="shared" si="279"/>
        <v>70610010</v>
      </c>
      <c r="H8072" t="s">
        <v>139</v>
      </c>
      <c r="I8072" s="1">
        <v>45747</v>
      </c>
      <c r="K8072" s="4">
        <v>1115600</v>
      </c>
    </row>
    <row r="8073" spans="1:11" hidden="1" outlineLevel="2" x14ac:dyDescent="0.35">
      <c r="A8073" t="s">
        <v>131</v>
      </c>
      <c r="B8073" s="1">
        <v>45747</v>
      </c>
      <c r="C8073" t="s">
        <v>5861</v>
      </c>
      <c r="D8073" t="s">
        <v>5861</v>
      </c>
      <c r="F8073" t="str">
        <f t="shared" si="279"/>
        <v>70610010</v>
      </c>
      <c r="H8073" t="s">
        <v>5508</v>
      </c>
      <c r="I8073" s="1">
        <v>45777</v>
      </c>
      <c r="K8073" s="4">
        <v>7347902</v>
      </c>
    </row>
    <row r="8074" spans="1:11" hidden="1" outlineLevel="2" x14ac:dyDescent="0.35">
      <c r="A8074" t="s">
        <v>131</v>
      </c>
      <c r="B8074" s="1">
        <v>45747</v>
      </c>
      <c r="C8074" t="s">
        <v>5862</v>
      </c>
      <c r="D8074" t="s">
        <v>5862</v>
      </c>
      <c r="F8074" t="str">
        <f t="shared" si="279"/>
        <v>70610010</v>
      </c>
      <c r="H8074" t="s">
        <v>5508</v>
      </c>
      <c r="I8074" s="1">
        <v>45777</v>
      </c>
      <c r="K8074" s="4">
        <v>1966502</v>
      </c>
    </row>
    <row r="8075" spans="1:11" hidden="1" outlineLevel="2" x14ac:dyDescent="0.35">
      <c r="A8075" t="s">
        <v>131</v>
      </c>
      <c r="B8075" s="1">
        <v>45747</v>
      </c>
      <c r="C8075" t="s">
        <v>5863</v>
      </c>
      <c r="D8075" t="s">
        <v>5863</v>
      </c>
      <c r="F8075" t="str">
        <f t="shared" si="279"/>
        <v>70610010</v>
      </c>
      <c r="H8075" t="s">
        <v>5508</v>
      </c>
      <c r="I8075" s="1">
        <v>45777</v>
      </c>
      <c r="K8075" s="4">
        <v>931500</v>
      </c>
    </row>
    <row r="8076" spans="1:11" hidden="1" outlineLevel="2" x14ac:dyDescent="0.35">
      <c r="A8076" t="s">
        <v>131</v>
      </c>
      <c r="B8076" s="1">
        <v>45747</v>
      </c>
      <c r="C8076" t="s">
        <v>5864</v>
      </c>
      <c r="D8076" t="s">
        <v>5864</v>
      </c>
      <c r="F8076" t="str">
        <f t="shared" si="279"/>
        <v>70610010</v>
      </c>
      <c r="H8076" t="s">
        <v>5508</v>
      </c>
      <c r="I8076" s="1">
        <v>45777</v>
      </c>
      <c r="K8076" s="4">
        <v>931500</v>
      </c>
    </row>
    <row r="8077" spans="1:11" hidden="1" outlineLevel="2" x14ac:dyDescent="0.35">
      <c r="A8077" t="s">
        <v>131</v>
      </c>
      <c r="B8077" s="1">
        <v>45747</v>
      </c>
      <c r="C8077" t="s">
        <v>5865</v>
      </c>
      <c r="D8077" t="s">
        <v>5865</v>
      </c>
      <c r="F8077" t="str">
        <f t="shared" si="279"/>
        <v>70610010</v>
      </c>
      <c r="H8077" t="s">
        <v>5506</v>
      </c>
      <c r="I8077" s="1">
        <v>45777</v>
      </c>
      <c r="K8077" s="4">
        <v>5584462</v>
      </c>
    </row>
    <row r="8078" spans="1:11" hidden="1" outlineLevel="2" x14ac:dyDescent="0.35">
      <c r="A8078" t="s">
        <v>131</v>
      </c>
      <c r="B8078" s="1">
        <v>45747</v>
      </c>
      <c r="C8078" t="s">
        <v>5866</v>
      </c>
      <c r="D8078" t="s">
        <v>5866</v>
      </c>
      <c r="F8078" t="str">
        <f t="shared" si="279"/>
        <v>70610010</v>
      </c>
      <c r="H8078" t="s">
        <v>5506</v>
      </c>
      <c r="I8078" s="1">
        <v>45777</v>
      </c>
      <c r="K8078" s="4">
        <v>5403049</v>
      </c>
    </row>
    <row r="8079" spans="1:11" hidden="1" outlineLevel="2" x14ac:dyDescent="0.35">
      <c r="A8079" t="s">
        <v>131</v>
      </c>
      <c r="B8079" s="1">
        <v>45747</v>
      </c>
      <c r="C8079" t="s">
        <v>5867</v>
      </c>
      <c r="D8079" t="s">
        <v>5867</v>
      </c>
      <c r="F8079" t="str">
        <f t="shared" si="279"/>
        <v>70610010</v>
      </c>
      <c r="H8079" t="s">
        <v>5506</v>
      </c>
      <c r="I8079" s="1">
        <v>45777</v>
      </c>
      <c r="K8079" s="4">
        <v>12774684</v>
      </c>
    </row>
    <row r="8080" spans="1:11" hidden="1" outlineLevel="2" x14ac:dyDescent="0.35">
      <c r="A8080" t="s">
        <v>131</v>
      </c>
      <c r="B8080" s="1">
        <v>45747</v>
      </c>
      <c r="C8080" t="s">
        <v>5868</v>
      </c>
      <c r="D8080" t="s">
        <v>5868</v>
      </c>
      <c r="F8080" t="str">
        <f t="shared" si="279"/>
        <v>70610010</v>
      </c>
      <c r="H8080" t="s">
        <v>5506</v>
      </c>
      <c r="I8080" s="1">
        <v>45777</v>
      </c>
      <c r="K8080" s="4">
        <v>12334984</v>
      </c>
    </row>
    <row r="8081" spans="1:11" hidden="1" outlineLevel="2" x14ac:dyDescent="0.35">
      <c r="A8081" t="s">
        <v>131</v>
      </c>
      <c r="B8081" s="1">
        <v>45747</v>
      </c>
      <c r="C8081" t="s">
        <v>5869</v>
      </c>
      <c r="D8081" t="s">
        <v>5869</v>
      </c>
      <c r="F8081" t="str">
        <f t="shared" si="279"/>
        <v>70610010</v>
      </c>
      <c r="H8081" t="s">
        <v>5508</v>
      </c>
      <c r="I8081" s="1">
        <v>45777</v>
      </c>
      <c r="K8081" s="4">
        <v>931500</v>
      </c>
    </row>
    <row r="8082" spans="1:11" hidden="1" outlineLevel="2" x14ac:dyDescent="0.35">
      <c r="A8082" t="s">
        <v>131</v>
      </c>
      <c r="B8082" s="1">
        <v>45747</v>
      </c>
      <c r="C8082" t="s">
        <v>5870</v>
      </c>
      <c r="D8082" t="s">
        <v>5870</v>
      </c>
      <c r="F8082" t="str">
        <f t="shared" si="279"/>
        <v>70610010</v>
      </c>
      <c r="H8082" t="s">
        <v>5585</v>
      </c>
      <c r="I8082" s="1">
        <v>45762</v>
      </c>
      <c r="K8082" s="4">
        <v>146881292</v>
      </c>
    </row>
    <row r="8083" spans="1:11" hidden="1" outlineLevel="2" x14ac:dyDescent="0.35">
      <c r="A8083" t="s">
        <v>131</v>
      </c>
      <c r="B8083" s="1">
        <v>45747</v>
      </c>
      <c r="C8083" t="s">
        <v>5871</v>
      </c>
      <c r="D8083" t="s">
        <v>5871</v>
      </c>
      <c r="F8083" t="str">
        <f t="shared" si="279"/>
        <v>70610010</v>
      </c>
      <c r="H8083" t="s">
        <v>5585</v>
      </c>
      <c r="I8083" s="1">
        <v>45762</v>
      </c>
      <c r="K8083" s="4">
        <v>6370000</v>
      </c>
    </row>
    <row r="8084" spans="1:11" hidden="1" outlineLevel="2" x14ac:dyDescent="0.35">
      <c r="A8084" t="s">
        <v>131</v>
      </c>
      <c r="B8084" s="1">
        <v>45747</v>
      </c>
      <c r="C8084" t="s">
        <v>5872</v>
      </c>
      <c r="D8084" t="s">
        <v>5872</v>
      </c>
      <c r="F8084" t="str">
        <f t="shared" si="279"/>
        <v>70610010</v>
      </c>
      <c r="H8084" t="s">
        <v>5686</v>
      </c>
      <c r="I8084" s="1">
        <v>45777</v>
      </c>
      <c r="K8084" s="4">
        <v>57647200</v>
      </c>
    </row>
    <row r="8085" spans="1:11" outlineLevel="1" collapsed="1" x14ac:dyDescent="0.35">
      <c r="B8085" s="1"/>
      <c r="F8085" s="3" t="s">
        <v>6718</v>
      </c>
      <c r="I8085" s="1"/>
      <c r="J8085" s="4">
        <f>SUBTOTAL(9,J7708:J8084)</f>
        <v>2771500</v>
      </c>
      <c r="K8085" s="4">
        <f>SUBTOTAL(9,K7708:K8084)</f>
        <v>920260486</v>
      </c>
    </row>
    <row r="8086" spans="1:11" hidden="1" outlineLevel="2" x14ac:dyDescent="0.35">
      <c r="A8086" t="s">
        <v>101</v>
      </c>
      <c r="B8086" s="1">
        <v>45717</v>
      </c>
      <c r="C8086" t="str">
        <f>"66"</f>
        <v>66</v>
      </c>
      <c r="F8086" t="str">
        <f t="shared" ref="F8086:F8118" si="280">"70610012"</f>
        <v>70610012</v>
      </c>
      <c r="H8086" t="s">
        <v>2761</v>
      </c>
      <c r="K8086" s="4">
        <v>152502548</v>
      </c>
    </row>
    <row r="8087" spans="1:11" hidden="1" outlineLevel="2" x14ac:dyDescent="0.35">
      <c r="A8087" t="s">
        <v>101</v>
      </c>
      <c r="B8087" s="1">
        <v>45747</v>
      </c>
      <c r="C8087" t="str">
        <f>"67"</f>
        <v>67</v>
      </c>
      <c r="F8087" t="str">
        <f t="shared" si="280"/>
        <v>70610012</v>
      </c>
      <c r="H8087" t="s">
        <v>2910</v>
      </c>
      <c r="K8087" s="4">
        <v>-246916248</v>
      </c>
    </row>
    <row r="8088" spans="1:11" hidden="1" outlineLevel="2" x14ac:dyDescent="0.35">
      <c r="A8088" t="s">
        <v>131</v>
      </c>
      <c r="B8088" s="1">
        <v>45725</v>
      </c>
      <c r="C8088" t="s">
        <v>5556</v>
      </c>
      <c r="D8088" t="s">
        <v>5556</v>
      </c>
      <c r="F8088" t="str">
        <f t="shared" si="280"/>
        <v>70610012</v>
      </c>
      <c r="H8088" t="s">
        <v>5526</v>
      </c>
      <c r="I8088" s="1">
        <v>45725</v>
      </c>
      <c r="K8088" s="4">
        <v>232672</v>
      </c>
    </row>
    <row r="8089" spans="1:11" hidden="1" outlineLevel="2" x14ac:dyDescent="0.35">
      <c r="A8089" t="s">
        <v>131</v>
      </c>
      <c r="B8089" s="1">
        <v>45728</v>
      </c>
      <c r="C8089" t="s">
        <v>5604</v>
      </c>
      <c r="D8089" t="s">
        <v>5604</v>
      </c>
      <c r="F8089" t="str">
        <f t="shared" si="280"/>
        <v>70610012</v>
      </c>
      <c r="H8089" t="s">
        <v>5508</v>
      </c>
      <c r="I8089" s="1">
        <v>45759</v>
      </c>
      <c r="K8089" s="4">
        <v>6032055</v>
      </c>
    </row>
    <row r="8090" spans="1:11" hidden="1" outlineLevel="2" x14ac:dyDescent="0.35">
      <c r="A8090" t="s">
        <v>131</v>
      </c>
      <c r="B8090" s="1">
        <v>45728</v>
      </c>
      <c r="C8090" t="s">
        <v>5605</v>
      </c>
      <c r="D8090" t="s">
        <v>5605</v>
      </c>
      <c r="F8090" t="str">
        <f t="shared" si="280"/>
        <v>70610012</v>
      </c>
      <c r="H8090" t="s">
        <v>5508</v>
      </c>
      <c r="I8090" s="1">
        <v>45759</v>
      </c>
      <c r="K8090" s="4">
        <v>6032055</v>
      </c>
    </row>
    <row r="8091" spans="1:11" hidden="1" outlineLevel="2" x14ac:dyDescent="0.35">
      <c r="A8091" t="s">
        <v>131</v>
      </c>
      <c r="B8091" s="1">
        <v>45730</v>
      </c>
      <c r="C8091" t="s">
        <v>5624</v>
      </c>
      <c r="D8091" t="s">
        <v>5624</v>
      </c>
      <c r="F8091" t="str">
        <f t="shared" si="280"/>
        <v>70610012</v>
      </c>
      <c r="H8091" t="s">
        <v>5508</v>
      </c>
      <c r="I8091" s="1">
        <v>45761</v>
      </c>
      <c r="K8091" s="4">
        <v>479397</v>
      </c>
    </row>
    <row r="8092" spans="1:11" hidden="1" outlineLevel="2" x14ac:dyDescent="0.35">
      <c r="A8092" t="s">
        <v>131</v>
      </c>
      <c r="B8092" s="1">
        <v>45730</v>
      </c>
      <c r="C8092" t="s">
        <v>5624</v>
      </c>
      <c r="D8092" t="s">
        <v>5624</v>
      </c>
      <c r="F8092" t="str">
        <f t="shared" si="280"/>
        <v>70610012</v>
      </c>
      <c r="H8092" t="s">
        <v>5611</v>
      </c>
      <c r="I8092" s="1">
        <v>45761</v>
      </c>
      <c r="K8092" s="4">
        <v>-479397</v>
      </c>
    </row>
    <row r="8093" spans="1:11" hidden="1" outlineLevel="2" x14ac:dyDescent="0.35">
      <c r="A8093" t="s">
        <v>131</v>
      </c>
      <c r="B8093" s="1">
        <v>45732</v>
      </c>
      <c r="C8093" t="s">
        <v>5630</v>
      </c>
      <c r="D8093" t="s">
        <v>5630</v>
      </c>
      <c r="F8093" t="str">
        <f t="shared" si="280"/>
        <v>70610012</v>
      </c>
      <c r="H8093" t="s">
        <v>5508</v>
      </c>
      <c r="I8093" s="1">
        <v>45763</v>
      </c>
      <c r="K8093" s="4">
        <v>2412822</v>
      </c>
    </row>
    <row r="8094" spans="1:11" hidden="1" outlineLevel="2" x14ac:dyDescent="0.35">
      <c r="A8094" t="s">
        <v>131</v>
      </c>
      <c r="B8094" s="1">
        <v>45732</v>
      </c>
      <c r="C8094" t="s">
        <v>5631</v>
      </c>
      <c r="D8094" t="s">
        <v>5631</v>
      </c>
      <c r="F8094" t="str">
        <f t="shared" si="280"/>
        <v>70610012</v>
      </c>
      <c r="H8094" t="s">
        <v>5508</v>
      </c>
      <c r="I8094" s="1">
        <v>45763</v>
      </c>
      <c r="K8094" s="4">
        <v>6032055</v>
      </c>
    </row>
    <row r="8095" spans="1:11" hidden="1" outlineLevel="2" x14ac:dyDescent="0.35">
      <c r="A8095" t="s">
        <v>131</v>
      </c>
      <c r="B8095" s="1">
        <v>45733</v>
      </c>
      <c r="C8095" t="s">
        <v>5668</v>
      </c>
      <c r="D8095" t="s">
        <v>5668</v>
      </c>
      <c r="F8095" t="str">
        <f t="shared" si="280"/>
        <v>70610012</v>
      </c>
      <c r="H8095" t="s">
        <v>5508</v>
      </c>
      <c r="I8095" s="1">
        <v>45764</v>
      </c>
      <c r="K8095" s="4">
        <v>546959</v>
      </c>
    </row>
    <row r="8096" spans="1:11" hidden="1" outlineLevel="2" x14ac:dyDescent="0.35">
      <c r="A8096" t="s">
        <v>131</v>
      </c>
      <c r="B8096" s="1">
        <v>45733</v>
      </c>
      <c r="C8096" t="s">
        <v>5669</v>
      </c>
      <c r="D8096" t="s">
        <v>5669</v>
      </c>
      <c r="F8096" t="str">
        <f t="shared" si="280"/>
        <v>70610012</v>
      </c>
      <c r="H8096" t="s">
        <v>5508</v>
      </c>
      <c r="I8096" s="1">
        <v>45764</v>
      </c>
      <c r="K8096" s="4">
        <v>546959</v>
      </c>
    </row>
    <row r="8097" spans="1:11" hidden="1" outlineLevel="2" x14ac:dyDescent="0.35">
      <c r="A8097" t="s">
        <v>131</v>
      </c>
      <c r="B8097" s="1">
        <v>45736</v>
      </c>
      <c r="C8097" t="s">
        <v>5695</v>
      </c>
      <c r="D8097" t="s">
        <v>5695</v>
      </c>
      <c r="F8097" t="str">
        <f t="shared" si="280"/>
        <v>70610012</v>
      </c>
      <c r="H8097" t="s">
        <v>5508</v>
      </c>
      <c r="I8097" s="1">
        <v>45767</v>
      </c>
      <c r="K8097" s="4">
        <v>6032055</v>
      </c>
    </row>
    <row r="8098" spans="1:11" hidden="1" outlineLevel="2" x14ac:dyDescent="0.35">
      <c r="A8098" t="s">
        <v>131</v>
      </c>
      <c r="B8098" s="1">
        <v>45736</v>
      </c>
      <c r="C8098" t="s">
        <v>5695</v>
      </c>
      <c r="D8098" t="s">
        <v>5695</v>
      </c>
      <c r="F8098" t="str">
        <f t="shared" si="280"/>
        <v>70610012</v>
      </c>
      <c r="H8098" t="s">
        <v>5508</v>
      </c>
      <c r="I8098" s="1">
        <v>45767</v>
      </c>
      <c r="K8098" s="4">
        <v>6032055</v>
      </c>
    </row>
    <row r="8099" spans="1:11" hidden="1" outlineLevel="2" x14ac:dyDescent="0.35">
      <c r="A8099" t="s">
        <v>131</v>
      </c>
      <c r="B8099" s="1">
        <v>45736</v>
      </c>
      <c r="C8099" t="s">
        <v>5695</v>
      </c>
      <c r="D8099" t="s">
        <v>5695</v>
      </c>
      <c r="F8099" t="str">
        <f t="shared" si="280"/>
        <v>70610012</v>
      </c>
      <c r="H8099" t="s">
        <v>5611</v>
      </c>
      <c r="I8099" s="1">
        <v>45767</v>
      </c>
      <c r="K8099" s="4">
        <v>-6032055</v>
      </c>
    </row>
    <row r="8100" spans="1:11" hidden="1" outlineLevel="2" x14ac:dyDescent="0.35">
      <c r="A8100" t="s">
        <v>131</v>
      </c>
      <c r="B8100" s="1">
        <v>45736</v>
      </c>
      <c r="C8100" t="s">
        <v>5697</v>
      </c>
      <c r="D8100" t="s">
        <v>5697</v>
      </c>
      <c r="F8100" t="str">
        <f t="shared" si="280"/>
        <v>70610012</v>
      </c>
      <c r="H8100" t="s">
        <v>5508</v>
      </c>
      <c r="I8100" s="1">
        <v>45767</v>
      </c>
      <c r="K8100" s="4">
        <v>1966502</v>
      </c>
    </row>
    <row r="8101" spans="1:11" hidden="1" outlineLevel="2" x14ac:dyDescent="0.35">
      <c r="A8101" t="s">
        <v>131</v>
      </c>
      <c r="B8101" s="1">
        <v>45736</v>
      </c>
      <c r="C8101" t="s">
        <v>5697</v>
      </c>
      <c r="D8101" t="s">
        <v>5697</v>
      </c>
      <c r="F8101" t="str">
        <f t="shared" si="280"/>
        <v>70610012</v>
      </c>
      <c r="H8101" t="s">
        <v>5508</v>
      </c>
      <c r="I8101" s="1">
        <v>45767</v>
      </c>
      <c r="K8101" s="4">
        <v>1966502</v>
      </c>
    </row>
    <row r="8102" spans="1:11" hidden="1" outlineLevel="2" x14ac:dyDescent="0.35">
      <c r="A8102" t="s">
        <v>131</v>
      </c>
      <c r="B8102" s="1">
        <v>45736</v>
      </c>
      <c r="C8102" t="s">
        <v>5697</v>
      </c>
      <c r="D8102" t="s">
        <v>5697</v>
      </c>
      <c r="F8102" t="str">
        <f t="shared" si="280"/>
        <v>70610012</v>
      </c>
      <c r="H8102" t="s">
        <v>5611</v>
      </c>
      <c r="I8102" s="1">
        <v>45767</v>
      </c>
      <c r="K8102" s="4">
        <v>-1966502</v>
      </c>
    </row>
    <row r="8103" spans="1:11" hidden="1" outlineLevel="2" x14ac:dyDescent="0.35">
      <c r="A8103" t="s">
        <v>131</v>
      </c>
      <c r="B8103" s="1">
        <v>45736</v>
      </c>
      <c r="C8103" t="s">
        <v>5699</v>
      </c>
      <c r="D8103" t="s">
        <v>5699</v>
      </c>
      <c r="F8103" t="str">
        <f t="shared" si="280"/>
        <v>70610012</v>
      </c>
      <c r="H8103" t="s">
        <v>5508</v>
      </c>
      <c r="I8103" s="1">
        <v>45767</v>
      </c>
      <c r="K8103" s="4">
        <v>6032055</v>
      </c>
    </row>
    <row r="8104" spans="1:11" hidden="1" outlineLevel="2" x14ac:dyDescent="0.35">
      <c r="A8104" t="s">
        <v>131</v>
      </c>
      <c r="B8104" s="1">
        <v>45736</v>
      </c>
      <c r="C8104" t="s">
        <v>5699</v>
      </c>
      <c r="D8104" t="s">
        <v>5699</v>
      </c>
      <c r="F8104" t="str">
        <f t="shared" si="280"/>
        <v>70610012</v>
      </c>
      <c r="H8104" t="s">
        <v>5508</v>
      </c>
      <c r="I8104" s="1">
        <v>45767</v>
      </c>
      <c r="K8104" s="4">
        <v>6032055</v>
      </c>
    </row>
    <row r="8105" spans="1:11" hidden="1" outlineLevel="2" x14ac:dyDescent="0.35">
      <c r="A8105" t="s">
        <v>131</v>
      </c>
      <c r="B8105" s="1">
        <v>45736</v>
      </c>
      <c r="C8105" t="s">
        <v>5699</v>
      </c>
      <c r="D8105" t="s">
        <v>5699</v>
      </c>
      <c r="F8105" t="str">
        <f t="shared" si="280"/>
        <v>70610012</v>
      </c>
      <c r="H8105" t="s">
        <v>5611</v>
      </c>
      <c r="I8105" s="1">
        <v>45767</v>
      </c>
      <c r="K8105" s="4">
        <v>-6032055</v>
      </c>
    </row>
    <row r="8106" spans="1:11" hidden="1" outlineLevel="2" x14ac:dyDescent="0.35">
      <c r="A8106" t="s">
        <v>131</v>
      </c>
      <c r="B8106" s="1">
        <v>45740</v>
      </c>
      <c r="C8106" t="s">
        <v>5729</v>
      </c>
      <c r="D8106" t="s">
        <v>5729</v>
      </c>
      <c r="F8106" t="str">
        <f t="shared" si="280"/>
        <v>70610012</v>
      </c>
      <c r="H8106" t="s">
        <v>5508</v>
      </c>
      <c r="I8106" s="1">
        <v>45771</v>
      </c>
      <c r="K8106" s="4">
        <v>546959</v>
      </c>
    </row>
    <row r="8107" spans="1:11" hidden="1" outlineLevel="2" x14ac:dyDescent="0.35">
      <c r="A8107" t="s">
        <v>131</v>
      </c>
      <c r="B8107" s="1">
        <v>45740</v>
      </c>
      <c r="C8107" t="s">
        <v>5730</v>
      </c>
      <c r="D8107" t="s">
        <v>5730</v>
      </c>
      <c r="F8107" t="str">
        <f t="shared" si="280"/>
        <v>70610012</v>
      </c>
      <c r="H8107" t="s">
        <v>5508</v>
      </c>
      <c r="I8107" s="1">
        <v>45771</v>
      </c>
      <c r="K8107" s="4">
        <v>250828</v>
      </c>
    </row>
    <row r="8108" spans="1:11" hidden="1" outlineLevel="2" x14ac:dyDescent="0.35">
      <c r="A8108" t="s">
        <v>131</v>
      </c>
      <c r="B8108" s="1">
        <v>45741</v>
      </c>
      <c r="C8108" t="s">
        <v>5742</v>
      </c>
      <c r="D8108" t="s">
        <v>5742</v>
      </c>
      <c r="F8108" t="str">
        <f t="shared" si="280"/>
        <v>70610012</v>
      </c>
      <c r="H8108" t="s">
        <v>5526</v>
      </c>
      <c r="I8108" s="1">
        <v>45741</v>
      </c>
      <c r="K8108" s="4">
        <v>3342072</v>
      </c>
    </row>
    <row r="8109" spans="1:11" hidden="1" outlineLevel="2" x14ac:dyDescent="0.35">
      <c r="A8109" t="s">
        <v>131</v>
      </c>
      <c r="B8109" s="1">
        <v>45742</v>
      </c>
      <c r="C8109" t="s">
        <v>5768</v>
      </c>
      <c r="D8109" t="s">
        <v>5768</v>
      </c>
      <c r="F8109" t="str">
        <f t="shared" si="280"/>
        <v>70610012</v>
      </c>
      <c r="H8109" t="s">
        <v>5508</v>
      </c>
      <c r="I8109" s="1">
        <v>45773</v>
      </c>
      <c r="K8109" s="4">
        <v>546959</v>
      </c>
    </row>
    <row r="8110" spans="1:11" hidden="1" outlineLevel="2" x14ac:dyDescent="0.35">
      <c r="A8110" t="s">
        <v>131</v>
      </c>
      <c r="B8110" s="1">
        <v>45744</v>
      </c>
      <c r="C8110" t="s">
        <v>5793</v>
      </c>
      <c r="D8110" t="s">
        <v>5793</v>
      </c>
      <c r="F8110" t="str">
        <f t="shared" si="280"/>
        <v>70610012</v>
      </c>
      <c r="H8110" t="s">
        <v>5794</v>
      </c>
      <c r="I8110" s="1">
        <v>45775</v>
      </c>
      <c r="K8110" s="4">
        <v>2438522</v>
      </c>
    </row>
    <row r="8111" spans="1:11" hidden="1" outlineLevel="2" x14ac:dyDescent="0.35">
      <c r="A8111" t="s">
        <v>131</v>
      </c>
      <c r="B8111" s="1">
        <v>45744</v>
      </c>
      <c r="C8111" t="s">
        <v>5795</v>
      </c>
      <c r="D8111" t="s">
        <v>5795</v>
      </c>
      <c r="F8111" t="str">
        <f t="shared" si="280"/>
        <v>70610012</v>
      </c>
      <c r="H8111" t="s">
        <v>5508</v>
      </c>
      <c r="I8111" s="1">
        <v>45775</v>
      </c>
      <c r="K8111" s="4">
        <v>6032055</v>
      </c>
    </row>
    <row r="8112" spans="1:11" hidden="1" outlineLevel="2" x14ac:dyDescent="0.35">
      <c r="A8112" t="s">
        <v>131</v>
      </c>
      <c r="B8112" s="1">
        <v>45745</v>
      </c>
      <c r="C8112" t="s">
        <v>5812</v>
      </c>
      <c r="D8112" t="s">
        <v>5812</v>
      </c>
      <c r="F8112" t="str">
        <f t="shared" si="280"/>
        <v>70610012</v>
      </c>
      <c r="H8112" t="s">
        <v>5526</v>
      </c>
      <c r="I8112" s="1">
        <v>45745</v>
      </c>
      <c r="K8112" s="4">
        <v>241153</v>
      </c>
    </row>
    <row r="8113" spans="1:11" hidden="1" outlineLevel="2" x14ac:dyDescent="0.35">
      <c r="A8113" t="s">
        <v>131</v>
      </c>
      <c r="B8113" s="1">
        <v>45745</v>
      </c>
      <c r="C8113" t="s">
        <v>5813</v>
      </c>
      <c r="D8113" t="s">
        <v>5813</v>
      </c>
      <c r="F8113" t="str">
        <f t="shared" si="280"/>
        <v>70610012</v>
      </c>
      <c r="H8113" t="s">
        <v>5508</v>
      </c>
      <c r="I8113" s="1">
        <v>45776</v>
      </c>
      <c r="K8113" s="4">
        <v>546959</v>
      </c>
    </row>
    <row r="8114" spans="1:11" hidden="1" outlineLevel="2" x14ac:dyDescent="0.35">
      <c r="A8114" t="s">
        <v>131</v>
      </c>
      <c r="B8114" s="1">
        <v>45747</v>
      </c>
      <c r="C8114" t="s">
        <v>5857</v>
      </c>
      <c r="D8114" t="s">
        <v>5857</v>
      </c>
      <c r="F8114" t="str">
        <f t="shared" si="280"/>
        <v>70610012</v>
      </c>
      <c r="H8114" t="s">
        <v>5508</v>
      </c>
      <c r="I8114" s="1">
        <v>45777</v>
      </c>
      <c r="K8114" s="4">
        <v>9832510</v>
      </c>
    </row>
    <row r="8115" spans="1:11" hidden="1" outlineLevel="2" x14ac:dyDescent="0.35">
      <c r="A8115" t="s">
        <v>131</v>
      </c>
      <c r="B8115" s="1">
        <v>45747</v>
      </c>
      <c r="C8115" t="s">
        <v>5858</v>
      </c>
      <c r="D8115" t="s">
        <v>5858</v>
      </c>
      <c r="F8115" t="str">
        <f t="shared" si="280"/>
        <v>70610012</v>
      </c>
      <c r="H8115" t="s">
        <v>5508</v>
      </c>
      <c r="I8115" s="1">
        <v>45777</v>
      </c>
      <c r="K8115" s="4">
        <v>9832510</v>
      </c>
    </row>
    <row r="8116" spans="1:11" hidden="1" outlineLevel="2" x14ac:dyDescent="0.35">
      <c r="A8116" t="s">
        <v>131</v>
      </c>
      <c r="B8116" s="1">
        <v>45747</v>
      </c>
      <c r="C8116" t="s">
        <v>5859</v>
      </c>
      <c r="D8116" t="s">
        <v>5859</v>
      </c>
      <c r="F8116" t="str">
        <f t="shared" si="280"/>
        <v>70610012</v>
      </c>
      <c r="H8116" t="s">
        <v>5508</v>
      </c>
      <c r="I8116" s="1">
        <v>45777</v>
      </c>
      <c r="K8116" s="4">
        <v>9832510</v>
      </c>
    </row>
    <row r="8117" spans="1:11" hidden="1" outlineLevel="2" x14ac:dyDescent="0.35">
      <c r="A8117" t="s">
        <v>131</v>
      </c>
      <c r="B8117" s="1">
        <v>45747</v>
      </c>
      <c r="C8117" t="s">
        <v>5860</v>
      </c>
      <c r="D8117" t="s">
        <v>5860</v>
      </c>
      <c r="F8117" t="str">
        <f t="shared" si="280"/>
        <v>70610012</v>
      </c>
      <c r="H8117" t="s">
        <v>5508</v>
      </c>
      <c r="I8117" s="1">
        <v>45777</v>
      </c>
      <c r="K8117" s="4">
        <v>1206411</v>
      </c>
    </row>
    <row r="8118" spans="1:11" hidden="1" outlineLevel="2" x14ac:dyDescent="0.35">
      <c r="A8118" t="s">
        <v>131</v>
      </c>
      <c r="B8118" s="1">
        <v>45747</v>
      </c>
      <c r="C8118" t="s">
        <v>5862</v>
      </c>
      <c r="D8118" t="s">
        <v>5862</v>
      </c>
      <c r="F8118" t="str">
        <f t="shared" si="280"/>
        <v>70610012</v>
      </c>
      <c r="H8118" t="s">
        <v>5508</v>
      </c>
      <c r="I8118" s="1">
        <v>45777</v>
      </c>
      <c r="K8118" s="4">
        <v>7866008</v>
      </c>
    </row>
    <row r="8119" spans="1:11" outlineLevel="1" collapsed="1" x14ac:dyDescent="0.35">
      <c r="B8119" s="1"/>
      <c r="F8119" s="3" t="s">
        <v>6719</v>
      </c>
      <c r="I8119" s="1"/>
      <c r="J8119" s="4">
        <f>SUBTOTAL(9,J8086:J8118)</f>
        <v>0</v>
      </c>
      <c r="K8119" s="4">
        <f>SUBTOTAL(9,K8086:K8118)</f>
        <v>-6032055</v>
      </c>
    </row>
    <row r="8120" spans="1:11" hidden="1" outlineLevel="2" x14ac:dyDescent="0.35">
      <c r="A8120" t="s">
        <v>101</v>
      </c>
      <c r="B8120" s="1">
        <v>45717</v>
      </c>
      <c r="C8120" t="str">
        <f>"66"</f>
        <v>66</v>
      </c>
      <c r="F8120" t="str">
        <f t="shared" ref="F8120:F8125" si="281">"70610020"</f>
        <v>70610020</v>
      </c>
      <c r="H8120" t="s">
        <v>2762</v>
      </c>
      <c r="K8120" s="4">
        <v>66280000</v>
      </c>
    </row>
    <row r="8121" spans="1:11" hidden="1" outlineLevel="2" x14ac:dyDescent="0.35">
      <c r="A8121" t="s">
        <v>101</v>
      </c>
      <c r="B8121" s="1">
        <v>45747</v>
      </c>
      <c r="C8121" t="str">
        <f>"67"</f>
        <v>67</v>
      </c>
      <c r="F8121" t="str">
        <f t="shared" si="281"/>
        <v>70610020</v>
      </c>
      <c r="H8121" t="s">
        <v>2911</v>
      </c>
      <c r="K8121" s="4">
        <v>-7122000</v>
      </c>
    </row>
    <row r="8122" spans="1:11" hidden="1" outlineLevel="2" x14ac:dyDescent="0.35">
      <c r="A8122" t="s">
        <v>131</v>
      </c>
      <c r="B8122" s="1">
        <v>45717</v>
      </c>
      <c r="C8122" t="s">
        <v>5498</v>
      </c>
      <c r="D8122" t="s">
        <v>5498</v>
      </c>
      <c r="F8122" t="str">
        <f t="shared" si="281"/>
        <v>70610020</v>
      </c>
      <c r="H8122" t="s">
        <v>5499</v>
      </c>
      <c r="I8122" s="1">
        <v>45717</v>
      </c>
      <c r="K8122" s="4">
        <v>25000000</v>
      </c>
    </row>
    <row r="8123" spans="1:11" hidden="1" outlineLevel="2" x14ac:dyDescent="0.35">
      <c r="A8123" t="s">
        <v>131</v>
      </c>
      <c r="B8123" s="1">
        <v>45727</v>
      </c>
      <c r="C8123" t="s">
        <v>5586</v>
      </c>
      <c r="D8123" t="s">
        <v>5586</v>
      </c>
      <c r="F8123" t="str">
        <f t="shared" si="281"/>
        <v>70610020</v>
      </c>
      <c r="H8123" t="s">
        <v>5587</v>
      </c>
      <c r="I8123" s="1">
        <v>45727</v>
      </c>
      <c r="J8123" s="4">
        <v>2000000</v>
      </c>
    </row>
    <row r="8124" spans="1:11" hidden="1" outlineLevel="2" x14ac:dyDescent="0.35">
      <c r="A8124" t="s">
        <v>131</v>
      </c>
      <c r="B8124" s="1">
        <v>45747</v>
      </c>
      <c r="C8124" t="s">
        <v>5853</v>
      </c>
      <c r="D8124" t="s">
        <v>5853</v>
      </c>
      <c r="F8124" t="str">
        <f t="shared" si="281"/>
        <v>70610020</v>
      </c>
      <c r="H8124" t="s">
        <v>5792</v>
      </c>
      <c r="I8124" s="1">
        <v>45777</v>
      </c>
      <c r="K8124" s="4">
        <v>2000000</v>
      </c>
    </row>
    <row r="8125" spans="1:11" hidden="1" outlineLevel="2" x14ac:dyDescent="0.35">
      <c r="A8125" t="s">
        <v>131</v>
      </c>
      <c r="B8125" s="1">
        <v>45747</v>
      </c>
      <c r="C8125" t="s">
        <v>5854</v>
      </c>
      <c r="D8125" t="s">
        <v>5854</v>
      </c>
      <c r="F8125" t="str">
        <f t="shared" si="281"/>
        <v>70610020</v>
      </c>
      <c r="H8125" t="s">
        <v>5792</v>
      </c>
      <c r="I8125" s="1">
        <v>45777</v>
      </c>
      <c r="K8125" s="4">
        <v>1000000</v>
      </c>
    </row>
    <row r="8126" spans="1:11" outlineLevel="1" collapsed="1" x14ac:dyDescent="0.35">
      <c r="B8126" s="1"/>
      <c r="F8126" s="3" t="s">
        <v>6720</v>
      </c>
      <c r="I8126" s="1"/>
      <c r="J8126" s="4">
        <f>SUBTOTAL(9,J8120:J8125)</f>
        <v>2000000</v>
      </c>
      <c r="K8126" s="4">
        <f>SUBTOTAL(9,K8120:K8125)</f>
        <v>87158000</v>
      </c>
    </row>
    <row r="8127" spans="1:11" hidden="1" outlineLevel="2" x14ac:dyDescent="0.35">
      <c r="A8127" t="s">
        <v>101</v>
      </c>
      <c r="B8127" s="1">
        <v>45717</v>
      </c>
      <c r="C8127" t="str">
        <f>"66"</f>
        <v>66</v>
      </c>
      <c r="F8127" t="str">
        <f t="shared" ref="F8127:F8137" si="282">"70610030"</f>
        <v>70610030</v>
      </c>
      <c r="H8127" t="s">
        <v>2760</v>
      </c>
      <c r="K8127" s="4">
        <v>-5400000</v>
      </c>
    </row>
    <row r="8128" spans="1:11" hidden="1" outlineLevel="2" x14ac:dyDescent="0.35">
      <c r="A8128" t="s">
        <v>101</v>
      </c>
      <c r="B8128" s="1">
        <v>45747</v>
      </c>
      <c r="C8128" t="str">
        <f>"67"</f>
        <v>67</v>
      </c>
      <c r="F8128" t="str">
        <f t="shared" si="282"/>
        <v>70610030</v>
      </c>
      <c r="H8128" t="s">
        <v>2909</v>
      </c>
      <c r="K8128" s="4">
        <v>3450000</v>
      </c>
    </row>
    <row r="8129" spans="1:11" hidden="1" outlineLevel="2" x14ac:dyDescent="0.35">
      <c r="A8129" t="s">
        <v>131</v>
      </c>
      <c r="B8129" s="1">
        <v>45726</v>
      </c>
      <c r="C8129" t="s">
        <v>5575</v>
      </c>
      <c r="D8129" t="s">
        <v>5575</v>
      </c>
      <c r="F8129" t="str">
        <f t="shared" si="282"/>
        <v>70610030</v>
      </c>
      <c r="H8129" t="s">
        <v>5576</v>
      </c>
      <c r="I8129" s="1">
        <v>45726</v>
      </c>
      <c r="K8129" s="4">
        <v>500000</v>
      </c>
    </row>
    <row r="8130" spans="1:11" hidden="1" outlineLevel="2" x14ac:dyDescent="0.35">
      <c r="A8130" t="s">
        <v>131</v>
      </c>
      <c r="B8130" s="1">
        <v>45726</v>
      </c>
      <c r="C8130" t="s">
        <v>5577</v>
      </c>
      <c r="D8130" t="s">
        <v>5577</v>
      </c>
      <c r="F8130" t="str">
        <f t="shared" si="282"/>
        <v>70610030</v>
      </c>
      <c r="H8130" t="s">
        <v>5578</v>
      </c>
      <c r="I8130" s="1">
        <v>45777</v>
      </c>
      <c r="K8130" s="4">
        <v>540000</v>
      </c>
    </row>
    <row r="8131" spans="1:11" hidden="1" outlineLevel="2" x14ac:dyDescent="0.35">
      <c r="A8131" t="s">
        <v>131</v>
      </c>
      <c r="B8131" s="1">
        <v>45726</v>
      </c>
      <c r="C8131" t="s">
        <v>5579</v>
      </c>
      <c r="D8131" t="s">
        <v>5579</v>
      </c>
      <c r="F8131" t="str">
        <f t="shared" si="282"/>
        <v>70610030</v>
      </c>
      <c r="H8131" t="s">
        <v>5578</v>
      </c>
      <c r="I8131" s="1">
        <v>45777</v>
      </c>
      <c r="K8131" s="4">
        <v>790000</v>
      </c>
    </row>
    <row r="8132" spans="1:11" hidden="1" outlineLevel="2" x14ac:dyDescent="0.35">
      <c r="A8132" t="s">
        <v>131</v>
      </c>
      <c r="B8132" s="1">
        <v>45736</v>
      </c>
      <c r="C8132" t="s">
        <v>1780</v>
      </c>
      <c r="D8132" t="s">
        <v>1780</v>
      </c>
      <c r="F8132" t="str">
        <f t="shared" si="282"/>
        <v>70610030</v>
      </c>
      <c r="H8132" t="s">
        <v>5686</v>
      </c>
      <c r="I8132" s="1">
        <v>45767</v>
      </c>
      <c r="K8132" s="4">
        <v>1300000</v>
      </c>
    </row>
    <row r="8133" spans="1:11" hidden="1" outlineLevel="2" x14ac:dyDescent="0.35">
      <c r="A8133" t="s">
        <v>131</v>
      </c>
      <c r="B8133" s="1">
        <v>45736</v>
      </c>
      <c r="C8133" t="s">
        <v>1780</v>
      </c>
      <c r="D8133" t="s">
        <v>1780</v>
      </c>
      <c r="F8133" t="str">
        <f t="shared" si="282"/>
        <v>70610030</v>
      </c>
      <c r="H8133" t="s">
        <v>5686</v>
      </c>
      <c r="I8133" s="1">
        <v>45767</v>
      </c>
      <c r="K8133" s="4">
        <v>1300000</v>
      </c>
    </row>
    <row r="8134" spans="1:11" hidden="1" outlineLevel="2" x14ac:dyDescent="0.35">
      <c r="A8134" t="s">
        <v>131</v>
      </c>
      <c r="B8134" s="1">
        <v>45736</v>
      </c>
      <c r="C8134" t="s">
        <v>1780</v>
      </c>
      <c r="D8134" t="s">
        <v>1780</v>
      </c>
      <c r="F8134" t="str">
        <f t="shared" si="282"/>
        <v>70610030</v>
      </c>
      <c r="H8134" t="s">
        <v>5687</v>
      </c>
      <c r="I8134" s="1">
        <v>45767</v>
      </c>
      <c r="K8134" s="4">
        <v>-1300000</v>
      </c>
    </row>
    <row r="8135" spans="1:11" hidden="1" outlineLevel="2" x14ac:dyDescent="0.35">
      <c r="A8135" t="s">
        <v>131</v>
      </c>
      <c r="B8135" s="1">
        <v>45744</v>
      </c>
      <c r="C8135" t="s">
        <v>5787</v>
      </c>
      <c r="D8135" t="s">
        <v>5787</v>
      </c>
      <c r="F8135" t="str">
        <f t="shared" si="282"/>
        <v>70610030</v>
      </c>
      <c r="H8135" t="s">
        <v>5578</v>
      </c>
      <c r="I8135" s="1">
        <v>45777</v>
      </c>
      <c r="K8135" s="4">
        <v>500000</v>
      </c>
    </row>
    <row r="8136" spans="1:11" hidden="1" outlineLevel="2" x14ac:dyDescent="0.35">
      <c r="A8136" t="s">
        <v>131</v>
      </c>
      <c r="B8136" s="1">
        <v>45744</v>
      </c>
      <c r="C8136" t="s">
        <v>5788</v>
      </c>
      <c r="D8136" t="s">
        <v>5788</v>
      </c>
      <c r="F8136" t="str">
        <f t="shared" si="282"/>
        <v>70610030</v>
      </c>
      <c r="H8136" t="s">
        <v>5789</v>
      </c>
      <c r="I8136" s="1">
        <v>45744</v>
      </c>
      <c r="K8136" s="4">
        <v>750000</v>
      </c>
    </row>
    <row r="8137" spans="1:11" hidden="1" outlineLevel="2" x14ac:dyDescent="0.35">
      <c r="A8137" t="s">
        <v>131</v>
      </c>
      <c r="B8137" s="1">
        <v>45747</v>
      </c>
      <c r="C8137" t="s">
        <v>5855</v>
      </c>
      <c r="D8137" t="s">
        <v>5855</v>
      </c>
      <c r="F8137" t="str">
        <f t="shared" si="282"/>
        <v>70610030</v>
      </c>
      <c r="H8137" t="s">
        <v>5856</v>
      </c>
      <c r="I8137" s="1">
        <v>45747</v>
      </c>
      <c r="K8137" s="4">
        <v>2450000</v>
      </c>
    </row>
    <row r="8138" spans="1:11" outlineLevel="1" collapsed="1" x14ac:dyDescent="0.35">
      <c r="B8138" s="1"/>
      <c r="F8138" s="3" t="s">
        <v>6721</v>
      </c>
      <c r="I8138" s="1"/>
      <c r="J8138" s="4">
        <f>SUBTOTAL(9,J8127:J8137)</f>
        <v>0</v>
      </c>
      <c r="K8138" s="4">
        <f>SUBTOTAL(9,K8127:K8137)</f>
        <v>4880000</v>
      </c>
    </row>
    <row r="8139" spans="1:11" hidden="1" outlineLevel="2" x14ac:dyDescent="0.35">
      <c r="A8139" t="s">
        <v>101</v>
      </c>
      <c r="B8139" s="1">
        <v>45717</v>
      </c>
      <c r="C8139" t="str">
        <f>"66"</f>
        <v>66</v>
      </c>
      <c r="F8139" t="str">
        <f t="shared" ref="F8139:F8148" si="283">"70610040"</f>
        <v>70610040</v>
      </c>
      <c r="H8139" t="s">
        <v>2763</v>
      </c>
      <c r="K8139" s="4">
        <v>-4500000</v>
      </c>
    </row>
    <row r="8140" spans="1:11" hidden="1" outlineLevel="2" x14ac:dyDescent="0.35">
      <c r="A8140" t="s">
        <v>101</v>
      </c>
      <c r="B8140" s="1">
        <v>45717</v>
      </c>
      <c r="C8140" t="str">
        <f>"66"</f>
        <v>66</v>
      </c>
      <c r="F8140" t="str">
        <f t="shared" si="283"/>
        <v>70610040</v>
      </c>
      <c r="H8140" t="s">
        <v>2764</v>
      </c>
      <c r="K8140" s="4">
        <v>-19000000</v>
      </c>
    </row>
    <row r="8141" spans="1:11" hidden="1" outlineLevel="2" x14ac:dyDescent="0.35">
      <c r="A8141" t="s">
        <v>101</v>
      </c>
      <c r="B8141" s="1">
        <v>45717</v>
      </c>
      <c r="C8141" t="str">
        <f>"66"</f>
        <v>66</v>
      </c>
      <c r="F8141" t="str">
        <f t="shared" si="283"/>
        <v>70610040</v>
      </c>
      <c r="H8141" t="s">
        <v>2765</v>
      </c>
      <c r="K8141" s="4">
        <v>23466780</v>
      </c>
    </row>
    <row r="8142" spans="1:11" hidden="1" outlineLevel="2" x14ac:dyDescent="0.35">
      <c r="A8142" t="s">
        <v>101</v>
      </c>
      <c r="B8142" s="1">
        <v>45717</v>
      </c>
      <c r="C8142" t="str">
        <f>"66"</f>
        <v>66</v>
      </c>
      <c r="F8142" t="str">
        <f t="shared" si="283"/>
        <v>70610040</v>
      </c>
      <c r="H8142" t="s">
        <v>2765</v>
      </c>
      <c r="K8142" s="4">
        <v>6500500</v>
      </c>
    </row>
    <row r="8143" spans="1:11" hidden="1" outlineLevel="2" x14ac:dyDescent="0.35">
      <c r="A8143" t="s">
        <v>101</v>
      </c>
      <c r="B8143" s="1">
        <v>45747</v>
      </c>
      <c r="C8143" t="str">
        <f>"67"</f>
        <v>67</v>
      </c>
      <c r="F8143" t="str">
        <f t="shared" si="283"/>
        <v>70610040</v>
      </c>
      <c r="H8143" t="s">
        <v>2912</v>
      </c>
      <c r="K8143" s="4">
        <v>4500000</v>
      </c>
    </row>
    <row r="8144" spans="1:11" hidden="1" outlineLevel="2" x14ac:dyDescent="0.35">
      <c r="A8144" t="s">
        <v>101</v>
      </c>
      <c r="B8144" s="1">
        <v>45747</v>
      </c>
      <c r="C8144" t="str">
        <f>"67"</f>
        <v>67</v>
      </c>
      <c r="F8144" t="str">
        <f t="shared" si="283"/>
        <v>70610040</v>
      </c>
      <c r="H8144" t="s">
        <v>2913</v>
      </c>
      <c r="K8144" s="4">
        <v>17515000</v>
      </c>
    </row>
    <row r="8145" spans="1:11" hidden="1" outlineLevel="2" x14ac:dyDescent="0.35">
      <c r="A8145" t="s">
        <v>101</v>
      </c>
      <c r="B8145" s="1">
        <v>45747</v>
      </c>
      <c r="C8145" t="str">
        <f>"67"</f>
        <v>67</v>
      </c>
      <c r="F8145" t="str">
        <f t="shared" si="283"/>
        <v>70610040</v>
      </c>
      <c r="H8145" t="s">
        <v>2912</v>
      </c>
      <c r="K8145" s="4">
        <v>-39041780</v>
      </c>
    </row>
    <row r="8146" spans="1:11" hidden="1" outlineLevel="2" x14ac:dyDescent="0.35">
      <c r="A8146" t="s">
        <v>101</v>
      </c>
      <c r="B8146" s="1">
        <v>45747</v>
      </c>
      <c r="C8146" t="str">
        <f>"67"</f>
        <v>67</v>
      </c>
      <c r="F8146" t="str">
        <f t="shared" si="283"/>
        <v>70610040</v>
      </c>
      <c r="H8146" t="s">
        <v>2912</v>
      </c>
      <c r="K8146" s="4">
        <v>-6500500</v>
      </c>
    </row>
    <row r="8147" spans="1:11" hidden="1" outlineLevel="2" x14ac:dyDescent="0.35">
      <c r="A8147" t="s">
        <v>131</v>
      </c>
      <c r="B8147" s="1">
        <v>45717</v>
      </c>
      <c r="C8147" t="s">
        <v>5503</v>
      </c>
      <c r="D8147" t="s">
        <v>5503</v>
      </c>
      <c r="F8147" t="str">
        <f t="shared" si="283"/>
        <v>70610040</v>
      </c>
      <c r="H8147" t="s">
        <v>5501</v>
      </c>
      <c r="I8147" s="1">
        <v>45744</v>
      </c>
      <c r="K8147" s="4">
        <v>12850000</v>
      </c>
    </row>
    <row r="8148" spans="1:11" hidden="1" outlineLevel="2" x14ac:dyDescent="0.35">
      <c r="A8148" t="s">
        <v>131</v>
      </c>
      <c r="B8148" s="1">
        <v>45730</v>
      </c>
      <c r="C8148" t="s">
        <v>5620</v>
      </c>
      <c r="D8148" t="s">
        <v>5620</v>
      </c>
      <c r="F8148" t="str">
        <f t="shared" si="283"/>
        <v>70610040</v>
      </c>
      <c r="H8148" t="s">
        <v>5621</v>
      </c>
      <c r="I8148" s="1">
        <v>45761</v>
      </c>
      <c r="K8148" s="4">
        <v>16050000</v>
      </c>
    </row>
    <row r="8149" spans="1:11" outlineLevel="1" collapsed="1" x14ac:dyDescent="0.35">
      <c r="B8149" s="1"/>
      <c r="F8149" s="3" t="s">
        <v>6722</v>
      </c>
      <c r="I8149" s="1"/>
      <c r="J8149" s="4">
        <f>SUBTOTAL(9,J8139:J8148)</f>
        <v>0</v>
      </c>
      <c r="K8149" s="4">
        <f>SUBTOTAL(9,K8139:K8148)</f>
        <v>11840000</v>
      </c>
    </row>
    <row r="8150" spans="1:11" hidden="1" outlineLevel="2" x14ac:dyDescent="0.35">
      <c r="A8150" t="s">
        <v>101</v>
      </c>
      <c r="B8150" s="1">
        <v>45717</v>
      </c>
      <c r="C8150" t="str">
        <f>"66"</f>
        <v>66</v>
      </c>
      <c r="F8150" t="str">
        <f t="shared" ref="F8150:F8160" si="284">"70610050"</f>
        <v>70610050</v>
      </c>
      <c r="H8150" t="s">
        <v>2766</v>
      </c>
      <c r="K8150" s="4">
        <v>2079000</v>
      </c>
    </row>
    <row r="8151" spans="1:11" hidden="1" outlineLevel="2" x14ac:dyDescent="0.35">
      <c r="A8151" t="s">
        <v>101</v>
      </c>
      <c r="B8151" s="1">
        <v>45747</v>
      </c>
      <c r="C8151" t="str">
        <f>"67"</f>
        <v>67</v>
      </c>
      <c r="F8151" t="str">
        <f t="shared" si="284"/>
        <v>70610050</v>
      </c>
      <c r="H8151" t="s">
        <v>2914</v>
      </c>
      <c r="K8151" s="4">
        <v>-3168000</v>
      </c>
    </row>
    <row r="8152" spans="1:11" hidden="1" outlineLevel="2" x14ac:dyDescent="0.35">
      <c r="A8152" t="s">
        <v>131</v>
      </c>
      <c r="B8152" s="1">
        <v>45728</v>
      </c>
      <c r="C8152" t="s">
        <v>5603</v>
      </c>
      <c r="D8152" t="s">
        <v>5603</v>
      </c>
      <c r="F8152" t="str">
        <f t="shared" si="284"/>
        <v>70610050</v>
      </c>
      <c r="H8152" t="s">
        <v>180</v>
      </c>
      <c r="I8152" s="1">
        <v>45777</v>
      </c>
      <c r="K8152" s="4">
        <v>99000</v>
      </c>
    </row>
    <row r="8153" spans="1:11" hidden="1" outlineLevel="2" x14ac:dyDescent="0.35">
      <c r="A8153" t="s">
        <v>131</v>
      </c>
      <c r="B8153" s="1">
        <v>45734</v>
      </c>
      <c r="C8153" t="s">
        <v>5675</v>
      </c>
      <c r="D8153" t="s">
        <v>5675</v>
      </c>
      <c r="F8153" t="str">
        <f t="shared" si="284"/>
        <v>70610050</v>
      </c>
      <c r="H8153" t="s">
        <v>5518</v>
      </c>
      <c r="I8153" s="1">
        <v>45765</v>
      </c>
      <c r="K8153" s="4">
        <v>99000</v>
      </c>
    </row>
    <row r="8154" spans="1:11" hidden="1" outlineLevel="2" x14ac:dyDescent="0.35">
      <c r="A8154" t="s">
        <v>131</v>
      </c>
      <c r="B8154" s="1">
        <v>45734</v>
      </c>
      <c r="C8154" t="s">
        <v>5675</v>
      </c>
      <c r="D8154" t="s">
        <v>5675</v>
      </c>
      <c r="F8154" t="str">
        <f t="shared" si="284"/>
        <v>70610050</v>
      </c>
      <c r="H8154" t="s">
        <v>5518</v>
      </c>
      <c r="I8154" s="1">
        <v>45765</v>
      </c>
      <c r="K8154" s="4">
        <v>99000</v>
      </c>
    </row>
    <row r="8155" spans="1:11" hidden="1" outlineLevel="2" x14ac:dyDescent="0.35">
      <c r="A8155" t="s">
        <v>131</v>
      </c>
      <c r="B8155" s="1">
        <v>45734</v>
      </c>
      <c r="C8155" t="s">
        <v>5675</v>
      </c>
      <c r="D8155" t="s">
        <v>5675</v>
      </c>
      <c r="F8155" t="str">
        <f t="shared" si="284"/>
        <v>70610050</v>
      </c>
      <c r="H8155" t="s">
        <v>5676</v>
      </c>
      <c r="I8155" s="1">
        <v>45765</v>
      </c>
      <c r="K8155" s="4">
        <v>-99000</v>
      </c>
    </row>
    <row r="8156" spans="1:11" hidden="1" outlineLevel="2" x14ac:dyDescent="0.35">
      <c r="A8156" t="s">
        <v>131</v>
      </c>
      <c r="B8156" s="1">
        <v>45740</v>
      </c>
      <c r="C8156" t="s">
        <v>5711</v>
      </c>
      <c r="D8156" t="s">
        <v>5711</v>
      </c>
      <c r="F8156" t="str">
        <f t="shared" si="284"/>
        <v>70610050</v>
      </c>
      <c r="H8156" t="s">
        <v>139</v>
      </c>
      <c r="I8156" s="1">
        <v>45740</v>
      </c>
      <c r="K8156" s="4">
        <v>396000</v>
      </c>
    </row>
    <row r="8157" spans="1:11" hidden="1" outlineLevel="2" x14ac:dyDescent="0.35">
      <c r="A8157" t="s">
        <v>131</v>
      </c>
      <c r="B8157" s="1">
        <v>45740</v>
      </c>
      <c r="C8157" t="s">
        <v>5727</v>
      </c>
      <c r="D8157" t="s">
        <v>5727</v>
      </c>
      <c r="F8157" t="str">
        <f t="shared" si="284"/>
        <v>70610050</v>
      </c>
      <c r="H8157" t="s">
        <v>180</v>
      </c>
      <c r="I8157" s="1">
        <v>45771</v>
      </c>
      <c r="K8157" s="4">
        <v>396000</v>
      </c>
    </row>
    <row r="8158" spans="1:11" hidden="1" outlineLevel="2" x14ac:dyDescent="0.35">
      <c r="A8158" t="s">
        <v>131</v>
      </c>
      <c r="B8158" s="1">
        <v>45744</v>
      </c>
      <c r="C8158" t="s">
        <v>5777</v>
      </c>
      <c r="D8158" t="s">
        <v>5777</v>
      </c>
      <c r="F8158" t="str">
        <f t="shared" si="284"/>
        <v>70610050</v>
      </c>
      <c r="H8158" t="s">
        <v>139</v>
      </c>
      <c r="I8158" s="1">
        <v>45744</v>
      </c>
      <c r="K8158" s="4">
        <v>396000</v>
      </c>
    </row>
    <row r="8159" spans="1:11" hidden="1" outlineLevel="2" x14ac:dyDescent="0.35">
      <c r="A8159" t="s">
        <v>131</v>
      </c>
      <c r="B8159" s="1">
        <v>45744</v>
      </c>
      <c r="C8159" t="s">
        <v>5786</v>
      </c>
      <c r="D8159" t="s">
        <v>5786</v>
      </c>
      <c r="F8159" t="str">
        <f t="shared" si="284"/>
        <v>70610050</v>
      </c>
      <c r="H8159" t="s">
        <v>180</v>
      </c>
      <c r="I8159" s="1">
        <v>45775</v>
      </c>
      <c r="K8159" s="4">
        <v>99000</v>
      </c>
    </row>
    <row r="8160" spans="1:11" hidden="1" outlineLevel="2" x14ac:dyDescent="0.35">
      <c r="A8160" t="s">
        <v>131</v>
      </c>
      <c r="B8160" s="1">
        <v>45747</v>
      </c>
      <c r="C8160" t="s">
        <v>5818</v>
      </c>
      <c r="D8160" t="s">
        <v>5818</v>
      </c>
      <c r="F8160" t="str">
        <f t="shared" si="284"/>
        <v>70610050</v>
      </c>
      <c r="H8160" t="s">
        <v>5819</v>
      </c>
      <c r="I8160" s="1">
        <v>45747</v>
      </c>
      <c r="J8160" s="4">
        <v>396000</v>
      </c>
    </row>
    <row r="8161" spans="1:11" outlineLevel="1" collapsed="1" x14ac:dyDescent="0.35">
      <c r="B8161" s="1"/>
      <c r="F8161" s="3" t="s">
        <v>6723</v>
      </c>
      <c r="I8161" s="1"/>
      <c r="J8161" s="4">
        <f>SUBTOTAL(9,J8150:J8160)</f>
        <v>396000</v>
      </c>
      <c r="K8161" s="4">
        <f>SUBTOTAL(9,K8150:K8160)</f>
        <v>396000</v>
      </c>
    </row>
    <row r="8162" spans="1:11" hidden="1" outlineLevel="2" x14ac:dyDescent="0.35">
      <c r="A8162" t="s">
        <v>101</v>
      </c>
      <c r="B8162" s="1">
        <v>45717</v>
      </c>
      <c r="C8162" t="str">
        <f>"66"</f>
        <v>66</v>
      </c>
      <c r="F8162" t="str">
        <f>"70690000"</f>
        <v>70690000</v>
      </c>
      <c r="H8162" t="s">
        <v>112</v>
      </c>
      <c r="K8162" s="4">
        <v>-10185450</v>
      </c>
    </row>
    <row r="8163" spans="1:11" hidden="1" outlineLevel="2" x14ac:dyDescent="0.35">
      <c r="A8163" t="s">
        <v>101</v>
      </c>
      <c r="B8163" s="1">
        <v>45747</v>
      </c>
      <c r="C8163" t="str">
        <f>"67"</f>
        <v>67</v>
      </c>
      <c r="F8163" t="str">
        <f>"70690000"</f>
        <v>70690000</v>
      </c>
      <c r="H8163" t="s">
        <v>2915</v>
      </c>
      <c r="K8163" s="4">
        <v>10185450</v>
      </c>
    </row>
    <row r="8164" spans="1:11" outlineLevel="1" collapsed="1" x14ac:dyDescent="0.35">
      <c r="B8164" s="1"/>
      <c r="F8164" s="3" t="s">
        <v>6724</v>
      </c>
      <c r="J8164" s="4">
        <f>SUBTOTAL(9,J8162:J8163)</f>
        <v>0</v>
      </c>
      <c r="K8164" s="4">
        <f>SUBTOTAL(9,K8162:K8163)</f>
        <v>0</v>
      </c>
    </row>
    <row r="8165" spans="1:11" hidden="1" outlineLevel="2" x14ac:dyDescent="0.35">
      <c r="A8165" t="s">
        <v>11</v>
      </c>
      <c r="B8165" s="1">
        <v>45717</v>
      </c>
      <c r="C8165" t="str">
        <f>"203"</f>
        <v>203</v>
      </c>
      <c r="E8165" t="s">
        <v>1181</v>
      </c>
      <c r="F8165" t="str">
        <f>"75880000"</f>
        <v>75880000</v>
      </c>
      <c r="H8165" t="s">
        <v>1182</v>
      </c>
      <c r="K8165" s="4">
        <v>63343</v>
      </c>
    </row>
    <row r="8166" spans="1:11" outlineLevel="1" collapsed="1" x14ac:dyDescent="0.35">
      <c r="B8166" s="1"/>
      <c r="F8166" s="3" t="s">
        <v>6725</v>
      </c>
      <c r="J8166" s="4">
        <f>SUBTOTAL(9,J8165:J8165)</f>
        <v>0</v>
      </c>
      <c r="K8166" s="4">
        <f>SUBTOTAL(9,K8165:K8165)</f>
        <v>63343</v>
      </c>
    </row>
    <row r="8167" spans="1:11" hidden="1" outlineLevel="2" x14ac:dyDescent="0.35">
      <c r="A8167" t="s">
        <v>101</v>
      </c>
      <c r="B8167" s="1">
        <v>45747</v>
      </c>
      <c r="C8167" t="str">
        <f>"22"</f>
        <v>22</v>
      </c>
      <c r="F8167" t="str">
        <f>"75940000"</f>
        <v>75940000</v>
      </c>
      <c r="H8167" t="s">
        <v>2815</v>
      </c>
      <c r="K8167" s="4">
        <v>6046000</v>
      </c>
    </row>
    <row r="8168" spans="1:11" outlineLevel="1" collapsed="1" x14ac:dyDescent="0.35">
      <c r="B8168" s="1"/>
      <c r="F8168" s="3" t="s">
        <v>6726</v>
      </c>
      <c r="J8168" s="4">
        <f>SUBTOTAL(9,J8167:J8167)</f>
        <v>0</v>
      </c>
      <c r="K8168" s="4">
        <f>SUBTOTAL(9,K8167:K8167)</f>
        <v>6046000</v>
      </c>
    </row>
    <row r="8169" spans="1:11" x14ac:dyDescent="0.35">
      <c r="B8169" s="1"/>
      <c r="F8169" s="3" t="s">
        <v>6727</v>
      </c>
      <c r="J8169" s="4">
        <f>SUBTOTAL(9,J2:J8167)</f>
        <v>7403978703</v>
      </c>
      <c r="K8169" s="4">
        <f>SUBTOTAL(9,K2:K8167)</f>
        <v>7403978703</v>
      </c>
    </row>
  </sheetData>
  <sortState xmlns:xlrd2="http://schemas.microsoft.com/office/spreadsheetml/2017/richdata2" ref="A2:K8167">
    <sortCondition ref="F2:F8167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D3778-0117-431E-8894-AA8251E3DBA3}">
  <dimension ref="A1:K1221"/>
  <sheetViews>
    <sheetView topLeftCell="A912" workbookViewId="0">
      <selection activeCell="J1" sqref="J1:K1048576"/>
    </sheetView>
  </sheetViews>
  <sheetFormatPr baseColWidth="10" defaultRowHeight="14.5" outlineLevelRow="2" x14ac:dyDescent="0.35"/>
  <cols>
    <col min="10" max="11" width="15.6328125" style="4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4" t="s">
        <v>9</v>
      </c>
      <c r="K1" s="4" t="s">
        <v>10</v>
      </c>
    </row>
    <row r="2" spans="1:11" hidden="1" outlineLevel="2" x14ac:dyDescent="0.35">
      <c r="A2" t="s">
        <v>72</v>
      </c>
      <c r="B2" s="1">
        <v>45717</v>
      </c>
      <c r="C2" t="str">
        <f>"1"</f>
        <v>1</v>
      </c>
      <c r="D2" t="str">
        <f>"8582336"</f>
        <v>8582336</v>
      </c>
      <c r="E2" t="s">
        <v>73</v>
      </c>
      <c r="F2" t="str">
        <f>"23900000"</f>
        <v>23900000</v>
      </c>
      <c r="H2" t="s">
        <v>74</v>
      </c>
      <c r="J2" s="4">
        <v>756500</v>
      </c>
    </row>
    <row r="3" spans="1:11" outlineLevel="1" collapsed="1" x14ac:dyDescent="0.35">
      <c r="B3" s="1"/>
      <c r="F3" s="3" t="s">
        <v>6728</v>
      </c>
      <c r="J3" s="4">
        <f>SUBTOTAL(9,J2:J2)</f>
        <v>756500</v>
      </c>
      <c r="K3" s="4">
        <f>SUBTOTAL(9,K2:K2)</f>
        <v>0</v>
      </c>
    </row>
    <row r="4" spans="1:11" hidden="1" outlineLevel="2" x14ac:dyDescent="0.35">
      <c r="A4" t="s">
        <v>101</v>
      </c>
      <c r="B4" s="1">
        <v>45717</v>
      </c>
      <c r="C4" t="str">
        <f>"5"</f>
        <v>5</v>
      </c>
      <c r="E4" t="s">
        <v>103</v>
      </c>
      <c r="F4" t="str">
        <f>"28311000"</f>
        <v>28311000</v>
      </c>
      <c r="H4" t="s">
        <v>104</v>
      </c>
      <c r="J4" s="4">
        <v>87508</v>
      </c>
    </row>
    <row r="5" spans="1:11" outlineLevel="1" collapsed="1" x14ac:dyDescent="0.35">
      <c r="B5" s="1"/>
      <c r="F5" s="3" t="s">
        <v>6729</v>
      </c>
      <c r="J5" s="4">
        <f>SUBTOTAL(9,J4:J4)</f>
        <v>87508</v>
      </c>
      <c r="K5" s="4">
        <f>SUBTOTAL(9,K4:K4)</f>
        <v>0</v>
      </c>
    </row>
    <row r="6" spans="1:11" hidden="1" outlineLevel="2" x14ac:dyDescent="0.35">
      <c r="A6" t="s">
        <v>101</v>
      </c>
      <c r="B6" s="1">
        <v>45717</v>
      </c>
      <c r="C6" t="str">
        <f>"5"</f>
        <v>5</v>
      </c>
      <c r="E6" t="s">
        <v>103</v>
      </c>
      <c r="F6" t="str">
        <f>"28313000"</f>
        <v>28313000</v>
      </c>
      <c r="H6" t="s">
        <v>104</v>
      </c>
      <c r="K6" s="4">
        <v>87508</v>
      </c>
    </row>
    <row r="7" spans="1:11" hidden="1" outlineLevel="2" x14ac:dyDescent="0.35">
      <c r="A7" t="s">
        <v>101</v>
      </c>
      <c r="B7" s="1">
        <v>45747</v>
      </c>
      <c r="C7" t="str">
        <f>"6"</f>
        <v>6</v>
      </c>
      <c r="E7" t="s">
        <v>116</v>
      </c>
      <c r="F7" t="str">
        <f>"28313000"</f>
        <v>28313000</v>
      </c>
      <c r="H7" t="s">
        <v>117</v>
      </c>
      <c r="K7" s="4">
        <v>87508</v>
      </c>
    </row>
    <row r="8" spans="1:11" outlineLevel="1" collapsed="1" x14ac:dyDescent="0.35">
      <c r="B8" s="1"/>
      <c r="F8" s="3" t="s">
        <v>6510</v>
      </c>
      <c r="J8" s="4">
        <f>SUBTOTAL(9,J6:J7)</f>
        <v>0</v>
      </c>
      <c r="K8" s="4">
        <f>SUBTOTAL(9,K6:K7)</f>
        <v>175016</v>
      </c>
    </row>
    <row r="9" spans="1:11" hidden="1" outlineLevel="2" x14ac:dyDescent="0.35">
      <c r="A9" t="s">
        <v>101</v>
      </c>
      <c r="B9" s="1">
        <v>45747</v>
      </c>
      <c r="C9" t="str">
        <f>"6"</f>
        <v>6</v>
      </c>
      <c r="E9" t="s">
        <v>116</v>
      </c>
      <c r="F9" t="str">
        <f>"28380000"</f>
        <v>28380000</v>
      </c>
      <c r="H9" t="s">
        <v>118</v>
      </c>
      <c r="K9" s="4">
        <v>96904</v>
      </c>
    </row>
    <row r="10" spans="1:11" outlineLevel="1" collapsed="1" x14ac:dyDescent="0.35">
      <c r="B10" s="1"/>
      <c r="F10" s="3" t="s">
        <v>6514</v>
      </c>
      <c r="J10" s="4">
        <f>SUBTOTAL(9,J9:J9)</f>
        <v>0</v>
      </c>
      <c r="K10" s="4">
        <f>SUBTOTAL(9,K9:K9)</f>
        <v>96904</v>
      </c>
    </row>
    <row r="11" spans="1:11" hidden="1" outlineLevel="2" x14ac:dyDescent="0.35">
      <c r="A11" t="s">
        <v>26</v>
      </c>
      <c r="B11" s="1">
        <v>45719</v>
      </c>
      <c r="C11" t="str">
        <f>"1"</f>
        <v>1</v>
      </c>
      <c r="D11" t="s">
        <v>27</v>
      </c>
      <c r="E11" t="str">
        <f>"0000036"</f>
        <v>0000036</v>
      </c>
      <c r="F11" t="str">
        <f>"40110000"</f>
        <v>40110000</v>
      </c>
      <c r="G11" t="s">
        <v>28</v>
      </c>
      <c r="H11" t="s">
        <v>29</v>
      </c>
      <c r="I11" s="1">
        <v>45719</v>
      </c>
      <c r="K11" s="4">
        <v>885000</v>
      </c>
    </row>
    <row r="12" spans="1:11" hidden="1" outlineLevel="2" x14ac:dyDescent="0.35">
      <c r="A12" t="s">
        <v>26</v>
      </c>
      <c r="B12" s="1">
        <v>45721</v>
      </c>
      <c r="C12" t="str">
        <f>"2"</f>
        <v>2</v>
      </c>
      <c r="D12" t="s">
        <v>30</v>
      </c>
      <c r="E12" t="str">
        <f>"0571"</f>
        <v>0571</v>
      </c>
      <c r="F12" t="str">
        <f>"40110000"</f>
        <v>40110000</v>
      </c>
      <c r="G12" t="str">
        <f>"40110650"</f>
        <v>40110650</v>
      </c>
      <c r="H12" t="s">
        <v>31</v>
      </c>
      <c r="I12" s="1">
        <v>45721</v>
      </c>
      <c r="K12" s="4">
        <v>9204000</v>
      </c>
    </row>
    <row r="13" spans="1:11" hidden="1" outlineLevel="2" x14ac:dyDescent="0.35">
      <c r="A13" t="s">
        <v>32</v>
      </c>
      <c r="B13" s="1">
        <v>45736</v>
      </c>
      <c r="C13" t="str">
        <f>"11"</f>
        <v>11</v>
      </c>
      <c r="F13" t="str">
        <f>"40110000"</f>
        <v>40110000</v>
      </c>
      <c r="G13" t="str">
        <f>"40110650"</f>
        <v>40110650</v>
      </c>
      <c r="H13" t="s">
        <v>43</v>
      </c>
      <c r="J13" s="4">
        <v>9204000</v>
      </c>
    </row>
    <row r="14" spans="1:11" hidden="1" outlineLevel="2" x14ac:dyDescent="0.35">
      <c r="A14" t="s">
        <v>32</v>
      </c>
      <c r="B14" s="1">
        <v>45737</v>
      </c>
      <c r="C14" t="str">
        <f>"12"</f>
        <v>12</v>
      </c>
      <c r="F14" t="str">
        <f>"40110000"</f>
        <v>40110000</v>
      </c>
      <c r="G14" t="s">
        <v>55</v>
      </c>
      <c r="H14" t="s">
        <v>56</v>
      </c>
      <c r="J14" s="4">
        <v>32059125</v>
      </c>
    </row>
    <row r="15" spans="1:11" outlineLevel="1" collapsed="1" x14ac:dyDescent="0.35">
      <c r="B15" s="1"/>
      <c r="F15" s="3" t="s">
        <v>6529</v>
      </c>
      <c r="J15" s="4">
        <f>SUBTOTAL(9,J11:J14)</f>
        <v>41263125</v>
      </c>
      <c r="K15" s="4">
        <f>SUBTOTAL(9,K11:K14)</f>
        <v>10089000</v>
      </c>
    </row>
    <row r="16" spans="1:11" hidden="1" outlineLevel="2" x14ac:dyDescent="0.35">
      <c r="A16" t="s">
        <v>32</v>
      </c>
      <c r="B16" s="1">
        <v>45717</v>
      </c>
      <c r="C16" t="str">
        <f>"31"</f>
        <v>31</v>
      </c>
      <c r="F16" t="str">
        <f t="shared" ref="F16:F79" si="0">"41110000"</f>
        <v>41110000</v>
      </c>
      <c r="G16" t="str">
        <f>"41100500"</f>
        <v>41100500</v>
      </c>
      <c r="H16" t="s">
        <v>33</v>
      </c>
      <c r="K16" s="4">
        <v>-161500</v>
      </c>
    </row>
    <row r="17" spans="1:11" hidden="1" outlineLevel="2" x14ac:dyDescent="0.35">
      <c r="A17" t="s">
        <v>32</v>
      </c>
      <c r="B17" s="1">
        <v>45720</v>
      </c>
      <c r="C17" t="str">
        <f>"1"</f>
        <v>1</v>
      </c>
      <c r="F17" t="str">
        <f t="shared" si="0"/>
        <v>41110000</v>
      </c>
      <c r="G17" t="str">
        <f>"41111478"</f>
        <v>41111478</v>
      </c>
      <c r="H17" t="s">
        <v>34</v>
      </c>
      <c r="K17" s="4">
        <v>5065740</v>
      </c>
    </row>
    <row r="18" spans="1:11" hidden="1" outlineLevel="2" x14ac:dyDescent="0.35">
      <c r="A18" t="s">
        <v>32</v>
      </c>
      <c r="B18" s="1">
        <v>45723</v>
      </c>
      <c r="C18" t="str">
        <f>"3"</f>
        <v>3</v>
      </c>
      <c r="F18" t="str">
        <f t="shared" si="0"/>
        <v>41110000</v>
      </c>
      <c r="G18" t="str">
        <f>"41100507"</f>
        <v>41100507</v>
      </c>
      <c r="H18" t="s">
        <v>36</v>
      </c>
      <c r="K18" s="4">
        <v>14942100</v>
      </c>
    </row>
    <row r="19" spans="1:11" hidden="1" outlineLevel="2" x14ac:dyDescent="0.35">
      <c r="A19" t="s">
        <v>32</v>
      </c>
      <c r="B19" s="1">
        <v>45726</v>
      </c>
      <c r="C19" t="str">
        <f>"4"</f>
        <v>4</v>
      </c>
      <c r="F19" t="str">
        <f t="shared" si="0"/>
        <v>41110000</v>
      </c>
      <c r="G19" t="str">
        <f>"41111900"</f>
        <v>41111900</v>
      </c>
      <c r="H19" t="s">
        <v>37</v>
      </c>
      <c r="K19" s="4">
        <v>2791880</v>
      </c>
    </row>
    <row r="20" spans="1:11" hidden="1" outlineLevel="2" x14ac:dyDescent="0.35">
      <c r="A20" t="s">
        <v>32</v>
      </c>
      <c r="B20" s="1">
        <v>45729</v>
      </c>
      <c r="C20" t="str">
        <f>"6"</f>
        <v>6</v>
      </c>
      <c r="F20" t="str">
        <f t="shared" si="0"/>
        <v>41110000</v>
      </c>
      <c r="G20" t="str">
        <f>"41111992"</f>
        <v>41111992</v>
      </c>
      <c r="H20" t="s">
        <v>39</v>
      </c>
      <c r="K20" s="4">
        <v>22494340</v>
      </c>
    </row>
    <row r="21" spans="1:11" hidden="1" outlineLevel="2" x14ac:dyDescent="0.35">
      <c r="A21" t="s">
        <v>32</v>
      </c>
      <c r="B21" s="1">
        <v>45733</v>
      </c>
      <c r="C21" t="str">
        <f>"7"</f>
        <v>7</v>
      </c>
      <c r="F21" t="str">
        <f t="shared" si="0"/>
        <v>41110000</v>
      </c>
      <c r="G21" t="str">
        <f>"41111895"</f>
        <v>41111895</v>
      </c>
      <c r="H21" t="s">
        <v>40</v>
      </c>
      <c r="K21" s="4">
        <v>38402510</v>
      </c>
    </row>
    <row r="22" spans="1:11" hidden="1" outlineLevel="2" x14ac:dyDescent="0.35">
      <c r="A22" t="s">
        <v>32</v>
      </c>
      <c r="B22" s="1">
        <v>45734</v>
      </c>
      <c r="C22" t="str">
        <f>"8"</f>
        <v>8</v>
      </c>
      <c r="F22" t="str">
        <f t="shared" si="0"/>
        <v>41110000</v>
      </c>
      <c r="G22" t="str">
        <f>"41111900"</f>
        <v>41111900</v>
      </c>
      <c r="H22" t="s">
        <v>41</v>
      </c>
      <c r="K22" s="4">
        <v>1503320</v>
      </c>
    </row>
    <row r="23" spans="1:11" hidden="1" outlineLevel="2" x14ac:dyDescent="0.35">
      <c r="A23" t="s">
        <v>32</v>
      </c>
      <c r="B23" s="1">
        <v>45736</v>
      </c>
      <c r="C23" t="str">
        <f>"9"</f>
        <v>9</v>
      </c>
      <c r="F23" t="str">
        <f t="shared" si="0"/>
        <v>41110000</v>
      </c>
      <c r="G23" t="str">
        <f>"41111375"</f>
        <v>41111375</v>
      </c>
      <c r="H23" t="s">
        <v>42</v>
      </c>
      <c r="K23" s="4">
        <v>20912107</v>
      </c>
    </row>
    <row r="24" spans="1:11" hidden="1" outlineLevel="2" x14ac:dyDescent="0.35">
      <c r="A24" t="s">
        <v>32</v>
      </c>
      <c r="B24" s="1">
        <v>45737</v>
      </c>
      <c r="C24" t="str">
        <f>"10"</f>
        <v>10</v>
      </c>
      <c r="F24" t="str">
        <f t="shared" si="0"/>
        <v>41110000</v>
      </c>
      <c r="G24" t="str">
        <f>"4111998"</f>
        <v>4111998</v>
      </c>
      <c r="H24" t="s">
        <v>54</v>
      </c>
      <c r="K24" s="4">
        <v>1755840</v>
      </c>
    </row>
    <row r="25" spans="1:11" hidden="1" outlineLevel="2" x14ac:dyDescent="0.35">
      <c r="A25" t="s">
        <v>32</v>
      </c>
      <c r="B25" s="1">
        <v>45740</v>
      </c>
      <c r="C25" t="str">
        <f>"27"</f>
        <v>27</v>
      </c>
      <c r="F25" t="str">
        <f t="shared" si="0"/>
        <v>41110000</v>
      </c>
      <c r="G25" t="str">
        <f>"41111478"</f>
        <v>41111478</v>
      </c>
      <c r="H25" t="s">
        <v>59</v>
      </c>
      <c r="K25" s="4">
        <v>5253360</v>
      </c>
    </row>
    <row r="26" spans="1:11" hidden="1" outlineLevel="2" x14ac:dyDescent="0.35">
      <c r="A26" t="s">
        <v>32</v>
      </c>
      <c r="B26" s="1">
        <v>45744</v>
      </c>
      <c r="C26" t="str">
        <f>"24"</f>
        <v>24</v>
      </c>
      <c r="F26" t="str">
        <f t="shared" si="0"/>
        <v>41110000</v>
      </c>
      <c r="G26" t="str">
        <f>"41111375"</f>
        <v>41111375</v>
      </c>
      <c r="H26" t="s">
        <v>62</v>
      </c>
      <c r="K26" s="4">
        <v>17566129</v>
      </c>
    </row>
    <row r="27" spans="1:11" hidden="1" outlineLevel="2" x14ac:dyDescent="0.35">
      <c r="A27" t="s">
        <v>64</v>
      </c>
      <c r="B27" s="1">
        <v>45722</v>
      </c>
      <c r="C27" t="str">
        <f>"1"</f>
        <v>1</v>
      </c>
      <c r="E27" t="str">
        <f>"1307"</f>
        <v>1307</v>
      </c>
      <c r="F27" t="str">
        <f t="shared" si="0"/>
        <v>41110000</v>
      </c>
      <c r="G27" t="str">
        <f>"41111887"</f>
        <v>41111887</v>
      </c>
      <c r="H27" t="s">
        <v>65</v>
      </c>
      <c r="K27" s="4">
        <v>526280</v>
      </c>
    </row>
    <row r="28" spans="1:11" hidden="1" outlineLevel="2" x14ac:dyDescent="0.35">
      <c r="A28" t="s">
        <v>64</v>
      </c>
      <c r="B28" s="1">
        <v>45734</v>
      </c>
      <c r="C28" t="str">
        <f>"3"</f>
        <v>3</v>
      </c>
      <c r="E28" t="str">
        <f>"1308"</f>
        <v>1308</v>
      </c>
      <c r="F28" t="str">
        <f t="shared" si="0"/>
        <v>41110000</v>
      </c>
      <c r="G28" t="str">
        <f>"41111887"</f>
        <v>41111887</v>
      </c>
      <c r="H28" t="s">
        <v>65</v>
      </c>
      <c r="K28" s="4">
        <v>1823100</v>
      </c>
    </row>
    <row r="29" spans="1:11" hidden="1" outlineLevel="2" x14ac:dyDescent="0.35">
      <c r="A29" t="s">
        <v>64</v>
      </c>
      <c r="B29" s="1">
        <v>45734</v>
      </c>
      <c r="C29" t="str">
        <f>"5"</f>
        <v>5</v>
      </c>
      <c r="E29" t="str">
        <f>"1309"</f>
        <v>1309</v>
      </c>
      <c r="F29" t="str">
        <f t="shared" si="0"/>
        <v>41110000</v>
      </c>
      <c r="G29" t="str">
        <f>"41100653"</f>
        <v>41100653</v>
      </c>
      <c r="H29" t="s">
        <v>66</v>
      </c>
      <c r="K29" s="4">
        <v>354000</v>
      </c>
    </row>
    <row r="30" spans="1:11" hidden="1" outlineLevel="2" x14ac:dyDescent="0.35">
      <c r="A30" t="s">
        <v>64</v>
      </c>
      <c r="B30" s="1">
        <v>45734</v>
      </c>
      <c r="C30" t="str">
        <f>"7"</f>
        <v>7</v>
      </c>
      <c r="E30" t="str">
        <f>"1310"</f>
        <v>1310</v>
      </c>
      <c r="F30" t="str">
        <f t="shared" si="0"/>
        <v>41110000</v>
      </c>
      <c r="G30" t="str">
        <f>"41100653"</f>
        <v>41100653</v>
      </c>
      <c r="H30" t="s">
        <v>66</v>
      </c>
      <c r="K30" s="4">
        <v>2952360</v>
      </c>
    </row>
    <row r="31" spans="1:11" hidden="1" outlineLevel="2" x14ac:dyDescent="0.35">
      <c r="A31" t="s">
        <v>64</v>
      </c>
      <c r="B31" s="1">
        <v>45734</v>
      </c>
      <c r="C31" t="str">
        <f>"9"</f>
        <v>9</v>
      </c>
      <c r="E31" t="str">
        <f>"1311"</f>
        <v>1311</v>
      </c>
      <c r="F31" t="str">
        <f t="shared" si="0"/>
        <v>41110000</v>
      </c>
      <c r="G31" t="str">
        <f>"41111000"</f>
        <v>41111000</v>
      </c>
      <c r="H31" t="s">
        <v>67</v>
      </c>
      <c r="K31" s="4">
        <v>214760</v>
      </c>
    </row>
    <row r="32" spans="1:11" hidden="1" outlineLevel="2" x14ac:dyDescent="0.35">
      <c r="A32" t="s">
        <v>64</v>
      </c>
      <c r="B32" s="1">
        <v>45734</v>
      </c>
      <c r="C32" t="str">
        <f>"11"</f>
        <v>11</v>
      </c>
      <c r="E32" t="str">
        <f>"1312"</f>
        <v>1312</v>
      </c>
      <c r="F32" t="str">
        <f t="shared" si="0"/>
        <v>41110000</v>
      </c>
      <c r="G32" t="str">
        <f>"41111000"</f>
        <v>41111000</v>
      </c>
      <c r="H32" t="s">
        <v>68</v>
      </c>
      <c r="K32" s="4">
        <v>1073800</v>
      </c>
    </row>
    <row r="33" spans="1:11" hidden="1" outlineLevel="2" x14ac:dyDescent="0.35">
      <c r="A33" t="s">
        <v>64</v>
      </c>
      <c r="B33" s="1">
        <v>45734</v>
      </c>
      <c r="C33" t="str">
        <f>"13"</f>
        <v>13</v>
      </c>
      <c r="E33" t="str">
        <f>"1313"</f>
        <v>1313</v>
      </c>
      <c r="F33" t="str">
        <f t="shared" si="0"/>
        <v>41110000</v>
      </c>
      <c r="G33" t="str">
        <f>"41111937"</f>
        <v>41111937</v>
      </c>
      <c r="H33" t="s">
        <v>69</v>
      </c>
      <c r="K33" s="4">
        <v>214760</v>
      </c>
    </row>
    <row r="34" spans="1:11" hidden="1" outlineLevel="2" x14ac:dyDescent="0.35">
      <c r="A34" t="s">
        <v>64</v>
      </c>
      <c r="B34" s="1">
        <v>45734</v>
      </c>
      <c r="C34" t="str">
        <f>"15"</f>
        <v>15</v>
      </c>
      <c r="E34" t="str">
        <f>"1314"</f>
        <v>1314</v>
      </c>
      <c r="F34" t="str">
        <f t="shared" si="0"/>
        <v>41110000</v>
      </c>
      <c r="G34" t="str">
        <f>"41111937"</f>
        <v>41111937</v>
      </c>
      <c r="H34" t="s">
        <v>69</v>
      </c>
      <c r="K34" s="4">
        <v>214760</v>
      </c>
    </row>
    <row r="35" spans="1:11" hidden="1" outlineLevel="2" x14ac:dyDescent="0.35">
      <c r="A35" t="s">
        <v>64</v>
      </c>
      <c r="B35" s="1">
        <v>45734</v>
      </c>
      <c r="C35" t="str">
        <f>"17"</f>
        <v>17</v>
      </c>
      <c r="E35" t="str">
        <f>"1315"</f>
        <v>1315</v>
      </c>
      <c r="F35" t="str">
        <f t="shared" si="0"/>
        <v>41110000</v>
      </c>
      <c r="G35" t="str">
        <f>"41111937"</f>
        <v>41111937</v>
      </c>
      <c r="H35" t="s">
        <v>69</v>
      </c>
      <c r="K35" s="4">
        <v>214760</v>
      </c>
    </row>
    <row r="36" spans="1:11" hidden="1" outlineLevel="2" x14ac:dyDescent="0.35">
      <c r="A36" t="s">
        <v>64</v>
      </c>
      <c r="B36" s="1">
        <v>45734</v>
      </c>
      <c r="C36" t="str">
        <f>"19"</f>
        <v>19</v>
      </c>
      <c r="E36" t="str">
        <f>"1316"</f>
        <v>1316</v>
      </c>
      <c r="F36" t="str">
        <f t="shared" si="0"/>
        <v>41110000</v>
      </c>
      <c r="G36" t="str">
        <f>"41111937"</f>
        <v>41111937</v>
      </c>
      <c r="H36" t="s">
        <v>69</v>
      </c>
      <c r="K36" s="4">
        <v>214760</v>
      </c>
    </row>
    <row r="37" spans="1:11" hidden="1" outlineLevel="2" x14ac:dyDescent="0.35">
      <c r="A37" t="s">
        <v>64</v>
      </c>
      <c r="B37" s="1">
        <v>45734</v>
      </c>
      <c r="C37" t="str">
        <f>"21"</f>
        <v>21</v>
      </c>
      <c r="E37" t="str">
        <f>"1317"</f>
        <v>1317</v>
      </c>
      <c r="F37" t="str">
        <f t="shared" si="0"/>
        <v>41110000</v>
      </c>
      <c r="G37" t="str">
        <f>"41101222"</f>
        <v>41101222</v>
      </c>
      <c r="H37" t="s">
        <v>70</v>
      </c>
      <c r="K37" s="4">
        <v>214760</v>
      </c>
    </row>
    <row r="38" spans="1:11" hidden="1" outlineLevel="2" x14ac:dyDescent="0.35">
      <c r="A38" t="s">
        <v>64</v>
      </c>
      <c r="B38" s="1">
        <v>45734</v>
      </c>
      <c r="C38" t="str">
        <f>"23"</f>
        <v>23</v>
      </c>
      <c r="E38" t="str">
        <f>"1318"</f>
        <v>1318</v>
      </c>
      <c r="F38" t="str">
        <f t="shared" si="0"/>
        <v>41110000</v>
      </c>
      <c r="G38" t="str">
        <f>"41101222"</f>
        <v>41101222</v>
      </c>
      <c r="H38" t="s">
        <v>70</v>
      </c>
      <c r="K38" s="4">
        <v>214760</v>
      </c>
    </row>
    <row r="39" spans="1:11" hidden="1" outlineLevel="2" x14ac:dyDescent="0.35">
      <c r="A39" t="s">
        <v>64</v>
      </c>
      <c r="B39" s="1">
        <v>45734</v>
      </c>
      <c r="C39" t="str">
        <f>"25"</f>
        <v>25</v>
      </c>
      <c r="E39" t="str">
        <f>"1319"</f>
        <v>1319</v>
      </c>
      <c r="F39" t="str">
        <f t="shared" si="0"/>
        <v>41110000</v>
      </c>
      <c r="G39" t="str">
        <f>"41101222"</f>
        <v>41101222</v>
      </c>
      <c r="H39" t="s">
        <v>70</v>
      </c>
      <c r="K39" s="4">
        <v>322140</v>
      </c>
    </row>
    <row r="40" spans="1:11" hidden="1" outlineLevel="2" x14ac:dyDescent="0.35">
      <c r="A40" t="s">
        <v>64</v>
      </c>
      <c r="B40" s="1">
        <v>45735</v>
      </c>
      <c r="C40" t="str">
        <f>"27"</f>
        <v>27</v>
      </c>
      <c r="E40" t="str">
        <f>"1320"</f>
        <v>1320</v>
      </c>
      <c r="F40" t="str">
        <f t="shared" si="0"/>
        <v>41110000</v>
      </c>
      <c r="G40" t="str">
        <f>"41111992"</f>
        <v>41111992</v>
      </c>
      <c r="H40" t="s">
        <v>71</v>
      </c>
      <c r="K40" s="4">
        <v>2147600</v>
      </c>
    </row>
    <row r="41" spans="1:11" hidden="1" outlineLevel="2" x14ac:dyDescent="0.35">
      <c r="A41" t="s">
        <v>64</v>
      </c>
      <c r="B41" s="1">
        <v>45741</v>
      </c>
      <c r="C41" t="str">
        <f>"29"</f>
        <v>29</v>
      </c>
      <c r="E41" t="str">
        <f>"1321"</f>
        <v>1321</v>
      </c>
      <c r="F41" t="str">
        <f t="shared" si="0"/>
        <v>41110000</v>
      </c>
      <c r="G41" t="str">
        <f>"41111887"</f>
        <v>41111887</v>
      </c>
      <c r="H41" t="s">
        <v>65</v>
      </c>
      <c r="K41" s="4">
        <v>1062000</v>
      </c>
    </row>
    <row r="42" spans="1:11" hidden="1" outlineLevel="2" x14ac:dyDescent="0.35">
      <c r="A42" t="s">
        <v>64</v>
      </c>
      <c r="B42" s="1">
        <v>45744</v>
      </c>
      <c r="C42" t="str">
        <f>"31"</f>
        <v>31</v>
      </c>
      <c r="E42" t="str">
        <f>"1322"</f>
        <v>1322</v>
      </c>
      <c r="F42" t="str">
        <f t="shared" si="0"/>
        <v>41110000</v>
      </c>
      <c r="G42" t="str">
        <f>"41111992"</f>
        <v>41111992</v>
      </c>
      <c r="H42" t="s">
        <v>71</v>
      </c>
      <c r="K42" s="4">
        <v>2147600</v>
      </c>
    </row>
    <row r="43" spans="1:11" hidden="1" outlineLevel="2" x14ac:dyDescent="0.35">
      <c r="A43" t="s">
        <v>126</v>
      </c>
      <c r="B43" s="1">
        <v>45720</v>
      </c>
      <c r="C43" t="str">
        <f>"67"</f>
        <v>67</v>
      </c>
      <c r="E43" t="str">
        <f>"1283"</f>
        <v>1283</v>
      </c>
      <c r="F43" t="str">
        <f t="shared" si="0"/>
        <v>41110000</v>
      </c>
      <c r="G43" t="str">
        <f t="shared" ref="G43:G51" si="1">"41111000"</f>
        <v>41111000</v>
      </c>
      <c r="H43" t="s">
        <v>127</v>
      </c>
      <c r="K43" s="4">
        <v>214760</v>
      </c>
    </row>
    <row r="44" spans="1:11" hidden="1" outlineLevel="2" x14ac:dyDescent="0.35">
      <c r="A44" t="s">
        <v>126</v>
      </c>
      <c r="B44" s="1">
        <v>45722</v>
      </c>
      <c r="C44" t="str">
        <f>"69"</f>
        <v>69</v>
      </c>
      <c r="E44" t="str">
        <f>"1284"</f>
        <v>1284</v>
      </c>
      <c r="F44" t="str">
        <f t="shared" si="0"/>
        <v>41110000</v>
      </c>
      <c r="G44" t="str">
        <f t="shared" si="1"/>
        <v>41111000</v>
      </c>
      <c r="H44" t="s">
        <v>128</v>
      </c>
      <c r="K44" s="4">
        <v>859040</v>
      </c>
    </row>
    <row r="45" spans="1:11" hidden="1" outlineLevel="2" x14ac:dyDescent="0.35">
      <c r="A45" t="s">
        <v>126</v>
      </c>
      <c r="B45" s="1">
        <v>45722</v>
      </c>
      <c r="C45" t="str">
        <f>"71"</f>
        <v>71</v>
      </c>
      <c r="E45" t="str">
        <f>"1285"</f>
        <v>1285</v>
      </c>
      <c r="F45" t="str">
        <f t="shared" si="0"/>
        <v>41110000</v>
      </c>
      <c r="G45" t="str">
        <f t="shared" si="1"/>
        <v>41111000</v>
      </c>
      <c r="H45" t="s">
        <v>127</v>
      </c>
      <c r="K45" s="4">
        <v>214760</v>
      </c>
    </row>
    <row r="46" spans="1:11" hidden="1" outlineLevel="2" x14ac:dyDescent="0.35">
      <c r="A46" t="s">
        <v>126</v>
      </c>
      <c r="B46" s="1">
        <v>45726</v>
      </c>
      <c r="C46" t="str">
        <f>"73"</f>
        <v>73</v>
      </c>
      <c r="E46" t="str">
        <f>"1286"</f>
        <v>1286</v>
      </c>
      <c r="F46" t="str">
        <f t="shared" si="0"/>
        <v>41110000</v>
      </c>
      <c r="G46" t="str">
        <f t="shared" si="1"/>
        <v>41111000</v>
      </c>
      <c r="H46" t="s">
        <v>127</v>
      </c>
      <c r="K46" s="4">
        <v>859040</v>
      </c>
    </row>
    <row r="47" spans="1:11" hidden="1" outlineLevel="2" x14ac:dyDescent="0.35">
      <c r="A47" t="s">
        <v>126</v>
      </c>
      <c r="B47" s="1">
        <v>45729</v>
      </c>
      <c r="C47" t="str">
        <f>"75"</f>
        <v>75</v>
      </c>
      <c r="E47" t="str">
        <f>"1287"</f>
        <v>1287</v>
      </c>
      <c r="F47" t="str">
        <f t="shared" si="0"/>
        <v>41110000</v>
      </c>
      <c r="G47" t="str">
        <f t="shared" si="1"/>
        <v>41111000</v>
      </c>
      <c r="H47" t="s">
        <v>129</v>
      </c>
      <c r="K47" s="4">
        <v>429520</v>
      </c>
    </row>
    <row r="48" spans="1:11" hidden="1" outlineLevel="2" x14ac:dyDescent="0.35">
      <c r="A48" t="s">
        <v>126</v>
      </c>
      <c r="B48" s="1">
        <v>45735</v>
      </c>
      <c r="C48" t="str">
        <f>"77"</f>
        <v>77</v>
      </c>
      <c r="E48" t="str">
        <f>"1288"</f>
        <v>1288</v>
      </c>
      <c r="F48" t="str">
        <f t="shared" si="0"/>
        <v>41110000</v>
      </c>
      <c r="G48" t="str">
        <f t="shared" si="1"/>
        <v>41111000</v>
      </c>
      <c r="H48" t="s">
        <v>129</v>
      </c>
      <c r="K48" s="4">
        <v>429520</v>
      </c>
    </row>
    <row r="49" spans="1:11" hidden="1" outlineLevel="2" x14ac:dyDescent="0.35">
      <c r="A49" t="s">
        <v>126</v>
      </c>
      <c r="B49" s="1">
        <v>45736</v>
      </c>
      <c r="C49" t="str">
        <f>"79"</f>
        <v>79</v>
      </c>
      <c r="E49" t="str">
        <f>"1289"</f>
        <v>1289</v>
      </c>
      <c r="F49" t="str">
        <f t="shared" si="0"/>
        <v>41110000</v>
      </c>
      <c r="G49" t="str">
        <f t="shared" si="1"/>
        <v>41111000</v>
      </c>
      <c r="H49" t="s">
        <v>127</v>
      </c>
      <c r="K49" s="4">
        <v>644280</v>
      </c>
    </row>
    <row r="50" spans="1:11" hidden="1" outlineLevel="2" x14ac:dyDescent="0.35">
      <c r="A50" t="s">
        <v>126</v>
      </c>
      <c r="B50" s="1">
        <v>45740</v>
      </c>
      <c r="C50" t="str">
        <f>"81"</f>
        <v>81</v>
      </c>
      <c r="E50" t="str">
        <f>"1290"</f>
        <v>1290</v>
      </c>
      <c r="F50" t="str">
        <f t="shared" si="0"/>
        <v>41110000</v>
      </c>
      <c r="G50" t="str">
        <f t="shared" si="1"/>
        <v>41111000</v>
      </c>
      <c r="H50" t="s">
        <v>130</v>
      </c>
      <c r="K50" s="4">
        <v>214760</v>
      </c>
    </row>
    <row r="51" spans="1:11" hidden="1" outlineLevel="2" x14ac:dyDescent="0.35">
      <c r="A51" t="s">
        <v>126</v>
      </c>
      <c r="B51" s="1">
        <v>45741</v>
      </c>
      <c r="C51" t="str">
        <f>"83"</f>
        <v>83</v>
      </c>
      <c r="E51" t="str">
        <f>"1291"</f>
        <v>1291</v>
      </c>
      <c r="F51" t="str">
        <f t="shared" si="0"/>
        <v>41110000</v>
      </c>
      <c r="G51" t="str">
        <f t="shared" si="1"/>
        <v>41111000</v>
      </c>
      <c r="H51" t="s">
        <v>127</v>
      </c>
      <c r="K51" s="4">
        <v>472000</v>
      </c>
    </row>
    <row r="52" spans="1:11" hidden="1" outlineLevel="2" x14ac:dyDescent="0.35">
      <c r="A52" t="s">
        <v>131</v>
      </c>
      <c r="B52" s="1">
        <v>45717</v>
      </c>
      <c r="C52" t="s">
        <v>132</v>
      </c>
      <c r="D52" t="s">
        <v>132</v>
      </c>
      <c r="F52" t="str">
        <f t="shared" si="0"/>
        <v>41110000</v>
      </c>
      <c r="G52" t="str">
        <f>"41111887"</f>
        <v>41111887</v>
      </c>
      <c r="H52" t="s">
        <v>133</v>
      </c>
      <c r="I52" s="1">
        <v>45717</v>
      </c>
      <c r="J52" s="4">
        <v>429520</v>
      </c>
    </row>
    <row r="53" spans="1:11" hidden="1" outlineLevel="2" x14ac:dyDescent="0.35">
      <c r="A53" t="s">
        <v>131</v>
      </c>
      <c r="B53" s="1">
        <v>45717</v>
      </c>
      <c r="C53" t="s">
        <v>132</v>
      </c>
      <c r="D53" t="s">
        <v>132</v>
      </c>
      <c r="F53" t="str">
        <f t="shared" si="0"/>
        <v>41110000</v>
      </c>
      <c r="G53" t="str">
        <f>"41111887"</f>
        <v>41111887</v>
      </c>
      <c r="H53" t="s">
        <v>134</v>
      </c>
      <c r="I53" s="1">
        <v>45717</v>
      </c>
      <c r="J53" s="4">
        <v>-429520</v>
      </c>
    </row>
    <row r="54" spans="1:11" hidden="1" outlineLevel="2" x14ac:dyDescent="0.35">
      <c r="A54" t="s">
        <v>131</v>
      </c>
      <c r="B54" s="1">
        <v>45717</v>
      </c>
      <c r="C54" t="s">
        <v>135</v>
      </c>
      <c r="D54" t="s">
        <v>135</v>
      </c>
      <c r="F54" t="str">
        <f t="shared" si="0"/>
        <v>41110000</v>
      </c>
      <c r="G54" t="str">
        <f>"41111887"</f>
        <v>41111887</v>
      </c>
      <c r="H54" t="s">
        <v>136</v>
      </c>
      <c r="I54" s="1">
        <v>45747</v>
      </c>
      <c r="J54" s="4">
        <v>-429520</v>
      </c>
    </row>
    <row r="55" spans="1:11" hidden="1" outlineLevel="2" x14ac:dyDescent="0.35">
      <c r="A55" t="s">
        <v>131</v>
      </c>
      <c r="B55" s="1">
        <v>45717</v>
      </c>
      <c r="C55" t="s">
        <v>135</v>
      </c>
      <c r="D55" t="s">
        <v>135</v>
      </c>
      <c r="F55" t="str">
        <f t="shared" si="0"/>
        <v>41110000</v>
      </c>
      <c r="G55" t="str">
        <f>"41111887"</f>
        <v>41111887</v>
      </c>
      <c r="H55" t="s">
        <v>137</v>
      </c>
      <c r="I55" s="1">
        <v>45747</v>
      </c>
      <c r="J55" s="4">
        <v>429520</v>
      </c>
    </row>
    <row r="56" spans="1:11" hidden="1" outlineLevel="2" x14ac:dyDescent="0.35">
      <c r="A56" t="s">
        <v>131</v>
      </c>
      <c r="B56" s="1">
        <v>45718</v>
      </c>
      <c r="C56" t="s">
        <v>138</v>
      </c>
      <c r="D56" t="s">
        <v>138</v>
      </c>
      <c r="F56" t="str">
        <f t="shared" si="0"/>
        <v>41110000</v>
      </c>
      <c r="G56" t="str">
        <f>"41111895"</f>
        <v>41111895</v>
      </c>
      <c r="H56" t="s">
        <v>139</v>
      </c>
      <c r="I56" s="1">
        <v>45749</v>
      </c>
      <c r="J56" s="4">
        <v>7504800</v>
      </c>
    </row>
    <row r="57" spans="1:11" hidden="1" outlineLevel="2" x14ac:dyDescent="0.35">
      <c r="A57" t="s">
        <v>131</v>
      </c>
      <c r="B57" s="1">
        <v>45718</v>
      </c>
      <c r="C57" t="s">
        <v>140</v>
      </c>
      <c r="D57" t="s">
        <v>140</v>
      </c>
      <c r="F57" t="str">
        <f t="shared" si="0"/>
        <v>41110000</v>
      </c>
      <c r="G57" t="str">
        <f>"41111895"</f>
        <v>41111895</v>
      </c>
      <c r="H57" t="s">
        <v>139</v>
      </c>
      <c r="I57" s="1">
        <v>45749</v>
      </c>
      <c r="J57" s="4">
        <v>7129560</v>
      </c>
    </row>
    <row r="58" spans="1:11" hidden="1" outlineLevel="2" x14ac:dyDescent="0.35">
      <c r="A58" t="s">
        <v>131</v>
      </c>
      <c r="B58" s="1">
        <v>45720</v>
      </c>
      <c r="C58" t="s">
        <v>141</v>
      </c>
      <c r="D58" t="s">
        <v>141</v>
      </c>
      <c r="F58" t="str">
        <f t="shared" si="0"/>
        <v>41110000</v>
      </c>
      <c r="G58" t="str">
        <f>"41100507"</f>
        <v>41100507</v>
      </c>
      <c r="H58" t="s">
        <v>142</v>
      </c>
      <c r="I58" s="1">
        <v>45720</v>
      </c>
      <c r="K58" s="4">
        <v>206500</v>
      </c>
    </row>
    <row r="59" spans="1:11" hidden="1" outlineLevel="2" x14ac:dyDescent="0.35">
      <c r="A59" t="s">
        <v>131</v>
      </c>
      <c r="B59" s="1">
        <v>45720</v>
      </c>
      <c r="C59" t="s">
        <v>143</v>
      </c>
      <c r="D59" t="s">
        <v>143</v>
      </c>
      <c r="F59" t="str">
        <f t="shared" si="0"/>
        <v>41110000</v>
      </c>
      <c r="G59" t="str">
        <f>"41111000"</f>
        <v>41111000</v>
      </c>
      <c r="H59" t="s">
        <v>144</v>
      </c>
      <c r="I59" s="1">
        <v>45720</v>
      </c>
      <c r="J59" s="4">
        <v>214760</v>
      </c>
    </row>
    <row r="60" spans="1:11" hidden="1" outlineLevel="2" x14ac:dyDescent="0.35">
      <c r="A60" t="s">
        <v>131</v>
      </c>
      <c r="B60" s="1">
        <v>45721</v>
      </c>
      <c r="C60" t="s">
        <v>145</v>
      </c>
      <c r="D60" t="s">
        <v>145</v>
      </c>
      <c r="F60" t="str">
        <f t="shared" si="0"/>
        <v>41110000</v>
      </c>
      <c r="G60" t="str">
        <f>"41100653"</f>
        <v>41100653</v>
      </c>
      <c r="H60" t="s">
        <v>146</v>
      </c>
      <c r="I60" s="1">
        <v>45752</v>
      </c>
      <c r="J60" s="4">
        <v>214760</v>
      </c>
    </row>
    <row r="61" spans="1:11" hidden="1" outlineLevel="2" x14ac:dyDescent="0.35">
      <c r="A61" t="s">
        <v>131</v>
      </c>
      <c r="B61" s="1">
        <v>45721</v>
      </c>
      <c r="C61" t="s">
        <v>147</v>
      </c>
      <c r="D61" t="s">
        <v>147</v>
      </c>
      <c r="F61" t="str">
        <f t="shared" si="0"/>
        <v>41110000</v>
      </c>
      <c r="G61" t="str">
        <f>"41111375"</f>
        <v>41111375</v>
      </c>
      <c r="H61" t="s">
        <v>148</v>
      </c>
      <c r="I61" s="1">
        <v>45721</v>
      </c>
      <c r="J61" s="4">
        <v>672600</v>
      </c>
    </row>
    <row r="62" spans="1:11" hidden="1" outlineLevel="2" x14ac:dyDescent="0.35">
      <c r="A62" t="s">
        <v>131</v>
      </c>
      <c r="B62" s="1">
        <v>45721</v>
      </c>
      <c r="C62" t="s">
        <v>149</v>
      </c>
      <c r="D62" t="s">
        <v>149</v>
      </c>
      <c r="F62" t="str">
        <f t="shared" si="0"/>
        <v>41110000</v>
      </c>
      <c r="G62" t="str">
        <f>"41111375"</f>
        <v>41111375</v>
      </c>
      <c r="H62" t="s">
        <v>150</v>
      </c>
      <c r="I62" s="1">
        <v>45777</v>
      </c>
      <c r="J62" s="4">
        <v>295000</v>
      </c>
    </row>
    <row r="63" spans="1:11" hidden="1" outlineLevel="2" x14ac:dyDescent="0.35">
      <c r="A63" t="s">
        <v>131</v>
      </c>
      <c r="B63" s="1">
        <v>45721</v>
      </c>
      <c r="C63" t="s">
        <v>151</v>
      </c>
      <c r="D63" t="s">
        <v>151</v>
      </c>
      <c r="F63" t="str">
        <f t="shared" si="0"/>
        <v>41110000</v>
      </c>
      <c r="G63" t="str">
        <f>"41111375"</f>
        <v>41111375</v>
      </c>
      <c r="H63" t="s">
        <v>148</v>
      </c>
      <c r="I63" s="1">
        <v>45721</v>
      </c>
      <c r="J63" s="4">
        <v>528640</v>
      </c>
    </row>
    <row r="64" spans="1:11" hidden="1" outlineLevel="2" x14ac:dyDescent="0.35">
      <c r="A64" t="s">
        <v>131</v>
      </c>
      <c r="B64" s="1">
        <v>45721</v>
      </c>
      <c r="C64" t="s">
        <v>152</v>
      </c>
      <c r="D64" t="s">
        <v>152</v>
      </c>
      <c r="F64" t="str">
        <f t="shared" si="0"/>
        <v>41110000</v>
      </c>
      <c r="G64" t="str">
        <f>"41111992"</f>
        <v>41111992</v>
      </c>
      <c r="H64" t="s">
        <v>153</v>
      </c>
      <c r="I64" s="1">
        <v>45777</v>
      </c>
      <c r="J64" s="4">
        <v>1557600</v>
      </c>
    </row>
    <row r="65" spans="1:10" hidden="1" outlineLevel="2" x14ac:dyDescent="0.35">
      <c r="A65" t="s">
        <v>131</v>
      </c>
      <c r="B65" s="1">
        <v>45721</v>
      </c>
      <c r="C65" t="s">
        <v>152</v>
      </c>
      <c r="D65" t="s">
        <v>152</v>
      </c>
      <c r="F65" t="str">
        <f t="shared" si="0"/>
        <v>41110000</v>
      </c>
      <c r="G65" t="str">
        <f>"41111992"</f>
        <v>41111992</v>
      </c>
      <c r="H65" t="s">
        <v>154</v>
      </c>
      <c r="I65" s="1">
        <v>45721</v>
      </c>
      <c r="J65" s="4">
        <v>1557600</v>
      </c>
    </row>
    <row r="66" spans="1:10" hidden="1" outlineLevel="2" x14ac:dyDescent="0.35">
      <c r="A66" t="s">
        <v>131</v>
      </c>
      <c r="B66" s="1">
        <v>45721</v>
      </c>
      <c r="C66" t="s">
        <v>152</v>
      </c>
      <c r="D66" t="s">
        <v>152</v>
      </c>
      <c r="F66" t="str">
        <f t="shared" si="0"/>
        <v>41110000</v>
      </c>
      <c r="G66" t="str">
        <f>"41111992"</f>
        <v>41111992</v>
      </c>
      <c r="H66" t="s">
        <v>155</v>
      </c>
      <c r="I66" s="1">
        <v>45721</v>
      </c>
      <c r="J66" s="4">
        <v>-1557600</v>
      </c>
    </row>
    <row r="67" spans="1:10" hidden="1" outlineLevel="2" x14ac:dyDescent="0.35">
      <c r="A67" t="s">
        <v>131</v>
      </c>
      <c r="B67" s="1">
        <v>45722</v>
      </c>
      <c r="C67" t="s">
        <v>156</v>
      </c>
      <c r="D67" t="s">
        <v>156</v>
      </c>
      <c r="F67" t="str">
        <f t="shared" si="0"/>
        <v>41110000</v>
      </c>
      <c r="G67" t="str">
        <f>"41111000"</f>
        <v>41111000</v>
      </c>
      <c r="H67" t="s">
        <v>157</v>
      </c>
      <c r="I67" s="1">
        <v>45722</v>
      </c>
      <c r="J67" s="4">
        <v>859040</v>
      </c>
    </row>
    <row r="68" spans="1:10" hidden="1" outlineLevel="2" x14ac:dyDescent="0.35">
      <c r="A68" t="s">
        <v>131</v>
      </c>
      <c r="B68" s="1">
        <v>45722</v>
      </c>
      <c r="C68" t="s">
        <v>158</v>
      </c>
      <c r="D68" t="s">
        <v>158</v>
      </c>
      <c r="F68" t="str">
        <f t="shared" si="0"/>
        <v>41110000</v>
      </c>
      <c r="G68" t="str">
        <f>"41100507"</f>
        <v>41100507</v>
      </c>
      <c r="H68" t="s">
        <v>159</v>
      </c>
      <c r="I68" s="1">
        <v>45722</v>
      </c>
      <c r="J68" s="4">
        <v>826000</v>
      </c>
    </row>
    <row r="69" spans="1:10" hidden="1" outlineLevel="2" x14ac:dyDescent="0.35">
      <c r="A69" t="s">
        <v>131</v>
      </c>
      <c r="B69" s="1">
        <v>45722</v>
      </c>
      <c r="C69" t="s">
        <v>160</v>
      </c>
      <c r="D69" t="s">
        <v>160</v>
      </c>
      <c r="F69" t="str">
        <f t="shared" si="0"/>
        <v>41110000</v>
      </c>
      <c r="G69" t="str">
        <f>"41100653"</f>
        <v>41100653</v>
      </c>
      <c r="H69" t="s">
        <v>146</v>
      </c>
      <c r="I69" s="1">
        <v>45753</v>
      </c>
      <c r="J69" s="4">
        <v>214760</v>
      </c>
    </row>
    <row r="70" spans="1:10" hidden="1" outlineLevel="2" x14ac:dyDescent="0.35">
      <c r="A70" t="s">
        <v>131</v>
      </c>
      <c r="B70" s="1">
        <v>45722</v>
      </c>
      <c r="C70" t="s">
        <v>161</v>
      </c>
      <c r="D70" t="s">
        <v>161</v>
      </c>
      <c r="F70" t="str">
        <f t="shared" si="0"/>
        <v>41110000</v>
      </c>
      <c r="G70" t="str">
        <f>"41100653"</f>
        <v>41100653</v>
      </c>
      <c r="H70" t="s">
        <v>146</v>
      </c>
      <c r="I70" s="1">
        <v>45753</v>
      </c>
      <c r="J70" s="4">
        <v>214760</v>
      </c>
    </row>
    <row r="71" spans="1:10" hidden="1" outlineLevel="2" x14ac:dyDescent="0.35">
      <c r="A71" t="s">
        <v>131</v>
      </c>
      <c r="B71" s="1">
        <v>45722</v>
      </c>
      <c r="C71" t="s">
        <v>162</v>
      </c>
      <c r="D71" t="s">
        <v>162</v>
      </c>
      <c r="F71" t="str">
        <f t="shared" si="0"/>
        <v>41110000</v>
      </c>
      <c r="G71" t="str">
        <f>"41111887"</f>
        <v>41111887</v>
      </c>
      <c r="H71" t="s">
        <v>163</v>
      </c>
      <c r="I71" s="1">
        <v>45777</v>
      </c>
      <c r="J71" s="4">
        <v>107380</v>
      </c>
    </row>
    <row r="72" spans="1:10" hidden="1" outlineLevel="2" x14ac:dyDescent="0.35">
      <c r="A72" t="s">
        <v>131</v>
      </c>
      <c r="B72" s="1">
        <v>45722</v>
      </c>
      <c r="C72" t="s">
        <v>164</v>
      </c>
      <c r="D72" t="s">
        <v>164</v>
      </c>
      <c r="F72" t="str">
        <f t="shared" si="0"/>
        <v>41110000</v>
      </c>
      <c r="G72" t="str">
        <f>"41111895"</f>
        <v>41111895</v>
      </c>
      <c r="H72" t="s">
        <v>165</v>
      </c>
      <c r="I72" s="1">
        <v>45722</v>
      </c>
      <c r="J72" s="4">
        <v>237180</v>
      </c>
    </row>
    <row r="73" spans="1:10" hidden="1" outlineLevel="2" x14ac:dyDescent="0.35">
      <c r="A73" t="s">
        <v>131</v>
      </c>
      <c r="B73" s="1">
        <v>45722</v>
      </c>
      <c r="C73" t="s">
        <v>166</v>
      </c>
      <c r="D73" t="s">
        <v>166</v>
      </c>
      <c r="F73" t="str">
        <f t="shared" si="0"/>
        <v>41110000</v>
      </c>
      <c r="G73" t="str">
        <f>"41111937"</f>
        <v>41111937</v>
      </c>
      <c r="H73" t="s">
        <v>167</v>
      </c>
      <c r="I73" s="1">
        <v>45722</v>
      </c>
      <c r="J73" s="4">
        <v>214760</v>
      </c>
    </row>
    <row r="74" spans="1:10" hidden="1" outlineLevel="2" x14ac:dyDescent="0.35">
      <c r="A74" t="s">
        <v>131</v>
      </c>
      <c r="B74" s="1">
        <v>45722</v>
      </c>
      <c r="C74" t="s">
        <v>168</v>
      </c>
      <c r="D74" t="s">
        <v>168</v>
      </c>
      <c r="F74" t="str">
        <f t="shared" si="0"/>
        <v>41110000</v>
      </c>
      <c r="G74" t="str">
        <f>"41111000"</f>
        <v>41111000</v>
      </c>
      <c r="H74" t="s">
        <v>144</v>
      </c>
      <c r="I74" s="1">
        <v>45722</v>
      </c>
      <c r="J74" s="4">
        <v>214760</v>
      </c>
    </row>
    <row r="75" spans="1:10" hidden="1" outlineLevel="2" x14ac:dyDescent="0.35">
      <c r="A75" t="s">
        <v>131</v>
      </c>
      <c r="B75" s="1">
        <v>45723</v>
      </c>
      <c r="C75" t="s">
        <v>169</v>
      </c>
      <c r="D75" t="s">
        <v>169</v>
      </c>
      <c r="F75" t="str">
        <f t="shared" si="0"/>
        <v>41110000</v>
      </c>
      <c r="G75" t="str">
        <f>"41111900"</f>
        <v>41111900</v>
      </c>
      <c r="H75" t="s">
        <v>170</v>
      </c>
      <c r="I75" s="1">
        <v>45752</v>
      </c>
      <c r="J75" s="4">
        <v>2577120</v>
      </c>
    </row>
    <row r="76" spans="1:10" hidden="1" outlineLevel="2" x14ac:dyDescent="0.35">
      <c r="A76" t="s">
        <v>131</v>
      </c>
      <c r="B76" s="1">
        <v>45723</v>
      </c>
      <c r="C76" t="s">
        <v>171</v>
      </c>
      <c r="D76" t="s">
        <v>171</v>
      </c>
      <c r="F76" t="str">
        <f t="shared" si="0"/>
        <v>41110000</v>
      </c>
      <c r="G76" t="str">
        <f>"41100507"</f>
        <v>41100507</v>
      </c>
      <c r="H76" t="s">
        <v>159</v>
      </c>
      <c r="I76" s="1">
        <v>45723</v>
      </c>
      <c r="J76" s="4">
        <v>826000</v>
      </c>
    </row>
    <row r="77" spans="1:10" hidden="1" outlineLevel="2" x14ac:dyDescent="0.35">
      <c r="A77" t="s">
        <v>131</v>
      </c>
      <c r="B77" s="1">
        <v>45723</v>
      </c>
      <c r="C77" t="s">
        <v>172</v>
      </c>
      <c r="D77" t="s">
        <v>172</v>
      </c>
      <c r="F77" t="str">
        <f t="shared" si="0"/>
        <v>41110000</v>
      </c>
      <c r="G77" t="str">
        <f>"41100653"</f>
        <v>41100653</v>
      </c>
      <c r="H77" t="s">
        <v>146</v>
      </c>
      <c r="I77" s="1">
        <v>45754</v>
      </c>
      <c r="J77" s="4">
        <v>214760</v>
      </c>
    </row>
    <row r="78" spans="1:10" hidden="1" outlineLevel="2" x14ac:dyDescent="0.35">
      <c r="A78" t="s">
        <v>131</v>
      </c>
      <c r="B78" s="1">
        <v>45723</v>
      </c>
      <c r="C78" t="s">
        <v>173</v>
      </c>
      <c r="D78" t="s">
        <v>173</v>
      </c>
      <c r="F78" t="str">
        <f t="shared" si="0"/>
        <v>41110000</v>
      </c>
      <c r="G78" t="str">
        <f>"41100653"</f>
        <v>41100653</v>
      </c>
      <c r="H78" t="s">
        <v>146</v>
      </c>
      <c r="I78" s="1">
        <v>45754</v>
      </c>
      <c r="J78" s="4">
        <v>295000</v>
      </c>
    </row>
    <row r="79" spans="1:10" hidden="1" outlineLevel="2" x14ac:dyDescent="0.35">
      <c r="A79" t="s">
        <v>131</v>
      </c>
      <c r="B79" s="1">
        <v>45723</v>
      </c>
      <c r="C79" t="s">
        <v>174</v>
      </c>
      <c r="D79" t="s">
        <v>174</v>
      </c>
      <c r="F79" t="str">
        <f t="shared" si="0"/>
        <v>41110000</v>
      </c>
      <c r="G79" t="str">
        <f>"41100730"</f>
        <v>41100730</v>
      </c>
      <c r="H79" t="s">
        <v>175</v>
      </c>
      <c r="I79" s="1">
        <v>45754</v>
      </c>
      <c r="J79" s="4">
        <v>1557600</v>
      </c>
    </row>
    <row r="80" spans="1:10" hidden="1" outlineLevel="2" x14ac:dyDescent="0.35">
      <c r="A80" t="s">
        <v>131</v>
      </c>
      <c r="B80" s="1">
        <v>45726</v>
      </c>
      <c r="C80" t="s">
        <v>176</v>
      </c>
      <c r="D80" t="s">
        <v>176</v>
      </c>
      <c r="F80" t="str">
        <f t="shared" ref="F80:F143" si="2">"41110000"</f>
        <v>41110000</v>
      </c>
      <c r="G80" t="str">
        <f>"41111000"</f>
        <v>41111000</v>
      </c>
      <c r="H80" t="s">
        <v>144</v>
      </c>
      <c r="I80" s="1">
        <v>45726</v>
      </c>
      <c r="J80" s="4">
        <v>859040</v>
      </c>
    </row>
    <row r="81" spans="1:11" hidden="1" outlineLevel="2" x14ac:dyDescent="0.35">
      <c r="A81" t="s">
        <v>131</v>
      </c>
      <c r="B81" s="1">
        <v>45726</v>
      </c>
      <c r="C81" t="s">
        <v>177</v>
      </c>
      <c r="D81" t="s">
        <v>177</v>
      </c>
      <c r="F81" t="str">
        <f t="shared" si="2"/>
        <v>41110000</v>
      </c>
      <c r="G81" t="str">
        <f>"41100507"</f>
        <v>41100507</v>
      </c>
      <c r="H81" t="s">
        <v>159</v>
      </c>
      <c r="I81" s="1">
        <v>45757</v>
      </c>
      <c r="J81" s="4">
        <v>237180</v>
      </c>
    </row>
    <row r="82" spans="1:11" hidden="1" outlineLevel="2" x14ac:dyDescent="0.35">
      <c r="A82" t="s">
        <v>131</v>
      </c>
      <c r="B82" s="1">
        <v>45726</v>
      </c>
      <c r="C82" t="s">
        <v>178</v>
      </c>
      <c r="D82" t="s">
        <v>178</v>
      </c>
      <c r="F82" t="str">
        <f t="shared" si="2"/>
        <v>41110000</v>
      </c>
      <c r="G82" t="str">
        <f>"41111375"</f>
        <v>41111375</v>
      </c>
      <c r="H82" t="s">
        <v>148</v>
      </c>
      <c r="I82" s="1">
        <v>45726</v>
      </c>
      <c r="J82" s="4">
        <v>483800</v>
      </c>
    </row>
    <row r="83" spans="1:11" hidden="1" outlineLevel="2" x14ac:dyDescent="0.35">
      <c r="A83" t="s">
        <v>131</v>
      </c>
      <c r="B83" s="1">
        <v>45726</v>
      </c>
      <c r="C83" t="s">
        <v>179</v>
      </c>
      <c r="D83" t="s">
        <v>179</v>
      </c>
      <c r="F83" t="str">
        <f t="shared" si="2"/>
        <v>41110000</v>
      </c>
      <c r="G83" t="str">
        <f>"41111478"</f>
        <v>41111478</v>
      </c>
      <c r="H83" t="s">
        <v>180</v>
      </c>
      <c r="I83" s="1">
        <v>45757</v>
      </c>
      <c r="J83" s="4">
        <v>2626680</v>
      </c>
    </row>
    <row r="84" spans="1:11" hidden="1" outlineLevel="2" x14ac:dyDescent="0.35">
      <c r="A84" t="s">
        <v>131</v>
      </c>
      <c r="B84" s="1">
        <v>45726</v>
      </c>
      <c r="C84" t="s">
        <v>181</v>
      </c>
      <c r="D84" t="s">
        <v>181</v>
      </c>
      <c r="F84" t="str">
        <f t="shared" si="2"/>
        <v>41110000</v>
      </c>
      <c r="G84" t="str">
        <f>"41111478"</f>
        <v>41111478</v>
      </c>
      <c r="H84" t="s">
        <v>180</v>
      </c>
      <c r="I84" s="1">
        <v>45757</v>
      </c>
      <c r="J84" s="4">
        <v>2626680</v>
      </c>
    </row>
    <row r="85" spans="1:11" hidden="1" outlineLevel="2" x14ac:dyDescent="0.35">
      <c r="A85" t="s">
        <v>131</v>
      </c>
      <c r="B85" s="1">
        <v>45726</v>
      </c>
      <c r="C85" t="s">
        <v>182</v>
      </c>
      <c r="D85" t="s">
        <v>182</v>
      </c>
      <c r="F85" t="str">
        <f t="shared" si="2"/>
        <v>41110000</v>
      </c>
      <c r="G85" t="str">
        <f>"41111895"</f>
        <v>41111895</v>
      </c>
      <c r="H85" t="s">
        <v>183</v>
      </c>
      <c r="I85" s="1">
        <v>45726</v>
      </c>
      <c r="J85" s="4">
        <v>292640</v>
      </c>
    </row>
    <row r="86" spans="1:11" hidden="1" outlineLevel="2" x14ac:dyDescent="0.35">
      <c r="A86" t="s">
        <v>131</v>
      </c>
      <c r="B86" s="1">
        <v>45727</v>
      </c>
      <c r="C86" t="s">
        <v>184</v>
      </c>
      <c r="D86" t="s">
        <v>184</v>
      </c>
      <c r="F86" t="str">
        <f t="shared" si="2"/>
        <v>41110000</v>
      </c>
      <c r="G86" t="str">
        <f>"41111937"</f>
        <v>41111937</v>
      </c>
      <c r="H86" t="s">
        <v>185</v>
      </c>
      <c r="I86" s="1">
        <v>45727</v>
      </c>
      <c r="K86" s="4">
        <v>214760</v>
      </c>
    </row>
    <row r="87" spans="1:11" hidden="1" outlineLevel="2" x14ac:dyDescent="0.35">
      <c r="A87" t="s">
        <v>131</v>
      </c>
      <c r="B87" s="1">
        <v>45727</v>
      </c>
      <c r="C87" t="s">
        <v>186</v>
      </c>
      <c r="D87" t="s">
        <v>186</v>
      </c>
      <c r="F87" t="str">
        <f t="shared" si="2"/>
        <v>41110000</v>
      </c>
      <c r="G87" t="str">
        <f>"41111992"</f>
        <v>41111992</v>
      </c>
      <c r="H87" t="s">
        <v>154</v>
      </c>
      <c r="I87" s="1">
        <v>45727</v>
      </c>
      <c r="J87" s="4">
        <v>3758300</v>
      </c>
    </row>
    <row r="88" spans="1:11" hidden="1" outlineLevel="2" x14ac:dyDescent="0.35">
      <c r="A88" t="s">
        <v>131</v>
      </c>
      <c r="B88" s="1">
        <v>45727</v>
      </c>
      <c r="C88" t="s">
        <v>187</v>
      </c>
      <c r="D88" t="s">
        <v>187</v>
      </c>
      <c r="F88" t="str">
        <f t="shared" si="2"/>
        <v>41110000</v>
      </c>
      <c r="G88" t="str">
        <f>"41100507"</f>
        <v>41100507</v>
      </c>
      <c r="H88" t="s">
        <v>188</v>
      </c>
      <c r="I88" s="1">
        <v>45727</v>
      </c>
      <c r="J88" s="4">
        <v>413000</v>
      </c>
    </row>
    <row r="89" spans="1:11" hidden="1" outlineLevel="2" x14ac:dyDescent="0.35">
      <c r="A89" t="s">
        <v>131</v>
      </c>
      <c r="B89" s="1">
        <v>45727</v>
      </c>
      <c r="C89" t="s">
        <v>189</v>
      </c>
      <c r="D89" t="s">
        <v>189</v>
      </c>
      <c r="F89" t="str">
        <f t="shared" si="2"/>
        <v>41110000</v>
      </c>
      <c r="G89" t="str">
        <f>"41100507"</f>
        <v>41100507</v>
      </c>
      <c r="H89" t="s">
        <v>188</v>
      </c>
      <c r="I89" s="1">
        <v>45727</v>
      </c>
      <c r="J89" s="4">
        <v>206500</v>
      </c>
    </row>
    <row r="90" spans="1:11" hidden="1" outlineLevel="2" x14ac:dyDescent="0.35">
      <c r="A90" t="s">
        <v>131</v>
      </c>
      <c r="B90" s="1">
        <v>45727</v>
      </c>
      <c r="C90" t="s">
        <v>190</v>
      </c>
      <c r="D90" t="s">
        <v>190</v>
      </c>
      <c r="F90" t="str">
        <f t="shared" si="2"/>
        <v>41110000</v>
      </c>
      <c r="G90" t="str">
        <f>"41100507"</f>
        <v>41100507</v>
      </c>
      <c r="H90" t="s">
        <v>159</v>
      </c>
      <c r="I90" s="1">
        <v>45758</v>
      </c>
      <c r="J90" s="4">
        <v>750480</v>
      </c>
    </row>
    <row r="91" spans="1:11" hidden="1" outlineLevel="2" x14ac:dyDescent="0.35">
      <c r="A91" t="s">
        <v>131</v>
      </c>
      <c r="B91" s="1">
        <v>45727</v>
      </c>
      <c r="C91" t="s">
        <v>191</v>
      </c>
      <c r="D91" t="s">
        <v>191</v>
      </c>
      <c r="F91" t="str">
        <f t="shared" si="2"/>
        <v>41110000</v>
      </c>
      <c r="G91" t="str">
        <f>"41111887"</f>
        <v>41111887</v>
      </c>
      <c r="H91" t="s">
        <v>163</v>
      </c>
      <c r="I91" s="1">
        <v>45777</v>
      </c>
      <c r="J91" s="4">
        <v>877920</v>
      </c>
    </row>
    <row r="92" spans="1:11" hidden="1" outlineLevel="2" x14ac:dyDescent="0.35">
      <c r="A92" t="s">
        <v>131</v>
      </c>
      <c r="B92" s="1">
        <v>45727</v>
      </c>
      <c r="C92" t="s">
        <v>192</v>
      </c>
      <c r="D92" t="s">
        <v>192</v>
      </c>
      <c r="F92" t="str">
        <f t="shared" si="2"/>
        <v>41110000</v>
      </c>
      <c r="G92" t="str">
        <f>"41111887"</f>
        <v>41111887</v>
      </c>
      <c r="H92" t="s">
        <v>163</v>
      </c>
      <c r="I92" s="1">
        <v>45777</v>
      </c>
      <c r="J92" s="4">
        <v>448400</v>
      </c>
    </row>
    <row r="93" spans="1:11" hidden="1" outlineLevel="2" x14ac:dyDescent="0.35">
      <c r="A93" t="s">
        <v>131</v>
      </c>
      <c r="B93" s="1">
        <v>45727</v>
      </c>
      <c r="C93" t="s">
        <v>193</v>
      </c>
      <c r="D93" t="s">
        <v>193</v>
      </c>
      <c r="F93" t="str">
        <f t="shared" si="2"/>
        <v>41110000</v>
      </c>
      <c r="G93" t="str">
        <f>"41111937"</f>
        <v>41111937</v>
      </c>
      <c r="H93" t="s">
        <v>167</v>
      </c>
      <c r="I93" s="1">
        <v>45727</v>
      </c>
      <c r="J93" s="4">
        <v>214760</v>
      </c>
    </row>
    <row r="94" spans="1:11" hidden="1" outlineLevel="2" x14ac:dyDescent="0.35">
      <c r="A94" t="s">
        <v>131</v>
      </c>
      <c r="B94" s="1">
        <v>45728</v>
      </c>
      <c r="C94" t="s">
        <v>194</v>
      </c>
      <c r="D94" t="s">
        <v>194</v>
      </c>
      <c r="F94" t="str">
        <f t="shared" si="2"/>
        <v>41110000</v>
      </c>
      <c r="G94" t="str">
        <f t="shared" ref="G94:G100" si="3">"41111375"</f>
        <v>41111375</v>
      </c>
      <c r="H94" t="s">
        <v>195</v>
      </c>
      <c r="I94" s="1">
        <v>45728</v>
      </c>
      <c r="J94" s="4">
        <v>644280</v>
      </c>
    </row>
    <row r="95" spans="1:11" hidden="1" outlineLevel="2" x14ac:dyDescent="0.35">
      <c r="A95" t="s">
        <v>131</v>
      </c>
      <c r="B95" s="1">
        <v>45728</v>
      </c>
      <c r="C95" t="s">
        <v>196</v>
      </c>
      <c r="D95" t="s">
        <v>196</v>
      </c>
      <c r="F95" t="str">
        <f t="shared" si="2"/>
        <v>41110000</v>
      </c>
      <c r="G95" t="str">
        <f t="shared" si="3"/>
        <v>41111375</v>
      </c>
      <c r="H95" t="s">
        <v>195</v>
      </c>
      <c r="I95" s="1">
        <v>45728</v>
      </c>
      <c r="J95" s="4">
        <v>292640</v>
      </c>
    </row>
    <row r="96" spans="1:11" hidden="1" outlineLevel="2" x14ac:dyDescent="0.35">
      <c r="A96" t="s">
        <v>131</v>
      </c>
      <c r="B96" s="1">
        <v>45728</v>
      </c>
      <c r="C96" t="s">
        <v>197</v>
      </c>
      <c r="D96" t="s">
        <v>197</v>
      </c>
      <c r="F96" t="str">
        <f t="shared" si="2"/>
        <v>41110000</v>
      </c>
      <c r="G96" t="str">
        <f t="shared" si="3"/>
        <v>41111375</v>
      </c>
      <c r="H96" t="s">
        <v>148</v>
      </c>
      <c r="I96" s="1">
        <v>45728</v>
      </c>
      <c r="J96" s="4">
        <v>212400</v>
      </c>
    </row>
    <row r="97" spans="1:10" hidden="1" outlineLevel="2" x14ac:dyDescent="0.35">
      <c r="A97" t="s">
        <v>131</v>
      </c>
      <c r="B97" s="1">
        <v>45728</v>
      </c>
      <c r="C97" t="s">
        <v>198</v>
      </c>
      <c r="D97" t="s">
        <v>198</v>
      </c>
      <c r="F97" t="str">
        <f t="shared" si="2"/>
        <v>41110000</v>
      </c>
      <c r="G97" t="str">
        <f t="shared" si="3"/>
        <v>41111375</v>
      </c>
      <c r="H97" t="s">
        <v>148</v>
      </c>
      <c r="I97" s="1">
        <v>45728</v>
      </c>
      <c r="J97" s="4">
        <v>212400</v>
      </c>
    </row>
    <row r="98" spans="1:10" hidden="1" outlineLevel="2" x14ac:dyDescent="0.35">
      <c r="A98" t="s">
        <v>131</v>
      </c>
      <c r="B98" s="1">
        <v>45728</v>
      </c>
      <c r="C98" t="s">
        <v>199</v>
      </c>
      <c r="D98" t="s">
        <v>199</v>
      </c>
      <c r="F98" t="str">
        <f t="shared" si="2"/>
        <v>41110000</v>
      </c>
      <c r="G98" t="str">
        <f t="shared" si="3"/>
        <v>41111375</v>
      </c>
      <c r="H98" t="s">
        <v>148</v>
      </c>
      <c r="I98" s="1">
        <v>45728</v>
      </c>
      <c r="J98" s="4">
        <v>674783</v>
      </c>
    </row>
    <row r="99" spans="1:10" hidden="1" outlineLevel="2" x14ac:dyDescent="0.35">
      <c r="A99" t="s">
        <v>131</v>
      </c>
      <c r="B99" s="1">
        <v>45728</v>
      </c>
      <c r="C99" t="s">
        <v>200</v>
      </c>
      <c r="D99" t="s">
        <v>200</v>
      </c>
      <c r="F99" t="str">
        <f t="shared" si="2"/>
        <v>41110000</v>
      </c>
      <c r="G99" t="str">
        <f t="shared" si="3"/>
        <v>41111375</v>
      </c>
      <c r="H99" t="s">
        <v>148</v>
      </c>
      <c r="I99" s="1">
        <v>45728</v>
      </c>
      <c r="J99" s="4">
        <v>212400</v>
      </c>
    </row>
    <row r="100" spans="1:10" hidden="1" outlineLevel="2" x14ac:dyDescent="0.35">
      <c r="A100" t="s">
        <v>131</v>
      </c>
      <c r="B100" s="1">
        <v>45728</v>
      </c>
      <c r="C100" t="s">
        <v>201</v>
      </c>
      <c r="D100" t="s">
        <v>201</v>
      </c>
      <c r="F100" t="str">
        <f t="shared" si="2"/>
        <v>41110000</v>
      </c>
      <c r="G100" t="str">
        <f t="shared" si="3"/>
        <v>41111375</v>
      </c>
      <c r="H100" t="s">
        <v>148</v>
      </c>
      <c r="I100" s="1">
        <v>45728</v>
      </c>
      <c r="J100" s="4">
        <v>1486800</v>
      </c>
    </row>
    <row r="101" spans="1:10" hidden="1" outlineLevel="2" x14ac:dyDescent="0.35">
      <c r="A101" t="s">
        <v>131</v>
      </c>
      <c r="B101" s="1">
        <v>45728</v>
      </c>
      <c r="C101" t="s">
        <v>202</v>
      </c>
      <c r="D101" t="s">
        <v>202</v>
      </c>
      <c r="F101" t="str">
        <f t="shared" si="2"/>
        <v>41110000</v>
      </c>
      <c r="G101" t="str">
        <f>"41111895"</f>
        <v>41111895</v>
      </c>
      <c r="H101" t="s">
        <v>203</v>
      </c>
      <c r="I101" s="1">
        <v>45728</v>
      </c>
      <c r="J101" s="4">
        <v>146320</v>
      </c>
    </row>
    <row r="102" spans="1:10" hidden="1" outlineLevel="2" x14ac:dyDescent="0.35">
      <c r="A102" t="s">
        <v>131</v>
      </c>
      <c r="B102" s="1">
        <v>45728</v>
      </c>
      <c r="C102" t="s">
        <v>204</v>
      </c>
      <c r="D102" t="s">
        <v>204</v>
      </c>
      <c r="F102" t="str">
        <f t="shared" si="2"/>
        <v>41110000</v>
      </c>
      <c r="G102" t="str">
        <f>"41111895"</f>
        <v>41111895</v>
      </c>
      <c r="H102" t="s">
        <v>139</v>
      </c>
      <c r="I102" s="1">
        <v>45728</v>
      </c>
      <c r="J102" s="4">
        <v>767000</v>
      </c>
    </row>
    <row r="103" spans="1:10" hidden="1" outlineLevel="2" x14ac:dyDescent="0.35">
      <c r="A103" t="s">
        <v>131</v>
      </c>
      <c r="B103" s="1">
        <v>45728</v>
      </c>
      <c r="C103" t="s">
        <v>205</v>
      </c>
      <c r="D103" t="s">
        <v>205</v>
      </c>
      <c r="F103" t="str">
        <f t="shared" si="2"/>
        <v>41110000</v>
      </c>
      <c r="G103" t="str">
        <f>"41111895"</f>
        <v>41111895</v>
      </c>
      <c r="H103" t="s">
        <v>139</v>
      </c>
      <c r="I103" s="1">
        <v>45759</v>
      </c>
      <c r="J103" s="4">
        <v>1500960</v>
      </c>
    </row>
    <row r="104" spans="1:10" hidden="1" outlineLevel="2" x14ac:dyDescent="0.35">
      <c r="A104" t="s">
        <v>131</v>
      </c>
      <c r="B104" s="1">
        <v>45729</v>
      </c>
      <c r="C104" t="s">
        <v>206</v>
      </c>
      <c r="D104" t="s">
        <v>206</v>
      </c>
      <c r="F104" t="str">
        <f t="shared" si="2"/>
        <v>41110000</v>
      </c>
      <c r="G104" t="str">
        <f>"41111000"</f>
        <v>41111000</v>
      </c>
      <c r="H104" t="s">
        <v>207</v>
      </c>
      <c r="I104" s="1">
        <v>45729</v>
      </c>
      <c r="J104" s="4">
        <v>429520</v>
      </c>
    </row>
    <row r="105" spans="1:10" hidden="1" outlineLevel="2" x14ac:dyDescent="0.35">
      <c r="A105" t="s">
        <v>131</v>
      </c>
      <c r="B105" s="1">
        <v>45729</v>
      </c>
      <c r="C105" t="s">
        <v>208</v>
      </c>
      <c r="D105" t="s">
        <v>208</v>
      </c>
      <c r="F105" t="str">
        <f t="shared" si="2"/>
        <v>41110000</v>
      </c>
      <c r="G105" t="str">
        <f>"41111000"</f>
        <v>41111000</v>
      </c>
      <c r="H105" t="s">
        <v>144</v>
      </c>
      <c r="I105" s="1">
        <v>45729</v>
      </c>
      <c r="J105" s="4">
        <v>214760</v>
      </c>
    </row>
    <row r="106" spans="1:10" hidden="1" outlineLevel="2" x14ac:dyDescent="0.35">
      <c r="A106" t="s">
        <v>131</v>
      </c>
      <c r="B106" s="1">
        <v>45729</v>
      </c>
      <c r="C106" t="s">
        <v>209</v>
      </c>
      <c r="D106" t="s">
        <v>209</v>
      </c>
      <c r="F106" t="str">
        <f t="shared" si="2"/>
        <v>41110000</v>
      </c>
      <c r="G106" t="str">
        <f>"41111900"</f>
        <v>41111900</v>
      </c>
      <c r="H106" t="s">
        <v>170</v>
      </c>
      <c r="I106" s="1">
        <v>45752</v>
      </c>
      <c r="J106" s="4">
        <v>966420</v>
      </c>
    </row>
    <row r="107" spans="1:10" hidden="1" outlineLevel="2" x14ac:dyDescent="0.35">
      <c r="A107" t="s">
        <v>131</v>
      </c>
      <c r="B107" s="1">
        <v>45729</v>
      </c>
      <c r="C107" t="s">
        <v>210</v>
      </c>
      <c r="D107" t="s">
        <v>210</v>
      </c>
      <c r="F107" t="str">
        <f t="shared" si="2"/>
        <v>41110000</v>
      </c>
      <c r="G107" t="str">
        <f>"41111895"</f>
        <v>41111895</v>
      </c>
      <c r="H107" t="s">
        <v>139</v>
      </c>
      <c r="I107" s="1">
        <v>45760</v>
      </c>
      <c r="J107" s="4">
        <v>7504800</v>
      </c>
    </row>
    <row r="108" spans="1:10" hidden="1" outlineLevel="2" x14ac:dyDescent="0.35">
      <c r="A108" t="s">
        <v>131</v>
      </c>
      <c r="B108" s="1">
        <v>45729</v>
      </c>
      <c r="C108" t="s">
        <v>211</v>
      </c>
      <c r="D108" t="s">
        <v>211</v>
      </c>
      <c r="F108" t="str">
        <f t="shared" si="2"/>
        <v>41110000</v>
      </c>
      <c r="G108" t="str">
        <f>"41111895"</f>
        <v>41111895</v>
      </c>
      <c r="H108" t="s">
        <v>139</v>
      </c>
      <c r="I108" s="1">
        <v>45760</v>
      </c>
      <c r="J108" s="4">
        <v>7129560</v>
      </c>
    </row>
    <row r="109" spans="1:10" hidden="1" outlineLevel="2" x14ac:dyDescent="0.35">
      <c r="A109" t="s">
        <v>131</v>
      </c>
      <c r="B109" s="1">
        <v>45729</v>
      </c>
      <c r="C109" t="s">
        <v>212</v>
      </c>
      <c r="D109" t="s">
        <v>212</v>
      </c>
      <c r="F109" t="str">
        <f t="shared" si="2"/>
        <v>41110000</v>
      </c>
      <c r="G109" t="str">
        <f>"41111375"</f>
        <v>41111375</v>
      </c>
      <c r="H109" t="s">
        <v>148</v>
      </c>
      <c r="I109" s="1">
        <v>45729</v>
      </c>
      <c r="J109" s="4">
        <v>2548800</v>
      </c>
    </row>
    <row r="110" spans="1:10" hidden="1" outlineLevel="2" x14ac:dyDescent="0.35">
      <c r="A110" t="s">
        <v>131</v>
      </c>
      <c r="B110" s="1">
        <v>45730</v>
      </c>
      <c r="C110" t="s">
        <v>213</v>
      </c>
      <c r="D110" t="s">
        <v>213</v>
      </c>
      <c r="F110" t="str">
        <f t="shared" si="2"/>
        <v>41110000</v>
      </c>
      <c r="G110" t="str">
        <f>"41111937"</f>
        <v>41111937</v>
      </c>
      <c r="H110" t="s">
        <v>167</v>
      </c>
      <c r="I110" s="1">
        <v>45730</v>
      </c>
      <c r="J110" s="4">
        <v>214760</v>
      </c>
    </row>
    <row r="111" spans="1:10" hidden="1" outlineLevel="2" x14ac:dyDescent="0.35">
      <c r="A111" t="s">
        <v>131</v>
      </c>
      <c r="B111" s="1">
        <v>45730</v>
      </c>
      <c r="C111" t="s">
        <v>214</v>
      </c>
      <c r="D111" t="s">
        <v>214</v>
      </c>
      <c r="F111" t="str">
        <f t="shared" si="2"/>
        <v>41110000</v>
      </c>
      <c r="G111" t="str">
        <f>"41111937"</f>
        <v>41111937</v>
      </c>
      <c r="H111" t="s">
        <v>167</v>
      </c>
      <c r="I111" s="1">
        <v>45730</v>
      </c>
      <c r="J111" s="4">
        <v>214760</v>
      </c>
    </row>
    <row r="112" spans="1:10" hidden="1" outlineLevel="2" x14ac:dyDescent="0.35">
      <c r="A112" t="s">
        <v>131</v>
      </c>
      <c r="B112" s="1">
        <v>45730</v>
      </c>
      <c r="C112" t="s">
        <v>215</v>
      </c>
      <c r="D112" t="s">
        <v>215</v>
      </c>
      <c r="F112" t="str">
        <f t="shared" si="2"/>
        <v>41110000</v>
      </c>
      <c r="G112" t="str">
        <f>"41111937"</f>
        <v>41111937</v>
      </c>
      <c r="H112" t="s">
        <v>167</v>
      </c>
      <c r="I112" s="1">
        <v>45730</v>
      </c>
      <c r="J112" s="4">
        <v>214760</v>
      </c>
    </row>
    <row r="113" spans="1:10" hidden="1" outlineLevel="2" x14ac:dyDescent="0.35">
      <c r="A113" t="s">
        <v>131</v>
      </c>
      <c r="B113" s="1">
        <v>45730</v>
      </c>
      <c r="C113" t="s">
        <v>216</v>
      </c>
      <c r="D113" t="s">
        <v>216</v>
      </c>
      <c r="F113" t="str">
        <f t="shared" si="2"/>
        <v>41110000</v>
      </c>
      <c r="G113" t="str">
        <f>"41111000"</f>
        <v>41111000</v>
      </c>
      <c r="H113" t="s">
        <v>217</v>
      </c>
      <c r="I113" s="1">
        <v>45730</v>
      </c>
      <c r="J113" s="4">
        <v>214760</v>
      </c>
    </row>
    <row r="114" spans="1:10" hidden="1" outlineLevel="2" x14ac:dyDescent="0.35">
      <c r="A114" t="s">
        <v>131</v>
      </c>
      <c r="B114" s="1">
        <v>45730</v>
      </c>
      <c r="C114" t="s">
        <v>218</v>
      </c>
      <c r="D114" t="s">
        <v>218</v>
      </c>
      <c r="F114" t="str">
        <f t="shared" si="2"/>
        <v>41110000</v>
      </c>
      <c r="G114" t="str">
        <f>"41111000"</f>
        <v>41111000</v>
      </c>
      <c r="H114" t="s">
        <v>219</v>
      </c>
      <c r="I114" s="1">
        <v>45730</v>
      </c>
      <c r="J114" s="4">
        <v>214760</v>
      </c>
    </row>
    <row r="115" spans="1:10" hidden="1" outlineLevel="2" x14ac:dyDescent="0.35">
      <c r="A115" t="s">
        <v>131</v>
      </c>
      <c r="B115" s="1">
        <v>45730</v>
      </c>
      <c r="C115" t="s">
        <v>220</v>
      </c>
      <c r="D115" t="s">
        <v>220</v>
      </c>
      <c r="F115" t="str">
        <f t="shared" si="2"/>
        <v>41110000</v>
      </c>
      <c r="G115" t="str">
        <f>"41111000"</f>
        <v>41111000</v>
      </c>
      <c r="H115" t="s">
        <v>219</v>
      </c>
      <c r="I115" s="1">
        <v>45730</v>
      </c>
      <c r="J115" s="4">
        <v>429520</v>
      </c>
    </row>
    <row r="116" spans="1:10" hidden="1" outlineLevel="2" x14ac:dyDescent="0.35">
      <c r="A116" t="s">
        <v>131</v>
      </c>
      <c r="B116" s="1">
        <v>45730</v>
      </c>
      <c r="C116" t="s">
        <v>221</v>
      </c>
      <c r="D116" t="s">
        <v>221</v>
      </c>
      <c r="F116" t="str">
        <f t="shared" si="2"/>
        <v>41110000</v>
      </c>
      <c r="G116" t="str">
        <f>"41100507"</f>
        <v>41100507</v>
      </c>
      <c r="H116" t="s">
        <v>159</v>
      </c>
      <c r="I116" s="1">
        <v>45730</v>
      </c>
      <c r="J116" s="4">
        <v>587640</v>
      </c>
    </row>
    <row r="117" spans="1:10" hidden="1" outlineLevel="2" x14ac:dyDescent="0.35">
      <c r="A117" t="s">
        <v>131</v>
      </c>
      <c r="B117" s="1">
        <v>45730</v>
      </c>
      <c r="C117" t="s">
        <v>222</v>
      </c>
      <c r="D117" t="s">
        <v>222</v>
      </c>
      <c r="F117" t="str">
        <f t="shared" si="2"/>
        <v>41110000</v>
      </c>
      <c r="G117" t="str">
        <f>"41100507"</f>
        <v>41100507</v>
      </c>
      <c r="H117" t="s">
        <v>159</v>
      </c>
      <c r="I117" s="1">
        <v>45730</v>
      </c>
      <c r="J117" s="4">
        <v>1770000</v>
      </c>
    </row>
    <row r="118" spans="1:10" hidden="1" outlineLevel="2" x14ac:dyDescent="0.35">
      <c r="A118" t="s">
        <v>131</v>
      </c>
      <c r="B118" s="1">
        <v>45730</v>
      </c>
      <c r="C118" t="s">
        <v>223</v>
      </c>
      <c r="D118" t="s">
        <v>223</v>
      </c>
      <c r="F118" t="str">
        <f t="shared" si="2"/>
        <v>41110000</v>
      </c>
      <c r="G118" t="str">
        <f>"41100500"</f>
        <v>41100500</v>
      </c>
      <c r="H118" t="s">
        <v>224</v>
      </c>
      <c r="I118" s="1">
        <v>45730</v>
      </c>
      <c r="J118" s="4">
        <v>409460</v>
      </c>
    </row>
    <row r="119" spans="1:10" hidden="1" outlineLevel="2" x14ac:dyDescent="0.35">
      <c r="A119" t="s">
        <v>131</v>
      </c>
      <c r="B119" s="1">
        <v>45730</v>
      </c>
      <c r="C119" t="s">
        <v>225</v>
      </c>
      <c r="D119" t="s">
        <v>225</v>
      </c>
      <c r="F119" t="str">
        <f t="shared" si="2"/>
        <v>41110000</v>
      </c>
      <c r="G119" t="str">
        <f>"41100653"</f>
        <v>41100653</v>
      </c>
      <c r="H119" t="s">
        <v>146</v>
      </c>
      <c r="I119" s="1">
        <v>45761</v>
      </c>
      <c r="J119" s="4">
        <v>214760</v>
      </c>
    </row>
    <row r="120" spans="1:10" hidden="1" outlineLevel="2" x14ac:dyDescent="0.35">
      <c r="A120" t="s">
        <v>131</v>
      </c>
      <c r="B120" s="1">
        <v>45730</v>
      </c>
      <c r="C120" t="s">
        <v>226</v>
      </c>
      <c r="D120" t="s">
        <v>226</v>
      </c>
      <c r="F120" t="str">
        <f t="shared" si="2"/>
        <v>41110000</v>
      </c>
      <c r="G120" t="str">
        <f>"41111375"</f>
        <v>41111375</v>
      </c>
      <c r="H120" t="s">
        <v>148</v>
      </c>
      <c r="I120" s="1">
        <v>45730</v>
      </c>
      <c r="J120" s="4">
        <v>212400</v>
      </c>
    </row>
    <row r="121" spans="1:10" hidden="1" outlineLevel="2" x14ac:dyDescent="0.35">
      <c r="A121" t="s">
        <v>131</v>
      </c>
      <c r="B121" s="1">
        <v>45730</v>
      </c>
      <c r="C121" t="s">
        <v>227</v>
      </c>
      <c r="D121" t="s">
        <v>227</v>
      </c>
      <c r="F121" t="str">
        <f t="shared" si="2"/>
        <v>41110000</v>
      </c>
      <c r="G121" t="str">
        <f>"41111375"</f>
        <v>41111375</v>
      </c>
      <c r="H121" t="s">
        <v>148</v>
      </c>
      <c r="I121" s="1">
        <v>45730</v>
      </c>
      <c r="J121" s="4">
        <v>212400</v>
      </c>
    </row>
    <row r="122" spans="1:10" hidden="1" outlineLevel="2" x14ac:dyDescent="0.35">
      <c r="A122" t="s">
        <v>131</v>
      </c>
      <c r="B122" s="1">
        <v>45730</v>
      </c>
      <c r="C122" t="s">
        <v>228</v>
      </c>
      <c r="D122" t="s">
        <v>228</v>
      </c>
      <c r="F122" t="str">
        <f t="shared" si="2"/>
        <v>41110000</v>
      </c>
      <c r="G122" t="str">
        <f>"41111375"</f>
        <v>41111375</v>
      </c>
      <c r="H122" t="s">
        <v>148</v>
      </c>
      <c r="I122" s="1">
        <v>45730</v>
      </c>
      <c r="J122" s="4">
        <v>424800</v>
      </c>
    </row>
    <row r="123" spans="1:10" hidden="1" outlineLevel="2" x14ac:dyDescent="0.35">
      <c r="A123" t="s">
        <v>131</v>
      </c>
      <c r="B123" s="1">
        <v>45730</v>
      </c>
      <c r="C123" t="s">
        <v>229</v>
      </c>
      <c r="D123" t="s">
        <v>229</v>
      </c>
      <c r="F123" t="str">
        <f t="shared" si="2"/>
        <v>41110000</v>
      </c>
      <c r="G123" t="str">
        <f>"41111375"</f>
        <v>41111375</v>
      </c>
      <c r="H123" t="s">
        <v>148</v>
      </c>
      <c r="I123" s="1">
        <v>45730</v>
      </c>
      <c r="J123" s="4">
        <v>424800</v>
      </c>
    </row>
    <row r="124" spans="1:10" hidden="1" outlineLevel="2" x14ac:dyDescent="0.35">
      <c r="A124" t="s">
        <v>131</v>
      </c>
      <c r="B124" s="1">
        <v>45730</v>
      </c>
      <c r="C124" t="s">
        <v>230</v>
      </c>
      <c r="D124" t="s">
        <v>230</v>
      </c>
      <c r="F124" t="str">
        <f t="shared" si="2"/>
        <v>41110000</v>
      </c>
      <c r="G124" t="str">
        <f>"41111375"</f>
        <v>41111375</v>
      </c>
      <c r="H124" t="s">
        <v>148</v>
      </c>
      <c r="I124" s="1">
        <v>45730</v>
      </c>
      <c r="J124" s="4">
        <v>849600</v>
      </c>
    </row>
    <row r="125" spans="1:10" hidden="1" outlineLevel="2" x14ac:dyDescent="0.35">
      <c r="A125" t="s">
        <v>131</v>
      </c>
      <c r="B125" s="1">
        <v>45730</v>
      </c>
      <c r="C125" t="s">
        <v>231</v>
      </c>
      <c r="D125" t="s">
        <v>231</v>
      </c>
      <c r="F125" t="str">
        <f t="shared" si="2"/>
        <v>41110000</v>
      </c>
      <c r="G125" t="str">
        <f>"41111887"</f>
        <v>41111887</v>
      </c>
      <c r="H125" t="s">
        <v>163</v>
      </c>
      <c r="I125" s="1">
        <v>45777</v>
      </c>
      <c r="J125" s="4">
        <v>389400</v>
      </c>
    </row>
    <row r="126" spans="1:10" hidden="1" outlineLevel="2" x14ac:dyDescent="0.35">
      <c r="A126" t="s">
        <v>131</v>
      </c>
      <c r="B126" s="1">
        <v>45730</v>
      </c>
      <c r="C126" t="s">
        <v>232</v>
      </c>
      <c r="D126" t="s">
        <v>232</v>
      </c>
      <c r="F126" t="str">
        <f t="shared" si="2"/>
        <v>41110000</v>
      </c>
      <c r="G126" t="str">
        <f>"41101222"</f>
        <v>41101222</v>
      </c>
      <c r="H126" t="s">
        <v>233</v>
      </c>
      <c r="I126" s="1">
        <v>45730</v>
      </c>
      <c r="J126" s="4">
        <v>322140</v>
      </c>
    </row>
    <row r="127" spans="1:10" hidden="1" outlineLevel="2" x14ac:dyDescent="0.35">
      <c r="A127" t="s">
        <v>131</v>
      </c>
      <c r="B127" s="1">
        <v>45730</v>
      </c>
      <c r="C127" t="s">
        <v>234</v>
      </c>
      <c r="D127" t="s">
        <v>234</v>
      </c>
      <c r="F127" t="str">
        <f t="shared" si="2"/>
        <v>41110000</v>
      </c>
      <c r="G127" t="str">
        <f>"41101222"</f>
        <v>41101222</v>
      </c>
      <c r="H127" t="s">
        <v>233</v>
      </c>
      <c r="I127" s="1">
        <v>45730</v>
      </c>
      <c r="J127" s="4">
        <v>214760</v>
      </c>
    </row>
    <row r="128" spans="1:10" hidden="1" outlineLevel="2" x14ac:dyDescent="0.35">
      <c r="A128" t="s">
        <v>131</v>
      </c>
      <c r="B128" s="1">
        <v>45730</v>
      </c>
      <c r="C128" t="s">
        <v>235</v>
      </c>
      <c r="D128" t="s">
        <v>235</v>
      </c>
      <c r="F128" t="str">
        <f t="shared" si="2"/>
        <v>41110000</v>
      </c>
      <c r="G128" t="str">
        <f>"41111895"</f>
        <v>41111895</v>
      </c>
      <c r="H128" t="s">
        <v>139</v>
      </c>
      <c r="I128" s="1">
        <v>45761</v>
      </c>
      <c r="J128" s="4">
        <v>750480</v>
      </c>
    </row>
    <row r="129" spans="1:10" hidden="1" outlineLevel="2" x14ac:dyDescent="0.35">
      <c r="A129" t="s">
        <v>131</v>
      </c>
      <c r="B129" s="1">
        <v>45730</v>
      </c>
      <c r="C129" t="s">
        <v>236</v>
      </c>
      <c r="D129" t="s">
        <v>236</v>
      </c>
      <c r="F129" t="str">
        <f t="shared" si="2"/>
        <v>41110000</v>
      </c>
      <c r="G129" t="str">
        <f>"41111895"</f>
        <v>41111895</v>
      </c>
      <c r="H129" t="s">
        <v>139</v>
      </c>
      <c r="I129" s="1">
        <v>45761</v>
      </c>
      <c r="J129" s="4">
        <v>750480</v>
      </c>
    </row>
    <row r="130" spans="1:10" hidden="1" outlineLevel="2" x14ac:dyDescent="0.35">
      <c r="A130" t="s">
        <v>131</v>
      </c>
      <c r="B130" s="1">
        <v>45730</v>
      </c>
      <c r="C130" t="s">
        <v>237</v>
      </c>
      <c r="D130" t="s">
        <v>237</v>
      </c>
      <c r="F130" t="str">
        <f t="shared" si="2"/>
        <v>41110000</v>
      </c>
      <c r="G130" t="str">
        <f>"41111895"</f>
        <v>41111895</v>
      </c>
      <c r="H130" t="s">
        <v>139</v>
      </c>
      <c r="I130" s="1">
        <v>45761</v>
      </c>
      <c r="J130" s="4">
        <v>750480</v>
      </c>
    </row>
    <row r="131" spans="1:10" hidden="1" outlineLevel="2" x14ac:dyDescent="0.35">
      <c r="A131" t="s">
        <v>131</v>
      </c>
      <c r="B131" s="1">
        <v>45734</v>
      </c>
      <c r="C131" t="s">
        <v>238</v>
      </c>
      <c r="D131" t="s">
        <v>238</v>
      </c>
      <c r="F131" t="str">
        <f t="shared" si="2"/>
        <v>41110000</v>
      </c>
      <c r="G131" t="str">
        <f t="shared" ref="G131:G145" si="4">"41100507"</f>
        <v>41100507</v>
      </c>
      <c r="H131" t="s">
        <v>159</v>
      </c>
      <c r="I131" s="1">
        <v>45734</v>
      </c>
      <c r="J131" s="4">
        <v>107380</v>
      </c>
    </row>
    <row r="132" spans="1:10" hidden="1" outlineLevel="2" x14ac:dyDescent="0.35">
      <c r="A132" t="s">
        <v>131</v>
      </c>
      <c r="B132" s="1">
        <v>45734</v>
      </c>
      <c r="C132" t="s">
        <v>238</v>
      </c>
      <c r="D132" t="s">
        <v>238</v>
      </c>
      <c r="F132" t="str">
        <f t="shared" si="2"/>
        <v>41110000</v>
      </c>
      <c r="G132" t="str">
        <f t="shared" si="4"/>
        <v>41100507</v>
      </c>
      <c r="H132" t="s">
        <v>159</v>
      </c>
      <c r="I132" s="1">
        <v>45734</v>
      </c>
      <c r="J132" s="4">
        <v>107380</v>
      </c>
    </row>
    <row r="133" spans="1:10" hidden="1" outlineLevel="2" x14ac:dyDescent="0.35">
      <c r="A133" t="s">
        <v>131</v>
      </c>
      <c r="B133" s="1">
        <v>45734</v>
      </c>
      <c r="C133" t="s">
        <v>238</v>
      </c>
      <c r="D133" t="s">
        <v>238</v>
      </c>
      <c r="F133" t="str">
        <f t="shared" si="2"/>
        <v>41110000</v>
      </c>
      <c r="G133" t="str">
        <f t="shared" si="4"/>
        <v>41100507</v>
      </c>
      <c r="H133" t="s">
        <v>239</v>
      </c>
      <c r="I133" s="1">
        <v>45734</v>
      </c>
      <c r="J133" s="4">
        <v>-107380</v>
      </c>
    </row>
    <row r="134" spans="1:10" hidden="1" outlineLevel="2" x14ac:dyDescent="0.35">
      <c r="A134" t="s">
        <v>131</v>
      </c>
      <c r="B134" s="1">
        <v>45734</v>
      </c>
      <c r="C134" t="s">
        <v>240</v>
      </c>
      <c r="D134" t="s">
        <v>240</v>
      </c>
      <c r="F134" t="str">
        <f t="shared" si="2"/>
        <v>41110000</v>
      </c>
      <c r="G134" t="str">
        <f t="shared" si="4"/>
        <v>41100507</v>
      </c>
      <c r="H134" t="s">
        <v>188</v>
      </c>
      <c r="I134" s="1">
        <v>45734</v>
      </c>
      <c r="J134" s="4">
        <v>413000</v>
      </c>
    </row>
    <row r="135" spans="1:10" hidden="1" outlineLevel="2" x14ac:dyDescent="0.35">
      <c r="A135" t="s">
        <v>131</v>
      </c>
      <c r="B135" s="1">
        <v>45734</v>
      </c>
      <c r="C135" t="s">
        <v>240</v>
      </c>
      <c r="D135" t="s">
        <v>240</v>
      </c>
      <c r="F135" t="str">
        <f t="shared" si="2"/>
        <v>41110000</v>
      </c>
      <c r="G135" t="str">
        <f t="shared" si="4"/>
        <v>41100507</v>
      </c>
      <c r="H135" t="s">
        <v>188</v>
      </c>
      <c r="I135" s="1">
        <v>45734</v>
      </c>
      <c r="J135" s="4">
        <v>413000</v>
      </c>
    </row>
    <row r="136" spans="1:10" hidden="1" outlineLevel="2" x14ac:dyDescent="0.35">
      <c r="A136" t="s">
        <v>131</v>
      </c>
      <c r="B136" s="1">
        <v>45734</v>
      </c>
      <c r="C136" t="s">
        <v>240</v>
      </c>
      <c r="D136" t="s">
        <v>240</v>
      </c>
      <c r="F136" t="str">
        <f t="shared" si="2"/>
        <v>41110000</v>
      </c>
      <c r="G136" t="str">
        <f t="shared" si="4"/>
        <v>41100507</v>
      </c>
      <c r="H136" t="s">
        <v>241</v>
      </c>
      <c r="I136" s="1">
        <v>45734</v>
      </c>
      <c r="J136" s="4">
        <v>-413000</v>
      </c>
    </row>
    <row r="137" spans="1:10" hidden="1" outlineLevel="2" x14ac:dyDescent="0.35">
      <c r="A137" t="s">
        <v>131</v>
      </c>
      <c r="B137" s="1">
        <v>45734</v>
      </c>
      <c r="C137" t="s">
        <v>242</v>
      </c>
      <c r="D137" t="s">
        <v>242</v>
      </c>
      <c r="F137" t="str">
        <f t="shared" si="2"/>
        <v>41110000</v>
      </c>
      <c r="G137" t="str">
        <f t="shared" si="4"/>
        <v>41100507</v>
      </c>
      <c r="H137" t="s">
        <v>188</v>
      </c>
      <c r="I137" s="1">
        <v>45734</v>
      </c>
      <c r="J137" s="4">
        <v>413000</v>
      </c>
    </row>
    <row r="138" spans="1:10" hidden="1" outlineLevel="2" x14ac:dyDescent="0.35">
      <c r="A138" t="s">
        <v>131</v>
      </c>
      <c r="B138" s="1">
        <v>45734</v>
      </c>
      <c r="C138" t="s">
        <v>242</v>
      </c>
      <c r="D138" t="s">
        <v>242</v>
      </c>
      <c r="F138" t="str">
        <f t="shared" si="2"/>
        <v>41110000</v>
      </c>
      <c r="G138" t="str">
        <f t="shared" si="4"/>
        <v>41100507</v>
      </c>
      <c r="H138" t="s">
        <v>188</v>
      </c>
      <c r="I138" s="1">
        <v>45734</v>
      </c>
      <c r="J138" s="4">
        <v>413000</v>
      </c>
    </row>
    <row r="139" spans="1:10" hidden="1" outlineLevel="2" x14ac:dyDescent="0.35">
      <c r="A139" t="s">
        <v>131</v>
      </c>
      <c r="B139" s="1">
        <v>45734</v>
      </c>
      <c r="C139" t="s">
        <v>242</v>
      </c>
      <c r="D139" t="s">
        <v>242</v>
      </c>
      <c r="F139" t="str">
        <f t="shared" si="2"/>
        <v>41110000</v>
      </c>
      <c r="G139" t="str">
        <f t="shared" si="4"/>
        <v>41100507</v>
      </c>
      <c r="H139" t="s">
        <v>241</v>
      </c>
      <c r="I139" s="1">
        <v>45734</v>
      </c>
      <c r="J139" s="4">
        <v>-413000</v>
      </c>
    </row>
    <row r="140" spans="1:10" hidden="1" outlineLevel="2" x14ac:dyDescent="0.35">
      <c r="A140" t="s">
        <v>131</v>
      </c>
      <c r="B140" s="1">
        <v>45734</v>
      </c>
      <c r="C140" t="s">
        <v>243</v>
      </c>
      <c r="D140" t="s">
        <v>243</v>
      </c>
      <c r="F140" t="str">
        <f t="shared" si="2"/>
        <v>41110000</v>
      </c>
      <c r="G140" t="str">
        <f t="shared" si="4"/>
        <v>41100507</v>
      </c>
      <c r="H140" t="s">
        <v>159</v>
      </c>
      <c r="I140" s="1">
        <v>45734</v>
      </c>
      <c r="J140" s="4">
        <v>204730</v>
      </c>
    </row>
    <row r="141" spans="1:10" hidden="1" outlineLevel="2" x14ac:dyDescent="0.35">
      <c r="A141" t="s">
        <v>131</v>
      </c>
      <c r="B141" s="1">
        <v>45734</v>
      </c>
      <c r="C141" t="s">
        <v>243</v>
      </c>
      <c r="D141" t="s">
        <v>243</v>
      </c>
      <c r="F141" t="str">
        <f t="shared" si="2"/>
        <v>41110000</v>
      </c>
      <c r="G141" t="str">
        <f t="shared" si="4"/>
        <v>41100507</v>
      </c>
      <c r="H141" t="s">
        <v>159</v>
      </c>
      <c r="I141" s="1">
        <v>45734</v>
      </c>
      <c r="J141" s="4">
        <v>204730</v>
      </c>
    </row>
    <row r="142" spans="1:10" hidden="1" outlineLevel="2" x14ac:dyDescent="0.35">
      <c r="A142" t="s">
        <v>131</v>
      </c>
      <c r="B142" s="1">
        <v>45734</v>
      </c>
      <c r="C142" t="s">
        <v>243</v>
      </c>
      <c r="D142" t="s">
        <v>243</v>
      </c>
      <c r="F142" t="str">
        <f t="shared" si="2"/>
        <v>41110000</v>
      </c>
      <c r="G142" t="str">
        <f t="shared" si="4"/>
        <v>41100507</v>
      </c>
      <c r="H142" t="s">
        <v>239</v>
      </c>
      <c r="I142" s="1">
        <v>45734</v>
      </c>
      <c r="J142" s="4">
        <v>-204730</v>
      </c>
    </row>
    <row r="143" spans="1:10" hidden="1" outlineLevel="2" x14ac:dyDescent="0.35">
      <c r="A143" t="s">
        <v>131</v>
      </c>
      <c r="B143" s="1">
        <v>45734</v>
      </c>
      <c r="C143" t="s">
        <v>244</v>
      </c>
      <c r="D143" t="s">
        <v>244</v>
      </c>
      <c r="F143" t="str">
        <f t="shared" si="2"/>
        <v>41110000</v>
      </c>
      <c r="G143" t="str">
        <f t="shared" si="4"/>
        <v>41100507</v>
      </c>
      <c r="H143" t="s">
        <v>159</v>
      </c>
      <c r="I143" s="1">
        <v>45734</v>
      </c>
      <c r="J143" s="4">
        <v>409460</v>
      </c>
    </row>
    <row r="144" spans="1:10" hidden="1" outlineLevel="2" x14ac:dyDescent="0.35">
      <c r="A144" t="s">
        <v>131</v>
      </c>
      <c r="B144" s="1">
        <v>45734</v>
      </c>
      <c r="C144" t="s">
        <v>244</v>
      </c>
      <c r="D144" t="s">
        <v>244</v>
      </c>
      <c r="F144" t="str">
        <f t="shared" ref="F144:F207" si="5">"41110000"</f>
        <v>41110000</v>
      </c>
      <c r="G144" t="str">
        <f t="shared" si="4"/>
        <v>41100507</v>
      </c>
      <c r="H144" t="s">
        <v>159</v>
      </c>
      <c r="I144" s="1">
        <v>45734</v>
      </c>
      <c r="J144" s="4">
        <v>409460</v>
      </c>
    </row>
    <row r="145" spans="1:10" hidden="1" outlineLevel="2" x14ac:dyDescent="0.35">
      <c r="A145" t="s">
        <v>131</v>
      </c>
      <c r="B145" s="1">
        <v>45734</v>
      </c>
      <c r="C145" t="s">
        <v>244</v>
      </c>
      <c r="D145" t="s">
        <v>244</v>
      </c>
      <c r="F145" t="str">
        <f t="shared" si="5"/>
        <v>41110000</v>
      </c>
      <c r="G145" t="str">
        <f t="shared" si="4"/>
        <v>41100507</v>
      </c>
      <c r="H145" t="s">
        <v>239</v>
      </c>
      <c r="I145" s="1">
        <v>45734</v>
      </c>
      <c r="J145" s="4">
        <v>-409460</v>
      </c>
    </row>
    <row r="146" spans="1:10" hidden="1" outlineLevel="2" x14ac:dyDescent="0.35">
      <c r="A146" t="s">
        <v>131</v>
      </c>
      <c r="B146" s="1">
        <v>45734</v>
      </c>
      <c r="C146" t="s">
        <v>245</v>
      </c>
      <c r="D146" t="s">
        <v>245</v>
      </c>
      <c r="F146" t="str">
        <f t="shared" si="5"/>
        <v>41110000</v>
      </c>
      <c r="G146" t="str">
        <f t="shared" ref="G146:G157" si="6">"41111375"</f>
        <v>41111375</v>
      </c>
      <c r="H146" t="s">
        <v>195</v>
      </c>
      <c r="I146" s="1">
        <v>45734</v>
      </c>
      <c r="J146" s="4">
        <v>526280</v>
      </c>
    </row>
    <row r="147" spans="1:10" hidden="1" outlineLevel="2" x14ac:dyDescent="0.35">
      <c r="A147" t="s">
        <v>131</v>
      </c>
      <c r="B147" s="1">
        <v>45734</v>
      </c>
      <c r="C147" t="s">
        <v>245</v>
      </c>
      <c r="D147" t="s">
        <v>245</v>
      </c>
      <c r="F147" t="str">
        <f t="shared" si="5"/>
        <v>41110000</v>
      </c>
      <c r="G147" t="str">
        <f t="shared" si="6"/>
        <v>41111375</v>
      </c>
      <c r="H147" t="s">
        <v>195</v>
      </c>
      <c r="I147" s="1">
        <v>45734</v>
      </c>
      <c r="J147" s="4">
        <v>526280</v>
      </c>
    </row>
    <row r="148" spans="1:10" hidden="1" outlineLevel="2" x14ac:dyDescent="0.35">
      <c r="A148" t="s">
        <v>131</v>
      </c>
      <c r="B148" s="1">
        <v>45734</v>
      </c>
      <c r="C148" t="s">
        <v>245</v>
      </c>
      <c r="D148" t="s">
        <v>245</v>
      </c>
      <c r="F148" t="str">
        <f t="shared" si="5"/>
        <v>41110000</v>
      </c>
      <c r="G148" t="str">
        <f t="shared" si="6"/>
        <v>41111375</v>
      </c>
      <c r="H148" t="s">
        <v>246</v>
      </c>
      <c r="I148" s="1">
        <v>45734</v>
      </c>
      <c r="J148" s="4">
        <v>-526280</v>
      </c>
    </row>
    <row r="149" spans="1:10" hidden="1" outlineLevel="2" x14ac:dyDescent="0.35">
      <c r="A149" t="s">
        <v>131</v>
      </c>
      <c r="B149" s="1">
        <v>45734</v>
      </c>
      <c r="C149" t="s">
        <v>247</v>
      </c>
      <c r="D149" t="s">
        <v>247</v>
      </c>
      <c r="F149" t="str">
        <f t="shared" si="5"/>
        <v>41110000</v>
      </c>
      <c r="G149" t="str">
        <f t="shared" si="6"/>
        <v>41111375</v>
      </c>
      <c r="H149" t="s">
        <v>148</v>
      </c>
      <c r="I149" s="1">
        <v>45734</v>
      </c>
      <c r="J149" s="4">
        <v>967600</v>
      </c>
    </row>
    <row r="150" spans="1:10" hidden="1" outlineLevel="2" x14ac:dyDescent="0.35">
      <c r="A150" t="s">
        <v>131</v>
      </c>
      <c r="B150" s="1">
        <v>45734</v>
      </c>
      <c r="C150" t="s">
        <v>247</v>
      </c>
      <c r="D150" t="s">
        <v>247</v>
      </c>
      <c r="F150" t="str">
        <f t="shared" si="5"/>
        <v>41110000</v>
      </c>
      <c r="G150" t="str">
        <f t="shared" si="6"/>
        <v>41111375</v>
      </c>
      <c r="H150" t="s">
        <v>148</v>
      </c>
      <c r="I150" s="1">
        <v>45734</v>
      </c>
      <c r="J150" s="4">
        <v>967600</v>
      </c>
    </row>
    <row r="151" spans="1:10" hidden="1" outlineLevel="2" x14ac:dyDescent="0.35">
      <c r="A151" t="s">
        <v>131</v>
      </c>
      <c r="B151" s="1">
        <v>45734</v>
      </c>
      <c r="C151" t="s">
        <v>247</v>
      </c>
      <c r="D151" t="s">
        <v>247</v>
      </c>
      <c r="F151" t="str">
        <f t="shared" si="5"/>
        <v>41110000</v>
      </c>
      <c r="G151" t="str">
        <f t="shared" si="6"/>
        <v>41111375</v>
      </c>
      <c r="H151" t="s">
        <v>248</v>
      </c>
      <c r="I151" s="1">
        <v>45734</v>
      </c>
      <c r="J151" s="4">
        <v>-967600</v>
      </c>
    </row>
    <row r="152" spans="1:10" hidden="1" outlineLevel="2" x14ac:dyDescent="0.35">
      <c r="A152" t="s">
        <v>131</v>
      </c>
      <c r="B152" s="1">
        <v>45734</v>
      </c>
      <c r="C152" t="s">
        <v>249</v>
      </c>
      <c r="D152" t="s">
        <v>249</v>
      </c>
      <c r="F152" t="str">
        <f t="shared" si="5"/>
        <v>41110000</v>
      </c>
      <c r="G152" t="str">
        <f t="shared" si="6"/>
        <v>41111375</v>
      </c>
      <c r="H152" t="s">
        <v>148</v>
      </c>
      <c r="I152" s="1">
        <v>45734</v>
      </c>
      <c r="J152" s="4">
        <v>241900</v>
      </c>
    </row>
    <row r="153" spans="1:10" hidden="1" outlineLevel="2" x14ac:dyDescent="0.35">
      <c r="A153" t="s">
        <v>131</v>
      </c>
      <c r="B153" s="1">
        <v>45734</v>
      </c>
      <c r="C153" t="s">
        <v>249</v>
      </c>
      <c r="D153" t="s">
        <v>249</v>
      </c>
      <c r="F153" t="str">
        <f t="shared" si="5"/>
        <v>41110000</v>
      </c>
      <c r="G153" t="str">
        <f t="shared" si="6"/>
        <v>41111375</v>
      </c>
      <c r="H153" t="s">
        <v>148</v>
      </c>
      <c r="I153" s="1">
        <v>45734</v>
      </c>
      <c r="J153" s="4">
        <v>241900</v>
      </c>
    </row>
    <row r="154" spans="1:10" hidden="1" outlineLevel="2" x14ac:dyDescent="0.35">
      <c r="A154" t="s">
        <v>131</v>
      </c>
      <c r="B154" s="1">
        <v>45734</v>
      </c>
      <c r="C154" t="s">
        <v>249</v>
      </c>
      <c r="D154" t="s">
        <v>249</v>
      </c>
      <c r="F154" t="str">
        <f t="shared" si="5"/>
        <v>41110000</v>
      </c>
      <c r="G154" t="str">
        <f t="shared" si="6"/>
        <v>41111375</v>
      </c>
      <c r="H154" t="s">
        <v>248</v>
      </c>
      <c r="I154" s="1">
        <v>45734</v>
      </c>
      <c r="J154" s="4">
        <v>-241900</v>
      </c>
    </row>
    <row r="155" spans="1:10" hidden="1" outlineLevel="2" x14ac:dyDescent="0.35">
      <c r="A155" t="s">
        <v>131</v>
      </c>
      <c r="B155" s="1">
        <v>45734</v>
      </c>
      <c r="C155" t="s">
        <v>250</v>
      </c>
      <c r="D155" t="s">
        <v>250</v>
      </c>
      <c r="F155" t="str">
        <f t="shared" si="5"/>
        <v>41110000</v>
      </c>
      <c r="G155" t="str">
        <f t="shared" si="6"/>
        <v>41111375</v>
      </c>
      <c r="H155" t="s">
        <v>148</v>
      </c>
      <c r="I155" s="1">
        <v>45734</v>
      </c>
      <c r="J155" s="4">
        <v>441143</v>
      </c>
    </row>
    <row r="156" spans="1:10" hidden="1" outlineLevel="2" x14ac:dyDescent="0.35">
      <c r="A156" t="s">
        <v>131</v>
      </c>
      <c r="B156" s="1">
        <v>45734</v>
      </c>
      <c r="C156" t="s">
        <v>250</v>
      </c>
      <c r="D156" t="s">
        <v>250</v>
      </c>
      <c r="F156" t="str">
        <f t="shared" si="5"/>
        <v>41110000</v>
      </c>
      <c r="G156" t="str">
        <f t="shared" si="6"/>
        <v>41111375</v>
      </c>
      <c r="H156" t="s">
        <v>148</v>
      </c>
      <c r="I156" s="1">
        <v>45734</v>
      </c>
      <c r="J156" s="4">
        <v>441143</v>
      </c>
    </row>
    <row r="157" spans="1:10" hidden="1" outlineLevel="2" x14ac:dyDescent="0.35">
      <c r="A157" t="s">
        <v>131</v>
      </c>
      <c r="B157" s="1">
        <v>45734</v>
      </c>
      <c r="C157" t="s">
        <v>250</v>
      </c>
      <c r="D157" t="s">
        <v>250</v>
      </c>
      <c r="F157" t="str">
        <f t="shared" si="5"/>
        <v>41110000</v>
      </c>
      <c r="G157" t="str">
        <f t="shared" si="6"/>
        <v>41111375</v>
      </c>
      <c r="H157" t="s">
        <v>248</v>
      </c>
      <c r="I157" s="1">
        <v>45734</v>
      </c>
      <c r="J157" s="4">
        <v>-441143</v>
      </c>
    </row>
    <row r="158" spans="1:10" hidden="1" outlineLevel="2" x14ac:dyDescent="0.35">
      <c r="A158" t="s">
        <v>131</v>
      </c>
      <c r="B158" s="1">
        <v>45734</v>
      </c>
      <c r="C158" t="s">
        <v>251</v>
      </c>
      <c r="D158" t="s">
        <v>251</v>
      </c>
      <c r="F158" t="str">
        <f t="shared" si="5"/>
        <v>41110000</v>
      </c>
      <c r="G158" t="str">
        <f>"41111887"</f>
        <v>41111887</v>
      </c>
      <c r="H158" t="s">
        <v>163</v>
      </c>
      <c r="I158" s="1">
        <v>45777</v>
      </c>
      <c r="J158" s="4">
        <v>214760</v>
      </c>
    </row>
    <row r="159" spans="1:10" hidden="1" outlineLevel="2" x14ac:dyDescent="0.35">
      <c r="A159" t="s">
        <v>131</v>
      </c>
      <c r="B159" s="1">
        <v>45734</v>
      </c>
      <c r="C159" t="s">
        <v>251</v>
      </c>
      <c r="D159" t="s">
        <v>251</v>
      </c>
      <c r="F159" t="str">
        <f t="shared" si="5"/>
        <v>41110000</v>
      </c>
      <c r="G159" t="str">
        <f>"41111887"</f>
        <v>41111887</v>
      </c>
      <c r="H159" t="s">
        <v>163</v>
      </c>
      <c r="I159" s="1">
        <v>45777</v>
      </c>
      <c r="J159" s="4">
        <v>214760</v>
      </c>
    </row>
    <row r="160" spans="1:10" hidden="1" outlineLevel="2" x14ac:dyDescent="0.35">
      <c r="A160" t="s">
        <v>131</v>
      </c>
      <c r="B160" s="1">
        <v>45734</v>
      </c>
      <c r="C160" t="s">
        <v>251</v>
      </c>
      <c r="D160" t="s">
        <v>251</v>
      </c>
      <c r="F160" t="str">
        <f t="shared" si="5"/>
        <v>41110000</v>
      </c>
      <c r="G160" t="str">
        <f>"41111887"</f>
        <v>41111887</v>
      </c>
      <c r="H160" t="s">
        <v>252</v>
      </c>
      <c r="I160" s="1">
        <v>45777</v>
      </c>
      <c r="J160" s="4">
        <v>-214760</v>
      </c>
    </row>
    <row r="161" spans="1:10" hidden="1" outlineLevel="2" x14ac:dyDescent="0.35">
      <c r="A161" t="s">
        <v>131</v>
      </c>
      <c r="B161" s="1">
        <v>45734</v>
      </c>
      <c r="C161" t="s">
        <v>253</v>
      </c>
      <c r="D161" t="s">
        <v>253</v>
      </c>
      <c r="F161" t="str">
        <f t="shared" si="5"/>
        <v>41110000</v>
      </c>
      <c r="G161" t="str">
        <f>"41111895"</f>
        <v>41111895</v>
      </c>
      <c r="H161" t="s">
        <v>139</v>
      </c>
      <c r="I161" s="1">
        <v>45765</v>
      </c>
      <c r="J161" s="4">
        <v>1125720</v>
      </c>
    </row>
    <row r="162" spans="1:10" hidden="1" outlineLevel="2" x14ac:dyDescent="0.35">
      <c r="A162" t="s">
        <v>131</v>
      </c>
      <c r="B162" s="1">
        <v>45734</v>
      </c>
      <c r="C162" t="s">
        <v>253</v>
      </c>
      <c r="D162" t="s">
        <v>253</v>
      </c>
      <c r="F162" t="str">
        <f t="shared" si="5"/>
        <v>41110000</v>
      </c>
      <c r="G162" t="str">
        <f>"41111895"</f>
        <v>41111895</v>
      </c>
      <c r="H162" t="s">
        <v>139</v>
      </c>
      <c r="I162" s="1">
        <v>45765</v>
      </c>
      <c r="J162" s="4">
        <v>1125720</v>
      </c>
    </row>
    <row r="163" spans="1:10" hidden="1" outlineLevel="2" x14ac:dyDescent="0.35">
      <c r="A163" t="s">
        <v>131</v>
      </c>
      <c r="B163" s="1">
        <v>45734</v>
      </c>
      <c r="C163" t="s">
        <v>253</v>
      </c>
      <c r="D163" t="s">
        <v>253</v>
      </c>
      <c r="F163" t="str">
        <f t="shared" si="5"/>
        <v>41110000</v>
      </c>
      <c r="G163" t="str">
        <f>"41111895"</f>
        <v>41111895</v>
      </c>
      <c r="H163" t="s">
        <v>254</v>
      </c>
      <c r="I163" s="1">
        <v>45765</v>
      </c>
      <c r="J163" s="4">
        <v>-1125720</v>
      </c>
    </row>
    <row r="164" spans="1:10" hidden="1" outlineLevel="2" x14ac:dyDescent="0.35">
      <c r="A164" t="s">
        <v>131</v>
      </c>
      <c r="B164" s="1">
        <v>45735</v>
      </c>
      <c r="C164" t="s">
        <v>255</v>
      </c>
      <c r="D164" t="s">
        <v>255</v>
      </c>
      <c r="F164" t="str">
        <f t="shared" si="5"/>
        <v>41110000</v>
      </c>
      <c r="G164" t="str">
        <f>"41111992"</f>
        <v>41111992</v>
      </c>
      <c r="H164" t="s">
        <v>154</v>
      </c>
      <c r="I164" s="1">
        <v>45735</v>
      </c>
      <c r="J164" s="4">
        <v>2147600</v>
      </c>
    </row>
    <row r="165" spans="1:10" hidden="1" outlineLevel="2" x14ac:dyDescent="0.35">
      <c r="A165" t="s">
        <v>131</v>
      </c>
      <c r="B165" s="1">
        <v>45735</v>
      </c>
      <c r="C165" t="s">
        <v>255</v>
      </c>
      <c r="D165" t="s">
        <v>255</v>
      </c>
      <c r="F165" t="str">
        <f t="shared" si="5"/>
        <v>41110000</v>
      </c>
      <c r="G165" t="str">
        <f>"41111992"</f>
        <v>41111992</v>
      </c>
      <c r="H165" t="s">
        <v>154</v>
      </c>
      <c r="I165" s="1">
        <v>45735</v>
      </c>
      <c r="J165" s="4">
        <v>2147600</v>
      </c>
    </row>
    <row r="166" spans="1:10" hidden="1" outlineLevel="2" x14ac:dyDescent="0.35">
      <c r="A166" t="s">
        <v>131</v>
      </c>
      <c r="B166" s="1">
        <v>45735</v>
      </c>
      <c r="C166" t="s">
        <v>255</v>
      </c>
      <c r="D166" t="s">
        <v>255</v>
      </c>
      <c r="F166" t="str">
        <f t="shared" si="5"/>
        <v>41110000</v>
      </c>
      <c r="G166" t="str">
        <f>"41111992"</f>
        <v>41111992</v>
      </c>
      <c r="H166" t="s">
        <v>155</v>
      </c>
      <c r="I166" s="1">
        <v>45735</v>
      </c>
      <c r="J166" s="4">
        <v>-2147600</v>
      </c>
    </row>
    <row r="167" spans="1:10" hidden="1" outlineLevel="2" x14ac:dyDescent="0.35">
      <c r="A167" t="s">
        <v>131</v>
      </c>
      <c r="B167" s="1">
        <v>45735</v>
      </c>
      <c r="C167" t="s">
        <v>256</v>
      </c>
      <c r="D167" t="s">
        <v>256</v>
      </c>
      <c r="F167" t="str">
        <f t="shared" si="5"/>
        <v>41110000</v>
      </c>
      <c r="G167" t="str">
        <f>"41111478"</f>
        <v>41111478</v>
      </c>
      <c r="H167" t="s">
        <v>180</v>
      </c>
      <c r="I167" s="1">
        <v>45766</v>
      </c>
      <c r="J167" s="4">
        <v>5065740</v>
      </c>
    </row>
    <row r="168" spans="1:10" hidden="1" outlineLevel="2" x14ac:dyDescent="0.35">
      <c r="A168" t="s">
        <v>131</v>
      </c>
      <c r="B168" s="1">
        <v>45735</v>
      </c>
      <c r="C168" t="s">
        <v>256</v>
      </c>
      <c r="D168" t="s">
        <v>256</v>
      </c>
      <c r="F168" t="str">
        <f t="shared" si="5"/>
        <v>41110000</v>
      </c>
      <c r="G168" t="str">
        <f>"41111478"</f>
        <v>41111478</v>
      </c>
      <c r="H168" t="s">
        <v>180</v>
      </c>
      <c r="I168" s="1">
        <v>45766</v>
      </c>
      <c r="J168" s="4">
        <v>5065740</v>
      </c>
    </row>
    <row r="169" spans="1:10" hidden="1" outlineLevel="2" x14ac:dyDescent="0.35">
      <c r="A169" t="s">
        <v>131</v>
      </c>
      <c r="B169" s="1">
        <v>45735</v>
      </c>
      <c r="C169" t="s">
        <v>256</v>
      </c>
      <c r="D169" t="s">
        <v>256</v>
      </c>
      <c r="F169" t="str">
        <f t="shared" si="5"/>
        <v>41110000</v>
      </c>
      <c r="G169" t="str">
        <f>"41111478"</f>
        <v>41111478</v>
      </c>
      <c r="H169" t="s">
        <v>257</v>
      </c>
      <c r="I169" s="1">
        <v>45766</v>
      </c>
      <c r="J169" s="4">
        <v>-5065740</v>
      </c>
    </row>
    <row r="170" spans="1:10" hidden="1" outlineLevel="2" x14ac:dyDescent="0.35">
      <c r="A170" t="s">
        <v>131</v>
      </c>
      <c r="B170" s="1">
        <v>45735</v>
      </c>
      <c r="C170" t="s">
        <v>258</v>
      </c>
      <c r="D170" t="s">
        <v>258</v>
      </c>
      <c r="F170" t="str">
        <f t="shared" si="5"/>
        <v>41110000</v>
      </c>
      <c r="G170" t="str">
        <f>"41111375"</f>
        <v>41111375</v>
      </c>
      <c r="H170" t="s">
        <v>148</v>
      </c>
      <c r="I170" s="1">
        <v>45735</v>
      </c>
      <c r="J170" s="4">
        <v>1609520</v>
      </c>
    </row>
    <row r="171" spans="1:10" hidden="1" outlineLevel="2" x14ac:dyDescent="0.35">
      <c r="A171" t="s">
        <v>131</v>
      </c>
      <c r="B171" s="1">
        <v>45735</v>
      </c>
      <c r="C171" t="s">
        <v>258</v>
      </c>
      <c r="D171" t="s">
        <v>258</v>
      </c>
      <c r="F171" t="str">
        <f t="shared" si="5"/>
        <v>41110000</v>
      </c>
      <c r="G171" t="str">
        <f>"41111375"</f>
        <v>41111375</v>
      </c>
      <c r="H171" t="s">
        <v>148</v>
      </c>
      <c r="I171" s="1">
        <v>45735</v>
      </c>
      <c r="J171" s="4">
        <v>1609520</v>
      </c>
    </row>
    <row r="172" spans="1:10" hidden="1" outlineLevel="2" x14ac:dyDescent="0.35">
      <c r="A172" t="s">
        <v>131</v>
      </c>
      <c r="B172" s="1">
        <v>45735</v>
      </c>
      <c r="C172" t="s">
        <v>258</v>
      </c>
      <c r="D172" t="s">
        <v>258</v>
      </c>
      <c r="F172" t="str">
        <f t="shared" si="5"/>
        <v>41110000</v>
      </c>
      <c r="G172" t="str">
        <f>"41111375"</f>
        <v>41111375</v>
      </c>
      <c r="H172" t="s">
        <v>248</v>
      </c>
      <c r="I172" s="1">
        <v>45735</v>
      </c>
      <c r="J172" s="4">
        <v>-1609520</v>
      </c>
    </row>
    <row r="173" spans="1:10" hidden="1" outlineLevel="2" x14ac:dyDescent="0.35">
      <c r="A173" t="s">
        <v>131</v>
      </c>
      <c r="B173" s="1">
        <v>45735</v>
      </c>
      <c r="C173" t="s">
        <v>259</v>
      </c>
      <c r="D173" t="s">
        <v>259</v>
      </c>
      <c r="F173" t="str">
        <f t="shared" si="5"/>
        <v>41110000</v>
      </c>
      <c r="G173" t="str">
        <f t="shared" ref="G173:G178" si="7">"41111000"</f>
        <v>41111000</v>
      </c>
      <c r="H173" t="s">
        <v>207</v>
      </c>
      <c r="I173" s="1">
        <v>45735</v>
      </c>
      <c r="J173" s="4">
        <v>429520</v>
      </c>
    </row>
    <row r="174" spans="1:10" hidden="1" outlineLevel="2" x14ac:dyDescent="0.35">
      <c r="A174" t="s">
        <v>131</v>
      </c>
      <c r="B174" s="1">
        <v>45735</v>
      </c>
      <c r="C174" t="s">
        <v>259</v>
      </c>
      <c r="D174" t="s">
        <v>259</v>
      </c>
      <c r="F174" t="str">
        <f t="shared" si="5"/>
        <v>41110000</v>
      </c>
      <c r="G174" t="str">
        <f t="shared" si="7"/>
        <v>41111000</v>
      </c>
      <c r="H174" t="s">
        <v>207</v>
      </c>
      <c r="I174" s="1">
        <v>45735</v>
      </c>
      <c r="J174" s="4">
        <v>429520</v>
      </c>
    </row>
    <row r="175" spans="1:10" hidden="1" outlineLevel="2" x14ac:dyDescent="0.35">
      <c r="A175" t="s">
        <v>131</v>
      </c>
      <c r="B175" s="1">
        <v>45735</v>
      </c>
      <c r="C175" t="s">
        <v>259</v>
      </c>
      <c r="D175" t="s">
        <v>259</v>
      </c>
      <c r="F175" t="str">
        <f t="shared" si="5"/>
        <v>41110000</v>
      </c>
      <c r="G175" t="str">
        <f t="shared" si="7"/>
        <v>41111000</v>
      </c>
      <c r="H175" t="s">
        <v>260</v>
      </c>
      <c r="I175" s="1">
        <v>45735</v>
      </c>
      <c r="J175" s="4">
        <v>-429520</v>
      </c>
    </row>
    <row r="176" spans="1:10" hidden="1" outlineLevel="2" x14ac:dyDescent="0.35">
      <c r="A176" t="s">
        <v>131</v>
      </c>
      <c r="B176" s="1">
        <v>45736</v>
      </c>
      <c r="C176" t="s">
        <v>261</v>
      </c>
      <c r="D176" t="s">
        <v>261</v>
      </c>
      <c r="F176" t="str">
        <f t="shared" si="5"/>
        <v>41110000</v>
      </c>
      <c r="G176" t="str">
        <f t="shared" si="7"/>
        <v>41111000</v>
      </c>
      <c r="H176" t="s">
        <v>144</v>
      </c>
      <c r="I176" s="1">
        <v>45736</v>
      </c>
      <c r="J176" s="4">
        <v>644280</v>
      </c>
    </row>
    <row r="177" spans="1:10" hidden="1" outlineLevel="2" x14ac:dyDescent="0.35">
      <c r="A177" t="s">
        <v>131</v>
      </c>
      <c r="B177" s="1">
        <v>45736</v>
      </c>
      <c r="C177" t="s">
        <v>261</v>
      </c>
      <c r="D177" t="s">
        <v>261</v>
      </c>
      <c r="F177" t="str">
        <f t="shared" si="5"/>
        <v>41110000</v>
      </c>
      <c r="G177" t="str">
        <f t="shared" si="7"/>
        <v>41111000</v>
      </c>
      <c r="H177" t="s">
        <v>144</v>
      </c>
      <c r="I177" s="1">
        <v>45736</v>
      </c>
      <c r="J177" s="4">
        <v>644280</v>
      </c>
    </row>
    <row r="178" spans="1:10" hidden="1" outlineLevel="2" x14ac:dyDescent="0.35">
      <c r="A178" t="s">
        <v>131</v>
      </c>
      <c r="B178" s="1">
        <v>45736</v>
      </c>
      <c r="C178" t="s">
        <v>261</v>
      </c>
      <c r="D178" t="s">
        <v>261</v>
      </c>
      <c r="F178" t="str">
        <f t="shared" si="5"/>
        <v>41110000</v>
      </c>
      <c r="G178" t="str">
        <f t="shared" si="7"/>
        <v>41111000</v>
      </c>
      <c r="H178" t="s">
        <v>262</v>
      </c>
      <c r="I178" s="1">
        <v>45736</v>
      </c>
      <c r="J178" s="4">
        <v>-644280</v>
      </c>
    </row>
    <row r="179" spans="1:10" hidden="1" outlineLevel="2" x14ac:dyDescent="0.35">
      <c r="A179" t="s">
        <v>131</v>
      </c>
      <c r="B179" s="1">
        <v>45736</v>
      </c>
      <c r="C179" t="s">
        <v>263</v>
      </c>
      <c r="D179" t="s">
        <v>263</v>
      </c>
      <c r="F179" t="str">
        <f t="shared" si="5"/>
        <v>41110000</v>
      </c>
      <c r="G179" t="str">
        <f t="shared" ref="G179:G190" si="8">"41100507"</f>
        <v>41100507</v>
      </c>
      <c r="H179" t="s">
        <v>159</v>
      </c>
      <c r="I179" s="1">
        <v>45767</v>
      </c>
      <c r="J179" s="4">
        <v>533360</v>
      </c>
    </row>
    <row r="180" spans="1:10" hidden="1" outlineLevel="2" x14ac:dyDescent="0.35">
      <c r="A180" t="s">
        <v>131</v>
      </c>
      <c r="B180" s="1">
        <v>45736</v>
      </c>
      <c r="C180" t="s">
        <v>263</v>
      </c>
      <c r="D180" t="s">
        <v>263</v>
      </c>
      <c r="F180" t="str">
        <f t="shared" si="5"/>
        <v>41110000</v>
      </c>
      <c r="G180" t="str">
        <f t="shared" si="8"/>
        <v>41100507</v>
      </c>
      <c r="H180" t="s">
        <v>159</v>
      </c>
      <c r="I180" s="1">
        <v>45767</v>
      </c>
      <c r="J180" s="4">
        <v>533360</v>
      </c>
    </row>
    <row r="181" spans="1:10" hidden="1" outlineLevel="2" x14ac:dyDescent="0.35">
      <c r="A181" t="s">
        <v>131</v>
      </c>
      <c r="B181" s="1">
        <v>45736</v>
      </c>
      <c r="C181" t="s">
        <v>263</v>
      </c>
      <c r="D181" t="s">
        <v>263</v>
      </c>
      <c r="F181" t="str">
        <f t="shared" si="5"/>
        <v>41110000</v>
      </c>
      <c r="G181" t="str">
        <f t="shared" si="8"/>
        <v>41100507</v>
      </c>
      <c r="H181" t="s">
        <v>239</v>
      </c>
      <c r="I181" s="1">
        <v>45767</v>
      </c>
      <c r="J181" s="4">
        <v>-533360</v>
      </c>
    </row>
    <row r="182" spans="1:10" hidden="1" outlineLevel="2" x14ac:dyDescent="0.35">
      <c r="A182" t="s">
        <v>131</v>
      </c>
      <c r="B182" s="1">
        <v>45736</v>
      </c>
      <c r="C182" t="s">
        <v>264</v>
      </c>
      <c r="D182" t="s">
        <v>264</v>
      </c>
      <c r="F182" t="str">
        <f t="shared" si="5"/>
        <v>41110000</v>
      </c>
      <c r="G182" t="str">
        <f t="shared" si="8"/>
        <v>41100507</v>
      </c>
      <c r="H182" t="s">
        <v>159</v>
      </c>
      <c r="I182" s="1">
        <v>45767</v>
      </c>
      <c r="J182" s="4">
        <v>474360</v>
      </c>
    </row>
    <row r="183" spans="1:10" hidden="1" outlineLevel="2" x14ac:dyDescent="0.35">
      <c r="A183" t="s">
        <v>131</v>
      </c>
      <c r="B183" s="1">
        <v>45736</v>
      </c>
      <c r="C183" t="s">
        <v>264</v>
      </c>
      <c r="D183" t="s">
        <v>264</v>
      </c>
      <c r="F183" t="str">
        <f t="shared" si="5"/>
        <v>41110000</v>
      </c>
      <c r="G183" t="str">
        <f t="shared" si="8"/>
        <v>41100507</v>
      </c>
      <c r="H183" t="s">
        <v>159</v>
      </c>
      <c r="I183" s="1">
        <v>45767</v>
      </c>
      <c r="J183" s="4">
        <v>474360</v>
      </c>
    </row>
    <row r="184" spans="1:10" hidden="1" outlineLevel="2" x14ac:dyDescent="0.35">
      <c r="A184" t="s">
        <v>131</v>
      </c>
      <c r="B184" s="1">
        <v>45736</v>
      </c>
      <c r="C184" t="s">
        <v>264</v>
      </c>
      <c r="D184" t="s">
        <v>264</v>
      </c>
      <c r="F184" t="str">
        <f t="shared" si="5"/>
        <v>41110000</v>
      </c>
      <c r="G184" t="str">
        <f t="shared" si="8"/>
        <v>41100507</v>
      </c>
      <c r="H184" t="s">
        <v>239</v>
      </c>
      <c r="I184" s="1">
        <v>45767</v>
      </c>
      <c r="J184" s="4">
        <v>-474360</v>
      </c>
    </row>
    <row r="185" spans="1:10" hidden="1" outlineLevel="2" x14ac:dyDescent="0.35">
      <c r="A185" t="s">
        <v>131</v>
      </c>
      <c r="B185" s="1">
        <v>45736</v>
      </c>
      <c r="C185" t="s">
        <v>265</v>
      </c>
      <c r="D185" t="s">
        <v>265</v>
      </c>
      <c r="F185" t="str">
        <f t="shared" si="5"/>
        <v>41110000</v>
      </c>
      <c r="G185" t="str">
        <f t="shared" si="8"/>
        <v>41100507</v>
      </c>
      <c r="H185" t="s">
        <v>159</v>
      </c>
      <c r="I185" s="1">
        <v>45736</v>
      </c>
      <c r="J185" s="4">
        <v>1239000</v>
      </c>
    </row>
    <row r="186" spans="1:10" hidden="1" outlineLevel="2" x14ac:dyDescent="0.35">
      <c r="A186" t="s">
        <v>131</v>
      </c>
      <c r="B186" s="1">
        <v>45736</v>
      </c>
      <c r="C186" t="s">
        <v>265</v>
      </c>
      <c r="D186" t="s">
        <v>265</v>
      </c>
      <c r="F186" t="str">
        <f t="shared" si="5"/>
        <v>41110000</v>
      </c>
      <c r="G186" t="str">
        <f t="shared" si="8"/>
        <v>41100507</v>
      </c>
      <c r="H186" t="s">
        <v>159</v>
      </c>
      <c r="I186" s="1">
        <v>45736</v>
      </c>
      <c r="J186" s="4">
        <v>1239000</v>
      </c>
    </row>
    <row r="187" spans="1:10" hidden="1" outlineLevel="2" x14ac:dyDescent="0.35">
      <c r="A187" t="s">
        <v>131</v>
      </c>
      <c r="B187" s="1">
        <v>45736</v>
      </c>
      <c r="C187" t="s">
        <v>265</v>
      </c>
      <c r="D187" t="s">
        <v>265</v>
      </c>
      <c r="F187" t="str">
        <f t="shared" si="5"/>
        <v>41110000</v>
      </c>
      <c r="G187" t="str">
        <f t="shared" si="8"/>
        <v>41100507</v>
      </c>
      <c r="H187" t="s">
        <v>239</v>
      </c>
      <c r="I187" s="1">
        <v>45736</v>
      </c>
      <c r="J187" s="4">
        <v>-1239000</v>
      </c>
    </row>
    <row r="188" spans="1:10" hidden="1" outlineLevel="2" x14ac:dyDescent="0.35">
      <c r="A188" t="s">
        <v>131</v>
      </c>
      <c r="B188" s="1">
        <v>45736</v>
      </c>
      <c r="C188" t="s">
        <v>266</v>
      </c>
      <c r="D188" t="s">
        <v>266</v>
      </c>
      <c r="F188" t="str">
        <f t="shared" si="5"/>
        <v>41110000</v>
      </c>
      <c r="G188" t="str">
        <f t="shared" si="8"/>
        <v>41100507</v>
      </c>
      <c r="H188" t="s">
        <v>159</v>
      </c>
      <c r="I188" s="1">
        <v>45736</v>
      </c>
      <c r="J188" s="4">
        <v>292640</v>
      </c>
    </row>
    <row r="189" spans="1:10" hidden="1" outlineLevel="2" x14ac:dyDescent="0.35">
      <c r="A189" t="s">
        <v>131</v>
      </c>
      <c r="B189" s="1">
        <v>45736</v>
      </c>
      <c r="C189" t="s">
        <v>266</v>
      </c>
      <c r="D189" t="s">
        <v>266</v>
      </c>
      <c r="F189" t="str">
        <f t="shared" si="5"/>
        <v>41110000</v>
      </c>
      <c r="G189" t="str">
        <f t="shared" si="8"/>
        <v>41100507</v>
      </c>
      <c r="H189" t="s">
        <v>159</v>
      </c>
      <c r="I189" s="1">
        <v>45736</v>
      </c>
      <c r="J189" s="4">
        <v>292640</v>
      </c>
    </row>
    <row r="190" spans="1:10" hidden="1" outlineLevel="2" x14ac:dyDescent="0.35">
      <c r="A190" t="s">
        <v>131</v>
      </c>
      <c r="B190" s="1">
        <v>45736</v>
      </c>
      <c r="C190" t="s">
        <v>266</v>
      </c>
      <c r="D190" t="s">
        <v>266</v>
      </c>
      <c r="F190" t="str">
        <f t="shared" si="5"/>
        <v>41110000</v>
      </c>
      <c r="G190" t="str">
        <f t="shared" si="8"/>
        <v>41100507</v>
      </c>
      <c r="H190" t="s">
        <v>239</v>
      </c>
      <c r="I190" s="1">
        <v>45736</v>
      </c>
      <c r="J190" s="4">
        <v>-292640</v>
      </c>
    </row>
    <row r="191" spans="1:10" hidden="1" outlineLevel="2" x14ac:dyDescent="0.35">
      <c r="A191" t="s">
        <v>131</v>
      </c>
      <c r="B191" s="1">
        <v>45736</v>
      </c>
      <c r="C191" t="s">
        <v>267</v>
      </c>
      <c r="D191" t="s">
        <v>267</v>
      </c>
      <c r="F191" t="str">
        <f t="shared" si="5"/>
        <v>41110000</v>
      </c>
      <c r="G191" t="str">
        <f>"41100653"</f>
        <v>41100653</v>
      </c>
      <c r="H191" t="s">
        <v>146</v>
      </c>
      <c r="I191" s="1">
        <v>45767</v>
      </c>
      <c r="J191" s="4">
        <v>429520</v>
      </c>
    </row>
    <row r="192" spans="1:10" hidden="1" outlineLevel="2" x14ac:dyDescent="0.35">
      <c r="A192" t="s">
        <v>131</v>
      </c>
      <c r="B192" s="1">
        <v>45736</v>
      </c>
      <c r="C192" t="s">
        <v>267</v>
      </c>
      <c r="D192" t="s">
        <v>267</v>
      </c>
      <c r="F192" t="str">
        <f t="shared" si="5"/>
        <v>41110000</v>
      </c>
      <c r="G192" t="str">
        <f>"41100653"</f>
        <v>41100653</v>
      </c>
      <c r="H192" t="s">
        <v>146</v>
      </c>
      <c r="I192" s="1">
        <v>45767</v>
      </c>
      <c r="J192" s="4">
        <v>429520</v>
      </c>
    </row>
    <row r="193" spans="1:10" hidden="1" outlineLevel="2" x14ac:dyDescent="0.35">
      <c r="A193" t="s">
        <v>131</v>
      </c>
      <c r="B193" s="1">
        <v>45736</v>
      </c>
      <c r="C193" t="s">
        <v>267</v>
      </c>
      <c r="D193" t="s">
        <v>267</v>
      </c>
      <c r="F193" t="str">
        <f t="shared" si="5"/>
        <v>41110000</v>
      </c>
      <c r="G193" t="str">
        <f>"41100653"</f>
        <v>41100653</v>
      </c>
      <c r="H193" t="s">
        <v>268</v>
      </c>
      <c r="I193" s="1">
        <v>45767</v>
      </c>
      <c r="J193" s="4">
        <v>-429520</v>
      </c>
    </row>
    <row r="194" spans="1:10" hidden="1" outlineLevel="2" x14ac:dyDescent="0.35">
      <c r="A194" t="s">
        <v>131</v>
      </c>
      <c r="B194" s="1">
        <v>45736</v>
      </c>
      <c r="C194" t="s">
        <v>269</v>
      </c>
      <c r="D194" t="s">
        <v>269</v>
      </c>
      <c r="F194" t="str">
        <f t="shared" si="5"/>
        <v>41110000</v>
      </c>
      <c r="G194" t="str">
        <f t="shared" ref="G194:G202" si="9">"41111375"</f>
        <v>41111375</v>
      </c>
      <c r="H194" t="s">
        <v>148</v>
      </c>
      <c r="I194" s="1">
        <v>45736</v>
      </c>
      <c r="J194" s="4">
        <v>1239000</v>
      </c>
    </row>
    <row r="195" spans="1:10" hidden="1" outlineLevel="2" x14ac:dyDescent="0.35">
      <c r="A195" t="s">
        <v>131</v>
      </c>
      <c r="B195" s="1">
        <v>45736</v>
      </c>
      <c r="C195" t="s">
        <v>269</v>
      </c>
      <c r="D195" t="s">
        <v>269</v>
      </c>
      <c r="F195" t="str">
        <f t="shared" si="5"/>
        <v>41110000</v>
      </c>
      <c r="G195" t="str">
        <f t="shared" si="9"/>
        <v>41111375</v>
      </c>
      <c r="H195" t="s">
        <v>148</v>
      </c>
      <c r="I195" s="1">
        <v>45736</v>
      </c>
      <c r="J195" s="4">
        <v>1239000</v>
      </c>
    </row>
    <row r="196" spans="1:10" hidden="1" outlineLevel="2" x14ac:dyDescent="0.35">
      <c r="A196" t="s">
        <v>131</v>
      </c>
      <c r="B196" s="1">
        <v>45736</v>
      </c>
      <c r="C196" t="s">
        <v>269</v>
      </c>
      <c r="D196" t="s">
        <v>269</v>
      </c>
      <c r="F196" t="str">
        <f t="shared" si="5"/>
        <v>41110000</v>
      </c>
      <c r="G196" t="str">
        <f t="shared" si="9"/>
        <v>41111375</v>
      </c>
      <c r="H196" t="s">
        <v>248</v>
      </c>
      <c r="I196" s="1">
        <v>45736</v>
      </c>
      <c r="J196" s="4">
        <v>-1239000</v>
      </c>
    </row>
    <row r="197" spans="1:10" hidden="1" outlineLevel="2" x14ac:dyDescent="0.35">
      <c r="A197" t="s">
        <v>131</v>
      </c>
      <c r="B197" s="1">
        <v>45736</v>
      </c>
      <c r="C197" t="s">
        <v>270</v>
      </c>
      <c r="D197" t="s">
        <v>270</v>
      </c>
      <c r="F197" t="str">
        <f t="shared" si="5"/>
        <v>41110000</v>
      </c>
      <c r="G197" t="str">
        <f t="shared" si="9"/>
        <v>41111375</v>
      </c>
      <c r="H197" t="s">
        <v>271</v>
      </c>
      <c r="I197" s="1">
        <v>45736</v>
      </c>
      <c r="J197" s="4">
        <v>375240</v>
      </c>
    </row>
    <row r="198" spans="1:10" hidden="1" outlineLevel="2" x14ac:dyDescent="0.35">
      <c r="A198" t="s">
        <v>131</v>
      </c>
      <c r="B198" s="1">
        <v>45736</v>
      </c>
      <c r="C198" t="s">
        <v>270</v>
      </c>
      <c r="D198" t="s">
        <v>270</v>
      </c>
      <c r="F198" t="str">
        <f t="shared" si="5"/>
        <v>41110000</v>
      </c>
      <c r="G198" t="str">
        <f t="shared" si="9"/>
        <v>41111375</v>
      </c>
      <c r="H198" t="s">
        <v>272</v>
      </c>
      <c r="I198" s="1">
        <v>45736</v>
      </c>
      <c r="J198" s="4">
        <v>375240</v>
      </c>
    </row>
    <row r="199" spans="1:10" hidden="1" outlineLevel="2" x14ac:dyDescent="0.35">
      <c r="A199" t="s">
        <v>131</v>
      </c>
      <c r="B199" s="1">
        <v>45736</v>
      </c>
      <c r="C199" t="s">
        <v>270</v>
      </c>
      <c r="D199" t="s">
        <v>270</v>
      </c>
      <c r="F199" t="str">
        <f t="shared" si="5"/>
        <v>41110000</v>
      </c>
      <c r="G199" t="str">
        <f t="shared" si="9"/>
        <v>41111375</v>
      </c>
      <c r="H199" t="s">
        <v>273</v>
      </c>
      <c r="I199" s="1">
        <v>45736</v>
      </c>
      <c r="J199" s="4">
        <v>-375240</v>
      </c>
    </row>
    <row r="200" spans="1:10" hidden="1" outlineLevel="2" x14ac:dyDescent="0.35">
      <c r="A200" t="s">
        <v>131</v>
      </c>
      <c r="B200" s="1">
        <v>45736</v>
      </c>
      <c r="C200" t="s">
        <v>274</v>
      </c>
      <c r="D200" t="s">
        <v>274</v>
      </c>
      <c r="F200" t="str">
        <f t="shared" si="5"/>
        <v>41110000</v>
      </c>
      <c r="G200" t="str">
        <f t="shared" si="9"/>
        <v>41111375</v>
      </c>
      <c r="H200" t="s">
        <v>148</v>
      </c>
      <c r="I200" s="1">
        <v>45736</v>
      </c>
      <c r="J200" s="4">
        <v>241900</v>
      </c>
    </row>
    <row r="201" spans="1:10" hidden="1" outlineLevel="2" x14ac:dyDescent="0.35">
      <c r="A201" t="s">
        <v>131</v>
      </c>
      <c r="B201" s="1">
        <v>45736</v>
      </c>
      <c r="C201" t="s">
        <v>274</v>
      </c>
      <c r="D201" t="s">
        <v>274</v>
      </c>
      <c r="F201" t="str">
        <f t="shared" si="5"/>
        <v>41110000</v>
      </c>
      <c r="G201" t="str">
        <f t="shared" si="9"/>
        <v>41111375</v>
      </c>
      <c r="H201" t="s">
        <v>148</v>
      </c>
      <c r="I201" s="1">
        <v>45736</v>
      </c>
      <c r="J201" s="4">
        <v>241900</v>
      </c>
    </row>
    <row r="202" spans="1:10" hidden="1" outlineLevel="2" x14ac:dyDescent="0.35">
      <c r="A202" t="s">
        <v>131</v>
      </c>
      <c r="B202" s="1">
        <v>45736</v>
      </c>
      <c r="C202" t="s">
        <v>274</v>
      </c>
      <c r="D202" t="s">
        <v>274</v>
      </c>
      <c r="F202" t="str">
        <f t="shared" si="5"/>
        <v>41110000</v>
      </c>
      <c r="G202" t="str">
        <f t="shared" si="9"/>
        <v>41111375</v>
      </c>
      <c r="H202" t="s">
        <v>248</v>
      </c>
      <c r="I202" s="1">
        <v>45736</v>
      </c>
      <c r="J202" s="4">
        <v>-241900</v>
      </c>
    </row>
    <row r="203" spans="1:10" hidden="1" outlineLevel="2" x14ac:dyDescent="0.35">
      <c r="A203" t="s">
        <v>131</v>
      </c>
      <c r="B203" s="1">
        <v>45736</v>
      </c>
      <c r="C203" t="s">
        <v>275</v>
      </c>
      <c r="D203" t="s">
        <v>275</v>
      </c>
      <c r="F203" t="str">
        <f t="shared" si="5"/>
        <v>41110000</v>
      </c>
      <c r="G203" t="str">
        <f>"41111895"</f>
        <v>41111895</v>
      </c>
      <c r="H203" t="s">
        <v>139</v>
      </c>
      <c r="I203" s="1">
        <v>45767</v>
      </c>
      <c r="J203" s="4">
        <v>750480</v>
      </c>
    </row>
    <row r="204" spans="1:10" hidden="1" outlineLevel="2" x14ac:dyDescent="0.35">
      <c r="A204" t="s">
        <v>131</v>
      </c>
      <c r="B204" s="1">
        <v>45736</v>
      </c>
      <c r="C204" t="s">
        <v>275</v>
      </c>
      <c r="D204" t="s">
        <v>275</v>
      </c>
      <c r="F204" t="str">
        <f t="shared" si="5"/>
        <v>41110000</v>
      </c>
      <c r="G204" t="str">
        <f>"41111895"</f>
        <v>41111895</v>
      </c>
      <c r="H204" t="s">
        <v>139</v>
      </c>
      <c r="I204" s="1">
        <v>45767</v>
      </c>
      <c r="J204" s="4">
        <v>750480</v>
      </c>
    </row>
    <row r="205" spans="1:10" hidden="1" outlineLevel="2" x14ac:dyDescent="0.35">
      <c r="A205" t="s">
        <v>131</v>
      </c>
      <c r="B205" s="1">
        <v>45736</v>
      </c>
      <c r="C205" t="s">
        <v>275</v>
      </c>
      <c r="D205" t="s">
        <v>275</v>
      </c>
      <c r="F205" t="str">
        <f t="shared" si="5"/>
        <v>41110000</v>
      </c>
      <c r="G205" t="str">
        <f>"41111895"</f>
        <v>41111895</v>
      </c>
      <c r="H205" t="s">
        <v>254</v>
      </c>
      <c r="I205" s="1">
        <v>45767</v>
      </c>
      <c r="J205" s="4">
        <v>-750480</v>
      </c>
    </row>
    <row r="206" spans="1:10" hidden="1" outlineLevel="2" x14ac:dyDescent="0.35">
      <c r="A206" t="s">
        <v>131</v>
      </c>
      <c r="B206" s="1">
        <v>45736</v>
      </c>
      <c r="C206" t="s">
        <v>276</v>
      </c>
      <c r="D206" t="s">
        <v>276</v>
      </c>
      <c r="F206" t="str">
        <f t="shared" si="5"/>
        <v>41110000</v>
      </c>
      <c r="G206" t="str">
        <f>"41111992"</f>
        <v>41111992</v>
      </c>
      <c r="H206" t="s">
        <v>154</v>
      </c>
      <c r="I206" s="1">
        <v>45736</v>
      </c>
      <c r="J206" s="4">
        <v>2147600</v>
      </c>
    </row>
    <row r="207" spans="1:10" hidden="1" outlineLevel="2" x14ac:dyDescent="0.35">
      <c r="A207" t="s">
        <v>131</v>
      </c>
      <c r="B207" s="1">
        <v>45736</v>
      </c>
      <c r="C207" t="s">
        <v>276</v>
      </c>
      <c r="D207" t="s">
        <v>276</v>
      </c>
      <c r="F207" t="str">
        <f t="shared" si="5"/>
        <v>41110000</v>
      </c>
      <c r="G207" t="str">
        <f>"41111992"</f>
        <v>41111992</v>
      </c>
      <c r="H207" t="s">
        <v>154</v>
      </c>
      <c r="I207" s="1">
        <v>45736</v>
      </c>
      <c r="J207" s="4">
        <v>2147600</v>
      </c>
    </row>
    <row r="208" spans="1:10" hidden="1" outlineLevel="2" x14ac:dyDescent="0.35">
      <c r="A208" t="s">
        <v>131</v>
      </c>
      <c r="B208" s="1">
        <v>45736</v>
      </c>
      <c r="C208" t="s">
        <v>276</v>
      </c>
      <c r="D208" t="s">
        <v>276</v>
      </c>
      <c r="F208" t="str">
        <f t="shared" ref="F208:F271" si="10">"41110000"</f>
        <v>41110000</v>
      </c>
      <c r="G208" t="str">
        <f>"41111992"</f>
        <v>41111992</v>
      </c>
      <c r="H208" t="s">
        <v>155</v>
      </c>
      <c r="I208" s="1">
        <v>45736</v>
      </c>
      <c r="J208" s="4">
        <v>-2147600</v>
      </c>
    </row>
    <row r="209" spans="1:10" hidden="1" outlineLevel="2" x14ac:dyDescent="0.35">
      <c r="A209" t="s">
        <v>131</v>
      </c>
      <c r="B209" s="1">
        <v>45736</v>
      </c>
      <c r="C209" t="s">
        <v>277</v>
      </c>
      <c r="D209" t="s">
        <v>277</v>
      </c>
      <c r="F209" t="str">
        <f t="shared" si="10"/>
        <v>41110000</v>
      </c>
      <c r="G209" t="str">
        <f>"41111375"</f>
        <v>41111375</v>
      </c>
      <c r="H209" t="s">
        <v>271</v>
      </c>
      <c r="I209" s="1">
        <v>45736</v>
      </c>
      <c r="J209" s="4">
        <v>1688580</v>
      </c>
    </row>
    <row r="210" spans="1:10" hidden="1" outlineLevel="2" x14ac:dyDescent="0.35">
      <c r="A210" t="s">
        <v>131</v>
      </c>
      <c r="B210" s="1">
        <v>45736</v>
      </c>
      <c r="C210" t="s">
        <v>277</v>
      </c>
      <c r="D210" t="s">
        <v>277</v>
      </c>
      <c r="F210" t="str">
        <f t="shared" si="10"/>
        <v>41110000</v>
      </c>
      <c r="G210" t="str">
        <f>"41111375"</f>
        <v>41111375</v>
      </c>
      <c r="H210" t="s">
        <v>272</v>
      </c>
      <c r="I210" s="1">
        <v>45736</v>
      </c>
      <c r="J210" s="4">
        <v>1688580</v>
      </c>
    </row>
    <row r="211" spans="1:10" hidden="1" outlineLevel="2" x14ac:dyDescent="0.35">
      <c r="A211" t="s">
        <v>131</v>
      </c>
      <c r="B211" s="1">
        <v>45736</v>
      </c>
      <c r="C211" t="s">
        <v>277</v>
      </c>
      <c r="D211" t="s">
        <v>277</v>
      </c>
      <c r="F211" t="str">
        <f t="shared" si="10"/>
        <v>41110000</v>
      </c>
      <c r="G211" t="str">
        <f>"41111375"</f>
        <v>41111375</v>
      </c>
      <c r="H211" t="s">
        <v>273</v>
      </c>
      <c r="I211" s="1">
        <v>45736</v>
      </c>
      <c r="J211" s="4">
        <v>-1688580</v>
      </c>
    </row>
    <row r="212" spans="1:10" hidden="1" outlineLevel="2" x14ac:dyDescent="0.35">
      <c r="A212" t="s">
        <v>131</v>
      </c>
      <c r="B212" s="1">
        <v>45736</v>
      </c>
      <c r="C212" t="s">
        <v>278</v>
      </c>
      <c r="D212" t="s">
        <v>278</v>
      </c>
      <c r="F212" t="str">
        <f t="shared" si="10"/>
        <v>41110000</v>
      </c>
      <c r="G212" t="str">
        <f t="shared" ref="G212:G220" si="11">"41111895"</f>
        <v>41111895</v>
      </c>
      <c r="H212" t="s">
        <v>139</v>
      </c>
      <c r="I212" s="1">
        <v>45767</v>
      </c>
      <c r="J212" s="4">
        <v>3752400</v>
      </c>
    </row>
    <row r="213" spans="1:10" hidden="1" outlineLevel="2" x14ac:dyDescent="0.35">
      <c r="A213" t="s">
        <v>131</v>
      </c>
      <c r="B213" s="1">
        <v>45736</v>
      </c>
      <c r="C213" t="s">
        <v>278</v>
      </c>
      <c r="D213" t="s">
        <v>278</v>
      </c>
      <c r="F213" t="str">
        <f t="shared" si="10"/>
        <v>41110000</v>
      </c>
      <c r="G213" t="str">
        <f t="shared" si="11"/>
        <v>41111895</v>
      </c>
      <c r="H213" t="s">
        <v>139</v>
      </c>
      <c r="I213" s="1">
        <v>45767</v>
      </c>
      <c r="J213" s="4">
        <v>3752400</v>
      </c>
    </row>
    <row r="214" spans="1:10" hidden="1" outlineLevel="2" x14ac:dyDescent="0.35">
      <c r="A214" t="s">
        <v>131</v>
      </c>
      <c r="B214" s="1">
        <v>45736</v>
      </c>
      <c r="C214" t="s">
        <v>278</v>
      </c>
      <c r="D214" t="s">
        <v>278</v>
      </c>
      <c r="F214" t="str">
        <f t="shared" si="10"/>
        <v>41110000</v>
      </c>
      <c r="G214" t="str">
        <f t="shared" si="11"/>
        <v>41111895</v>
      </c>
      <c r="H214" t="s">
        <v>254</v>
      </c>
      <c r="I214" s="1">
        <v>45767</v>
      </c>
      <c r="J214" s="4">
        <v>-3752400</v>
      </c>
    </row>
    <row r="215" spans="1:10" hidden="1" outlineLevel="2" x14ac:dyDescent="0.35">
      <c r="A215" t="s">
        <v>131</v>
      </c>
      <c r="B215" s="1">
        <v>45736</v>
      </c>
      <c r="C215" t="s">
        <v>279</v>
      </c>
      <c r="D215" t="s">
        <v>279</v>
      </c>
      <c r="F215" t="str">
        <f t="shared" si="10"/>
        <v>41110000</v>
      </c>
      <c r="G215" t="str">
        <f t="shared" si="11"/>
        <v>41111895</v>
      </c>
      <c r="H215" t="s">
        <v>139</v>
      </c>
      <c r="I215" s="1">
        <v>45767</v>
      </c>
      <c r="J215" s="4">
        <v>3377160</v>
      </c>
    </row>
    <row r="216" spans="1:10" hidden="1" outlineLevel="2" x14ac:dyDescent="0.35">
      <c r="A216" t="s">
        <v>131</v>
      </c>
      <c r="B216" s="1">
        <v>45736</v>
      </c>
      <c r="C216" t="s">
        <v>279</v>
      </c>
      <c r="D216" t="s">
        <v>279</v>
      </c>
      <c r="F216" t="str">
        <f t="shared" si="10"/>
        <v>41110000</v>
      </c>
      <c r="G216" t="str">
        <f t="shared" si="11"/>
        <v>41111895</v>
      </c>
      <c r="H216" t="s">
        <v>139</v>
      </c>
      <c r="I216" s="1">
        <v>45767</v>
      </c>
      <c r="J216" s="4">
        <v>3377160</v>
      </c>
    </row>
    <row r="217" spans="1:10" hidden="1" outlineLevel="2" x14ac:dyDescent="0.35">
      <c r="A217" t="s">
        <v>131</v>
      </c>
      <c r="B217" s="1">
        <v>45736</v>
      </c>
      <c r="C217" t="s">
        <v>279</v>
      </c>
      <c r="D217" t="s">
        <v>279</v>
      </c>
      <c r="F217" t="str">
        <f t="shared" si="10"/>
        <v>41110000</v>
      </c>
      <c r="G217" t="str">
        <f t="shared" si="11"/>
        <v>41111895</v>
      </c>
      <c r="H217" t="s">
        <v>254</v>
      </c>
      <c r="I217" s="1">
        <v>45767</v>
      </c>
      <c r="J217" s="4">
        <v>-3377160</v>
      </c>
    </row>
    <row r="218" spans="1:10" hidden="1" outlineLevel="2" x14ac:dyDescent="0.35">
      <c r="A218" t="s">
        <v>131</v>
      </c>
      <c r="B218" s="1">
        <v>45736</v>
      </c>
      <c r="C218" t="s">
        <v>280</v>
      </c>
      <c r="D218" t="s">
        <v>280</v>
      </c>
      <c r="F218" t="str">
        <f t="shared" si="10"/>
        <v>41110000</v>
      </c>
      <c r="G218" t="str">
        <f t="shared" si="11"/>
        <v>41111895</v>
      </c>
      <c r="H218" t="s">
        <v>139</v>
      </c>
      <c r="I218" s="1">
        <v>45767</v>
      </c>
      <c r="J218" s="4">
        <v>1876200</v>
      </c>
    </row>
    <row r="219" spans="1:10" hidden="1" outlineLevel="2" x14ac:dyDescent="0.35">
      <c r="A219" t="s">
        <v>131</v>
      </c>
      <c r="B219" s="1">
        <v>45736</v>
      </c>
      <c r="C219" t="s">
        <v>280</v>
      </c>
      <c r="D219" t="s">
        <v>280</v>
      </c>
      <c r="F219" t="str">
        <f t="shared" si="10"/>
        <v>41110000</v>
      </c>
      <c r="G219" t="str">
        <f t="shared" si="11"/>
        <v>41111895</v>
      </c>
      <c r="H219" t="s">
        <v>139</v>
      </c>
      <c r="I219" s="1">
        <v>45767</v>
      </c>
      <c r="J219" s="4">
        <v>1876200</v>
      </c>
    </row>
    <row r="220" spans="1:10" hidden="1" outlineLevel="2" x14ac:dyDescent="0.35">
      <c r="A220" t="s">
        <v>131</v>
      </c>
      <c r="B220" s="1">
        <v>45736</v>
      </c>
      <c r="C220" t="s">
        <v>280</v>
      </c>
      <c r="D220" t="s">
        <v>280</v>
      </c>
      <c r="F220" t="str">
        <f t="shared" si="10"/>
        <v>41110000</v>
      </c>
      <c r="G220" t="str">
        <f t="shared" si="11"/>
        <v>41111895</v>
      </c>
      <c r="H220" t="s">
        <v>254</v>
      </c>
      <c r="I220" s="1">
        <v>45767</v>
      </c>
      <c r="J220" s="4">
        <v>-1876200</v>
      </c>
    </row>
    <row r="221" spans="1:10" hidden="1" outlineLevel="2" x14ac:dyDescent="0.35">
      <c r="A221" t="s">
        <v>131</v>
      </c>
      <c r="B221" s="1">
        <v>45736</v>
      </c>
      <c r="C221" t="s">
        <v>281</v>
      </c>
      <c r="D221" t="s">
        <v>281</v>
      </c>
      <c r="F221" t="str">
        <f t="shared" si="10"/>
        <v>41110000</v>
      </c>
      <c r="G221" t="str">
        <f>"41111478"</f>
        <v>41111478</v>
      </c>
      <c r="H221" t="s">
        <v>180</v>
      </c>
      <c r="I221" s="1">
        <v>45767</v>
      </c>
      <c r="J221" s="4">
        <v>1866760</v>
      </c>
    </row>
    <row r="222" spans="1:10" hidden="1" outlineLevel="2" x14ac:dyDescent="0.35">
      <c r="A222" t="s">
        <v>131</v>
      </c>
      <c r="B222" s="1">
        <v>45736</v>
      </c>
      <c r="C222" t="s">
        <v>281</v>
      </c>
      <c r="D222" t="s">
        <v>281</v>
      </c>
      <c r="F222" t="str">
        <f t="shared" si="10"/>
        <v>41110000</v>
      </c>
      <c r="G222" t="str">
        <f>"41111478"</f>
        <v>41111478</v>
      </c>
      <c r="H222" t="s">
        <v>180</v>
      </c>
      <c r="I222" s="1">
        <v>45767</v>
      </c>
      <c r="J222" s="4">
        <v>1866760</v>
      </c>
    </row>
    <row r="223" spans="1:10" hidden="1" outlineLevel="2" x14ac:dyDescent="0.35">
      <c r="A223" t="s">
        <v>131</v>
      </c>
      <c r="B223" s="1">
        <v>45736</v>
      </c>
      <c r="C223" t="s">
        <v>281</v>
      </c>
      <c r="D223" t="s">
        <v>281</v>
      </c>
      <c r="F223" t="str">
        <f t="shared" si="10"/>
        <v>41110000</v>
      </c>
      <c r="G223" t="str">
        <f>"41111478"</f>
        <v>41111478</v>
      </c>
      <c r="H223" t="s">
        <v>257</v>
      </c>
      <c r="I223" s="1">
        <v>45767</v>
      </c>
      <c r="J223" s="4">
        <v>-1866760</v>
      </c>
    </row>
    <row r="224" spans="1:10" hidden="1" outlineLevel="2" x14ac:dyDescent="0.35">
      <c r="A224" t="s">
        <v>131</v>
      </c>
      <c r="B224" s="1">
        <v>45737</v>
      </c>
      <c r="C224" t="s">
        <v>282</v>
      </c>
      <c r="D224" t="s">
        <v>282</v>
      </c>
      <c r="F224" t="str">
        <f t="shared" si="10"/>
        <v>41110000</v>
      </c>
      <c r="G224" t="str">
        <f>"41100730"</f>
        <v>41100730</v>
      </c>
      <c r="H224" t="s">
        <v>175</v>
      </c>
      <c r="I224" s="1">
        <v>45768</v>
      </c>
      <c r="J224" s="4">
        <v>1246080</v>
      </c>
    </row>
    <row r="225" spans="1:10" hidden="1" outlineLevel="2" x14ac:dyDescent="0.35">
      <c r="A225" t="s">
        <v>131</v>
      </c>
      <c r="B225" s="1">
        <v>45737</v>
      </c>
      <c r="C225" t="s">
        <v>282</v>
      </c>
      <c r="D225" t="s">
        <v>282</v>
      </c>
      <c r="F225" t="str">
        <f t="shared" si="10"/>
        <v>41110000</v>
      </c>
      <c r="G225" t="str">
        <f>"41100730"</f>
        <v>41100730</v>
      </c>
      <c r="H225" t="s">
        <v>175</v>
      </c>
      <c r="I225" s="1">
        <v>45768</v>
      </c>
      <c r="J225" s="4">
        <v>1246080</v>
      </c>
    </row>
    <row r="226" spans="1:10" hidden="1" outlineLevel="2" x14ac:dyDescent="0.35">
      <c r="A226" t="s">
        <v>131</v>
      </c>
      <c r="B226" s="1">
        <v>45737</v>
      </c>
      <c r="C226" t="s">
        <v>282</v>
      </c>
      <c r="D226" t="s">
        <v>282</v>
      </c>
      <c r="F226" t="str">
        <f t="shared" si="10"/>
        <v>41110000</v>
      </c>
      <c r="G226" t="str">
        <f>"41100730"</f>
        <v>41100730</v>
      </c>
      <c r="H226" t="s">
        <v>283</v>
      </c>
      <c r="I226" s="1">
        <v>45768</v>
      </c>
      <c r="J226" s="4">
        <v>-1246080</v>
      </c>
    </row>
    <row r="227" spans="1:10" hidden="1" outlineLevel="2" x14ac:dyDescent="0.35">
      <c r="A227" t="s">
        <v>131</v>
      </c>
      <c r="B227" s="1">
        <v>45737</v>
      </c>
      <c r="C227" t="s">
        <v>284</v>
      </c>
      <c r="D227" t="s">
        <v>284</v>
      </c>
      <c r="F227" t="str">
        <f t="shared" si="10"/>
        <v>41110000</v>
      </c>
      <c r="G227" t="str">
        <f t="shared" ref="G227:G232" si="12">"41100653"</f>
        <v>41100653</v>
      </c>
      <c r="H227" t="s">
        <v>146</v>
      </c>
      <c r="I227" s="1">
        <v>45768</v>
      </c>
      <c r="J227" s="4">
        <v>214760</v>
      </c>
    </row>
    <row r="228" spans="1:10" hidden="1" outlineLevel="2" x14ac:dyDescent="0.35">
      <c r="A228" t="s">
        <v>131</v>
      </c>
      <c r="B228" s="1">
        <v>45737</v>
      </c>
      <c r="C228" t="s">
        <v>284</v>
      </c>
      <c r="D228" t="s">
        <v>284</v>
      </c>
      <c r="F228" t="str">
        <f t="shared" si="10"/>
        <v>41110000</v>
      </c>
      <c r="G228" t="str">
        <f t="shared" si="12"/>
        <v>41100653</v>
      </c>
      <c r="H228" t="s">
        <v>146</v>
      </c>
      <c r="I228" s="1">
        <v>45768</v>
      </c>
      <c r="J228" s="4">
        <v>214760</v>
      </c>
    </row>
    <row r="229" spans="1:10" hidden="1" outlineLevel="2" x14ac:dyDescent="0.35">
      <c r="A229" t="s">
        <v>131</v>
      </c>
      <c r="B229" s="1">
        <v>45737</v>
      </c>
      <c r="C229" t="s">
        <v>284</v>
      </c>
      <c r="D229" t="s">
        <v>284</v>
      </c>
      <c r="F229" t="str">
        <f t="shared" si="10"/>
        <v>41110000</v>
      </c>
      <c r="G229" t="str">
        <f t="shared" si="12"/>
        <v>41100653</v>
      </c>
      <c r="H229" t="s">
        <v>268</v>
      </c>
      <c r="I229" s="1">
        <v>45768</v>
      </c>
      <c r="J229" s="4">
        <v>-214760</v>
      </c>
    </row>
    <row r="230" spans="1:10" hidden="1" outlineLevel="2" x14ac:dyDescent="0.35">
      <c r="A230" t="s">
        <v>131</v>
      </c>
      <c r="B230" s="1">
        <v>45737</v>
      </c>
      <c r="C230" t="s">
        <v>285</v>
      </c>
      <c r="D230" t="s">
        <v>285</v>
      </c>
      <c r="F230" t="str">
        <f t="shared" si="10"/>
        <v>41110000</v>
      </c>
      <c r="G230" t="str">
        <f t="shared" si="12"/>
        <v>41100653</v>
      </c>
      <c r="H230" t="s">
        <v>146</v>
      </c>
      <c r="I230" s="1">
        <v>45768</v>
      </c>
      <c r="J230" s="4">
        <v>859040</v>
      </c>
    </row>
    <row r="231" spans="1:10" hidden="1" outlineLevel="2" x14ac:dyDescent="0.35">
      <c r="A231" t="s">
        <v>131</v>
      </c>
      <c r="B231" s="1">
        <v>45737</v>
      </c>
      <c r="C231" t="s">
        <v>285</v>
      </c>
      <c r="D231" t="s">
        <v>285</v>
      </c>
      <c r="F231" t="str">
        <f t="shared" si="10"/>
        <v>41110000</v>
      </c>
      <c r="G231" t="str">
        <f t="shared" si="12"/>
        <v>41100653</v>
      </c>
      <c r="H231" t="s">
        <v>146</v>
      </c>
      <c r="I231" s="1">
        <v>45768</v>
      </c>
      <c r="J231" s="4">
        <v>859040</v>
      </c>
    </row>
    <row r="232" spans="1:10" hidden="1" outlineLevel="2" x14ac:dyDescent="0.35">
      <c r="A232" t="s">
        <v>131</v>
      </c>
      <c r="B232" s="1">
        <v>45737</v>
      </c>
      <c r="C232" t="s">
        <v>285</v>
      </c>
      <c r="D232" t="s">
        <v>285</v>
      </c>
      <c r="F232" t="str">
        <f t="shared" si="10"/>
        <v>41110000</v>
      </c>
      <c r="G232" t="str">
        <f t="shared" si="12"/>
        <v>41100653</v>
      </c>
      <c r="H232" t="s">
        <v>268</v>
      </c>
      <c r="I232" s="1">
        <v>45768</v>
      </c>
      <c r="J232" s="4">
        <v>-859040</v>
      </c>
    </row>
    <row r="233" spans="1:10" hidden="1" outlineLevel="2" x14ac:dyDescent="0.35">
      <c r="A233" t="s">
        <v>131</v>
      </c>
      <c r="B233" s="1">
        <v>45737</v>
      </c>
      <c r="C233" t="s">
        <v>286</v>
      </c>
      <c r="D233" t="s">
        <v>286</v>
      </c>
      <c r="F233" t="str">
        <f t="shared" si="10"/>
        <v>41110000</v>
      </c>
      <c r="G233" t="str">
        <f>"41111895"</f>
        <v>41111895</v>
      </c>
      <c r="H233" t="s">
        <v>139</v>
      </c>
      <c r="I233" s="1">
        <v>45768</v>
      </c>
      <c r="J233" s="4">
        <v>770540</v>
      </c>
    </row>
    <row r="234" spans="1:10" hidden="1" outlineLevel="2" x14ac:dyDescent="0.35">
      <c r="A234" t="s">
        <v>131</v>
      </c>
      <c r="B234" s="1">
        <v>45737</v>
      </c>
      <c r="C234" t="s">
        <v>286</v>
      </c>
      <c r="D234" t="s">
        <v>286</v>
      </c>
      <c r="F234" t="str">
        <f t="shared" si="10"/>
        <v>41110000</v>
      </c>
      <c r="G234" t="str">
        <f>"41111895"</f>
        <v>41111895</v>
      </c>
      <c r="H234" t="s">
        <v>139</v>
      </c>
      <c r="I234" s="1">
        <v>45768</v>
      </c>
      <c r="J234" s="4">
        <v>770540</v>
      </c>
    </row>
    <row r="235" spans="1:10" hidden="1" outlineLevel="2" x14ac:dyDescent="0.35">
      <c r="A235" t="s">
        <v>131</v>
      </c>
      <c r="B235" s="1">
        <v>45737</v>
      </c>
      <c r="C235" t="s">
        <v>286</v>
      </c>
      <c r="D235" t="s">
        <v>286</v>
      </c>
      <c r="F235" t="str">
        <f t="shared" si="10"/>
        <v>41110000</v>
      </c>
      <c r="G235" t="str">
        <f>"41111895"</f>
        <v>41111895</v>
      </c>
      <c r="H235" t="s">
        <v>254</v>
      </c>
      <c r="I235" s="1">
        <v>45768</v>
      </c>
      <c r="J235" s="4">
        <v>-770540</v>
      </c>
    </row>
    <row r="236" spans="1:10" hidden="1" outlineLevel="2" x14ac:dyDescent="0.35">
      <c r="A236" t="s">
        <v>131</v>
      </c>
      <c r="B236" s="1">
        <v>45737</v>
      </c>
      <c r="C236" t="s">
        <v>287</v>
      </c>
      <c r="D236" t="s">
        <v>287</v>
      </c>
      <c r="F236" t="str">
        <f t="shared" si="10"/>
        <v>41110000</v>
      </c>
      <c r="G236" t="str">
        <f>"41111478"</f>
        <v>41111478</v>
      </c>
      <c r="H236" t="s">
        <v>180</v>
      </c>
      <c r="I236" s="1">
        <v>45768</v>
      </c>
      <c r="J236" s="4">
        <v>1125720</v>
      </c>
    </row>
    <row r="237" spans="1:10" hidden="1" outlineLevel="2" x14ac:dyDescent="0.35">
      <c r="A237" t="s">
        <v>131</v>
      </c>
      <c r="B237" s="1">
        <v>45737</v>
      </c>
      <c r="C237" t="s">
        <v>287</v>
      </c>
      <c r="D237" t="s">
        <v>287</v>
      </c>
      <c r="F237" t="str">
        <f t="shared" si="10"/>
        <v>41110000</v>
      </c>
      <c r="G237" t="str">
        <f>"41111478"</f>
        <v>41111478</v>
      </c>
      <c r="H237" t="s">
        <v>180</v>
      </c>
      <c r="I237" s="1">
        <v>45768</v>
      </c>
      <c r="J237" s="4">
        <v>1125720</v>
      </c>
    </row>
    <row r="238" spans="1:10" hidden="1" outlineLevel="2" x14ac:dyDescent="0.35">
      <c r="A238" t="s">
        <v>131</v>
      </c>
      <c r="B238" s="1">
        <v>45737</v>
      </c>
      <c r="C238" t="s">
        <v>287</v>
      </c>
      <c r="D238" t="s">
        <v>287</v>
      </c>
      <c r="F238" t="str">
        <f t="shared" si="10"/>
        <v>41110000</v>
      </c>
      <c r="G238" t="str">
        <f>"41111478"</f>
        <v>41111478</v>
      </c>
      <c r="H238" t="s">
        <v>257</v>
      </c>
      <c r="I238" s="1">
        <v>45768</v>
      </c>
      <c r="J238" s="4">
        <v>-1125720</v>
      </c>
    </row>
    <row r="239" spans="1:10" hidden="1" outlineLevel="2" x14ac:dyDescent="0.35">
      <c r="A239" t="s">
        <v>131</v>
      </c>
      <c r="B239" s="1">
        <v>45737</v>
      </c>
      <c r="C239" t="s">
        <v>288</v>
      </c>
      <c r="D239" t="s">
        <v>288</v>
      </c>
      <c r="F239" t="str">
        <f t="shared" si="10"/>
        <v>41110000</v>
      </c>
      <c r="G239" t="str">
        <f>"41111895"</f>
        <v>41111895</v>
      </c>
      <c r="H239" t="s">
        <v>139</v>
      </c>
      <c r="I239" s="1">
        <v>45768</v>
      </c>
      <c r="J239" s="4">
        <v>5253360</v>
      </c>
    </row>
    <row r="240" spans="1:10" hidden="1" outlineLevel="2" x14ac:dyDescent="0.35">
      <c r="A240" t="s">
        <v>131</v>
      </c>
      <c r="B240" s="1">
        <v>45737</v>
      </c>
      <c r="C240" t="s">
        <v>288</v>
      </c>
      <c r="D240" t="s">
        <v>288</v>
      </c>
      <c r="F240" t="str">
        <f t="shared" si="10"/>
        <v>41110000</v>
      </c>
      <c r="G240" t="str">
        <f>"41111895"</f>
        <v>41111895</v>
      </c>
      <c r="H240" t="s">
        <v>139</v>
      </c>
      <c r="I240" s="1">
        <v>45768</v>
      </c>
      <c r="J240" s="4">
        <v>5253360</v>
      </c>
    </row>
    <row r="241" spans="1:10" hidden="1" outlineLevel="2" x14ac:dyDescent="0.35">
      <c r="A241" t="s">
        <v>131</v>
      </c>
      <c r="B241" s="1">
        <v>45737</v>
      </c>
      <c r="C241" t="s">
        <v>288</v>
      </c>
      <c r="D241" t="s">
        <v>288</v>
      </c>
      <c r="F241" t="str">
        <f t="shared" si="10"/>
        <v>41110000</v>
      </c>
      <c r="G241" t="str">
        <f>"41111895"</f>
        <v>41111895</v>
      </c>
      <c r="H241" t="s">
        <v>254</v>
      </c>
      <c r="I241" s="1">
        <v>45768</v>
      </c>
      <c r="J241" s="4">
        <v>-5253360</v>
      </c>
    </row>
    <row r="242" spans="1:10" hidden="1" outlineLevel="2" x14ac:dyDescent="0.35">
      <c r="A242" t="s">
        <v>131</v>
      </c>
      <c r="B242" s="1">
        <v>45740</v>
      </c>
      <c r="C242" t="s">
        <v>289</v>
      </c>
      <c r="D242" t="s">
        <v>289</v>
      </c>
      <c r="F242" t="str">
        <f t="shared" si="10"/>
        <v>41110000</v>
      </c>
      <c r="G242" t="str">
        <f>"41111000"</f>
        <v>41111000</v>
      </c>
      <c r="H242" t="s">
        <v>290</v>
      </c>
      <c r="I242" s="1">
        <v>45740</v>
      </c>
      <c r="J242" s="4">
        <v>214760</v>
      </c>
    </row>
    <row r="243" spans="1:10" hidden="1" outlineLevel="2" x14ac:dyDescent="0.35">
      <c r="A243" t="s">
        <v>131</v>
      </c>
      <c r="B243" s="1">
        <v>45740</v>
      </c>
      <c r="C243" t="s">
        <v>291</v>
      </c>
      <c r="D243" t="s">
        <v>291</v>
      </c>
      <c r="F243" t="str">
        <f t="shared" si="10"/>
        <v>41110000</v>
      </c>
      <c r="G243" t="str">
        <f>"41111000"</f>
        <v>41111000</v>
      </c>
      <c r="H243" t="s">
        <v>144</v>
      </c>
      <c r="I243" s="1">
        <v>45740</v>
      </c>
      <c r="J243" s="4">
        <v>472000</v>
      </c>
    </row>
    <row r="244" spans="1:10" hidden="1" outlineLevel="2" x14ac:dyDescent="0.35">
      <c r="A244" t="s">
        <v>131</v>
      </c>
      <c r="B244" s="1">
        <v>45740</v>
      </c>
      <c r="C244" t="s">
        <v>292</v>
      </c>
      <c r="D244" t="s">
        <v>292</v>
      </c>
      <c r="F244" t="str">
        <f t="shared" si="10"/>
        <v>41110000</v>
      </c>
      <c r="G244" t="str">
        <f t="shared" ref="G244:G250" si="13">"41100507"</f>
        <v>41100507</v>
      </c>
      <c r="H244" t="s">
        <v>159</v>
      </c>
      <c r="I244" s="1">
        <v>45740</v>
      </c>
      <c r="J244" s="4">
        <v>292640</v>
      </c>
    </row>
    <row r="245" spans="1:10" hidden="1" outlineLevel="2" x14ac:dyDescent="0.35">
      <c r="A245" t="s">
        <v>131</v>
      </c>
      <c r="B245" s="1">
        <v>45740</v>
      </c>
      <c r="C245" t="s">
        <v>293</v>
      </c>
      <c r="D245" t="s">
        <v>293</v>
      </c>
      <c r="F245" t="str">
        <f t="shared" si="10"/>
        <v>41110000</v>
      </c>
      <c r="G245" t="str">
        <f t="shared" si="13"/>
        <v>41100507</v>
      </c>
      <c r="H245" t="s">
        <v>188</v>
      </c>
      <c r="I245" s="1">
        <v>45740</v>
      </c>
      <c r="J245" s="4">
        <v>413000</v>
      </c>
    </row>
    <row r="246" spans="1:10" hidden="1" outlineLevel="2" x14ac:dyDescent="0.35">
      <c r="A246" t="s">
        <v>131</v>
      </c>
      <c r="B246" s="1">
        <v>45740</v>
      </c>
      <c r="C246" t="s">
        <v>294</v>
      </c>
      <c r="D246" t="s">
        <v>294</v>
      </c>
      <c r="F246" t="str">
        <f t="shared" si="10"/>
        <v>41110000</v>
      </c>
      <c r="G246" t="str">
        <f t="shared" si="13"/>
        <v>41100507</v>
      </c>
      <c r="H246" t="s">
        <v>159</v>
      </c>
      <c r="I246" s="1">
        <v>45771</v>
      </c>
      <c r="J246" s="4">
        <v>266680</v>
      </c>
    </row>
    <row r="247" spans="1:10" hidden="1" outlineLevel="2" x14ac:dyDescent="0.35">
      <c r="A247" t="s">
        <v>131</v>
      </c>
      <c r="B247" s="1">
        <v>45740</v>
      </c>
      <c r="C247" t="s">
        <v>295</v>
      </c>
      <c r="D247" t="s">
        <v>295</v>
      </c>
      <c r="F247" t="str">
        <f t="shared" si="10"/>
        <v>41110000</v>
      </c>
      <c r="G247" t="str">
        <f t="shared" si="13"/>
        <v>41100507</v>
      </c>
      <c r="H247" t="s">
        <v>159</v>
      </c>
      <c r="I247" s="1">
        <v>45740</v>
      </c>
      <c r="J247" s="4">
        <v>375240</v>
      </c>
    </row>
    <row r="248" spans="1:10" hidden="1" outlineLevel="2" x14ac:dyDescent="0.35">
      <c r="A248" t="s">
        <v>131</v>
      </c>
      <c r="B248" s="1">
        <v>45740</v>
      </c>
      <c r="C248" t="s">
        <v>296</v>
      </c>
      <c r="D248" t="s">
        <v>296</v>
      </c>
      <c r="F248" t="str">
        <f t="shared" si="10"/>
        <v>41110000</v>
      </c>
      <c r="G248" t="str">
        <f t="shared" si="13"/>
        <v>41100507</v>
      </c>
      <c r="H248" t="s">
        <v>159</v>
      </c>
      <c r="I248" s="1">
        <v>45740</v>
      </c>
      <c r="J248" s="4">
        <v>375240</v>
      </c>
    </row>
    <row r="249" spans="1:10" hidden="1" outlineLevel="2" x14ac:dyDescent="0.35">
      <c r="A249" t="s">
        <v>131</v>
      </c>
      <c r="B249" s="1">
        <v>45740</v>
      </c>
      <c r="C249" t="s">
        <v>297</v>
      </c>
      <c r="D249" t="s">
        <v>297</v>
      </c>
      <c r="F249" t="str">
        <f t="shared" si="10"/>
        <v>41110000</v>
      </c>
      <c r="G249" t="str">
        <f t="shared" si="13"/>
        <v>41100507</v>
      </c>
      <c r="H249" t="s">
        <v>159</v>
      </c>
      <c r="I249" s="1">
        <v>45740</v>
      </c>
      <c r="J249" s="4">
        <v>187620</v>
      </c>
    </row>
    <row r="250" spans="1:10" hidden="1" outlineLevel="2" x14ac:dyDescent="0.35">
      <c r="A250" t="s">
        <v>131</v>
      </c>
      <c r="B250" s="1">
        <v>45740</v>
      </c>
      <c r="C250" t="s">
        <v>298</v>
      </c>
      <c r="D250" t="s">
        <v>298</v>
      </c>
      <c r="F250" t="str">
        <f t="shared" si="10"/>
        <v>41110000</v>
      </c>
      <c r="G250" t="str">
        <f t="shared" si="13"/>
        <v>41100507</v>
      </c>
      <c r="H250" t="s">
        <v>159</v>
      </c>
      <c r="I250" s="1">
        <v>45740</v>
      </c>
      <c r="J250" s="4">
        <v>187620</v>
      </c>
    </row>
    <row r="251" spans="1:10" hidden="1" outlineLevel="2" x14ac:dyDescent="0.35">
      <c r="A251" t="s">
        <v>131</v>
      </c>
      <c r="B251" s="1">
        <v>45740</v>
      </c>
      <c r="C251" t="s">
        <v>299</v>
      </c>
      <c r="D251" t="s">
        <v>299</v>
      </c>
      <c r="F251" t="str">
        <f t="shared" si="10"/>
        <v>41110000</v>
      </c>
      <c r="G251" t="str">
        <f>"41100500"</f>
        <v>41100500</v>
      </c>
      <c r="H251" t="s">
        <v>224</v>
      </c>
      <c r="I251" s="1">
        <v>45740</v>
      </c>
      <c r="J251" s="4">
        <v>409460</v>
      </c>
    </row>
    <row r="252" spans="1:10" hidden="1" outlineLevel="2" x14ac:dyDescent="0.35">
      <c r="A252" t="s">
        <v>131</v>
      </c>
      <c r="B252" s="1">
        <v>45740</v>
      </c>
      <c r="C252" t="s">
        <v>300</v>
      </c>
      <c r="D252" t="s">
        <v>300</v>
      </c>
      <c r="F252" t="str">
        <f t="shared" si="10"/>
        <v>41110000</v>
      </c>
      <c r="G252" t="str">
        <f>"41100653"</f>
        <v>41100653</v>
      </c>
      <c r="H252" t="s">
        <v>146</v>
      </c>
      <c r="I252" s="1">
        <v>45771</v>
      </c>
      <c r="J252" s="4">
        <v>265500</v>
      </c>
    </row>
    <row r="253" spans="1:10" hidden="1" outlineLevel="2" x14ac:dyDescent="0.35">
      <c r="A253" t="s">
        <v>131</v>
      </c>
      <c r="B253" s="1">
        <v>45740</v>
      </c>
      <c r="C253" t="s">
        <v>301</v>
      </c>
      <c r="D253" t="s">
        <v>301</v>
      </c>
      <c r="F253" t="str">
        <f t="shared" si="10"/>
        <v>41110000</v>
      </c>
      <c r="G253" t="str">
        <f>"41100653"</f>
        <v>41100653</v>
      </c>
      <c r="H253" t="s">
        <v>146</v>
      </c>
      <c r="I253" s="1">
        <v>45771</v>
      </c>
      <c r="J253" s="4">
        <v>354000</v>
      </c>
    </row>
    <row r="254" spans="1:10" hidden="1" outlineLevel="2" x14ac:dyDescent="0.35">
      <c r="A254" t="s">
        <v>131</v>
      </c>
      <c r="B254" s="1">
        <v>45740</v>
      </c>
      <c r="C254" t="s">
        <v>302</v>
      </c>
      <c r="D254" t="s">
        <v>302</v>
      </c>
      <c r="F254" t="str">
        <f t="shared" si="10"/>
        <v>41110000</v>
      </c>
      <c r="G254" t="str">
        <f>"41111375"</f>
        <v>41111375</v>
      </c>
      <c r="H254" t="s">
        <v>148</v>
      </c>
      <c r="I254" s="1">
        <v>45740</v>
      </c>
      <c r="J254" s="4">
        <v>441143</v>
      </c>
    </row>
    <row r="255" spans="1:10" hidden="1" outlineLevel="2" x14ac:dyDescent="0.35">
      <c r="A255" t="s">
        <v>131</v>
      </c>
      <c r="B255" s="1">
        <v>45740</v>
      </c>
      <c r="C255" t="s">
        <v>303</v>
      </c>
      <c r="D255" t="s">
        <v>303</v>
      </c>
      <c r="F255" t="str">
        <f t="shared" si="10"/>
        <v>41110000</v>
      </c>
      <c r="G255" t="str">
        <f>"41101222"</f>
        <v>41101222</v>
      </c>
      <c r="H255" t="s">
        <v>233</v>
      </c>
      <c r="I255" s="1">
        <v>45740</v>
      </c>
      <c r="J255" s="4">
        <v>429520</v>
      </c>
    </row>
    <row r="256" spans="1:10" hidden="1" outlineLevel="2" x14ac:dyDescent="0.35">
      <c r="A256" t="s">
        <v>131</v>
      </c>
      <c r="B256" s="1">
        <v>45740</v>
      </c>
      <c r="C256" t="s">
        <v>304</v>
      </c>
      <c r="D256" t="s">
        <v>304</v>
      </c>
      <c r="F256" t="str">
        <f t="shared" si="10"/>
        <v>41110000</v>
      </c>
      <c r="G256" t="str">
        <f>"41111478"</f>
        <v>41111478</v>
      </c>
      <c r="H256" t="s">
        <v>180</v>
      </c>
      <c r="I256" s="1">
        <v>45771</v>
      </c>
      <c r="J256" s="4">
        <v>5065740</v>
      </c>
    </row>
    <row r="257" spans="1:10" hidden="1" outlineLevel="2" x14ac:dyDescent="0.35">
      <c r="A257" t="s">
        <v>131</v>
      </c>
      <c r="B257" s="1">
        <v>45740</v>
      </c>
      <c r="C257" t="s">
        <v>305</v>
      </c>
      <c r="D257" t="s">
        <v>305</v>
      </c>
      <c r="F257" t="str">
        <f t="shared" si="10"/>
        <v>41110000</v>
      </c>
      <c r="G257" t="str">
        <f>"41111478"</f>
        <v>41111478</v>
      </c>
      <c r="H257" t="s">
        <v>180</v>
      </c>
      <c r="I257" s="1">
        <v>45771</v>
      </c>
      <c r="J257" s="4">
        <v>1217760</v>
      </c>
    </row>
    <row r="258" spans="1:10" hidden="1" outlineLevel="2" x14ac:dyDescent="0.35">
      <c r="A258" t="s">
        <v>131</v>
      </c>
      <c r="B258" s="1">
        <v>45741</v>
      </c>
      <c r="C258" t="s">
        <v>306</v>
      </c>
      <c r="D258" t="s">
        <v>306</v>
      </c>
      <c r="F258" t="str">
        <f t="shared" si="10"/>
        <v>41110000</v>
      </c>
      <c r="G258" t="str">
        <f>"41111887"</f>
        <v>41111887</v>
      </c>
      <c r="H258" t="s">
        <v>307</v>
      </c>
      <c r="I258" s="1">
        <v>45772</v>
      </c>
      <c r="J258" s="4">
        <v>292640</v>
      </c>
    </row>
    <row r="259" spans="1:10" hidden="1" outlineLevel="2" x14ac:dyDescent="0.35">
      <c r="A259" t="s">
        <v>131</v>
      </c>
      <c r="B259" s="1">
        <v>45741</v>
      </c>
      <c r="C259" t="s">
        <v>308</v>
      </c>
      <c r="D259" t="s">
        <v>308</v>
      </c>
      <c r="F259" t="str">
        <f t="shared" si="10"/>
        <v>41110000</v>
      </c>
      <c r="G259" t="str">
        <f>"41111895"</f>
        <v>41111895</v>
      </c>
      <c r="H259" t="s">
        <v>139</v>
      </c>
      <c r="I259" s="1">
        <v>45772</v>
      </c>
      <c r="J259" s="4">
        <v>2626680</v>
      </c>
    </row>
    <row r="260" spans="1:10" hidden="1" outlineLevel="2" x14ac:dyDescent="0.35">
      <c r="A260" t="s">
        <v>131</v>
      </c>
      <c r="B260" s="1">
        <v>45741</v>
      </c>
      <c r="C260" t="s">
        <v>309</v>
      </c>
      <c r="D260" t="s">
        <v>309</v>
      </c>
      <c r="F260" t="str">
        <f t="shared" si="10"/>
        <v>41110000</v>
      </c>
      <c r="G260" t="str">
        <f>"41111375"</f>
        <v>41111375</v>
      </c>
      <c r="H260" t="s">
        <v>148</v>
      </c>
      <c r="I260" s="1">
        <v>45741</v>
      </c>
      <c r="J260" s="4">
        <v>1699200</v>
      </c>
    </row>
    <row r="261" spans="1:10" hidden="1" outlineLevel="2" x14ac:dyDescent="0.35">
      <c r="A261" t="s">
        <v>131</v>
      </c>
      <c r="B261" s="1">
        <v>45742</v>
      </c>
      <c r="C261" t="s">
        <v>310</v>
      </c>
      <c r="D261" t="s">
        <v>310</v>
      </c>
      <c r="F261" t="str">
        <f t="shared" si="10"/>
        <v>41110000</v>
      </c>
      <c r="G261" t="str">
        <f>"41100653"</f>
        <v>41100653</v>
      </c>
      <c r="H261" t="s">
        <v>146</v>
      </c>
      <c r="I261" s="1">
        <v>45773</v>
      </c>
      <c r="J261" s="4">
        <v>429520</v>
      </c>
    </row>
    <row r="262" spans="1:10" hidden="1" outlineLevel="2" x14ac:dyDescent="0.35">
      <c r="A262" t="s">
        <v>131</v>
      </c>
      <c r="B262" s="1">
        <v>45742</v>
      </c>
      <c r="C262" t="s">
        <v>311</v>
      </c>
      <c r="D262" t="s">
        <v>311</v>
      </c>
      <c r="F262" t="str">
        <f t="shared" si="10"/>
        <v>41110000</v>
      </c>
      <c r="G262" t="str">
        <f>"41111900"</f>
        <v>41111900</v>
      </c>
      <c r="H262" t="s">
        <v>170</v>
      </c>
      <c r="I262" s="1">
        <v>45752</v>
      </c>
      <c r="J262" s="4">
        <v>1073800</v>
      </c>
    </row>
    <row r="263" spans="1:10" hidden="1" outlineLevel="2" x14ac:dyDescent="0.35">
      <c r="A263" t="s">
        <v>131</v>
      </c>
      <c r="B263" s="1">
        <v>45744</v>
      </c>
      <c r="C263" t="s">
        <v>312</v>
      </c>
      <c r="D263" t="s">
        <v>312</v>
      </c>
      <c r="F263" t="str">
        <f t="shared" si="10"/>
        <v>41110000</v>
      </c>
      <c r="G263" t="str">
        <f>"41111937"</f>
        <v>41111937</v>
      </c>
      <c r="H263" t="s">
        <v>167</v>
      </c>
      <c r="I263" s="1">
        <v>45744</v>
      </c>
      <c r="J263" s="4">
        <v>214760</v>
      </c>
    </row>
    <row r="264" spans="1:10" hidden="1" outlineLevel="2" x14ac:dyDescent="0.35">
      <c r="A264" t="s">
        <v>131</v>
      </c>
      <c r="B264" s="1">
        <v>45744</v>
      </c>
      <c r="C264" t="s">
        <v>313</v>
      </c>
      <c r="D264" t="s">
        <v>313</v>
      </c>
      <c r="F264" t="str">
        <f t="shared" si="10"/>
        <v>41110000</v>
      </c>
      <c r="G264" t="str">
        <f>"41100507"</f>
        <v>41100507</v>
      </c>
      <c r="H264" t="s">
        <v>159</v>
      </c>
      <c r="I264" s="1">
        <v>45744</v>
      </c>
      <c r="J264" s="4">
        <v>292640</v>
      </c>
    </row>
    <row r="265" spans="1:10" hidden="1" outlineLevel="2" x14ac:dyDescent="0.35">
      <c r="A265" t="s">
        <v>131</v>
      </c>
      <c r="B265" s="1">
        <v>45744</v>
      </c>
      <c r="C265" t="s">
        <v>314</v>
      </c>
      <c r="D265" t="s">
        <v>314</v>
      </c>
      <c r="F265" t="str">
        <f t="shared" si="10"/>
        <v>41110000</v>
      </c>
      <c r="G265" t="str">
        <f>"41100507"</f>
        <v>41100507</v>
      </c>
      <c r="H265" t="s">
        <v>159</v>
      </c>
      <c r="I265" s="1">
        <v>45775</v>
      </c>
      <c r="J265" s="4">
        <v>375240</v>
      </c>
    </row>
    <row r="266" spans="1:10" hidden="1" outlineLevel="2" x14ac:dyDescent="0.35">
      <c r="A266" t="s">
        <v>131</v>
      </c>
      <c r="B266" s="1">
        <v>45744</v>
      </c>
      <c r="C266" t="s">
        <v>315</v>
      </c>
      <c r="D266" t="s">
        <v>315</v>
      </c>
      <c r="F266" t="str">
        <f t="shared" si="10"/>
        <v>41110000</v>
      </c>
      <c r="G266" t="str">
        <f>"41100507"</f>
        <v>41100507</v>
      </c>
      <c r="H266" t="s">
        <v>159</v>
      </c>
      <c r="I266" s="1">
        <v>45775</v>
      </c>
      <c r="J266" s="4">
        <v>375240</v>
      </c>
    </row>
    <row r="267" spans="1:10" hidden="1" outlineLevel="2" x14ac:dyDescent="0.35">
      <c r="A267" t="s">
        <v>131</v>
      </c>
      <c r="B267" s="1">
        <v>45744</v>
      </c>
      <c r="C267" t="s">
        <v>316</v>
      </c>
      <c r="D267" t="s">
        <v>316</v>
      </c>
      <c r="F267" t="str">
        <f t="shared" si="10"/>
        <v>41110000</v>
      </c>
      <c r="G267" t="str">
        <f>"41100653"</f>
        <v>41100653</v>
      </c>
      <c r="H267" t="s">
        <v>146</v>
      </c>
      <c r="I267" s="1">
        <v>45775</v>
      </c>
      <c r="J267" s="4">
        <v>214760</v>
      </c>
    </row>
    <row r="268" spans="1:10" hidden="1" outlineLevel="2" x14ac:dyDescent="0.35">
      <c r="A268" t="s">
        <v>131</v>
      </c>
      <c r="B268" s="1">
        <v>45744</v>
      </c>
      <c r="C268" t="s">
        <v>317</v>
      </c>
      <c r="D268" t="s">
        <v>317</v>
      </c>
      <c r="F268" t="str">
        <f t="shared" si="10"/>
        <v>41110000</v>
      </c>
      <c r="G268" t="str">
        <f>"41111375"</f>
        <v>41111375</v>
      </c>
      <c r="H268" t="s">
        <v>271</v>
      </c>
      <c r="I268" s="1">
        <v>45744</v>
      </c>
      <c r="J268" s="4">
        <v>533360</v>
      </c>
    </row>
    <row r="269" spans="1:10" hidden="1" outlineLevel="2" x14ac:dyDescent="0.35">
      <c r="A269" t="s">
        <v>131</v>
      </c>
      <c r="B269" s="1">
        <v>45744</v>
      </c>
      <c r="C269" t="s">
        <v>318</v>
      </c>
      <c r="D269" t="s">
        <v>318</v>
      </c>
      <c r="F269" t="str">
        <f t="shared" si="10"/>
        <v>41110000</v>
      </c>
      <c r="G269" t="str">
        <f>"41111375"</f>
        <v>41111375</v>
      </c>
      <c r="H269" t="s">
        <v>195</v>
      </c>
      <c r="I269" s="1">
        <v>45744</v>
      </c>
      <c r="J269" s="4">
        <v>608880</v>
      </c>
    </row>
    <row r="270" spans="1:10" hidden="1" outlineLevel="2" x14ac:dyDescent="0.35">
      <c r="A270" t="s">
        <v>131</v>
      </c>
      <c r="B270" s="1">
        <v>45744</v>
      </c>
      <c r="C270" t="s">
        <v>319</v>
      </c>
      <c r="D270" t="s">
        <v>319</v>
      </c>
      <c r="F270" t="str">
        <f t="shared" si="10"/>
        <v>41110000</v>
      </c>
      <c r="G270" t="str">
        <f t="shared" ref="G270:G275" si="14">"41111895"</f>
        <v>41111895</v>
      </c>
      <c r="H270" t="s">
        <v>203</v>
      </c>
      <c r="I270" s="1">
        <v>45744</v>
      </c>
      <c r="J270" s="4">
        <v>146320</v>
      </c>
    </row>
    <row r="271" spans="1:10" hidden="1" outlineLevel="2" x14ac:dyDescent="0.35">
      <c r="A271" t="s">
        <v>131</v>
      </c>
      <c r="B271" s="1">
        <v>45744</v>
      </c>
      <c r="C271" t="s">
        <v>320</v>
      </c>
      <c r="D271" t="s">
        <v>320</v>
      </c>
      <c r="F271" t="str">
        <f t="shared" si="10"/>
        <v>41110000</v>
      </c>
      <c r="G271" t="str">
        <f t="shared" si="14"/>
        <v>41111895</v>
      </c>
      <c r="H271" t="s">
        <v>139</v>
      </c>
      <c r="I271" s="1">
        <v>45775</v>
      </c>
      <c r="J271" s="4">
        <v>4127640</v>
      </c>
    </row>
    <row r="272" spans="1:10" hidden="1" outlineLevel="2" x14ac:dyDescent="0.35">
      <c r="A272" t="s">
        <v>131</v>
      </c>
      <c r="B272" s="1">
        <v>45744</v>
      </c>
      <c r="C272" t="s">
        <v>321</v>
      </c>
      <c r="D272" t="s">
        <v>321</v>
      </c>
      <c r="F272" t="str">
        <f t="shared" ref="F272:F284" si="15">"41110000"</f>
        <v>41110000</v>
      </c>
      <c r="G272" t="str">
        <f t="shared" si="14"/>
        <v>41111895</v>
      </c>
      <c r="H272" t="s">
        <v>139</v>
      </c>
      <c r="I272" s="1">
        <v>45775</v>
      </c>
      <c r="J272" s="4">
        <v>3001920</v>
      </c>
    </row>
    <row r="273" spans="1:11" hidden="1" outlineLevel="2" x14ac:dyDescent="0.35">
      <c r="A273" t="s">
        <v>131</v>
      </c>
      <c r="B273" s="1">
        <v>45744</v>
      </c>
      <c r="C273" t="s">
        <v>322</v>
      </c>
      <c r="D273" t="s">
        <v>322</v>
      </c>
      <c r="F273" t="str">
        <f t="shared" si="15"/>
        <v>41110000</v>
      </c>
      <c r="G273" t="str">
        <f t="shared" si="14"/>
        <v>41111895</v>
      </c>
      <c r="H273" t="s">
        <v>139</v>
      </c>
      <c r="I273" s="1">
        <v>45775</v>
      </c>
      <c r="J273" s="4">
        <v>6003840</v>
      </c>
    </row>
    <row r="274" spans="1:11" hidden="1" outlineLevel="2" x14ac:dyDescent="0.35">
      <c r="A274" t="s">
        <v>131</v>
      </c>
      <c r="B274" s="1">
        <v>45744</v>
      </c>
      <c r="C274" t="s">
        <v>323</v>
      </c>
      <c r="D274" t="s">
        <v>323</v>
      </c>
      <c r="F274" t="str">
        <f t="shared" si="15"/>
        <v>41110000</v>
      </c>
      <c r="G274" t="str">
        <f t="shared" si="14"/>
        <v>41111895</v>
      </c>
      <c r="H274" t="s">
        <v>139</v>
      </c>
      <c r="I274" s="1">
        <v>45775</v>
      </c>
      <c r="J274" s="4">
        <v>7504800</v>
      </c>
    </row>
    <row r="275" spans="1:11" hidden="1" outlineLevel="2" x14ac:dyDescent="0.35">
      <c r="A275" t="s">
        <v>131</v>
      </c>
      <c r="B275" s="1">
        <v>45744</v>
      </c>
      <c r="C275" t="s">
        <v>324</v>
      </c>
      <c r="D275" t="s">
        <v>324</v>
      </c>
      <c r="F275" t="str">
        <f t="shared" si="15"/>
        <v>41110000</v>
      </c>
      <c r="G275" t="str">
        <f t="shared" si="14"/>
        <v>41111895</v>
      </c>
      <c r="H275" t="s">
        <v>139</v>
      </c>
      <c r="I275" s="1">
        <v>45775</v>
      </c>
      <c r="J275" s="4">
        <v>6379080</v>
      </c>
    </row>
    <row r="276" spans="1:11" hidden="1" outlineLevel="2" x14ac:dyDescent="0.35">
      <c r="A276" t="s">
        <v>131</v>
      </c>
      <c r="B276" s="1">
        <v>45747</v>
      </c>
      <c r="C276" t="s">
        <v>325</v>
      </c>
      <c r="D276" t="s">
        <v>325</v>
      </c>
      <c r="F276" t="str">
        <f t="shared" si="15"/>
        <v>41110000</v>
      </c>
      <c r="G276" t="str">
        <f>"41111000"</f>
        <v>41111000</v>
      </c>
      <c r="H276" t="s">
        <v>326</v>
      </c>
      <c r="I276" s="1">
        <v>45747</v>
      </c>
      <c r="K276" s="4">
        <v>214760</v>
      </c>
    </row>
    <row r="277" spans="1:11" hidden="1" outlineLevel="2" x14ac:dyDescent="0.35">
      <c r="A277" t="s">
        <v>131</v>
      </c>
      <c r="B277" s="1">
        <v>45747</v>
      </c>
      <c r="C277" t="s">
        <v>327</v>
      </c>
      <c r="D277" t="s">
        <v>327</v>
      </c>
      <c r="F277" t="str">
        <f t="shared" si="15"/>
        <v>41110000</v>
      </c>
      <c r="G277" t="str">
        <f>"41100653"</f>
        <v>41100653</v>
      </c>
      <c r="H277" t="s">
        <v>146</v>
      </c>
      <c r="I277" s="1">
        <v>45777</v>
      </c>
      <c r="J277" s="4">
        <v>295000</v>
      </c>
    </row>
    <row r="278" spans="1:11" hidden="1" outlineLevel="2" x14ac:dyDescent="0.35">
      <c r="A278" t="s">
        <v>131</v>
      </c>
      <c r="B278" s="1">
        <v>45747</v>
      </c>
      <c r="C278" t="s">
        <v>328</v>
      </c>
      <c r="D278" t="s">
        <v>328</v>
      </c>
      <c r="F278" t="str">
        <f t="shared" si="15"/>
        <v>41110000</v>
      </c>
      <c r="G278" t="str">
        <f>"41111375"</f>
        <v>41111375</v>
      </c>
      <c r="H278" t="s">
        <v>148</v>
      </c>
      <c r="I278" s="1">
        <v>45747</v>
      </c>
      <c r="J278" s="4">
        <v>1277940</v>
      </c>
    </row>
    <row r="279" spans="1:11" hidden="1" outlineLevel="2" x14ac:dyDescent="0.35">
      <c r="A279" t="s">
        <v>131</v>
      </c>
      <c r="B279" s="1">
        <v>45747</v>
      </c>
      <c r="C279" t="s">
        <v>329</v>
      </c>
      <c r="D279" t="s">
        <v>329</v>
      </c>
      <c r="F279" t="str">
        <f t="shared" si="15"/>
        <v>41110000</v>
      </c>
      <c r="G279" t="str">
        <f>"41111992"</f>
        <v>41111992</v>
      </c>
      <c r="H279" t="s">
        <v>154</v>
      </c>
      <c r="I279" s="1">
        <v>45747</v>
      </c>
      <c r="J279" s="4">
        <v>778800</v>
      </c>
    </row>
    <row r="280" spans="1:11" hidden="1" outlineLevel="2" x14ac:dyDescent="0.35">
      <c r="A280" t="s">
        <v>131</v>
      </c>
      <c r="B280" s="1">
        <v>45747</v>
      </c>
      <c r="C280" t="s">
        <v>330</v>
      </c>
      <c r="D280" t="s">
        <v>330</v>
      </c>
      <c r="F280" t="str">
        <f t="shared" si="15"/>
        <v>41110000</v>
      </c>
      <c r="G280" t="str">
        <f>"41111992"</f>
        <v>41111992</v>
      </c>
      <c r="H280" t="s">
        <v>154</v>
      </c>
      <c r="I280" s="1">
        <v>45747</v>
      </c>
      <c r="J280" s="4">
        <v>778800</v>
      </c>
    </row>
    <row r="281" spans="1:11" hidden="1" outlineLevel="2" x14ac:dyDescent="0.35">
      <c r="A281" t="s">
        <v>131</v>
      </c>
      <c r="B281" s="1">
        <v>45747</v>
      </c>
      <c r="C281" t="s">
        <v>331</v>
      </c>
      <c r="D281" t="s">
        <v>331</v>
      </c>
      <c r="F281" t="str">
        <f t="shared" si="15"/>
        <v>41110000</v>
      </c>
      <c r="G281" t="str">
        <f>"41111478"</f>
        <v>41111478</v>
      </c>
      <c r="H281" t="s">
        <v>180</v>
      </c>
      <c r="I281" s="1">
        <v>45777</v>
      </c>
      <c r="J281" s="4">
        <v>1876200</v>
      </c>
    </row>
    <row r="282" spans="1:11" hidden="1" outlineLevel="2" x14ac:dyDescent="0.35">
      <c r="A282" t="s">
        <v>131</v>
      </c>
      <c r="B282" s="1">
        <v>45747</v>
      </c>
      <c r="C282" t="s">
        <v>332</v>
      </c>
      <c r="D282" t="s">
        <v>332</v>
      </c>
      <c r="F282" t="str">
        <f t="shared" si="15"/>
        <v>41110000</v>
      </c>
      <c r="G282" t="str">
        <f>"41111375"</f>
        <v>41111375</v>
      </c>
      <c r="H282" t="s">
        <v>148</v>
      </c>
      <c r="I282" s="1">
        <v>45747</v>
      </c>
      <c r="J282" s="4">
        <v>1922220</v>
      </c>
    </row>
    <row r="283" spans="1:11" hidden="1" outlineLevel="2" x14ac:dyDescent="0.35">
      <c r="A283" t="s">
        <v>131</v>
      </c>
      <c r="B283" s="1">
        <v>45747</v>
      </c>
      <c r="C283" t="s">
        <v>333</v>
      </c>
      <c r="D283" t="s">
        <v>333</v>
      </c>
      <c r="F283" t="str">
        <f t="shared" si="15"/>
        <v>41110000</v>
      </c>
      <c r="G283" t="str">
        <f>"41111992"</f>
        <v>41111992</v>
      </c>
      <c r="H283" t="s">
        <v>154</v>
      </c>
      <c r="I283" s="1">
        <v>45747</v>
      </c>
      <c r="J283" s="4">
        <v>2336400</v>
      </c>
    </row>
    <row r="284" spans="1:11" hidden="1" outlineLevel="2" x14ac:dyDescent="0.35">
      <c r="A284" t="s">
        <v>131</v>
      </c>
      <c r="B284" s="1">
        <v>45747</v>
      </c>
      <c r="C284" t="s">
        <v>334</v>
      </c>
      <c r="D284" t="s">
        <v>334</v>
      </c>
      <c r="F284" t="str">
        <f t="shared" si="15"/>
        <v>41110000</v>
      </c>
      <c r="G284" t="str">
        <f>"41111887"</f>
        <v>41111887</v>
      </c>
      <c r="H284" t="s">
        <v>307</v>
      </c>
      <c r="I284" s="1">
        <v>45777</v>
      </c>
      <c r="J284" s="4">
        <v>292640</v>
      </c>
    </row>
    <row r="285" spans="1:11" outlineLevel="1" collapsed="1" x14ac:dyDescent="0.35">
      <c r="B285" s="1"/>
      <c r="F285" s="3" t="s">
        <v>6533</v>
      </c>
      <c r="I285" s="1"/>
      <c r="J285" s="4">
        <f>SUBTOTAL(9,J16:J284)</f>
        <v>176144559</v>
      </c>
      <c r="K285" s="4">
        <f>SUBTOTAL(9,K16:K284)</f>
        <v>149411726</v>
      </c>
    </row>
    <row r="286" spans="1:11" hidden="1" outlineLevel="2" x14ac:dyDescent="0.35">
      <c r="A286" t="s">
        <v>101</v>
      </c>
      <c r="B286" s="1">
        <v>45717</v>
      </c>
      <c r="C286" t="str">
        <f>"8"</f>
        <v>8</v>
      </c>
      <c r="F286" t="str">
        <f>"41810000"</f>
        <v>41810000</v>
      </c>
      <c r="G286" t="s">
        <v>105</v>
      </c>
      <c r="H286" t="s">
        <v>106</v>
      </c>
      <c r="I286" s="1">
        <v>45716</v>
      </c>
      <c r="J286" s="4">
        <v>12673376</v>
      </c>
    </row>
    <row r="287" spans="1:11" hidden="1" outlineLevel="2" x14ac:dyDescent="0.35">
      <c r="A287" t="s">
        <v>101</v>
      </c>
      <c r="B287" s="1">
        <v>45747</v>
      </c>
      <c r="C287" t="str">
        <f>"9"</f>
        <v>9</v>
      </c>
      <c r="F287" t="str">
        <f>"41810000"</f>
        <v>41810000</v>
      </c>
      <c r="G287" t="s">
        <v>105</v>
      </c>
      <c r="H287" t="s">
        <v>121</v>
      </c>
      <c r="I287" s="1">
        <v>45747</v>
      </c>
      <c r="J287" s="4">
        <v>-40613376</v>
      </c>
    </row>
    <row r="288" spans="1:11" outlineLevel="1" collapsed="1" x14ac:dyDescent="0.35">
      <c r="B288" s="1"/>
      <c r="F288" s="3" t="s">
        <v>6537</v>
      </c>
      <c r="I288" s="1"/>
      <c r="J288" s="4">
        <f>SUBTOTAL(9,J286:J287)</f>
        <v>-27940000</v>
      </c>
      <c r="K288" s="4">
        <f>SUBTOTAL(9,K286:K287)</f>
        <v>0</v>
      </c>
    </row>
    <row r="289" spans="1:11" hidden="1" outlineLevel="2" x14ac:dyDescent="0.35">
      <c r="A289" t="s">
        <v>101</v>
      </c>
      <c r="B289" s="1">
        <v>45717</v>
      </c>
      <c r="C289" t="str">
        <f>"4"</f>
        <v>4</v>
      </c>
      <c r="F289" t="str">
        <f>"44210000"</f>
        <v>44210000</v>
      </c>
      <c r="H289" t="s">
        <v>102</v>
      </c>
      <c r="K289" s="4">
        <v>60442500</v>
      </c>
    </row>
    <row r="290" spans="1:11" outlineLevel="1" collapsed="1" x14ac:dyDescent="0.35">
      <c r="B290" s="1"/>
      <c r="F290" s="3" t="s">
        <v>6730</v>
      </c>
      <c r="J290" s="4">
        <f>SUBTOTAL(9,J289:J289)</f>
        <v>0</v>
      </c>
      <c r="K290" s="4">
        <f>SUBTOTAL(9,K289:K289)</f>
        <v>60442500</v>
      </c>
    </row>
    <row r="291" spans="1:11" hidden="1" outlineLevel="2" x14ac:dyDescent="0.35">
      <c r="A291" t="s">
        <v>101</v>
      </c>
      <c r="B291" s="1">
        <v>45747</v>
      </c>
      <c r="C291" t="str">
        <f>"7"</f>
        <v>7</v>
      </c>
      <c r="F291" t="str">
        <f t="shared" ref="F291:F354" si="16">"44320000"</f>
        <v>44320000</v>
      </c>
      <c r="H291" t="s">
        <v>120</v>
      </c>
      <c r="J291" s="4">
        <v>21173526</v>
      </c>
    </row>
    <row r="292" spans="1:11" hidden="1" outlineLevel="2" x14ac:dyDescent="0.35">
      <c r="A292" t="s">
        <v>131</v>
      </c>
      <c r="B292" s="1">
        <v>45717</v>
      </c>
      <c r="C292" t="s">
        <v>132</v>
      </c>
      <c r="D292" t="s">
        <v>132</v>
      </c>
      <c r="F292" t="str">
        <f t="shared" si="16"/>
        <v>44320000</v>
      </c>
      <c r="H292" t="s">
        <v>133</v>
      </c>
      <c r="K292" s="4">
        <v>47520</v>
      </c>
    </row>
    <row r="293" spans="1:11" hidden="1" outlineLevel="2" x14ac:dyDescent="0.35">
      <c r="A293" t="s">
        <v>131</v>
      </c>
      <c r="B293" s="1">
        <v>45717</v>
      </c>
      <c r="C293" t="s">
        <v>132</v>
      </c>
      <c r="D293" t="s">
        <v>132</v>
      </c>
      <c r="F293" t="str">
        <f t="shared" si="16"/>
        <v>44320000</v>
      </c>
      <c r="H293" t="s">
        <v>134</v>
      </c>
      <c r="K293" s="4">
        <v>-47520</v>
      </c>
    </row>
    <row r="294" spans="1:11" hidden="1" outlineLevel="2" x14ac:dyDescent="0.35">
      <c r="A294" t="s">
        <v>131</v>
      </c>
      <c r="B294" s="1">
        <v>45717</v>
      </c>
      <c r="C294" t="s">
        <v>135</v>
      </c>
      <c r="D294" t="s">
        <v>135</v>
      </c>
      <c r="F294" t="str">
        <f t="shared" si="16"/>
        <v>44320000</v>
      </c>
      <c r="H294" t="s">
        <v>136</v>
      </c>
      <c r="K294" s="4">
        <v>-47520</v>
      </c>
    </row>
    <row r="295" spans="1:11" hidden="1" outlineLevel="2" x14ac:dyDescent="0.35">
      <c r="A295" t="s">
        <v>131</v>
      </c>
      <c r="B295" s="1">
        <v>45717</v>
      </c>
      <c r="C295" t="s">
        <v>135</v>
      </c>
      <c r="D295" t="s">
        <v>135</v>
      </c>
      <c r="F295" t="str">
        <f t="shared" si="16"/>
        <v>44320000</v>
      </c>
      <c r="H295" t="s">
        <v>137</v>
      </c>
      <c r="K295" s="4">
        <v>47520</v>
      </c>
    </row>
    <row r="296" spans="1:11" hidden="1" outlineLevel="2" x14ac:dyDescent="0.35">
      <c r="A296" t="s">
        <v>131</v>
      </c>
      <c r="B296" s="1">
        <v>45718</v>
      </c>
      <c r="C296" t="s">
        <v>138</v>
      </c>
      <c r="D296" t="s">
        <v>138</v>
      </c>
      <c r="F296" t="str">
        <f t="shared" si="16"/>
        <v>44320000</v>
      </c>
      <c r="H296" t="s">
        <v>139</v>
      </c>
      <c r="I296" s="1">
        <v>45749</v>
      </c>
      <c r="K296" s="4">
        <v>964800</v>
      </c>
    </row>
    <row r="297" spans="1:11" hidden="1" outlineLevel="2" x14ac:dyDescent="0.35">
      <c r="A297" t="s">
        <v>131</v>
      </c>
      <c r="B297" s="1">
        <v>45718</v>
      </c>
      <c r="C297" t="s">
        <v>140</v>
      </c>
      <c r="D297" t="s">
        <v>140</v>
      </c>
      <c r="F297" t="str">
        <f t="shared" si="16"/>
        <v>44320000</v>
      </c>
      <c r="H297" t="s">
        <v>139</v>
      </c>
      <c r="I297" s="1">
        <v>45749</v>
      </c>
      <c r="K297" s="4">
        <v>916560</v>
      </c>
    </row>
    <row r="298" spans="1:11" hidden="1" outlineLevel="2" x14ac:dyDescent="0.35">
      <c r="A298" t="s">
        <v>131</v>
      </c>
      <c r="B298" s="1">
        <v>45720</v>
      </c>
      <c r="C298" t="s">
        <v>141</v>
      </c>
      <c r="D298" t="s">
        <v>141</v>
      </c>
      <c r="F298" t="str">
        <f t="shared" si="16"/>
        <v>44320000</v>
      </c>
      <c r="H298" t="s">
        <v>142</v>
      </c>
      <c r="I298" s="1">
        <v>45720</v>
      </c>
      <c r="J298" s="4">
        <v>27000</v>
      </c>
    </row>
    <row r="299" spans="1:11" hidden="1" outlineLevel="2" x14ac:dyDescent="0.35">
      <c r="A299" t="s">
        <v>131</v>
      </c>
      <c r="B299" s="1">
        <v>45720</v>
      </c>
      <c r="C299" t="s">
        <v>143</v>
      </c>
      <c r="D299" t="s">
        <v>143</v>
      </c>
      <c r="F299" t="str">
        <f t="shared" si="16"/>
        <v>44320000</v>
      </c>
      <c r="H299" t="s">
        <v>144</v>
      </c>
      <c r="I299" s="1">
        <v>45720</v>
      </c>
      <c r="K299" s="4">
        <v>23760</v>
      </c>
    </row>
    <row r="300" spans="1:11" hidden="1" outlineLevel="2" x14ac:dyDescent="0.35">
      <c r="A300" t="s">
        <v>131</v>
      </c>
      <c r="B300" s="1">
        <v>45721</v>
      </c>
      <c r="C300" t="s">
        <v>145</v>
      </c>
      <c r="D300" t="s">
        <v>145</v>
      </c>
      <c r="F300" t="str">
        <f t="shared" si="16"/>
        <v>44320000</v>
      </c>
      <c r="H300" t="s">
        <v>146</v>
      </c>
      <c r="I300" s="1">
        <v>45752</v>
      </c>
      <c r="K300" s="4">
        <v>23760</v>
      </c>
    </row>
    <row r="301" spans="1:11" hidden="1" outlineLevel="2" x14ac:dyDescent="0.35">
      <c r="A301" t="s">
        <v>131</v>
      </c>
      <c r="B301" s="1">
        <v>45721</v>
      </c>
      <c r="C301" t="s">
        <v>147</v>
      </c>
      <c r="D301" t="s">
        <v>147</v>
      </c>
      <c r="F301" t="str">
        <f t="shared" si="16"/>
        <v>44320000</v>
      </c>
      <c r="H301" t="s">
        <v>148</v>
      </c>
      <c r="I301" s="1">
        <v>45721</v>
      </c>
      <c r="K301" s="4">
        <v>89100</v>
      </c>
    </row>
    <row r="302" spans="1:11" hidden="1" outlineLevel="2" x14ac:dyDescent="0.35">
      <c r="A302" t="s">
        <v>131</v>
      </c>
      <c r="B302" s="1">
        <v>45721</v>
      </c>
      <c r="C302" t="s">
        <v>149</v>
      </c>
      <c r="D302" t="s">
        <v>149</v>
      </c>
      <c r="F302" t="str">
        <f t="shared" si="16"/>
        <v>44320000</v>
      </c>
      <c r="H302" t="s">
        <v>150</v>
      </c>
      <c r="K302" s="4">
        <v>36000</v>
      </c>
    </row>
    <row r="303" spans="1:11" hidden="1" outlineLevel="2" x14ac:dyDescent="0.35">
      <c r="A303" t="s">
        <v>131</v>
      </c>
      <c r="B303" s="1">
        <v>45721</v>
      </c>
      <c r="C303" t="s">
        <v>151</v>
      </c>
      <c r="D303" t="s">
        <v>151</v>
      </c>
      <c r="F303" t="str">
        <f t="shared" si="16"/>
        <v>44320000</v>
      </c>
      <c r="H303" t="s">
        <v>148</v>
      </c>
      <c r="I303" s="1">
        <v>45721</v>
      </c>
      <c r="K303" s="4">
        <v>71640</v>
      </c>
    </row>
    <row r="304" spans="1:11" hidden="1" outlineLevel="2" x14ac:dyDescent="0.35">
      <c r="A304" t="s">
        <v>131</v>
      </c>
      <c r="B304" s="1">
        <v>45721</v>
      </c>
      <c r="C304" t="s">
        <v>152</v>
      </c>
      <c r="D304" t="s">
        <v>152</v>
      </c>
      <c r="F304" t="str">
        <f t="shared" si="16"/>
        <v>44320000</v>
      </c>
      <c r="H304" t="s">
        <v>153</v>
      </c>
      <c r="K304" s="4">
        <v>237600</v>
      </c>
    </row>
    <row r="305" spans="1:11" hidden="1" outlineLevel="2" x14ac:dyDescent="0.35">
      <c r="A305" t="s">
        <v>131</v>
      </c>
      <c r="B305" s="1">
        <v>45721</v>
      </c>
      <c r="C305" t="s">
        <v>152</v>
      </c>
      <c r="D305" t="s">
        <v>152</v>
      </c>
      <c r="F305" t="str">
        <f t="shared" si="16"/>
        <v>44320000</v>
      </c>
      <c r="H305" t="s">
        <v>154</v>
      </c>
      <c r="I305" s="1">
        <v>45721</v>
      </c>
      <c r="K305" s="4">
        <v>237600</v>
      </c>
    </row>
    <row r="306" spans="1:11" hidden="1" outlineLevel="2" x14ac:dyDescent="0.35">
      <c r="A306" t="s">
        <v>131</v>
      </c>
      <c r="B306" s="1">
        <v>45721</v>
      </c>
      <c r="C306" t="s">
        <v>152</v>
      </c>
      <c r="D306" t="s">
        <v>152</v>
      </c>
      <c r="F306" t="str">
        <f t="shared" si="16"/>
        <v>44320000</v>
      </c>
      <c r="H306" t="s">
        <v>155</v>
      </c>
      <c r="I306" s="1">
        <v>45721</v>
      </c>
      <c r="K306" s="4">
        <v>-237600</v>
      </c>
    </row>
    <row r="307" spans="1:11" hidden="1" outlineLevel="2" x14ac:dyDescent="0.35">
      <c r="A307" t="s">
        <v>131</v>
      </c>
      <c r="B307" s="1">
        <v>45722</v>
      </c>
      <c r="C307" t="s">
        <v>156</v>
      </c>
      <c r="D307" t="s">
        <v>156</v>
      </c>
      <c r="F307" t="str">
        <f t="shared" si="16"/>
        <v>44320000</v>
      </c>
      <c r="H307" t="s">
        <v>157</v>
      </c>
      <c r="I307" s="1">
        <v>45722</v>
      </c>
      <c r="K307" s="4">
        <v>95040</v>
      </c>
    </row>
    <row r="308" spans="1:11" hidden="1" outlineLevel="2" x14ac:dyDescent="0.35">
      <c r="A308" t="s">
        <v>131</v>
      </c>
      <c r="B308" s="1">
        <v>45722</v>
      </c>
      <c r="C308" t="s">
        <v>158</v>
      </c>
      <c r="D308" t="s">
        <v>158</v>
      </c>
      <c r="F308" t="str">
        <f t="shared" si="16"/>
        <v>44320000</v>
      </c>
      <c r="H308" t="s">
        <v>159</v>
      </c>
      <c r="I308" s="1">
        <v>45722</v>
      </c>
      <c r="K308" s="4">
        <v>108000</v>
      </c>
    </row>
    <row r="309" spans="1:11" hidden="1" outlineLevel="2" x14ac:dyDescent="0.35">
      <c r="A309" t="s">
        <v>131</v>
      </c>
      <c r="B309" s="1">
        <v>45722</v>
      </c>
      <c r="C309" t="s">
        <v>160</v>
      </c>
      <c r="D309" t="s">
        <v>160</v>
      </c>
      <c r="F309" t="str">
        <f t="shared" si="16"/>
        <v>44320000</v>
      </c>
      <c r="H309" t="s">
        <v>146</v>
      </c>
      <c r="I309" s="1">
        <v>45753</v>
      </c>
      <c r="K309" s="4">
        <v>23760</v>
      </c>
    </row>
    <row r="310" spans="1:11" hidden="1" outlineLevel="2" x14ac:dyDescent="0.35">
      <c r="A310" t="s">
        <v>131</v>
      </c>
      <c r="B310" s="1">
        <v>45722</v>
      </c>
      <c r="C310" t="s">
        <v>161</v>
      </c>
      <c r="D310" t="s">
        <v>161</v>
      </c>
      <c r="F310" t="str">
        <f t="shared" si="16"/>
        <v>44320000</v>
      </c>
      <c r="H310" t="s">
        <v>146</v>
      </c>
      <c r="I310" s="1">
        <v>45753</v>
      </c>
      <c r="K310" s="4">
        <v>23760</v>
      </c>
    </row>
    <row r="311" spans="1:11" hidden="1" outlineLevel="2" x14ac:dyDescent="0.35">
      <c r="A311" t="s">
        <v>131</v>
      </c>
      <c r="B311" s="1">
        <v>45722</v>
      </c>
      <c r="C311" t="s">
        <v>162</v>
      </c>
      <c r="D311" t="s">
        <v>162</v>
      </c>
      <c r="F311" t="str">
        <f t="shared" si="16"/>
        <v>44320000</v>
      </c>
      <c r="H311" t="s">
        <v>163</v>
      </c>
      <c r="I311" s="1">
        <v>45777</v>
      </c>
      <c r="K311" s="4">
        <v>11880</v>
      </c>
    </row>
    <row r="312" spans="1:11" hidden="1" outlineLevel="2" x14ac:dyDescent="0.35">
      <c r="A312" t="s">
        <v>131</v>
      </c>
      <c r="B312" s="1">
        <v>45722</v>
      </c>
      <c r="C312" t="s">
        <v>164</v>
      </c>
      <c r="D312" t="s">
        <v>164</v>
      </c>
      <c r="F312" t="str">
        <f t="shared" si="16"/>
        <v>44320000</v>
      </c>
      <c r="H312" t="s">
        <v>165</v>
      </c>
      <c r="I312" s="1">
        <v>45722</v>
      </c>
      <c r="K312" s="4">
        <v>36180</v>
      </c>
    </row>
    <row r="313" spans="1:11" hidden="1" outlineLevel="2" x14ac:dyDescent="0.35">
      <c r="A313" t="s">
        <v>131</v>
      </c>
      <c r="B313" s="1">
        <v>45722</v>
      </c>
      <c r="C313" t="s">
        <v>166</v>
      </c>
      <c r="D313" t="s">
        <v>166</v>
      </c>
      <c r="F313" t="str">
        <f t="shared" si="16"/>
        <v>44320000</v>
      </c>
      <c r="H313" t="s">
        <v>167</v>
      </c>
      <c r="I313" s="1">
        <v>45722</v>
      </c>
      <c r="K313" s="4">
        <v>23760</v>
      </c>
    </row>
    <row r="314" spans="1:11" hidden="1" outlineLevel="2" x14ac:dyDescent="0.35">
      <c r="A314" t="s">
        <v>131</v>
      </c>
      <c r="B314" s="1">
        <v>45722</v>
      </c>
      <c r="C314" t="s">
        <v>168</v>
      </c>
      <c r="D314" t="s">
        <v>168</v>
      </c>
      <c r="F314" t="str">
        <f t="shared" si="16"/>
        <v>44320000</v>
      </c>
      <c r="H314" t="s">
        <v>144</v>
      </c>
      <c r="I314" s="1">
        <v>45722</v>
      </c>
      <c r="K314" s="4">
        <v>23760</v>
      </c>
    </row>
    <row r="315" spans="1:11" hidden="1" outlineLevel="2" x14ac:dyDescent="0.35">
      <c r="A315" t="s">
        <v>131</v>
      </c>
      <c r="B315" s="1">
        <v>45723</v>
      </c>
      <c r="C315" t="s">
        <v>169</v>
      </c>
      <c r="D315" t="s">
        <v>169</v>
      </c>
      <c r="F315" t="str">
        <f t="shared" si="16"/>
        <v>44320000</v>
      </c>
      <c r="H315" t="s">
        <v>170</v>
      </c>
      <c r="I315" s="1">
        <v>45752</v>
      </c>
      <c r="K315" s="4">
        <v>285120</v>
      </c>
    </row>
    <row r="316" spans="1:11" hidden="1" outlineLevel="2" x14ac:dyDescent="0.35">
      <c r="A316" t="s">
        <v>131</v>
      </c>
      <c r="B316" s="1">
        <v>45723</v>
      </c>
      <c r="C316" t="s">
        <v>171</v>
      </c>
      <c r="D316" t="s">
        <v>171</v>
      </c>
      <c r="F316" t="str">
        <f t="shared" si="16"/>
        <v>44320000</v>
      </c>
      <c r="H316" t="s">
        <v>159</v>
      </c>
      <c r="I316" s="1">
        <v>45723</v>
      </c>
      <c r="K316" s="4">
        <v>108000</v>
      </c>
    </row>
    <row r="317" spans="1:11" hidden="1" outlineLevel="2" x14ac:dyDescent="0.35">
      <c r="A317" t="s">
        <v>131</v>
      </c>
      <c r="B317" s="1">
        <v>45723</v>
      </c>
      <c r="C317" t="s">
        <v>172</v>
      </c>
      <c r="D317" t="s">
        <v>172</v>
      </c>
      <c r="F317" t="str">
        <f t="shared" si="16"/>
        <v>44320000</v>
      </c>
      <c r="H317" t="s">
        <v>146</v>
      </c>
      <c r="I317" s="1">
        <v>45754</v>
      </c>
      <c r="K317" s="4">
        <v>23760</v>
      </c>
    </row>
    <row r="318" spans="1:11" hidden="1" outlineLevel="2" x14ac:dyDescent="0.35">
      <c r="A318" t="s">
        <v>131</v>
      </c>
      <c r="B318" s="1">
        <v>45723</v>
      </c>
      <c r="C318" t="s">
        <v>173</v>
      </c>
      <c r="D318" t="s">
        <v>173</v>
      </c>
      <c r="F318" t="str">
        <f t="shared" si="16"/>
        <v>44320000</v>
      </c>
      <c r="H318" t="s">
        <v>146</v>
      </c>
      <c r="I318" s="1">
        <v>45754</v>
      </c>
      <c r="K318" s="4">
        <v>36000</v>
      </c>
    </row>
    <row r="319" spans="1:11" hidden="1" outlineLevel="2" x14ac:dyDescent="0.35">
      <c r="A319" t="s">
        <v>131</v>
      </c>
      <c r="B319" s="1">
        <v>45723</v>
      </c>
      <c r="C319" t="s">
        <v>174</v>
      </c>
      <c r="D319" t="s">
        <v>174</v>
      </c>
      <c r="F319" t="str">
        <f t="shared" si="16"/>
        <v>44320000</v>
      </c>
      <c r="H319" t="s">
        <v>175</v>
      </c>
      <c r="I319" s="1">
        <v>45754</v>
      </c>
      <c r="K319" s="4">
        <v>237600</v>
      </c>
    </row>
    <row r="320" spans="1:11" hidden="1" outlineLevel="2" x14ac:dyDescent="0.35">
      <c r="A320" t="s">
        <v>131</v>
      </c>
      <c r="B320" s="1">
        <v>45726</v>
      </c>
      <c r="C320" t="s">
        <v>176</v>
      </c>
      <c r="D320" t="s">
        <v>176</v>
      </c>
      <c r="F320" t="str">
        <f t="shared" si="16"/>
        <v>44320000</v>
      </c>
      <c r="H320" t="s">
        <v>144</v>
      </c>
      <c r="I320" s="1">
        <v>45726</v>
      </c>
      <c r="K320" s="4">
        <v>95040</v>
      </c>
    </row>
    <row r="321" spans="1:11" hidden="1" outlineLevel="2" x14ac:dyDescent="0.35">
      <c r="A321" t="s">
        <v>131</v>
      </c>
      <c r="B321" s="1">
        <v>45726</v>
      </c>
      <c r="C321" t="s">
        <v>177</v>
      </c>
      <c r="D321" t="s">
        <v>177</v>
      </c>
      <c r="F321" t="str">
        <f t="shared" si="16"/>
        <v>44320000</v>
      </c>
      <c r="H321" t="s">
        <v>159</v>
      </c>
      <c r="I321" s="1">
        <v>45757</v>
      </c>
      <c r="K321" s="4">
        <v>36180</v>
      </c>
    </row>
    <row r="322" spans="1:11" hidden="1" outlineLevel="2" x14ac:dyDescent="0.35">
      <c r="A322" t="s">
        <v>131</v>
      </c>
      <c r="B322" s="1">
        <v>45726</v>
      </c>
      <c r="C322" t="s">
        <v>178</v>
      </c>
      <c r="D322" t="s">
        <v>178</v>
      </c>
      <c r="F322" t="str">
        <f t="shared" si="16"/>
        <v>44320000</v>
      </c>
      <c r="H322" t="s">
        <v>148</v>
      </c>
      <c r="I322" s="1">
        <v>45726</v>
      </c>
      <c r="K322" s="4">
        <v>64800</v>
      </c>
    </row>
    <row r="323" spans="1:11" hidden="1" outlineLevel="2" x14ac:dyDescent="0.35">
      <c r="A323" t="s">
        <v>131</v>
      </c>
      <c r="B323" s="1">
        <v>45726</v>
      </c>
      <c r="C323" t="s">
        <v>179</v>
      </c>
      <c r="D323" t="s">
        <v>179</v>
      </c>
      <c r="F323" t="str">
        <f t="shared" si="16"/>
        <v>44320000</v>
      </c>
      <c r="H323" t="s">
        <v>180</v>
      </c>
      <c r="I323" s="1">
        <v>45757</v>
      </c>
      <c r="K323" s="4">
        <v>337680</v>
      </c>
    </row>
    <row r="324" spans="1:11" hidden="1" outlineLevel="2" x14ac:dyDescent="0.35">
      <c r="A324" t="s">
        <v>131</v>
      </c>
      <c r="B324" s="1">
        <v>45726</v>
      </c>
      <c r="C324" t="s">
        <v>181</v>
      </c>
      <c r="D324" t="s">
        <v>181</v>
      </c>
      <c r="F324" t="str">
        <f t="shared" si="16"/>
        <v>44320000</v>
      </c>
      <c r="H324" t="s">
        <v>180</v>
      </c>
      <c r="I324" s="1">
        <v>45757</v>
      </c>
      <c r="K324" s="4">
        <v>337680</v>
      </c>
    </row>
    <row r="325" spans="1:11" hidden="1" outlineLevel="2" x14ac:dyDescent="0.35">
      <c r="A325" t="s">
        <v>131</v>
      </c>
      <c r="B325" s="1">
        <v>45726</v>
      </c>
      <c r="C325" t="s">
        <v>182</v>
      </c>
      <c r="D325" t="s">
        <v>182</v>
      </c>
      <c r="F325" t="str">
        <f t="shared" si="16"/>
        <v>44320000</v>
      </c>
      <c r="H325" t="s">
        <v>183</v>
      </c>
      <c r="I325" s="1">
        <v>45726</v>
      </c>
      <c r="K325" s="4">
        <v>35640</v>
      </c>
    </row>
    <row r="326" spans="1:11" hidden="1" outlineLevel="2" x14ac:dyDescent="0.35">
      <c r="A326" t="s">
        <v>131</v>
      </c>
      <c r="B326" s="1">
        <v>45727</v>
      </c>
      <c r="C326" t="s">
        <v>184</v>
      </c>
      <c r="D326" t="s">
        <v>184</v>
      </c>
      <c r="F326" t="str">
        <f t="shared" si="16"/>
        <v>44320000</v>
      </c>
      <c r="H326" t="s">
        <v>185</v>
      </c>
      <c r="I326" s="1">
        <v>45727</v>
      </c>
      <c r="J326" s="4">
        <v>23760</v>
      </c>
    </row>
    <row r="327" spans="1:11" hidden="1" outlineLevel="2" x14ac:dyDescent="0.35">
      <c r="A327" t="s">
        <v>131</v>
      </c>
      <c r="B327" s="1">
        <v>45727</v>
      </c>
      <c r="C327" t="s">
        <v>186</v>
      </c>
      <c r="D327" t="s">
        <v>186</v>
      </c>
      <c r="F327" t="str">
        <f t="shared" si="16"/>
        <v>44320000</v>
      </c>
      <c r="H327" t="s">
        <v>154</v>
      </c>
      <c r="I327" s="1">
        <v>45727</v>
      </c>
      <c r="K327" s="4">
        <v>415800</v>
      </c>
    </row>
    <row r="328" spans="1:11" hidden="1" outlineLevel="2" x14ac:dyDescent="0.35">
      <c r="A328" t="s">
        <v>131</v>
      </c>
      <c r="B328" s="1">
        <v>45727</v>
      </c>
      <c r="C328" t="s">
        <v>187</v>
      </c>
      <c r="D328" t="s">
        <v>187</v>
      </c>
      <c r="F328" t="str">
        <f t="shared" si="16"/>
        <v>44320000</v>
      </c>
      <c r="H328" t="s">
        <v>188</v>
      </c>
      <c r="I328" s="1">
        <v>45727</v>
      </c>
      <c r="K328" s="4">
        <v>54000</v>
      </c>
    </row>
    <row r="329" spans="1:11" hidden="1" outlineLevel="2" x14ac:dyDescent="0.35">
      <c r="A329" t="s">
        <v>131</v>
      </c>
      <c r="B329" s="1">
        <v>45727</v>
      </c>
      <c r="C329" t="s">
        <v>189</v>
      </c>
      <c r="D329" t="s">
        <v>189</v>
      </c>
      <c r="F329" t="str">
        <f t="shared" si="16"/>
        <v>44320000</v>
      </c>
      <c r="H329" t="s">
        <v>188</v>
      </c>
      <c r="I329" s="1">
        <v>45727</v>
      </c>
      <c r="K329" s="4">
        <v>27000</v>
      </c>
    </row>
    <row r="330" spans="1:11" hidden="1" outlineLevel="2" x14ac:dyDescent="0.35">
      <c r="A330" t="s">
        <v>131</v>
      </c>
      <c r="B330" s="1">
        <v>45727</v>
      </c>
      <c r="C330" t="s">
        <v>190</v>
      </c>
      <c r="D330" t="s">
        <v>190</v>
      </c>
      <c r="F330" t="str">
        <f t="shared" si="16"/>
        <v>44320000</v>
      </c>
      <c r="H330" t="s">
        <v>159</v>
      </c>
      <c r="I330" s="1">
        <v>45758</v>
      </c>
      <c r="K330" s="4">
        <v>96480</v>
      </c>
    </row>
    <row r="331" spans="1:11" hidden="1" outlineLevel="2" x14ac:dyDescent="0.35">
      <c r="A331" t="s">
        <v>131</v>
      </c>
      <c r="B331" s="1">
        <v>45727</v>
      </c>
      <c r="C331" t="s">
        <v>191</v>
      </c>
      <c r="D331" t="s">
        <v>191</v>
      </c>
      <c r="F331" t="str">
        <f t="shared" si="16"/>
        <v>44320000</v>
      </c>
      <c r="H331" t="s">
        <v>163</v>
      </c>
      <c r="I331" s="1">
        <v>45777</v>
      </c>
      <c r="K331" s="4">
        <v>106920</v>
      </c>
    </row>
    <row r="332" spans="1:11" hidden="1" outlineLevel="2" x14ac:dyDescent="0.35">
      <c r="A332" t="s">
        <v>131</v>
      </c>
      <c r="B332" s="1">
        <v>45727</v>
      </c>
      <c r="C332" t="s">
        <v>192</v>
      </c>
      <c r="D332" t="s">
        <v>192</v>
      </c>
      <c r="F332" t="str">
        <f t="shared" si="16"/>
        <v>44320000</v>
      </c>
      <c r="H332" t="s">
        <v>163</v>
      </c>
      <c r="I332" s="1">
        <v>45777</v>
      </c>
      <c r="K332" s="4">
        <v>59400</v>
      </c>
    </row>
    <row r="333" spans="1:11" hidden="1" outlineLevel="2" x14ac:dyDescent="0.35">
      <c r="A333" t="s">
        <v>131</v>
      </c>
      <c r="B333" s="1">
        <v>45727</v>
      </c>
      <c r="C333" t="s">
        <v>193</v>
      </c>
      <c r="D333" t="s">
        <v>193</v>
      </c>
      <c r="F333" t="str">
        <f t="shared" si="16"/>
        <v>44320000</v>
      </c>
      <c r="H333" t="s">
        <v>167</v>
      </c>
      <c r="I333" s="1">
        <v>45727</v>
      </c>
      <c r="K333" s="4">
        <v>23760</v>
      </c>
    </row>
    <row r="334" spans="1:11" hidden="1" outlineLevel="2" x14ac:dyDescent="0.35">
      <c r="A334" t="s">
        <v>131</v>
      </c>
      <c r="B334" s="1">
        <v>45728</v>
      </c>
      <c r="C334" t="s">
        <v>194</v>
      </c>
      <c r="D334" t="s">
        <v>194</v>
      </c>
      <c r="F334" t="str">
        <f t="shared" si="16"/>
        <v>44320000</v>
      </c>
      <c r="H334" t="s">
        <v>195</v>
      </c>
      <c r="I334" s="1">
        <v>45728</v>
      </c>
      <c r="K334" s="4">
        <v>71280</v>
      </c>
    </row>
    <row r="335" spans="1:11" hidden="1" outlineLevel="2" x14ac:dyDescent="0.35">
      <c r="A335" t="s">
        <v>131</v>
      </c>
      <c r="B335" s="1">
        <v>45728</v>
      </c>
      <c r="C335" t="s">
        <v>196</v>
      </c>
      <c r="D335" t="s">
        <v>196</v>
      </c>
      <c r="F335" t="str">
        <f t="shared" si="16"/>
        <v>44320000</v>
      </c>
      <c r="H335" t="s">
        <v>195</v>
      </c>
      <c r="I335" s="1">
        <v>45728</v>
      </c>
      <c r="K335" s="4">
        <v>35640</v>
      </c>
    </row>
    <row r="336" spans="1:11" hidden="1" outlineLevel="2" x14ac:dyDescent="0.35">
      <c r="A336" t="s">
        <v>131</v>
      </c>
      <c r="B336" s="1">
        <v>45728</v>
      </c>
      <c r="C336" t="s">
        <v>197</v>
      </c>
      <c r="D336" t="s">
        <v>197</v>
      </c>
      <c r="F336" t="str">
        <f t="shared" si="16"/>
        <v>44320000</v>
      </c>
      <c r="H336" t="s">
        <v>148</v>
      </c>
      <c r="I336" s="1">
        <v>45728</v>
      </c>
      <c r="K336" s="4">
        <v>32400</v>
      </c>
    </row>
    <row r="337" spans="1:11" hidden="1" outlineLevel="2" x14ac:dyDescent="0.35">
      <c r="A337" t="s">
        <v>131</v>
      </c>
      <c r="B337" s="1">
        <v>45728</v>
      </c>
      <c r="C337" t="s">
        <v>198</v>
      </c>
      <c r="D337" t="s">
        <v>198</v>
      </c>
      <c r="F337" t="str">
        <f t="shared" si="16"/>
        <v>44320000</v>
      </c>
      <c r="H337" t="s">
        <v>148</v>
      </c>
      <c r="I337" s="1">
        <v>45728</v>
      </c>
      <c r="K337" s="4">
        <v>32400</v>
      </c>
    </row>
    <row r="338" spans="1:11" hidden="1" outlineLevel="2" x14ac:dyDescent="0.35">
      <c r="A338" t="s">
        <v>131</v>
      </c>
      <c r="B338" s="1">
        <v>45728</v>
      </c>
      <c r="C338" t="s">
        <v>199</v>
      </c>
      <c r="D338" t="s">
        <v>199</v>
      </c>
      <c r="F338" t="str">
        <f t="shared" si="16"/>
        <v>44320000</v>
      </c>
      <c r="H338" t="s">
        <v>148</v>
      </c>
      <c r="I338" s="1">
        <v>45728</v>
      </c>
      <c r="K338" s="4">
        <v>93933</v>
      </c>
    </row>
    <row r="339" spans="1:11" hidden="1" outlineLevel="2" x14ac:dyDescent="0.35">
      <c r="A339" t="s">
        <v>131</v>
      </c>
      <c r="B339" s="1">
        <v>45728</v>
      </c>
      <c r="C339" t="s">
        <v>200</v>
      </c>
      <c r="D339" t="s">
        <v>200</v>
      </c>
      <c r="F339" t="str">
        <f t="shared" si="16"/>
        <v>44320000</v>
      </c>
      <c r="H339" t="s">
        <v>148</v>
      </c>
      <c r="I339" s="1">
        <v>45728</v>
      </c>
      <c r="K339" s="4">
        <v>32400</v>
      </c>
    </row>
    <row r="340" spans="1:11" hidden="1" outlineLevel="2" x14ac:dyDescent="0.35">
      <c r="A340" t="s">
        <v>131</v>
      </c>
      <c r="B340" s="1">
        <v>45728</v>
      </c>
      <c r="C340" t="s">
        <v>201</v>
      </c>
      <c r="D340" t="s">
        <v>201</v>
      </c>
      <c r="F340" t="str">
        <f t="shared" si="16"/>
        <v>44320000</v>
      </c>
      <c r="H340" t="s">
        <v>148</v>
      </c>
      <c r="I340" s="1">
        <v>45728</v>
      </c>
      <c r="K340" s="4">
        <v>226800</v>
      </c>
    </row>
    <row r="341" spans="1:11" hidden="1" outlineLevel="2" x14ac:dyDescent="0.35">
      <c r="A341" t="s">
        <v>131</v>
      </c>
      <c r="B341" s="1">
        <v>45728</v>
      </c>
      <c r="C341" t="s">
        <v>202</v>
      </c>
      <c r="D341" t="s">
        <v>202</v>
      </c>
      <c r="F341" t="str">
        <f t="shared" si="16"/>
        <v>44320000</v>
      </c>
      <c r="H341" t="s">
        <v>203</v>
      </c>
      <c r="I341" s="1">
        <v>45728</v>
      </c>
      <c r="K341" s="4">
        <v>17820</v>
      </c>
    </row>
    <row r="342" spans="1:11" hidden="1" outlineLevel="2" x14ac:dyDescent="0.35">
      <c r="A342" t="s">
        <v>131</v>
      </c>
      <c r="B342" s="1">
        <v>45728</v>
      </c>
      <c r="C342" t="s">
        <v>204</v>
      </c>
      <c r="D342" t="s">
        <v>204</v>
      </c>
      <c r="F342" t="str">
        <f t="shared" si="16"/>
        <v>44320000</v>
      </c>
      <c r="H342" t="s">
        <v>139</v>
      </c>
      <c r="I342" s="1">
        <v>45728</v>
      </c>
      <c r="K342" s="4">
        <v>108000</v>
      </c>
    </row>
    <row r="343" spans="1:11" hidden="1" outlineLevel="2" x14ac:dyDescent="0.35">
      <c r="A343" t="s">
        <v>131</v>
      </c>
      <c r="B343" s="1">
        <v>45728</v>
      </c>
      <c r="C343" t="s">
        <v>205</v>
      </c>
      <c r="D343" t="s">
        <v>205</v>
      </c>
      <c r="F343" t="str">
        <f t="shared" si="16"/>
        <v>44320000</v>
      </c>
      <c r="H343" t="s">
        <v>139</v>
      </c>
      <c r="I343" s="1">
        <v>45759</v>
      </c>
      <c r="K343" s="4">
        <v>192960</v>
      </c>
    </row>
    <row r="344" spans="1:11" hidden="1" outlineLevel="2" x14ac:dyDescent="0.35">
      <c r="A344" t="s">
        <v>131</v>
      </c>
      <c r="B344" s="1">
        <v>45729</v>
      </c>
      <c r="C344" t="s">
        <v>206</v>
      </c>
      <c r="D344" t="s">
        <v>206</v>
      </c>
      <c r="F344" t="str">
        <f t="shared" si="16"/>
        <v>44320000</v>
      </c>
      <c r="H344" t="s">
        <v>207</v>
      </c>
      <c r="I344" s="1">
        <v>45729</v>
      </c>
      <c r="K344" s="4">
        <v>47520</v>
      </c>
    </row>
    <row r="345" spans="1:11" hidden="1" outlineLevel="2" x14ac:dyDescent="0.35">
      <c r="A345" t="s">
        <v>131</v>
      </c>
      <c r="B345" s="1">
        <v>45729</v>
      </c>
      <c r="C345" t="s">
        <v>208</v>
      </c>
      <c r="D345" t="s">
        <v>208</v>
      </c>
      <c r="F345" t="str">
        <f t="shared" si="16"/>
        <v>44320000</v>
      </c>
      <c r="H345" t="s">
        <v>144</v>
      </c>
      <c r="I345" s="1">
        <v>45729</v>
      </c>
      <c r="K345" s="4">
        <v>23760</v>
      </c>
    </row>
    <row r="346" spans="1:11" hidden="1" outlineLevel="2" x14ac:dyDescent="0.35">
      <c r="A346" t="s">
        <v>131</v>
      </c>
      <c r="B346" s="1">
        <v>45729</v>
      </c>
      <c r="C346" t="s">
        <v>209</v>
      </c>
      <c r="D346" t="s">
        <v>209</v>
      </c>
      <c r="F346" t="str">
        <f t="shared" si="16"/>
        <v>44320000</v>
      </c>
      <c r="H346" t="s">
        <v>170</v>
      </c>
      <c r="I346" s="1">
        <v>45752</v>
      </c>
      <c r="K346" s="4">
        <v>106920</v>
      </c>
    </row>
    <row r="347" spans="1:11" hidden="1" outlineLevel="2" x14ac:dyDescent="0.35">
      <c r="A347" t="s">
        <v>131</v>
      </c>
      <c r="B347" s="1">
        <v>45729</v>
      </c>
      <c r="C347" t="s">
        <v>210</v>
      </c>
      <c r="D347" t="s">
        <v>210</v>
      </c>
      <c r="F347" t="str">
        <f t="shared" si="16"/>
        <v>44320000</v>
      </c>
      <c r="H347" t="s">
        <v>139</v>
      </c>
      <c r="I347" s="1">
        <v>45760</v>
      </c>
      <c r="K347" s="4">
        <v>964800</v>
      </c>
    </row>
    <row r="348" spans="1:11" hidden="1" outlineLevel="2" x14ac:dyDescent="0.35">
      <c r="A348" t="s">
        <v>131</v>
      </c>
      <c r="B348" s="1">
        <v>45729</v>
      </c>
      <c r="C348" t="s">
        <v>211</v>
      </c>
      <c r="D348" t="s">
        <v>211</v>
      </c>
      <c r="F348" t="str">
        <f t="shared" si="16"/>
        <v>44320000</v>
      </c>
      <c r="H348" t="s">
        <v>139</v>
      </c>
      <c r="I348" s="1">
        <v>45760</v>
      </c>
      <c r="K348" s="4">
        <v>916560</v>
      </c>
    </row>
    <row r="349" spans="1:11" hidden="1" outlineLevel="2" x14ac:dyDescent="0.35">
      <c r="A349" t="s">
        <v>131</v>
      </c>
      <c r="B349" s="1">
        <v>45729</v>
      </c>
      <c r="C349" t="s">
        <v>212</v>
      </c>
      <c r="D349" t="s">
        <v>212</v>
      </c>
      <c r="F349" t="str">
        <f t="shared" si="16"/>
        <v>44320000</v>
      </c>
      <c r="H349" t="s">
        <v>148</v>
      </c>
      <c r="I349" s="1">
        <v>45729</v>
      </c>
      <c r="K349" s="4">
        <v>388800</v>
      </c>
    </row>
    <row r="350" spans="1:11" hidden="1" outlineLevel="2" x14ac:dyDescent="0.35">
      <c r="A350" t="s">
        <v>131</v>
      </c>
      <c r="B350" s="1">
        <v>45730</v>
      </c>
      <c r="C350" t="s">
        <v>213</v>
      </c>
      <c r="D350" t="s">
        <v>213</v>
      </c>
      <c r="F350" t="str">
        <f t="shared" si="16"/>
        <v>44320000</v>
      </c>
      <c r="H350" t="s">
        <v>167</v>
      </c>
      <c r="I350" s="1">
        <v>45730</v>
      </c>
      <c r="K350" s="4">
        <v>23760</v>
      </c>
    </row>
    <row r="351" spans="1:11" hidden="1" outlineLevel="2" x14ac:dyDescent="0.35">
      <c r="A351" t="s">
        <v>131</v>
      </c>
      <c r="B351" s="1">
        <v>45730</v>
      </c>
      <c r="C351" t="s">
        <v>214</v>
      </c>
      <c r="D351" t="s">
        <v>214</v>
      </c>
      <c r="F351" t="str">
        <f t="shared" si="16"/>
        <v>44320000</v>
      </c>
      <c r="H351" t="s">
        <v>167</v>
      </c>
      <c r="I351" s="1">
        <v>45730</v>
      </c>
      <c r="K351" s="4">
        <v>23760</v>
      </c>
    </row>
    <row r="352" spans="1:11" hidden="1" outlineLevel="2" x14ac:dyDescent="0.35">
      <c r="A352" t="s">
        <v>131</v>
      </c>
      <c r="B352" s="1">
        <v>45730</v>
      </c>
      <c r="C352" t="s">
        <v>215</v>
      </c>
      <c r="D352" t="s">
        <v>215</v>
      </c>
      <c r="F352" t="str">
        <f t="shared" si="16"/>
        <v>44320000</v>
      </c>
      <c r="H352" t="s">
        <v>167</v>
      </c>
      <c r="I352" s="1">
        <v>45730</v>
      </c>
      <c r="K352" s="4">
        <v>23760</v>
      </c>
    </row>
    <row r="353" spans="1:11" hidden="1" outlineLevel="2" x14ac:dyDescent="0.35">
      <c r="A353" t="s">
        <v>131</v>
      </c>
      <c r="B353" s="1">
        <v>45730</v>
      </c>
      <c r="C353" t="s">
        <v>216</v>
      </c>
      <c r="D353" t="s">
        <v>216</v>
      </c>
      <c r="F353" t="str">
        <f t="shared" si="16"/>
        <v>44320000</v>
      </c>
      <c r="H353" t="s">
        <v>217</v>
      </c>
      <c r="I353" s="1">
        <v>45730</v>
      </c>
      <c r="K353" s="4">
        <v>23760</v>
      </c>
    </row>
    <row r="354" spans="1:11" hidden="1" outlineLevel="2" x14ac:dyDescent="0.35">
      <c r="A354" t="s">
        <v>131</v>
      </c>
      <c r="B354" s="1">
        <v>45730</v>
      </c>
      <c r="C354" t="s">
        <v>218</v>
      </c>
      <c r="D354" t="s">
        <v>218</v>
      </c>
      <c r="F354" t="str">
        <f t="shared" si="16"/>
        <v>44320000</v>
      </c>
      <c r="H354" t="s">
        <v>219</v>
      </c>
      <c r="I354" s="1">
        <v>45730</v>
      </c>
      <c r="K354" s="4">
        <v>23760</v>
      </c>
    </row>
    <row r="355" spans="1:11" hidden="1" outlineLevel="2" x14ac:dyDescent="0.35">
      <c r="A355" t="s">
        <v>131</v>
      </c>
      <c r="B355" s="1">
        <v>45730</v>
      </c>
      <c r="C355" t="s">
        <v>220</v>
      </c>
      <c r="D355" t="s">
        <v>220</v>
      </c>
      <c r="F355" t="str">
        <f t="shared" ref="F355:F418" si="17">"44320000"</f>
        <v>44320000</v>
      </c>
      <c r="H355" t="s">
        <v>219</v>
      </c>
      <c r="I355" s="1">
        <v>45730</v>
      </c>
      <c r="K355" s="4">
        <v>47520</v>
      </c>
    </row>
    <row r="356" spans="1:11" hidden="1" outlineLevel="2" x14ac:dyDescent="0.35">
      <c r="A356" t="s">
        <v>131</v>
      </c>
      <c r="B356" s="1">
        <v>45730</v>
      </c>
      <c r="C356" t="s">
        <v>221</v>
      </c>
      <c r="D356" t="s">
        <v>221</v>
      </c>
      <c r="F356" t="str">
        <f t="shared" si="17"/>
        <v>44320000</v>
      </c>
      <c r="H356" t="s">
        <v>159</v>
      </c>
      <c r="I356" s="1">
        <v>45730</v>
      </c>
      <c r="K356" s="4">
        <v>89640</v>
      </c>
    </row>
    <row r="357" spans="1:11" hidden="1" outlineLevel="2" x14ac:dyDescent="0.35">
      <c r="A357" t="s">
        <v>131</v>
      </c>
      <c r="B357" s="1">
        <v>45730</v>
      </c>
      <c r="C357" t="s">
        <v>222</v>
      </c>
      <c r="D357" t="s">
        <v>222</v>
      </c>
      <c r="F357" t="str">
        <f t="shared" si="17"/>
        <v>44320000</v>
      </c>
      <c r="H357" t="s">
        <v>159</v>
      </c>
      <c r="I357" s="1">
        <v>45730</v>
      </c>
      <c r="K357" s="4">
        <v>270000</v>
      </c>
    </row>
    <row r="358" spans="1:11" hidden="1" outlineLevel="2" x14ac:dyDescent="0.35">
      <c r="A358" t="s">
        <v>131</v>
      </c>
      <c r="B358" s="1">
        <v>45730</v>
      </c>
      <c r="C358" t="s">
        <v>223</v>
      </c>
      <c r="D358" t="s">
        <v>223</v>
      </c>
      <c r="F358" t="str">
        <f t="shared" si="17"/>
        <v>44320000</v>
      </c>
      <c r="H358" t="s">
        <v>224</v>
      </c>
      <c r="I358" s="1">
        <v>45730</v>
      </c>
      <c r="K358" s="4">
        <v>53460</v>
      </c>
    </row>
    <row r="359" spans="1:11" hidden="1" outlineLevel="2" x14ac:dyDescent="0.35">
      <c r="A359" t="s">
        <v>131</v>
      </c>
      <c r="B359" s="1">
        <v>45730</v>
      </c>
      <c r="C359" t="s">
        <v>225</v>
      </c>
      <c r="D359" t="s">
        <v>225</v>
      </c>
      <c r="F359" t="str">
        <f t="shared" si="17"/>
        <v>44320000</v>
      </c>
      <c r="H359" t="s">
        <v>146</v>
      </c>
      <c r="I359" s="1">
        <v>45761</v>
      </c>
      <c r="K359" s="4">
        <v>23760</v>
      </c>
    </row>
    <row r="360" spans="1:11" hidden="1" outlineLevel="2" x14ac:dyDescent="0.35">
      <c r="A360" t="s">
        <v>131</v>
      </c>
      <c r="B360" s="1">
        <v>45730</v>
      </c>
      <c r="C360" t="s">
        <v>226</v>
      </c>
      <c r="D360" t="s">
        <v>226</v>
      </c>
      <c r="F360" t="str">
        <f t="shared" si="17"/>
        <v>44320000</v>
      </c>
      <c r="H360" t="s">
        <v>148</v>
      </c>
      <c r="I360" s="1">
        <v>45730</v>
      </c>
      <c r="K360" s="4">
        <v>32400</v>
      </c>
    </row>
    <row r="361" spans="1:11" hidden="1" outlineLevel="2" x14ac:dyDescent="0.35">
      <c r="A361" t="s">
        <v>131</v>
      </c>
      <c r="B361" s="1">
        <v>45730</v>
      </c>
      <c r="C361" t="s">
        <v>227</v>
      </c>
      <c r="D361" t="s">
        <v>227</v>
      </c>
      <c r="F361" t="str">
        <f t="shared" si="17"/>
        <v>44320000</v>
      </c>
      <c r="H361" t="s">
        <v>148</v>
      </c>
      <c r="I361" s="1">
        <v>45730</v>
      </c>
      <c r="K361" s="4">
        <v>32400</v>
      </c>
    </row>
    <row r="362" spans="1:11" hidden="1" outlineLevel="2" x14ac:dyDescent="0.35">
      <c r="A362" t="s">
        <v>131</v>
      </c>
      <c r="B362" s="1">
        <v>45730</v>
      </c>
      <c r="C362" t="s">
        <v>228</v>
      </c>
      <c r="D362" t="s">
        <v>228</v>
      </c>
      <c r="F362" t="str">
        <f t="shared" si="17"/>
        <v>44320000</v>
      </c>
      <c r="H362" t="s">
        <v>148</v>
      </c>
      <c r="I362" s="1">
        <v>45730</v>
      </c>
      <c r="K362" s="4">
        <v>64800</v>
      </c>
    </row>
    <row r="363" spans="1:11" hidden="1" outlineLevel="2" x14ac:dyDescent="0.35">
      <c r="A363" t="s">
        <v>131</v>
      </c>
      <c r="B363" s="1">
        <v>45730</v>
      </c>
      <c r="C363" t="s">
        <v>229</v>
      </c>
      <c r="D363" t="s">
        <v>229</v>
      </c>
      <c r="F363" t="str">
        <f t="shared" si="17"/>
        <v>44320000</v>
      </c>
      <c r="H363" t="s">
        <v>148</v>
      </c>
      <c r="I363" s="1">
        <v>45730</v>
      </c>
      <c r="K363" s="4">
        <v>64800</v>
      </c>
    </row>
    <row r="364" spans="1:11" hidden="1" outlineLevel="2" x14ac:dyDescent="0.35">
      <c r="A364" t="s">
        <v>131</v>
      </c>
      <c r="B364" s="1">
        <v>45730</v>
      </c>
      <c r="C364" t="s">
        <v>230</v>
      </c>
      <c r="D364" t="s">
        <v>230</v>
      </c>
      <c r="F364" t="str">
        <f t="shared" si="17"/>
        <v>44320000</v>
      </c>
      <c r="H364" t="s">
        <v>148</v>
      </c>
      <c r="I364" s="1">
        <v>45730</v>
      </c>
      <c r="K364" s="4">
        <v>129600</v>
      </c>
    </row>
    <row r="365" spans="1:11" hidden="1" outlineLevel="2" x14ac:dyDescent="0.35">
      <c r="A365" t="s">
        <v>131</v>
      </c>
      <c r="B365" s="1">
        <v>45730</v>
      </c>
      <c r="C365" t="s">
        <v>231</v>
      </c>
      <c r="D365" t="s">
        <v>231</v>
      </c>
      <c r="F365" t="str">
        <f t="shared" si="17"/>
        <v>44320000</v>
      </c>
      <c r="H365" t="s">
        <v>163</v>
      </c>
      <c r="I365" s="1">
        <v>45777</v>
      </c>
      <c r="K365" s="4">
        <v>59400</v>
      </c>
    </row>
    <row r="366" spans="1:11" hidden="1" outlineLevel="2" x14ac:dyDescent="0.35">
      <c r="A366" t="s">
        <v>131</v>
      </c>
      <c r="B366" s="1">
        <v>45730</v>
      </c>
      <c r="C366" t="s">
        <v>232</v>
      </c>
      <c r="D366" t="s">
        <v>232</v>
      </c>
      <c r="F366" t="str">
        <f t="shared" si="17"/>
        <v>44320000</v>
      </c>
      <c r="H366" t="s">
        <v>233</v>
      </c>
      <c r="I366" s="1">
        <v>45730</v>
      </c>
      <c r="K366" s="4">
        <v>35640</v>
      </c>
    </row>
    <row r="367" spans="1:11" hidden="1" outlineLevel="2" x14ac:dyDescent="0.35">
      <c r="A367" t="s">
        <v>131</v>
      </c>
      <c r="B367" s="1">
        <v>45730</v>
      </c>
      <c r="C367" t="s">
        <v>234</v>
      </c>
      <c r="D367" t="s">
        <v>234</v>
      </c>
      <c r="F367" t="str">
        <f t="shared" si="17"/>
        <v>44320000</v>
      </c>
      <c r="H367" t="s">
        <v>233</v>
      </c>
      <c r="I367" s="1">
        <v>45730</v>
      </c>
      <c r="K367" s="4">
        <v>23760</v>
      </c>
    </row>
    <row r="368" spans="1:11" hidden="1" outlineLevel="2" x14ac:dyDescent="0.35">
      <c r="A368" t="s">
        <v>131</v>
      </c>
      <c r="B368" s="1">
        <v>45730</v>
      </c>
      <c r="C368" t="s">
        <v>235</v>
      </c>
      <c r="D368" t="s">
        <v>235</v>
      </c>
      <c r="F368" t="str">
        <f t="shared" si="17"/>
        <v>44320000</v>
      </c>
      <c r="H368" t="s">
        <v>139</v>
      </c>
      <c r="I368" s="1">
        <v>45761</v>
      </c>
      <c r="K368" s="4">
        <v>96480</v>
      </c>
    </row>
    <row r="369" spans="1:11" hidden="1" outlineLevel="2" x14ac:dyDescent="0.35">
      <c r="A369" t="s">
        <v>131</v>
      </c>
      <c r="B369" s="1">
        <v>45730</v>
      </c>
      <c r="C369" t="s">
        <v>236</v>
      </c>
      <c r="D369" t="s">
        <v>236</v>
      </c>
      <c r="F369" t="str">
        <f t="shared" si="17"/>
        <v>44320000</v>
      </c>
      <c r="H369" t="s">
        <v>139</v>
      </c>
      <c r="I369" s="1">
        <v>45761</v>
      </c>
      <c r="K369" s="4">
        <v>96480</v>
      </c>
    </row>
    <row r="370" spans="1:11" hidden="1" outlineLevel="2" x14ac:dyDescent="0.35">
      <c r="A370" t="s">
        <v>131</v>
      </c>
      <c r="B370" s="1">
        <v>45730</v>
      </c>
      <c r="C370" t="s">
        <v>237</v>
      </c>
      <c r="D370" t="s">
        <v>237</v>
      </c>
      <c r="F370" t="str">
        <f t="shared" si="17"/>
        <v>44320000</v>
      </c>
      <c r="H370" t="s">
        <v>139</v>
      </c>
      <c r="I370" s="1">
        <v>45761</v>
      </c>
      <c r="K370" s="4">
        <v>96480</v>
      </c>
    </row>
    <row r="371" spans="1:11" hidden="1" outlineLevel="2" x14ac:dyDescent="0.35">
      <c r="A371" t="s">
        <v>131</v>
      </c>
      <c r="B371" s="1">
        <v>45734</v>
      </c>
      <c r="C371" t="s">
        <v>238</v>
      </c>
      <c r="D371" t="s">
        <v>238</v>
      </c>
      <c r="F371" t="str">
        <f t="shared" si="17"/>
        <v>44320000</v>
      </c>
      <c r="H371" t="s">
        <v>159</v>
      </c>
      <c r="I371" s="1">
        <v>45734</v>
      </c>
      <c r="K371" s="4">
        <v>11880</v>
      </c>
    </row>
    <row r="372" spans="1:11" hidden="1" outlineLevel="2" x14ac:dyDescent="0.35">
      <c r="A372" t="s">
        <v>131</v>
      </c>
      <c r="B372" s="1">
        <v>45734</v>
      </c>
      <c r="C372" t="s">
        <v>238</v>
      </c>
      <c r="D372" t="s">
        <v>238</v>
      </c>
      <c r="F372" t="str">
        <f t="shared" si="17"/>
        <v>44320000</v>
      </c>
      <c r="H372" t="s">
        <v>159</v>
      </c>
      <c r="I372" s="1">
        <v>45734</v>
      </c>
      <c r="K372" s="4">
        <v>11880</v>
      </c>
    </row>
    <row r="373" spans="1:11" hidden="1" outlineLevel="2" x14ac:dyDescent="0.35">
      <c r="A373" t="s">
        <v>131</v>
      </c>
      <c r="B373" s="1">
        <v>45734</v>
      </c>
      <c r="C373" t="s">
        <v>238</v>
      </c>
      <c r="D373" t="s">
        <v>238</v>
      </c>
      <c r="F373" t="str">
        <f t="shared" si="17"/>
        <v>44320000</v>
      </c>
      <c r="H373" t="s">
        <v>239</v>
      </c>
      <c r="I373" s="1">
        <v>45734</v>
      </c>
      <c r="K373" s="4">
        <v>-11880</v>
      </c>
    </row>
    <row r="374" spans="1:11" hidden="1" outlineLevel="2" x14ac:dyDescent="0.35">
      <c r="A374" t="s">
        <v>131</v>
      </c>
      <c r="B374" s="1">
        <v>45734</v>
      </c>
      <c r="C374" t="s">
        <v>240</v>
      </c>
      <c r="D374" t="s">
        <v>240</v>
      </c>
      <c r="F374" t="str">
        <f t="shared" si="17"/>
        <v>44320000</v>
      </c>
      <c r="H374" t="s">
        <v>188</v>
      </c>
      <c r="I374" s="1">
        <v>45734</v>
      </c>
      <c r="K374" s="4">
        <v>54000</v>
      </c>
    </row>
    <row r="375" spans="1:11" hidden="1" outlineLevel="2" x14ac:dyDescent="0.35">
      <c r="A375" t="s">
        <v>131</v>
      </c>
      <c r="B375" s="1">
        <v>45734</v>
      </c>
      <c r="C375" t="s">
        <v>240</v>
      </c>
      <c r="D375" t="s">
        <v>240</v>
      </c>
      <c r="F375" t="str">
        <f t="shared" si="17"/>
        <v>44320000</v>
      </c>
      <c r="H375" t="s">
        <v>188</v>
      </c>
      <c r="I375" s="1">
        <v>45734</v>
      </c>
      <c r="K375" s="4">
        <v>54000</v>
      </c>
    </row>
    <row r="376" spans="1:11" hidden="1" outlineLevel="2" x14ac:dyDescent="0.35">
      <c r="A376" t="s">
        <v>131</v>
      </c>
      <c r="B376" s="1">
        <v>45734</v>
      </c>
      <c r="C376" t="s">
        <v>240</v>
      </c>
      <c r="D376" t="s">
        <v>240</v>
      </c>
      <c r="F376" t="str">
        <f t="shared" si="17"/>
        <v>44320000</v>
      </c>
      <c r="H376" t="s">
        <v>241</v>
      </c>
      <c r="I376" s="1">
        <v>45734</v>
      </c>
      <c r="K376" s="4">
        <v>-54000</v>
      </c>
    </row>
    <row r="377" spans="1:11" hidden="1" outlineLevel="2" x14ac:dyDescent="0.35">
      <c r="A377" t="s">
        <v>131</v>
      </c>
      <c r="B377" s="1">
        <v>45734</v>
      </c>
      <c r="C377" t="s">
        <v>242</v>
      </c>
      <c r="D377" t="s">
        <v>242</v>
      </c>
      <c r="F377" t="str">
        <f t="shared" si="17"/>
        <v>44320000</v>
      </c>
      <c r="H377" t="s">
        <v>188</v>
      </c>
      <c r="I377" s="1">
        <v>45734</v>
      </c>
      <c r="K377" s="4">
        <v>54000</v>
      </c>
    </row>
    <row r="378" spans="1:11" hidden="1" outlineLevel="2" x14ac:dyDescent="0.35">
      <c r="A378" t="s">
        <v>131</v>
      </c>
      <c r="B378" s="1">
        <v>45734</v>
      </c>
      <c r="C378" t="s">
        <v>242</v>
      </c>
      <c r="D378" t="s">
        <v>242</v>
      </c>
      <c r="F378" t="str">
        <f t="shared" si="17"/>
        <v>44320000</v>
      </c>
      <c r="H378" t="s">
        <v>188</v>
      </c>
      <c r="I378" s="1">
        <v>45734</v>
      </c>
      <c r="K378" s="4">
        <v>54000</v>
      </c>
    </row>
    <row r="379" spans="1:11" hidden="1" outlineLevel="2" x14ac:dyDescent="0.35">
      <c r="A379" t="s">
        <v>131</v>
      </c>
      <c r="B379" s="1">
        <v>45734</v>
      </c>
      <c r="C379" t="s">
        <v>242</v>
      </c>
      <c r="D379" t="s">
        <v>242</v>
      </c>
      <c r="F379" t="str">
        <f t="shared" si="17"/>
        <v>44320000</v>
      </c>
      <c r="H379" t="s">
        <v>241</v>
      </c>
      <c r="I379" s="1">
        <v>45734</v>
      </c>
      <c r="K379" s="4">
        <v>-54000</v>
      </c>
    </row>
    <row r="380" spans="1:11" hidden="1" outlineLevel="2" x14ac:dyDescent="0.35">
      <c r="A380" t="s">
        <v>131</v>
      </c>
      <c r="B380" s="1">
        <v>45734</v>
      </c>
      <c r="C380" t="s">
        <v>243</v>
      </c>
      <c r="D380" t="s">
        <v>243</v>
      </c>
      <c r="F380" t="str">
        <f t="shared" si="17"/>
        <v>44320000</v>
      </c>
      <c r="H380" t="s">
        <v>159</v>
      </c>
      <c r="I380" s="1">
        <v>45734</v>
      </c>
      <c r="K380" s="4">
        <v>26730</v>
      </c>
    </row>
    <row r="381" spans="1:11" hidden="1" outlineLevel="2" x14ac:dyDescent="0.35">
      <c r="A381" t="s">
        <v>131</v>
      </c>
      <c r="B381" s="1">
        <v>45734</v>
      </c>
      <c r="C381" t="s">
        <v>243</v>
      </c>
      <c r="D381" t="s">
        <v>243</v>
      </c>
      <c r="F381" t="str">
        <f t="shared" si="17"/>
        <v>44320000</v>
      </c>
      <c r="H381" t="s">
        <v>159</v>
      </c>
      <c r="I381" s="1">
        <v>45734</v>
      </c>
      <c r="K381" s="4">
        <v>26730</v>
      </c>
    </row>
    <row r="382" spans="1:11" hidden="1" outlineLevel="2" x14ac:dyDescent="0.35">
      <c r="A382" t="s">
        <v>131</v>
      </c>
      <c r="B382" s="1">
        <v>45734</v>
      </c>
      <c r="C382" t="s">
        <v>243</v>
      </c>
      <c r="D382" t="s">
        <v>243</v>
      </c>
      <c r="F382" t="str">
        <f t="shared" si="17"/>
        <v>44320000</v>
      </c>
      <c r="H382" t="s">
        <v>239</v>
      </c>
      <c r="I382" s="1">
        <v>45734</v>
      </c>
      <c r="K382" s="4">
        <v>-26730</v>
      </c>
    </row>
    <row r="383" spans="1:11" hidden="1" outlineLevel="2" x14ac:dyDescent="0.35">
      <c r="A383" t="s">
        <v>131</v>
      </c>
      <c r="B383" s="1">
        <v>45734</v>
      </c>
      <c r="C383" t="s">
        <v>244</v>
      </c>
      <c r="D383" t="s">
        <v>244</v>
      </c>
      <c r="F383" t="str">
        <f t="shared" si="17"/>
        <v>44320000</v>
      </c>
      <c r="H383" t="s">
        <v>159</v>
      </c>
      <c r="I383" s="1">
        <v>45734</v>
      </c>
      <c r="K383" s="4">
        <v>53460</v>
      </c>
    </row>
    <row r="384" spans="1:11" hidden="1" outlineLevel="2" x14ac:dyDescent="0.35">
      <c r="A384" t="s">
        <v>131</v>
      </c>
      <c r="B384" s="1">
        <v>45734</v>
      </c>
      <c r="C384" t="s">
        <v>244</v>
      </c>
      <c r="D384" t="s">
        <v>244</v>
      </c>
      <c r="F384" t="str">
        <f t="shared" si="17"/>
        <v>44320000</v>
      </c>
      <c r="H384" t="s">
        <v>159</v>
      </c>
      <c r="I384" s="1">
        <v>45734</v>
      </c>
      <c r="K384" s="4">
        <v>53460</v>
      </c>
    </row>
    <row r="385" spans="1:11" hidden="1" outlineLevel="2" x14ac:dyDescent="0.35">
      <c r="A385" t="s">
        <v>131</v>
      </c>
      <c r="B385" s="1">
        <v>45734</v>
      </c>
      <c r="C385" t="s">
        <v>244</v>
      </c>
      <c r="D385" t="s">
        <v>244</v>
      </c>
      <c r="F385" t="str">
        <f t="shared" si="17"/>
        <v>44320000</v>
      </c>
      <c r="H385" t="s">
        <v>239</v>
      </c>
      <c r="I385" s="1">
        <v>45734</v>
      </c>
      <c r="K385" s="4">
        <v>-53460</v>
      </c>
    </row>
    <row r="386" spans="1:11" hidden="1" outlineLevel="2" x14ac:dyDescent="0.35">
      <c r="A386" t="s">
        <v>131</v>
      </c>
      <c r="B386" s="1">
        <v>45734</v>
      </c>
      <c r="C386" t="s">
        <v>245</v>
      </c>
      <c r="D386" t="s">
        <v>245</v>
      </c>
      <c r="F386" t="str">
        <f t="shared" si="17"/>
        <v>44320000</v>
      </c>
      <c r="H386" t="s">
        <v>195</v>
      </c>
      <c r="I386" s="1">
        <v>45734</v>
      </c>
      <c r="K386" s="4">
        <v>71280</v>
      </c>
    </row>
    <row r="387" spans="1:11" hidden="1" outlineLevel="2" x14ac:dyDescent="0.35">
      <c r="A387" t="s">
        <v>131</v>
      </c>
      <c r="B387" s="1">
        <v>45734</v>
      </c>
      <c r="C387" t="s">
        <v>245</v>
      </c>
      <c r="D387" t="s">
        <v>245</v>
      </c>
      <c r="F387" t="str">
        <f t="shared" si="17"/>
        <v>44320000</v>
      </c>
      <c r="H387" t="s">
        <v>195</v>
      </c>
      <c r="I387" s="1">
        <v>45734</v>
      </c>
      <c r="K387" s="4">
        <v>71280</v>
      </c>
    </row>
    <row r="388" spans="1:11" hidden="1" outlineLevel="2" x14ac:dyDescent="0.35">
      <c r="A388" t="s">
        <v>131</v>
      </c>
      <c r="B388" s="1">
        <v>45734</v>
      </c>
      <c r="C388" t="s">
        <v>245</v>
      </c>
      <c r="D388" t="s">
        <v>245</v>
      </c>
      <c r="F388" t="str">
        <f t="shared" si="17"/>
        <v>44320000</v>
      </c>
      <c r="H388" t="s">
        <v>246</v>
      </c>
      <c r="I388" s="1">
        <v>45734</v>
      </c>
      <c r="K388" s="4">
        <v>-71280</v>
      </c>
    </row>
    <row r="389" spans="1:11" hidden="1" outlineLevel="2" x14ac:dyDescent="0.35">
      <c r="A389" t="s">
        <v>131</v>
      </c>
      <c r="B389" s="1">
        <v>45734</v>
      </c>
      <c r="C389" t="s">
        <v>247</v>
      </c>
      <c r="D389" t="s">
        <v>247</v>
      </c>
      <c r="F389" t="str">
        <f t="shared" si="17"/>
        <v>44320000</v>
      </c>
      <c r="H389" t="s">
        <v>148</v>
      </c>
      <c r="I389" s="1">
        <v>45734</v>
      </c>
      <c r="K389" s="4">
        <v>129600</v>
      </c>
    </row>
    <row r="390" spans="1:11" hidden="1" outlineLevel="2" x14ac:dyDescent="0.35">
      <c r="A390" t="s">
        <v>131</v>
      </c>
      <c r="B390" s="1">
        <v>45734</v>
      </c>
      <c r="C390" t="s">
        <v>247</v>
      </c>
      <c r="D390" t="s">
        <v>247</v>
      </c>
      <c r="F390" t="str">
        <f t="shared" si="17"/>
        <v>44320000</v>
      </c>
      <c r="H390" t="s">
        <v>148</v>
      </c>
      <c r="I390" s="1">
        <v>45734</v>
      </c>
      <c r="K390" s="4">
        <v>129600</v>
      </c>
    </row>
    <row r="391" spans="1:11" hidden="1" outlineLevel="2" x14ac:dyDescent="0.35">
      <c r="A391" t="s">
        <v>131</v>
      </c>
      <c r="B391" s="1">
        <v>45734</v>
      </c>
      <c r="C391" t="s">
        <v>247</v>
      </c>
      <c r="D391" t="s">
        <v>247</v>
      </c>
      <c r="F391" t="str">
        <f t="shared" si="17"/>
        <v>44320000</v>
      </c>
      <c r="H391" t="s">
        <v>248</v>
      </c>
      <c r="I391" s="1">
        <v>45734</v>
      </c>
      <c r="K391" s="4">
        <v>-129600</v>
      </c>
    </row>
    <row r="392" spans="1:11" hidden="1" outlineLevel="2" x14ac:dyDescent="0.35">
      <c r="A392" t="s">
        <v>131</v>
      </c>
      <c r="B392" s="1">
        <v>45734</v>
      </c>
      <c r="C392" t="s">
        <v>249</v>
      </c>
      <c r="D392" t="s">
        <v>249</v>
      </c>
      <c r="F392" t="str">
        <f t="shared" si="17"/>
        <v>44320000</v>
      </c>
      <c r="H392" t="s">
        <v>148</v>
      </c>
      <c r="I392" s="1">
        <v>45734</v>
      </c>
      <c r="K392" s="4">
        <v>32400</v>
      </c>
    </row>
    <row r="393" spans="1:11" hidden="1" outlineLevel="2" x14ac:dyDescent="0.35">
      <c r="A393" t="s">
        <v>131</v>
      </c>
      <c r="B393" s="1">
        <v>45734</v>
      </c>
      <c r="C393" t="s">
        <v>249</v>
      </c>
      <c r="D393" t="s">
        <v>249</v>
      </c>
      <c r="F393" t="str">
        <f t="shared" si="17"/>
        <v>44320000</v>
      </c>
      <c r="H393" t="s">
        <v>148</v>
      </c>
      <c r="I393" s="1">
        <v>45734</v>
      </c>
      <c r="K393" s="4">
        <v>32400</v>
      </c>
    </row>
    <row r="394" spans="1:11" hidden="1" outlineLevel="2" x14ac:dyDescent="0.35">
      <c r="A394" t="s">
        <v>131</v>
      </c>
      <c r="B394" s="1">
        <v>45734</v>
      </c>
      <c r="C394" t="s">
        <v>249</v>
      </c>
      <c r="D394" t="s">
        <v>249</v>
      </c>
      <c r="F394" t="str">
        <f t="shared" si="17"/>
        <v>44320000</v>
      </c>
      <c r="H394" t="s">
        <v>248</v>
      </c>
      <c r="I394" s="1">
        <v>45734</v>
      </c>
      <c r="K394" s="4">
        <v>-32400</v>
      </c>
    </row>
    <row r="395" spans="1:11" hidden="1" outlineLevel="2" x14ac:dyDescent="0.35">
      <c r="A395" t="s">
        <v>131</v>
      </c>
      <c r="B395" s="1">
        <v>45734</v>
      </c>
      <c r="C395" t="s">
        <v>250</v>
      </c>
      <c r="D395" t="s">
        <v>250</v>
      </c>
      <c r="F395" t="str">
        <f t="shared" si="17"/>
        <v>44320000</v>
      </c>
      <c r="H395" t="s">
        <v>148</v>
      </c>
      <c r="I395" s="1">
        <v>45734</v>
      </c>
      <c r="K395" s="4">
        <v>58293</v>
      </c>
    </row>
    <row r="396" spans="1:11" hidden="1" outlineLevel="2" x14ac:dyDescent="0.35">
      <c r="A396" t="s">
        <v>131</v>
      </c>
      <c r="B396" s="1">
        <v>45734</v>
      </c>
      <c r="C396" t="s">
        <v>250</v>
      </c>
      <c r="D396" t="s">
        <v>250</v>
      </c>
      <c r="F396" t="str">
        <f t="shared" si="17"/>
        <v>44320000</v>
      </c>
      <c r="H396" t="s">
        <v>148</v>
      </c>
      <c r="I396" s="1">
        <v>45734</v>
      </c>
      <c r="K396" s="4">
        <v>58293</v>
      </c>
    </row>
    <row r="397" spans="1:11" hidden="1" outlineLevel="2" x14ac:dyDescent="0.35">
      <c r="A397" t="s">
        <v>131</v>
      </c>
      <c r="B397" s="1">
        <v>45734</v>
      </c>
      <c r="C397" t="s">
        <v>250</v>
      </c>
      <c r="D397" t="s">
        <v>250</v>
      </c>
      <c r="F397" t="str">
        <f t="shared" si="17"/>
        <v>44320000</v>
      </c>
      <c r="H397" t="s">
        <v>248</v>
      </c>
      <c r="I397" s="1">
        <v>45734</v>
      </c>
      <c r="K397" s="4">
        <v>-58293</v>
      </c>
    </row>
    <row r="398" spans="1:11" hidden="1" outlineLevel="2" x14ac:dyDescent="0.35">
      <c r="A398" t="s">
        <v>131</v>
      </c>
      <c r="B398" s="1">
        <v>45734</v>
      </c>
      <c r="C398" t="s">
        <v>251</v>
      </c>
      <c r="D398" t="s">
        <v>251</v>
      </c>
      <c r="F398" t="str">
        <f t="shared" si="17"/>
        <v>44320000</v>
      </c>
      <c r="H398" t="s">
        <v>163</v>
      </c>
      <c r="I398" s="1">
        <v>45777</v>
      </c>
      <c r="K398" s="4">
        <v>23760</v>
      </c>
    </row>
    <row r="399" spans="1:11" hidden="1" outlineLevel="2" x14ac:dyDescent="0.35">
      <c r="A399" t="s">
        <v>131</v>
      </c>
      <c r="B399" s="1">
        <v>45734</v>
      </c>
      <c r="C399" t="s">
        <v>251</v>
      </c>
      <c r="D399" t="s">
        <v>251</v>
      </c>
      <c r="F399" t="str">
        <f t="shared" si="17"/>
        <v>44320000</v>
      </c>
      <c r="H399" t="s">
        <v>163</v>
      </c>
      <c r="I399" s="1">
        <v>45777</v>
      </c>
      <c r="K399" s="4">
        <v>23760</v>
      </c>
    </row>
    <row r="400" spans="1:11" hidden="1" outlineLevel="2" x14ac:dyDescent="0.35">
      <c r="A400" t="s">
        <v>131</v>
      </c>
      <c r="B400" s="1">
        <v>45734</v>
      </c>
      <c r="C400" t="s">
        <v>251</v>
      </c>
      <c r="D400" t="s">
        <v>251</v>
      </c>
      <c r="F400" t="str">
        <f t="shared" si="17"/>
        <v>44320000</v>
      </c>
      <c r="H400" t="s">
        <v>252</v>
      </c>
      <c r="I400" s="1">
        <v>45777</v>
      </c>
      <c r="K400" s="4">
        <v>-23760</v>
      </c>
    </row>
    <row r="401" spans="1:11" hidden="1" outlineLevel="2" x14ac:dyDescent="0.35">
      <c r="A401" t="s">
        <v>131</v>
      </c>
      <c r="B401" s="1">
        <v>45734</v>
      </c>
      <c r="C401" t="s">
        <v>253</v>
      </c>
      <c r="D401" t="s">
        <v>253</v>
      </c>
      <c r="F401" t="str">
        <f t="shared" si="17"/>
        <v>44320000</v>
      </c>
      <c r="H401" t="s">
        <v>139</v>
      </c>
      <c r="I401" s="1">
        <v>45765</v>
      </c>
      <c r="K401" s="4">
        <v>144720</v>
      </c>
    </row>
    <row r="402" spans="1:11" hidden="1" outlineLevel="2" x14ac:dyDescent="0.35">
      <c r="A402" t="s">
        <v>131</v>
      </c>
      <c r="B402" s="1">
        <v>45734</v>
      </c>
      <c r="C402" t="s">
        <v>253</v>
      </c>
      <c r="D402" t="s">
        <v>253</v>
      </c>
      <c r="F402" t="str">
        <f t="shared" si="17"/>
        <v>44320000</v>
      </c>
      <c r="H402" t="s">
        <v>139</v>
      </c>
      <c r="I402" s="1">
        <v>45765</v>
      </c>
      <c r="K402" s="4">
        <v>144720</v>
      </c>
    </row>
    <row r="403" spans="1:11" hidden="1" outlineLevel="2" x14ac:dyDescent="0.35">
      <c r="A403" t="s">
        <v>131</v>
      </c>
      <c r="B403" s="1">
        <v>45734</v>
      </c>
      <c r="C403" t="s">
        <v>253</v>
      </c>
      <c r="D403" t="s">
        <v>253</v>
      </c>
      <c r="F403" t="str">
        <f t="shared" si="17"/>
        <v>44320000</v>
      </c>
      <c r="H403" t="s">
        <v>254</v>
      </c>
      <c r="I403" s="1">
        <v>45765</v>
      </c>
      <c r="K403" s="4">
        <v>-144720</v>
      </c>
    </row>
    <row r="404" spans="1:11" hidden="1" outlineLevel="2" x14ac:dyDescent="0.35">
      <c r="A404" t="s">
        <v>131</v>
      </c>
      <c r="B404" s="1">
        <v>45735</v>
      </c>
      <c r="C404" t="s">
        <v>255</v>
      </c>
      <c r="D404" t="s">
        <v>255</v>
      </c>
      <c r="F404" t="str">
        <f t="shared" si="17"/>
        <v>44320000</v>
      </c>
      <c r="H404" t="s">
        <v>154</v>
      </c>
      <c r="I404" s="1">
        <v>45735</v>
      </c>
      <c r="K404" s="4">
        <v>237600</v>
      </c>
    </row>
    <row r="405" spans="1:11" hidden="1" outlineLevel="2" x14ac:dyDescent="0.35">
      <c r="A405" t="s">
        <v>131</v>
      </c>
      <c r="B405" s="1">
        <v>45735</v>
      </c>
      <c r="C405" t="s">
        <v>255</v>
      </c>
      <c r="D405" t="s">
        <v>255</v>
      </c>
      <c r="F405" t="str">
        <f t="shared" si="17"/>
        <v>44320000</v>
      </c>
      <c r="H405" t="s">
        <v>154</v>
      </c>
      <c r="I405" s="1">
        <v>45735</v>
      </c>
      <c r="K405" s="4">
        <v>237600</v>
      </c>
    </row>
    <row r="406" spans="1:11" hidden="1" outlineLevel="2" x14ac:dyDescent="0.35">
      <c r="A406" t="s">
        <v>131</v>
      </c>
      <c r="B406" s="1">
        <v>45735</v>
      </c>
      <c r="C406" t="s">
        <v>255</v>
      </c>
      <c r="D406" t="s">
        <v>255</v>
      </c>
      <c r="F406" t="str">
        <f t="shared" si="17"/>
        <v>44320000</v>
      </c>
      <c r="H406" t="s">
        <v>155</v>
      </c>
      <c r="I406" s="1">
        <v>45735</v>
      </c>
      <c r="K406" s="4">
        <v>-237600</v>
      </c>
    </row>
    <row r="407" spans="1:11" hidden="1" outlineLevel="2" x14ac:dyDescent="0.35">
      <c r="A407" t="s">
        <v>131</v>
      </c>
      <c r="B407" s="1">
        <v>45735</v>
      </c>
      <c r="C407" t="s">
        <v>256</v>
      </c>
      <c r="D407" t="s">
        <v>256</v>
      </c>
      <c r="F407" t="str">
        <f t="shared" si="17"/>
        <v>44320000</v>
      </c>
      <c r="H407" t="s">
        <v>180</v>
      </c>
      <c r="I407" s="1">
        <v>45766</v>
      </c>
      <c r="K407" s="4">
        <v>651240</v>
      </c>
    </row>
    <row r="408" spans="1:11" hidden="1" outlineLevel="2" x14ac:dyDescent="0.35">
      <c r="A408" t="s">
        <v>131</v>
      </c>
      <c r="B408" s="1">
        <v>45735</v>
      </c>
      <c r="C408" t="s">
        <v>256</v>
      </c>
      <c r="D408" t="s">
        <v>256</v>
      </c>
      <c r="F408" t="str">
        <f t="shared" si="17"/>
        <v>44320000</v>
      </c>
      <c r="H408" t="s">
        <v>180</v>
      </c>
      <c r="I408" s="1">
        <v>45766</v>
      </c>
      <c r="K408" s="4">
        <v>651240</v>
      </c>
    </row>
    <row r="409" spans="1:11" hidden="1" outlineLevel="2" x14ac:dyDescent="0.35">
      <c r="A409" t="s">
        <v>131</v>
      </c>
      <c r="B409" s="1">
        <v>45735</v>
      </c>
      <c r="C409" t="s">
        <v>256</v>
      </c>
      <c r="D409" t="s">
        <v>256</v>
      </c>
      <c r="F409" t="str">
        <f t="shared" si="17"/>
        <v>44320000</v>
      </c>
      <c r="H409" t="s">
        <v>257</v>
      </c>
      <c r="I409" s="1">
        <v>45766</v>
      </c>
      <c r="K409" s="4">
        <v>-651240</v>
      </c>
    </row>
    <row r="410" spans="1:11" hidden="1" outlineLevel="2" x14ac:dyDescent="0.35">
      <c r="A410" t="s">
        <v>131</v>
      </c>
      <c r="B410" s="1">
        <v>45735</v>
      </c>
      <c r="C410" t="s">
        <v>258</v>
      </c>
      <c r="D410" t="s">
        <v>258</v>
      </c>
      <c r="F410" t="str">
        <f t="shared" si="17"/>
        <v>44320000</v>
      </c>
      <c r="H410" t="s">
        <v>148</v>
      </c>
      <c r="I410" s="1">
        <v>45735</v>
      </c>
      <c r="K410" s="4">
        <v>196020</v>
      </c>
    </row>
    <row r="411" spans="1:11" hidden="1" outlineLevel="2" x14ac:dyDescent="0.35">
      <c r="A411" t="s">
        <v>131</v>
      </c>
      <c r="B411" s="1">
        <v>45735</v>
      </c>
      <c r="C411" t="s">
        <v>258</v>
      </c>
      <c r="D411" t="s">
        <v>258</v>
      </c>
      <c r="F411" t="str">
        <f t="shared" si="17"/>
        <v>44320000</v>
      </c>
      <c r="H411" t="s">
        <v>148</v>
      </c>
      <c r="I411" s="1">
        <v>45735</v>
      </c>
      <c r="K411" s="4">
        <v>196020</v>
      </c>
    </row>
    <row r="412" spans="1:11" hidden="1" outlineLevel="2" x14ac:dyDescent="0.35">
      <c r="A412" t="s">
        <v>131</v>
      </c>
      <c r="B412" s="1">
        <v>45735</v>
      </c>
      <c r="C412" t="s">
        <v>258</v>
      </c>
      <c r="D412" t="s">
        <v>258</v>
      </c>
      <c r="F412" t="str">
        <f t="shared" si="17"/>
        <v>44320000</v>
      </c>
      <c r="H412" t="s">
        <v>248</v>
      </c>
      <c r="I412" s="1">
        <v>45735</v>
      </c>
      <c r="K412" s="4">
        <v>-196020</v>
      </c>
    </row>
    <row r="413" spans="1:11" hidden="1" outlineLevel="2" x14ac:dyDescent="0.35">
      <c r="A413" t="s">
        <v>131</v>
      </c>
      <c r="B413" s="1">
        <v>45735</v>
      </c>
      <c r="C413" t="s">
        <v>259</v>
      </c>
      <c r="D413" t="s">
        <v>259</v>
      </c>
      <c r="F413" t="str">
        <f t="shared" si="17"/>
        <v>44320000</v>
      </c>
      <c r="H413" t="s">
        <v>207</v>
      </c>
      <c r="I413" s="1">
        <v>45735</v>
      </c>
      <c r="K413" s="4">
        <v>47520</v>
      </c>
    </row>
    <row r="414" spans="1:11" hidden="1" outlineLevel="2" x14ac:dyDescent="0.35">
      <c r="A414" t="s">
        <v>131</v>
      </c>
      <c r="B414" s="1">
        <v>45735</v>
      </c>
      <c r="C414" t="s">
        <v>259</v>
      </c>
      <c r="D414" t="s">
        <v>259</v>
      </c>
      <c r="F414" t="str">
        <f t="shared" si="17"/>
        <v>44320000</v>
      </c>
      <c r="H414" t="s">
        <v>207</v>
      </c>
      <c r="I414" s="1">
        <v>45735</v>
      </c>
      <c r="K414" s="4">
        <v>47520</v>
      </c>
    </row>
    <row r="415" spans="1:11" hidden="1" outlineLevel="2" x14ac:dyDescent="0.35">
      <c r="A415" t="s">
        <v>131</v>
      </c>
      <c r="B415" s="1">
        <v>45735</v>
      </c>
      <c r="C415" t="s">
        <v>259</v>
      </c>
      <c r="D415" t="s">
        <v>259</v>
      </c>
      <c r="F415" t="str">
        <f t="shared" si="17"/>
        <v>44320000</v>
      </c>
      <c r="H415" t="s">
        <v>260</v>
      </c>
      <c r="I415" s="1">
        <v>45735</v>
      </c>
      <c r="K415" s="4">
        <v>-47520</v>
      </c>
    </row>
    <row r="416" spans="1:11" hidden="1" outlineLevel="2" x14ac:dyDescent="0.35">
      <c r="A416" t="s">
        <v>131</v>
      </c>
      <c r="B416" s="1">
        <v>45736</v>
      </c>
      <c r="C416" t="s">
        <v>261</v>
      </c>
      <c r="D416" t="s">
        <v>261</v>
      </c>
      <c r="F416" t="str">
        <f t="shared" si="17"/>
        <v>44320000</v>
      </c>
      <c r="H416" t="s">
        <v>144</v>
      </c>
      <c r="I416" s="1">
        <v>45736</v>
      </c>
      <c r="K416" s="4">
        <v>71280</v>
      </c>
    </row>
    <row r="417" spans="1:11" hidden="1" outlineLevel="2" x14ac:dyDescent="0.35">
      <c r="A417" t="s">
        <v>131</v>
      </c>
      <c r="B417" s="1">
        <v>45736</v>
      </c>
      <c r="C417" t="s">
        <v>261</v>
      </c>
      <c r="D417" t="s">
        <v>261</v>
      </c>
      <c r="F417" t="str">
        <f t="shared" si="17"/>
        <v>44320000</v>
      </c>
      <c r="H417" t="s">
        <v>144</v>
      </c>
      <c r="I417" s="1">
        <v>45736</v>
      </c>
      <c r="K417" s="4">
        <v>71280</v>
      </c>
    </row>
    <row r="418" spans="1:11" hidden="1" outlineLevel="2" x14ac:dyDescent="0.35">
      <c r="A418" t="s">
        <v>131</v>
      </c>
      <c r="B418" s="1">
        <v>45736</v>
      </c>
      <c r="C418" t="s">
        <v>261</v>
      </c>
      <c r="D418" t="s">
        <v>261</v>
      </c>
      <c r="F418" t="str">
        <f t="shared" si="17"/>
        <v>44320000</v>
      </c>
      <c r="H418" t="s">
        <v>262</v>
      </c>
      <c r="I418" s="1">
        <v>45736</v>
      </c>
      <c r="K418" s="4">
        <v>-71280</v>
      </c>
    </row>
    <row r="419" spans="1:11" hidden="1" outlineLevel="2" x14ac:dyDescent="0.35">
      <c r="A419" t="s">
        <v>131</v>
      </c>
      <c r="B419" s="1">
        <v>45736</v>
      </c>
      <c r="C419" t="s">
        <v>263</v>
      </c>
      <c r="D419" t="s">
        <v>263</v>
      </c>
      <c r="F419" t="str">
        <f t="shared" ref="F419:F482" si="18">"44320000"</f>
        <v>44320000</v>
      </c>
      <c r="H419" t="s">
        <v>159</v>
      </c>
      <c r="I419" s="1">
        <v>45767</v>
      </c>
      <c r="K419" s="4">
        <v>72360</v>
      </c>
    </row>
    <row r="420" spans="1:11" hidden="1" outlineLevel="2" x14ac:dyDescent="0.35">
      <c r="A420" t="s">
        <v>131</v>
      </c>
      <c r="B420" s="1">
        <v>45736</v>
      </c>
      <c r="C420" t="s">
        <v>263</v>
      </c>
      <c r="D420" t="s">
        <v>263</v>
      </c>
      <c r="F420" t="str">
        <f t="shared" si="18"/>
        <v>44320000</v>
      </c>
      <c r="H420" t="s">
        <v>159</v>
      </c>
      <c r="I420" s="1">
        <v>45767</v>
      </c>
      <c r="K420" s="4">
        <v>72360</v>
      </c>
    </row>
    <row r="421" spans="1:11" hidden="1" outlineLevel="2" x14ac:dyDescent="0.35">
      <c r="A421" t="s">
        <v>131</v>
      </c>
      <c r="B421" s="1">
        <v>45736</v>
      </c>
      <c r="C421" t="s">
        <v>263</v>
      </c>
      <c r="D421" t="s">
        <v>263</v>
      </c>
      <c r="F421" t="str">
        <f t="shared" si="18"/>
        <v>44320000</v>
      </c>
      <c r="H421" t="s">
        <v>239</v>
      </c>
      <c r="I421" s="1">
        <v>45767</v>
      </c>
      <c r="K421" s="4">
        <v>-72360</v>
      </c>
    </row>
    <row r="422" spans="1:11" hidden="1" outlineLevel="2" x14ac:dyDescent="0.35">
      <c r="A422" t="s">
        <v>131</v>
      </c>
      <c r="B422" s="1">
        <v>45736</v>
      </c>
      <c r="C422" t="s">
        <v>264</v>
      </c>
      <c r="D422" t="s">
        <v>264</v>
      </c>
      <c r="F422" t="str">
        <f t="shared" si="18"/>
        <v>44320000</v>
      </c>
      <c r="H422" t="s">
        <v>159</v>
      </c>
      <c r="I422" s="1">
        <v>45767</v>
      </c>
      <c r="K422" s="4">
        <v>72360</v>
      </c>
    </row>
    <row r="423" spans="1:11" hidden="1" outlineLevel="2" x14ac:dyDescent="0.35">
      <c r="A423" t="s">
        <v>131</v>
      </c>
      <c r="B423" s="1">
        <v>45736</v>
      </c>
      <c r="C423" t="s">
        <v>264</v>
      </c>
      <c r="D423" t="s">
        <v>264</v>
      </c>
      <c r="F423" t="str">
        <f t="shared" si="18"/>
        <v>44320000</v>
      </c>
      <c r="H423" t="s">
        <v>159</v>
      </c>
      <c r="I423" s="1">
        <v>45767</v>
      </c>
      <c r="K423" s="4">
        <v>72360</v>
      </c>
    </row>
    <row r="424" spans="1:11" hidden="1" outlineLevel="2" x14ac:dyDescent="0.35">
      <c r="A424" t="s">
        <v>131</v>
      </c>
      <c r="B424" s="1">
        <v>45736</v>
      </c>
      <c r="C424" t="s">
        <v>264</v>
      </c>
      <c r="D424" t="s">
        <v>264</v>
      </c>
      <c r="F424" t="str">
        <f t="shared" si="18"/>
        <v>44320000</v>
      </c>
      <c r="H424" t="s">
        <v>239</v>
      </c>
      <c r="I424" s="1">
        <v>45767</v>
      </c>
      <c r="K424" s="4">
        <v>-72360</v>
      </c>
    </row>
    <row r="425" spans="1:11" hidden="1" outlineLevel="2" x14ac:dyDescent="0.35">
      <c r="A425" t="s">
        <v>131</v>
      </c>
      <c r="B425" s="1">
        <v>45736</v>
      </c>
      <c r="C425" t="s">
        <v>265</v>
      </c>
      <c r="D425" t="s">
        <v>265</v>
      </c>
      <c r="F425" t="str">
        <f t="shared" si="18"/>
        <v>44320000</v>
      </c>
      <c r="H425" t="s">
        <v>159</v>
      </c>
      <c r="I425" s="1">
        <v>45736</v>
      </c>
      <c r="K425" s="4">
        <v>162000</v>
      </c>
    </row>
    <row r="426" spans="1:11" hidden="1" outlineLevel="2" x14ac:dyDescent="0.35">
      <c r="A426" t="s">
        <v>131</v>
      </c>
      <c r="B426" s="1">
        <v>45736</v>
      </c>
      <c r="C426" t="s">
        <v>265</v>
      </c>
      <c r="D426" t="s">
        <v>265</v>
      </c>
      <c r="F426" t="str">
        <f t="shared" si="18"/>
        <v>44320000</v>
      </c>
      <c r="H426" t="s">
        <v>159</v>
      </c>
      <c r="I426" s="1">
        <v>45736</v>
      </c>
      <c r="K426" s="4">
        <v>162000</v>
      </c>
    </row>
    <row r="427" spans="1:11" hidden="1" outlineLevel="2" x14ac:dyDescent="0.35">
      <c r="A427" t="s">
        <v>131</v>
      </c>
      <c r="B427" s="1">
        <v>45736</v>
      </c>
      <c r="C427" t="s">
        <v>265</v>
      </c>
      <c r="D427" t="s">
        <v>265</v>
      </c>
      <c r="F427" t="str">
        <f t="shared" si="18"/>
        <v>44320000</v>
      </c>
      <c r="H427" t="s">
        <v>239</v>
      </c>
      <c r="I427" s="1">
        <v>45736</v>
      </c>
      <c r="K427" s="4">
        <v>-162000</v>
      </c>
    </row>
    <row r="428" spans="1:11" hidden="1" outlineLevel="2" x14ac:dyDescent="0.35">
      <c r="A428" t="s">
        <v>131</v>
      </c>
      <c r="B428" s="1">
        <v>45736</v>
      </c>
      <c r="C428" t="s">
        <v>266</v>
      </c>
      <c r="D428" t="s">
        <v>266</v>
      </c>
      <c r="F428" t="str">
        <f t="shared" si="18"/>
        <v>44320000</v>
      </c>
      <c r="H428" t="s">
        <v>159</v>
      </c>
      <c r="I428" s="1">
        <v>45736</v>
      </c>
      <c r="K428" s="4">
        <v>35640</v>
      </c>
    </row>
    <row r="429" spans="1:11" hidden="1" outlineLevel="2" x14ac:dyDescent="0.35">
      <c r="A429" t="s">
        <v>131</v>
      </c>
      <c r="B429" s="1">
        <v>45736</v>
      </c>
      <c r="C429" t="s">
        <v>266</v>
      </c>
      <c r="D429" t="s">
        <v>266</v>
      </c>
      <c r="F429" t="str">
        <f t="shared" si="18"/>
        <v>44320000</v>
      </c>
      <c r="H429" t="s">
        <v>159</v>
      </c>
      <c r="I429" s="1">
        <v>45736</v>
      </c>
      <c r="K429" s="4">
        <v>35640</v>
      </c>
    </row>
    <row r="430" spans="1:11" hidden="1" outlineLevel="2" x14ac:dyDescent="0.35">
      <c r="A430" t="s">
        <v>131</v>
      </c>
      <c r="B430" s="1">
        <v>45736</v>
      </c>
      <c r="C430" t="s">
        <v>266</v>
      </c>
      <c r="D430" t="s">
        <v>266</v>
      </c>
      <c r="F430" t="str">
        <f t="shared" si="18"/>
        <v>44320000</v>
      </c>
      <c r="H430" t="s">
        <v>239</v>
      </c>
      <c r="I430" s="1">
        <v>45736</v>
      </c>
      <c r="K430" s="4">
        <v>-35640</v>
      </c>
    </row>
    <row r="431" spans="1:11" hidden="1" outlineLevel="2" x14ac:dyDescent="0.35">
      <c r="A431" t="s">
        <v>131</v>
      </c>
      <c r="B431" s="1">
        <v>45736</v>
      </c>
      <c r="C431" t="s">
        <v>267</v>
      </c>
      <c r="D431" t="s">
        <v>267</v>
      </c>
      <c r="F431" t="str">
        <f t="shared" si="18"/>
        <v>44320000</v>
      </c>
      <c r="H431" t="s">
        <v>146</v>
      </c>
      <c r="I431" s="1">
        <v>45767</v>
      </c>
      <c r="K431" s="4">
        <v>47520</v>
      </c>
    </row>
    <row r="432" spans="1:11" hidden="1" outlineLevel="2" x14ac:dyDescent="0.35">
      <c r="A432" t="s">
        <v>131</v>
      </c>
      <c r="B432" s="1">
        <v>45736</v>
      </c>
      <c r="C432" t="s">
        <v>267</v>
      </c>
      <c r="D432" t="s">
        <v>267</v>
      </c>
      <c r="F432" t="str">
        <f t="shared" si="18"/>
        <v>44320000</v>
      </c>
      <c r="H432" t="s">
        <v>146</v>
      </c>
      <c r="I432" s="1">
        <v>45767</v>
      </c>
      <c r="K432" s="4">
        <v>47520</v>
      </c>
    </row>
    <row r="433" spans="1:11" hidden="1" outlineLevel="2" x14ac:dyDescent="0.35">
      <c r="A433" t="s">
        <v>131</v>
      </c>
      <c r="B433" s="1">
        <v>45736</v>
      </c>
      <c r="C433" t="s">
        <v>267</v>
      </c>
      <c r="D433" t="s">
        <v>267</v>
      </c>
      <c r="F433" t="str">
        <f t="shared" si="18"/>
        <v>44320000</v>
      </c>
      <c r="H433" t="s">
        <v>268</v>
      </c>
      <c r="I433" s="1">
        <v>45767</v>
      </c>
      <c r="K433" s="4">
        <v>-47520</v>
      </c>
    </row>
    <row r="434" spans="1:11" hidden="1" outlineLevel="2" x14ac:dyDescent="0.35">
      <c r="A434" t="s">
        <v>131</v>
      </c>
      <c r="B434" s="1">
        <v>45736</v>
      </c>
      <c r="C434" t="s">
        <v>269</v>
      </c>
      <c r="D434" t="s">
        <v>269</v>
      </c>
      <c r="F434" t="str">
        <f t="shared" si="18"/>
        <v>44320000</v>
      </c>
      <c r="H434" t="s">
        <v>148</v>
      </c>
      <c r="I434" s="1">
        <v>45736</v>
      </c>
      <c r="K434" s="4">
        <v>162000</v>
      </c>
    </row>
    <row r="435" spans="1:11" hidden="1" outlineLevel="2" x14ac:dyDescent="0.35">
      <c r="A435" t="s">
        <v>131</v>
      </c>
      <c r="B435" s="1">
        <v>45736</v>
      </c>
      <c r="C435" t="s">
        <v>269</v>
      </c>
      <c r="D435" t="s">
        <v>269</v>
      </c>
      <c r="F435" t="str">
        <f t="shared" si="18"/>
        <v>44320000</v>
      </c>
      <c r="H435" t="s">
        <v>148</v>
      </c>
      <c r="I435" s="1">
        <v>45736</v>
      </c>
      <c r="K435" s="4">
        <v>162000</v>
      </c>
    </row>
    <row r="436" spans="1:11" hidden="1" outlineLevel="2" x14ac:dyDescent="0.35">
      <c r="A436" t="s">
        <v>131</v>
      </c>
      <c r="B436" s="1">
        <v>45736</v>
      </c>
      <c r="C436" t="s">
        <v>269</v>
      </c>
      <c r="D436" t="s">
        <v>269</v>
      </c>
      <c r="F436" t="str">
        <f t="shared" si="18"/>
        <v>44320000</v>
      </c>
      <c r="H436" t="s">
        <v>248</v>
      </c>
      <c r="I436" s="1">
        <v>45736</v>
      </c>
      <c r="K436" s="4">
        <v>-162000</v>
      </c>
    </row>
    <row r="437" spans="1:11" hidden="1" outlineLevel="2" x14ac:dyDescent="0.35">
      <c r="A437" t="s">
        <v>131</v>
      </c>
      <c r="B437" s="1">
        <v>45736</v>
      </c>
      <c r="C437" t="s">
        <v>270</v>
      </c>
      <c r="D437" t="s">
        <v>270</v>
      </c>
      <c r="F437" t="str">
        <f t="shared" si="18"/>
        <v>44320000</v>
      </c>
      <c r="H437" t="s">
        <v>271</v>
      </c>
      <c r="I437" s="1">
        <v>45736</v>
      </c>
      <c r="K437" s="4">
        <v>48240</v>
      </c>
    </row>
    <row r="438" spans="1:11" hidden="1" outlineLevel="2" x14ac:dyDescent="0.35">
      <c r="A438" t="s">
        <v>131</v>
      </c>
      <c r="B438" s="1">
        <v>45736</v>
      </c>
      <c r="C438" t="s">
        <v>270</v>
      </c>
      <c r="D438" t="s">
        <v>270</v>
      </c>
      <c r="F438" t="str">
        <f t="shared" si="18"/>
        <v>44320000</v>
      </c>
      <c r="H438" t="s">
        <v>272</v>
      </c>
      <c r="I438" s="1">
        <v>45736</v>
      </c>
      <c r="K438" s="4">
        <v>48240</v>
      </c>
    </row>
    <row r="439" spans="1:11" hidden="1" outlineLevel="2" x14ac:dyDescent="0.35">
      <c r="A439" t="s">
        <v>131</v>
      </c>
      <c r="B439" s="1">
        <v>45736</v>
      </c>
      <c r="C439" t="s">
        <v>270</v>
      </c>
      <c r="D439" t="s">
        <v>270</v>
      </c>
      <c r="F439" t="str">
        <f t="shared" si="18"/>
        <v>44320000</v>
      </c>
      <c r="H439" t="s">
        <v>273</v>
      </c>
      <c r="I439" s="1">
        <v>45736</v>
      </c>
      <c r="K439" s="4">
        <v>-48240</v>
      </c>
    </row>
    <row r="440" spans="1:11" hidden="1" outlineLevel="2" x14ac:dyDescent="0.35">
      <c r="A440" t="s">
        <v>131</v>
      </c>
      <c r="B440" s="1">
        <v>45736</v>
      </c>
      <c r="C440" t="s">
        <v>274</v>
      </c>
      <c r="D440" t="s">
        <v>274</v>
      </c>
      <c r="F440" t="str">
        <f t="shared" si="18"/>
        <v>44320000</v>
      </c>
      <c r="H440" t="s">
        <v>148</v>
      </c>
      <c r="I440" s="1">
        <v>45736</v>
      </c>
      <c r="K440" s="4">
        <v>32400</v>
      </c>
    </row>
    <row r="441" spans="1:11" hidden="1" outlineLevel="2" x14ac:dyDescent="0.35">
      <c r="A441" t="s">
        <v>131</v>
      </c>
      <c r="B441" s="1">
        <v>45736</v>
      </c>
      <c r="C441" t="s">
        <v>274</v>
      </c>
      <c r="D441" t="s">
        <v>274</v>
      </c>
      <c r="F441" t="str">
        <f t="shared" si="18"/>
        <v>44320000</v>
      </c>
      <c r="H441" t="s">
        <v>148</v>
      </c>
      <c r="I441" s="1">
        <v>45736</v>
      </c>
      <c r="K441" s="4">
        <v>32400</v>
      </c>
    </row>
    <row r="442" spans="1:11" hidden="1" outlineLevel="2" x14ac:dyDescent="0.35">
      <c r="A442" t="s">
        <v>131</v>
      </c>
      <c r="B442" s="1">
        <v>45736</v>
      </c>
      <c r="C442" t="s">
        <v>274</v>
      </c>
      <c r="D442" t="s">
        <v>274</v>
      </c>
      <c r="F442" t="str">
        <f t="shared" si="18"/>
        <v>44320000</v>
      </c>
      <c r="H442" t="s">
        <v>248</v>
      </c>
      <c r="I442" s="1">
        <v>45736</v>
      </c>
      <c r="K442" s="4">
        <v>-32400</v>
      </c>
    </row>
    <row r="443" spans="1:11" hidden="1" outlineLevel="2" x14ac:dyDescent="0.35">
      <c r="A443" t="s">
        <v>131</v>
      </c>
      <c r="B443" s="1">
        <v>45736</v>
      </c>
      <c r="C443" t="s">
        <v>275</v>
      </c>
      <c r="D443" t="s">
        <v>275</v>
      </c>
      <c r="F443" t="str">
        <f t="shared" si="18"/>
        <v>44320000</v>
      </c>
      <c r="H443" t="s">
        <v>139</v>
      </c>
      <c r="I443" s="1">
        <v>45767</v>
      </c>
      <c r="K443" s="4">
        <v>96480</v>
      </c>
    </row>
    <row r="444" spans="1:11" hidden="1" outlineLevel="2" x14ac:dyDescent="0.35">
      <c r="A444" t="s">
        <v>131</v>
      </c>
      <c r="B444" s="1">
        <v>45736</v>
      </c>
      <c r="C444" t="s">
        <v>275</v>
      </c>
      <c r="D444" t="s">
        <v>275</v>
      </c>
      <c r="F444" t="str">
        <f t="shared" si="18"/>
        <v>44320000</v>
      </c>
      <c r="H444" t="s">
        <v>139</v>
      </c>
      <c r="I444" s="1">
        <v>45767</v>
      </c>
      <c r="K444" s="4">
        <v>96480</v>
      </c>
    </row>
    <row r="445" spans="1:11" hidden="1" outlineLevel="2" x14ac:dyDescent="0.35">
      <c r="A445" t="s">
        <v>131</v>
      </c>
      <c r="B445" s="1">
        <v>45736</v>
      </c>
      <c r="C445" t="s">
        <v>275</v>
      </c>
      <c r="D445" t="s">
        <v>275</v>
      </c>
      <c r="F445" t="str">
        <f t="shared" si="18"/>
        <v>44320000</v>
      </c>
      <c r="H445" t="s">
        <v>254</v>
      </c>
      <c r="I445" s="1">
        <v>45767</v>
      </c>
      <c r="K445" s="4">
        <v>-96480</v>
      </c>
    </row>
    <row r="446" spans="1:11" hidden="1" outlineLevel="2" x14ac:dyDescent="0.35">
      <c r="A446" t="s">
        <v>131</v>
      </c>
      <c r="B446" s="1">
        <v>45736</v>
      </c>
      <c r="C446" t="s">
        <v>276</v>
      </c>
      <c r="D446" t="s">
        <v>276</v>
      </c>
      <c r="F446" t="str">
        <f t="shared" si="18"/>
        <v>44320000</v>
      </c>
      <c r="H446" t="s">
        <v>154</v>
      </c>
      <c r="I446" s="1">
        <v>45736</v>
      </c>
      <c r="K446" s="4">
        <v>237600</v>
      </c>
    </row>
    <row r="447" spans="1:11" hidden="1" outlineLevel="2" x14ac:dyDescent="0.35">
      <c r="A447" t="s">
        <v>131</v>
      </c>
      <c r="B447" s="1">
        <v>45736</v>
      </c>
      <c r="C447" t="s">
        <v>276</v>
      </c>
      <c r="D447" t="s">
        <v>276</v>
      </c>
      <c r="F447" t="str">
        <f t="shared" si="18"/>
        <v>44320000</v>
      </c>
      <c r="H447" t="s">
        <v>154</v>
      </c>
      <c r="I447" s="1">
        <v>45736</v>
      </c>
      <c r="K447" s="4">
        <v>237600</v>
      </c>
    </row>
    <row r="448" spans="1:11" hidden="1" outlineLevel="2" x14ac:dyDescent="0.35">
      <c r="A448" t="s">
        <v>131</v>
      </c>
      <c r="B448" s="1">
        <v>45736</v>
      </c>
      <c r="C448" t="s">
        <v>276</v>
      </c>
      <c r="D448" t="s">
        <v>276</v>
      </c>
      <c r="F448" t="str">
        <f t="shared" si="18"/>
        <v>44320000</v>
      </c>
      <c r="H448" t="s">
        <v>155</v>
      </c>
      <c r="I448" s="1">
        <v>45736</v>
      </c>
      <c r="K448" s="4">
        <v>-237600</v>
      </c>
    </row>
    <row r="449" spans="1:11" hidden="1" outlineLevel="2" x14ac:dyDescent="0.35">
      <c r="A449" t="s">
        <v>131</v>
      </c>
      <c r="B449" s="1">
        <v>45736</v>
      </c>
      <c r="C449" t="s">
        <v>277</v>
      </c>
      <c r="D449" t="s">
        <v>277</v>
      </c>
      <c r="F449" t="str">
        <f t="shared" si="18"/>
        <v>44320000</v>
      </c>
      <c r="H449" t="s">
        <v>271</v>
      </c>
      <c r="I449" s="1">
        <v>45736</v>
      </c>
      <c r="K449" s="4">
        <v>217080</v>
      </c>
    </row>
    <row r="450" spans="1:11" hidden="1" outlineLevel="2" x14ac:dyDescent="0.35">
      <c r="A450" t="s">
        <v>131</v>
      </c>
      <c r="B450" s="1">
        <v>45736</v>
      </c>
      <c r="C450" t="s">
        <v>277</v>
      </c>
      <c r="D450" t="s">
        <v>277</v>
      </c>
      <c r="F450" t="str">
        <f t="shared" si="18"/>
        <v>44320000</v>
      </c>
      <c r="H450" t="s">
        <v>272</v>
      </c>
      <c r="I450" s="1">
        <v>45736</v>
      </c>
      <c r="K450" s="4">
        <v>217080</v>
      </c>
    </row>
    <row r="451" spans="1:11" hidden="1" outlineLevel="2" x14ac:dyDescent="0.35">
      <c r="A451" t="s">
        <v>131</v>
      </c>
      <c r="B451" s="1">
        <v>45736</v>
      </c>
      <c r="C451" t="s">
        <v>277</v>
      </c>
      <c r="D451" t="s">
        <v>277</v>
      </c>
      <c r="F451" t="str">
        <f t="shared" si="18"/>
        <v>44320000</v>
      </c>
      <c r="H451" t="s">
        <v>273</v>
      </c>
      <c r="I451" s="1">
        <v>45736</v>
      </c>
      <c r="K451" s="4">
        <v>-217080</v>
      </c>
    </row>
    <row r="452" spans="1:11" hidden="1" outlineLevel="2" x14ac:dyDescent="0.35">
      <c r="A452" t="s">
        <v>131</v>
      </c>
      <c r="B452" s="1">
        <v>45736</v>
      </c>
      <c r="C452" t="s">
        <v>278</v>
      </c>
      <c r="D452" t="s">
        <v>278</v>
      </c>
      <c r="F452" t="str">
        <f t="shared" si="18"/>
        <v>44320000</v>
      </c>
      <c r="H452" t="s">
        <v>139</v>
      </c>
      <c r="I452" s="1">
        <v>45767</v>
      </c>
      <c r="K452" s="4">
        <v>482400</v>
      </c>
    </row>
    <row r="453" spans="1:11" hidden="1" outlineLevel="2" x14ac:dyDescent="0.35">
      <c r="A453" t="s">
        <v>131</v>
      </c>
      <c r="B453" s="1">
        <v>45736</v>
      </c>
      <c r="C453" t="s">
        <v>278</v>
      </c>
      <c r="D453" t="s">
        <v>278</v>
      </c>
      <c r="F453" t="str">
        <f t="shared" si="18"/>
        <v>44320000</v>
      </c>
      <c r="H453" t="s">
        <v>139</v>
      </c>
      <c r="I453" s="1">
        <v>45767</v>
      </c>
      <c r="K453" s="4">
        <v>482400</v>
      </c>
    </row>
    <row r="454" spans="1:11" hidden="1" outlineLevel="2" x14ac:dyDescent="0.35">
      <c r="A454" t="s">
        <v>131</v>
      </c>
      <c r="B454" s="1">
        <v>45736</v>
      </c>
      <c r="C454" t="s">
        <v>278</v>
      </c>
      <c r="D454" t="s">
        <v>278</v>
      </c>
      <c r="F454" t="str">
        <f t="shared" si="18"/>
        <v>44320000</v>
      </c>
      <c r="H454" t="s">
        <v>254</v>
      </c>
      <c r="I454" s="1">
        <v>45767</v>
      </c>
      <c r="K454" s="4">
        <v>-482400</v>
      </c>
    </row>
    <row r="455" spans="1:11" hidden="1" outlineLevel="2" x14ac:dyDescent="0.35">
      <c r="A455" t="s">
        <v>131</v>
      </c>
      <c r="B455" s="1">
        <v>45736</v>
      </c>
      <c r="C455" t="s">
        <v>279</v>
      </c>
      <c r="D455" t="s">
        <v>279</v>
      </c>
      <c r="F455" t="str">
        <f t="shared" si="18"/>
        <v>44320000</v>
      </c>
      <c r="H455" t="s">
        <v>139</v>
      </c>
      <c r="I455" s="1">
        <v>45767</v>
      </c>
      <c r="K455" s="4">
        <v>434160</v>
      </c>
    </row>
    <row r="456" spans="1:11" hidden="1" outlineLevel="2" x14ac:dyDescent="0.35">
      <c r="A456" t="s">
        <v>131</v>
      </c>
      <c r="B456" s="1">
        <v>45736</v>
      </c>
      <c r="C456" t="s">
        <v>279</v>
      </c>
      <c r="D456" t="s">
        <v>279</v>
      </c>
      <c r="F456" t="str">
        <f t="shared" si="18"/>
        <v>44320000</v>
      </c>
      <c r="H456" t="s">
        <v>139</v>
      </c>
      <c r="I456" s="1">
        <v>45767</v>
      </c>
      <c r="K456" s="4">
        <v>434160</v>
      </c>
    </row>
    <row r="457" spans="1:11" hidden="1" outlineLevel="2" x14ac:dyDescent="0.35">
      <c r="A457" t="s">
        <v>131</v>
      </c>
      <c r="B457" s="1">
        <v>45736</v>
      </c>
      <c r="C457" t="s">
        <v>279</v>
      </c>
      <c r="D457" t="s">
        <v>279</v>
      </c>
      <c r="F457" t="str">
        <f t="shared" si="18"/>
        <v>44320000</v>
      </c>
      <c r="H457" t="s">
        <v>254</v>
      </c>
      <c r="I457" s="1">
        <v>45767</v>
      </c>
      <c r="K457" s="4">
        <v>-434160</v>
      </c>
    </row>
    <row r="458" spans="1:11" hidden="1" outlineLevel="2" x14ac:dyDescent="0.35">
      <c r="A458" t="s">
        <v>131</v>
      </c>
      <c r="B458" s="1">
        <v>45736</v>
      </c>
      <c r="C458" t="s">
        <v>280</v>
      </c>
      <c r="D458" t="s">
        <v>280</v>
      </c>
      <c r="F458" t="str">
        <f t="shared" si="18"/>
        <v>44320000</v>
      </c>
      <c r="H458" t="s">
        <v>139</v>
      </c>
      <c r="I458" s="1">
        <v>45767</v>
      </c>
      <c r="K458" s="4">
        <v>241200</v>
      </c>
    </row>
    <row r="459" spans="1:11" hidden="1" outlineLevel="2" x14ac:dyDescent="0.35">
      <c r="A459" t="s">
        <v>131</v>
      </c>
      <c r="B459" s="1">
        <v>45736</v>
      </c>
      <c r="C459" t="s">
        <v>280</v>
      </c>
      <c r="D459" t="s">
        <v>280</v>
      </c>
      <c r="F459" t="str">
        <f t="shared" si="18"/>
        <v>44320000</v>
      </c>
      <c r="H459" t="s">
        <v>139</v>
      </c>
      <c r="I459" s="1">
        <v>45767</v>
      </c>
      <c r="K459" s="4">
        <v>241200</v>
      </c>
    </row>
    <row r="460" spans="1:11" hidden="1" outlineLevel="2" x14ac:dyDescent="0.35">
      <c r="A460" t="s">
        <v>131</v>
      </c>
      <c r="B460" s="1">
        <v>45736</v>
      </c>
      <c r="C460" t="s">
        <v>280</v>
      </c>
      <c r="D460" t="s">
        <v>280</v>
      </c>
      <c r="F460" t="str">
        <f t="shared" si="18"/>
        <v>44320000</v>
      </c>
      <c r="H460" t="s">
        <v>254</v>
      </c>
      <c r="I460" s="1">
        <v>45767</v>
      </c>
      <c r="K460" s="4">
        <v>-241200</v>
      </c>
    </row>
    <row r="461" spans="1:11" hidden="1" outlineLevel="2" x14ac:dyDescent="0.35">
      <c r="A461" t="s">
        <v>131</v>
      </c>
      <c r="B461" s="1">
        <v>45736</v>
      </c>
      <c r="C461" t="s">
        <v>281</v>
      </c>
      <c r="D461" t="s">
        <v>281</v>
      </c>
      <c r="F461" t="str">
        <f t="shared" si="18"/>
        <v>44320000</v>
      </c>
      <c r="H461" t="s">
        <v>180</v>
      </c>
      <c r="I461" s="1">
        <v>45767</v>
      </c>
      <c r="K461" s="4">
        <v>253260</v>
      </c>
    </row>
    <row r="462" spans="1:11" hidden="1" outlineLevel="2" x14ac:dyDescent="0.35">
      <c r="A462" t="s">
        <v>131</v>
      </c>
      <c r="B462" s="1">
        <v>45736</v>
      </c>
      <c r="C462" t="s">
        <v>281</v>
      </c>
      <c r="D462" t="s">
        <v>281</v>
      </c>
      <c r="F462" t="str">
        <f t="shared" si="18"/>
        <v>44320000</v>
      </c>
      <c r="H462" t="s">
        <v>180</v>
      </c>
      <c r="I462" s="1">
        <v>45767</v>
      </c>
      <c r="K462" s="4">
        <v>253260</v>
      </c>
    </row>
    <row r="463" spans="1:11" hidden="1" outlineLevel="2" x14ac:dyDescent="0.35">
      <c r="A463" t="s">
        <v>131</v>
      </c>
      <c r="B463" s="1">
        <v>45736</v>
      </c>
      <c r="C463" t="s">
        <v>281</v>
      </c>
      <c r="D463" t="s">
        <v>281</v>
      </c>
      <c r="F463" t="str">
        <f t="shared" si="18"/>
        <v>44320000</v>
      </c>
      <c r="H463" t="s">
        <v>257</v>
      </c>
      <c r="I463" s="1">
        <v>45767</v>
      </c>
      <c r="K463" s="4">
        <v>-253260</v>
      </c>
    </row>
    <row r="464" spans="1:11" hidden="1" outlineLevel="2" x14ac:dyDescent="0.35">
      <c r="A464" t="s">
        <v>131</v>
      </c>
      <c r="B464" s="1">
        <v>45737</v>
      </c>
      <c r="C464" t="s">
        <v>282</v>
      </c>
      <c r="D464" t="s">
        <v>282</v>
      </c>
      <c r="F464" t="str">
        <f t="shared" si="18"/>
        <v>44320000</v>
      </c>
      <c r="H464" t="s">
        <v>175</v>
      </c>
      <c r="I464" s="1">
        <v>45768</v>
      </c>
      <c r="K464" s="4">
        <v>190080</v>
      </c>
    </row>
    <row r="465" spans="1:11" hidden="1" outlineLevel="2" x14ac:dyDescent="0.35">
      <c r="A465" t="s">
        <v>131</v>
      </c>
      <c r="B465" s="1">
        <v>45737</v>
      </c>
      <c r="C465" t="s">
        <v>282</v>
      </c>
      <c r="D465" t="s">
        <v>282</v>
      </c>
      <c r="F465" t="str">
        <f t="shared" si="18"/>
        <v>44320000</v>
      </c>
      <c r="H465" t="s">
        <v>175</v>
      </c>
      <c r="I465" s="1">
        <v>45768</v>
      </c>
      <c r="K465" s="4">
        <v>190080</v>
      </c>
    </row>
    <row r="466" spans="1:11" hidden="1" outlineLevel="2" x14ac:dyDescent="0.35">
      <c r="A466" t="s">
        <v>131</v>
      </c>
      <c r="B466" s="1">
        <v>45737</v>
      </c>
      <c r="C466" t="s">
        <v>282</v>
      </c>
      <c r="D466" t="s">
        <v>282</v>
      </c>
      <c r="F466" t="str">
        <f t="shared" si="18"/>
        <v>44320000</v>
      </c>
      <c r="H466" t="s">
        <v>283</v>
      </c>
      <c r="I466" s="1">
        <v>45768</v>
      </c>
      <c r="K466" s="4">
        <v>-190080</v>
      </c>
    </row>
    <row r="467" spans="1:11" hidden="1" outlineLevel="2" x14ac:dyDescent="0.35">
      <c r="A467" t="s">
        <v>131</v>
      </c>
      <c r="B467" s="1">
        <v>45737</v>
      </c>
      <c r="C467" t="s">
        <v>284</v>
      </c>
      <c r="D467" t="s">
        <v>284</v>
      </c>
      <c r="F467" t="str">
        <f t="shared" si="18"/>
        <v>44320000</v>
      </c>
      <c r="H467" t="s">
        <v>146</v>
      </c>
      <c r="I467" s="1">
        <v>45768</v>
      </c>
      <c r="K467" s="4">
        <v>23760</v>
      </c>
    </row>
    <row r="468" spans="1:11" hidden="1" outlineLevel="2" x14ac:dyDescent="0.35">
      <c r="A468" t="s">
        <v>131</v>
      </c>
      <c r="B468" s="1">
        <v>45737</v>
      </c>
      <c r="C468" t="s">
        <v>284</v>
      </c>
      <c r="D468" t="s">
        <v>284</v>
      </c>
      <c r="F468" t="str">
        <f t="shared" si="18"/>
        <v>44320000</v>
      </c>
      <c r="H468" t="s">
        <v>146</v>
      </c>
      <c r="I468" s="1">
        <v>45768</v>
      </c>
      <c r="K468" s="4">
        <v>23760</v>
      </c>
    </row>
    <row r="469" spans="1:11" hidden="1" outlineLevel="2" x14ac:dyDescent="0.35">
      <c r="A469" t="s">
        <v>131</v>
      </c>
      <c r="B469" s="1">
        <v>45737</v>
      </c>
      <c r="C469" t="s">
        <v>284</v>
      </c>
      <c r="D469" t="s">
        <v>284</v>
      </c>
      <c r="F469" t="str">
        <f t="shared" si="18"/>
        <v>44320000</v>
      </c>
      <c r="H469" t="s">
        <v>268</v>
      </c>
      <c r="I469" s="1">
        <v>45768</v>
      </c>
      <c r="K469" s="4">
        <v>-23760</v>
      </c>
    </row>
    <row r="470" spans="1:11" hidden="1" outlineLevel="2" x14ac:dyDescent="0.35">
      <c r="A470" t="s">
        <v>131</v>
      </c>
      <c r="B470" s="1">
        <v>45737</v>
      </c>
      <c r="C470" t="s">
        <v>285</v>
      </c>
      <c r="D470" t="s">
        <v>285</v>
      </c>
      <c r="F470" t="str">
        <f t="shared" si="18"/>
        <v>44320000</v>
      </c>
      <c r="H470" t="s">
        <v>146</v>
      </c>
      <c r="I470" s="1">
        <v>45768</v>
      </c>
      <c r="K470" s="4">
        <v>95040</v>
      </c>
    </row>
    <row r="471" spans="1:11" hidden="1" outlineLevel="2" x14ac:dyDescent="0.35">
      <c r="A471" t="s">
        <v>131</v>
      </c>
      <c r="B471" s="1">
        <v>45737</v>
      </c>
      <c r="C471" t="s">
        <v>285</v>
      </c>
      <c r="D471" t="s">
        <v>285</v>
      </c>
      <c r="F471" t="str">
        <f t="shared" si="18"/>
        <v>44320000</v>
      </c>
      <c r="H471" t="s">
        <v>146</v>
      </c>
      <c r="I471" s="1">
        <v>45768</v>
      </c>
      <c r="K471" s="4">
        <v>95040</v>
      </c>
    </row>
    <row r="472" spans="1:11" hidden="1" outlineLevel="2" x14ac:dyDescent="0.35">
      <c r="A472" t="s">
        <v>131</v>
      </c>
      <c r="B472" s="1">
        <v>45737</v>
      </c>
      <c r="C472" t="s">
        <v>285</v>
      </c>
      <c r="D472" t="s">
        <v>285</v>
      </c>
      <c r="F472" t="str">
        <f t="shared" si="18"/>
        <v>44320000</v>
      </c>
      <c r="H472" t="s">
        <v>268</v>
      </c>
      <c r="I472" s="1">
        <v>45768</v>
      </c>
      <c r="K472" s="4">
        <v>-95040</v>
      </c>
    </row>
    <row r="473" spans="1:11" hidden="1" outlineLevel="2" x14ac:dyDescent="0.35">
      <c r="A473" t="s">
        <v>131</v>
      </c>
      <c r="B473" s="1">
        <v>45737</v>
      </c>
      <c r="C473" t="s">
        <v>286</v>
      </c>
      <c r="D473" t="s">
        <v>286</v>
      </c>
      <c r="F473" t="str">
        <f t="shared" si="18"/>
        <v>44320000</v>
      </c>
      <c r="H473" t="s">
        <v>139</v>
      </c>
      <c r="I473" s="1">
        <v>45768</v>
      </c>
      <c r="K473" s="4">
        <v>108540</v>
      </c>
    </row>
    <row r="474" spans="1:11" hidden="1" outlineLevel="2" x14ac:dyDescent="0.35">
      <c r="A474" t="s">
        <v>131</v>
      </c>
      <c r="B474" s="1">
        <v>45737</v>
      </c>
      <c r="C474" t="s">
        <v>286</v>
      </c>
      <c r="D474" t="s">
        <v>286</v>
      </c>
      <c r="F474" t="str">
        <f t="shared" si="18"/>
        <v>44320000</v>
      </c>
      <c r="H474" t="s">
        <v>139</v>
      </c>
      <c r="I474" s="1">
        <v>45768</v>
      </c>
      <c r="K474" s="4">
        <v>108540</v>
      </c>
    </row>
    <row r="475" spans="1:11" hidden="1" outlineLevel="2" x14ac:dyDescent="0.35">
      <c r="A475" t="s">
        <v>131</v>
      </c>
      <c r="B475" s="1">
        <v>45737</v>
      </c>
      <c r="C475" t="s">
        <v>286</v>
      </c>
      <c r="D475" t="s">
        <v>286</v>
      </c>
      <c r="F475" t="str">
        <f t="shared" si="18"/>
        <v>44320000</v>
      </c>
      <c r="H475" t="s">
        <v>254</v>
      </c>
      <c r="I475" s="1">
        <v>45768</v>
      </c>
      <c r="K475" s="4">
        <v>-108540</v>
      </c>
    </row>
    <row r="476" spans="1:11" hidden="1" outlineLevel="2" x14ac:dyDescent="0.35">
      <c r="A476" t="s">
        <v>131</v>
      </c>
      <c r="B476" s="1">
        <v>45737</v>
      </c>
      <c r="C476" t="s">
        <v>287</v>
      </c>
      <c r="D476" t="s">
        <v>287</v>
      </c>
      <c r="F476" t="str">
        <f t="shared" si="18"/>
        <v>44320000</v>
      </c>
      <c r="H476" t="s">
        <v>180</v>
      </c>
      <c r="I476" s="1">
        <v>45768</v>
      </c>
      <c r="K476" s="4">
        <v>144720</v>
      </c>
    </row>
    <row r="477" spans="1:11" hidden="1" outlineLevel="2" x14ac:dyDescent="0.35">
      <c r="A477" t="s">
        <v>131</v>
      </c>
      <c r="B477" s="1">
        <v>45737</v>
      </c>
      <c r="C477" t="s">
        <v>287</v>
      </c>
      <c r="D477" t="s">
        <v>287</v>
      </c>
      <c r="F477" t="str">
        <f t="shared" si="18"/>
        <v>44320000</v>
      </c>
      <c r="H477" t="s">
        <v>180</v>
      </c>
      <c r="I477" s="1">
        <v>45768</v>
      </c>
      <c r="K477" s="4">
        <v>144720</v>
      </c>
    </row>
    <row r="478" spans="1:11" hidden="1" outlineLevel="2" x14ac:dyDescent="0.35">
      <c r="A478" t="s">
        <v>131</v>
      </c>
      <c r="B478" s="1">
        <v>45737</v>
      </c>
      <c r="C478" t="s">
        <v>287</v>
      </c>
      <c r="D478" t="s">
        <v>287</v>
      </c>
      <c r="F478" t="str">
        <f t="shared" si="18"/>
        <v>44320000</v>
      </c>
      <c r="H478" t="s">
        <v>257</v>
      </c>
      <c r="I478" s="1">
        <v>45768</v>
      </c>
      <c r="K478" s="4">
        <v>-144720</v>
      </c>
    </row>
    <row r="479" spans="1:11" hidden="1" outlineLevel="2" x14ac:dyDescent="0.35">
      <c r="A479" t="s">
        <v>131</v>
      </c>
      <c r="B479" s="1">
        <v>45737</v>
      </c>
      <c r="C479" t="s">
        <v>288</v>
      </c>
      <c r="D479" t="s">
        <v>288</v>
      </c>
      <c r="F479" t="str">
        <f t="shared" si="18"/>
        <v>44320000</v>
      </c>
      <c r="H479" t="s">
        <v>139</v>
      </c>
      <c r="I479" s="1">
        <v>45768</v>
      </c>
      <c r="K479" s="4">
        <v>675360</v>
      </c>
    </row>
    <row r="480" spans="1:11" hidden="1" outlineLevel="2" x14ac:dyDescent="0.35">
      <c r="A480" t="s">
        <v>131</v>
      </c>
      <c r="B480" s="1">
        <v>45737</v>
      </c>
      <c r="C480" t="s">
        <v>288</v>
      </c>
      <c r="D480" t="s">
        <v>288</v>
      </c>
      <c r="F480" t="str">
        <f t="shared" si="18"/>
        <v>44320000</v>
      </c>
      <c r="H480" t="s">
        <v>139</v>
      </c>
      <c r="I480" s="1">
        <v>45768</v>
      </c>
      <c r="K480" s="4">
        <v>675360</v>
      </c>
    </row>
    <row r="481" spans="1:11" hidden="1" outlineLevel="2" x14ac:dyDescent="0.35">
      <c r="A481" t="s">
        <v>131</v>
      </c>
      <c r="B481" s="1">
        <v>45737</v>
      </c>
      <c r="C481" t="s">
        <v>288</v>
      </c>
      <c r="D481" t="s">
        <v>288</v>
      </c>
      <c r="F481" t="str">
        <f t="shared" si="18"/>
        <v>44320000</v>
      </c>
      <c r="H481" t="s">
        <v>254</v>
      </c>
      <c r="I481" s="1">
        <v>45768</v>
      </c>
      <c r="K481" s="4">
        <v>-675360</v>
      </c>
    </row>
    <row r="482" spans="1:11" hidden="1" outlineLevel="2" x14ac:dyDescent="0.35">
      <c r="A482" t="s">
        <v>131</v>
      </c>
      <c r="B482" s="1">
        <v>45740</v>
      </c>
      <c r="C482" t="s">
        <v>289</v>
      </c>
      <c r="D482" t="s">
        <v>289</v>
      </c>
      <c r="F482" t="str">
        <f t="shared" si="18"/>
        <v>44320000</v>
      </c>
      <c r="H482" t="s">
        <v>290</v>
      </c>
      <c r="I482" s="1">
        <v>45740</v>
      </c>
      <c r="K482" s="4">
        <v>23760</v>
      </c>
    </row>
    <row r="483" spans="1:11" hidden="1" outlineLevel="2" x14ac:dyDescent="0.35">
      <c r="A483" t="s">
        <v>131</v>
      </c>
      <c r="B483" s="1">
        <v>45740</v>
      </c>
      <c r="C483" t="s">
        <v>291</v>
      </c>
      <c r="D483" t="s">
        <v>291</v>
      </c>
      <c r="F483" t="str">
        <f t="shared" ref="F483:F524" si="19">"44320000"</f>
        <v>44320000</v>
      </c>
      <c r="H483" t="s">
        <v>144</v>
      </c>
      <c r="I483" s="1">
        <v>45740</v>
      </c>
      <c r="K483" s="4">
        <v>72000</v>
      </c>
    </row>
    <row r="484" spans="1:11" hidden="1" outlineLevel="2" x14ac:dyDescent="0.35">
      <c r="A484" t="s">
        <v>131</v>
      </c>
      <c r="B484" s="1">
        <v>45740</v>
      </c>
      <c r="C484" t="s">
        <v>292</v>
      </c>
      <c r="D484" t="s">
        <v>292</v>
      </c>
      <c r="F484" t="str">
        <f t="shared" si="19"/>
        <v>44320000</v>
      </c>
      <c r="H484" t="s">
        <v>159</v>
      </c>
      <c r="I484" s="1">
        <v>45740</v>
      </c>
      <c r="K484" s="4">
        <v>35640</v>
      </c>
    </row>
    <row r="485" spans="1:11" hidden="1" outlineLevel="2" x14ac:dyDescent="0.35">
      <c r="A485" t="s">
        <v>131</v>
      </c>
      <c r="B485" s="1">
        <v>45740</v>
      </c>
      <c r="C485" t="s">
        <v>293</v>
      </c>
      <c r="D485" t="s">
        <v>293</v>
      </c>
      <c r="F485" t="str">
        <f t="shared" si="19"/>
        <v>44320000</v>
      </c>
      <c r="H485" t="s">
        <v>188</v>
      </c>
      <c r="I485" s="1">
        <v>45740</v>
      </c>
      <c r="K485" s="4">
        <v>54000</v>
      </c>
    </row>
    <row r="486" spans="1:11" hidden="1" outlineLevel="2" x14ac:dyDescent="0.35">
      <c r="A486" t="s">
        <v>131</v>
      </c>
      <c r="B486" s="1">
        <v>45740</v>
      </c>
      <c r="C486" t="s">
        <v>294</v>
      </c>
      <c r="D486" t="s">
        <v>294</v>
      </c>
      <c r="F486" t="str">
        <f t="shared" si="19"/>
        <v>44320000</v>
      </c>
      <c r="H486" t="s">
        <v>159</v>
      </c>
      <c r="I486" s="1">
        <v>45771</v>
      </c>
      <c r="K486" s="4">
        <v>36180</v>
      </c>
    </row>
    <row r="487" spans="1:11" hidden="1" outlineLevel="2" x14ac:dyDescent="0.35">
      <c r="A487" t="s">
        <v>131</v>
      </c>
      <c r="B487" s="1">
        <v>45740</v>
      </c>
      <c r="C487" t="s">
        <v>295</v>
      </c>
      <c r="D487" t="s">
        <v>295</v>
      </c>
      <c r="F487" t="str">
        <f t="shared" si="19"/>
        <v>44320000</v>
      </c>
      <c r="H487" t="s">
        <v>159</v>
      </c>
      <c r="I487" s="1">
        <v>45740</v>
      </c>
      <c r="K487" s="4">
        <v>48240</v>
      </c>
    </row>
    <row r="488" spans="1:11" hidden="1" outlineLevel="2" x14ac:dyDescent="0.35">
      <c r="A488" t="s">
        <v>131</v>
      </c>
      <c r="B488" s="1">
        <v>45740</v>
      </c>
      <c r="C488" t="s">
        <v>296</v>
      </c>
      <c r="D488" t="s">
        <v>296</v>
      </c>
      <c r="F488" t="str">
        <f t="shared" si="19"/>
        <v>44320000</v>
      </c>
      <c r="H488" t="s">
        <v>159</v>
      </c>
      <c r="I488" s="1">
        <v>45740</v>
      </c>
      <c r="K488" s="4">
        <v>48240</v>
      </c>
    </row>
    <row r="489" spans="1:11" hidden="1" outlineLevel="2" x14ac:dyDescent="0.35">
      <c r="A489" t="s">
        <v>131</v>
      </c>
      <c r="B489" s="1">
        <v>45740</v>
      </c>
      <c r="C489" t="s">
        <v>297</v>
      </c>
      <c r="D489" t="s">
        <v>297</v>
      </c>
      <c r="F489" t="str">
        <f t="shared" si="19"/>
        <v>44320000</v>
      </c>
      <c r="H489" t="s">
        <v>159</v>
      </c>
      <c r="I489" s="1">
        <v>45740</v>
      </c>
      <c r="K489" s="4">
        <v>24120</v>
      </c>
    </row>
    <row r="490" spans="1:11" hidden="1" outlineLevel="2" x14ac:dyDescent="0.35">
      <c r="A490" t="s">
        <v>131</v>
      </c>
      <c r="B490" s="1">
        <v>45740</v>
      </c>
      <c r="C490" t="s">
        <v>298</v>
      </c>
      <c r="D490" t="s">
        <v>298</v>
      </c>
      <c r="F490" t="str">
        <f t="shared" si="19"/>
        <v>44320000</v>
      </c>
      <c r="H490" t="s">
        <v>159</v>
      </c>
      <c r="I490" s="1">
        <v>45740</v>
      </c>
      <c r="K490" s="4">
        <v>24120</v>
      </c>
    </row>
    <row r="491" spans="1:11" hidden="1" outlineLevel="2" x14ac:dyDescent="0.35">
      <c r="A491" t="s">
        <v>131</v>
      </c>
      <c r="B491" s="1">
        <v>45740</v>
      </c>
      <c r="C491" t="s">
        <v>299</v>
      </c>
      <c r="D491" t="s">
        <v>299</v>
      </c>
      <c r="F491" t="str">
        <f t="shared" si="19"/>
        <v>44320000</v>
      </c>
      <c r="H491" t="s">
        <v>224</v>
      </c>
      <c r="I491" s="1">
        <v>45740</v>
      </c>
      <c r="K491" s="4">
        <v>53460</v>
      </c>
    </row>
    <row r="492" spans="1:11" hidden="1" outlineLevel="2" x14ac:dyDescent="0.35">
      <c r="A492" t="s">
        <v>131</v>
      </c>
      <c r="B492" s="1">
        <v>45740</v>
      </c>
      <c r="C492" t="s">
        <v>300</v>
      </c>
      <c r="D492" t="s">
        <v>300</v>
      </c>
      <c r="F492" t="str">
        <f t="shared" si="19"/>
        <v>44320000</v>
      </c>
      <c r="H492" t="s">
        <v>146</v>
      </c>
      <c r="I492" s="1">
        <v>45771</v>
      </c>
      <c r="K492" s="4">
        <v>40500</v>
      </c>
    </row>
    <row r="493" spans="1:11" hidden="1" outlineLevel="2" x14ac:dyDescent="0.35">
      <c r="A493" t="s">
        <v>131</v>
      </c>
      <c r="B493" s="1">
        <v>45740</v>
      </c>
      <c r="C493" t="s">
        <v>301</v>
      </c>
      <c r="D493" t="s">
        <v>301</v>
      </c>
      <c r="F493" t="str">
        <f t="shared" si="19"/>
        <v>44320000</v>
      </c>
      <c r="H493" t="s">
        <v>146</v>
      </c>
      <c r="I493" s="1">
        <v>45771</v>
      </c>
      <c r="K493" s="4">
        <v>54000</v>
      </c>
    </row>
    <row r="494" spans="1:11" hidden="1" outlineLevel="2" x14ac:dyDescent="0.35">
      <c r="A494" t="s">
        <v>131</v>
      </c>
      <c r="B494" s="1">
        <v>45740</v>
      </c>
      <c r="C494" t="s">
        <v>302</v>
      </c>
      <c r="D494" t="s">
        <v>302</v>
      </c>
      <c r="F494" t="str">
        <f t="shared" si="19"/>
        <v>44320000</v>
      </c>
      <c r="H494" t="s">
        <v>148</v>
      </c>
      <c r="I494" s="1">
        <v>45740</v>
      </c>
      <c r="K494" s="4">
        <v>58293</v>
      </c>
    </row>
    <row r="495" spans="1:11" hidden="1" outlineLevel="2" x14ac:dyDescent="0.35">
      <c r="A495" t="s">
        <v>131</v>
      </c>
      <c r="B495" s="1">
        <v>45740</v>
      </c>
      <c r="C495" t="s">
        <v>303</v>
      </c>
      <c r="D495" t="s">
        <v>303</v>
      </c>
      <c r="F495" t="str">
        <f t="shared" si="19"/>
        <v>44320000</v>
      </c>
      <c r="H495" t="s">
        <v>233</v>
      </c>
      <c r="I495" s="1">
        <v>45740</v>
      </c>
      <c r="K495" s="4">
        <v>47520</v>
      </c>
    </row>
    <row r="496" spans="1:11" hidden="1" outlineLevel="2" x14ac:dyDescent="0.35">
      <c r="A496" t="s">
        <v>131</v>
      </c>
      <c r="B496" s="1">
        <v>45740</v>
      </c>
      <c r="C496" t="s">
        <v>304</v>
      </c>
      <c r="D496" t="s">
        <v>304</v>
      </c>
      <c r="F496" t="str">
        <f t="shared" si="19"/>
        <v>44320000</v>
      </c>
      <c r="H496" t="s">
        <v>180</v>
      </c>
      <c r="I496" s="1">
        <v>45771</v>
      </c>
      <c r="K496" s="4">
        <v>651240</v>
      </c>
    </row>
    <row r="497" spans="1:11" hidden="1" outlineLevel="2" x14ac:dyDescent="0.35">
      <c r="A497" t="s">
        <v>131</v>
      </c>
      <c r="B497" s="1">
        <v>45740</v>
      </c>
      <c r="C497" t="s">
        <v>305</v>
      </c>
      <c r="D497" t="s">
        <v>305</v>
      </c>
      <c r="F497" t="str">
        <f t="shared" si="19"/>
        <v>44320000</v>
      </c>
      <c r="H497" t="s">
        <v>180</v>
      </c>
      <c r="I497" s="1">
        <v>45771</v>
      </c>
      <c r="K497" s="4">
        <v>167760</v>
      </c>
    </row>
    <row r="498" spans="1:11" hidden="1" outlineLevel="2" x14ac:dyDescent="0.35">
      <c r="A498" t="s">
        <v>131</v>
      </c>
      <c r="B498" s="1">
        <v>45741</v>
      </c>
      <c r="C498" t="s">
        <v>306</v>
      </c>
      <c r="D498" t="s">
        <v>306</v>
      </c>
      <c r="F498" t="str">
        <f t="shared" si="19"/>
        <v>44320000</v>
      </c>
      <c r="H498" t="s">
        <v>307</v>
      </c>
      <c r="I498" s="1">
        <v>45772</v>
      </c>
      <c r="K498" s="4">
        <v>35640</v>
      </c>
    </row>
    <row r="499" spans="1:11" hidden="1" outlineLevel="2" x14ac:dyDescent="0.35">
      <c r="A499" t="s">
        <v>131</v>
      </c>
      <c r="B499" s="1">
        <v>45741</v>
      </c>
      <c r="C499" t="s">
        <v>308</v>
      </c>
      <c r="D499" t="s">
        <v>308</v>
      </c>
      <c r="F499" t="str">
        <f t="shared" si="19"/>
        <v>44320000</v>
      </c>
      <c r="H499" t="s">
        <v>139</v>
      </c>
      <c r="I499" s="1">
        <v>45772</v>
      </c>
      <c r="K499" s="4">
        <v>337680</v>
      </c>
    </row>
    <row r="500" spans="1:11" hidden="1" outlineLevel="2" x14ac:dyDescent="0.35">
      <c r="A500" t="s">
        <v>131</v>
      </c>
      <c r="B500" s="1">
        <v>45741</v>
      </c>
      <c r="C500" t="s">
        <v>309</v>
      </c>
      <c r="D500" t="s">
        <v>309</v>
      </c>
      <c r="F500" t="str">
        <f t="shared" si="19"/>
        <v>44320000</v>
      </c>
      <c r="H500" t="s">
        <v>148</v>
      </c>
      <c r="I500" s="1">
        <v>45741</v>
      </c>
      <c r="K500" s="4">
        <v>259200</v>
      </c>
    </row>
    <row r="501" spans="1:11" hidden="1" outlineLevel="2" x14ac:dyDescent="0.35">
      <c r="A501" t="s">
        <v>131</v>
      </c>
      <c r="B501" s="1">
        <v>45742</v>
      </c>
      <c r="C501" t="s">
        <v>310</v>
      </c>
      <c r="D501" t="s">
        <v>310</v>
      </c>
      <c r="F501" t="str">
        <f t="shared" si="19"/>
        <v>44320000</v>
      </c>
      <c r="H501" t="s">
        <v>146</v>
      </c>
      <c r="I501" s="1">
        <v>45773</v>
      </c>
      <c r="K501" s="4">
        <v>47520</v>
      </c>
    </row>
    <row r="502" spans="1:11" hidden="1" outlineLevel="2" x14ac:dyDescent="0.35">
      <c r="A502" t="s">
        <v>131</v>
      </c>
      <c r="B502" s="1">
        <v>45742</v>
      </c>
      <c r="C502" t="s">
        <v>311</v>
      </c>
      <c r="D502" t="s">
        <v>311</v>
      </c>
      <c r="F502" t="str">
        <f t="shared" si="19"/>
        <v>44320000</v>
      </c>
      <c r="H502" t="s">
        <v>170</v>
      </c>
      <c r="I502" s="1">
        <v>45752</v>
      </c>
      <c r="K502" s="4">
        <v>118800</v>
      </c>
    </row>
    <row r="503" spans="1:11" hidden="1" outlineLevel="2" x14ac:dyDescent="0.35">
      <c r="A503" t="s">
        <v>131</v>
      </c>
      <c r="B503" s="1">
        <v>45744</v>
      </c>
      <c r="C503" t="s">
        <v>312</v>
      </c>
      <c r="D503" t="s">
        <v>312</v>
      </c>
      <c r="F503" t="str">
        <f t="shared" si="19"/>
        <v>44320000</v>
      </c>
      <c r="H503" t="s">
        <v>167</v>
      </c>
      <c r="I503" s="1">
        <v>45744</v>
      </c>
      <c r="K503" s="4">
        <v>23760</v>
      </c>
    </row>
    <row r="504" spans="1:11" hidden="1" outlineLevel="2" x14ac:dyDescent="0.35">
      <c r="A504" t="s">
        <v>131</v>
      </c>
      <c r="B504" s="1">
        <v>45744</v>
      </c>
      <c r="C504" t="s">
        <v>313</v>
      </c>
      <c r="D504" t="s">
        <v>313</v>
      </c>
      <c r="F504" t="str">
        <f t="shared" si="19"/>
        <v>44320000</v>
      </c>
      <c r="H504" t="s">
        <v>159</v>
      </c>
      <c r="I504" s="1">
        <v>45744</v>
      </c>
      <c r="K504" s="4">
        <v>35640</v>
      </c>
    </row>
    <row r="505" spans="1:11" hidden="1" outlineLevel="2" x14ac:dyDescent="0.35">
      <c r="A505" t="s">
        <v>131</v>
      </c>
      <c r="B505" s="1">
        <v>45744</v>
      </c>
      <c r="C505" t="s">
        <v>314</v>
      </c>
      <c r="D505" t="s">
        <v>314</v>
      </c>
      <c r="F505" t="str">
        <f t="shared" si="19"/>
        <v>44320000</v>
      </c>
      <c r="H505" t="s">
        <v>159</v>
      </c>
      <c r="I505" s="1">
        <v>45775</v>
      </c>
      <c r="K505" s="4">
        <v>48240</v>
      </c>
    </row>
    <row r="506" spans="1:11" hidden="1" outlineLevel="2" x14ac:dyDescent="0.35">
      <c r="A506" t="s">
        <v>131</v>
      </c>
      <c r="B506" s="1">
        <v>45744</v>
      </c>
      <c r="C506" t="s">
        <v>315</v>
      </c>
      <c r="D506" t="s">
        <v>315</v>
      </c>
      <c r="F506" t="str">
        <f t="shared" si="19"/>
        <v>44320000</v>
      </c>
      <c r="H506" t="s">
        <v>159</v>
      </c>
      <c r="I506" s="1">
        <v>45775</v>
      </c>
      <c r="K506" s="4">
        <v>48240</v>
      </c>
    </row>
    <row r="507" spans="1:11" hidden="1" outlineLevel="2" x14ac:dyDescent="0.35">
      <c r="A507" t="s">
        <v>131</v>
      </c>
      <c r="B507" s="1">
        <v>45744</v>
      </c>
      <c r="C507" t="s">
        <v>316</v>
      </c>
      <c r="D507" t="s">
        <v>316</v>
      </c>
      <c r="F507" t="str">
        <f t="shared" si="19"/>
        <v>44320000</v>
      </c>
      <c r="H507" t="s">
        <v>146</v>
      </c>
      <c r="I507" s="1">
        <v>45775</v>
      </c>
      <c r="K507" s="4">
        <v>23760</v>
      </c>
    </row>
    <row r="508" spans="1:11" hidden="1" outlineLevel="2" x14ac:dyDescent="0.35">
      <c r="A508" t="s">
        <v>131</v>
      </c>
      <c r="B508" s="1">
        <v>45744</v>
      </c>
      <c r="C508" t="s">
        <v>317</v>
      </c>
      <c r="D508" t="s">
        <v>317</v>
      </c>
      <c r="F508" t="str">
        <f t="shared" si="19"/>
        <v>44320000</v>
      </c>
      <c r="H508" t="s">
        <v>271</v>
      </c>
      <c r="I508" s="1">
        <v>45744</v>
      </c>
      <c r="K508" s="4">
        <v>72360</v>
      </c>
    </row>
    <row r="509" spans="1:11" hidden="1" outlineLevel="2" x14ac:dyDescent="0.35">
      <c r="A509" t="s">
        <v>131</v>
      </c>
      <c r="B509" s="1">
        <v>45744</v>
      </c>
      <c r="C509" t="s">
        <v>318</v>
      </c>
      <c r="D509" t="s">
        <v>318</v>
      </c>
      <c r="F509" t="str">
        <f t="shared" si="19"/>
        <v>44320000</v>
      </c>
      <c r="H509" t="s">
        <v>195</v>
      </c>
      <c r="I509" s="1">
        <v>45744</v>
      </c>
      <c r="K509" s="4">
        <v>83880</v>
      </c>
    </row>
    <row r="510" spans="1:11" hidden="1" outlineLevel="2" x14ac:dyDescent="0.35">
      <c r="A510" t="s">
        <v>131</v>
      </c>
      <c r="B510" s="1">
        <v>45744</v>
      </c>
      <c r="C510" t="s">
        <v>319</v>
      </c>
      <c r="D510" t="s">
        <v>319</v>
      </c>
      <c r="F510" t="str">
        <f t="shared" si="19"/>
        <v>44320000</v>
      </c>
      <c r="H510" t="s">
        <v>203</v>
      </c>
      <c r="I510" s="1">
        <v>45744</v>
      </c>
      <c r="K510" s="4">
        <v>17820</v>
      </c>
    </row>
    <row r="511" spans="1:11" hidden="1" outlineLevel="2" x14ac:dyDescent="0.35">
      <c r="A511" t="s">
        <v>131</v>
      </c>
      <c r="B511" s="1">
        <v>45744</v>
      </c>
      <c r="C511" t="s">
        <v>320</v>
      </c>
      <c r="D511" t="s">
        <v>320</v>
      </c>
      <c r="F511" t="str">
        <f t="shared" si="19"/>
        <v>44320000</v>
      </c>
      <c r="H511" t="s">
        <v>139</v>
      </c>
      <c r="I511" s="1">
        <v>45775</v>
      </c>
      <c r="K511" s="4">
        <v>530640</v>
      </c>
    </row>
    <row r="512" spans="1:11" hidden="1" outlineLevel="2" x14ac:dyDescent="0.35">
      <c r="A512" t="s">
        <v>131</v>
      </c>
      <c r="B512" s="1">
        <v>45744</v>
      </c>
      <c r="C512" t="s">
        <v>321</v>
      </c>
      <c r="D512" t="s">
        <v>321</v>
      </c>
      <c r="F512" t="str">
        <f t="shared" si="19"/>
        <v>44320000</v>
      </c>
      <c r="H512" t="s">
        <v>139</v>
      </c>
      <c r="I512" s="1">
        <v>45775</v>
      </c>
      <c r="K512" s="4">
        <v>385920</v>
      </c>
    </row>
    <row r="513" spans="1:11" hidden="1" outlineLevel="2" x14ac:dyDescent="0.35">
      <c r="A513" t="s">
        <v>131</v>
      </c>
      <c r="B513" s="1">
        <v>45744</v>
      </c>
      <c r="C513" t="s">
        <v>322</v>
      </c>
      <c r="D513" t="s">
        <v>322</v>
      </c>
      <c r="F513" t="str">
        <f t="shared" si="19"/>
        <v>44320000</v>
      </c>
      <c r="H513" t="s">
        <v>139</v>
      </c>
      <c r="I513" s="1">
        <v>45775</v>
      </c>
      <c r="K513" s="4">
        <v>771840</v>
      </c>
    </row>
    <row r="514" spans="1:11" hidden="1" outlineLevel="2" x14ac:dyDescent="0.35">
      <c r="A514" t="s">
        <v>131</v>
      </c>
      <c r="B514" s="1">
        <v>45744</v>
      </c>
      <c r="C514" t="s">
        <v>323</v>
      </c>
      <c r="D514" t="s">
        <v>323</v>
      </c>
      <c r="F514" t="str">
        <f t="shared" si="19"/>
        <v>44320000</v>
      </c>
      <c r="H514" t="s">
        <v>139</v>
      </c>
      <c r="I514" s="1">
        <v>45775</v>
      </c>
      <c r="K514" s="4">
        <v>964800</v>
      </c>
    </row>
    <row r="515" spans="1:11" hidden="1" outlineLevel="2" x14ac:dyDescent="0.35">
      <c r="A515" t="s">
        <v>131</v>
      </c>
      <c r="B515" s="1">
        <v>45744</v>
      </c>
      <c r="C515" t="s">
        <v>324</v>
      </c>
      <c r="D515" t="s">
        <v>324</v>
      </c>
      <c r="F515" t="str">
        <f t="shared" si="19"/>
        <v>44320000</v>
      </c>
      <c r="H515" t="s">
        <v>139</v>
      </c>
      <c r="I515" s="1">
        <v>45775</v>
      </c>
      <c r="K515" s="4">
        <v>820080</v>
      </c>
    </row>
    <row r="516" spans="1:11" hidden="1" outlineLevel="2" x14ac:dyDescent="0.35">
      <c r="A516" t="s">
        <v>131</v>
      </c>
      <c r="B516" s="1">
        <v>45747</v>
      </c>
      <c r="C516" t="s">
        <v>325</v>
      </c>
      <c r="D516" t="s">
        <v>325</v>
      </c>
      <c r="F516" t="str">
        <f t="shared" si="19"/>
        <v>44320000</v>
      </c>
      <c r="H516" t="s">
        <v>326</v>
      </c>
      <c r="I516" s="1">
        <v>45747</v>
      </c>
      <c r="J516" s="4">
        <v>23760</v>
      </c>
    </row>
    <row r="517" spans="1:11" hidden="1" outlineLevel="2" x14ac:dyDescent="0.35">
      <c r="A517" t="s">
        <v>131</v>
      </c>
      <c r="B517" s="1">
        <v>45747</v>
      </c>
      <c r="C517" t="s">
        <v>327</v>
      </c>
      <c r="D517" t="s">
        <v>327</v>
      </c>
      <c r="F517" t="str">
        <f t="shared" si="19"/>
        <v>44320000</v>
      </c>
      <c r="H517" t="s">
        <v>146</v>
      </c>
      <c r="I517" s="1">
        <v>45777</v>
      </c>
      <c r="K517" s="4">
        <v>45000</v>
      </c>
    </row>
    <row r="518" spans="1:11" hidden="1" outlineLevel="2" x14ac:dyDescent="0.35">
      <c r="A518" t="s">
        <v>131</v>
      </c>
      <c r="B518" s="1">
        <v>45747</v>
      </c>
      <c r="C518" t="s">
        <v>328</v>
      </c>
      <c r="D518" t="s">
        <v>328</v>
      </c>
      <c r="F518" t="str">
        <f t="shared" si="19"/>
        <v>44320000</v>
      </c>
      <c r="H518" t="s">
        <v>148</v>
      </c>
      <c r="I518" s="1">
        <v>45747</v>
      </c>
      <c r="K518" s="4">
        <v>154440</v>
      </c>
    </row>
    <row r="519" spans="1:11" hidden="1" outlineLevel="2" x14ac:dyDescent="0.35">
      <c r="A519" t="s">
        <v>131</v>
      </c>
      <c r="B519" s="1">
        <v>45747</v>
      </c>
      <c r="C519" t="s">
        <v>329</v>
      </c>
      <c r="D519" t="s">
        <v>329</v>
      </c>
      <c r="F519" t="str">
        <f t="shared" si="19"/>
        <v>44320000</v>
      </c>
      <c r="H519" t="s">
        <v>154</v>
      </c>
      <c r="I519" s="1">
        <v>45747</v>
      </c>
      <c r="K519" s="4">
        <v>118800</v>
      </c>
    </row>
    <row r="520" spans="1:11" hidden="1" outlineLevel="2" x14ac:dyDescent="0.35">
      <c r="A520" t="s">
        <v>131</v>
      </c>
      <c r="B520" s="1">
        <v>45747</v>
      </c>
      <c r="C520" t="s">
        <v>330</v>
      </c>
      <c r="D520" t="s">
        <v>330</v>
      </c>
      <c r="F520" t="str">
        <f t="shared" si="19"/>
        <v>44320000</v>
      </c>
      <c r="H520" t="s">
        <v>154</v>
      </c>
      <c r="I520" s="1">
        <v>45747</v>
      </c>
      <c r="K520" s="4">
        <v>118800</v>
      </c>
    </row>
    <row r="521" spans="1:11" hidden="1" outlineLevel="2" x14ac:dyDescent="0.35">
      <c r="A521" t="s">
        <v>131</v>
      </c>
      <c r="B521" s="1">
        <v>45747</v>
      </c>
      <c r="C521" t="s">
        <v>331</v>
      </c>
      <c r="D521" t="s">
        <v>331</v>
      </c>
      <c r="F521" t="str">
        <f t="shared" si="19"/>
        <v>44320000</v>
      </c>
      <c r="H521" t="s">
        <v>180</v>
      </c>
      <c r="I521" s="1">
        <v>45777</v>
      </c>
      <c r="K521" s="4">
        <v>241200</v>
      </c>
    </row>
    <row r="522" spans="1:11" hidden="1" outlineLevel="2" x14ac:dyDescent="0.35">
      <c r="A522" t="s">
        <v>131</v>
      </c>
      <c r="B522" s="1">
        <v>45747</v>
      </c>
      <c r="C522" t="s">
        <v>332</v>
      </c>
      <c r="D522" t="s">
        <v>332</v>
      </c>
      <c r="F522" t="str">
        <f t="shared" si="19"/>
        <v>44320000</v>
      </c>
      <c r="H522" t="s">
        <v>148</v>
      </c>
      <c r="I522" s="1">
        <v>45747</v>
      </c>
      <c r="K522" s="4">
        <v>225720</v>
      </c>
    </row>
    <row r="523" spans="1:11" hidden="1" outlineLevel="2" x14ac:dyDescent="0.35">
      <c r="A523" t="s">
        <v>131</v>
      </c>
      <c r="B523" s="1">
        <v>45747</v>
      </c>
      <c r="C523" t="s">
        <v>333</v>
      </c>
      <c r="D523" t="s">
        <v>333</v>
      </c>
      <c r="F523" t="str">
        <f t="shared" si="19"/>
        <v>44320000</v>
      </c>
      <c r="H523" t="s">
        <v>154</v>
      </c>
      <c r="I523" s="1">
        <v>45747</v>
      </c>
      <c r="K523" s="4">
        <v>356400</v>
      </c>
    </row>
    <row r="524" spans="1:11" hidden="1" outlineLevel="2" x14ac:dyDescent="0.35">
      <c r="A524" t="s">
        <v>131</v>
      </c>
      <c r="B524" s="1">
        <v>45747</v>
      </c>
      <c r="C524" t="s">
        <v>334</v>
      </c>
      <c r="D524" t="s">
        <v>334</v>
      </c>
      <c r="F524" t="str">
        <f t="shared" si="19"/>
        <v>44320000</v>
      </c>
      <c r="H524" t="s">
        <v>307</v>
      </c>
      <c r="I524" s="1">
        <v>45777</v>
      </c>
      <c r="K524" s="4">
        <v>35640</v>
      </c>
    </row>
    <row r="525" spans="1:11" outlineLevel="1" collapsed="1" x14ac:dyDescent="0.35">
      <c r="B525" s="1"/>
      <c r="F525" s="3" t="s">
        <v>6554</v>
      </c>
      <c r="I525" s="1"/>
      <c r="J525" s="4">
        <f>SUBTOTAL(9,J291:J524)</f>
        <v>21248046</v>
      </c>
      <c r="K525" s="4">
        <f>SUBTOTAL(9,K291:K524)</f>
        <v>22774509</v>
      </c>
    </row>
    <row r="526" spans="1:11" hidden="1" outlineLevel="2" x14ac:dyDescent="0.35">
      <c r="A526" t="s">
        <v>101</v>
      </c>
      <c r="B526" s="1">
        <v>45747</v>
      </c>
      <c r="C526" t="str">
        <f>"7"</f>
        <v>7</v>
      </c>
      <c r="F526" t="str">
        <f>"44410000"</f>
        <v>44410000</v>
      </c>
      <c r="H526" t="s">
        <v>120</v>
      </c>
      <c r="K526" s="4">
        <v>19634526</v>
      </c>
    </row>
    <row r="527" spans="1:11" outlineLevel="1" collapsed="1" x14ac:dyDescent="0.35">
      <c r="B527" s="1"/>
      <c r="F527" s="3" t="s">
        <v>6555</v>
      </c>
      <c r="J527" s="4">
        <f>SUBTOTAL(9,J526:J526)</f>
        <v>0</v>
      </c>
      <c r="K527" s="4">
        <f>SUBTOTAL(9,K526:K526)</f>
        <v>19634526</v>
      </c>
    </row>
    <row r="528" spans="1:11" hidden="1" outlineLevel="2" x14ac:dyDescent="0.35">
      <c r="A528" t="s">
        <v>26</v>
      </c>
      <c r="B528" s="1">
        <v>45719</v>
      </c>
      <c r="C528" t="str">
        <f>"1"</f>
        <v>1</v>
      </c>
      <c r="D528" t="s">
        <v>27</v>
      </c>
      <c r="E528" t="str">
        <f>"0000036"</f>
        <v>0000036</v>
      </c>
      <c r="F528" t="str">
        <f>"44520000"</f>
        <v>44520000</v>
      </c>
      <c r="H528" t="s">
        <v>29</v>
      </c>
      <c r="J528" s="4">
        <v>135000</v>
      </c>
    </row>
    <row r="529" spans="1:11" hidden="1" outlineLevel="2" x14ac:dyDescent="0.35">
      <c r="A529" t="s">
        <v>101</v>
      </c>
      <c r="B529" s="1">
        <v>45747</v>
      </c>
      <c r="C529" t="str">
        <f>"7"</f>
        <v>7</v>
      </c>
      <c r="F529" t="str">
        <f>"44520000"</f>
        <v>44520000</v>
      </c>
      <c r="H529" t="s">
        <v>120</v>
      </c>
      <c r="K529" s="4">
        <v>135000</v>
      </c>
    </row>
    <row r="530" spans="1:11" outlineLevel="1" collapsed="1" x14ac:dyDescent="0.35">
      <c r="B530" s="1"/>
      <c r="F530" s="3" t="s">
        <v>6559</v>
      </c>
      <c r="J530" s="4">
        <f>SUBTOTAL(9,J528:J529)</f>
        <v>135000</v>
      </c>
      <c r="K530" s="4">
        <f>SUBTOTAL(9,K528:K529)</f>
        <v>135000</v>
      </c>
    </row>
    <row r="531" spans="1:11" hidden="1" outlineLevel="2" x14ac:dyDescent="0.35">
      <c r="A531" t="s">
        <v>26</v>
      </c>
      <c r="B531" s="1">
        <v>45721</v>
      </c>
      <c r="C531" t="str">
        <f>"2"</f>
        <v>2</v>
      </c>
      <c r="D531" t="s">
        <v>30</v>
      </c>
      <c r="E531" t="str">
        <f>"0571"</f>
        <v>0571</v>
      </c>
      <c r="F531" t="str">
        <f>"44540000"</f>
        <v>44540000</v>
      </c>
      <c r="H531" t="s">
        <v>31</v>
      </c>
      <c r="J531" s="4">
        <v>1404000</v>
      </c>
    </row>
    <row r="532" spans="1:11" hidden="1" outlineLevel="2" x14ac:dyDescent="0.35">
      <c r="A532" t="s">
        <v>101</v>
      </c>
      <c r="B532" s="1">
        <v>45747</v>
      </c>
      <c r="C532" t="str">
        <f>"7"</f>
        <v>7</v>
      </c>
      <c r="F532" t="str">
        <f>"44540000"</f>
        <v>44540000</v>
      </c>
      <c r="H532" t="s">
        <v>120</v>
      </c>
      <c r="K532" s="4">
        <v>1404000</v>
      </c>
    </row>
    <row r="533" spans="1:11" outlineLevel="1" collapsed="1" x14ac:dyDescent="0.35">
      <c r="B533" s="1"/>
      <c r="F533" s="3" t="s">
        <v>6560</v>
      </c>
      <c r="J533" s="4">
        <f>SUBTOTAL(9,J531:J532)</f>
        <v>1404000</v>
      </c>
      <c r="K533" s="4">
        <f>SUBTOTAL(9,K531:K532)</f>
        <v>1404000</v>
      </c>
    </row>
    <row r="534" spans="1:11" hidden="1" outlineLevel="2" x14ac:dyDescent="0.35">
      <c r="A534" t="s">
        <v>101</v>
      </c>
      <c r="B534" s="1">
        <v>45747</v>
      </c>
      <c r="C534" t="str">
        <f>"2"</f>
        <v>2</v>
      </c>
      <c r="F534" t="str">
        <f>"44601000"</f>
        <v>44601000</v>
      </c>
      <c r="H534" t="s">
        <v>114</v>
      </c>
      <c r="K534" s="4">
        <v>127764</v>
      </c>
    </row>
    <row r="535" spans="1:11" outlineLevel="1" collapsed="1" x14ac:dyDescent="0.35">
      <c r="B535" s="1"/>
      <c r="F535" s="3" t="s">
        <v>6561</v>
      </c>
      <c r="J535" s="4">
        <f>SUBTOTAL(9,J534:J534)</f>
        <v>0</v>
      </c>
      <c r="K535" s="4">
        <f>SUBTOTAL(9,K534:K534)</f>
        <v>127764</v>
      </c>
    </row>
    <row r="536" spans="1:11" hidden="1" outlineLevel="2" x14ac:dyDescent="0.35">
      <c r="A536" t="s">
        <v>101</v>
      </c>
      <c r="B536" s="1">
        <v>45747</v>
      </c>
      <c r="C536" t="str">
        <f>"3"</f>
        <v>3</v>
      </c>
      <c r="F536" t="str">
        <f>"44780100"</f>
        <v>44780100</v>
      </c>
      <c r="H536" t="s">
        <v>115</v>
      </c>
      <c r="K536" s="4">
        <v>352941</v>
      </c>
    </row>
    <row r="537" spans="1:11" outlineLevel="1" collapsed="1" x14ac:dyDescent="0.35">
      <c r="B537" s="1"/>
      <c r="F537" s="3" t="s">
        <v>6566</v>
      </c>
      <c r="J537" s="4">
        <f>SUBTOTAL(9,J536:J536)</f>
        <v>0</v>
      </c>
      <c r="K537" s="4">
        <f>SUBTOTAL(9,K536:K536)</f>
        <v>352941</v>
      </c>
    </row>
    <row r="538" spans="1:11" hidden="1" outlineLevel="2" x14ac:dyDescent="0.35">
      <c r="A538" t="s">
        <v>11</v>
      </c>
      <c r="B538" s="1">
        <v>45717</v>
      </c>
      <c r="C538" t="str">
        <f>"19"</f>
        <v>19</v>
      </c>
      <c r="E538" t="s">
        <v>20</v>
      </c>
      <c r="F538" t="str">
        <f>"44860000"</f>
        <v>44860000</v>
      </c>
      <c r="H538" t="s">
        <v>21</v>
      </c>
      <c r="K538" s="4">
        <v>1333333</v>
      </c>
    </row>
    <row r="539" spans="1:11" outlineLevel="1" collapsed="1" x14ac:dyDescent="0.35">
      <c r="B539" s="1"/>
      <c r="F539" s="3" t="s">
        <v>6731</v>
      </c>
      <c r="J539" s="4">
        <f>SUBTOTAL(9,J538:J538)</f>
        <v>0</v>
      </c>
      <c r="K539" s="4">
        <f>SUBTOTAL(9,K538:K538)</f>
        <v>1333333</v>
      </c>
    </row>
    <row r="540" spans="1:11" hidden="1" outlineLevel="2" x14ac:dyDescent="0.35">
      <c r="A540" t="s">
        <v>75</v>
      </c>
      <c r="B540" s="1">
        <v>45723</v>
      </c>
      <c r="C540" t="str">
        <f>"1"</f>
        <v>1</v>
      </c>
      <c r="D540" t="s">
        <v>76</v>
      </c>
      <c r="E540" t="s">
        <v>77</v>
      </c>
      <c r="F540" t="str">
        <f t="shared" ref="F540:F551" si="20">"47110000"</f>
        <v>47110000</v>
      </c>
      <c r="G540" t="str">
        <f t="shared" ref="G540:G551" si="21">"41100507"</f>
        <v>41100507</v>
      </c>
      <c r="H540" t="s">
        <v>78</v>
      </c>
      <c r="K540" s="4">
        <v>14160</v>
      </c>
    </row>
    <row r="541" spans="1:11" hidden="1" outlineLevel="2" x14ac:dyDescent="0.35">
      <c r="A541" t="s">
        <v>75</v>
      </c>
      <c r="B541" s="1">
        <v>45723</v>
      </c>
      <c r="C541" t="str">
        <f>"2"</f>
        <v>2</v>
      </c>
      <c r="D541" t="s">
        <v>79</v>
      </c>
      <c r="E541" t="s">
        <v>80</v>
      </c>
      <c r="F541" t="str">
        <f t="shared" si="20"/>
        <v>47110000</v>
      </c>
      <c r="G541" t="str">
        <f t="shared" si="21"/>
        <v>41100507</v>
      </c>
      <c r="H541" t="s">
        <v>78</v>
      </c>
      <c r="K541" s="4">
        <v>14160</v>
      </c>
    </row>
    <row r="542" spans="1:11" hidden="1" outlineLevel="2" x14ac:dyDescent="0.35">
      <c r="A542" t="s">
        <v>75</v>
      </c>
      <c r="B542" s="1">
        <v>45723</v>
      </c>
      <c r="C542" t="str">
        <f>"3"</f>
        <v>3</v>
      </c>
      <c r="D542" t="s">
        <v>81</v>
      </c>
      <c r="E542" t="s">
        <v>82</v>
      </c>
      <c r="F542" t="str">
        <f t="shared" si="20"/>
        <v>47110000</v>
      </c>
      <c r="G542" t="str">
        <f t="shared" si="21"/>
        <v>41100507</v>
      </c>
      <c r="H542" t="s">
        <v>78</v>
      </c>
      <c r="K542" s="4">
        <v>28320</v>
      </c>
    </row>
    <row r="543" spans="1:11" hidden="1" outlineLevel="2" x14ac:dyDescent="0.35">
      <c r="A543" t="s">
        <v>75</v>
      </c>
      <c r="B543" s="1">
        <v>45723</v>
      </c>
      <c r="C543" t="str">
        <f>"4"</f>
        <v>4</v>
      </c>
      <c r="D543" t="s">
        <v>83</v>
      </c>
      <c r="E543" t="s">
        <v>84</v>
      </c>
      <c r="F543" t="str">
        <f t="shared" si="20"/>
        <v>47110000</v>
      </c>
      <c r="G543" t="str">
        <f t="shared" si="21"/>
        <v>41100507</v>
      </c>
      <c r="H543" t="s">
        <v>78</v>
      </c>
      <c r="K543" s="4">
        <v>14160</v>
      </c>
    </row>
    <row r="544" spans="1:11" hidden="1" outlineLevel="2" x14ac:dyDescent="0.35">
      <c r="A544" t="s">
        <v>75</v>
      </c>
      <c r="B544" s="1">
        <v>45723</v>
      </c>
      <c r="C544" t="str">
        <f>"5"</f>
        <v>5</v>
      </c>
      <c r="D544" t="s">
        <v>85</v>
      </c>
      <c r="E544" t="s">
        <v>86</v>
      </c>
      <c r="F544" t="str">
        <f t="shared" si="20"/>
        <v>47110000</v>
      </c>
      <c r="G544" t="str">
        <f t="shared" si="21"/>
        <v>41100507</v>
      </c>
      <c r="H544" t="s">
        <v>78</v>
      </c>
      <c r="K544" s="4">
        <v>59000</v>
      </c>
    </row>
    <row r="545" spans="1:11" hidden="1" outlineLevel="2" x14ac:dyDescent="0.35">
      <c r="A545" t="s">
        <v>75</v>
      </c>
      <c r="B545" s="1">
        <v>45723</v>
      </c>
      <c r="C545" t="str">
        <f>"6"</f>
        <v>6</v>
      </c>
      <c r="D545" t="s">
        <v>87</v>
      </c>
      <c r="E545" t="s">
        <v>88</v>
      </c>
      <c r="F545" t="str">
        <f t="shared" si="20"/>
        <v>47110000</v>
      </c>
      <c r="G545" t="str">
        <f t="shared" si="21"/>
        <v>41100507</v>
      </c>
      <c r="H545" t="s">
        <v>78</v>
      </c>
      <c r="K545" s="4">
        <v>177000</v>
      </c>
    </row>
    <row r="546" spans="1:11" hidden="1" outlineLevel="2" x14ac:dyDescent="0.35">
      <c r="A546" t="s">
        <v>75</v>
      </c>
      <c r="B546" s="1">
        <v>45723</v>
      </c>
      <c r="C546" t="str">
        <f>"7"</f>
        <v>7</v>
      </c>
      <c r="D546" t="s">
        <v>89</v>
      </c>
      <c r="E546" t="s">
        <v>90</v>
      </c>
      <c r="F546" t="str">
        <f t="shared" si="20"/>
        <v>47110000</v>
      </c>
      <c r="G546" t="str">
        <f t="shared" si="21"/>
        <v>41100507</v>
      </c>
      <c r="H546" t="s">
        <v>78</v>
      </c>
      <c r="K546" s="4">
        <v>28320</v>
      </c>
    </row>
    <row r="547" spans="1:11" hidden="1" outlineLevel="2" x14ac:dyDescent="0.35">
      <c r="A547" t="s">
        <v>75</v>
      </c>
      <c r="B547" s="1">
        <v>45723</v>
      </c>
      <c r="C547" t="str">
        <f>"8"</f>
        <v>8</v>
      </c>
      <c r="D547" t="s">
        <v>91</v>
      </c>
      <c r="E547" t="s">
        <v>92</v>
      </c>
      <c r="F547" t="str">
        <f t="shared" si="20"/>
        <v>47110000</v>
      </c>
      <c r="G547" t="str">
        <f t="shared" si="21"/>
        <v>41100507</v>
      </c>
      <c r="H547" t="s">
        <v>78</v>
      </c>
      <c r="K547" s="4">
        <v>236000</v>
      </c>
    </row>
    <row r="548" spans="1:11" hidden="1" outlineLevel="2" x14ac:dyDescent="0.35">
      <c r="A548" t="s">
        <v>75</v>
      </c>
      <c r="B548" s="1">
        <v>45723</v>
      </c>
      <c r="C548" t="str">
        <f>"9"</f>
        <v>9</v>
      </c>
      <c r="D548" t="s">
        <v>93</v>
      </c>
      <c r="E548" t="s">
        <v>94</v>
      </c>
      <c r="F548" t="str">
        <f t="shared" si="20"/>
        <v>47110000</v>
      </c>
      <c r="G548" t="str">
        <f t="shared" si="21"/>
        <v>41100507</v>
      </c>
      <c r="H548" t="s">
        <v>78</v>
      </c>
      <c r="K548" s="4">
        <v>590000</v>
      </c>
    </row>
    <row r="549" spans="1:11" hidden="1" outlineLevel="2" x14ac:dyDescent="0.35">
      <c r="A549" t="s">
        <v>75</v>
      </c>
      <c r="B549" s="1">
        <v>45723</v>
      </c>
      <c r="C549" t="str">
        <f>"10"</f>
        <v>10</v>
      </c>
      <c r="D549" t="s">
        <v>95</v>
      </c>
      <c r="E549" t="s">
        <v>96</v>
      </c>
      <c r="F549" t="str">
        <f t="shared" si="20"/>
        <v>47110000</v>
      </c>
      <c r="G549" t="str">
        <f t="shared" si="21"/>
        <v>41100507</v>
      </c>
      <c r="H549" t="s">
        <v>78</v>
      </c>
      <c r="K549" s="4">
        <v>236000</v>
      </c>
    </row>
    <row r="550" spans="1:11" hidden="1" outlineLevel="2" x14ac:dyDescent="0.35">
      <c r="A550" t="s">
        <v>75</v>
      </c>
      <c r="B550" s="1">
        <v>45723</v>
      </c>
      <c r="C550" t="str">
        <f>"11"</f>
        <v>11</v>
      </c>
      <c r="D550" t="s">
        <v>97</v>
      </c>
      <c r="E550" t="s">
        <v>98</v>
      </c>
      <c r="F550" t="str">
        <f t="shared" si="20"/>
        <v>47110000</v>
      </c>
      <c r="G550" t="str">
        <f t="shared" si="21"/>
        <v>41100507</v>
      </c>
      <c r="H550" t="s">
        <v>78</v>
      </c>
      <c r="K550" s="4">
        <v>56640</v>
      </c>
    </row>
    <row r="551" spans="1:11" hidden="1" outlineLevel="2" x14ac:dyDescent="0.35">
      <c r="A551" t="s">
        <v>75</v>
      </c>
      <c r="B551" s="1">
        <v>45723</v>
      </c>
      <c r="C551" t="str">
        <f>"12"</f>
        <v>12</v>
      </c>
      <c r="D551" t="s">
        <v>99</v>
      </c>
      <c r="E551" t="s">
        <v>100</v>
      </c>
      <c r="F551" t="str">
        <f t="shared" si="20"/>
        <v>47110000</v>
      </c>
      <c r="G551" t="str">
        <f t="shared" si="21"/>
        <v>41100507</v>
      </c>
      <c r="H551" t="s">
        <v>78</v>
      </c>
      <c r="K551" s="4">
        <v>68145</v>
      </c>
    </row>
    <row r="552" spans="1:11" outlineLevel="1" collapsed="1" x14ac:dyDescent="0.35">
      <c r="B552" s="1"/>
      <c r="F552" s="3" t="s">
        <v>6570</v>
      </c>
      <c r="J552" s="4">
        <f>SUBTOTAL(9,J540:J551)</f>
        <v>0</v>
      </c>
      <c r="K552" s="4">
        <f>SUBTOTAL(9,K540:K551)</f>
        <v>1521905</v>
      </c>
    </row>
    <row r="553" spans="1:11" hidden="1" outlineLevel="2" x14ac:dyDescent="0.35">
      <c r="A553" t="s">
        <v>64</v>
      </c>
      <c r="B553" s="1">
        <v>45722</v>
      </c>
      <c r="C553" t="str">
        <f>"1"</f>
        <v>1</v>
      </c>
      <c r="E553" t="str">
        <f>"1307"</f>
        <v>1307</v>
      </c>
      <c r="F553" t="str">
        <f t="shared" ref="F553:F568" si="22">"47110110"</f>
        <v>47110110</v>
      </c>
      <c r="H553" t="s">
        <v>65</v>
      </c>
      <c r="K553" s="4">
        <v>1000</v>
      </c>
    </row>
    <row r="554" spans="1:11" hidden="1" outlineLevel="2" x14ac:dyDescent="0.35">
      <c r="A554" t="s">
        <v>64</v>
      </c>
      <c r="B554" s="1">
        <v>45734</v>
      </c>
      <c r="C554" t="str">
        <f>"3"</f>
        <v>3</v>
      </c>
      <c r="E554" t="str">
        <f>"1308"</f>
        <v>1308</v>
      </c>
      <c r="F554" t="str">
        <f t="shared" si="22"/>
        <v>47110110</v>
      </c>
      <c r="H554" t="s">
        <v>65</v>
      </c>
      <c r="K554" s="4">
        <v>2000</v>
      </c>
    </row>
    <row r="555" spans="1:11" hidden="1" outlineLevel="2" x14ac:dyDescent="0.35">
      <c r="A555" t="s">
        <v>64</v>
      </c>
      <c r="B555" s="1">
        <v>45734</v>
      </c>
      <c r="C555" t="str">
        <f>"5"</f>
        <v>5</v>
      </c>
      <c r="E555" t="str">
        <f>"1309"</f>
        <v>1309</v>
      </c>
      <c r="F555" t="str">
        <f t="shared" si="22"/>
        <v>47110110</v>
      </c>
      <c r="H555" t="s">
        <v>66</v>
      </c>
      <c r="K555" s="4">
        <v>500</v>
      </c>
    </row>
    <row r="556" spans="1:11" hidden="1" outlineLevel="2" x14ac:dyDescent="0.35">
      <c r="A556" t="s">
        <v>64</v>
      </c>
      <c r="B556" s="1">
        <v>45734</v>
      </c>
      <c r="C556" t="str">
        <f>"7"</f>
        <v>7</v>
      </c>
      <c r="E556" t="str">
        <f>"1310"</f>
        <v>1310</v>
      </c>
      <c r="F556" t="str">
        <f t="shared" si="22"/>
        <v>47110110</v>
      </c>
      <c r="H556" t="s">
        <v>66</v>
      </c>
      <c r="K556" s="4">
        <v>2000</v>
      </c>
    </row>
    <row r="557" spans="1:11" hidden="1" outlineLevel="2" x14ac:dyDescent="0.35">
      <c r="A557" t="s">
        <v>64</v>
      </c>
      <c r="B557" s="1">
        <v>45734</v>
      </c>
      <c r="C557" t="str">
        <f>"9"</f>
        <v>9</v>
      </c>
      <c r="E557" t="str">
        <f>"1311"</f>
        <v>1311</v>
      </c>
      <c r="F557" t="str">
        <f t="shared" si="22"/>
        <v>47110110</v>
      </c>
      <c r="H557" t="s">
        <v>67</v>
      </c>
      <c r="K557" s="4">
        <v>500</v>
      </c>
    </row>
    <row r="558" spans="1:11" hidden="1" outlineLevel="2" x14ac:dyDescent="0.35">
      <c r="A558" t="s">
        <v>64</v>
      </c>
      <c r="B558" s="1">
        <v>45734</v>
      </c>
      <c r="C558" t="str">
        <f>"11"</f>
        <v>11</v>
      </c>
      <c r="E558" t="str">
        <f>"1312"</f>
        <v>1312</v>
      </c>
      <c r="F558" t="str">
        <f t="shared" si="22"/>
        <v>47110110</v>
      </c>
      <c r="H558" t="s">
        <v>68</v>
      </c>
      <c r="K558" s="4">
        <v>2000</v>
      </c>
    </row>
    <row r="559" spans="1:11" hidden="1" outlineLevel="2" x14ac:dyDescent="0.35">
      <c r="A559" t="s">
        <v>64</v>
      </c>
      <c r="B559" s="1">
        <v>45734</v>
      </c>
      <c r="C559" t="str">
        <f>"13"</f>
        <v>13</v>
      </c>
      <c r="E559" t="str">
        <f>"1313"</f>
        <v>1313</v>
      </c>
      <c r="F559" t="str">
        <f t="shared" si="22"/>
        <v>47110110</v>
      </c>
      <c r="H559" t="s">
        <v>69</v>
      </c>
      <c r="K559" s="4">
        <v>500</v>
      </c>
    </row>
    <row r="560" spans="1:11" hidden="1" outlineLevel="2" x14ac:dyDescent="0.35">
      <c r="A560" t="s">
        <v>64</v>
      </c>
      <c r="B560" s="1">
        <v>45734</v>
      </c>
      <c r="C560" t="str">
        <f>"15"</f>
        <v>15</v>
      </c>
      <c r="E560" t="str">
        <f>"1314"</f>
        <v>1314</v>
      </c>
      <c r="F560" t="str">
        <f t="shared" si="22"/>
        <v>47110110</v>
      </c>
      <c r="H560" t="s">
        <v>69</v>
      </c>
      <c r="K560" s="4">
        <v>500</v>
      </c>
    </row>
    <row r="561" spans="1:11" hidden="1" outlineLevel="2" x14ac:dyDescent="0.35">
      <c r="A561" t="s">
        <v>64</v>
      </c>
      <c r="B561" s="1">
        <v>45734</v>
      </c>
      <c r="C561" t="str">
        <f>"17"</f>
        <v>17</v>
      </c>
      <c r="E561" t="str">
        <f>"1315"</f>
        <v>1315</v>
      </c>
      <c r="F561" t="str">
        <f t="shared" si="22"/>
        <v>47110110</v>
      </c>
      <c r="H561" t="s">
        <v>69</v>
      </c>
      <c r="K561" s="4">
        <v>500</v>
      </c>
    </row>
    <row r="562" spans="1:11" hidden="1" outlineLevel="2" x14ac:dyDescent="0.35">
      <c r="A562" t="s">
        <v>64</v>
      </c>
      <c r="B562" s="1">
        <v>45734</v>
      </c>
      <c r="C562" t="str">
        <f>"19"</f>
        <v>19</v>
      </c>
      <c r="E562" t="str">
        <f>"1316"</f>
        <v>1316</v>
      </c>
      <c r="F562" t="str">
        <f t="shared" si="22"/>
        <v>47110110</v>
      </c>
      <c r="H562" t="s">
        <v>69</v>
      </c>
      <c r="K562" s="4">
        <v>500</v>
      </c>
    </row>
    <row r="563" spans="1:11" hidden="1" outlineLevel="2" x14ac:dyDescent="0.35">
      <c r="A563" t="s">
        <v>64</v>
      </c>
      <c r="B563" s="1">
        <v>45734</v>
      </c>
      <c r="C563" t="str">
        <f>"21"</f>
        <v>21</v>
      </c>
      <c r="E563" t="str">
        <f>"1317"</f>
        <v>1317</v>
      </c>
      <c r="F563" t="str">
        <f t="shared" si="22"/>
        <v>47110110</v>
      </c>
      <c r="H563" t="s">
        <v>70</v>
      </c>
      <c r="K563" s="4">
        <v>500</v>
      </c>
    </row>
    <row r="564" spans="1:11" hidden="1" outlineLevel="2" x14ac:dyDescent="0.35">
      <c r="A564" t="s">
        <v>64</v>
      </c>
      <c r="B564" s="1">
        <v>45734</v>
      </c>
      <c r="C564" t="str">
        <f>"23"</f>
        <v>23</v>
      </c>
      <c r="E564" t="str">
        <f>"1318"</f>
        <v>1318</v>
      </c>
      <c r="F564" t="str">
        <f t="shared" si="22"/>
        <v>47110110</v>
      </c>
      <c r="H564" t="s">
        <v>70</v>
      </c>
      <c r="K564" s="4">
        <v>500</v>
      </c>
    </row>
    <row r="565" spans="1:11" hidden="1" outlineLevel="2" x14ac:dyDescent="0.35">
      <c r="A565" t="s">
        <v>64</v>
      </c>
      <c r="B565" s="1">
        <v>45734</v>
      </c>
      <c r="C565" t="str">
        <f>"25"</f>
        <v>25</v>
      </c>
      <c r="E565" t="str">
        <f>"1319"</f>
        <v>1319</v>
      </c>
      <c r="F565" t="str">
        <f t="shared" si="22"/>
        <v>47110110</v>
      </c>
      <c r="H565" t="s">
        <v>70</v>
      </c>
      <c r="K565" s="4">
        <v>500</v>
      </c>
    </row>
    <row r="566" spans="1:11" hidden="1" outlineLevel="2" x14ac:dyDescent="0.35">
      <c r="A566" t="s">
        <v>64</v>
      </c>
      <c r="B566" s="1">
        <v>45735</v>
      </c>
      <c r="C566" t="str">
        <f>"27"</f>
        <v>27</v>
      </c>
      <c r="E566" t="str">
        <f>"1320"</f>
        <v>1320</v>
      </c>
      <c r="F566" t="str">
        <f t="shared" si="22"/>
        <v>47110110</v>
      </c>
      <c r="H566" t="s">
        <v>71</v>
      </c>
      <c r="K566" s="4">
        <v>2000</v>
      </c>
    </row>
    <row r="567" spans="1:11" hidden="1" outlineLevel="2" x14ac:dyDescent="0.35">
      <c r="A567" t="s">
        <v>64</v>
      </c>
      <c r="B567" s="1">
        <v>45741</v>
      </c>
      <c r="C567" t="str">
        <f>"29"</f>
        <v>29</v>
      </c>
      <c r="E567" t="str">
        <f>"1321"</f>
        <v>1321</v>
      </c>
      <c r="F567" t="str">
        <f t="shared" si="22"/>
        <v>47110110</v>
      </c>
      <c r="H567" t="s">
        <v>65</v>
      </c>
      <c r="K567" s="4">
        <v>2000</v>
      </c>
    </row>
    <row r="568" spans="1:11" hidden="1" outlineLevel="2" x14ac:dyDescent="0.35">
      <c r="A568" t="s">
        <v>64</v>
      </c>
      <c r="B568" s="1">
        <v>45744</v>
      </c>
      <c r="C568" t="str">
        <f>"31"</f>
        <v>31</v>
      </c>
      <c r="E568" t="str">
        <f>"1322"</f>
        <v>1322</v>
      </c>
      <c r="F568" t="str">
        <f t="shared" si="22"/>
        <v>47110110</v>
      </c>
      <c r="H568" t="s">
        <v>71</v>
      </c>
      <c r="K568" s="4">
        <v>2000</v>
      </c>
    </row>
    <row r="569" spans="1:11" outlineLevel="1" collapsed="1" x14ac:dyDescent="0.35">
      <c r="B569" s="1"/>
      <c r="F569" s="3" t="s">
        <v>6732</v>
      </c>
      <c r="J569" s="4">
        <f>SUBTOTAL(9,J553:J568)</f>
        <v>0</v>
      </c>
      <c r="K569" s="4">
        <f>SUBTOTAL(9,K553:K568)</f>
        <v>17500</v>
      </c>
    </row>
    <row r="570" spans="1:11" hidden="1" outlineLevel="2" x14ac:dyDescent="0.35">
      <c r="A570" t="s">
        <v>32</v>
      </c>
      <c r="B570" s="1">
        <v>45721</v>
      </c>
      <c r="C570" t="str">
        <f>"2"</f>
        <v>2</v>
      </c>
      <c r="F570" t="str">
        <f t="shared" ref="F570:F608" si="23">"47112600"</f>
        <v>47112600</v>
      </c>
      <c r="H570" t="s">
        <v>35</v>
      </c>
      <c r="J570" s="4">
        <v>9001813</v>
      </c>
    </row>
    <row r="571" spans="1:11" hidden="1" outlineLevel="2" x14ac:dyDescent="0.35">
      <c r="A571" t="s">
        <v>32</v>
      </c>
      <c r="B571" s="1">
        <v>45736</v>
      </c>
      <c r="C571" t="str">
        <f>"13"</f>
        <v>13</v>
      </c>
      <c r="F571" t="str">
        <f t="shared" si="23"/>
        <v>47112600</v>
      </c>
      <c r="H571" t="s">
        <v>44</v>
      </c>
      <c r="J571" s="4">
        <v>6195000</v>
      </c>
    </row>
    <row r="572" spans="1:11" hidden="1" outlineLevel="2" x14ac:dyDescent="0.35">
      <c r="A572" t="s">
        <v>32</v>
      </c>
      <c r="B572" s="1">
        <v>45736</v>
      </c>
      <c r="C572" t="str">
        <f>"14"</f>
        <v>14</v>
      </c>
      <c r="F572" t="str">
        <f t="shared" si="23"/>
        <v>47112600</v>
      </c>
      <c r="H572" t="s">
        <v>45</v>
      </c>
      <c r="J572" s="4">
        <v>1089000</v>
      </c>
    </row>
    <row r="573" spans="1:11" hidden="1" outlineLevel="2" x14ac:dyDescent="0.35">
      <c r="A573" t="s">
        <v>32</v>
      </c>
      <c r="B573" s="1">
        <v>45736</v>
      </c>
      <c r="C573" t="str">
        <f>"15"</f>
        <v>15</v>
      </c>
      <c r="F573" t="str">
        <f t="shared" si="23"/>
        <v>47112600</v>
      </c>
      <c r="H573" t="s">
        <v>46</v>
      </c>
      <c r="J573" s="4">
        <v>5096000</v>
      </c>
    </row>
    <row r="574" spans="1:11" hidden="1" outlineLevel="2" x14ac:dyDescent="0.35">
      <c r="A574" t="s">
        <v>32</v>
      </c>
      <c r="B574" s="1">
        <v>45736</v>
      </c>
      <c r="C574" t="str">
        <f>"16"</f>
        <v>16</v>
      </c>
      <c r="F574" t="str">
        <f t="shared" si="23"/>
        <v>47112600</v>
      </c>
      <c r="H574" t="s">
        <v>47</v>
      </c>
      <c r="J574" s="4">
        <v>700000</v>
      </c>
    </row>
    <row r="575" spans="1:11" hidden="1" outlineLevel="2" x14ac:dyDescent="0.35">
      <c r="A575" t="s">
        <v>32</v>
      </c>
      <c r="B575" s="1">
        <v>45736</v>
      </c>
      <c r="C575" t="str">
        <f>"17"</f>
        <v>17</v>
      </c>
      <c r="F575" t="str">
        <f t="shared" si="23"/>
        <v>47112600</v>
      </c>
      <c r="H575" t="s">
        <v>48</v>
      </c>
      <c r="J575" s="4">
        <v>1661980</v>
      </c>
    </row>
    <row r="576" spans="1:11" hidden="1" outlineLevel="2" x14ac:dyDescent="0.35">
      <c r="A576" t="s">
        <v>32</v>
      </c>
      <c r="B576" s="1">
        <v>45736</v>
      </c>
      <c r="C576" t="str">
        <f>"18"</f>
        <v>18</v>
      </c>
      <c r="F576" t="str">
        <f t="shared" si="23"/>
        <v>47112600</v>
      </c>
      <c r="H576" t="s">
        <v>49</v>
      </c>
      <c r="J576" s="4">
        <v>1926815</v>
      </c>
    </row>
    <row r="577" spans="1:10" hidden="1" outlineLevel="2" x14ac:dyDescent="0.35">
      <c r="A577" t="s">
        <v>32</v>
      </c>
      <c r="B577" s="1">
        <v>45736</v>
      </c>
      <c r="C577" t="str">
        <f>"19"</f>
        <v>19</v>
      </c>
      <c r="F577" t="str">
        <f t="shared" si="23"/>
        <v>47112600</v>
      </c>
      <c r="H577" t="s">
        <v>50</v>
      </c>
      <c r="J577" s="4">
        <v>12226851</v>
      </c>
    </row>
    <row r="578" spans="1:10" hidden="1" outlineLevel="2" x14ac:dyDescent="0.35">
      <c r="A578" t="s">
        <v>32</v>
      </c>
      <c r="B578" s="1">
        <v>45736</v>
      </c>
      <c r="C578" t="str">
        <f>"20"</f>
        <v>20</v>
      </c>
      <c r="F578" t="str">
        <f t="shared" si="23"/>
        <v>47112600</v>
      </c>
      <c r="H578" t="s">
        <v>51</v>
      </c>
      <c r="J578" s="4">
        <v>63994</v>
      </c>
    </row>
    <row r="579" spans="1:10" hidden="1" outlineLevel="2" x14ac:dyDescent="0.35">
      <c r="A579" t="s">
        <v>32</v>
      </c>
      <c r="B579" s="1">
        <v>45736</v>
      </c>
      <c r="C579" t="str">
        <f>"21"</f>
        <v>21</v>
      </c>
      <c r="F579" t="str">
        <f t="shared" si="23"/>
        <v>47112600</v>
      </c>
      <c r="H579" t="s">
        <v>52</v>
      </c>
      <c r="J579" s="4">
        <v>15000000</v>
      </c>
    </row>
    <row r="580" spans="1:10" hidden="1" outlineLevel="2" x14ac:dyDescent="0.35">
      <c r="A580" t="s">
        <v>32</v>
      </c>
      <c r="B580" s="1">
        <v>45736</v>
      </c>
      <c r="C580" t="str">
        <f>"26"</f>
        <v>26</v>
      </c>
      <c r="F580" t="str">
        <f t="shared" si="23"/>
        <v>47112600</v>
      </c>
      <c r="H580" t="s">
        <v>53</v>
      </c>
      <c r="J580" s="4">
        <v>1448440</v>
      </c>
    </row>
    <row r="581" spans="1:10" hidden="1" outlineLevel="2" x14ac:dyDescent="0.35">
      <c r="A581" t="s">
        <v>32</v>
      </c>
      <c r="B581" s="1">
        <v>45737</v>
      </c>
      <c r="C581" t="str">
        <f>"22"</f>
        <v>22</v>
      </c>
      <c r="F581" t="str">
        <f t="shared" si="23"/>
        <v>47112600</v>
      </c>
      <c r="H581" t="s">
        <v>57</v>
      </c>
      <c r="J581" s="4">
        <v>10000000</v>
      </c>
    </row>
    <row r="582" spans="1:10" hidden="1" outlineLevel="2" x14ac:dyDescent="0.35">
      <c r="A582" t="s">
        <v>32</v>
      </c>
      <c r="B582" s="1">
        <v>45741</v>
      </c>
      <c r="C582" t="str">
        <f>"30"</f>
        <v>30</v>
      </c>
      <c r="F582" t="str">
        <f t="shared" si="23"/>
        <v>47112600</v>
      </c>
      <c r="H582" t="s">
        <v>60</v>
      </c>
      <c r="J582" s="4">
        <v>10000000</v>
      </c>
    </row>
    <row r="583" spans="1:10" hidden="1" outlineLevel="2" x14ac:dyDescent="0.35">
      <c r="A583" t="s">
        <v>32</v>
      </c>
      <c r="B583" s="1">
        <v>45742</v>
      </c>
      <c r="C583" t="str">
        <f>"25"</f>
        <v>25</v>
      </c>
      <c r="F583" t="str">
        <f t="shared" si="23"/>
        <v>47112600</v>
      </c>
      <c r="H583" t="s">
        <v>61</v>
      </c>
      <c r="J583" s="4">
        <v>22000000</v>
      </c>
    </row>
    <row r="584" spans="1:10" hidden="1" outlineLevel="2" x14ac:dyDescent="0.35">
      <c r="A584" t="s">
        <v>64</v>
      </c>
      <c r="B584" s="1">
        <v>45722</v>
      </c>
      <c r="C584" t="str">
        <f>"2"</f>
        <v>2</v>
      </c>
      <c r="E584" t="str">
        <f>"1307"</f>
        <v>1307</v>
      </c>
      <c r="F584" t="str">
        <f t="shared" si="23"/>
        <v>47112600</v>
      </c>
      <c r="H584" t="s">
        <v>65</v>
      </c>
      <c r="J584" s="4">
        <v>527280</v>
      </c>
    </row>
    <row r="585" spans="1:10" hidden="1" outlineLevel="2" x14ac:dyDescent="0.35">
      <c r="A585" t="s">
        <v>64</v>
      </c>
      <c r="B585" s="1">
        <v>45734</v>
      </c>
      <c r="C585" t="str">
        <f>"4"</f>
        <v>4</v>
      </c>
      <c r="E585" t="str">
        <f>"1308"</f>
        <v>1308</v>
      </c>
      <c r="F585" t="str">
        <f t="shared" si="23"/>
        <v>47112600</v>
      </c>
      <c r="H585" t="s">
        <v>65</v>
      </c>
      <c r="J585" s="4">
        <v>1825100</v>
      </c>
    </row>
    <row r="586" spans="1:10" hidden="1" outlineLevel="2" x14ac:dyDescent="0.35">
      <c r="A586" t="s">
        <v>64</v>
      </c>
      <c r="B586" s="1">
        <v>45734</v>
      </c>
      <c r="C586" t="str">
        <f>"6"</f>
        <v>6</v>
      </c>
      <c r="E586" t="str">
        <f>"1309"</f>
        <v>1309</v>
      </c>
      <c r="F586" t="str">
        <f t="shared" si="23"/>
        <v>47112600</v>
      </c>
      <c r="H586" t="s">
        <v>66</v>
      </c>
      <c r="J586" s="4">
        <v>354500</v>
      </c>
    </row>
    <row r="587" spans="1:10" hidden="1" outlineLevel="2" x14ac:dyDescent="0.35">
      <c r="A587" t="s">
        <v>64</v>
      </c>
      <c r="B587" s="1">
        <v>45734</v>
      </c>
      <c r="C587" t="str">
        <f>"8"</f>
        <v>8</v>
      </c>
      <c r="E587" t="str">
        <f>"1310"</f>
        <v>1310</v>
      </c>
      <c r="F587" t="str">
        <f t="shared" si="23"/>
        <v>47112600</v>
      </c>
      <c r="H587" t="s">
        <v>66</v>
      </c>
      <c r="J587" s="4">
        <v>2954360</v>
      </c>
    </row>
    <row r="588" spans="1:10" hidden="1" outlineLevel="2" x14ac:dyDescent="0.35">
      <c r="A588" t="s">
        <v>64</v>
      </c>
      <c r="B588" s="1">
        <v>45734</v>
      </c>
      <c r="C588" t="str">
        <f>"10"</f>
        <v>10</v>
      </c>
      <c r="E588" t="str">
        <f>"1311"</f>
        <v>1311</v>
      </c>
      <c r="F588" t="str">
        <f t="shared" si="23"/>
        <v>47112600</v>
      </c>
      <c r="H588" t="s">
        <v>67</v>
      </c>
      <c r="J588" s="4">
        <v>215260</v>
      </c>
    </row>
    <row r="589" spans="1:10" hidden="1" outlineLevel="2" x14ac:dyDescent="0.35">
      <c r="A589" t="s">
        <v>64</v>
      </c>
      <c r="B589" s="1">
        <v>45734</v>
      </c>
      <c r="C589" t="str">
        <f>"12"</f>
        <v>12</v>
      </c>
      <c r="E589" t="str">
        <f>"1312"</f>
        <v>1312</v>
      </c>
      <c r="F589" t="str">
        <f t="shared" si="23"/>
        <v>47112600</v>
      </c>
      <c r="H589" t="s">
        <v>68</v>
      </c>
      <c r="J589" s="4">
        <v>1075800</v>
      </c>
    </row>
    <row r="590" spans="1:10" hidden="1" outlineLevel="2" x14ac:dyDescent="0.35">
      <c r="A590" t="s">
        <v>64</v>
      </c>
      <c r="B590" s="1">
        <v>45734</v>
      </c>
      <c r="C590" t="str">
        <f>"14"</f>
        <v>14</v>
      </c>
      <c r="E590" t="str">
        <f>"1313"</f>
        <v>1313</v>
      </c>
      <c r="F590" t="str">
        <f t="shared" si="23"/>
        <v>47112600</v>
      </c>
      <c r="H590" t="s">
        <v>69</v>
      </c>
      <c r="J590" s="4">
        <v>215260</v>
      </c>
    </row>
    <row r="591" spans="1:10" hidden="1" outlineLevel="2" x14ac:dyDescent="0.35">
      <c r="A591" t="s">
        <v>64</v>
      </c>
      <c r="B591" s="1">
        <v>45734</v>
      </c>
      <c r="C591" t="str">
        <f>"16"</f>
        <v>16</v>
      </c>
      <c r="E591" t="str">
        <f>"1314"</f>
        <v>1314</v>
      </c>
      <c r="F591" t="str">
        <f t="shared" si="23"/>
        <v>47112600</v>
      </c>
      <c r="H591" t="s">
        <v>69</v>
      </c>
      <c r="J591" s="4">
        <v>215260</v>
      </c>
    </row>
    <row r="592" spans="1:10" hidden="1" outlineLevel="2" x14ac:dyDescent="0.35">
      <c r="A592" t="s">
        <v>64</v>
      </c>
      <c r="B592" s="1">
        <v>45734</v>
      </c>
      <c r="C592" t="str">
        <f>"18"</f>
        <v>18</v>
      </c>
      <c r="E592" t="str">
        <f>"1315"</f>
        <v>1315</v>
      </c>
      <c r="F592" t="str">
        <f t="shared" si="23"/>
        <v>47112600</v>
      </c>
      <c r="H592" t="s">
        <v>69</v>
      </c>
      <c r="J592" s="4">
        <v>215260</v>
      </c>
    </row>
    <row r="593" spans="1:10" hidden="1" outlineLevel="2" x14ac:dyDescent="0.35">
      <c r="A593" t="s">
        <v>64</v>
      </c>
      <c r="B593" s="1">
        <v>45734</v>
      </c>
      <c r="C593" t="str">
        <f>"20"</f>
        <v>20</v>
      </c>
      <c r="E593" t="str">
        <f>"1316"</f>
        <v>1316</v>
      </c>
      <c r="F593" t="str">
        <f t="shared" si="23"/>
        <v>47112600</v>
      </c>
      <c r="H593" t="s">
        <v>69</v>
      </c>
      <c r="J593" s="4">
        <v>215260</v>
      </c>
    </row>
    <row r="594" spans="1:10" hidden="1" outlineLevel="2" x14ac:dyDescent="0.35">
      <c r="A594" t="s">
        <v>64</v>
      </c>
      <c r="B594" s="1">
        <v>45734</v>
      </c>
      <c r="C594" t="str">
        <f>"22"</f>
        <v>22</v>
      </c>
      <c r="E594" t="str">
        <f>"1317"</f>
        <v>1317</v>
      </c>
      <c r="F594" t="str">
        <f t="shared" si="23"/>
        <v>47112600</v>
      </c>
      <c r="H594" t="s">
        <v>70</v>
      </c>
      <c r="J594" s="4">
        <v>215260</v>
      </c>
    </row>
    <row r="595" spans="1:10" hidden="1" outlineLevel="2" x14ac:dyDescent="0.35">
      <c r="A595" t="s">
        <v>64</v>
      </c>
      <c r="B595" s="1">
        <v>45734</v>
      </c>
      <c r="C595" t="str">
        <f>"24"</f>
        <v>24</v>
      </c>
      <c r="E595" t="str">
        <f>"1318"</f>
        <v>1318</v>
      </c>
      <c r="F595" t="str">
        <f t="shared" si="23"/>
        <v>47112600</v>
      </c>
      <c r="H595" t="s">
        <v>70</v>
      </c>
      <c r="J595" s="4">
        <v>215260</v>
      </c>
    </row>
    <row r="596" spans="1:10" hidden="1" outlineLevel="2" x14ac:dyDescent="0.35">
      <c r="A596" t="s">
        <v>64</v>
      </c>
      <c r="B596" s="1">
        <v>45734</v>
      </c>
      <c r="C596" t="str">
        <f>"26"</f>
        <v>26</v>
      </c>
      <c r="E596" t="str">
        <f>"1319"</f>
        <v>1319</v>
      </c>
      <c r="F596" t="str">
        <f t="shared" si="23"/>
        <v>47112600</v>
      </c>
      <c r="H596" t="s">
        <v>70</v>
      </c>
      <c r="J596" s="4">
        <v>322640</v>
      </c>
    </row>
    <row r="597" spans="1:10" hidden="1" outlineLevel="2" x14ac:dyDescent="0.35">
      <c r="A597" t="s">
        <v>64</v>
      </c>
      <c r="B597" s="1">
        <v>45735</v>
      </c>
      <c r="C597" t="str">
        <f>"28"</f>
        <v>28</v>
      </c>
      <c r="E597" t="str">
        <f>"1320"</f>
        <v>1320</v>
      </c>
      <c r="F597" t="str">
        <f t="shared" si="23"/>
        <v>47112600</v>
      </c>
      <c r="H597" t="s">
        <v>71</v>
      </c>
      <c r="J597" s="4">
        <v>2149600</v>
      </c>
    </row>
    <row r="598" spans="1:10" hidden="1" outlineLevel="2" x14ac:dyDescent="0.35">
      <c r="A598" t="s">
        <v>64</v>
      </c>
      <c r="B598" s="1">
        <v>45741</v>
      </c>
      <c r="C598" t="str">
        <f>"30"</f>
        <v>30</v>
      </c>
      <c r="E598" t="str">
        <f>"1321"</f>
        <v>1321</v>
      </c>
      <c r="F598" t="str">
        <f t="shared" si="23"/>
        <v>47112600</v>
      </c>
      <c r="H598" t="s">
        <v>65</v>
      </c>
      <c r="J598" s="4">
        <v>1064000</v>
      </c>
    </row>
    <row r="599" spans="1:10" hidden="1" outlineLevel="2" x14ac:dyDescent="0.35">
      <c r="A599" t="s">
        <v>64</v>
      </c>
      <c r="B599" s="1">
        <v>45744</v>
      </c>
      <c r="C599" t="str">
        <f>"32"</f>
        <v>32</v>
      </c>
      <c r="E599" t="str">
        <f>"1322"</f>
        <v>1322</v>
      </c>
      <c r="F599" t="str">
        <f t="shared" si="23"/>
        <v>47112600</v>
      </c>
      <c r="H599" t="s">
        <v>71</v>
      </c>
      <c r="J599" s="4">
        <v>2149600</v>
      </c>
    </row>
    <row r="600" spans="1:10" hidden="1" outlineLevel="2" x14ac:dyDescent="0.35">
      <c r="A600" t="s">
        <v>126</v>
      </c>
      <c r="B600" s="1">
        <v>45720</v>
      </c>
      <c r="C600" t="str">
        <f>"68"</f>
        <v>68</v>
      </c>
      <c r="E600" t="str">
        <f>"1283"</f>
        <v>1283</v>
      </c>
      <c r="F600" t="str">
        <f t="shared" si="23"/>
        <v>47112600</v>
      </c>
      <c r="H600" t="s">
        <v>127</v>
      </c>
      <c r="J600" s="4">
        <v>214760</v>
      </c>
    </row>
    <row r="601" spans="1:10" hidden="1" outlineLevel="2" x14ac:dyDescent="0.35">
      <c r="A601" t="s">
        <v>126</v>
      </c>
      <c r="B601" s="1">
        <v>45722</v>
      </c>
      <c r="C601" t="str">
        <f>"70"</f>
        <v>70</v>
      </c>
      <c r="E601" t="str">
        <f>"1284"</f>
        <v>1284</v>
      </c>
      <c r="F601" t="str">
        <f t="shared" si="23"/>
        <v>47112600</v>
      </c>
      <c r="H601" t="s">
        <v>128</v>
      </c>
      <c r="J601" s="4">
        <v>859040</v>
      </c>
    </row>
    <row r="602" spans="1:10" hidden="1" outlineLevel="2" x14ac:dyDescent="0.35">
      <c r="A602" t="s">
        <v>126</v>
      </c>
      <c r="B602" s="1">
        <v>45722</v>
      </c>
      <c r="C602" t="str">
        <f>"72"</f>
        <v>72</v>
      </c>
      <c r="E602" t="str">
        <f>"1285"</f>
        <v>1285</v>
      </c>
      <c r="F602" t="str">
        <f t="shared" si="23"/>
        <v>47112600</v>
      </c>
      <c r="H602" t="s">
        <v>127</v>
      </c>
      <c r="J602" s="4">
        <v>214760</v>
      </c>
    </row>
    <row r="603" spans="1:10" hidden="1" outlineLevel="2" x14ac:dyDescent="0.35">
      <c r="A603" t="s">
        <v>126</v>
      </c>
      <c r="B603" s="1">
        <v>45726</v>
      </c>
      <c r="C603" t="str">
        <f>"74"</f>
        <v>74</v>
      </c>
      <c r="E603" t="str">
        <f>"1286"</f>
        <v>1286</v>
      </c>
      <c r="F603" t="str">
        <f t="shared" si="23"/>
        <v>47112600</v>
      </c>
      <c r="H603" t="s">
        <v>127</v>
      </c>
      <c r="J603" s="4">
        <v>859040</v>
      </c>
    </row>
    <row r="604" spans="1:10" hidden="1" outlineLevel="2" x14ac:dyDescent="0.35">
      <c r="A604" t="s">
        <v>126</v>
      </c>
      <c r="B604" s="1">
        <v>45729</v>
      </c>
      <c r="C604" t="str">
        <f>"76"</f>
        <v>76</v>
      </c>
      <c r="E604" t="str">
        <f>"1287"</f>
        <v>1287</v>
      </c>
      <c r="F604" t="str">
        <f t="shared" si="23"/>
        <v>47112600</v>
      </c>
      <c r="H604" t="s">
        <v>129</v>
      </c>
      <c r="J604" s="4">
        <v>429520</v>
      </c>
    </row>
    <row r="605" spans="1:10" hidden="1" outlineLevel="2" x14ac:dyDescent="0.35">
      <c r="A605" t="s">
        <v>126</v>
      </c>
      <c r="B605" s="1">
        <v>45735</v>
      </c>
      <c r="C605" t="str">
        <f>"78"</f>
        <v>78</v>
      </c>
      <c r="E605" t="str">
        <f>"1288"</f>
        <v>1288</v>
      </c>
      <c r="F605" t="str">
        <f t="shared" si="23"/>
        <v>47112600</v>
      </c>
      <c r="H605" t="s">
        <v>129</v>
      </c>
      <c r="J605" s="4">
        <v>429520</v>
      </c>
    </row>
    <row r="606" spans="1:10" hidden="1" outlineLevel="2" x14ac:dyDescent="0.35">
      <c r="A606" t="s">
        <v>126</v>
      </c>
      <c r="B606" s="1">
        <v>45736</v>
      </c>
      <c r="C606" t="str">
        <f>"80"</f>
        <v>80</v>
      </c>
      <c r="E606" t="str">
        <f>"1289"</f>
        <v>1289</v>
      </c>
      <c r="F606" t="str">
        <f t="shared" si="23"/>
        <v>47112600</v>
      </c>
      <c r="H606" t="s">
        <v>127</v>
      </c>
      <c r="J606" s="4">
        <v>644280</v>
      </c>
    </row>
    <row r="607" spans="1:10" hidden="1" outlineLevel="2" x14ac:dyDescent="0.35">
      <c r="A607" t="s">
        <v>126</v>
      </c>
      <c r="B607" s="1">
        <v>45740</v>
      </c>
      <c r="C607" t="str">
        <f>"82"</f>
        <v>82</v>
      </c>
      <c r="E607" t="str">
        <f>"1290"</f>
        <v>1290</v>
      </c>
      <c r="F607" t="str">
        <f t="shared" si="23"/>
        <v>47112600</v>
      </c>
      <c r="H607" t="s">
        <v>130</v>
      </c>
      <c r="J607" s="4">
        <v>214760</v>
      </c>
    </row>
    <row r="608" spans="1:10" hidden="1" outlineLevel="2" x14ac:dyDescent="0.35">
      <c r="A608" t="s">
        <v>126</v>
      </c>
      <c r="B608" s="1">
        <v>45741</v>
      </c>
      <c r="C608" t="str">
        <f>"84"</f>
        <v>84</v>
      </c>
      <c r="E608" t="str">
        <f>"1291"</f>
        <v>1291</v>
      </c>
      <c r="F608" t="str">
        <f t="shared" si="23"/>
        <v>47112600</v>
      </c>
      <c r="H608" t="s">
        <v>127</v>
      </c>
      <c r="J608" s="4">
        <v>472000</v>
      </c>
    </row>
    <row r="609" spans="1:11" outlineLevel="1" collapsed="1" x14ac:dyDescent="0.35">
      <c r="B609" s="1"/>
      <c r="F609" s="3" t="s">
        <v>6574</v>
      </c>
      <c r="J609" s="4">
        <f>SUBTOTAL(9,J570:J608)</f>
        <v>114677273</v>
      </c>
      <c r="K609" s="4">
        <f>SUBTOTAL(9,K570:K608)</f>
        <v>0</v>
      </c>
    </row>
    <row r="610" spans="1:11" hidden="1" outlineLevel="2" x14ac:dyDescent="0.35">
      <c r="A610" t="s">
        <v>101</v>
      </c>
      <c r="B610" s="1">
        <v>45747</v>
      </c>
      <c r="C610" t="str">
        <f>"3"</f>
        <v>3</v>
      </c>
      <c r="F610" t="str">
        <f>"47150000"</f>
        <v>47150000</v>
      </c>
      <c r="H610" t="s">
        <v>115</v>
      </c>
      <c r="K610" s="4">
        <v>2000000</v>
      </c>
    </row>
    <row r="611" spans="1:11" outlineLevel="1" collapsed="1" x14ac:dyDescent="0.35">
      <c r="B611" s="1"/>
      <c r="F611" s="3" t="s">
        <v>6578</v>
      </c>
      <c r="J611" s="4">
        <f>SUBTOTAL(9,J610:J610)</f>
        <v>0</v>
      </c>
      <c r="K611" s="4">
        <f>SUBTOTAL(9,K610:K610)</f>
        <v>2000000</v>
      </c>
    </row>
    <row r="612" spans="1:11" hidden="1" outlineLevel="2" x14ac:dyDescent="0.35">
      <c r="A612" t="s">
        <v>131</v>
      </c>
      <c r="B612" s="1">
        <v>45718</v>
      </c>
      <c r="C612" t="s">
        <v>138</v>
      </c>
      <c r="D612" t="s">
        <v>138</v>
      </c>
      <c r="F612" t="str">
        <f t="shared" ref="F612:F643" si="24">"47310100"</f>
        <v>47310100</v>
      </c>
      <c r="H612" t="s">
        <v>139</v>
      </c>
      <c r="I612" s="1">
        <v>45749</v>
      </c>
      <c r="K612" s="4">
        <v>1180000</v>
      </c>
    </row>
    <row r="613" spans="1:11" hidden="1" outlineLevel="2" x14ac:dyDescent="0.35">
      <c r="A613" t="s">
        <v>131</v>
      </c>
      <c r="B613" s="1">
        <v>45718</v>
      </c>
      <c r="C613" t="s">
        <v>140</v>
      </c>
      <c r="D613" t="s">
        <v>140</v>
      </c>
      <c r="F613" t="str">
        <f t="shared" si="24"/>
        <v>47310100</v>
      </c>
      <c r="H613" t="s">
        <v>139</v>
      </c>
      <c r="I613" s="1">
        <v>45749</v>
      </c>
      <c r="K613" s="4">
        <v>1121000</v>
      </c>
    </row>
    <row r="614" spans="1:11" hidden="1" outlineLevel="2" x14ac:dyDescent="0.35">
      <c r="A614" t="s">
        <v>131</v>
      </c>
      <c r="B614" s="1">
        <v>45720</v>
      </c>
      <c r="C614" t="s">
        <v>141</v>
      </c>
      <c r="D614" t="s">
        <v>141</v>
      </c>
      <c r="F614" t="str">
        <f t="shared" si="24"/>
        <v>47310100</v>
      </c>
      <c r="H614" t="s">
        <v>142</v>
      </c>
      <c r="I614" s="1">
        <v>45720</v>
      </c>
      <c r="J614" s="4">
        <v>29500</v>
      </c>
    </row>
    <row r="615" spans="1:11" hidden="1" outlineLevel="2" x14ac:dyDescent="0.35">
      <c r="A615" t="s">
        <v>131</v>
      </c>
      <c r="B615" s="1">
        <v>45720</v>
      </c>
      <c r="C615" t="s">
        <v>143</v>
      </c>
      <c r="D615" t="s">
        <v>143</v>
      </c>
      <c r="F615" t="str">
        <f t="shared" si="24"/>
        <v>47310100</v>
      </c>
      <c r="H615" t="s">
        <v>144</v>
      </c>
      <c r="I615" s="1">
        <v>45720</v>
      </c>
      <c r="K615" s="4">
        <v>59000</v>
      </c>
    </row>
    <row r="616" spans="1:11" hidden="1" outlineLevel="2" x14ac:dyDescent="0.35">
      <c r="A616" t="s">
        <v>131</v>
      </c>
      <c r="B616" s="1">
        <v>45721</v>
      </c>
      <c r="C616" t="s">
        <v>145</v>
      </c>
      <c r="D616" t="s">
        <v>145</v>
      </c>
      <c r="F616" t="str">
        <f t="shared" si="24"/>
        <v>47310100</v>
      </c>
      <c r="H616" t="s">
        <v>146</v>
      </c>
      <c r="I616" s="1">
        <v>45752</v>
      </c>
      <c r="K616" s="4">
        <v>59000</v>
      </c>
    </row>
    <row r="617" spans="1:11" hidden="1" outlineLevel="2" x14ac:dyDescent="0.35">
      <c r="A617" t="s">
        <v>131</v>
      </c>
      <c r="B617" s="1">
        <v>45721</v>
      </c>
      <c r="C617" t="s">
        <v>147</v>
      </c>
      <c r="D617" t="s">
        <v>147</v>
      </c>
      <c r="F617" t="str">
        <f t="shared" si="24"/>
        <v>47310100</v>
      </c>
      <c r="H617" t="s">
        <v>148</v>
      </c>
      <c r="I617" s="1">
        <v>45721</v>
      </c>
      <c r="K617" s="4">
        <v>88500</v>
      </c>
    </row>
    <row r="618" spans="1:11" hidden="1" outlineLevel="2" x14ac:dyDescent="0.35">
      <c r="A618" t="s">
        <v>131</v>
      </c>
      <c r="B618" s="1">
        <v>45721</v>
      </c>
      <c r="C618" t="s">
        <v>151</v>
      </c>
      <c r="D618" t="s">
        <v>151</v>
      </c>
      <c r="F618" t="str">
        <f t="shared" si="24"/>
        <v>47310100</v>
      </c>
      <c r="H618" t="s">
        <v>148</v>
      </c>
      <c r="I618" s="1">
        <v>45721</v>
      </c>
      <c r="K618" s="4">
        <v>59000</v>
      </c>
    </row>
    <row r="619" spans="1:11" hidden="1" outlineLevel="2" x14ac:dyDescent="0.35">
      <c r="A619" t="s">
        <v>131</v>
      </c>
      <c r="B619" s="1">
        <v>45722</v>
      </c>
      <c r="C619" t="s">
        <v>156</v>
      </c>
      <c r="D619" t="s">
        <v>156</v>
      </c>
      <c r="F619" t="str">
        <f t="shared" si="24"/>
        <v>47310100</v>
      </c>
      <c r="H619" t="s">
        <v>157</v>
      </c>
      <c r="I619" s="1">
        <v>45722</v>
      </c>
      <c r="K619" s="4">
        <v>236000</v>
      </c>
    </row>
    <row r="620" spans="1:11" hidden="1" outlineLevel="2" x14ac:dyDescent="0.35">
      <c r="A620" t="s">
        <v>131</v>
      </c>
      <c r="B620" s="1">
        <v>45722</v>
      </c>
      <c r="C620" t="s">
        <v>158</v>
      </c>
      <c r="D620" t="s">
        <v>158</v>
      </c>
      <c r="F620" t="str">
        <f t="shared" si="24"/>
        <v>47310100</v>
      </c>
      <c r="H620" t="s">
        <v>159</v>
      </c>
      <c r="I620" s="1">
        <v>45722</v>
      </c>
      <c r="K620" s="4">
        <v>118000</v>
      </c>
    </row>
    <row r="621" spans="1:11" hidden="1" outlineLevel="2" x14ac:dyDescent="0.35">
      <c r="A621" t="s">
        <v>131</v>
      </c>
      <c r="B621" s="1">
        <v>45722</v>
      </c>
      <c r="C621" t="s">
        <v>160</v>
      </c>
      <c r="D621" t="s">
        <v>160</v>
      </c>
      <c r="F621" t="str">
        <f t="shared" si="24"/>
        <v>47310100</v>
      </c>
      <c r="H621" t="s">
        <v>146</v>
      </c>
      <c r="I621" s="1">
        <v>45753</v>
      </c>
      <c r="K621" s="4">
        <v>59000</v>
      </c>
    </row>
    <row r="622" spans="1:11" hidden="1" outlineLevel="2" x14ac:dyDescent="0.35">
      <c r="A622" t="s">
        <v>131</v>
      </c>
      <c r="B622" s="1">
        <v>45722</v>
      </c>
      <c r="C622" t="s">
        <v>161</v>
      </c>
      <c r="D622" t="s">
        <v>161</v>
      </c>
      <c r="F622" t="str">
        <f t="shared" si="24"/>
        <v>47310100</v>
      </c>
      <c r="H622" t="s">
        <v>146</v>
      </c>
      <c r="I622" s="1">
        <v>45753</v>
      </c>
      <c r="K622" s="4">
        <v>59000</v>
      </c>
    </row>
    <row r="623" spans="1:11" hidden="1" outlineLevel="2" x14ac:dyDescent="0.35">
      <c r="A623" t="s">
        <v>131</v>
      </c>
      <c r="B623" s="1">
        <v>45722</v>
      </c>
      <c r="C623" t="s">
        <v>162</v>
      </c>
      <c r="D623" t="s">
        <v>162</v>
      </c>
      <c r="F623" t="str">
        <f t="shared" si="24"/>
        <v>47310100</v>
      </c>
      <c r="H623" t="s">
        <v>163</v>
      </c>
      <c r="I623" s="1">
        <v>45777</v>
      </c>
      <c r="K623" s="4">
        <v>29500</v>
      </c>
    </row>
    <row r="624" spans="1:11" hidden="1" outlineLevel="2" x14ac:dyDescent="0.35">
      <c r="A624" t="s">
        <v>131</v>
      </c>
      <c r="B624" s="1">
        <v>45722</v>
      </c>
      <c r="C624" t="s">
        <v>166</v>
      </c>
      <c r="D624" t="s">
        <v>166</v>
      </c>
      <c r="F624" t="str">
        <f t="shared" si="24"/>
        <v>47310100</v>
      </c>
      <c r="H624" t="s">
        <v>167</v>
      </c>
      <c r="I624" s="1">
        <v>45722</v>
      </c>
      <c r="K624" s="4">
        <v>59000</v>
      </c>
    </row>
    <row r="625" spans="1:11" hidden="1" outlineLevel="2" x14ac:dyDescent="0.35">
      <c r="A625" t="s">
        <v>131</v>
      </c>
      <c r="B625" s="1">
        <v>45722</v>
      </c>
      <c r="C625" t="s">
        <v>168</v>
      </c>
      <c r="D625" t="s">
        <v>168</v>
      </c>
      <c r="F625" t="str">
        <f t="shared" si="24"/>
        <v>47310100</v>
      </c>
      <c r="H625" t="s">
        <v>144</v>
      </c>
      <c r="I625" s="1">
        <v>45722</v>
      </c>
      <c r="K625" s="4">
        <v>59000</v>
      </c>
    </row>
    <row r="626" spans="1:11" hidden="1" outlineLevel="2" x14ac:dyDescent="0.35">
      <c r="A626" t="s">
        <v>131</v>
      </c>
      <c r="B626" s="1">
        <v>45723</v>
      </c>
      <c r="C626" t="s">
        <v>169</v>
      </c>
      <c r="D626" t="s">
        <v>169</v>
      </c>
      <c r="F626" t="str">
        <f t="shared" si="24"/>
        <v>47310100</v>
      </c>
      <c r="H626" t="s">
        <v>170</v>
      </c>
      <c r="I626" s="1">
        <v>45752</v>
      </c>
      <c r="K626" s="4">
        <v>708000</v>
      </c>
    </row>
    <row r="627" spans="1:11" hidden="1" outlineLevel="2" x14ac:dyDescent="0.35">
      <c r="A627" t="s">
        <v>131</v>
      </c>
      <c r="B627" s="1">
        <v>45723</v>
      </c>
      <c r="C627" t="s">
        <v>171</v>
      </c>
      <c r="D627" t="s">
        <v>171</v>
      </c>
      <c r="F627" t="str">
        <f t="shared" si="24"/>
        <v>47310100</v>
      </c>
      <c r="H627" t="s">
        <v>159</v>
      </c>
      <c r="I627" s="1">
        <v>45723</v>
      </c>
      <c r="K627" s="4">
        <v>118000</v>
      </c>
    </row>
    <row r="628" spans="1:11" hidden="1" outlineLevel="2" x14ac:dyDescent="0.35">
      <c r="A628" t="s">
        <v>131</v>
      </c>
      <c r="B628" s="1">
        <v>45723</v>
      </c>
      <c r="C628" t="s">
        <v>172</v>
      </c>
      <c r="D628" t="s">
        <v>172</v>
      </c>
      <c r="F628" t="str">
        <f t="shared" si="24"/>
        <v>47310100</v>
      </c>
      <c r="H628" t="s">
        <v>146</v>
      </c>
      <c r="I628" s="1">
        <v>45754</v>
      </c>
      <c r="K628" s="4">
        <v>59000</v>
      </c>
    </row>
    <row r="629" spans="1:11" hidden="1" outlineLevel="2" x14ac:dyDescent="0.35">
      <c r="A629" t="s">
        <v>131</v>
      </c>
      <c r="B629" s="1">
        <v>45723</v>
      </c>
      <c r="C629" t="s">
        <v>173</v>
      </c>
      <c r="D629" t="s">
        <v>173</v>
      </c>
      <c r="F629" t="str">
        <f t="shared" si="24"/>
        <v>47310100</v>
      </c>
      <c r="H629" t="s">
        <v>146</v>
      </c>
      <c r="I629" s="1">
        <v>45754</v>
      </c>
      <c r="K629" s="4">
        <v>59000</v>
      </c>
    </row>
    <row r="630" spans="1:11" hidden="1" outlineLevel="2" x14ac:dyDescent="0.35">
      <c r="A630" t="s">
        <v>131</v>
      </c>
      <c r="B630" s="1">
        <v>45726</v>
      </c>
      <c r="C630" t="s">
        <v>176</v>
      </c>
      <c r="D630" t="s">
        <v>176</v>
      </c>
      <c r="F630" t="str">
        <f t="shared" si="24"/>
        <v>47310100</v>
      </c>
      <c r="H630" t="s">
        <v>144</v>
      </c>
      <c r="I630" s="1">
        <v>45726</v>
      </c>
      <c r="K630" s="4">
        <v>236000</v>
      </c>
    </row>
    <row r="631" spans="1:11" hidden="1" outlineLevel="2" x14ac:dyDescent="0.35">
      <c r="A631" t="s">
        <v>131</v>
      </c>
      <c r="B631" s="1">
        <v>45726</v>
      </c>
      <c r="C631" t="s">
        <v>178</v>
      </c>
      <c r="D631" t="s">
        <v>178</v>
      </c>
      <c r="F631" t="str">
        <f t="shared" si="24"/>
        <v>47310100</v>
      </c>
      <c r="H631" t="s">
        <v>148</v>
      </c>
      <c r="I631" s="1">
        <v>45726</v>
      </c>
      <c r="K631" s="4">
        <v>59000</v>
      </c>
    </row>
    <row r="632" spans="1:11" hidden="1" outlineLevel="2" x14ac:dyDescent="0.35">
      <c r="A632" t="s">
        <v>131</v>
      </c>
      <c r="B632" s="1">
        <v>45726</v>
      </c>
      <c r="C632" t="s">
        <v>179</v>
      </c>
      <c r="D632" t="s">
        <v>179</v>
      </c>
      <c r="F632" t="str">
        <f t="shared" si="24"/>
        <v>47310100</v>
      </c>
      <c r="H632" t="s">
        <v>180</v>
      </c>
      <c r="I632" s="1">
        <v>45757</v>
      </c>
      <c r="K632" s="4">
        <v>413000</v>
      </c>
    </row>
    <row r="633" spans="1:11" hidden="1" outlineLevel="2" x14ac:dyDescent="0.35">
      <c r="A633" t="s">
        <v>131</v>
      </c>
      <c r="B633" s="1">
        <v>45726</v>
      </c>
      <c r="C633" t="s">
        <v>181</v>
      </c>
      <c r="D633" t="s">
        <v>181</v>
      </c>
      <c r="F633" t="str">
        <f t="shared" si="24"/>
        <v>47310100</v>
      </c>
      <c r="H633" t="s">
        <v>180</v>
      </c>
      <c r="I633" s="1">
        <v>45757</v>
      </c>
      <c r="K633" s="4">
        <v>413000</v>
      </c>
    </row>
    <row r="634" spans="1:11" hidden="1" outlineLevel="2" x14ac:dyDescent="0.35">
      <c r="A634" t="s">
        <v>131</v>
      </c>
      <c r="B634" s="1">
        <v>45726</v>
      </c>
      <c r="C634" t="s">
        <v>182</v>
      </c>
      <c r="D634" t="s">
        <v>182</v>
      </c>
      <c r="F634" t="str">
        <f t="shared" si="24"/>
        <v>47310100</v>
      </c>
      <c r="H634" t="s">
        <v>183</v>
      </c>
      <c r="I634" s="1">
        <v>45726</v>
      </c>
      <c r="K634" s="4">
        <v>59000</v>
      </c>
    </row>
    <row r="635" spans="1:11" hidden="1" outlineLevel="2" x14ac:dyDescent="0.35">
      <c r="A635" t="s">
        <v>131</v>
      </c>
      <c r="B635" s="1">
        <v>45727</v>
      </c>
      <c r="C635" t="s">
        <v>184</v>
      </c>
      <c r="D635" t="s">
        <v>184</v>
      </c>
      <c r="F635" t="str">
        <f t="shared" si="24"/>
        <v>47310100</v>
      </c>
      <c r="H635" t="s">
        <v>185</v>
      </c>
      <c r="I635" s="1">
        <v>45727</v>
      </c>
      <c r="J635" s="4">
        <v>59000</v>
      </c>
    </row>
    <row r="636" spans="1:11" hidden="1" outlineLevel="2" x14ac:dyDescent="0.35">
      <c r="A636" t="s">
        <v>131</v>
      </c>
      <c r="B636" s="1">
        <v>45727</v>
      </c>
      <c r="C636" t="s">
        <v>186</v>
      </c>
      <c r="D636" t="s">
        <v>186</v>
      </c>
      <c r="F636" t="str">
        <f t="shared" si="24"/>
        <v>47310100</v>
      </c>
      <c r="H636" t="s">
        <v>154</v>
      </c>
      <c r="I636" s="1">
        <v>45727</v>
      </c>
      <c r="K636" s="4">
        <v>1032500</v>
      </c>
    </row>
    <row r="637" spans="1:11" hidden="1" outlineLevel="2" x14ac:dyDescent="0.35">
      <c r="A637" t="s">
        <v>131</v>
      </c>
      <c r="B637" s="1">
        <v>45727</v>
      </c>
      <c r="C637" t="s">
        <v>187</v>
      </c>
      <c r="D637" t="s">
        <v>187</v>
      </c>
      <c r="F637" t="str">
        <f t="shared" si="24"/>
        <v>47310100</v>
      </c>
      <c r="H637" t="s">
        <v>188</v>
      </c>
      <c r="I637" s="1">
        <v>45727</v>
      </c>
      <c r="K637" s="4">
        <v>59000</v>
      </c>
    </row>
    <row r="638" spans="1:11" hidden="1" outlineLevel="2" x14ac:dyDescent="0.35">
      <c r="A638" t="s">
        <v>131</v>
      </c>
      <c r="B638" s="1">
        <v>45727</v>
      </c>
      <c r="C638" t="s">
        <v>189</v>
      </c>
      <c r="D638" t="s">
        <v>189</v>
      </c>
      <c r="F638" t="str">
        <f t="shared" si="24"/>
        <v>47310100</v>
      </c>
      <c r="H638" t="s">
        <v>188</v>
      </c>
      <c r="I638" s="1">
        <v>45727</v>
      </c>
      <c r="K638" s="4">
        <v>29500</v>
      </c>
    </row>
    <row r="639" spans="1:11" hidden="1" outlineLevel="2" x14ac:dyDescent="0.35">
      <c r="A639" t="s">
        <v>131</v>
      </c>
      <c r="B639" s="1">
        <v>45727</v>
      </c>
      <c r="C639" t="s">
        <v>190</v>
      </c>
      <c r="D639" t="s">
        <v>190</v>
      </c>
      <c r="F639" t="str">
        <f t="shared" si="24"/>
        <v>47310100</v>
      </c>
      <c r="H639" t="s">
        <v>159</v>
      </c>
      <c r="I639" s="1">
        <v>45758</v>
      </c>
      <c r="K639" s="4">
        <v>118000</v>
      </c>
    </row>
    <row r="640" spans="1:11" hidden="1" outlineLevel="2" x14ac:dyDescent="0.35">
      <c r="A640" t="s">
        <v>131</v>
      </c>
      <c r="B640" s="1">
        <v>45727</v>
      </c>
      <c r="C640" t="s">
        <v>191</v>
      </c>
      <c r="D640" t="s">
        <v>191</v>
      </c>
      <c r="F640" t="str">
        <f t="shared" si="24"/>
        <v>47310100</v>
      </c>
      <c r="H640" t="s">
        <v>163</v>
      </c>
      <c r="I640" s="1">
        <v>45777</v>
      </c>
      <c r="K640" s="4">
        <v>177000</v>
      </c>
    </row>
    <row r="641" spans="1:11" hidden="1" outlineLevel="2" x14ac:dyDescent="0.35">
      <c r="A641" t="s">
        <v>131</v>
      </c>
      <c r="B641" s="1">
        <v>45727</v>
      </c>
      <c r="C641" t="s">
        <v>192</v>
      </c>
      <c r="D641" t="s">
        <v>192</v>
      </c>
      <c r="F641" t="str">
        <f t="shared" si="24"/>
        <v>47310100</v>
      </c>
      <c r="H641" t="s">
        <v>163</v>
      </c>
      <c r="I641" s="1">
        <v>45777</v>
      </c>
      <c r="K641" s="4">
        <v>59000</v>
      </c>
    </row>
    <row r="642" spans="1:11" hidden="1" outlineLevel="2" x14ac:dyDescent="0.35">
      <c r="A642" t="s">
        <v>131</v>
      </c>
      <c r="B642" s="1">
        <v>45727</v>
      </c>
      <c r="C642" t="s">
        <v>193</v>
      </c>
      <c r="D642" t="s">
        <v>193</v>
      </c>
      <c r="F642" t="str">
        <f t="shared" si="24"/>
        <v>47310100</v>
      </c>
      <c r="H642" t="s">
        <v>167</v>
      </c>
      <c r="I642" s="1">
        <v>45727</v>
      </c>
      <c r="K642" s="4">
        <v>59000</v>
      </c>
    </row>
    <row r="643" spans="1:11" hidden="1" outlineLevel="2" x14ac:dyDescent="0.35">
      <c r="A643" t="s">
        <v>131</v>
      </c>
      <c r="B643" s="1">
        <v>45728</v>
      </c>
      <c r="C643" t="s">
        <v>194</v>
      </c>
      <c r="D643" t="s">
        <v>194</v>
      </c>
      <c r="F643" t="str">
        <f t="shared" si="24"/>
        <v>47310100</v>
      </c>
      <c r="H643" t="s">
        <v>195</v>
      </c>
      <c r="I643" s="1">
        <v>45728</v>
      </c>
      <c r="K643" s="4">
        <v>177000</v>
      </c>
    </row>
    <row r="644" spans="1:11" hidden="1" outlineLevel="2" x14ac:dyDescent="0.35">
      <c r="A644" t="s">
        <v>131</v>
      </c>
      <c r="B644" s="1">
        <v>45728</v>
      </c>
      <c r="C644" t="s">
        <v>196</v>
      </c>
      <c r="D644" t="s">
        <v>196</v>
      </c>
      <c r="F644" t="str">
        <f t="shared" ref="F644:F675" si="25">"47310100"</f>
        <v>47310100</v>
      </c>
      <c r="H644" t="s">
        <v>195</v>
      </c>
      <c r="I644" s="1">
        <v>45728</v>
      </c>
      <c r="K644" s="4">
        <v>59000</v>
      </c>
    </row>
    <row r="645" spans="1:11" hidden="1" outlineLevel="2" x14ac:dyDescent="0.35">
      <c r="A645" t="s">
        <v>131</v>
      </c>
      <c r="B645" s="1">
        <v>45728</v>
      </c>
      <c r="C645" t="s">
        <v>199</v>
      </c>
      <c r="D645" t="s">
        <v>199</v>
      </c>
      <c r="F645" t="str">
        <f t="shared" si="25"/>
        <v>47310100</v>
      </c>
      <c r="H645" t="s">
        <v>148</v>
      </c>
      <c r="I645" s="1">
        <v>45728</v>
      </c>
      <c r="K645" s="4">
        <v>59000</v>
      </c>
    </row>
    <row r="646" spans="1:11" hidden="1" outlineLevel="2" x14ac:dyDescent="0.35">
      <c r="A646" t="s">
        <v>131</v>
      </c>
      <c r="B646" s="1">
        <v>45728</v>
      </c>
      <c r="C646" t="s">
        <v>202</v>
      </c>
      <c r="D646" t="s">
        <v>202</v>
      </c>
      <c r="F646" t="str">
        <f t="shared" si="25"/>
        <v>47310100</v>
      </c>
      <c r="H646" t="s">
        <v>203</v>
      </c>
      <c r="I646" s="1">
        <v>45728</v>
      </c>
      <c r="K646" s="4">
        <v>29500</v>
      </c>
    </row>
    <row r="647" spans="1:11" hidden="1" outlineLevel="2" x14ac:dyDescent="0.35">
      <c r="A647" t="s">
        <v>131</v>
      </c>
      <c r="B647" s="1">
        <v>45728</v>
      </c>
      <c r="C647" t="s">
        <v>204</v>
      </c>
      <c r="D647" t="s">
        <v>204</v>
      </c>
      <c r="F647" t="str">
        <f t="shared" si="25"/>
        <v>47310100</v>
      </c>
      <c r="H647" t="s">
        <v>139</v>
      </c>
      <c r="I647" s="1">
        <v>45728</v>
      </c>
      <c r="K647" s="4">
        <v>59000</v>
      </c>
    </row>
    <row r="648" spans="1:11" hidden="1" outlineLevel="2" x14ac:dyDescent="0.35">
      <c r="A648" t="s">
        <v>131</v>
      </c>
      <c r="B648" s="1">
        <v>45728</v>
      </c>
      <c r="C648" t="s">
        <v>205</v>
      </c>
      <c r="D648" t="s">
        <v>205</v>
      </c>
      <c r="F648" t="str">
        <f t="shared" si="25"/>
        <v>47310100</v>
      </c>
      <c r="H648" t="s">
        <v>139</v>
      </c>
      <c r="I648" s="1">
        <v>45759</v>
      </c>
      <c r="K648" s="4">
        <v>236000</v>
      </c>
    </row>
    <row r="649" spans="1:11" hidden="1" outlineLevel="2" x14ac:dyDescent="0.35">
      <c r="A649" t="s">
        <v>131</v>
      </c>
      <c r="B649" s="1">
        <v>45729</v>
      </c>
      <c r="C649" t="s">
        <v>206</v>
      </c>
      <c r="D649" t="s">
        <v>206</v>
      </c>
      <c r="F649" t="str">
        <f t="shared" si="25"/>
        <v>47310100</v>
      </c>
      <c r="H649" t="s">
        <v>207</v>
      </c>
      <c r="I649" s="1">
        <v>45729</v>
      </c>
      <c r="K649" s="4">
        <v>118000</v>
      </c>
    </row>
    <row r="650" spans="1:11" hidden="1" outlineLevel="2" x14ac:dyDescent="0.35">
      <c r="A650" t="s">
        <v>131</v>
      </c>
      <c r="B650" s="1">
        <v>45729</v>
      </c>
      <c r="C650" t="s">
        <v>208</v>
      </c>
      <c r="D650" t="s">
        <v>208</v>
      </c>
      <c r="F650" t="str">
        <f t="shared" si="25"/>
        <v>47310100</v>
      </c>
      <c r="H650" t="s">
        <v>144</v>
      </c>
      <c r="I650" s="1">
        <v>45729</v>
      </c>
      <c r="K650" s="4">
        <v>59000</v>
      </c>
    </row>
    <row r="651" spans="1:11" hidden="1" outlineLevel="2" x14ac:dyDescent="0.35">
      <c r="A651" t="s">
        <v>131</v>
      </c>
      <c r="B651" s="1">
        <v>45729</v>
      </c>
      <c r="C651" t="s">
        <v>209</v>
      </c>
      <c r="D651" t="s">
        <v>209</v>
      </c>
      <c r="F651" t="str">
        <f t="shared" si="25"/>
        <v>47310100</v>
      </c>
      <c r="H651" t="s">
        <v>170</v>
      </c>
      <c r="I651" s="1">
        <v>45752</v>
      </c>
      <c r="K651" s="4">
        <v>265500</v>
      </c>
    </row>
    <row r="652" spans="1:11" hidden="1" outlineLevel="2" x14ac:dyDescent="0.35">
      <c r="A652" t="s">
        <v>131</v>
      </c>
      <c r="B652" s="1">
        <v>45729</v>
      </c>
      <c r="C652" t="s">
        <v>210</v>
      </c>
      <c r="D652" t="s">
        <v>210</v>
      </c>
      <c r="F652" t="str">
        <f t="shared" si="25"/>
        <v>47310100</v>
      </c>
      <c r="H652" t="s">
        <v>139</v>
      </c>
      <c r="I652" s="1">
        <v>45760</v>
      </c>
      <c r="K652" s="4">
        <v>1180000</v>
      </c>
    </row>
    <row r="653" spans="1:11" hidden="1" outlineLevel="2" x14ac:dyDescent="0.35">
      <c r="A653" t="s">
        <v>131</v>
      </c>
      <c r="B653" s="1">
        <v>45729</v>
      </c>
      <c r="C653" t="s">
        <v>211</v>
      </c>
      <c r="D653" t="s">
        <v>211</v>
      </c>
      <c r="F653" t="str">
        <f t="shared" si="25"/>
        <v>47310100</v>
      </c>
      <c r="H653" t="s">
        <v>139</v>
      </c>
      <c r="I653" s="1">
        <v>45760</v>
      </c>
      <c r="K653" s="4">
        <v>1121000</v>
      </c>
    </row>
    <row r="654" spans="1:11" hidden="1" outlineLevel="2" x14ac:dyDescent="0.35">
      <c r="A654" t="s">
        <v>131</v>
      </c>
      <c r="B654" s="1">
        <v>45730</v>
      </c>
      <c r="C654" t="s">
        <v>213</v>
      </c>
      <c r="D654" t="s">
        <v>213</v>
      </c>
      <c r="F654" t="str">
        <f t="shared" si="25"/>
        <v>47310100</v>
      </c>
      <c r="H654" t="s">
        <v>167</v>
      </c>
      <c r="I654" s="1">
        <v>45730</v>
      </c>
      <c r="K654" s="4">
        <v>59000</v>
      </c>
    </row>
    <row r="655" spans="1:11" hidden="1" outlineLevel="2" x14ac:dyDescent="0.35">
      <c r="A655" t="s">
        <v>131</v>
      </c>
      <c r="B655" s="1">
        <v>45730</v>
      </c>
      <c r="C655" t="s">
        <v>214</v>
      </c>
      <c r="D655" t="s">
        <v>214</v>
      </c>
      <c r="F655" t="str">
        <f t="shared" si="25"/>
        <v>47310100</v>
      </c>
      <c r="H655" t="s">
        <v>167</v>
      </c>
      <c r="I655" s="1">
        <v>45730</v>
      </c>
      <c r="K655" s="4">
        <v>59000</v>
      </c>
    </row>
    <row r="656" spans="1:11" hidden="1" outlineLevel="2" x14ac:dyDescent="0.35">
      <c r="A656" t="s">
        <v>131</v>
      </c>
      <c r="B656" s="1">
        <v>45730</v>
      </c>
      <c r="C656" t="s">
        <v>215</v>
      </c>
      <c r="D656" t="s">
        <v>215</v>
      </c>
      <c r="F656" t="str">
        <f t="shared" si="25"/>
        <v>47310100</v>
      </c>
      <c r="H656" t="s">
        <v>167</v>
      </c>
      <c r="I656" s="1">
        <v>45730</v>
      </c>
      <c r="K656" s="4">
        <v>59000</v>
      </c>
    </row>
    <row r="657" spans="1:11" hidden="1" outlineLevel="2" x14ac:dyDescent="0.35">
      <c r="A657" t="s">
        <v>131</v>
      </c>
      <c r="B657" s="1">
        <v>45730</v>
      </c>
      <c r="C657" t="s">
        <v>216</v>
      </c>
      <c r="D657" t="s">
        <v>216</v>
      </c>
      <c r="F657" t="str">
        <f t="shared" si="25"/>
        <v>47310100</v>
      </c>
      <c r="H657" t="s">
        <v>217</v>
      </c>
      <c r="I657" s="1">
        <v>45730</v>
      </c>
      <c r="K657" s="4">
        <v>59000</v>
      </c>
    </row>
    <row r="658" spans="1:11" hidden="1" outlineLevel="2" x14ac:dyDescent="0.35">
      <c r="A658" t="s">
        <v>131</v>
      </c>
      <c r="B658" s="1">
        <v>45730</v>
      </c>
      <c r="C658" t="s">
        <v>218</v>
      </c>
      <c r="D658" t="s">
        <v>218</v>
      </c>
      <c r="F658" t="str">
        <f t="shared" si="25"/>
        <v>47310100</v>
      </c>
      <c r="H658" t="s">
        <v>219</v>
      </c>
      <c r="I658" s="1">
        <v>45730</v>
      </c>
      <c r="K658" s="4">
        <v>59000</v>
      </c>
    </row>
    <row r="659" spans="1:11" hidden="1" outlineLevel="2" x14ac:dyDescent="0.35">
      <c r="A659" t="s">
        <v>131</v>
      </c>
      <c r="B659" s="1">
        <v>45730</v>
      </c>
      <c r="C659" t="s">
        <v>220</v>
      </c>
      <c r="D659" t="s">
        <v>220</v>
      </c>
      <c r="F659" t="str">
        <f t="shared" si="25"/>
        <v>47310100</v>
      </c>
      <c r="H659" t="s">
        <v>219</v>
      </c>
      <c r="I659" s="1">
        <v>45730</v>
      </c>
      <c r="K659" s="4">
        <v>118000</v>
      </c>
    </row>
    <row r="660" spans="1:11" hidden="1" outlineLevel="2" x14ac:dyDescent="0.35">
      <c r="A660" t="s">
        <v>131</v>
      </c>
      <c r="B660" s="1">
        <v>45730</v>
      </c>
      <c r="C660" t="s">
        <v>223</v>
      </c>
      <c r="D660" t="s">
        <v>223</v>
      </c>
      <c r="F660" t="str">
        <f t="shared" si="25"/>
        <v>47310100</v>
      </c>
      <c r="H660" t="s">
        <v>224</v>
      </c>
      <c r="I660" s="1">
        <v>45730</v>
      </c>
      <c r="K660" s="4">
        <v>59000</v>
      </c>
    </row>
    <row r="661" spans="1:11" hidden="1" outlineLevel="2" x14ac:dyDescent="0.35">
      <c r="A661" t="s">
        <v>131</v>
      </c>
      <c r="B661" s="1">
        <v>45730</v>
      </c>
      <c r="C661" t="s">
        <v>225</v>
      </c>
      <c r="D661" t="s">
        <v>225</v>
      </c>
      <c r="F661" t="str">
        <f t="shared" si="25"/>
        <v>47310100</v>
      </c>
      <c r="H661" t="s">
        <v>146</v>
      </c>
      <c r="I661" s="1">
        <v>45761</v>
      </c>
      <c r="K661" s="4">
        <v>59000</v>
      </c>
    </row>
    <row r="662" spans="1:11" hidden="1" outlineLevel="2" x14ac:dyDescent="0.35">
      <c r="A662" t="s">
        <v>131</v>
      </c>
      <c r="B662" s="1">
        <v>45730</v>
      </c>
      <c r="C662" t="s">
        <v>232</v>
      </c>
      <c r="D662" t="s">
        <v>232</v>
      </c>
      <c r="F662" t="str">
        <f t="shared" si="25"/>
        <v>47310100</v>
      </c>
      <c r="H662" t="s">
        <v>233</v>
      </c>
      <c r="I662" s="1">
        <v>45730</v>
      </c>
      <c r="K662" s="4">
        <v>88500</v>
      </c>
    </row>
    <row r="663" spans="1:11" hidden="1" outlineLevel="2" x14ac:dyDescent="0.35">
      <c r="A663" t="s">
        <v>131</v>
      </c>
      <c r="B663" s="1">
        <v>45730</v>
      </c>
      <c r="C663" t="s">
        <v>234</v>
      </c>
      <c r="D663" t="s">
        <v>234</v>
      </c>
      <c r="F663" t="str">
        <f t="shared" si="25"/>
        <v>47310100</v>
      </c>
      <c r="H663" t="s">
        <v>233</v>
      </c>
      <c r="I663" s="1">
        <v>45730</v>
      </c>
      <c r="K663" s="4">
        <v>59000</v>
      </c>
    </row>
    <row r="664" spans="1:11" hidden="1" outlineLevel="2" x14ac:dyDescent="0.35">
      <c r="A664" t="s">
        <v>131</v>
      </c>
      <c r="B664" s="1">
        <v>45730</v>
      </c>
      <c r="C664" t="s">
        <v>235</v>
      </c>
      <c r="D664" t="s">
        <v>235</v>
      </c>
      <c r="F664" t="str">
        <f t="shared" si="25"/>
        <v>47310100</v>
      </c>
      <c r="H664" t="s">
        <v>139</v>
      </c>
      <c r="I664" s="1">
        <v>45761</v>
      </c>
      <c r="K664" s="4">
        <v>118000</v>
      </c>
    </row>
    <row r="665" spans="1:11" hidden="1" outlineLevel="2" x14ac:dyDescent="0.35">
      <c r="A665" t="s">
        <v>131</v>
      </c>
      <c r="B665" s="1">
        <v>45730</v>
      </c>
      <c r="C665" t="s">
        <v>236</v>
      </c>
      <c r="D665" t="s">
        <v>236</v>
      </c>
      <c r="F665" t="str">
        <f t="shared" si="25"/>
        <v>47310100</v>
      </c>
      <c r="H665" t="s">
        <v>139</v>
      </c>
      <c r="I665" s="1">
        <v>45761</v>
      </c>
      <c r="K665" s="4">
        <v>118000</v>
      </c>
    </row>
    <row r="666" spans="1:11" hidden="1" outlineLevel="2" x14ac:dyDescent="0.35">
      <c r="A666" t="s">
        <v>131</v>
      </c>
      <c r="B666" s="1">
        <v>45730</v>
      </c>
      <c r="C666" t="s">
        <v>237</v>
      </c>
      <c r="D666" t="s">
        <v>237</v>
      </c>
      <c r="F666" t="str">
        <f t="shared" si="25"/>
        <v>47310100</v>
      </c>
      <c r="H666" t="s">
        <v>139</v>
      </c>
      <c r="I666" s="1">
        <v>45761</v>
      </c>
      <c r="K666" s="4">
        <v>118000</v>
      </c>
    </row>
    <row r="667" spans="1:11" hidden="1" outlineLevel="2" x14ac:dyDescent="0.35">
      <c r="A667" t="s">
        <v>131</v>
      </c>
      <c r="B667" s="1">
        <v>45734</v>
      </c>
      <c r="C667" t="s">
        <v>238</v>
      </c>
      <c r="D667" t="s">
        <v>238</v>
      </c>
      <c r="F667" t="str">
        <f t="shared" si="25"/>
        <v>47310100</v>
      </c>
      <c r="H667" t="s">
        <v>159</v>
      </c>
      <c r="I667" s="1">
        <v>45734</v>
      </c>
      <c r="K667" s="4">
        <v>29500</v>
      </c>
    </row>
    <row r="668" spans="1:11" hidden="1" outlineLevel="2" x14ac:dyDescent="0.35">
      <c r="A668" t="s">
        <v>131</v>
      </c>
      <c r="B668" s="1">
        <v>45734</v>
      </c>
      <c r="C668" t="s">
        <v>238</v>
      </c>
      <c r="D668" t="s">
        <v>238</v>
      </c>
      <c r="F668" t="str">
        <f t="shared" si="25"/>
        <v>47310100</v>
      </c>
      <c r="H668" t="s">
        <v>159</v>
      </c>
      <c r="I668" s="1">
        <v>45734</v>
      </c>
      <c r="K668" s="4">
        <v>29500</v>
      </c>
    </row>
    <row r="669" spans="1:11" hidden="1" outlineLevel="2" x14ac:dyDescent="0.35">
      <c r="A669" t="s">
        <v>131</v>
      </c>
      <c r="B669" s="1">
        <v>45734</v>
      </c>
      <c r="C669" t="s">
        <v>238</v>
      </c>
      <c r="D669" t="s">
        <v>238</v>
      </c>
      <c r="F669" t="str">
        <f t="shared" si="25"/>
        <v>47310100</v>
      </c>
      <c r="H669" t="s">
        <v>239</v>
      </c>
      <c r="I669" s="1">
        <v>45734</v>
      </c>
      <c r="K669" s="4">
        <v>-29500</v>
      </c>
    </row>
    <row r="670" spans="1:11" hidden="1" outlineLevel="2" x14ac:dyDescent="0.35">
      <c r="A670" t="s">
        <v>131</v>
      </c>
      <c r="B670" s="1">
        <v>45734</v>
      </c>
      <c r="C670" t="s">
        <v>240</v>
      </c>
      <c r="D670" t="s">
        <v>240</v>
      </c>
      <c r="F670" t="str">
        <f t="shared" si="25"/>
        <v>47310100</v>
      </c>
      <c r="H670" t="s">
        <v>188</v>
      </c>
      <c r="I670" s="1">
        <v>45734</v>
      </c>
      <c r="K670" s="4">
        <v>59000</v>
      </c>
    </row>
    <row r="671" spans="1:11" hidden="1" outlineLevel="2" x14ac:dyDescent="0.35">
      <c r="A671" t="s">
        <v>131</v>
      </c>
      <c r="B671" s="1">
        <v>45734</v>
      </c>
      <c r="C671" t="s">
        <v>240</v>
      </c>
      <c r="D671" t="s">
        <v>240</v>
      </c>
      <c r="F671" t="str">
        <f t="shared" si="25"/>
        <v>47310100</v>
      </c>
      <c r="H671" t="s">
        <v>188</v>
      </c>
      <c r="I671" s="1">
        <v>45734</v>
      </c>
      <c r="K671" s="4">
        <v>59000</v>
      </c>
    </row>
    <row r="672" spans="1:11" hidden="1" outlineLevel="2" x14ac:dyDescent="0.35">
      <c r="A672" t="s">
        <v>131</v>
      </c>
      <c r="B672" s="1">
        <v>45734</v>
      </c>
      <c r="C672" t="s">
        <v>240</v>
      </c>
      <c r="D672" t="s">
        <v>240</v>
      </c>
      <c r="F672" t="str">
        <f t="shared" si="25"/>
        <v>47310100</v>
      </c>
      <c r="H672" t="s">
        <v>241</v>
      </c>
      <c r="I672" s="1">
        <v>45734</v>
      </c>
      <c r="K672" s="4">
        <v>-59000</v>
      </c>
    </row>
    <row r="673" spans="1:11" hidden="1" outlineLevel="2" x14ac:dyDescent="0.35">
      <c r="A673" t="s">
        <v>131</v>
      </c>
      <c r="B673" s="1">
        <v>45734</v>
      </c>
      <c r="C673" t="s">
        <v>242</v>
      </c>
      <c r="D673" t="s">
        <v>242</v>
      </c>
      <c r="F673" t="str">
        <f t="shared" si="25"/>
        <v>47310100</v>
      </c>
      <c r="H673" t="s">
        <v>188</v>
      </c>
      <c r="I673" s="1">
        <v>45734</v>
      </c>
      <c r="K673" s="4">
        <v>59000</v>
      </c>
    </row>
    <row r="674" spans="1:11" hidden="1" outlineLevel="2" x14ac:dyDescent="0.35">
      <c r="A674" t="s">
        <v>131</v>
      </c>
      <c r="B674" s="1">
        <v>45734</v>
      </c>
      <c r="C674" t="s">
        <v>242</v>
      </c>
      <c r="D674" t="s">
        <v>242</v>
      </c>
      <c r="F674" t="str">
        <f t="shared" si="25"/>
        <v>47310100</v>
      </c>
      <c r="H674" t="s">
        <v>188</v>
      </c>
      <c r="I674" s="1">
        <v>45734</v>
      </c>
      <c r="K674" s="4">
        <v>59000</v>
      </c>
    </row>
    <row r="675" spans="1:11" hidden="1" outlineLevel="2" x14ac:dyDescent="0.35">
      <c r="A675" t="s">
        <v>131</v>
      </c>
      <c r="B675" s="1">
        <v>45734</v>
      </c>
      <c r="C675" t="s">
        <v>242</v>
      </c>
      <c r="D675" t="s">
        <v>242</v>
      </c>
      <c r="F675" t="str">
        <f t="shared" si="25"/>
        <v>47310100</v>
      </c>
      <c r="H675" t="s">
        <v>241</v>
      </c>
      <c r="I675" s="1">
        <v>45734</v>
      </c>
      <c r="K675" s="4">
        <v>-59000</v>
      </c>
    </row>
    <row r="676" spans="1:11" hidden="1" outlineLevel="2" x14ac:dyDescent="0.35">
      <c r="A676" t="s">
        <v>131</v>
      </c>
      <c r="B676" s="1">
        <v>45734</v>
      </c>
      <c r="C676" t="s">
        <v>243</v>
      </c>
      <c r="D676" t="s">
        <v>243</v>
      </c>
      <c r="F676" t="str">
        <f t="shared" ref="F676:F707" si="26">"47310100"</f>
        <v>47310100</v>
      </c>
      <c r="H676" t="s">
        <v>159</v>
      </c>
      <c r="I676" s="1">
        <v>45734</v>
      </c>
      <c r="K676" s="4">
        <v>29500</v>
      </c>
    </row>
    <row r="677" spans="1:11" hidden="1" outlineLevel="2" x14ac:dyDescent="0.35">
      <c r="A677" t="s">
        <v>131</v>
      </c>
      <c r="B677" s="1">
        <v>45734</v>
      </c>
      <c r="C677" t="s">
        <v>243</v>
      </c>
      <c r="D677" t="s">
        <v>243</v>
      </c>
      <c r="F677" t="str">
        <f t="shared" si="26"/>
        <v>47310100</v>
      </c>
      <c r="H677" t="s">
        <v>159</v>
      </c>
      <c r="I677" s="1">
        <v>45734</v>
      </c>
      <c r="K677" s="4">
        <v>29500</v>
      </c>
    </row>
    <row r="678" spans="1:11" hidden="1" outlineLevel="2" x14ac:dyDescent="0.35">
      <c r="A678" t="s">
        <v>131</v>
      </c>
      <c r="B678" s="1">
        <v>45734</v>
      </c>
      <c r="C678" t="s">
        <v>243</v>
      </c>
      <c r="D678" t="s">
        <v>243</v>
      </c>
      <c r="F678" t="str">
        <f t="shared" si="26"/>
        <v>47310100</v>
      </c>
      <c r="H678" t="s">
        <v>239</v>
      </c>
      <c r="I678" s="1">
        <v>45734</v>
      </c>
      <c r="K678" s="4">
        <v>-29500</v>
      </c>
    </row>
    <row r="679" spans="1:11" hidden="1" outlineLevel="2" x14ac:dyDescent="0.35">
      <c r="A679" t="s">
        <v>131</v>
      </c>
      <c r="B679" s="1">
        <v>45734</v>
      </c>
      <c r="C679" t="s">
        <v>244</v>
      </c>
      <c r="D679" t="s">
        <v>244</v>
      </c>
      <c r="F679" t="str">
        <f t="shared" si="26"/>
        <v>47310100</v>
      </c>
      <c r="H679" t="s">
        <v>159</v>
      </c>
      <c r="I679" s="1">
        <v>45734</v>
      </c>
      <c r="K679" s="4">
        <v>59000</v>
      </c>
    </row>
    <row r="680" spans="1:11" hidden="1" outlineLevel="2" x14ac:dyDescent="0.35">
      <c r="A680" t="s">
        <v>131</v>
      </c>
      <c r="B680" s="1">
        <v>45734</v>
      </c>
      <c r="C680" t="s">
        <v>244</v>
      </c>
      <c r="D680" t="s">
        <v>244</v>
      </c>
      <c r="F680" t="str">
        <f t="shared" si="26"/>
        <v>47310100</v>
      </c>
      <c r="H680" t="s">
        <v>159</v>
      </c>
      <c r="I680" s="1">
        <v>45734</v>
      </c>
      <c r="K680" s="4">
        <v>59000</v>
      </c>
    </row>
    <row r="681" spans="1:11" hidden="1" outlineLevel="2" x14ac:dyDescent="0.35">
      <c r="A681" t="s">
        <v>131</v>
      </c>
      <c r="B681" s="1">
        <v>45734</v>
      </c>
      <c r="C681" t="s">
        <v>244</v>
      </c>
      <c r="D681" t="s">
        <v>244</v>
      </c>
      <c r="F681" t="str">
        <f t="shared" si="26"/>
        <v>47310100</v>
      </c>
      <c r="H681" t="s">
        <v>239</v>
      </c>
      <c r="I681" s="1">
        <v>45734</v>
      </c>
      <c r="K681" s="4">
        <v>-59000</v>
      </c>
    </row>
    <row r="682" spans="1:11" hidden="1" outlineLevel="2" x14ac:dyDescent="0.35">
      <c r="A682" t="s">
        <v>131</v>
      </c>
      <c r="B682" s="1">
        <v>45734</v>
      </c>
      <c r="C682" t="s">
        <v>245</v>
      </c>
      <c r="D682" t="s">
        <v>245</v>
      </c>
      <c r="F682" t="str">
        <f t="shared" si="26"/>
        <v>47310100</v>
      </c>
      <c r="H682" t="s">
        <v>195</v>
      </c>
      <c r="I682" s="1">
        <v>45734</v>
      </c>
      <c r="K682" s="4">
        <v>59000</v>
      </c>
    </row>
    <row r="683" spans="1:11" hidden="1" outlineLevel="2" x14ac:dyDescent="0.35">
      <c r="A683" t="s">
        <v>131</v>
      </c>
      <c r="B683" s="1">
        <v>45734</v>
      </c>
      <c r="C683" t="s">
        <v>245</v>
      </c>
      <c r="D683" t="s">
        <v>245</v>
      </c>
      <c r="F683" t="str">
        <f t="shared" si="26"/>
        <v>47310100</v>
      </c>
      <c r="H683" t="s">
        <v>195</v>
      </c>
      <c r="I683" s="1">
        <v>45734</v>
      </c>
      <c r="K683" s="4">
        <v>59000</v>
      </c>
    </row>
    <row r="684" spans="1:11" hidden="1" outlineLevel="2" x14ac:dyDescent="0.35">
      <c r="A684" t="s">
        <v>131</v>
      </c>
      <c r="B684" s="1">
        <v>45734</v>
      </c>
      <c r="C684" t="s">
        <v>245</v>
      </c>
      <c r="D684" t="s">
        <v>245</v>
      </c>
      <c r="F684" t="str">
        <f t="shared" si="26"/>
        <v>47310100</v>
      </c>
      <c r="H684" t="s">
        <v>246</v>
      </c>
      <c r="I684" s="1">
        <v>45734</v>
      </c>
      <c r="K684" s="4">
        <v>-59000</v>
      </c>
    </row>
    <row r="685" spans="1:11" hidden="1" outlineLevel="2" x14ac:dyDescent="0.35">
      <c r="A685" t="s">
        <v>131</v>
      </c>
      <c r="B685" s="1">
        <v>45734</v>
      </c>
      <c r="C685" t="s">
        <v>247</v>
      </c>
      <c r="D685" t="s">
        <v>247</v>
      </c>
      <c r="F685" t="str">
        <f t="shared" si="26"/>
        <v>47310100</v>
      </c>
      <c r="H685" t="s">
        <v>148</v>
      </c>
      <c r="I685" s="1">
        <v>45734</v>
      </c>
      <c r="K685" s="4">
        <v>118000</v>
      </c>
    </row>
    <row r="686" spans="1:11" hidden="1" outlineLevel="2" x14ac:dyDescent="0.35">
      <c r="A686" t="s">
        <v>131</v>
      </c>
      <c r="B686" s="1">
        <v>45734</v>
      </c>
      <c r="C686" t="s">
        <v>247</v>
      </c>
      <c r="D686" t="s">
        <v>247</v>
      </c>
      <c r="F686" t="str">
        <f t="shared" si="26"/>
        <v>47310100</v>
      </c>
      <c r="H686" t="s">
        <v>148</v>
      </c>
      <c r="I686" s="1">
        <v>45734</v>
      </c>
      <c r="K686" s="4">
        <v>118000</v>
      </c>
    </row>
    <row r="687" spans="1:11" hidden="1" outlineLevel="2" x14ac:dyDescent="0.35">
      <c r="A687" t="s">
        <v>131</v>
      </c>
      <c r="B687" s="1">
        <v>45734</v>
      </c>
      <c r="C687" t="s">
        <v>247</v>
      </c>
      <c r="D687" t="s">
        <v>247</v>
      </c>
      <c r="F687" t="str">
        <f t="shared" si="26"/>
        <v>47310100</v>
      </c>
      <c r="H687" t="s">
        <v>248</v>
      </c>
      <c r="I687" s="1">
        <v>45734</v>
      </c>
      <c r="K687" s="4">
        <v>-118000</v>
      </c>
    </row>
    <row r="688" spans="1:11" hidden="1" outlineLevel="2" x14ac:dyDescent="0.35">
      <c r="A688" t="s">
        <v>131</v>
      </c>
      <c r="B688" s="1">
        <v>45734</v>
      </c>
      <c r="C688" t="s">
        <v>249</v>
      </c>
      <c r="D688" t="s">
        <v>249</v>
      </c>
      <c r="F688" t="str">
        <f t="shared" si="26"/>
        <v>47310100</v>
      </c>
      <c r="H688" t="s">
        <v>148</v>
      </c>
      <c r="I688" s="1">
        <v>45734</v>
      </c>
      <c r="K688" s="4">
        <v>29500</v>
      </c>
    </row>
    <row r="689" spans="1:11" hidden="1" outlineLevel="2" x14ac:dyDescent="0.35">
      <c r="A689" t="s">
        <v>131</v>
      </c>
      <c r="B689" s="1">
        <v>45734</v>
      </c>
      <c r="C689" t="s">
        <v>249</v>
      </c>
      <c r="D689" t="s">
        <v>249</v>
      </c>
      <c r="F689" t="str">
        <f t="shared" si="26"/>
        <v>47310100</v>
      </c>
      <c r="H689" t="s">
        <v>148</v>
      </c>
      <c r="I689" s="1">
        <v>45734</v>
      </c>
      <c r="K689" s="4">
        <v>29500</v>
      </c>
    </row>
    <row r="690" spans="1:11" hidden="1" outlineLevel="2" x14ac:dyDescent="0.35">
      <c r="A690" t="s">
        <v>131</v>
      </c>
      <c r="B690" s="1">
        <v>45734</v>
      </c>
      <c r="C690" t="s">
        <v>249</v>
      </c>
      <c r="D690" t="s">
        <v>249</v>
      </c>
      <c r="F690" t="str">
        <f t="shared" si="26"/>
        <v>47310100</v>
      </c>
      <c r="H690" t="s">
        <v>248</v>
      </c>
      <c r="I690" s="1">
        <v>45734</v>
      </c>
      <c r="K690" s="4">
        <v>-29500</v>
      </c>
    </row>
    <row r="691" spans="1:11" hidden="1" outlineLevel="2" x14ac:dyDescent="0.35">
      <c r="A691" t="s">
        <v>131</v>
      </c>
      <c r="B691" s="1">
        <v>45734</v>
      </c>
      <c r="C691" t="s">
        <v>250</v>
      </c>
      <c r="D691" t="s">
        <v>250</v>
      </c>
      <c r="F691" t="str">
        <f t="shared" si="26"/>
        <v>47310100</v>
      </c>
      <c r="H691" t="s">
        <v>148</v>
      </c>
      <c r="I691" s="1">
        <v>45734</v>
      </c>
      <c r="K691" s="4">
        <v>59000</v>
      </c>
    </row>
    <row r="692" spans="1:11" hidden="1" outlineLevel="2" x14ac:dyDescent="0.35">
      <c r="A692" t="s">
        <v>131</v>
      </c>
      <c r="B692" s="1">
        <v>45734</v>
      </c>
      <c r="C692" t="s">
        <v>250</v>
      </c>
      <c r="D692" t="s">
        <v>250</v>
      </c>
      <c r="F692" t="str">
        <f t="shared" si="26"/>
        <v>47310100</v>
      </c>
      <c r="H692" t="s">
        <v>148</v>
      </c>
      <c r="I692" s="1">
        <v>45734</v>
      </c>
      <c r="K692" s="4">
        <v>59000</v>
      </c>
    </row>
    <row r="693" spans="1:11" hidden="1" outlineLevel="2" x14ac:dyDescent="0.35">
      <c r="A693" t="s">
        <v>131</v>
      </c>
      <c r="B693" s="1">
        <v>45734</v>
      </c>
      <c r="C693" t="s">
        <v>250</v>
      </c>
      <c r="D693" t="s">
        <v>250</v>
      </c>
      <c r="F693" t="str">
        <f t="shared" si="26"/>
        <v>47310100</v>
      </c>
      <c r="H693" t="s">
        <v>248</v>
      </c>
      <c r="I693" s="1">
        <v>45734</v>
      </c>
      <c r="K693" s="4">
        <v>-59000</v>
      </c>
    </row>
    <row r="694" spans="1:11" hidden="1" outlineLevel="2" x14ac:dyDescent="0.35">
      <c r="A694" t="s">
        <v>131</v>
      </c>
      <c r="B694" s="1">
        <v>45734</v>
      </c>
      <c r="C694" t="s">
        <v>251</v>
      </c>
      <c r="D694" t="s">
        <v>251</v>
      </c>
      <c r="F694" t="str">
        <f t="shared" si="26"/>
        <v>47310100</v>
      </c>
      <c r="H694" t="s">
        <v>163</v>
      </c>
      <c r="I694" s="1">
        <v>45777</v>
      </c>
      <c r="K694" s="4">
        <v>59000</v>
      </c>
    </row>
    <row r="695" spans="1:11" hidden="1" outlineLevel="2" x14ac:dyDescent="0.35">
      <c r="A695" t="s">
        <v>131</v>
      </c>
      <c r="B695" s="1">
        <v>45734</v>
      </c>
      <c r="C695" t="s">
        <v>251</v>
      </c>
      <c r="D695" t="s">
        <v>251</v>
      </c>
      <c r="F695" t="str">
        <f t="shared" si="26"/>
        <v>47310100</v>
      </c>
      <c r="H695" t="s">
        <v>163</v>
      </c>
      <c r="I695" s="1">
        <v>45777</v>
      </c>
      <c r="K695" s="4">
        <v>59000</v>
      </c>
    </row>
    <row r="696" spans="1:11" hidden="1" outlineLevel="2" x14ac:dyDescent="0.35">
      <c r="A696" t="s">
        <v>131</v>
      </c>
      <c r="B696" s="1">
        <v>45734</v>
      </c>
      <c r="C696" t="s">
        <v>251</v>
      </c>
      <c r="D696" t="s">
        <v>251</v>
      </c>
      <c r="F696" t="str">
        <f t="shared" si="26"/>
        <v>47310100</v>
      </c>
      <c r="H696" t="s">
        <v>252</v>
      </c>
      <c r="I696" s="1">
        <v>45777</v>
      </c>
      <c r="K696" s="4">
        <v>-59000</v>
      </c>
    </row>
    <row r="697" spans="1:11" hidden="1" outlineLevel="2" x14ac:dyDescent="0.35">
      <c r="A697" t="s">
        <v>131</v>
      </c>
      <c r="B697" s="1">
        <v>45734</v>
      </c>
      <c r="C697" t="s">
        <v>253</v>
      </c>
      <c r="D697" t="s">
        <v>253</v>
      </c>
      <c r="F697" t="str">
        <f t="shared" si="26"/>
        <v>47310100</v>
      </c>
      <c r="H697" t="s">
        <v>139</v>
      </c>
      <c r="I697" s="1">
        <v>45765</v>
      </c>
      <c r="K697" s="4">
        <v>177000</v>
      </c>
    </row>
    <row r="698" spans="1:11" hidden="1" outlineLevel="2" x14ac:dyDescent="0.35">
      <c r="A698" t="s">
        <v>131</v>
      </c>
      <c r="B698" s="1">
        <v>45734</v>
      </c>
      <c r="C698" t="s">
        <v>253</v>
      </c>
      <c r="D698" t="s">
        <v>253</v>
      </c>
      <c r="F698" t="str">
        <f t="shared" si="26"/>
        <v>47310100</v>
      </c>
      <c r="H698" t="s">
        <v>139</v>
      </c>
      <c r="I698" s="1">
        <v>45765</v>
      </c>
      <c r="K698" s="4">
        <v>177000</v>
      </c>
    </row>
    <row r="699" spans="1:11" hidden="1" outlineLevel="2" x14ac:dyDescent="0.35">
      <c r="A699" t="s">
        <v>131</v>
      </c>
      <c r="B699" s="1">
        <v>45734</v>
      </c>
      <c r="C699" t="s">
        <v>253</v>
      </c>
      <c r="D699" t="s">
        <v>253</v>
      </c>
      <c r="F699" t="str">
        <f t="shared" si="26"/>
        <v>47310100</v>
      </c>
      <c r="H699" t="s">
        <v>254</v>
      </c>
      <c r="I699" s="1">
        <v>45765</v>
      </c>
      <c r="K699" s="4">
        <v>-177000</v>
      </c>
    </row>
    <row r="700" spans="1:11" hidden="1" outlineLevel="2" x14ac:dyDescent="0.35">
      <c r="A700" t="s">
        <v>131</v>
      </c>
      <c r="B700" s="1">
        <v>45735</v>
      </c>
      <c r="C700" t="s">
        <v>255</v>
      </c>
      <c r="D700" t="s">
        <v>255</v>
      </c>
      <c r="F700" t="str">
        <f t="shared" si="26"/>
        <v>47310100</v>
      </c>
      <c r="H700" t="s">
        <v>154</v>
      </c>
      <c r="I700" s="1">
        <v>45735</v>
      </c>
      <c r="K700" s="4">
        <v>590000</v>
      </c>
    </row>
    <row r="701" spans="1:11" hidden="1" outlineLevel="2" x14ac:dyDescent="0.35">
      <c r="A701" t="s">
        <v>131</v>
      </c>
      <c r="B701" s="1">
        <v>45735</v>
      </c>
      <c r="C701" t="s">
        <v>255</v>
      </c>
      <c r="D701" t="s">
        <v>255</v>
      </c>
      <c r="F701" t="str">
        <f t="shared" si="26"/>
        <v>47310100</v>
      </c>
      <c r="H701" t="s">
        <v>154</v>
      </c>
      <c r="I701" s="1">
        <v>45735</v>
      </c>
      <c r="K701" s="4">
        <v>590000</v>
      </c>
    </row>
    <row r="702" spans="1:11" hidden="1" outlineLevel="2" x14ac:dyDescent="0.35">
      <c r="A702" t="s">
        <v>131</v>
      </c>
      <c r="B702" s="1">
        <v>45735</v>
      </c>
      <c r="C702" t="s">
        <v>255</v>
      </c>
      <c r="D702" t="s">
        <v>255</v>
      </c>
      <c r="F702" t="str">
        <f t="shared" si="26"/>
        <v>47310100</v>
      </c>
      <c r="H702" t="s">
        <v>155</v>
      </c>
      <c r="I702" s="1">
        <v>45735</v>
      </c>
      <c r="K702" s="4">
        <v>-590000</v>
      </c>
    </row>
    <row r="703" spans="1:11" hidden="1" outlineLevel="2" x14ac:dyDescent="0.35">
      <c r="A703" t="s">
        <v>131</v>
      </c>
      <c r="B703" s="1">
        <v>45735</v>
      </c>
      <c r="C703" t="s">
        <v>256</v>
      </c>
      <c r="D703" t="s">
        <v>256</v>
      </c>
      <c r="F703" t="str">
        <f t="shared" si="26"/>
        <v>47310100</v>
      </c>
      <c r="H703" t="s">
        <v>180</v>
      </c>
      <c r="I703" s="1">
        <v>45766</v>
      </c>
      <c r="K703" s="4">
        <v>796500</v>
      </c>
    </row>
    <row r="704" spans="1:11" hidden="1" outlineLevel="2" x14ac:dyDescent="0.35">
      <c r="A704" t="s">
        <v>131</v>
      </c>
      <c r="B704" s="1">
        <v>45735</v>
      </c>
      <c r="C704" t="s">
        <v>256</v>
      </c>
      <c r="D704" t="s">
        <v>256</v>
      </c>
      <c r="F704" t="str">
        <f t="shared" si="26"/>
        <v>47310100</v>
      </c>
      <c r="H704" t="s">
        <v>180</v>
      </c>
      <c r="I704" s="1">
        <v>45766</v>
      </c>
      <c r="K704" s="4">
        <v>796500</v>
      </c>
    </row>
    <row r="705" spans="1:11" hidden="1" outlineLevel="2" x14ac:dyDescent="0.35">
      <c r="A705" t="s">
        <v>131</v>
      </c>
      <c r="B705" s="1">
        <v>45735</v>
      </c>
      <c r="C705" t="s">
        <v>256</v>
      </c>
      <c r="D705" t="s">
        <v>256</v>
      </c>
      <c r="F705" t="str">
        <f t="shared" si="26"/>
        <v>47310100</v>
      </c>
      <c r="H705" t="s">
        <v>257</v>
      </c>
      <c r="I705" s="1">
        <v>45766</v>
      </c>
      <c r="K705" s="4">
        <v>-796500</v>
      </c>
    </row>
    <row r="706" spans="1:11" hidden="1" outlineLevel="2" x14ac:dyDescent="0.35">
      <c r="A706" t="s">
        <v>131</v>
      </c>
      <c r="B706" s="1">
        <v>45735</v>
      </c>
      <c r="C706" t="s">
        <v>258</v>
      </c>
      <c r="D706" t="s">
        <v>258</v>
      </c>
      <c r="F706" t="str">
        <f t="shared" si="26"/>
        <v>47310100</v>
      </c>
      <c r="H706" t="s">
        <v>148</v>
      </c>
      <c r="I706" s="1">
        <v>45735</v>
      </c>
      <c r="K706" s="4">
        <v>324500</v>
      </c>
    </row>
    <row r="707" spans="1:11" hidden="1" outlineLevel="2" x14ac:dyDescent="0.35">
      <c r="A707" t="s">
        <v>131</v>
      </c>
      <c r="B707" s="1">
        <v>45735</v>
      </c>
      <c r="C707" t="s">
        <v>258</v>
      </c>
      <c r="D707" t="s">
        <v>258</v>
      </c>
      <c r="F707" t="str">
        <f t="shared" si="26"/>
        <v>47310100</v>
      </c>
      <c r="H707" t="s">
        <v>148</v>
      </c>
      <c r="I707" s="1">
        <v>45735</v>
      </c>
      <c r="K707" s="4">
        <v>324500</v>
      </c>
    </row>
    <row r="708" spans="1:11" hidden="1" outlineLevel="2" x14ac:dyDescent="0.35">
      <c r="A708" t="s">
        <v>131</v>
      </c>
      <c r="B708" s="1">
        <v>45735</v>
      </c>
      <c r="C708" t="s">
        <v>258</v>
      </c>
      <c r="D708" t="s">
        <v>258</v>
      </c>
      <c r="F708" t="str">
        <f t="shared" ref="F708:F739" si="27">"47310100"</f>
        <v>47310100</v>
      </c>
      <c r="H708" t="s">
        <v>248</v>
      </c>
      <c r="I708" s="1">
        <v>45735</v>
      </c>
      <c r="K708" s="4">
        <v>-324500</v>
      </c>
    </row>
    <row r="709" spans="1:11" hidden="1" outlineLevel="2" x14ac:dyDescent="0.35">
      <c r="A709" t="s">
        <v>131</v>
      </c>
      <c r="B709" s="1">
        <v>45735</v>
      </c>
      <c r="C709" t="s">
        <v>259</v>
      </c>
      <c r="D709" t="s">
        <v>259</v>
      </c>
      <c r="F709" t="str">
        <f t="shared" si="27"/>
        <v>47310100</v>
      </c>
      <c r="H709" t="s">
        <v>207</v>
      </c>
      <c r="I709" s="1">
        <v>45735</v>
      </c>
      <c r="K709" s="4">
        <v>118000</v>
      </c>
    </row>
    <row r="710" spans="1:11" hidden="1" outlineLevel="2" x14ac:dyDescent="0.35">
      <c r="A710" t="s">
        <v>131</v>
      </c>
      <c r="B710" s="1">
        <v>45735</v>
      </c>
      <c r="C710" t="s">
        <v>259</v>
      </c>
      <c r="D710" t="s">
        <v>259</v>
      </c>
      <c r="F710" t="str">
        <f t="shared" si="27"/>
        <v>47310100</v>
      </c>
      <c r="H710" t="s">
        <v>207</v>
      </c>
      <c r="I710" s="1">
        <v>45735</v>
      </c>
      <c r="K710" s="4">
        <v>118000</v>
      </c>
    </row>
    <row r="711" spans="1:11" hidden="1" outlineLevel="2" x14ac:dyDescent="0.35">
      <c r="A711" t="s">
        <v>131</v>
      </c>
      <c r="B711" s="1">
        <v>45735</v>
      </c>
      <c r="C711" t="s">
        <v>259</v>
      </c>
      <c r="D711" t="s">
        <v>259</v>
      </c>
      <c r="F711" t="str">
        <f t="shared" si="27"/>
        <v>47310100</v>
      </c>
      <c r="H711" t="s">
        <v>260</v>
      </c>
      <c r="I711" s="1">
        <v>45735</v>
      </c>
      <c r="K711" s="4">
        <v>-118000</v>
      </c>
    </row>
    <row r="712" spans="1:11" hidden="1" outlineLevel="2" x14ac:dyDescent="0.35">
      <c r="A712" t="s">
        <v>131</v>
      </c>
      <c r="B712" s="1">
        <v>45736</v>
      </c>
      <c r="C712" t="s">
        <v>261</v>
      </c>
      <c r="D712" t="s">
        <v>261</v>
      </c>
      <c r="F712" t="str">
        <f t="shared" si="27"/>
        <v>47310100</v>
      </c>
      <c r="H712" t="s">
        <v>144</v>
      </c>
      <c r="I712" s="1">
        <v>45736</v>
      </c>
      <c r="K712" s="4">
        <v>177000</v>
      </c>
    </row>
    <row r="713" spans="1:11" hidden="1" outlineLevel="2" x14ac:dyDescent="0.35">
      <c r="A713" t="s">
        <v>131</v>
      </c>
      <c r="B713" s="1">
        <v>45736</v>
      </c>
      <c r="C713" t="s">
        <v>261</v>
      </c>
      <c r="D713" t="s">
        <v>261</v>
      </c>
      <c r="F713" t="str">
        <f t="shared" si="27"/>
        <v>47310100</v>
      </c>
      <c r="H713" t="s">
        <v>144</v>
      </c>
      <c r="I713" s="1">
        <v>45736</v>
      </c>
      <c r="K713" s="4">
        <v>177000</v>
      </c>
    </row>
    <row r="714" spans="1:11" hidden="1" outlineLevel="2" x14ac:dyDescent="0.35">
      <c r="A714" t="s">
        <v>131</v>
      </c>
      <c r="B714" s="1">
        <v>45736</v>
      </c>
      <c r="C714" t="s">
        <v>261</v>
      </c>
      <c r="D714" t="s">
        <v>261</v>
      </c>
      <c r="F714" t="str">
        <f t="shared" si="27"/>
        <v>47310100</v>
      </c>
      <c r="H714" t="s">
        <v>262</v>
      </c>
      <c r="I714" s="1">
        <v>45736</v>
      </c>
      <c r="K714" s="4">
        <v>-177000</v>
      </c>
    </row>
    <row r="715" spans="1:11" hidden="1" outlineLevel="2" x14ac:dyDescent="0.35">
      <c r="A715" t="s">
        <v>131</v>
      </c>
      <c r="B715" s="1">
        <v>45736</v>
      </c>
      <c r="C715" t="s">
        <v>263</v>
      </c>
      <c r="D715" t="s">
        <v>263</v>
      </c>
      <c r="F715" t="str">
        <f t="shared" si="27"/>
        <v>47310100</v>
      </c>
      <c r="H715" t="s">
        <v>159</v>
      </c>
      <c r="I715" s="1">
        <v>45767</v>
      </c>
      <c r="K715" s="4">
        <v>59000</v>
      </c>
    </row>
    <row r="716" spans="1:11" hidden="1" outlineLevel="2" x14ac:dyDescent="0.35">
      <c r="A716" t="s">
        <v>131</v>
      </c>
      <c r="B716" s="1">
        <v>45736</v>
      </c>
      <c r="C716" t="s">
        <v>263</v>
      </c>
      <c r="D716" t="s">
        <v>263</v>
      </c>
      <c r="F716" t="str">
        <f t="shared" si="27"/>
        <v>47310100</v>
      </c>
      <c r="H716" t="s">
        <v>159</v>
      </c>
      <c r="I716" s="1">
        <v>45767</v>
      </c>
      <c r="K716" s="4">
        <v>59000</v>
      </c>
    </row>
    <row r="717" spans="1:11" hidden="1" outlineLevel="2" x14ac:dyDescent="0.35">
      <c r="A717" t="s">
        <v>131</v>
      </c>
      <c r="B717" s="1">
        <v>45736</v>
      </c>
      <c r="C717" t="s">
        <v>263</v>
      </c>
      <c r="D717" t="s">
        <v>263</v>
      </c>
      <c r="F717" t="str">
        <f t="shared" si="27"/>
        <v>47310100</v>
      </c>
      <c r="H717" t="s">
        <v>239</v>
      </c>
      <c r="I717" s="1">
        <v>45767</v>
      </c>
      <c r="K717" s="4">
        <v>-59000</v>
      </c>
    </row>
    <row r="718" spans="1:11" hidden="1" outlineLevel="2" x14ac:dyDescent="0.35">
      <c r="A718" t="s">
        <v>131</v>
      </c>
      <c r="B718" s="1">
        <v>45736</v>
      </c>
      <c r="C718" t="s">
        <v>265</v>
      </c>
      <c r="D718" t="s">
        <v>265</v>
      </c>
      <c r="F718" t="str">
        <f t="shared" si="27"/>
        <v>47310100</v>
      </c>
      <c r="H718" t="s">
        <v>159</v>
      </c>
      <c r="I718" s="1">
        <v>45736</v>
      </c>
      <c r="K718" s="4">
        <v>177000</v>
      </c>
    </row>
    <row r="719" spans="1:11" hidden="1" outlineLevel="2" x14ac:dyDescent="0.35">
      <c r="A719" t="s">
        <v>131</v>
      </c>
      <c r="B719" s="1">
        <v>45736</v>
      </c>
      <c r="C719" t="s">
        <v>265</v>
      </c>
      <c r="D719" t="s">
        <v>265</v>
      </c>
      <c r="F719" t="str">
        <f t="shared" si="27"/>
        <v>47310100</v>
      </c>
      <c r="H719" t="s">
        <v>159</v>
      </c>
      <c r="I719" s="1">
        <v>45736</v>
      </c>
      <c r="K719" s="4">
        <v>177000</v>
      </c>
    </row>
    <row r="720" spans="1:11" hidden="1" outlineLevel="2" x14ac:dyDescent="0.35">
      <c r="A720" t="s">
        <v>131</v>
      </c>
      <c r="B720" s="1">
        <v>45736</v>
      </c>
      <c r="C720" t="s">
        <v>265</v>
      </c>
      <c r="D720" t="s">
        <v>265</v>
      </c>
      <c r="F720" t="str">
        <f t="shared" si="27"/>
        <v>47310100</v>
      </c>
      <c r="H720" t="s">
        <v>239</v>
      </c>
      <c r="I720" s="1">
        <v>45736</v>
      </c>
      <c r="K720" s="4">
        <v>-177000</v>
      </c>
    </row>
    <row r="721" spans="1:11" hidden="1" outlineLevel="2" x14ac:dyDescent="0.35">
      <c r="A721" t="s">
        <v>131</v>
      </c>
      <c r="B721" s="1">
        <v>45736</v>
      </c>
      <c r="C721" t="s">
        <v>266</v>
      </c>
      <c r="D721" t="s">
        <v>266</v>
      </c>
      <c r="F721" t="str">
        <f t="shared" si="27"/>
        <v>47310100</v>
      </c>
      <c r="H721" t="s">
        <v>159</v>
      </c>
      <c r="I721" s="1">
        <v>45736</v>
      </c>
      <c r="K721" s="4">
        <v>59000</v>
      </c>
    </row>
    <row r="722" spans="1:11" hidden="1" outlineLevel="2" x14ac:dyDescent="0.35">
      <c r="A722" t="s">
        <v>131</v>
      </c>
      <c r="B722" s="1">
        <v>45736</v>
      </c>
      <c r="C722" t="s">
        <v>266</v>
      </c>
      <c r="D722" t="s">
        <v>266</v>
      </c>
      <c r="F722" t="str">
        <f t="shared" si="27"/>
        <v>47310100</v>
      </c>
      <c r="H722" t="s">
        <v>159</v>
      </c>
      <c r="I722" s="1">
        <v>45736</v>
      </c>
      <c r="K722" s="4">
        <v>59000</v>
      </c>
    </row>
    <row r="723" spans="1:11" hidden="1" outlineLevel="2" x14ac:dyDescent="0.35">
      <c r="A723" t="s">
        <v>131</v>
      </c>
      <c r="B723" s="1">
        <v>45736</v>
      </c>
      <c r="C723" t="s">
        <v>266</v>
      </c>
      <c r="D723" t="s">
        <v>266</v>
      </c>
      <c r="F723" t="str">
        <f t="shared" si="27"/>
        <v>47310100</v>
      </c>
      <c r="H723" t="s">
        <v>239</v>
      </c>
      <c r="I723" s="1">
        <v>45736</v>
      </c>
      <c r="K723" s="4">
        <v>-59000</v>
      </c>
    </row>
    <row r="724" spans="1:11" hidden="1" outlineLevel="2" x14ac:dyDescent="0.35">
      <c r="A724" t="s">
        <v>131</v>
      </c>
      <c r="B724" s="1">
        <v>45736</v>
      </c>
      <c r="C724" t="s">
        <v>267</v>
      </c>
      <c r="D724" t="s">
        <v>267</v>
      </c>
      <c r="F724" t="str">
        <f t="shared" si="27"/>
        <v>47310100</v>
      </c>
      <c r="H724" t="s">
        <v>146</v>
      </c>
      <c r="I724" s="1">
        <v>45767</v>
      </c>
      <c r="K724" s="4">
        <v>118000</v>
      </c>
    </row>
    <row r="725" spans="1:11" hidden="1" outlineLevel="2" x14ac:dyDescent="0.35">
      <c r="A725" t="s">
        <v>131</v>
      </c>
      <c r="B725" s="1">
        <v>45736</v>
      </c>
      <c r="C725" t="s">
        <v>267</v>
      </c>
      <c r="D725" t="s">
        <v>267</v>
      </c>
      <c r="F725" t="str">
        <f t="shared" si="27"/>
        <v>47310100</v>
      </c>
      <c r="H725" t="s">
        <v>146</v>
      </c>
      <c r="I725" s="1">
        <v>45767</v>
      </c>
      <c r="K725" s="4">
        <v>118000</v>
      </c>
    </row>
    <row r="726" spans="1:11" hidden="1" outlineLevel="2" x14ac:dyDescent="0.35">
      <c r="A726" t="s">
        <v>131</v>
      </c>
      <c r="B726" s="1">
        <v>45736</v>
      </c>
      <c r="C726" t="s">
        <v>267</v>
      </c>
      <c r="D726" t="s">
        <v>267</v>
      </c>
      <c r="F726" t="str">
        <f t="shared" si="27"/>
        <v>47310100</v>
      </c>
      <c r="H726" t="s">
        <v>268</v>
      </c>
      <c r="I726" s="1">
        <v>45767</v>
      </c>
      <c r="K726" s="4">
        <v>-118000</v>
      </c>
    </row>
    <row r="727" spans="1:11" hidden="1" outlineLevel="2" x14ac:dyDescent="0.35">
      <c r="A727" t="s">
        <v>131</v>
      </c>
      <c r="B727" s="1">
        <v>45736</v>
      </c>
      <c r="C727" t="s">
        <v>269</v>
      </c>
      <c r="D727" t="s">
        <v>269</v>
      </c>
      <c r="F727" t="str">
        <f t="shared" si="27"/>
        <v>47310100</v>
      </c>
      <c r="H727" t="s">
        <v>148</v>
      </c>
      <c r="I727" s="1">
        <v>45736</v>
      </c>
      <c r="K727" s="4">
        <v>177000</v>
      </c>
    </row>
    <row r="728" spans="1:11" hidden="1" outlineLevel="2" x14ac:dyDescent="0.35">
      <c r="A728" t="s">
        <v>131</v>
      </c>
      <c r="B728" s="1">
        <v>45736</v>
      </c>
      <c r="C728" t="s">
        <v>269</v>
      </c>
      <c r="D728" t="s">
        <v>269</v>
      </c>
      <c r="F728" t="str">
        <f t="shared" si="27"/>
        <v>47310100</v>
      </c>
      <c r="H728" t="s">
        <v>148</v>
      </c>
      <c r="I728" s="1">
        <v>45736</v>
      </c>
      <c r="K728" s="4">
        <v>177000</v>
      </c>
    </row>
    <row r="729" spans="1:11" hidden="1" outlineLevel="2" x14ac:dyDescent="0.35">
      <c r="A729" t="s">
        <v>131</v>
      </c>
      <c r="B729" s="1">
        <v>45736</v>
      </c>
      <c r="C729" t="s">
        <v>269</v>
      </c>
      <c r="D729" t="s">
        <v>269</v>
      </c>
      <c r="F729" t="str">
        <f t="shared" si="27"/>
        <v>47310100</v>
      </c>
      <c r="H729" t="s">
        <v>248</v>
      </c>
      <c r="I729" s="1">
        <v>45736</v>
      </c>
      <c r="K729" s="4">
        <v>-177000</v>
      </c>
    </row>
    <row r="730" spans="1:11" hidden="1" outlineLevel="2" x14ac:dyDescent="0.35">
      <c r="A730" t="s">
        <v>131</v>
      </c>
      <c r="B730" s="1">
        <v>45736</v>
      </c>
      <c r="C730" t="s">
        <v>270</v>
      </c>
      <c r="D730" t="s">
        <v>270</v>
      </c>
      <c r="F730" t="str">
        <f t="shared" si="27"/>
        <v>47310100</v>
      </c>
      <c r="H730" t="s">
        <v>271</v>
      </c>
      <c r="I730" s="1">
        <v>45736</v>
      </c>
      <c r="K730" s="4">
        <v>59000</v>
      </c>
    </row>
    <row r="731" spans="1:11" hidden="1" outlineLevel="2" x14ac:dyDescent="0.35">
      <c r="A731" t="s">
        <v>131</v>
      </c>
      <c r="B731" s="1">
        <v>45736</v>
      </c>
      <c r="C731" t="s">
        <v>270</v>
      </c>
      <c r="D731" t="s">
        <v>270</v>
      </c>
      <c r="F731" t="str">
        <f t="shared" si="27"/>
        <v>47310100</v>
      </c>
      <c r="H731" t="s">
        <v>272</v>
      </c>
      <c r="I731" s="1">
        <v>45736</v>
      </c>
      <c r="K731" s="4">
        <v>59000</v>
      </c>
    </row>
    <row r="732" spans="1:11" hidden="1" outlineLevel="2" x14ac:dyDescent="0.35">
      <c r="A732" t="s">
        <v>131</v>
      </c>
      <c r="B732" s="1">
        <v>45736</v>
      </c>
      <c r="C732" t="s">
        <v>270</v>
      </c>
      <c r="D732" t="s">
        <v>270</v>
      </c>
      <c r="F732" t="str">
        <f t="shared" si="27"/>
        <v>47310100</v>
      </c>
      <c r="H732" t="s">
        <v>273</v>
      </c>
      <c r="I732" s="1">
        <v>45736</v>
      </c>
      <c r="K732" s="4">
        <v>-59000</v>
      </c>
    </row>
    <row r="733" spans="1:11" hidden="1" outlineLevel="2" x14ac:dyDescent="0.35">
      <c r="A733" t="s">
        <v>131</v>
      </c>
      <c r="B733" s="1">
        <v>45736</v>
      </c>
      <c r="C733" t="s">
        <v>274</v>
      </c>
      <c r="D733" t="s">
        <v>274</v>
      </c>
      <c r="F733" t="str">
        <f t="shared" si="27"/>
        <v>47310100</v>
      </c>
      <c r="H733" t="s">
        <v>148</v>
      </c>
      <c r="I733" s="1">
        <v>45736</v>
      </c>
      <c r="K733" s="4">
        <v>29500</v>
      </c>
    </row>
    <row r="734" spans="1:11" hidden="1" outlineLevel="2" x14ac:dyDescent="0.35">
      <c r="A734" t="s">
        <v>131</v>
      </c>
      <c r="B734" s="1">
        <v>45736</v>
      </c>
      <c r="C734" t="s">
        <v>274</v>
      </c>
      <c r="D734" t="s">
        <v>274</v>
      </c>
      <c r="F734" t="str">
        <f t="shared" si="27"/>
        <v>47310100</v>
      </c>
      <c r="H734" t="s">
        <v>148</v>
      </c>
      <c r="I734" s="1">
        <v>45736</v>
      </c>
      <c r="K734" s="4">
        <v>29500</v>
      </c>
    </row>
    <row r="735" spans="1:11" hidden="1" outlineLevel="2" x14ac:dyDescent="0.35">
      <c r="A735" t="s">
        <v>131</v>
      </c>
      <c r="B735" s="1">
        <v>45736</v>
      </c>
      <c r="C735" t="s">
        <v>274</v>
      </c>
      <c r="D735" t="s">
        <v>274</v>
      </c>
      <c r="F735" t="str">
        <f t="shared" si="27"/>
        <v>47310100</v>
      </c>
      <c r="H735" t="s">
        <v>248</v>
      </c>
      <c r="I735" s="1">
        <v>45736</v>
      </c>
      <c r="K735" s="4">
        <v>-29500</v>
      </c>
    </row>
    <row r="736" spans="1:11" hidden="1" outlineLevel="2" x14ac:dyDescent="0.35">
      <c r="A736" t="s">
        <v>131</v>
      </c>
      <c r="B736" s="1">
        <v>45736</v>
      </c>
      <c r="C736" t="s">
        <v>275</v>
      </c>
      <c r="D736" t="s">
        <v>275</v>
      </c>
      <c r="F736" t="str">
        <f t="shared" si="27"/>
        <v>47310100</v>
      </c>
      <c r="H736" t="s">
        <v>139</v>
      </c>
      <c r="I736" s="1">
        <v>45767</v>
      </c>
      <c r="K736" s="4">
        <v>118000</v>
      </c>
    </row>
    <row r="737" spans="1:11" hidden="1" outlineLevel="2" x14ac:dyDescent="0.35">
      <c r="A737" t="s">
        <v>131</v>
      </c>
      <c r="B737" s="1">
        <v>45736</v>
      </c>
      <c r="C737" t="s">
        <v>275</v>
      </c>
      <c r="D737" t="s">
        <v>275</v>
      </c>
      <c r="F737" t="str">
        <f t="shared" si="27"/>
        <v>47310100</v>
      </c>
      <c r="H737" t="s">
        <v>139</v>
      </c>
      <c r="I737" s="1">
        <v>45767</v>
      </c>
      <c r="K737" s="4">
        <v>118000</v>
      </c>
    </row>
    <row r="738" spans="1:11" hidden="1" outlineLevel="2" x14ac:dyDescent="0.35">
      <c r="A738" t="s">
        <v>131</v>
      </c>
      <c r="B738" s="1">
        <v>45736</v>
      </c>
      <c r="C738" t="s">
        <v>275</v>
      </c>
      <c r="D738" t="s">
        <v>275</v>
      </c>
      <c r="F738" t="str">
        <f t="shared" si="27"/>
        <v>47310100</v>
      </c>
      <c r="H738" t="s">
        <v>254</v>
      </c>
      <c r="I738" s="1">
        <v>45767</v>
      </c>
      <c r="K738" s="4">
        <v>-118000</v>
      </c>
    </row>
    <row r="739" spans="1:11" hidden="1" outlineLevel="2" x14ac:dyDescent="0.35">
      <c r="A739" t="s">
        <v>131</v>
      </c>
      <c r="B739" s="1">
        <v>45736</v>
      </c>
      <c r="C739" t="s">
        <v>276</v>
      </c>
      <c r="D739" t="s">
        <v>276</v>
      </c>
      <c r="F739" t="str">
        <f t="shared" si="27"/>
        <v>47310100</v>
      </c>
      <c r="H739" t="s">
        <v>154</v>
      </c>
      <c r="I739" s="1">
        <v>45736</v>
      </c>
      <c r="K739" s="4">
        <v>590000</v>
      </c>
    </row>
    <row r="740" spans="1:11" hidden="1" outlineLevel="2" x14ac:dyDescent="0.35">
      <c r="A740" t="s">
        <v>131</v>
      </c>
      <c r="B740" s="1">
        <v>45736</v>
      </c>
      <c r="C740" t="s">
        <v>276</v>
      </c>
      <c r="D740" t="s">
        <v>276</v>
      </c>
      <c r="F740" t="str">
        <f t="shared" ref="F740:F771" si="28">"47310100"</f>
        <v>47310100</v>
      </c>
      <c r="H740" t="s">
        <v>154</v>
      </c>
      <c r="I740" s="1">
        <v>45736</v>
      </c>
      <c r="K740" s="4">
        <v>590000</v>
      </c>
    </row>
    <row r="741" spans="1:11" hidden="1" outlineLevel="2" x14ac:dyDescent="0.35">
      <c r="A741" t="s">
        <v>131</v>
      </c>
      <c r="B741" s="1">
        <v>45736</v>
      </c>
      <c r="C741" t="s">
        <v>276</v>
      </c>
      <c r="D741" t="s">
        <v>276</v>
      </c>
      <c r="F741" t="str">
        <f t="shared" si="28"/>
        <v>47310100</v>
      </c>
      <c r="H741" t="s">
        <v>155</v>
      </c>
      <c r="I741" s="1">
        <v>45736</v>
      </c>
      <c r="K741" s="4">
        <v>-590000</v>
      </c>
    </row>
    <row r="742" spans="1:11" hidden="1" outlineLevel="2" x14ac:dyDescent="0.35">
      <c r="A742" t="s">
        <v>131</v>
      </c>
      <c r="B742" s="1">
        <v>45736</v>
      </c>
      <c r="C742" t="s">
        <v>277</v>
      </c>
      <c r="D742" t="s">
        <v>277</v>
      </c>
      <c r="F742" t="str">
        <f t="shared" si="28"/>
        <v>47310100</v>
      </c>
      <c r="H742" t="s">
        <v>271</v>
      </c>
      <c r="I742" s="1">
        <v>45736</v>
      </c>
      <c r="K742" s="4">
        <v>265500</v>
      </c>
    </row>
    <row r="743" spans="1:11" hidden="1" outlineLevel="2" x14ac:dyDescent="0.35">
      <c r="A743" t="s">
        <v>131</v>
      </c>
      <c r="B743" s="1">
        <v>45736</v>
      </c>
      <c r="C743" t="s">
        <v>277</v>
      </c>
      <c r="D743" t="s">
        <v>277</v>
      </c>
      <c r="F743" t="str">
        <f t="shared" si="28"/>
        <v>47310100</v>
      </c>
      <c r="H743" t="s">
        <v>272</v>
      </c>
      <c r="I743" s="1">
        <v>45736</v>
      </c>
      <c r="K743" s="4">
        <v>265500</v>
      </c>
    </row>
    <row r="744" spans="1:11" hidden="1" outlineLevel="2" x14ac:dyDescent="0.35">
      <c r="A744" t="s">
        <v>131</v>
      </c>
      <c r="B744" s="1">
        <v>45736</v>
      </c>
      <c r="C744" t="s">
        <v>277</v>
      </c>
      <c r="D744" t="s">
        <v>277</v>
      </c>
      <c r="F744" t="str">
        <f t="shared" si="28"/>
        <v>47310100</v>
      </c>
      <c r="H744" t="s">
        <v>273</v>
      </c>
      <c r="I744" s="1">
        <v>45736</v>
      </c>
      <c r="K744" s="4">
        <v>-265500</v>
      </c>
    </row>
    <row r="745" spans="1:11" hidden="1" outlineLevel="2" x14ac:dyDescent="0.35">
      <c r="A745" t="s">
        <v>131</v>
      </c>
      <c r="B745" s="1">
        <v>45736</v>
      </c>
      <c r="C745" t="s">
        <v>278</v>
      </c>
      <c r="D745" t="s">
        <v>278</v>
      </c>
      <c r="F745" t="str">
        <f t="shared" si="28"/>
        <v>47310100</v>
      </c>
      <c r="H745" t="s">
        <v>139</v>
      </c>
      <c r="I745" s="1">
        <v>45767</v>
      </c>
      <c r="K745" s="4">
        <v>590000</v>
      </c>
    </row>
    <row r="746" spans="1:11" hidden="1" outlineLevel="2" x14ac:dyDescent="0.35">
      <c r="A746" t="s">
        <v>131</v>
      </c>
      <c r="B746" s="1">
        <v>45736</v>
      </c>
      <c r="C746" t="s">
        <v>278</v>
      </c>
      <c r="D746" t="s">
        <v>278</v>
      </c>
      <c r="F746" t="str">
        <f t="shared" si="28"/>
        <v>47310100</v>
      </c>
      <c r="H746" t="s">
        <v>139</v>
      </c>
      <c r="I746" s="1">
        <v>45767</v>
      </c>
      <c r="K746" s="4">
        <v>590000</v>
      </c>
    </row>
    <row r="747" spans="1:11" hidden="1" outlineLevel="2" x14ac:dyDescent="0.35">
      <c r="A747" t="s">
        <v>131</v>
      </c>
      <c r="B747" s="1">
        <v>45736</v>
      </c>
      <c r="C747" t="s">
        <v>278</v>
      </c>
      <c r="D747" t="s">
        <v>278</v>
      </c>
      <c r="F747" t="str">
        <f t="shared" si="28"/>
        <v>47310100</v>
      </c>
      <c r="H747" t="s">
        <v>254</v>
      </c>
      <c r="I747" s="1">
        <v>45767</v>
      </c>
      <c r="K747" s="4">
        <v>-590000</v>
      </c>
    </row>
    <row r="748" spans="1:11" hidden="1" outlineLevel="2" x14ac:dyDescent="0.35">
      <c r="A748" t="s">
        <v>131</v>
      </c>
      <c r="B748" s="1">
        <v>45736</v>
      </c>
      <c r="C748" t="s">
        <v>279</v>
      </c>
      <c r="D748" t="s">
        <v>279</v>
      </c>
      <c r="F748" t="str">
        <f t="shared" si="28"/>
        <v>47310100</v>
      </c>
      <c r="H748" t="s">
        <v>139</v>
      </c>
      <c r="I748" s="1">
        <v>45767</v>
      </c>
      <c r="K748" s="4">
        <v>531000</v>
      </c>
    </row>
    <row r="749" spans="1:11" hidden="1" outlineLevel="2" x14ac:dyDescent="0.35">
      <c r="A749" t="s">
        <v>131</v>
      </c>
      <c r="B749" s="1">
        <v>45736</v>
      </c>
      <c r="C749" t="s">
        <v>279</v>
      </c>
      <c r="D749" t="s">
        <v>279</v>
      </c>
      <c r="F749" t="str">
        <f t="shared" si="28"/>
        <v>47310100</v>
      </c>
      <c r="H749" t="s">
        <v>139</v>
      </c>
      <c r="I749" s="1">
        <v>45767</v>
      </c>
      <c r="K749" s="4">
        <v>531000</v>
      </c>
    </row>
    <row r="750" spans="1:11" hidden="1" outlineLevel="2" x14ac:dyDescent="0.35">
      <c r="A750" t="s">
        <v>131</v>
      </c>
      <c r="B750" s="1">
        <v>45736</v>
      </c>
      <c r="C750" t="s">
        <v>279</v>
      </c>
      <c r="D750" t="s">
        <v>279</v>
      </c>
      <c r="F750" t="str">
        <f t="shared" si="28"/>
        <v>47310100</v>
      </c>
      <c r="H750" t="s">
        <v>254</v>
      </c>
      <c r="I750" s="1">
        <v>45767</v>
      </c>
      <c r="K750" s="4">
        <v>-531000</v>
      </c>
    </row>
    <row r="751" spans="1:11" hidden="1" outlineLevel="2" x14ac:dyDescent="0.35">
      <c r="A751" t="s">
        <v>131</v>
      </c>
      <c r="B751" s="1">
        <v>45736</v>
      </c>
      <c r="C751" t="s">
        <v>280</v>
      </c>
      <c r="D751" t="s">
        <v>280</v>
      </c>
      <c r="F751" t="str">
        <f t="shared" si="28"/>
        <v>47310100</v>
      </c>
      <c r="H751" t="s">
        <v>139</v>
      </c>
      <c r="I751" s="1">
        <v>45767</v>
      </c>
      <c r="K751" s="4">
        <v>295000</v>
      </c>
    </row>
    <row r="752" spans="1:11" hidden="1" outlineLevel="2" x14ac:dyDescent="0.35">
      <c r="A752" t="s">
        <v>131</v>
      </c>
      <c r="B752" s="1">
        <v>45736</v>
      </c>
      <c r="C752" t="s">
        <v>280</v>
      </c>
      <c r="D752" t="s">
        <v>280</v>
      </c>
      <c r="F752" t="str">
        <f t="shared" si="28"/>
        <v>47310100</v>
      </c>
      <c r="H752" t="s">
        <v>139</v>
      </c>
      <c r="I752" s="1">
        <v>45767</v>
      </c>
      <c r="K752" s="4">
        <v>295000</v>
      </c>
    </row>
    <row r="753" spans="1:11" hidden="1" outlineLevel="2" x14ac:dyDescent="0.35">
      <c r="A753" t="s">
        <v>131</v>
      </c>
      <c r="B753" s="1">
        <v>45736</v>
      </c>
      <c r="C753" t="s">
        <v>280</v>
      </c>
      <c r="D753" t="s">
        <v>280</v>
      </c>
      <c r="F753" t="str">
        <f t="shared" si="28"/>
        <v>47310100</v>
      </c>
      <c r="H753" t="s">
        <v>254</v>
      </c>
      <c r="I753" s="1">
        <v>45767</v>
      </c>
      <c r="K753" s="4">
        <v>-295000</v>
      </c>
    </row>
    <row r="754" spans="1:11" hidden="1" outlineLevel="2" x14ac:dyDescent="0.35">
      <c r="A754" t="s">
        <v>131</v>
      </c>
      <c r="B754" s="1">
        <v>45736</v>
      </c>
      <c r="C754" t="s">
        <v>281</v>
      </c>
      <c r="D754" t="s">
        <v>281</v>
      </c>
      <c r="F754" t="str">
        <f t="shared" si="28"/>
        <v>47310100</v>
      </c>
      <c r="H754" t="s">
        <v>180</v>
      </c>
      <c r="I754" s="1">
        <v>45767</v>
      </c>
      <c r="K754" s="4">
        <v>206500</v>
      </c>
    </row>
    <row r="755" spans="1:11" hidden="1" outlineLevel="2" x14ac:dyDescent="0.35">
      <c r="A755" t="s">
        <v>131</v>
      </c>
      <c r="B755" s="1">
        <v>45736</v>
      </c>
      <c r="C755" t="s">
        <v>281</v>
      </c>
      <c r="D755" t="s">
        <v>281</v>
      </c>
      <c r="F755" t="str">
        <f t="shared" si="28"/>
        <v>47310100</v>
      </c>
      <c r="H755" t="s">
        <v>180</v>
      </c>
      <c r="I755" s="1">
        <v>45767</v>
      </c>
      <c r="K755" s="4">
        <v>206500</v>
      </c>
    </row>
    <row r="756" spans="1:11" hidden="1" outlineLevel="2" x14ac:dyDescent="0.35">
      <c r="A756" t="s">
        <v>131</v>
      </c>
      <c r="B756" s="1">
        <v>45736</v>
      </c>
      <c r="C756" t="s">
        <v>281</v>
      </c>
      <c r="D756" t="s">
        <v>281</v>
      </c>
      <c r="F756" t="str">
        <f t="shared" si="28"/>
        <v>47310100</v>
      </c>
      <c r="H756" t="s">
        <v>257</v>
      </c>
      <c r="I756" s="1">
        <v>45767</v>
      </c>
      <c r="K756" s="4">
        <v>-206500</v>
      </c>
    </row>
    <row r="757" spans="1:11" hidden="1" outlineLevel="2" x14ac:dyDescent="0.35">
      <c r="A757" t="s">
        <v>131</v>
      </c>
      <c r="B757" s="1">
        <v>45737</v>
      </c>
      <c r="C757" t="s">
        <v>284</v>
      </c>
      <c r="D757" t="s">
        <v>284</v>
      </c>
      <c r="F757" t="str">
        <f t="shared" si="28"/>
        <v>47310100</v>
      </c>
      <c r="H757" t="s">
        <v>146</v>
      </c>
      <c r="I757" s="1">
        <v>45768</v>
      </c>
      <c r="K757" s="4">
        <v>59000</v>
      </c>
    </row>
    <row r="758" spans="1:11" hidden="1" outlineLevel="2" x14ac:dyDescent="0.35">
      <c r="A758" t="s">
        <v>131</v>
      </c>
      <c r="B758" s="1">
        <v>45737</v>
      </c>
      <c r="C758" t="s">
        <v>284</v>
      </c>
      <c r="D758" t="s">
        <v>284</v>
      </c>
      <c r="F758" t="str">
        <f t="shared" si="28"/>
        <v>47310100</v>
      </c>
      <c r="H758" t="s">
        <v>146</v>
      </c>
      <c r="I758" s="1">
        <v>45768</v>
      </c>
      <c r="K758" s="4">
        <v>59000</v>
      </c>
    </row>
    <row r="759" spans="1:11" hidden="1" outlineLevel="2" x14ac:dyDescent="0.35">
      <c r="A759" t="s">
        <v>131</v>
      </c>
      <c r="B759" s="1">
        <v>45737</v>
      </c>
      <c r="C759" t="s">
        <v>284</v>
      </c>
      <c r="D759" t="s">
        <v>284</v>
      </c>
      <c r="F759" t="str">
        <f t="shared" si="28"/>
        <v>47310100</v>
      </c>
      <c r="H759" t="s">
        <v>268</v>
      </c>
      <c r="I759" s="1">
        <v>45768</v>
      </c>
      <c r="K759" s="4">
        <v>-59000</v>
      </c>
    </row>
    <row r="760" spans="1:11" hidden="1" outlineLevel="2" x14ac:dyDescent="0.35">
      <c r="A760" t="s">
        <v>131</v>
      </c>
      <c r="B760" s="1">
        <v>45737</v>
      </c>
      <c r="C760" t="s">
        <v>285</v>
      </c>
      <c r="D760" t="s">
        <v>285</v>
      </c>
      <c r="F760" t="str">
        <f t="shared" si="28"/>
        <v>47310100</v>
      </c>
      <c r="H760" t="s">
        <v>146</v>
      </c>
      <c r="I760" s="1">
        <v>45768</v>
      </c>
      <c r="K760" s="4">
        <v>236000</v>
      </c>
    </row>
    <row r="761" spans="1:11" hidden="1" outlineLevel="2" x14ac:dyDescent="0.35">
      <c r="A761" t="s">
        <v>131</v>
      </c>
      <c r="B761" s="1">
        <v>45737</v>
      </c>
      <c r="C761" t="s">
        <v>285</v>
      </c>
      <c r="D761" t="s">
        <v>285</v>
      </c>
      <c r="F761" t="str">
        <f t="shared" si="28"/>
        <v>47310100</v>
      </c>
      <c r="H761" t="s">
        <v>146</v>
      </c>
      <c r="I761" s="1">
        <v>45768</v>
      </c>
      <c r="K761" s="4">
        <v>236000</v>
      </c>
    </row>
    <row r="762" spans="1:11" hidden="1" outlineLevel="2" x14ac:dyDescent="0.35">
      <c r="A762" t="s">
        <v>131</v>
      </c>
      <c r="B762" s="1">
        <v>45737</v>
      </c>
      <c r="C762" t="s">
        <v>285</v>
      </c>
      <c r="D762" t="s">
        <v>285</v>
      </c>
      <c r="F762" t="str">
        <f t="shared" si="28"/>
        <v>47310100</v>
      </c>
      <c r="H762" t="s">
        <v>268</v>
      </c>
      <c r="I762" s="1">
        <v>45768</v>
      </c>
      <c r="K762" s="4">
        <v>-236000</v>
      </c>
    </row>
    <row r="763" spans="1:11" hidden="1" outlineLevel="2" x14ac:dyDescent="0.35">
      <c r="A763" t="s">
        <v>131</v>
      </c>
      <c r="B763" s="1">
        <v>45737</v>
      </c>
      <c r="C763" t="s">
        <v>286</v>
      </c>
      <c r="D763" t="s">
        <v>286</v>
      </c>
      <c r="F763" t="str">
        <f t="shared" si="28"/>
        <v>47310100</v>
      </c>
      <c r="H763" t="s">
        <v>139</v>
      </c>
      <c r="I763" s="1">
        <v>45768</v>
      </c>
      <c r="K763" s="4">
        <v>59000</v>
      </c>
    </row>
    <row r="764" spans="1:11" hidden="1" outlineLevel="2" x14ac:dyDescent="0.35">
      <c r="A764" t="s">
        <v>131</v>
      </c>
      <c r="B764" s="1">
        <v>45737</v>
      </c>
      <c r="C764" t="s">
        <v>286</v>
      </c>
      <c r="D764" t="s">
        <v>286</v>
      </c>
      <c r="F764" t="str">
        <f t="shared" si="28"/>
        <v>47310100</v>
      </c>
      <c r="H764" t="s">
        <v>139</v>
      </c>
      <c r="I764" s="1">
        <v>45768</v>
      </c>
      <c r="K764" s="4">
        <v>59000</v>
      </c>
    </row>
    <row r="765" spans="1:11" hidden="1" outlineLevel="2" x14ac:dyDescent="0.35">
      <c r="A765" t="s">
        <v>131</v>
      </c>
      <c r="B765" s="1">
        <v>45737</v>
      </c>
      <c r="C765" t="s">
        <v>286</v>
      </c>
      <c r="D765" t="s">
        <v>286</v>
      </c>
      <c r="F765" t="str">
        <f t="shared" si="28"/>
        <v>47310100</v>
      </c>
      <c r="H765" t="s">
        <v>254</v>
      </c>
      <c r="I765" s="1">
        <v>45768</v>
      </c>
      <c r="K765" s="4">
        <v>-59000</v>
      </c>
    </row>
    <row r="766" spans="1:11" hidden="1" outlineLevel="2" x14ac:dyDescent="0.35">
      <c r="A766" t="s">
        <v>131</v>
      </c>
      <c r="B766" s="1">
        <v>45737</v>
      </c>
      <c r="C766" t="s">
        <v>287</v>
      </c>
      <c r="D766" t="s">
        <v>287</v>
      </c>
      <c r="F766" t="str">
        <f t="shared" si="28"/>
        <v>47310100</v>
      </c>
      <c r="H766" t="s">
        <v>180</v>
      </c>
      <c r="I766" s="1">
        <v>45768</v>
      </c>
      <c r="K766" s="4">
        <v>177000</v>
      </c>
    </row>
    <row r="767" spans="1:11" hidden="1" outlineLevel="2" x14ac:dyDescent="0.35">
      <c r="A767" t="s">
        <v>131</v>
      </c>
      <c r="B767" s="1">
        <v>45737</v>
      </c>
      <c r="C767" t="s">
        <v>287</v>
      </c>
      <c r="D767" t="s">
        <v>287</v>
      </c>
      <c r="F767" t="str">
        <f t="shared" si="28"/>
        <v>47310100</v>
      </c>
      <c r="H767" t="s">
        <v>180</v>
      </c>
      <c r="I767" s="1">
        <v>45768</v>
      </c>
      <c r="K767" s="4">
        <v>177000</v>
      </c>
    </row>
    <row r="768" spans="1:11" hidden="1" outlineLevel="2" x14ac:dyDescent="0.35">
      <c r="A768" t="s">
        <v>131</v>
      </c>
      <c r="B768" s="1">
        <v>45737</v>
      </c>
      <c r="C768" t="s">
        <v>287</v>
      </c>
      <c r="D768" t="s">
        <v>287</v>
      </c>
      <c r="F768" t="str">
        <f t="shared" si="28"/>
        <v>47310100</v>
      </c>
      <c r="H768" t="s">
        <v>257</v>
      </c>
      <c r="I768" s="1">
        <v>45768</v>
      </c>
      <c r="K768" s="4">
        <v>-177000</v>
      </c>
    </row>
    <row r="769" spans="1:11" hidden="1" outlineLevel="2" x14ac:dyDescent="0.35">
      <c r="A769" t="s">
        <v>131</v>
      </c>
      <c r="B769" s="1">
        <v>45737</v>
      </c>
      <c r="C769" t="s">
        <v>288</v>
      </c>
      <c r="D769" t="s">
        <v>288</v>
      </c>
      <c r="F769" t="str">
        <f t="shared" si="28"/>
        <v>47310100</v>
      </c>
      <c r="H769" t="s">
        <v>139</v>
      </c>
      <c r="I769" s="1">
        <v>45768</v>
      </c>
      <c r="K769" s="4">
        <v>826000</v>
      </c>
    </row>
    <row r="770" spans="1:11" hidden="1" outlineLevel="2" x14ac:dyDescent="0.35">
      <c r="A770" t="s">
        <v>131</v>
      </c>
      <c r="B770" s="1">
        <v>45737</v>
      </c>
      <c r="C770" t="s">
        <v>288</v>
      </c>
      <c r="D770" t="s">
        <v>288</v>
      </c>
      <c r="F770" t="str">
        <f t="shared" si="28"/>
        <v>47310100</v>
      </c>
      <c r="H770" t="s">
        <v>139</v>
      </c>
      <c r="I770" s="1">
        <v>45768</v>
      </c>
      <c r="K770" s="4">
        <v>826000</v>
      </c>
    </row>
    <row r="771" spans="1:11" hidden="1" outlineLevel="2" x14ac:dyDescent="0.35">
      <c r="A771" t="s">
        <v>131</v>
      </c>
      <c r="B771" s="1">
        <v>45737</v>
      </c>
      <c r="C771" t="s">
        <v>288</v>
      </c>
      <c r="D771" t="s">
        <v>288</v>
      </c>
      <c r="F771" t="str">
        <f t="shared" si="28"/>
        <v>47310100</v>
      </c>
      <c r="H771" t="s">
        <v>254</v>
      </c>
      <c r="I771" s="1">
        <v>45768</v>
      </c>
      <c r="K771" s="4">
        <v>-826000</v>
      </c>
    </row>
    <row r="772" spans="1:11" hidden="1" outlineLevel="2" x14ac:dyDescent="0.35">
      <c r="A772" t="s">
        <v>131</v>
      </c>
      <c r="B772" s="1">
        <v>45740</v>
      </c>
      <c r="C772" t="s">
        <v>289</v>
      </c>
      <c r="D772" t="s">
        <v>289</v>
      </c>
      <c r="F772" t="str">
        <f t="shared" ref="F772:F806" si="29">"47310100"</f>
        <v>47310100</v>
      </c>
      <c r="H772" t="s">
        <v>290</v>
      </c>
      <c r="I772" s="1">
        <v>45740</v>
      </c>
      <c r="K772" s="4">
        <v>59000</v>
      </c>
    </row>
    <row r="773" spans="1:11" hidden="1" outlineLevel="2" x14ac:dyDescent="0.35">
      <c r="A773" t="s">
        <v>131</v>
      </c>
      <c r="B773" s="1">
        <v>45740</v>
      </c>
      <c r="C773" t="s">
        <v>292</v>
      </c>
      <c r="D773" t="s">
        <v>292</v>
      </c>
      <c r="F773" t="str">
        <f t="shared" si="29"/>
        <v>47310100</v>
      </c>
      <c r="H773" t="s">
        <v>159</v>
      </c>
      <c r="I773" s="1">
        <v>45740</v>
      </c>
      <c r="K773" s="4">
        <v>59000</v>
      </c>
    </row>
    <row r="774" spans="1:11" hidden="1" outlineLevel="2" x14ac:dyDescent="0.35">
      <c r="A774" t="s">
        <v>131</v>
      </c>
      <c r="B774" s="1">
        <v>45740</v>
      </c>
      <c r="C774" t="s">
        <v>293</v>
      </c>
      <c r="D774" t="s">
        <v>293</v>
      </c>
      <c r="F774" t="str">
        <f t="shared" si="29"/>
        <v>47310100</v>
      </c>
      <c r="H774" t="s">
        <v>188</v>
      </c>
      <c r="I774" s="1">
        <v>45740</v>
      </c>
      <c r="K774" s="4">
        <v>59000</v>
      </c>
    </row>
    <row r="775" spans="1:11" hidden="1" outlineLevel="2" x14ac:dyDescent="0.35">
      <c r="A775" t="s">
        <v>131</v>
      </c>
      <c r="B775" s="1">
        <v>45740</v>
      </c>
      <c r="C775" t="s">
        <v>294</v>
      </c>
      <c r="D775" t="s">
        <v>294</v>
      </c>
      <c r="F775" t="str">
        <f t="shared" si="29"/>
        <v>47310100</v>
      </c>
      <c r="H775" t="s">
        <v>159</v>
      </c>
      <c r="I775" s="1">
        <v>45771</v>
      </c>
      <c r="K775" s="4">
        <v>29500</v>
      </c>
    </row>
    <row r="776" spans="1:11" hidden="1" outlineLevel="2" x14ac:dyDescent="0.35">
      <c r="A776" t="s">
        <v>131</v>
      </c>
      <c r="B776" s="1">
        <v>45740</v>
      </c>
      <c r="C776" t="s">
        <v>295</v>
      </c>
      <c r="D776" t="s">
        <v>295</v>
      </c>
      <c r="F776" t="str">
        <f t="shared" si="29"/>
        <v>47310100</v>
      </c>
      <c r="H776" t="s">
        <v>159</v>
      </c>
      <c r="I776" s="1">
        <v>45740</v>
      </c>
      <c r="K776" s="4">
        <v>59000</v>
      </c>
    </row>
    <row r="777" spans="1:11" hidden="1" outlineLevel="2" x14ac:dyDescent="0.35">
      <c r="A777" t="s">
        <v>131</v>
      </c>
      <c r="B777" s="1">
        <v>45740</v>
      </c>
      <c r="C777" t="s">
        <v>296</v>
      </c>
      <c r="D777" t="s">
        <v>296</v>
      </c>
      <c r="F777" t="str">
        <f t="shared" si="29"/>
        <v>47310100</v>
      </c>
      <c r="H777" t="s">
        <v>159</v>
      </c>
      <c r="I777" s="1">
        <v>45740</v>
      </c>
      <c r="K777" s="4">
        <v>59000</v>
      </c>
    </row>
    <row r="778" spans="1:11" hidden="1" outlineLevel="2" x14ac:dyDescent="0.35">
      <c r="A778" t="s">
        <v>131</v>
      </c>
      <c r="B778" s="1">
        <v>45740</v>
      </c>
      <c r="C778" t="s">
        <v>297</v>
      </c>
      <c r="D778" t="s">
        <v>297</v>
      </c>
      <c r="F778" t="str">
        <f t="shared" si="29"/>
        <v>47310100</v>
      </c>
      <c r="H778" t="s">
        <v>159</v>
      </c>
      <c r="I778" s="1">
        <v>45740</v>
      </c>
      <c r="K778" s="4">
        <v>29500</v>
      </c>
    </row>
    <row r="779" spans="1:11" hidden="1" outlineLevel="2" x14ac:dyDescent="0.35">
      <c r="A779" t="s">
        <v>131</v>
      </c>
      <c r="B779" s="1">
        <v>45740</v>
      </c>
      <c r="C779" t="s">
        <v>298</v>
      </c>
      <c r="D779" t="s">
        <v>298</v>
      </c>
      <c r="F779" t="str">
        <f t="shared" si="29"/>
        <v>47310100</v>
      </c>
      <c r="H779" t="s">
        <v>159</v>
      </c>
      <c r="I779" s="1">
        <v>45740</v>
      </c>
      <c r="K779" s="4">
        <v>29500</v>
      </c>
    </row>
    <row r="780" spans="1:11" hidden="1" outlineLevel="2" x14ac:dyDescent="0.35">
      <c r="A780" t="s">
        <v>131</v>
      </c>
      <c r="B780" s="1">
        <v>45740</v>
      </c>
      <c r="C780" t="s">
        <v>299</v>
      </c>
      <c r="D780" t="s">
        <v>299</v>
      </c>
      <c r="F780" t="str">
        <f t="shared" si="29"/>
        <v>47310100</v>
      </c>
      <c r="H780" t="s">
        <v>224</v>
      </c>
      <c r="I780" s="1">
        <v>45740</v>
      </c>
      <c r="K780" s="4">
        <v>59000</v>
      </c>
    </row>
    <row r="781" spans="1:11" hidden="1" outlineLevel="2" x14ac:dyDescent="0.35">
      <c r="A781" t="s">
        <v>131</v>
      </c>
      <c r="B781" s="1">
        <v>45740</v>
      </c>
      <c r="C781" t="s">
        <v>302</v>
      </c>
      <c r="D781" t="s">
        <v>302</v>
      </c>
      <c r="F781" t="str">
        <f t="shared" si="29"/>
        <v>47310100</v>
      </c>
      <c r="H781" t="s">
        <v>148</v>
      </c>
      <c r="I781" s="1">
        <v>45740</v>
      </c>
      <c r="K781" s="4">
        <v>59000</v>
      </c>
    </row>
    <row r="782" spans="1:11" hidden="1" outlineLevel="2" x14ac:dyDescent="0.35">
      <c r="A782" t="s">
        <v>131</v>
      </c>
      <c r="B782" s="1">
        <v>45740</v>
      </c>
      <c r="C782" t="s">
        <v>303</v>
      </c>
      <c r="D782" t="s">
        <v>303</v>
      </c>
      <c r="F782" t="str">
        <f t="shared" si="29"/>
        <v>47310100</v>
      </c>
      <c r="H782" t="s">
        <v>233</v>
      </c>
      <c r="I782" s="1">
        <v>45740</v>
      </c>
      <c r="K782" s="4">
        <v>118000</v>
      </c>
    </row>
    <row r="783" spans="1:11" hidden="1" outlineLevel="2" x14ac:dyDescent="0.35">
      <c r="A783" t="s">
        <v>131</v>
      </c>
      <c r="B783" s="1">
        <v>45740</v>
      </c>
      <c r="C783" t="s">
        <v>304</v>
      </c>
      <c r="D783" t="s">
        <v>304</v>
      </c>
      <c r="F783" t="str">
        <f t="shared" si="29"/>
        <v>47310100</v>
      </c>
      <c r="H783" t="s">
        <v>180</v>
      </c>
      <c r="I783" s="1">
        <v>45771</v>
      </c>
      <c r="K783" s="4">
        <v>796500</v>
      </c>
    </row>
    <row r="784" spans="1:11" hidden="1" outlineLevel="2" x14ac:dyDescent="0.35">
      <c r="A784" t="s">
        <v>131</v>
      </c>
      <c r="B784" s="1">
        <v>45740</v>
      </c>
      <c r="C784" t="s">
        <v>305</v>
      </c>
      <c r="D784" t="s">
        <v>305</v>
      </c>
      <c r="F784" t="str">
        <f t="shared" si="29"/>
        <v>47310100</v>
      </c>
      <c r="H784" t="s">
        <v>180</v>
      </c>
      <c r="I784" s="1">
        <v>45771</v>
      </c>
      <c r="K784" s="4">
        <v>118000</v>
      </c>
    </row>
    <row r="785" spans="1:11" hidden="1" outlineLevel="2" x14ac:dyDescent="0.35">
      <c r="A785" t="s">
        <v>131</v>
      </c>
      <c r="B785" s="1">
        <v>45741</v>
      </c>
      <c r="C785" t="s">
        <v>306</v>
      </c>
      <c r="D785" t="s">
        <v>306</v>
      </c>
      <c r="F785" t="str">
        <f t="shared" si="29"/>
        <v>47310100</v>
      </c>
      <c r="H785" t="s">
        <v>307</v>
      </c>
      <c r="I785" s="1">
        <v>45772</v>
      </c>
      <c r="K785" s="4">
        <v>59000</v>
      </c>
    </row>
    <row r="786" spans="1:11" hidden="1" outlineLevel="2" x14ac:dyDescent="0.35">
      <c r="A786" t="s">
        <v>131</v>
      </c>
      <c r="B786" s="1">
        <v>45741</v>
      </c>
      <c r="C786" t="s">
        <v>308</v>
      </c>
      <c r="D786" t="s">
        <v>308</v>
      </c>
      <c r="F786" t="str">
        <f t="shared" si="29"/>
        <v>47310100</v>
      </c>
      <c r="H786" t="s">
        <v>139</v>
      </c>
      <c r="I786" s="1">
        <v>45772</v>
      </c>
      <c r="K786" s="4">
        <v>413000</v>
      </c>
    </row>
    <row r="787" spans="1:11" hidden="1" outlineLevel="2" x14ac:dyDescent="0.35">
      <c r="A787" t="s">
        <v>131</v>
      </c>
      <c r="B787" s="1">
        <v>45742</v>
      </c>
      <c r="C787" t="s">
        <v>310</v>
      </c>
      <c r="D787" t="s">
        <v>310</v>
      </c>
      <c r="F787" t="str">
        <f t="shared" si="29"/>
        <v>47310100</v>
      </c>
      <c r="H787" t="s">
        <v>146</v>
      </c>
      <c r="I787" s="1">
        <v>45773</v>
      </c>
      <c r="K787" s="4">
        <v>118000</v>
      </c>
    </row>
    <row r="788" spans="1:11" hidden="1" outlineLevel="2" x14ac:dyDescent="0.35">
      <c r="A788" t="s">
        <v>131</v>
      </c>
      <c r="B788" s="1">
        <v>45742</v>
      </c>
      <c r="C788" t="s">
        <v>311</v>
      </c>
      <c r="D788" t="s">
        <v>311</v>
      </c>
      <c r="F788" t="str">
        <f t="shared" si="29"/>
        <v>47310100</v>
      </c>
      <c r="H788" t="s">
        <v>170</v>
      </c>
      <c r="I788" s="1">
        <v>45752</v>
      </c>
      <c r="K788" s="4">
        <v>295000</v>
      </c>
    </row>
    <row r="789" spans="1:11" hidden="1" outlineLevel="2" x14ac:dyDescent="0.35">
      <c r="A789" t="s">
        <v>131</v>
      </c>
      <c r="B789" s="1">
        <v>45744</v>
      </c>
      <c r="C789" t="s">
        <v>312</v>
      </c>
      <c r="D789" t="s">
        <v>312</v>
      </c>
      <c r="F789" t="str">
        <f t="shared" si="29"/>
        <v>47310100</v>
      </c>
      <c r="H789" t="s">
        <v>167</v>
      </c>
      <c r="I789" s="1">
        <v>45744</v>
      </c>
      <c r="K789" s="4">
        <v>59000</v>
      </c>
    </row>
    <row r="790" spans="1:11" hidden="1" outlineLevel="2" x14ac:dyDescent="0.35">
      <c r="A790" t="s">
        <v>131</v>
      </c>
      <c r="B790" s="1">
        <v>45744</v>
      </c>
      <c r="C790" t="s">
        <v>313</v>
      </c>
      <c r="D790" t="s">
        <v>313</v>
      </c>
      <c r="F790" t="str">
        <f t="shared" si="29"/>
        <v>47310100</v>
      </c>
      <c r="H790" t="s">
        <v>159</v>
      </c>
      <c r="I790" s="1">
        <v>45744</v>
      </c>
      <c r="K790" s="4">
        <v>59000</v>
      </c>
    </row>
    <row r="791" spans="1:11" hidden="1" outlineLevel="2" x14ac:dyDescent="0.35">
      <c r="A791" t="s">
        <v>131</v>
      </c>
      <c r="B791" s="1">
        <v>45744</v>
      </c>
      <c r="C791" t="s">
        <v>314</v>
      </c>
      <c r="D791" t="s">
        <v>314</v>
      </c>
      <c r="F791" t="str">
        <f t="shared" si="29"/>
        <v>47310100</v>
      </c>
      <c r="H791" t="s">
        <v>159</v>
      </c>
      <c r="I791" s="1">
        <v>45775</v>
      </c>
      <c r="K791" s="4">
        <v>59000</v>
      </c>
    </row>
    <row r="792" spans="1:11" hidden="1" outlineLevel="2" x14ac:dyDescent="0.35">
      <c r="A792" t="s">
        <v>131</v>
      </c>
      <c r="B792" s="1">
        <v>45744</v>
      </c>
      <c r="C792" t="s">
        <v>315</v>
      </c>
      <c r="D792" t="s">
        <v>315</v>
      </c>
      <c r="F792" t="str">
        <f t="shared" si="29"/>
        <v>47310100</v>
      </c>
      <c r="H792" t="s">
        <v>159</v>
      </c>
      <c r="I792" s="1">
        <v>45775</v>
      </c>
      <c r="K792" s="4">
        <v>59000</v>
      </c>
    </row>
    <row r="793" spans="1:11" hidden="1" outlineLevel="2" x14ac:dyDescent="0.35">
      <c r="A793" t="s">
        <v>131</v>
      </c>
      <c r="B793" s="1">
        <v>45744</v>
      </c>
      <c r="C793" t="s">
        <v>316</v>
      </c>
      <c r="D793" t="s">
        <v>316</v>
      </c>
      <c r="F793" t="str">
        <f t="shared" si="29"/>
        <v>47310100</v>
      </c>
      <c r="H793" t="s">
        <v>146</v>
      </c>
      <c r="I793" s="1">
        <v>45775</v>
      </c>
      <c r="K793" s="4">
        <v>59000</v>
      </c>
    </row>
    <row r="794" spans="1:11" hidden="1" outlineLevel="2" x14ac:dyDescent="0.35">
      <c r="A794" t="s">
        <v>131</v>
      </c>
      <c r="B794" s="1">
        <v>45744</v>
      </c>
      <c r="C794" t="s">
        <v>317</v>
      </c>
      <c r="D794" t="s">
        <v>317</v>
      </c>
      <c r="F794" t="str">
        <f t="shared" si="29"/>
        <v>47310100</v>
      </c>
      <c r="H794" t="s">
        <v>271</v>
      </c>
      <c r="I794" s="1">
        <v>45744</v>
      </c>
      <c r="K794" s="4">
        <v>59000</v>
      </c>
    </row>
    <row r="795" spans="1:11" hidden="1" outlineLevel="2" x14ac:dyDescent="0.35">
      <c r="A795" t="s">
        <v>131</v>
      </c>
      <c r="B795" s="1">
        <v>45744</v>
      </c>
      <c r="C795" t="s">
        <v>318</v>
      </c>
      <c r="D795" t="s">
        <v>318</v>
      </c>
      <c r="F795" t="str">
        <f t="shared" si="29"/>
        <v>47310100</v>
      </c>
      <c r="H795" t="s">
        <v>195</v>
      </c>
      <c r="I795" s="1">
        <v>45744</v>
      </c>
      <c r="K795" s="4">
        <v>59000</v>
      </c>
    </row>
    <row r="796" spans="1:11" hidden="1" outlineLevel="2" x14ac:dyDescent="0.35">
      <c r="A796" t="s">
        <v>131</v>
      </c>
      <c r="B796" s="1">
        <v>45744</v>
      </c>
      <c r="C796" t="s">
        <v>319</v>
      </c>
      <c r="D796" t="s">
        <v>319</v>
      </c>
      <c r="F796" t="str">
        <f t="shared" si="29"/>
        <v>47310100</v>
      </c>
      <c r="H796" t="s">
        <v>203</v>
      </c>
      <c r="I796" s="1">
        <v>45744</v>
      </c>
      <c r="K796" s="4">
        <v>29500</v>
      </c>
    </row>
    <row r="797" spans="1:11" hidden="1" outlineLevel="2" x14ac:dyDescent="0.35">
      <c r="A797" t="s">
        <v>131</v>
      </c>
      <c r="B797" s="1">
        <v>45744</v>
      </c>
      <c r="C797" t="s">
        <v>320</v>
      </c>
      <c r="D797" t="s">
        <v>320</v>
      </c>
      <c r="F797" t="str">
        <f t="shared" si="29"/>
        <v>47310100</v>
      </c>
      <c r="H797" t="s">
        <v>139</v>
      </c>
      <c r="I797" s="1">
        <v>45775</v>
      </c>
      <c r="K797" s="4">
        <v>649000</v>
      </c>
    </row>
    <row r="798" spans="1:11" hidden="1" outlineLevel="2" x14ac:dyDescent="0.35">
      <c r="A798" t="s">
        <v>131</v>
      </c>
      <c r="B798" s="1">
        <v>45744</v>
      </c>
      <c r="C798" t="s">
        <v>321</v>
      </c>
      <c r="D798" t="s">
        <v>321</v>
      </c>
      <c r="F798" t="str">
        <f t="shared" si="29"/>
        <v>47310100</v>
      </c>
      <c r="H798" t="s">
        <v>139</v>
      </c>
      <c r="I798" s="1">
        <v>45775</v>
      </c>
      <c r="K798" s="4">
        <v>472000</v>
      </c>
    </row>
    <row r="799" spans="1:11" hidden="1" outlineLevel="2" x14ac:dyDescent="0.35">
      <c r="A799" t="s">
        <v>131</v>
      </c>
      <c r="B799" s="1">
        <v>45744</v>
      </c>
      <c r="C799" t="s">
        <v>322</v>
      </c>
      <c r="D799" t="s">
        <v>322</v>
      </c>
      <c r="F799" t="str">
        <f t="shared" si="29"/>
        <v>47310100</v>
      </c>
      <c r="H799" t="s">
        <v>139</v>
      </c>
      <c r="I799" s="1">
        <v>45775</v>
      </c>
      <c r="K799" s="4">
        <v>944000</v>
      </c>
    </row>
    <row r="800" spans="1:11" hidden="1" outlineLevel="2" x14ac:dyDescent="0.35">
      <c r="A800" t="s">
        <v>131</v>
      </c>
      <c r="B800" s="1">
        <v>45744</v>
      </c>
      <c r="C800" t="s">
        <v>323</v>
      </c>
      <c r="D800" t="s">
        <v>323</v>
      </c>
      <c r="F800" t="str">
        <f t="shared" si="29"/>
        <v>47310100</v>
      </c>
      <c r="H800" t="s">
        <v>139</v>
      </c>
      <c r="I800" s="1">
        <v>45775</v>
      </c>
      <c r="K800" s="4">
        <v>1180000</v>
      </c>
    </row>
    <row r="801" spans="1:11" hidden="1" outlineLevel="2" x14ac:dyDescent="0.35">
      <c r="A801" t="s">
        <v>131</v>
      </c>
      <c r="B801" s="1">
        <v>45744</v>
      </c>
      <c r="C801" t="s">
        <v>324</v>
      </c>
      <c r="D801" t="s">
        <v>324</v>
      </c>
      <c r="F801" t="str">
        <f t="shared" si="29"/>
        <v>47310100</v>
      </c>
      <c r="H801" t="s">
        <v>139</v>
      </c>
      <c r="I801" s="1">
        <v>45775</v>
      </c>
      <c r="K801" s="4">
        <v>1003000</v>
      </c>
    </row>
    <row r="802" spans="1:11" hidden="1" outlineLevel="2" x14ac:dyDescent="0.35">
      <c r="A802" t="s">
        <v>131</v>
      </c>
      <c r="B802" s="1">
        <v>45747</v>
      </c>
      <c r="C802" t="s">
        <v>325</v>
      </c>
      <c r="D802" t="s">
        <v>325</v>
      </c>
      <c r="F802" t="str">
        <f t="shared" si="29"/>
        <v>47310100</v>
      </c>
      <c r="H802" t="s">
        <v>326</v>
      </c>
      <c r="I802" s="1">
        <v>45747</v>
      </c>
      <c r="J802" s="4">
        <v>59000</v>
      </c>
    </row>
    <row r="803" spans="1:11" hidden="1" outlineLevel="2" x14ac:dyDescent="0.35">
      <c r="A803" t="s">
        <v>131</v>
      </c>
      <c r="B803" s="1">
        <v>45747</v>
      </c>
      <c r="C803" t="s">
        <v>328</v>
      </c>
      <c r="D803" t="s">
        <v>328</v>
      </c>
      <c r="F803" t="str">
        <f t="shared" si="29"/>
        <v>47310100</v>
      </c>
      <c r="H803" t="s">
        <v>148</v>
      </c>
      <c r="I803" s="1">
        <v>45747</v>
      </c>
      <c r="K803" s="4">
        <v>265500</v>
      </c>
    </row>
    <row r="804" spans="1:11" hidden="1" outlineLevel="2" x14ac:dyDescent="0.35">
      <c r="A804" t="s">
        <v>131</v>
      </c>
      <c r="B804" s="1">
        <v>45747</v>
      </c>
      <c r="C804" t="s">
        <v>331</v>
      </c>
      <c r="D804" t="s">
        <v>331</v>
      </c>
      <c r="F804" t="str">
        <f t="shared" si="29"/>
        <v>47310100</v>
      </c>
      <c r="H804" t="s">
        <v>180</v>
      </c>
      <c r="I804" s="1">
        <v>45777</v>
      </c>
      <c r="K804" s="4">
        <v>295000</v>
      </c>
    </row>
    <row r="805" spans="1:11" hidden="1" outlineLevel="2" x14ac:dyDescent="0.35">
      <c r="A805" t="s">
        <v>131</v>
      </c>
      <c r="B805" s="1">
        <v>45747</v>
      </c>
      <c r="C805" t="s">
        <v>332</v>
      </c>
      <c r="D805" t="s">
        <v>332</v>
      </c>
      <c r="F805" t="str">
        <f t="shared" si="29"/>
        <v>47310100</v>
      </c>
      <c r="H805" t="s">
        <v>148</v>
      </c>
      <c r="I805" s="1">
        <v>45747</v>
      </c>
      <c r="K805" s="4">
        <v>442500</v>
      </c>
    </row>
    <row r="806" spans="1:11" hidden="1" outlineLevel="2" x14ac:dyDescent="0.35">
      <c r="A806" t="s">
        <v>131</v>
      </c>
      <c r="B806" s="1">
        <v>45747</v>
      </c>
      <c r="C806" t="s">
        <v>334</v>
      </c>
      <c r="D806" t="s">
        <v>334</v>
      </c>
      <c r="F806" t="str">
        <f t="shared" si="29"/>
        <v>47310100</v>
      </c>
      <c r="H806" t="s">
        <v>307</v>
      </c>
      <c r="I806" s="1">
        <v>45777</v>
      </c>
      <c r="K806" s="4">
        <v>59000</v>
      </c>
    </row>
    <row r="807" spans="1:11" outlineLevel="1" collapsed="1" x14ac:dyDescent="0.35">
      <c r="B807" s="1"/>
      <c r="F807" s="3" t="s">
        <v>6580</v>
      </c>
      <c r="I807" s="1"/>
      <c r="J807" s="4">
        <f>SUBTOTAL(9,J612:J806)</f>
        <v>147500</v>
      </c>
      <c r="K807" s="4">
        <f>SUBTOTAL(9,K612:K806)</f>
        <v>26786000</v>
      </c>
    </row>
    <row r="808" spans="1:11" hidden="1" outlineLevel="2" x14ac:dyDescent="0.35">
      <c r="A808" t="s">
        <v>11</v>
      </c>
      <c r="B808" s="1">
        <v>45717</v>
      </c>
      <c r="C808" t="str">
        <f>"17"</f>
        <v>17</v>
      </c>
      <c r="E808" t="s">
        <v>16</v>
      </c>
      <c r="F808" t="str">
        <f>"47460000"</f>
        <v>47460000</v>
      </c>
      <c r="H808" t="s">
        <v>17</v>
      </c>
      <c r="K808" s="4">
        <v>7800000</v>
      </c>
    </row>
    <row r="809" spans="1:11" hidden="1" outlineLevel="2" x14ac:dyDescent="0.35">
      <c r="A809" t="s">
        <v>11</v>
      </c>
      <c r="B809" s="1">
        <v>45717</v>
      </c>
      <c r="C809" t="str">
        <f>"20"</f>
        <v>20</v>
      </c>
      <c r="E809" t="s">
        <v>22</v>
      </c>
      <c r="F809" t="str">
        <f>"47460000"</f>
        <v>47460000</v>
      </c>
      <c r="H809" t="s">
        <v>23</v>
      </c>
      <c r="K809" s="4">
        <v>27168750</v>
      </c>
    </row>
    <row r="810" spans="1:11" hidden="1" outlineLevel="2" x14ac:dyDescent="0.35">
      <c r="A810" t="s">
        <v>11</v>
      </c>
      <c r="B810" s="1">
        <v>45718</v>
      </c>
      <c r="C810" t="str">
        <f>"21"</f>
        <v>21</v>
      </c>
      <c r="E810" t="s">
        <v>24</v>
      </c>
      <c r="F810" t="str">
        <f>"47460000"</f>
        <v>47460000</v>
      </c>
      <c r="H810" t="s">
        <v>25</v>
      </c>
      <c r="K810" s="4">
        <v>207546</v>
      </c>
    </row>
    <row r="811" spans="1:11" hidden="1" outlineLevel="2" x14ac:dyDescent="0.35">
      <c r="A811" t="s">
        <v>26</v>
      </c>
      <c r="B811" s="1">
        <v>45721</v>
      </c>
      <c r="C811" t="str">
        <f>"2"</f>
        <v>2</v>
      </c>
      <c r="D811" t="s">
        <v>30</v>
      </c>
      <c r="E811" t="str">
        <f>"0571"</f>
        <v>0571</v>
      </c>
      <c r="F811" t="str">
        <f>"47460000"</f>
        <v>47460000</v>
      </c>
      <c r="H811" t="s">
        <v>31</v>
      </c>
      <c r="J811" s="4">
        <v>7800000</v>
      </c>
    </row>
    <row r="812" spans="1:11" outlineLevel="1" collapsed="1" x14ac:dyDescent="0.35">
      <c r="B812" s="1"/>
      <c r="F812" s="3" t="s">
        <v>6581</v>
      </c>
      <c r="J812" s="4">
        <f>SUBTOTAL(9,J808:J811)</f>
        <v>7800000</v>
      </c>
      <c r="K812" s="4">
        <f>SUBTOTAL(9,K808:K811)</f>
        <v>35176296</v>
      </c>
    </row>
    <row r="813" spans="1:11" hidden="1" outlineLevel="2" x14ac:dyDescent="0.35">
      <c r="A813" t="s">
        <v>11</v>
      </c>
      <c r="B813" s="1">
        <v>45717</v>
      </c>
      <c r="C813" t="str">
        <f>"15"</f>
        <v>15</v>
      </c>
      <c r="E813" t="s">
        <v>12</v>
      </c>
      <c r="F813" t="str">
        <f>"47600000"</f>
        <v>47600000</v>
      </c>
      <c r="H813" t="s">
        <v>13</v>
      </c>
      <c r="K813" s="4">
        <v>10095</v>
      </c>
    </row>
    <row r="814" spans="1:11" hidden="1" outlineLevel="2" x14ac:dyDescent="0.35">
      <c r="A814" t="s">
        <v>11</v>
      </c>
      <c r="B814" s="1">
        <v>45717</v>
      </c>
      <c r="C814" t="str">
        <f>"16"</f>
        <v>16</v>
      </c>
      <c r="E814" t="s">
        <v>14</v>
      </c>
      <c r="F814" t="str">
        <f>"47600000"</f>
        <v>47600000</v>
      </c>
      <c r="H814" t="s">
        <v>15</v>
      </c>
      <c r="K814" s="4">
        <v>269552</v>
      </c>
    </row>
    <row r="815" spans="1:11" hidden="1" outlineLevel="2" x14ac:dyDescent="0.35">
      <c r="A815" t="s">
        <v>11</v>
      </c>
      <c r="B815" s="1">
        <v>45717</v>
      </c>
      <c r="C815" t="str">
        <f>"18"</f>
        <v>18</v>
      </c>
      <c r="E815" t="s">
        <v>18</v>
      </c>
      <c r="F815" t="str">
        <f>"47600000"</f>
        <v>47600000</v>
      </c>
      <c r="H815" t="s">
        <v>19</v>
      </c>
      <c r="K815" s="4">
        <v>5033155</v>
      </c>
    </row>
    <row r="816" spans="1:11" hidden="1" outlineLevel="2" x14ac:dyDescent="0.35">
      <c r="A816" t="s">
        <v>101</v>
      </c>
      <c r="B816" s="1">
        <v>45717</v>
      </c>
      <c r="C816" t="str">
        <f>"4"</f>
        <v>4</v>
      </c>
      <c r="F816" t="str">
        <f>"47600000"</f>
        <v>47600000</v>
      </c>
      <c r="H816" t="s">
        <v>102</v>
      </c>
      <c r="J816" s="4">
        <v>60442500</v>
      </c>
    </row>
    <row r="817" spans="1:11" hidden="1" outlineLevel="2" x14ac:dyDescent="0.35">
      <c r="A817" t="s">
        <v>101</v>
      </c>
      <c r="B817" s="1">
        <v>45747</v>
      </c>
      <c r="C817" t="str">
        <f>"1"</f>
        <v>1</v>
      </c>
      <c r="F817" t="str">
        <f>"47600000"</f>
        <v>47600000</v>
      </c>
      <c r="H817" t="s">
        <v>113</v>
      </c>
      <c r="K817" s="4">
        <v>10000000</v>
      </c>
    </row>
    <row r="818" spans="1:11" outlineLevel="1" collapsed="1" x14ac:dyDescent="0.35">
      <c r="B818" s="1"/>
      <c r="F818" s="3" t="s">
        <v>6583</v>
      </c>
      <c r="J818" s="4">
        <f>SUBTOTAL(9,J813:J817)</f>
        <v>60442500</v>
      </c>
      <c r="K818" s="4">
        <f>SUBTOTAL(9,K813:K817)</f>
        <v>15312802</v>
      </c>
    </row>
    <row r="819" spans="1:11" hidden="1" outlineLevel="2" x14ac:dyDescent="0.35">
      <c r="A819" t="s">
        <v>32</v>
      </c>
      <c r="B819" s="1">
        <v>45727</v>
      </c>
      <c r="C819" t="str">
        <f>"5"</f>
        <v>5</v>
      </c>
      <c r="F819" t="str">
        <f>"48120000"</f>
        <v>48120000</v>
      </c>
      <c r="G819" t="str">
        <f>"40110001"</f>
        <v>40110001</v>
      </c>
      <c r="H819" t="s">
        <v>38</v>
      </c>
      <c r="J819" s="4">
        <v>756500</v>
      </c>
    </row>
    <row r="820" spans="1:11" hidden="1" outlineLevel="2" x14ac:dyDescent="0.35">
      <c r="A820" t="s">
        <v>72</v>
      </c>
      <c r="B820" s="1">
        <v>45717</v>
      </c>
      <c r="C820" t="str">
        <f>"1"</f>
        <v>1</v>
      </c>
      <c r="D820" t="str">
        <f>"8582336"</f>
        <v>8582336</v>
      </c>
      <c r="E820" t="s">
        <v>73</v>
      </c>
      <c r="F820" t="str">
        <f>"48120000"</f>
        <v>48120000</v>
      </c>
      <c r="G820" t="str">
        <f>"40110001"</f>
        <v>40110001</v>
      </c>
      <c r="H820" t="s">
        <v>74</v>
      </c>
      <c r="K820" s="4">
        <v>756500</v>
      </c>
    </row>
    <row r="821" spans="1:11" outlineLevel="1" collapsed="1" x14ac:dyDescent="0.35">
      <c r="B821" s="1"/>
      <c r="F821" s="3" t="s">
        <v>6733</v>
      </c>
      <c r="J821" s="4">
        <f>SUBTOTAL(9,J819:J820)</f>
        <v>756500</v>
      </c>
      <c r="K821" s="4">
        <f>SUBTOTAL(9,K819:K820)</f>
        <v>756500</v>
      </c>
    </row>
    <row r="822" spans="1:11" hidden="1" outlineLevel="2" x14ac:dyDescent="0.35">
      <c r="A822" t="s">
        <v>32</v>
      </c>
      <c r="B822" s="1">
        <v>45717</v>
      </c>
      <c r="C822" t="str">
        <f>"31"</f>
        <v>31</v>
      </c>
      <c r="F822" t="str">
        <f t="shared" ref="F822:F852" si="30">"52100200"</f>
        <v>52100200</v>
      </c>
      <c r="H822" t="s">
        <v>33</v>
      </c>
      <c r="J822" s="4">
        <v>-161500</v>
      </c>
    </row>
    <row r="823" spans="1:11" hidden="1" outlineLevel="2" x14ac:dyDescent="0.35">
      <c r="A823" t="s">
        <v>32</v>
      </c>
      <c r="B823" s="1">
        <v>45720</v>
      </c>
      <c r="C823" t="str">
        <f>"1"</f>
        <v>1</v>
      </c>
      <c r="F823" t="str">
        <f t="shared" si="30"/>
        <v>52100200</v>
      </c>
      <c r="H823" t="s">
        <v>34</v>
      </c>
      <c r="J823" s="4">
        <v>5065740</v>
      </c>
    </row>
    <row r="824" spans="1:11" hidden="1" outlineLevel="2" x14ac:dyDescent="0.35">
      <c r="A824" t="s">
        <v>32</v>
      </c>
      <c r="B824" s="1">
        <v>45721</v>
      </c>
      <c r="C824" t="str">
        <f>"2"</f>
        <v>2</v>
      </c>
      <c r="F824" t="str">
        <f t="shared" si="30"/>
        <v>52100200</v>
      </c>
      <c r="H824" t="s">
        <v>35</v>
      </c>
      <c r="K824" s="4">
        <v>9001813</v>
      </c>
    </row>
    <row r="825" spans="1:11" hidden="1" outlineLevel="2" x14ac:dyDescent="0.35">
      <c r="A825" t="s">
        <v>32</v>
      </c>
      <c r="B825" s="1">
        <v>45723</v>
      </c>
      <c r="C825" t="str">
        <f>"3"</f>
        <v>3</v>
      </c>
      <c r="F825" t="str">
        <f t="shared" si="30"/>
        <v>52100200</v>
      </c>
      <c r="H825" t="s">
        <v>36</v>
      </c>
      <c r="J825" s="4">
        <v>14942100</v>
      </c>
    </row>
    <row r="826" spans="1:11" hidden="1" outlineLevel="2" x14ac:dyDescent="0.35">
      <c r="A826" t="s">
        <v>32</v>
      </c>
      <c r="B826" s="1">
        <v>45726</v>
      </c>
      <c r="C826" t="str">
        <f>"4"</f>
        <v>4</v>
      </c>
      <c r="F826" t="str">
        <f t="shared" si="30"/>
        <v>52100200</v>
      </c>
      <c r="H826" t="s">
        <v>37</v>
      </c>
      <c r="J826" s="4">
        <v>2791880</v>
      </c>
    </row>
    <row r="827" spans="1:11" hidden="1" outlineLevel="2" x14ac:dyDescent="0.35">
      <c r="A827" t="s">
        <v>32</v>
      </c>
      <c r="B827" s="1">
        <v>45727</v>
      </c>
      <c r="C827" t="str">
        <f>"5"</f>
        <v>5</v>
      </c>
      <c r="F827" t="str">
        <f t="shared" si="30"/>
        <v>52100200</v>
      </c>
      <c r="H827" t="s">
        <v>38</v>
      </c>
      <c r="K827" s="4">
        <v>756500</v>
      </c>
    </row>
    <row r="828" spans="1:11" hidden="1" outlineLevel="2" x14ac:dyDescent="0.35">
      <c r="A828" t="s">
        <v>32</v>
      </c>
      <c r="B828" s="1">
        <v>45729</v>
      </c>
      <c r="C828" t="str">
        <f>"6"</f>
        <v>6</v>
      </c>
      <c r="F828" t="str">
        <f t="shared" si="30"/>
        <v>52100200</v>
      </c>
      <c r="H828" t="s">
        <v>39</v>
      </c>
      <c r="J828" s="4">
        <v>22494340</v>
      </c>
    </row>
    <row r="829" spans="1:11" hidden="1" outlineLevel="2" x14ac:dyDescent="0.35">
      <c r="A829" t="s">
        <v>32</v>
      </c>
      <c r="B829" s="1">
        <v>45733</v>
      </c>
      <c r="C829" t="str">
        <f>"7"</f>
        <v>7</v>
      </c>
      <c r="F829" t="str">
        <f t="shared" si="30"/>
        <v>52100200</v>
      </c>
      <c r="H829" t="s">
        <v>40</v>
      </c>
      <c r="J829" s="4">
        <v>38402510</v>
      </c>
    </row>
    <row r="830" spans="1:11" hidden="1" outlineLevel="2" x14ac:dyDescent="0.35">
      <c r="A830" t="s">
        <v>32</v>
      </c>
      <c r="B830" s="1">
        <v>45734</v>
      </c>
      <c r="C830" t="str">
        <f>"8"</f>
        <v>8</v>
      </c>
      <c r="F830" t="str">
        <f t="shared" si="30"/>
        <v>52100200</v>
      </c>
      <c r="H830" t="s">
        <v>41</v>
      </c>
      <c r="J830" s="4">
        <v>1503320</v>
      </c>
    </row>
    <row r="831" spans="1:11" hidden="1" outlineLevel="2" x14ac:dyDescent="0.35">
      <c r="A831" t="s">
        <v>32</v>
      </c>
      <c r="B831" s="1">
        <v>45736</v>
      </c>
      <c r="C831" t="str">
        <f>"9"</f>
        <v>9</v>
      </c>
      <c r="F831" t="str">
        <f t="shared" si="30"/>
        <v>52100200</v>
      </c>
      <c r="H831" t="s">
        <v>42</v>
      </c>
      <c r="J831" s="4">
        <v>20912107</v>
      </c>
    </row>
    <row r="832" spans="1:11" hidden="1" outlineLevel="2" x14ac:dyDescent="0.35">
      <c r="A832" t="s">
        <v>32</v>
      </c>
      <c r="B832" s="1">
        <v>45736</v>
      </c>
      <c r="C832" t="str">
        <f>"11"</f>
        <v>11</v>
      </c>
      <c r="F832" t="str">
        <f t="shared" si="30"/>
        <v>52100200</v>
      </c>
      <c r="H832" t="s">
        <v>43</v>
      </c>
      <c r="K832" s="4">
        <v>9204000</v>
      </c>
    </row>
    <row r="833" spans="1:11" hidden="1" outlineLevel="2" x14ac:dyDescent="0.35">
      <c r="A833" t="s">
        <v>32</v>
      </c>
      <c r="B833" s="1">
        <v>45736</v>
      </c>
      <c r="C833" t="str">
        <f>"13"</f>
        <v>13</v>
      </c>
      <c r="F833" t="str">
        <f t="shared" si="30"/>
        <v>52100200</v>
      </c>
      <c r="H833" t="s">
        <v>44</v>
      </c>
      <c r="K833" s="4">
        <v>6195000</v>
      </c>
    </row>
    <row r="834" spans="1:11" hidden="1" outlineLevel="2" x14ac:dyDescent="0.35">
      <c r="A834" t="s">
        <v>32</v>
      </c>
      <c r="B834" s="1">
        <v>45736</v>
      </c>
      <c r="C834" t="str">
        <f>"14"</f>
        <v>14</v>
      </c>
      <c r="F834" t="str">
        <f t="shared" si="30"/>
        <v>52100200</v>
      </c>
      <c r="H834" t="s">
        <v>45</v>
      </c>
      <c r="K834" s="4">
        <v>1089000</v>
      </c>
    </row>
    <row r="835" spans="1:11" hidden="1" outlineLevel="2" x14ac:dyDescent="0.35">
      <c r="A835" t="s">
        <v>32</v>
      </c>
      <c r="B835" s="1">
        <v>45736</v>
      </c>
      <c r="C835" t="str">
        <f>"15"</f>
        <v>15</v>
      </c>
      <c r="F835" t="str">
        <f t="shared" si="30"/>
        <v>52100200</v>
      </c>
      <c r="H835" t="s">
        <v>46</v>
      </c>
      <c r="K835" s="4">
        <v>5096000</v>
      </c>
    </row>
    <row r="836" spans="1:11" hidden="1" outlineLevel="2" x14ac:dyDescent="0.35">
      <c r="A836" t="s">
        <v>32</v>
      </c>
      <c r="B836" s="1">
        <v>45736</v>
      </c>
      <c r="C836" t="str">
        <f>"16"</f>
        <v>16</v>
      </c>
      <c r="F836" t="str">
        <f t="shared" si="30"/>
        <v>52100200</v>
      </c>
      <c r="H836" t="s">
        <v>47</v>
      </c>
      <c r="K836" s="4">
        <v>700000</v>
      </c>
    </row>
    <row r="837" spans="1:11" hidden="1" outlineLevel="2" x14ac:dyDescent="0.35">
      <c r="A837" t="s">
        <v>32</v>
      </c>
      <c r="B837" s="1">
        <v>45736</v>
      </c>
      <c r="C837" t="str">
        <f>"17"</f>
        <v>17</v>
      </c>
      <c r="F837" t="str">
        <f t="shared" si="30"/>
        <v>52100200</v>
      </c>
      <c r="H837" t="s">
        <v>48</v>
      </c>
      <c r="K837" s="4">
        <v>1661980</v>
      </c>
    </row>
    <row r="838" spans="1:11" hidden="1" outlineLevel="2" x14ac:dyDescent="0.35">
      <c r="A838" t="s">
        <v>32</v>
      </c>
      <c r="B838" s="1">
        <v>45736</v>
      </c>
      <c r="C838" t="str">
        <f>"18"</f>
        <v>18</v>
      </c>
      <c r="F838" t="str">
        <f t="shared" si="30"/>
        <v>52100200</v>
      </c>
      <c r="H838" t="s">
        <v>49</v>
      </c>
      <c r="K838" s="4">
        <v>1926815</v>
      </c>
    </row>
    <row r="839" spans="1:11" hidden="1" outlineLevel="2" x14ac:dyDescent="0.35">
      <c r="A839" t="s">
        <v>32</v>
      </c>
      <c r="B839" s="1">
        <v>45736</v>
      </c>
      <c r="C839" t="str">
        <f>"19"</f>
        <v>19</v>
      </c>
      <c r="F839" t="str">
        <f t="shared" si="30"/>
        <v>52100200</v>
      </c>
      <c r="H839" t="s">
        <v>50</v>
      </c>
      <c r="K839" s="4">
        <v>12226851</v>
      </c>
    </row>
    <row r="840" spans="1:11" hidden="1" outlineLevel="2" x14ac:dyDescent="0.35">
      <c r="A840" t="s">
        <v>32</v>
      </c>
      <c r="B840" s="1">
        <v>45736</v>
      </c>
      <c r="C840" t="str">
        <f>"20"</f>
        <v>20</v>
      </c>
      <c r="F840" t="str">
        <f t="shared" si="30"/>
        <v>52100200</v>
      </c>
      <c r="H840" t="s">
        <v>51</v>
      </c>
      <c r="K840" s="4">
        <v>63994</v>
      </c>
    </row>
    <row r="841" spans="1:11" hidden="1" outlineLevel="2" x14ac:dyDescent="0.35">
      <c r="A841" t="s">
        <v>32</v>
      </c>
      <c r="B841" s="1">
        <v>45736</v>
      </c>
      <c r="C841" t="str">
        <f>"21"</f>
        <v>21</v>
      </c>
      <c r="F841" t="str">
        <f t="shared" si="30"/>
        <v>52100200</v>
      </c>
      <c r="H841" t="s">
        <v>52</v>
      </c>
      <c r="K841" s="4">
        <v>15000000</v>
      </c>
    </row>
    <row r="842" spans="1:11" hidden="1" outlineLevel="2" x14ac:dyDescent="0.35">
      <c r="A842" t="s">
        <v>32</v>
      </c>
      <c r="B842" s="1">
        <v>45736</v>
      </c>
      <c r="C842" t="str">
        <f>"26"</f>
        <v>26</v>
      </c>
      <c r="F842" t="str">
        <f t="shared" si="30"/>
        <v>52100200</v>
      </c>
      <c r="H842" t="s">
        <v>53</v>
      </c>
      <c r="K842" s="4">
        <v>1448440</v>
      </c>
    </row>
    <row r="843" spans="1:11" hidden="1" outlineLevel="2" x14ac:dyDescent="0.35">
      <c r="A843" t="s">
        <v>32</v>
      </c>
      <c r="B843" s="1">
        <v>45737</v>
      </c>
      <c r="C843" t="str">
        <f>"10"</f>
        <v>10</v>
      </c>
      <c r="F843" t="str">
        <f t="shared" si="30"/>
        <v>52100200</v>
      </c>
      <c r="H843" t="s">
        <v>54</v>
      </c>
      <c r="J843" s="4">
        <v>1755840</v>
      </c>
    </row>
    <row r="844" spans="1:11" hidden="1" outlineLevel="2" x14ac:dyDescent="0.35">
      <c r="A844" t="s">
        <v>32</v>
      </c>
      <c r="B844" s="1">
        <v>45737</v>
      </c>
      <c r="C844" t="str">
        <f>"12"</f>
        <v>12</v>
      </c>
      <c r="F844" t="str">
        <f t="shared" si="30"/>
        <v>52100200</v>
      </c>
      <c r="H844" t="s">
        <v>56</v>
      </c>
      <c r="K844" s="4">
        <v>32059125</v>
      </c>
    </row>
    <row r="845" spans="1:11" hidden="1" outlineLevel="2" x14ac:dyDescent="0.35">
      <c r="A845" t="s">
        <v>32</v>
      </c>
      <c r="B845" s="1">
        <v>45737</v>
      </c>
      <c r="C845" t="str">
        <f>"22"</f>
        <v>22</v>
      </c>
      <c r="F845" t="str">
        <f t="shared" si="30"/>
        <v>52100200</v>
      </c>
      <c r="H845" t="s">
        <v>57</v>
      </c>
      <c r="K845" s="4">
        <v>10000000</v>
      </c>
    </row>
    <row r="846" spans="1:11" hidden="1" outlineLevel="2" x14ac:dyDescent="0.35">
      <c r="A846" t="s">
        <v>32</v>
      </c>
      <c r="B846" s="1">
        <v>45737</v>
      </c>
      <c r="C846" t="str">
        <f>"23"</f>
        <v>23</v>
      </c>
      <c r="F846" t="str">
        <f t="shared" si="30"/>
        <v>52100200</v>
      </c>
      <c r="H846" t="s">
        <v>58</v>
      </c>
      <c r="K846" s="4">
        <v>2200</v>
      </c>
    </row>
    <row r="847" spans="1:11" hidden="1" outlineLevel="2" x14ac:dyDescent="0.35">
      <c r="A847" t="s">
        <v>32</v>
      </c>
      <c r="B847" s="1">
        <v>45740</v>
      </c>
      <c r="C847" t="str">
        <f>"27"</f>
        <v>27</v>
      </c>
      <c r="F847" t="str">
        <f t="shared" si="30"/>
        <v>52100200</v>
      </c>
      <c r="H847" t="s">
        <v>59</v>
      </c>
      <c r="J847" s="4">
        <v>5253360</v>
      </c>
    </row>
    <row r="848" spans="1:11" hidden="1" outlineLevel="2" x14ac:dyDescent="0.35">
      <c r="A848" t="s">
        <v>32</v>
      </c>
      <c r="B848" s="1">
        <v>45741</v>
      </c>
      <c r="C848" t="str">
        <f>"30"</f>
        <v>30</v>
      </c>
      <c r="F848" t="str">
        <f t="shared" si="30"/>
        <v>52100200</v>
      </c>
      <c r="H848" t="s">
        <v>60</v>
      </c>
      <c r="K848" s="4">
        <v>10000000</v>
      </c>
    </row>
    <row r="849" spans="1:11" hidden="1" outlineLevel="2" x14ac:dyDescent="0.35">
      <c r="A849" t="s">
        <v>32</v>
      </c>
      <c r="B849" s="1">
        <v>45742</v>
      </c>
      <c r="C849" t="str">
        <f>"25"</f>
        <v>25</v>
      </c>
      <c r="F849" t="str">
        <f t="shared" si="30"/>
        <v>52100200</v>
      </c>
      <c r="H849" t="s">
        <v>61</v>
      </c>
      <c r="K849" s="4">
        <v>22000000</v>
      </c>
    </row>
    <row r="850" spans="1:11" hidden="1" outlineLevel="2" x14ac:dyDescent="0.35">
      <c r="A850" t="s">
        <v>32</v>
      </c>
      <c r="B850" s="1">
        <v>45744</v>
      </c>
      <c r="C850" t="str">
        <f>"24"</f>
        <v>24</v>
      </c>
      <c r="F850" t="str">
        <f t="shared" si="30"/>
        <v>52100200</v>
      </c>
      <c r="H850" t="s">
        <v>62</v>
      </c>
      <c r="J850" s="4">
        <v>17566129</v>
      </c>
    </row>
    <row r="851" spans="1:11" hidden="1" outlineLevel="2" x14ac:dyDescent="0.35">
      <c r="A851" t="s">
        <v>32</v>
      </c>
      <c r="B851" s="1">
        <v>45747</v>
      </c>
      <c r="C851" t="str">
        <f>"28"</f>
        <v>28</v>
      </c>
      <c r="F851" t="str">
        <f t="shared" si="30"/>
        <v>52100200</v>
      </c>
      <c r="H851" t="s">
        <v>58</v>
      </c>
      <c r="K851" s="4">
        <v>68659</v>
      </c>
    </row>
    <row r="852" spans="1:11" hidden="1" outlineLevel="2" x14ac:dyDescent="0.35">
      <c r="A852" t="s">
        <v>32</v>
      </c>
      <c r="B852" s="1">
        <v>45747</v>
      </c>
      <c r="C852" t="str">
        <f>"29"</f>
        <v>29</v>
      </c>
      <c r="F852" t="str">
        <f t="shared" si="30"/>
        <v>52100200</v>
      </c>
      <c r="H852" t="s">
        <v>58</v>
      </c>
      <c r="K852" s="4">
        <v>22000</v>
      </c>
    </row>
    <row r="853" spans="1:11" outlineLevel="1" collapsed="1" x14ac:dyDescent="0.35">
      <c r="B853" s="1"/>
      <c r="F853" s="3" t="s">
        <v>6734</v>
      </c>
      <c r="J853" s="4">
        <f>SUBTOTAL(9,J822:J852)</f>
        <v>130525826</v>
      </c>
      <c r="K853" s="4">
        <f>SUBTOTAL(9,K822:K852)</f>
        <v>138522377</v>
      </c>
    </row>
    <row r="854" spans="1:11" hidden="1" outlineLevel="2" x14ac:dyDescent="0.35">
      <c r="A854" t="s">
        <v>63</v>
      </c>
      <c r="B854" s="1">
        <v>45717</v>
      </c>
      <c r="C854" t="str">
        <f>"2"</f>
        <v>2</v>
      </c>
      <c r="F854" t="str">
        <f>"52100300"</f>
        <v>52100300</v>
      </c>
      <c r="H854" t="s">
        <v>58</v>
      </c>
      <c r="K854" s="4">
        <v>22000</v>
      </c>
    </row>
    <row r="855" spans="1:11" hidden="1" outlineLevel="2" x14ac:dyDescent="0.35">
      <c r="A855" t="s">
        <v>63</v>
      </c>
      <c r="B855" s="1">
        <v>45744</v>
      </c>
      <c r="C855" t="str">
        <f>"1"</f>
        <v>1</v>
      </c>
      <c r="F855" t="str">
        <f>"52100300"</f>
        <v>52100300</v>
      </c>
      <c r="H855" t="s">
        <v>58</v>
      </c>
      <c r="K855" s="4">
        <v>33000</v>
      </c>
    </row>
    <row r="856" spans="1:11" outlineLevel="1" collapsed="1" x14ac:dyDescent="0.35">
      <c r="B856" s="1"/>
      <c r="F856" s="3" t="s">
        <v>6735</v>
      </c>
      <c r="J856" s="4">
        <f>SUBTOTAL(9,J854:J855)</f>
        <v>0</v>
      </c>
      <c r="K856" s="4">
        <f>SUBTOTAL(9,K854:K855)</f>
        <v>55000</v>
      </c>
    </row>
    <row r="857" spans="1:11" hidden="1" outlineLevel="2" x14ac:dyDescent="0.35">
      <c r="A857" t="s">
        <v>126</v>
      </c>
      <c r="B857" s="1">
        <v>45720</v>
      </c>
      <c r="C857" t="str">
        <f>"67"</f>
        <v>67</v>
      </c>
      <c r="E857" t="str">
        <f>"1283"</f>
        <v>1283</v>
      </c>
      <c r="F857" t="str">
        <f t="shared" ref="F857:F874" si="31">"55410500"</f>
        <v>55410500</v>
      </c>
      <c r="H857" t="s">
        <v>127</v>
      </c>
      <c r="J857" s="4">
        <v>214760</v>
      </c>
    </row>
    <row r="858" spans="1:11" hidden="1" outlineLevel="2" x14ac:dyDescent="0.35">
      <c r="A858" t="s">
        <v>126</v>
      </c>
      <c r="B858" s="1">
        <v>45720</v>
      </c>
      <c r="C858" t="str">
        <f>"68"</f>
        <v>68</v>
      </c>
      <c r="E858" t="str">
        <f>"1283"</f>
        <v>1283</v>
      </c>
      <c r="F858" t="str">
        <f t="shared" si="31"/>
        <v>55410500</v>
      </c>
      <c r="H858" t="s">
        <v>127</v>
      </c>
      <c r="K858" s="4">
        <v>214760</v>
      </c>
    </row>
    <row r="859" spans="1:11" hidden="1" outlineLevel="2" x14ac:dyDescent="0.35">
      <c r="A859" t="s">
        <v>126</v>
      </c>
      <c r="B859" s="1">
        <v>45722</v>
      </c>
      <c r="C859" t="str">
        <f>"69"</f>
        <v>69</v>
      </c>
      <c r="E859" t="str">
        <f>"1284"</f>
        <v>1284</v>
      </c>
      <c r="F859" t="str">
        <f t="shared" si="31"/>
        <v>55410500</v>
      </c>
      <c r="H859" t="s">
        <v>128</v>
      </c>
      <c r="J859" s="4">
        <v>859040</v>
      </c>
    </row>
    <row r="860" spans="1:11" hidden="1" outlineLevel="2" x14ac:dyDescent="0.35">
      <c r="A860" t="s">
        <v>126</v>
      </c>
      <c r="B860" s="1">
        <v>45722</v>
      </c>
      <c r="C860" t="str">
        <f>"70"</f>
        <v>70</v>
      </c>
      <c r="E860" t="str">
        <f>"1284"</f>
        <v>1284</v>
      </c>
      <c r="F860" t="str">
        <f t="shared" si="31"/>
        <v>55410500</v>
      </c>
      <c r="H860" t="s">
        <v>128</v>
      </c>
      <c r="K860" s="4">
        <v>859040</v>
      </c>
    </row>
    <row r="861" spans="1:11" hidden="1" outlineLevel="2" x14ac:dyDescent="0.35">
      <c r="A861" t="s">
        <v>126</v>
      </c>
      <c r="B861" s="1">
        <v>45722</v>
      </c>
      <c r="C861" t="str">
        <f>"71"</f>
        <v>71</v>
      </c>
      <c r="E861" t="str">
        <f>"1285"</f>
        <v>1285</v>
      </c>
      <c r="F861" t="str">
        <f t="shared" si="31"/>
        <v>55410500</v>
      </c>
      <c r="H861" t="s">
        <v>127</v>
      </c>
      <c r="J861" s="4">
        <v>214760</v>
      </c>
    </row>
    <row r="862" spans="1:11" hidden="1" outlineLevel="2" x14ac:dyDescent="0.35">
      <c r="A862" t="s">
        <v>126</v>
      </c>
      <c r="B862" s="1">
        <v>45722</v>
      </c>
      <c r="C862" t="str">
        <f>"72"</f>
        <v>72</v>
      </c>
      <c r="E862" t="str">
        <f>"1285"</f>
        <v>1285</v>
      </c>
      <c r="F862" t="str">
        <f t="shared" si="31"/>
        <v>55410500</v>
      </c>
      <c r="H862" t="s">
        <v>127</v>
      </c>
      <c r="K862" s="4">
        <v>214760</v>
      </c>
    </row>
    <row r="863" spans="1:11" hidden="1" outlineLevel="2" x14ac:dyDescent="0.35">
      <c r="A863" t="s">
        <v>126</v>
      </c>
      <c r="B863" s="1">
        <v>45726</v>
      </c>
      <c r="C863" t="str">
        <f>"73"</f>
        <v>73</v>
      </c>
      <c r="E863" t="str">
        <f>"1286"</f>
        <v>1286</v>
      </c>
      <c r="F863" t="str">
        <f t="shared" si="31"/>
        <v>55410500</v>
      </c>
      <c r="H863" t="s">
        <v>127</v>
      </c>
      <c r="J863" s="4">
        <v>859040</v>
      </c>
    </row>
    <row r="864" spans="1:11" hidden="1" outlineLevel="2" x14ac:dyDescent="0.35">
      <c r="A864" t="s">
        <v>126</v>
      </c>
      <c r="B864" s="1">
        <v>45726</v>
      </c>
      <c r="C864" t="str">
        <f>"74"</f>
        <v>74</v>
      </c>
      <c r="E864" t="str">
        <f>"1286"</f>
        <v>1286</v>
      </c>
      <c r="F864" t="str">
        <f t="shared" si="31"/>
        <v>55410500</v>
      </c>
      <c r="H864" t="s">
        <v>127</v>
      </c>
      <c r="K864" s="4">
        <v>859040</v>
      </c>
    </row>
    <row r="865" spans="1:11" hidden="1" outlineLevel="2" x14ac:dyDescent="0.35">
      <c r="A865" t="s">
        <v>126</v>
      </c>
      <c r="B865" s="1">
        <v>45729</v>
      </c>
      <c r="C865" t="str">
        <f>"75"</f>
        <v>75</v>
      </c>
      <c r="E865" t="str">
        <f>"1287"</f>
        <v>1287</v>
      </c>
      <c r="F865" t="str">
        <f t="shared" si="31"/>
        <v>55410500</v>
      </c>
      <c r="H865" t="s">
        <v>129</v>
      </c>
      <c r="J865" s="4">
        <v>429520</v>
      </c>
    </row>
    <row r="866" spans="1:11" hidden="1" outlineLevel="2" x14ac:dyDescent="0.35">
      <c r="A866" t="s">
        <v>126</v>
      </c>
      <c r="B866" s="1">
        <v>45729</v>
      </c>
      <c r="C866" t="str">
        <f>"76"</f>
        <v>76</v>
      </c>
      <c r="E866" t="str">
        <f>"1287"</f>
        <v>1287</v>
      </c>
      <c r="F866" t="str">
        <f t="shared" si="31"/>
        <v>55410500</v>
      </c>
      <c r="H866" t="s">
        <v>129</v>
      </c>
      <c r="K866" s="4">
        <v>429520</v>
      </c>
    </row>
    <row r="867" spans="1:11" hidden="1" outlineLevel="2" x14ac:dyDescent="0.35">
      <c r="A867" t="s">
        <v>126</v>
      </c>
      <c r="B867" s="1">
        <v>45735</v>
      </c>
      <c r="C867" t="str">
        <f>"77"</f>
        <v>77</v>
      </c>
      <c r="E867" t="str">
        <f>"1288"</f>
        <v>1288</v>
      </c>
      <c r="F867" t="str">
        <f t="shared" si="31"/>
        <v>55410500</v>
      </c>
      <c r="H867" t="s">
        <v>129</v>
      </c>
      <c r="J867" s="4">
        <v>429520</v>
      </c>
    </row>
    <row r="868" spans="1:11" hidden="1" outlineLevel="2" x14ac:dyDescent="0.35">
      <c r="A868" t="s">
        <v>126</v>
      </c>
      <c r="B868" s="1">
        <v>45735</v>
      </c>
      <c r="C868" t="str">
        <f>"78"</f>
        <v>78</v>
      </c>
      <c r="E868" t="str">
        <f>"1288"</f>
        <v>1288</v>
      </c>
      <c r="F868" t="str">
        <f t="shared" si="31"/>
        <v>55410500</v>
      </c>
      <c r="H868" t="s">
        <v>129</v>
      </c>
      <c r="K868" s="4">
        <v>429520</v>
      </c>
    </row>
    <row r="869" spans="1:11" hidden="1" outlineLevel="2" x14ac:dyDescent="0.35">
      <c r="A869" t="s">
        <v>126</v>
      </c>
      <c r="B869" s="1">
        <v>45736</v>
      </c>
      <c r="C869" t="str">
        <f>"79"</f>
        <v>79</v>
      </c>
      <c r="E869" t="str">
        <f>"1289"</f>
        <v>1289</v>
      </c>
      <c r="F869" t="str">
        <f t="shared" si="31"/>
        <v>55410500</v>
      </c>
      <c r="H869" t="s">
        <v>127</v>
      </c>
      <c r="J869" s="4">
        <v>644280</v>
      </c>
    </row>
    <row r="870" spans="1:11" hidden="1" outlineLevel="2" x14ac:dyDescent="0.35">
      <c r="A870" t="s">
        <v>126</v>
      </c>
      <c r="B870" s="1">
        <v>45736</v>
      </c>
      <c r="C870" t="str">
        <f>"80"</f>
        <v>80</v>
      </c>
      <c r="E870" t="str">
        <f>"1289"</f>
        <v>1289</v>
      </c>
      <c r="F870" t="str">
        <f t="shared" si="31"/>
        <v>55410500</v>
      </c>
      <c r="H870" t="s">
        <v>127</v>
      </c>
      <c r="K870" s="4">
        <v>644280</v>
      </c>
    </row>
    <row r="871" spans="1:11" hidden="1" outlineLevel="2" x14ac:dyDescent="0.35">
      <c r="A871" t="s">
        <v>126</v>
      </c>
      <c r="B871" s="1">
        <v>45740</v>
      </c>
      <c r="C871" t="str">
        <f>"81"</f>
        <v>81</v>
      </c>
      <c r="E871" t="str">
        <f>"1290"</f>
        <v>1290</v>
      </c>
      <c r="F871" t="str">
        <f t="shared" si="31"/>
        <v>55410500</v>
      </c>
      <c r="H871" t="s">
        <v>130</v>
      </c>
      <c r="J871" s="4">
        <v>214760</v>
      </c>
    </row>
    <row r="872" spans="1:11" hidden="1" outlineLevel="2" x14ac:dyDescent="0.35">
      <c r="A872" t="s">
        <v>126</v>
      </c>
      <c r="B872" s="1">
        <v>45740</v>
      </c>
      <c r="C872" t="str">
        <f>"82"</f>
        <v>82</v>
      </c>
      <c r="E872" t="str">
        <f>"1290"</f>
        <v>1290</v>
      </c>
      <c r="F872" t="str">
        <f t="shared" si="31"/>
        <v>55410500</v>
      </c>
      <c r="H872" t="s">
        <v>130</v>
      </c>
      <c r="K872" s="4">
        <v>214760</v>
      </c>
    </row>
    <row r="873" spans="1:11" hidden="1" outlineLevel="2" x14ac:dyDescent="0.35">
      <c r="A873" t="s">
        <v>126</v>
      </c>
      <c r="B873" s="1">
        <v>45741</v>
      </c>
      <c r="C873" t="str">
        <f>"83"</f>
        <v>83</v>
      </c>
      <c r="E873" t="str">
        <f>"1291"</f>
        <v>1291</v>
      </c>
      <c r="F873" t="str">
        <f t="shared" si="31"/>
        <v>55410500</v>
      </c>
      <c r="H873" t="s">
        <v>127</v>
      </c>
      <c r="J873" s="4">
        <v>472000</v>
      </c>
    </row>
    <row r="874" spans="1:11" hidden="1" outlineLevel="2" x14ac:dyDescent="0.35">
      <c r="A874" t="s">
        <v>126</v>
      </c>
      <c r="B874" s="1">
        <v>45741</v>
      </c>
      <c r="C874" t="str">
        <f>"84"</f>
        <v>84</v>
      </c>
      <c r="E874" t="str">
        <f>"1291"</f>
        <v>1291</v>
      </c>
      <c r="F874" t="str">
        <f t="shared" si="31"/>
        <v>55410500</v>
      </c>
      <c r="H874" t="s">
        <v>127</v>
      </c>
      <c r="K874" s="4">
        <v>472000</v>
      </c>
    </row>
    <row r="875" spans="1:11" outlineLevel="1" collapsed="1" x14ac:dyDescent="0.35">
      <c r="B875" s="1"/>
      <c r="F875" s="3" t="s">
        <v>6596</v>
      </c>
      <c r="J875" s="4">
        <f>SUBTOTAL(9,J857:J874)</f>
        <v>4337680</v>
      </c>
      <c r="K875" s="4">
        <f>SUBTOTAL(9,K857:K874)</f>
        <v>4337680</v>
      </c>
    </row>
    <row r="876" spans="1:11" hidden="1" outlineLevel="2" x14ac:dyDescent="0.35">
      <c r="A876" t="s">
        <v>64</v>
      </c>
      <c r="B876" s="1">
        <v>45722</v>
      </c>
      <c r="C876" t="str">
        <f>"1"</f>
        <v>1</v>
      </c>
      <c r="E876" t="str">
        <f>"1307"</f>
        <v>1307</v>
      </c>
      <c r="F876" t="str">
        <f t="shared" ref="F876:F907" si="32">"57110000"</f>
        <v>57110000</v>
      </c>
      <c r="H876" t="s">
        <v>65</v>
      </c>
      <c r="J876" s="4">
        <v>527280</v>
      </c>
    </row>
    <row r="877" spans="1:11" hidden="1" outlineLevel="2" x14ac:dyDescent="0.35">
      <c r="A877" t="s">
        <v>64</v>
      </c>
      <c r="B877" s="1">
        <v>45722</v>
      </c>
      <c r="C877" t="str">
        <f>"2"</f>
        <v>2</v>
      </c>
      <c r="E877" t="str">
        <f>"1307"</f>
        <v>1307</v>
      </c>
      <c r="F877" t="str">
        <f t="shared" si="32"/>
        <v>57110000</v>
      </c>
      <c r="H877" t="s">
        <v>65</v>
      </c>
      <c r="K877" s="4">
        <v>527280</v>
      </c>
    </row>
    <row r="878" spans="1:11" hidden="1" outlineLevel="2" x14ac:dyDescent="0.35">
      <c r="A878" t="s">
        <v>64</v>
      </c>
      <c r="B878" s="1">
        <v>45734</v>
      </c>
      <c r="C878" t="str">
        <f>"3"</f>
        <v>3</v>
      </c>
      <c r="E878" t="str">
        <f>"1308"</f>
        <v>1308</v>
      </c>
      <c r="F878" t="str">
        <f t="shared" si="32"/>
        <v>57110000</v>
      </c>
      <c r="H878" t="s">
        <v>65</v>
      </c>
      <c r="J878" s="4">
        <v>1825100</v>
      </c>
    </row>
    <row r="879" spans="1:11" hidden="1" outlineLevel="2" x14ac:dyDescent="0.35">
      <c r="A879" t="s">
        <v>64</v>
      </c>
      <c r="B879" s="1">
        <v>45734</v>
      </c>
      <c r="C879" t="str">
        <f>"4"</f>
        <v>4</v>
      </c>
      <c r="E879" t="str">
        <f>"1308"</f>
        <v>1308</v>
      </c>
      <c r="F879" t="str">
        <f t="shared" si="32"/>
        <v>57110000</v>
      </c>
      <c r="H879" t="s">
        <v>65</v>
      </c>
      <c r="K879" s="4">
        <v>1825100</v>
      </c>
    </row>
    <row r="880" spans="1:11" hidden="1" outlineLevel="2" x14ac:dyDescent="0.35">
      <c r="A880" t="s">
        <v>64</v>
      </c>
      <c r="B880" s="1">
        <v>45734</v>
      </c>
      <c r="C880" t="str">
        <f>"5"</f>
        <v>5</v>
      </c>
      <c r="E880" t="str">
        <f>"1309"</f>
        <v>1309</v>
      </c>
      <c r="F880" t="str">
        <f t="shared" si="32"/>
        <v>57110000</v>
      </c>
      <c r="H880" t="s">
        <v>66</v>
      </c>
      <c r="J880" s="4">
        <v>354500</v>
      </c>
    </row>
    <row r="881" spans="1:11" hidden="1" outlineLevel="2" x14ac:dyDescent="0.35">
      <c r="A881" t="s">
        <v>64</v>
      </c>
      <c r="B881" s="1">
        <v>45734</v>
      </c>
      <c r="C881" t="str">
        <f>"6"</f>
        <v>6</v>
      </c>
      <c r="E881" t="str">
        <f>"1309"</f>
        <v>1309</v>
      </c>
      <c r="F881" t="str">
        <f t="shared" si="32"/>
        <v>57110000</v>
      </c>
      <c r="H881" t="s">
        <v>66</v>
      </c>
      <c r="K881" s="4">
        <v>354500</v>
      </c>
    </row>
    <row r="882" spans="1:11" hidden="1" outlineLevel="2" x14ac:dyDescent="0.35">
      <c r="A882" t="s">
        <v>64</v>
      </c>
      <c r="B882" s="1">
        <v>45734</v>
      </c>
      <c r="C882" t="str">
        <f>"7"</f>
        <v>7</v>
      </c>
      <c r="E882" t="str">
        <f>"1310"</f>
        <v>1310</v>
      </c>
      <c r="F882" t="str">
        <f t="shared" si="32"/>
        <v>57110000</v>
      </c>
      <c r="H882" t="s">
        <v>66</v>
      </c>
      <c r="J882" s="4">
        <v>2954360</v>
      </c>
    </row>
    <row r="883" spans="1:11" hidden="1" outlineLevel="2" x14ac:dyDescent="0.35">
      <c r="A883" t="s">
        <v>64</v>
      </c>
      <c r="B883" s="1">
        <v>45734</v>
      </c>
      <c r="C883" t="str">
        <f>"8"</f>
        <v>8</v>
      </c>
      <c r="E883" t="str">
        <f>"1310"</f>
        <v>1310</v>
      </c>
      <c r="F883" t="str">
        <f t="shared" si="32"/>
        <v>57110000</v>
      </c>
      <c r="H883" t="s">
        <v>66</v>
      </c>
      <c r="K883" s="4">
        <v>2954360</v>
      </c>
    </row>
    <row r="884" spans="1:11" hidden="1" outlineLevel="2" x14ac:dyDescent="0.35">
      <c r="A884" t="s">
        <v>64</v>
      </c>
      <c r="B884" s="1">
        <v>45734</v>
      </c>
      <c r="C884" t="str">
        <f>"9"</f>
        <v>9</v>
      </c>
      <c r="E884" t="str">
        <f>"1311"</f>
        <v>1311</v>
      </c>
      <c r="F884" t="str">
        <f t="shared" si="32"/>
        <v>57110000</v>
      </c>
      <c r="H884" t="s">
        <v>67</v>
      </c>
      <c r="J884" s="4">
        <v>215260</v>
      </c>
    </row>
    <row r="885" spans="1:11" hidden="1" outlineLevel="2" x14ac:dyDescent="0.35">
      <c r="A885" t="s">
        <v>64</v>
      </c>
      <c r="B885" s="1">
        <v>45734</v>
      </c>
      <c r="C885" t="str">
        <f>"10"</f>
        <v>10</v>
      </c>
      <c r="E885" t="str">
        <f>"1311"</f>
        <v>1311</v>
      </c>
      <c r="F885" t="str">
        <f t="shared" si="32"/>
        <v>57110000</v>
      </c>
      <c r="H885" t="s">
        <v>67</v>
      </c>
      <c r="K885" s="4">
        <v>215260</v>
      </c>
    </row>
    <row r="886" spans="1:11" hidden="1" outlineLevel="2" x14ac:dyDescent="0.35">
      <c r="A886" t="s">
        <v>64</v>
      </c>
      <c r="B886" s="1">
        <v>45734</v>
      </c>
      <c r="C886" t="str">
        <f>"11"</f>
        <v>11</v>
      </c>
      <c r="E886" t="str">
        <f>"1312"</f>
        <v>1312</v>
      </c>
      <c r="F886" t="str">
        <f t="shared" si="32"/>
        <v>57110000</v>
      </c>
      <c r="H886" t="s">
        <v>68</v>
      </c>
      <c r="J886" s="4">
        <v>1075800</v>
      </c>
    </row>
    <row r="887" spans="1:11" hidden="1" outlineLevel="2" x14ac:dyDescent="0.35">
      <c r="A887" t="s">
        <v>64</v>
      </c>
      <c r="B887" s="1">
        <v>45734</v>
      </c>
      <c r="C887" t="str">
        <f>"12"</f>
        <v>12</v>
      </c>
      <c r="E887" t="str">
        <f>"1312"</f>
        <v>1312</v>
      </c>
      <c r="F887" t="str">
        <f t="shared" si="32"/>
        <v>57110000</v>
      </c>
      <c r="H887" t="s">
        <v>68</v>
      </c>
      <c r="K887" s="4">
        <v>1075800</v>
      </c>
    </row>
    <row r="888" spans="1:11" hidden="1" outlineLevel="2" x14ac:dyDescent="0.35">
      <c r="A888" t="s">
        <v>64</v>
      </c>
      <c r="B888" s="1">
        <v>45734</v>
      </c>
      <c r="C888" t="str">
        <f>"13"</f>
        <v>13</v>
      </c>
      <c r="E888" t="str">
        <f>"1313"</f>
        <v>1313</v>
      </c>
      <c r="F888" t="str">
        <f t="shared" si="32"/>
        <v>57110000</v>
      </c>
      <c r="H888" t="s">
        <v>69</v>
      </c>
      <c r="J888" s="4">
        <v>215260</v>
      </c>
    </row>
    <row r="889" spans="1:11" hidden="1" outlineLevel="2" x14ac:dyDescent="0.35">
      <c r="A889" t="s">
        <v>64</v>
      </c>
      <c r="B889" s="1">
        <v>45734</v>
      </c>
      <c r="C889" t="str">
        <f>"14"</f>
        <v>14</v>
      </c>
      <c r="E889" t="str">
        <f>"1313"</f>
        <v>1313</v>
      </c>
      <c r="F889" t="str">
        <f t="shared" si="32"/>
        <v>57110000</v>
      </c>
      <c r="H889" t="s">
        <v>69</v>
      </c>
      <c r="K889" s="4">
        <v>215260</v>
      </c>
    </row>
    <row r="890" spans="1:11" hidden="1" outlineLevel="2" x14ac:dyDescent="0.35">
      <c r="A890" t="s">
        <v>64</v>
      </c>
      <c r="B890" s="1">
        <v>45734</v>
      </c>
      <c r="C890" t="str">
        <f>"15"</f>
        <v>15</v>
      </c>
      <c r="E890" t="str">
        <f>"1314"</f>
        <v>1314</v>
      </c>
      <c r="F890" t="str">
        <f t="shared" si="32"/>
        <v>57110000</v>
      </c>
      <c r="H890" t="s">
        <v>69</v>
      </c>
      <c r="J890" s="4">
        <v>215260</v>
      </c>
    </row>
    <row r="891" spans="1:11" hidden="1" outlineLevel="2" x14ac:dyDescent="0.35">
      <c r="A891" t="s">
        <v>64</v>
      </c>
      <c r="B891" s="1">
        <v>45734</v>
      </c>
      <c r="C891" t="str">
        <f>"16"</f>
        <v>16</v>
      </c>
      <c r="E891" t="str">
        <f>"1314"</f>
        <v>1314</v>
      </c>
      <c r="F891" t="str">
        <f t="shared" si="32"/>
        <v>57110000</v>
      </c>
      <c r="H891" t="s">
        <v>69</v>
      </c>
      <c r="K891" s="4">
        <v>215260</v>
      </c>
    </row>
    <row r="892" spans="1:11" hidden="1" outlineLevel="2" x14ac:dyDescent="0.35">
      <c r="A892" t="s">
        <v>64</v>
      </c>
      <c r="B892" s="1">
        <v>45734</v>
      </c>
      <c r="C892" t="str">
        <f>"17"</f>
        <v>17</v>
      </c>
      <c r="E892" t="str">
        <f>"1315"</f>
        <v>1315</v>
      </c>
      <c r="F892" t="str">
        <f t="shared" si="32"/>
        <v>57110000</v>
      </c>
      <c r="H892" t="s">
        <v>69</v>
      </c>
      <c r="J892" s="4">
        <v>215260</v>
      </c>
    </row>
    <row r="893" spans="1:11" hidden="1" outlineLevel="2" x14ac:dyDescent="0.35">
      <c r="A893" t="s">
        <v>64</v>
      </c>
      <c r="B893" s="1">
        <v>45734</v>
      </c>
      <c r="C893" t="str">
        <f>"18"</f>
        <v>18</v>
      </c>
      <c r="E893" t="str">
        <f>"1315"</f>
        <v>1315</v>
      </c>
      <c r="F893" t="str">
        <f t="shared" si="32"/>
        <v>57110000</v>
      </c>
      <c r="H893" t="s">
        <v>69</v>
      </c>
      <c r="K893" s="4">
        <v>215260</v>
      </c>
    </row>
    <row r="894" spans="1:11" hidden="1" outlineLevel="2" x14ac:dyDescent="0.35">
      <c r="A894" t="s">
        <v>64</v>
      </c>
      <c r="B894" s="1">
        <v>45734</v>
      </c>
      <c r="C894" t="str">
        <f>"19"</f>
        <v>19</v>
      </c>
      <c r="E894" t="str">
        <f>"1316"</f>
        <v>1316</v>
      </c>
      <c r="F894" t="str">
        <f t="shared" si="32"/>
        <v>57110000</v>
      </c>
      <c r="H894" t="s">
        <v>69</v>
      </c>
      <c r="J894" s="4">
        <v>215260</v>
      </c>
    </row>
    <row r="895" spans="1:11" hidden="1" outlineLevel="2" x14ac:dyDescent="0.35">
      <c r="A895" t="s">
        <v>64</v>
      </c>
      <c r="B895" s="1">
        <v>45734</v>
      </c>
      <c r="C895" t="str">
        <f>"20"</f>
        <v>20</v>
      </c>
      <c r="E895" t="str">
        <f>"1316"</f>
        <v>1316</v>
      </c>
      <c r="F895" t="str">
        <f t="shared" si="32"/>
        <v>57110000</v>
      </c>
      <c r="H895" t="s">
        <v>69</v>
      </c>
      <c r="K895" s="4">
        <v>215260</v>
      </c>
    </row>
    <row r="896" spans="1:11" hidden="1" outlineLevel="2" x14ac:dyDescent="0.35">
      <c r="A896" t="s">
        <v>64</v>
      </c>
      <c r="B896" s="1">
        <v>45734</v>
      </c>
      <c r="C896" t="str">
        <f>"21"</f>
        <v>21</v>
      </c>
      <c r="E896" t="str">
        <f>"1317"</f>
        <v>1317</v>
      </c>
      <c r="F896" t="str">
        <f t="shared" si="32"/>
        <v>57110000</v>
      </c>
      <c r="H896" t="s">
        <v>70</v>
      </c>
      <c r="J896" s="4">
        <v>215260</v>
      </c>
    </row>
    <row r="897" spans="1:11" hidden="1" outlineLevel="2" x14ac:dyDescent="0.35">
      <c r="A897" t="s">
        <v>64</v>
      </c>
      <c r="B897" s="1">
        <v>45734</v>
      </c>
      <c r="C897" t="str">
        <f>"22"</f>
        <v>22</v>
      </c>
      <c r="E897" t="str">
        <f>"1317"</f>
        <v>1317</v>
      </c>
      <c r="F897" t="str">
        <f t="shared" si="32"/>
        <v>57110000</v>
      </c>
      <c r="H897" t="s">
        <v>70</v>
      </c>
      <c r="K897" s="4">
        <v>215260</v>
      </c>
    </row>
    <row r="898" spans="1:11" hidden="1" outlineLevel="2" x14ac:dyDescent="0.35">
      <c r="A898" t="s">
        <v>64</v>
      </c>
      <c r="B898" s="1">
        <v>45734</v>
      </c>
      <c r="C898" t="str">
        <f>"23"</f>
        <v>23</v>
      </c>
      <c r="E898" t="str">
        <f>"1318"</f>
        <v>1318</v>
      </c>
      <c r="F898" t="str">
        <f t="shared" si="32"/>
        <v>57110000</v>
      </c>
      <c r="H898" t="s">
        <v>70</v>
      </c>
      <c r="J898" s="4">
        <v>215260</v>
      </c>
    </row>
    <row r="899" spans="1:11" hidden="1" outlineLevel="2" x14ac:dyDescent="0.35">
      <c r="A899" t="s">
        <v>64</v>
      </c>
      <c r="B899" s="1">
        <v>45734</v>
      </c>
      <c r="C899" t="str">
        <f>"24"</f>
        <v>24</v>
      </c>
      <c r="E899" t="str">
        <f>"1318"</f>
        <v>1318</v>
      </c>
      <c r="F899" t="str">
        <f t="shared" si="32"/>
        <v>57110000</v>
      </c>
      <c r="H899" t="s">
        <v>70</v>
      </c>
      <c r="K899" s="4">
        <v>215260</v>
      </c>
    </row>
    <row r="900" spans="1:11" hidden="1" outlineLevel="2" x14ac:dyDescent="0.35">
      <c r="A900" t="s">
        <v>64</v>
      </c>
      <c r="B900" s="1">
        <v>45734</v>
      </c>
      <c r="C900" t="str">
        <f>"25"</f>
        <v>25</v>
      </c>
      <c r="E900" t="str">
        <f>"1319"</f>
        <v>1319</v>
      </c>
      <c r="F900" t="str">
        <f t="shared" si="32"/>
        <v>57110000</v>
      </c>
      <c r="H900" t="s">
        <v>70</v>
      </c>
      <c r="J900" s="4">
        <v>322640</v>
      </c>
    </row>
    <row r="901" spans="1:11" hidden="1" outlineLevel="2" x14ac:dyDescent="0.35">
      <c r="A901" t="s">
        <v>64</v>
      </c>
      <c r="B901" s="1">
        <v>45734</v>
      </c>
      <c r="C901" t="str">
        <f>"26"</f>
        <v>26</v>
      </c>
      <c r="E901" t="str">
        <f>"1319"</f>
        <v>1319</v>
      </c>
      <c r="F901" t="str">
        <f t="shared" si="32"/>
        <v>57110000</v>
      </c>
      <c r="H901" t="s">
        <v>70</v>
      </c>
      <c r="K901" s="4">
        <v>322640</v>
      </c>
    </row>
    <row r="902" spans="1:11" hidden="1" outlineLevel="2" x14ac:dyDescent="0.35">
      <c r="A902" t="s">
        <v>64</v>
      </c>
      <c r="B902" s="1">
        <v>45735</v>
      </c>
      <c r="C902" t="str">
        <f>"27"</f>
        <v>27</v>
      </c>
      <c r="E902" t="str">
        <f>"1320"</f>
        <v>1320</v>
      </c>
      <c r="F902" t="str">
        <f t="shared" si="32"/>
        <v>57110000</v>
      </c>
      <c r="H902" t="s">
        <v>71</v>
      </c>
      <c r="J902" s="4">
        <v>2149600</v>
      </c>
    </row>
    <row r="903" spans="1:11" hidden="1" outlineLevel="2" x14ac:dyDescent="0.35">
      <c r="A903" t="s">
        <v>64</v>
      </c>
      <c r="B903" s="1">
        <v>45735</v>
      </c>
      <c r="C903" t="str">
        <f>"28"</f>
        <v>28</v>
      </c>
      <c r="E903" t="str">
        <f>"1320"</f>
        <v>1320</v>
      </c>
      <c r="F903" t="str">
        <f t="shared" si="32"/>
        <v>57110000</v>
      </c>
      <c r="H903" t="s">
        <v>71</v>
      </c>
      <c r="K903" s="4">
        <v>2149600</v>
      </c>
    </row>
    <row r="904" spans="1:11" hidden="1" outlineLevel="2" x14ac:dyDescent="0.35">
      <c r="A904" t="s">
        <v>64</v>
      </c>
      <c r="B904" s="1">
        <v>45741</v>
      </c>
      <c r="C904" t="str">
        <f>"29"</f>
        <v>29</v>
      </c>
      <c r="E904" t="str">
        <f>"1321"</f>
        <v>1321</v>
      </c>
      <c r="F904" t="str">
        <f t="shared" si="32"/>
        <v>57110000</v>
      </c>
      <c r="H904" t="s">
        <v>65</v>
      </c>
      <c r="J904" s="4">
        <v>1064000</v>
      </c>
    </row>
    <row r="905" spans="1:11" hidden="1" outlineLevel="2" x14ac:dyDescent="0.35">
      <c r="A905" t="s">
        <v>64</v>
      </c>
      <c r="B905" s="1">
        <v>45741</v>
      </c>
      <c r="C905" t="str">
        <f>"30"</f>
        <v>30</v>
      </c>
      <c r="E905" t="str">
        <f>"1321"</f>
        <v>1321</v>
      </c>
      <c r="F905" t="str">
        <f t="shared" si="32"/>
        <v>57110000</v>
      </c>
      <c r="H905" t="s">
        <v>65</v>
      </c>
      <c r="K905" s="4">
        <v>1064000</v>
      </c>
    </row>
    <row r="906" spans="1:11" hidden="1" outlineLevel="2" x14ac:dyDescent="0.35">
      <c r="A906" t="s">
        <v>64</v>
      </c>
      <c r="B906" s="1">
        <v>45744</v>
      </c>
      <c r="C906" t="str">
        <f>"31"</f>
        <v>31</v>
      </c>
      <c r="E906" t="str">
        <f>"1322"</f>
        <v>1322</v>
      </c>
      <c r="F906" t="str">
        <f t="shared" si="32"/>
        <v>57110000</v>
      </c>
      <c r="H906" t="s">
        <v>71</v>
      </c>
      <c r="J906" s="4">
        <v>2149600</v>
      </c>
    </row>
    <row r="907" spans="1:11" hidden="1" outlineLevel="2" x14ac:dyDescent="0.35">
      <c r="A907" t="s">
        <v>64</v>
      </c>
      <c r="B907" s="1">
        <v>45744</v>
      </c>
      <c r="C907" t="str">
        <f>"32"</f>
        <v>32</v>
      </c>
      <c r="E907" t="str">
        <f>"1322"</f>
        <v>1322</v>
      </c>
      <c r="F907" t="str">
        <f t="shared" si="32"/>
        <v>57110000</v>
      </c>
      <c r="H907" t="s">
        <v>71</v>
      </c>
      <c r="K907" s="4">
        <v>2149600</v>
      </c>
    </row>
    <row r="908" spans="1:11" outlineLevel="1" collapsed="1" x14ac:dyDescent="0.35">
      <c r="B908" s="1"/>
      <c r="F908" s="3" t="s">
        <v>6736</v>
      </c>
      <c r="J908" s="4">
        <f>SUBTOTAL(9,J876:J907)</f>
        <v>13929700</v>
      </c>
      <c r="K908" s="4">
        <f>SUBTOTAL(9,K876:K907)</f>
        <v>13929700</v>
      </c>
    </row>
    <row r="909" spans="1:11" hidden="1" outlineLevel="2" x14ac:dyDescent="0.35">
      <c r="A909" t="s">
        <v>26</v>
      </c>
      <c r="B909" s="1">
        <v>45719</v>
      </c>
      <c r="C909" t="str">
        <f>"1"</f>
        <v>1</v>
      </c>
      <c r="D909" t="s">
        <v>27</v>
      </c>
      <c r="E909" t="str">
        <f>"0000036"</f>
        <v>0000036</v>
      </c>
      <c r="F909" t="str">
        <f>"60550000"</f>
        <v>60550000</v>
      </c>
      <c r="H909" t="s">
        <v>29</v>
      </c>
      <c r="J909" s="4">
        <v>750000</v>
      </c>
    </row>
    <row r="910" spans="1:11" outlineLevel="1" collapsed="1" x14ac:dyDescent="0.35">
      <c r="B910" s="1"/>
      <c r="F910" s="3" t="s">
        <v>6737</v>
      </c>
      <c r="J910" s="4">
        <f>SUBTOTAL(9,J909:J909)</f>
        <v>750000</v>
      </c>
      <c r="K910" s="4">
        <f>SUBTOTAL(9,K909:K909)</f>
        <v>0</v>
      </c>
    </row>
    <row r="911" spans="1:11" hidden="1" outlineLevel="2" x14ac:dyDescent="0.35">
      <c r="A911" t="s">
        <v>11</v>
      </c>
      <c r="B911" s="1">
        <v>45717</v>
      </c>
      <c r="C911" t="str">
        <f>"20"</f>
        <v>20</v>
      </c>
      <c r="E911" t="s">
        <v>22</v>
      </c>
      <c r="F911" t="str">
        <f>"62220000"</f>
        <v>62220000</v>
      </c>
      <c r="H911" t="s">
        <v>23</v>
      </c>
      <c r="J911" s="4">
        <v>27168750</v>
      </c>
    </row>
    <row r="912" spans="1:11" outlineLevel="1" collapsed="1" x14ac:dyDescent="0.35">
      <c r="B912" s="1"/>
      <c r="F912" s="3" t="s">
        <v>6629</v>
      </c>
      <c r="J912" s="4">
        <f>SUBTOTAL(9,J911:J911)</f>
        <v>27168750</v>
      </c>
      <c r="K912" s="4">
        <f>SUBTOTAL(9,K911:K911)</f>
        <v>0</v>
      </c>
    </row>
    <row r="913" spans="1:11" hidden="1" outlineLevel="2" x14ac:dyDescent="0.35">
      <c r="A913" t="s">
        <v>11</v>
      </c>
      <c r="B913" s="1">
        <v>45717</v>
      </c>
      <c r="C913" t="str">
        <f>"17"</f>
        <v>17</v>
      </c>
      <c r="E913" t="s">
        <v>16</v>
      </c>
      <c r="F913" t="str">
        <f>"62230000"</f>
        <v>62230000</v>
      </c>
      <c r="H913" t="s">
        <v>17</v>
      </c>
      <c r="J913" s="4">
        <v>7800000</v>
      </c>
    </row>
    <row r="914" spans="1:11" outlineLevel="1" collapsed="1" x14ac:dyDescent="0.35">
      <c r="B914" s="1"/>
      <c r="F914" s="3" t="s">
        <v>6630</v>
      </c>
      <c r="J914" s="4">
        <f>SUBTOTAL(9,J913:J913)</f>
        <v>7800000</v>
      </c>
      <c r="K914" s="4">
        <f>SUBTOTAL(9,K913:K913)</f>
        <v>0</v>
      </c>
    </row>
    <row r="915" spans="1:11" hidden="1" outlineLevel="2" x14ac:dyDescent="0.35">
      <c r="A915" t="s">
        <v>11</v>
      </c>
      <c r="B915" s="1">
        <v>45717</v>
      </c>
      <c r="C915" t="str">
        <f>"15"</f>
        <v>15</v>
      </c>
      <c r="E915" t="s">
        <v>12</v>
      </c>
      <c r="F915" t="str">
        <f>"62530000"</f>
        <v>62530000</v>
      </c>
      <c r="H915" t="s">
        <v>13</v>
      </c>
      <c r="J915" s="4">
        <v>10095</v>
      </c>
    </row>
    <row r="916" spans="1:11" outlineLevel="1" collapsed="1" x14ac:dyDescent="0.35">
      <c r="B916" s="1"/>
      <c r="F916" s="3" t="s">
        <v>6642</v>
      </c>
      <c r="J916" s="4">
        <f>SUBTOTAL(9,J915:J915)</f>
        <v>10095</v>
      </c>
      <c r="K916" s="4">
        <f>SUBTOTAL(9,K915:K915)</f>
        <v>0</v>
      </c>
    </row>
    <row r="917" spans="1:11" hidden="1" outlineLevel="2" x14ac:dyDescent="0.35">
      <c r="A917" t="s">
        <v>11</v>
      </c>
      <c r="B917" s="1">
        <v>45717</v>
      </c>
      <c r="C917" t="str">
        <f>"16"</f>
        <v>16</v>
      </c>
      <c r="E917" t="s">
        <v>14</v>
      </c>
      <c r="F917" t="str">
        <f>"62540000"</f>
        <v>62540000</v>
      </c>
      <c r="H917" t="s">
        <v>15</v>
      </c>
      <c r="J917" s="4">
        <v>269552</v>
      </c>
    </row>
    <row r="918" spans="1:11" outlineLevel="1" collapsed="1" x14ac:dyDescent="0.35">
      <c r="B918" s="1"/>
      <c r="F918" s="3" t="s">
        <v>6644</v>
      </c>
      <c r="J918" s="4">
        <f>SUBTOTAL(9,J917:J917)</f>
        <v>269552</v>
      </c>
      <c r="K918" s="4">
        <f>SUBTOTAL(9,K917:K917)</f>
        <v>0</v>
      </c>
    </row>
    <row r="919" spans="1:11" hidden="1" outlineLevel="2" x14ac:dyDescent="0.35">
      <c r="A919" t="s">
        <v>32</v>
      </c>
      <c r="B919" s="1">
        <v>45737</v>
      </c>
      <c r="C919" t="str">
        <f>"23"</f>
        <v>23</v>
      </c>
      <c r="F919" t="str">
        <f>"63180000"</f>
        <v>63180000</v>
      </c>
      <c r="H919" t="s">
        <v>58</v>
      </c>
      <c r="J919" s="4">
        <v>2200</v>
      </c>
    </row>
    <row r="920" spans="1:11" hidden="1" outlineLevel="2" x14ac:dyDescent="0.35">
      <c r="A920" t="s">
        <v>32</v>
      </c>
      <c r="B920" s="1">
        <v>45747</v>
      </c>
      <c r="C920" t="str">
        <f>"28"</f>
        <v>28</v>
      </c>
      <c r="F920" t="str">
        <f>"63180000"</f>
        <v>63180000</v>
      </c>
      <c r="H920" t="s">
        <v>58</v>
      </c>
      <c r="J920" s="4">
        <v>68659</v>
      </c>
    </row>
    <row r="921" spans="1:11" hidden="1" outlineLevel="2" x14ac:dyDescent="0.35">
      <c r="A921" t="s">
        <v>32</v>
      </c>
      <c r="B921" s="1">
        <v>45747</v>
      </c>
      <c r="C921" t="str">
        <f>"29"</f>
        <v>29</v>
      </c>
      <c r="F921" t="str">
        <f>"63180000"</f>
        <v>63180000</v>
      </c>
      <c r="H921" t="s">
        <v>58</v>
      </c>
      <c r="J921" s="4">
        <v>22000</v>
      </c>
    </row>
    <row r="922" spans="1:11" hidden="1" outlineLevel="2" x14ac:dyDescent="0.35">
      <c r="A922" t="s">
        <v>63</v>
      </c>
      <c r="B922" s="1">
        <v>45717</v>
      </c>
      <c r="C922" t="str">
        <f>"2"</f>
        <v>2</v>
      </c>
      <c r="F922" t="str">
        <f>"63180000"</f>
        <v>63180000</v>
      </c>
      <c r="H922" t="s">
        <v>58</v>
      </c>
      <c r="J922" s="4">
        <v>22000</v>
      </c>
    </row>
    <row r="923" spans="1:11" hidden="1" outlineLevel="2" x14ac:dyDescent="0.35">
      <c r="A923" t="s">
        <v>63</v>
      </c>
      <c r="B923" s="1">
        <v>45744</v>
      </c>
      <c r="C923" t="str">
        <f>"1"</f>
        <v>1</v>
      </c>
      <c r="F923" t="str">
        <f>"63180000"</f>
        <v>63180000</v>
      </c>
      <c r="H923" t="s">
        <v>58</v>
      </c>
      <c r="J923" s="4">
        <v>33000</v>
      </c>
    </row>
    <row r="924" spans="1:11" outlineLevel="1" collapsed="1" x14ac:dyDescent="0.35">
      <c r="B924" s="1"/>
      <c r="F924" s="3" t="s">
        <v>6652</v>
      </c>
      <c r="J924" s="4">
        <f>SUBTOTAL(9,J919:J923)</f>
        <v>147859</v>
      </c>
      <c r="K924" s="4">
        <f>SUBTOTAL(9,K919:K923)</f>
        <v>0</v>
      </c>
    </row>
    <row r="925" spans="1:11" hidden="1" outlineLevel="2" x14ac:dyDescent="0.35">
      <c r="A925" t="s">
        <v>11</v>
      </c>
      <c r="B925" s="1">
        <v>45718</v>
      </c>
      <c r="C925" t="str">
        <f>"21"</f>
        <v>21</v>
      </c>
      <c r="E925" t="s">
        <v>24</v>
      </c>
      <c r="F925" t="str">
        <f>"63240000"</f>
        <v>63240000</v>
      </c>
      <c r="H925" t="s">
        <v>25</v>
      </c>
      <c r="J925" s="4">
        <v>207546</v>
      </c>
    </row>
    <row r="926" spans="1:11" outlineLevel="1" collapsed="1" x14ac:dyDescent="0.35">
      <c r="B926" s="1"/>
      <c r="F926" s="3" t="s">
        <v>6653</v>
      </c>
      <c r="J926" s="4">
        <f>SUBTOTAL(9,J925:J925)</f>
        <v>207546</v>
      </c>
      <c r="K926" s="4">
        <f>SUBTOTAL(9,K925:K925)</f>
        <v>0</v>
      </c>
    </row>
    <row r="927" spans="1:11" hidden="1" outlineLevel="2" x14ac:dyDescent="0.35">
      <c r="A927" t="s">
        <v>101</v>
      </c>
      <c r="B927" s="1">
        <v>45747</v>
      </c>
      <c r="C927" t="str">
        <f>"1"</f>
        <v>1</v>
      </c>
      <c r="F927" t="str">
        <f>"63240100"</f>
        <v>63240100</v>
      </c>
      <c r="H927" t="s">
        <v>113</v>
      </c>
      <c r="J927" s="4">
        <v>10000000</v>
      </c>
    </row>
    <row r="928" spans="1:11" outlineLevel="1" collapsed="1" x14ac:dyDescent="0.35">
      <c r="B928" s="1"/>
      <c r="F928" s="3" t="s">
        <v>6654</v>
      </c>
      <c r="J928" s="4">
        <f>SUBTOTAL(9,J927:J927)</f>
        <v>10000000</v>
      </c>
      <c r="K928" s="4">
        <f>SUBTOTAL(9,K927:K927)</f>
        <v>0</v>
      </c>
    </row>
    <row r="929" spans="1:11" hidden="1" outlineLevel="2" x14ac:dyDescent="0.35">
      <c r="A929" t="s">
        <v>11</v>
      </c>
      <c r="B929" s="1">
        <v>45717</v>
      </c>
      <c r="C929" t="str">
        <f>"18"</f>
        <v>18</v>
      </c>
      <c r="E929" t="s">
        <v>18</v>
      </c>
      <c r="F929" t="str">
        <f>"64120000"</f>
        <v>64120000</v>
      </c>
      <c r="H929" t="s">
        <v>19</v>
      </c>
      <c r="J929" s="4">
        <v>5033155</v>
      </c>
    </row>
    <row r="930" spans="1:11" outlineLevel="1" collapsed="1" x14ac:dyDescent="0.35">
      <c r="B930" s="1"/>
      <c r="F930" s="3" t="s">
        <v>6738</v>
      </c>
      <c r="J930" s="4">
        <f>SUBTOTAL(9,J929:J929)</f>
        <v>5033155</v>
      </c>
      <c r="K930" s="4">
        <f>SUBTOTAL(9,K929:K929)</f>
        <v>0</v>
      </c>
    </row>
    <row r="931" spans="1:11" hidden="1" outlineLevel="2" x14ac:dyDescent="0.35">
      <c r="A931" t="s">
        <v>101</v>
      </c>
      <c r="B931" s="1">
        <v>45747</v>
      </c>
      <c r="C931" t="str">
        <f>"2"</f>
        <v>2</v>
      </c>
      <c r="F931" t="str">
        <f>"64501000"</f>
        <v>64501000</v>
      </c>
      <c r="H931" t="s">
        <v>114</v>
      </c>
      <c r="J931" s="4">
        <v>127764</v>
      </c>
    </row>
    <row r="932" spans="1:11" outlineLevel="1" collapsed="1" x14ac:dyDescent="0.35">
      <c r="B932" s="1"/>
      <c r="F932" s="3" t="s">
        <v>6671</v>
      </c>
      <c r="J932" s="4">
        <f>SUBTOTAL(9,J931:J931)</f>
        <v>127764</v>
      </c>
      <c r="K932" s="4">
        <f>SUBTOTAL(9,K931:K931)</f>
        <v>0</v>
      </c>
    </row>
    <row r="933" spans="1:11" hidden="1" outlineLevel="2" x14ac:dyDescent="0.35">
      <c r="A933" t="s">
        <v>75</v>
      </c>
      <c r="B933" s="1">
        <v>45723</v>
      </c>
      <c r="C933" t="str">
        <f>"1"</f>
        <v>1</v>
      </c>
      <c r="D933" t="s">
        <v>76</v>
      </c>
      <c r="E933" t="s">
        <v>77</v>
      </c>
      <c r="F933" t="str">
        <f t="shared" ref="F933:F944" si="33">"65110200"</f>
        <v>65110200</v>
      </c>
      <c r="H933" t="s">
        <v>78</v>
      </c>
      <c r="J933" s="4">
        <v>14160</v>
      </c>
    </row>
    <row r="934" spans="1:11" hidden="1" outlineLevel="2" x14ac:dyDescent="0.35">
      <c r="A934" t="s">
        <v>75</v>
      </c>
      <c r="B934" s="1">
        <v>45723</v>
      </c>
      <c r="C934" t="str">
        <f>"2"</f>
        <v>2</v>
      </c>
      <c r="D934" t="s">
        <v>79</v>
      </c>
      <c r="E934" t="s">
        <v>80</v>
      </c>
      <c r="F934" t="str">
        <f t="shared" si="33"/>
        <v>65110200</v>
      </c>
      <c r="H934" t="s">
        <v>78</v>
      </c>
      <c r="J934" s="4">
        <v>14160</v>
      </c>
    </row>
    <row r="935" spans="1:11" hidden="1" outlineLevel="2" x14ac:dyDescent="0.35">
      <c r="A935" t="s">
        <v>75</v>
      </c>
      <c r="B935" s="1">
        <v>45723</v>
      </c>
      <c r="C935" t="str">
        <f>"3"</f>
        <v>3</v>
      </c>
      <c r="D935" t="s">
        <v>81</v>
      </c>
      <c r="E935" t="s">
        <v>82</v>
      </c>
      <c r="F935" t="str">
        <f t="shared" si="33"/>
        <v>65110200</v>
      </c>
      <c r="H935" t="s">
        <v>78</v>
      </c>
      <c r="J935" s="4">
        <v>28320</v>
      </c>
    </row>
    <row r="936" spans="1:11" hidden="1" outlineLevel="2" x14ac:dyDescent="0.35">
      <c r="A936" t="s">
        <v>75</v>
      </c>
      <c r="B936" s="1">
        <v>45723</v>
      </c>
      <c r="C936" t="str">
        <f>"4"</f>
        <v>4</v>
      </c>
      <c r="D936" t="s">
        <v>83</v>
      </c>
      <c r="E936" t="s">
        <v>84</v>
      </c>
      <c r="F936" t="str">
        <f t="shared" si="33"/>
        <v>65110200</v>
      </c>
      <c r="H936" t="s">
        <v>78</v>
      </c>
      <c r="J936" s="4">
        <v>14160</v>
      </c>
    </row>
    <row r="937" spans="1:11" hidden="1" outlineLevel="2" x14ac:dyDescent="0.35">
      <c r="A937" t="s">
        <v>75</v>
      </c>
      <c r="B937" s="1">
        <v>45723</v>
      </c>
      <c r="C937" t="str">
        <f>"5"</f>
        <v>5</v>
      </c>
      <c r="D937" t="s">
        <v>85</v>
      </c>
      <c r="E937" t="s">
        <v>86</v>
      </c>
      <c r="F937" t="str">
        <f t="shared" si="33"/>
        <v>65110200</v>
      </c>
      <c r="H937" t="s">
        <v>78</v>
      </c>
      <c r="J937" s="4">
        <v>59000</v>
      </c>
    </row>
    <row r="938" spans="1:11" hidden="1" outlineLevel="2" x14ac:dyDescent="0.35">
      <c r="A938" t="s">
        <v>75</v>
      </c>
      <c r="B938" s="1">
        <v>45723</v>
      </c>
      <c r="C938" t="str">
        <f>"6"</f>
        <v>6</v>
      </c>
      <c r="D938" t="s">
        <v>87</v>
      </c>
      <c r="E938" t="s">
        <v>88</v>
      </c>
      <c r="F938" t="str">
        <f t="shared" si="33"/>
        <v>65110200</v>
      </c>
      <c r="H938" t="s">
        <v>78</v>
      </c>
      <c r="J938" s="4">
        <v>177000</v>
      </c>
    </row>
    <row r="939" spans="1:11" hidden="1" outlineLevel="2" x14ac:dyDescent="0.35">
      <c r="A939" t="s">
        <v>75</v>
      </c>
      <c r="B939" s="1">
        <v>45723</v>
      </c>
      <c r="C939" t="str">
        <f>"7"</f>
        <v>7</v>
      </c>
      <c r="D939" t="s">
        <v>89</v>
      </c>
      <c r="E939" t="s">
        <v>90</v>
      </c>
      <c r="F939" t="str">
        <f t="shared" si="33"/>
        <v>65110200</v>
      </c>
      <c r="H939" t="s">
        <v>78</v>
      </c>
      <c r="J939" s="4">
        <v>28320</v>
      </c>
    </row>
    <row r="940" spans="1:11" hidden="1" outlineLevel="2" x14ac:dyDescent="0.35">
      <c r="A940" t="s">
        <v>75</v>
      </c>
      <c r="B940" s="1">
        <v>45723</v>
      </c>
      <c r="C940" t="str">
        <f>"8"</f>
        <v>8</v>
      </c>
      <c r="D940" t="s">
        <v>91</v>
      </c>
      <c r="E940" t="s">
        <v>92</v>
      </c>
      <c r="F940" t="str">
        <f t="shared" si="33"/>
        <v>65110200</v>
      </c>
      <c r="H940" t="s">
        <v>78</v>
      </c>
      <c r="J940" s="4">
        <v>236000</v>
      </c>
    </row>
    <row r="941" spans="1:11" hidden="1" outlineLevel="2" x14ac:dyDescent="0.35">
      <c r="A941" t="s">
        <v>75</v>
      </c>
      <c r="B941" s="1">
        <v>45723</v>
      </c>
      <c r="C941" t="str">
        <f>"9"</f>
        <v>9</v>
      </c>
      <c r="D941" t="s">
        <v>93</v>
      </c>
      <c r="E941" t="s">
        <v>94</v>
      </c>
      <c r="F941" t="str">
        <f t="shared" si="33"/>
        <v>65110200</v>
      </c>
      <c r="H941" t="s">
        <v>78</v>
      </c>
      <c r="J941" s="4">
        <v>590000</v>
      </c>
    </row>
    <row r="942" spans="1:11" hidden="1" outlineLevel="2" x14ac:dyDescent="0.35">
      <c r="A942" t="s">
        <v>75</v>
      </c>
      <c r="B942" s="1">
        <v>45723</v>
      </c>
      <c r="C942" t="str">
        <f>"10"</f>
        <v>10</v>
      </c>
      <c r="D942" t="s">
        <v>95</v>
      </c>
      <c r="E942" t="s">
        <v>96</v>
      </c>
      <c r="F942" t="str">
        <f t="shared" si="33"/>
        <v>65110200</v>
      </c>
      <c r="H942" t="s">
        <v>78</v>
      </c>
      <c r="J942" s="4">
        <v>236000</v>
      </c>
    </row>
    <row r="943" spans="1:11" hidden="1" outlineLevel="2" x14ac:dyDescent="0.35">
      <c r="A943" t="s">
        <v>75</v>
      </c>
      <c r="B943" s="1">
        <v>45723</v>
      </c>
      <c r="C943" t="str">
        <f>"11"</f>
        <v>11</v>
      </c>
      <c r="D943" t="s">
        <v>97</v>
      </c>
      <c r="E943" t="s">
        <v>98</v>
      </c>
      <c r="F943" t="str">
        <f t="shared" si="33"/>
        <v>65110200</v>
      </c>
      <c r="H943" t="s">
        <v>78</v>
      </c>
      <c r="J943" s="4">
        <v>56640</v>
      </c>
    </row>
    <row r="944" spans="1:11" hidden="1" outlineLevel="2" x14ac:dyDescent="0.35">
      <c r="A944" t="s">
        <v>75</v>
      </c>
      <c r="B944" s="1">
        <v>45723</v>
      </c>
      <c r="C944" t="str">
        <f>"12"</f>
        <v>12</v>
      </c>
      <c r="D944" t="s">
        <v>99</v>
      </c>
      <c r="E944" t="s">
        <v>100</v>
      </c>
      <c r="F944" t="str">
        <f t="shared" si="33"/>
        <v>65110200</v>
      </c>
      <c r="H944" t="s">
        <v>78</v>
      </c>
      <c r="J944" s="4">
        <v>68145</v>
      </c>
    </row>
    <row r="945" spans="1:11" outlineLevel="1" collapsed="1" x14ac:dyDescent="0.35">
      <c r="B945" s="1"/>
      <c r="F945" s="3" t="s">
        <v>6681</v>
      </c>
      <c r="J945" s="4">
        <f>SUBTOTAL(9,J933:J944)</f>
        <v>1521905</v>
      </c>
      <c r="K945" s="4">
        <f>SUBTOTAL(9,K933:K944)</f>
        <v>0</v>
      </c>
    </row>
    <row r="946" spans="1:11" hidden="1" outlineLevel="2" x14ac:dyDescent="0.35">
      <c r="A946" t="s">
        <v>101</v>
      </c>
      <c r="B946" s="1">
        <v>45747</v>
      </c>
      <c r="C946" t="str">
        <f>"3"</f>
        <v>3</v>
      </c>
      <c r="F946" t="str">
        <f>"65810000"</f>
        <v>65810000</v>
      </c>
      <c r="H946" t="s">
        <v>115</v>
      </c>
      <c r="J946" s="4">
        <v>2352941</v>
      </c>
    </row>
    <row r="947" spans="1:11" outlineLevel="1" collapsed="1" x14ac:dyDescent="0.35">
      <c r="B947" s="1"/>
      <c r="F947" s="3" t="s">
        <v>6682</v>
      </c>
      <c r="J947" s="4">
        <f>SUBTOTAL(9,J946:J946)</f>
        <v>2352941</v>
      </c>
      <c r="K947" s="4">
        <f>SUBTOTAL(9,K946:K946)</f>
        <v>0</v>
      </c>
    </row>
    <row r="948" spans="1:11" hidden="1" outlineLevel="2" x14ac:dyDescent="0.35">
      <c r="A948" t="s">
        <v>101</v>
      </c>
      <c r="B948" s="1">
        <v>45747</v>
      </c>
      <c r="C948" t="str">
        <f>"6"</f>
        <v>6</v>
      </c>
      <c r="E948" t="s">
        <v>116</v>
      </c>
      <c r="F948" t="str">
        <f>"68130000"</f>
        <v>68130000</v>
      </c>
      <c r="H948" t="s">
        <v>119</v>
      </c>
      <c r="J948" s="4">
        <v>184412</v>
      </c>
    </row>
    <row r="949" spans="1:11" outlineLevel="1" collapsed="1" x14ac:dyDescent="0.35">
      <c r="B949" s="1"/>
      <c r="F949" s="3" t="s">
        <v>6716</v>
      </c>
      <c r="J949" s="4">
        <f>SUBTOTAL(9,J948:J948)</f>
        <v>184412</v>
      </c>
      <c r="K949" s="4">
        <f>SUBTOTAL(9,K948:K948)</f>
        <v>0</v>
      </c>
    </row>
    <row r="950" spans="1:11" hidden="1" outlineLevel="2" x14ac:dyDescent="0.35">
      <c r="A950" t="s">
        <v>101</v>
      </c>
      <c r="B950" s="1">
        <v>45717</v>
      </c>
      <c r="C950" t="str">
        <f>"8"</f>
        <v>8</v>
      </c>
      <c r="F950" t="str">
        <f t="shared" ref="F950:F1013" si="34">"70610010"</f>
        <v>70610010</v>
      </c>
      <c r="H950" t="s">
        <v>107</v>
      </c>
      <c r="K950" s="4">
        <v>-24235150</v>
      </c>
    </row>
    <row r="951" spans="1:11" hidden="1" outlineLevel="2" x14ac:dyDescent="0.35">
      <c r="A951" t="s">
        <v>101</v>
      </c>
      <c r="B951" s="1">
        <v>45717</v>
      </c>
      <c r="C951" t="str">
        <f>"8"</f>
        <v>8</v>
      </c>
      <c r="F951" t="str">
        <f t="shared" si="34"/>
        <v>70610010</v>
      </c>
      <c r="H951" t="s">
        <v>108</v>
      </c>
      <c r="K951" s="4">
        <v>24232000</v>
      </c>
    </row>
    <row r="952" spans="1:11" hidden="1" outlineLevel="2" x14ac:dyDescent="0.35">
      <c r="A952" t="s">
        <v>101</v>
      </c>
      <c r="B952" s="1">
        <v>45747</v>
      </c>
      <c r="C952" t="str">
        <f>"9"</f>
        <v>9</v>
      </c>
      <c r="F952" t="str">
        <f t="shared" si="34"/>
        <v>70610010</v>
      </c>
      <c r="H952" t="s">
        <v>122</v>
      </c>
      <c r="K952" s="4">
        <v>7846150</v>
      </c>
    </row>
    <row r="953" spans="1:11" hidden="1" outlineLevel="2" x14ac:dyDescent="0.35">
      <c r="A953" t="s">
        <v>101</v>
      </c>
      <c r="B953" s="1">
        <v>45747</v>
      </c>
      <c r="C953" t="str">
        <f>"9"</f>
        <v>9</v>
      </c>
      <c r="F953" t="str">
        <f t="shared" si="34"/>
        <v>70610010</v>
      </c>
      <c r="H953" t="s">
        <v>123</v>
      </c>
      <c r="K953" s="4">
        <v>-32880000</v>
      </c>
    </row>
    <row r="954" spans="1:11" hidden="1" outlineLevel="2" x14ac:dyDescent="0.35">
      <c r="A954" t="s">
        <v>131</v>
      </c>
      <c r="B954" s="1">
        <v>45717</v>
      </c>
      <c r="C954" t="s">
        <v>132</v>
      </c>
      <c r="D954" t="s">
        <v>132</v>
      </c>
      <c r="F954" t="str">
        <f t="shared" si="34"/>
        <v>70610010</v>
      </c>
      <c r="H954" t="s">
        <v>133</v>
      </c>
      <c r="K954" s="4">
        <v>264000</v>
      </c>
    </row>
    <row r="955" spans="1:11" hidden="1" outlineLevel="2" x14ac:dyDescent="0.35">
      <c r="A955" t="s">
        <v>131</v>
      </c>
      <c r="B955" s="1">
        <v>45717</v>
      </c>
      <c r="C955" t="s">
        <v>132</v>
      </c>
      <c r="D955" t="s">
        <v>132</v>
      </c>
      <c r="F955" t="str">
        <f t="shared" si="34"/>
        <v>70610010</v>
      </c>
      <c r="H955" t="s">
        <v>134</v>
      </c>
      <c r="K955" s="4">
        <v>-264000</v>
      </c>
    </row>
    <row r="956" spans="1:11" hidden="1" outlineLevel="2" x14ac:dyDescent="0.35">
      <c r="A956" t="s">
        <v>131</v>
      </c>
      <c r="B956" s="1">
        <v>45717</v>
      </c>
      <c r="C956" t="s">
        <v>135</v>
      </c>
      <c r="D956" t="s">
        <v>135</v>
      </c>
      <c r="F956" t="str">
        <f t="shared" si="34"/>
        <v>70610010</v>
      </c>
      <c r="H956" t="s">
        <v>136</v>
      </c>
      <c r="K956" s="4">
        <v>-264000</v>
      </c>
    </row>
    <row r="957" spans="1:11" hidden="1" outlineLevel="2" x14ac:dyDescent="0.35">
      <c r="A957" t="s">
        <v>131</v>
      </c>
      <c r="B957" s="1">
        <v>45717</v>
      </c>
      <c r="C957" t="s">
        <v>135</v>
      </c>
      <c r="D957" t="s">
        <v>135</v>
      </c>
      <c r="F957" t="str">
        <f t="shared" si="34"/>
        <v>70610010</v>
      </c>
      <c r="H957" t="s">
        <v>137</v>
      </c>
      <c r="K957" s="4">
        <v>264000</v>
      </c>
    </row>
    <row r="958" spans="1:11" hidden="1" outlineLevel="2" x14ac:dyDescent="0.35">
      <c r="A958" t="s">
        <v>131</v>
      </c>
      <c r="B958" s="1">
        <v>45718</v>
      </c>
      <c r="C958" t="s">
        <v>138</v>
      </c>
      <c r="D958" t="s">
        <v>138</v>
      </c>
      <c r="F958" t="str">
        <f t="shared" si="34"/>
        <v>70610010</v>
      </c>
      <c r="H958" t="s">
        <v>139</v>
      </c>
      <c r="I958" s="1">
        <v>45749</v>
      </c>
      <c r="K958" s="4">
        <v>5360000</v>
      </c>
    </row>
    <row r="959" spans="1:11" hidden="1" outlineLevel="2" x14ac:dyDescent="0.35">
      <c r="A959" t="s">
        <v>131</v>
      </c>
      <c r="B959" s="1">
        <v>45718</v>
      </c>
      <c r="C959" t="s">
        <v>140</v>
      </c>
      <c r="D959" t="s">
        <v>140</v>
      </c>
      <c r="F959" t="str">
        <f t="shared" si="34"/>
        <v>70610010</v>
      </c>
      <c r="H959" t="s">
        <v>139</v>
      </c>
      <c r="I959" s="1">
        <v>45749</v>
      </c>
      <c r="K959" s="4">
        <v>5092000</v>
      </c>
    </row>
    <row r="960" spans="1:11" hidden="1" outlineLevel="2" x14ac:dyDescent="0.35">
      <c r="A960" t="s">
        <v>131</v>
      </c>
      <c r="B960" s="1">
        <v>45720</v>
      </c>
      <c r="C960" t="s">
        <v>141</v>
      </c>
      <c r="D960" t="s">
        <v>141</v>
      </c>
      <c r="F960" t="str">
        <f t="shared" si="34"/>
        <v>70610010</v>
      </c>
      <c r="H960" t="s">
        <v>142</v>
      </c>
      <c r="I960" s="1">
        <v>45720</v>
      </c>
      <c r="J960" s="4">
        <v>150000</v>
      </c>
    </row>
    <row r="961" spans="1:11" hidden="1" outlineLevel="2" x14ac:dyDescent="0.35">
      <c r="A961" t="s">
        <v>131</v>
      </c>
      <c r="B961" s="1">
        <v>45720</v>
      </c>
      <c r="C961" t="s">
        <v>143</v>
      </c>
      <c r="D961" t="s">
        <v>143</v>
      </c>
      <c r="F961" t="str">
        <f t="shared" si="34"/>
        <v>70610010</v>
      </c>
      <c r="H961" t="s">
        <v>144</v>
      </c>
      <c r="I961" s="1">
        <v>45720</v>
      </c>
      <c r="K961" s="4">
        <v>132000</v>
      </c>
    </row>
    <row r="962" spans="1:11" hidden="1" outlineLevel="2" x14ac:dyDescent="0.35">
      <c r="A962" t="s">
        <v>131</v>
      </c>
      <c r="B962" s="1">
        <v>45721</v>
      </c>
      <c r="C962" t="s">
        <v>145</v>
      </c>
      <c r="D962" t="s">
        <v>145</v>
      </c>
      <c r="F962" t="str">
        <f t="shared" si="34"/>
        <v>70610010</v>
      </c>
      <c r="H962" t="s">
        <v>146</v>
      </c>
      <c r="I962" s="1">
        <v>45752</v>
      </c>
      <c r="K962" s="4">
        <v>132000</v>
      </c>
    </row>
    <row r="963" spans="1:11" hidden="1" outlineLevel="2" x14ac:dyDescent="0.35">
      <c r="A963" t="s">
        <v>131</v>
      </c>
      <c r="B963" s="1">
        <v>45721</v>
      </c>
      <c r="C963" t="s">
        <v>147</v>
      </c>
      <c r="D963" t="s">
        <v>147</v>
      </c>
      <c r="F963" t="str">
        <f t="shared" si="34"/>
        <v>70610010</v>
      </c>
      <c r="H963" t="s">
        <v>148</v>
      </c>
      <c r="I963" s="1">
        <v>45721</v>
      </c>
      <c r="K963" s="4">
        <v>198000</v>
      </c>
    </row>
    <row r="964" spans="1:11" hidden="1" outlineLevel="2" x14ac:dyDescent="0.35">
      <c r="A964" t="s">
        <v>131</v>
      </c>
      <c r="B964" s="1">
        <v>45721</v>
      </c>
      <c r="C964" t="s">
        <v>149</v>
      </c>
      <c r="D964" t="s">
        <v>149</v>
      </c>
      <c r="F964" t="str">
        <f t="shared" si="34"/>
        <v>70610010</v>
      </c>
      <c r="H964" t="s">
        <v>150</v>
      </c>
      <c r="K964" s="4">
        <v>200000</v>
      </c>
    </row>
    <row r="965" spans="1:11" hidden="1" outlineLevel="2" x14ac:dyDescent="0.35">
      <c r="A965" t="s">
        <v>131</v>
      </c>
      <c r="B965" s="1">
        <v>45721</v>
      </c>
      <c r="C965" t="s">
        <v>151</v>
      </c>
      <c r="D965" t="s">
        <v>151</v>
      </c>
      <c r="F965" t="str">
        <f t="shared" si="34"/>
        <v>70610010</v>
      </c>
      <c r="H965" t="s">
        <v>148</v>
      </c>
      <c r="I965" s="1">
        <v>45721</v>
      </c>
      <c r="K965" s="4">
        <v>200000</v>
      </c>
    </row>
    <row r="966" spans="1:11" hidden="1" outlineLevel="2" x14ac:dyDescent="0.35">
      <c r="A966" t="s">
        <v>131</v>
      </c>
      <c r="B966" s="1">
        <v>45721</v>
      </c>
      <c r="C966" t="s">
        <v>152</v>
      </c>
      <c r="D966" t="s">
        <v>152</v>
      </c>
      <c r="F966" t="str">
        <f t="shared" si="34"/>
        <v>70610010</v>
      </c>
      <c r="H966" t="s">
        <v>153</v>
      </c>
      <c r="K966" s="4">
        <v>1320000</v>
      </c>
    </row>
    <row r="967" spans="1:11" hidden="1" outlineLevel="2" x14ac:dyDescent="0.35">
      <c r="A967" t="s">
        <v>131</v>
      </c>
      <c r="B967" s="1">
        <v>45721</v>
      </c>
      <c r="C967" t="s">
        <v>152</v>
      </c>
      <c r="D967" t="s">
        <v>152</v>
      </c>
      <c r="F967" t="str">
        <f t="shared" si="34"/>
        <v>70610010</v>
      </c>
      <c r="H967" t="s">
        <v>154</v>
      </c>
      <c r="I967" s="1">
        <v>45721</v>
      </c>
      <c r="K967" s="4">
        <v>1320000</v>
      </c>
    </row>
    <row r="968" spans="1:11" hidden="1" outlineLevel="2" x14ac:dyDescent="0.35">
      <c r="A968" t="s">
        <v>131</v>
      </c>
      <c r="B968" s="1">
        <v>45721</v>
      </c>
      <c r="C968" t="s">
        <v>152</v>
      </c>
      <c r="D968" t="s">
        <v>152</v>
      </c>
      <c r="F968" t="str">
        <f t="shared" si="34"/>
        <v>70610010</v>
      </c>
      <c r="H968" t="s">
        <v>155</v>
      </c>
      <c r="I968" s="1">
        <v>45721</v>
      </c>
      <c r="K968" s="4">
        <v>-1320000</v>
      </c>
    </row>
    <row r="969" spans="1:11" hidden="1" outlineLevel="2" x14ac:dyDescent="0.35">
      <c r="A969" t="s">
        <v>131</v>
      </c>
      <c r="B969" s="1">
        <v>45722</v>
      </c>
      <c r="C969" t="s">
        <v>156</v>
      </c>
      <c r="D969" t="s">
        <v>156</v>
      </c>
      <c r="F969" t="str">
        <f t="shared" si="34"/>
        <v>70610010</v>
      </c>
      <c r="H969" t="s">
        <v>157</v>
      </c>
      <c r="I969" s="1">
        <v>45722</v>
      </c>
      <c r="K969" s="4">
        <v>528000</v>
      </c>
    </row>
    <row r="970" spans="1:11" hidden="1" outlineLevel="2" x14ac:dyDescent="0.35">
      <c r="A970" t="s">
        <v>131</v>
      </c>
      <c r="B970" s="1">
        <v>45722</v>
      </c>
      <c r="C970" t="s">
        <v>158</v>
      </c>
      <c r="D970" t="s">
        <v>158</v>
      </c>
      <c r="F970" t="str">
        <f t="shared" si="34"/>
        <v>70610010</v>
      </c>
      <c r="H970" t="s">
        <v>159</v>
      </c>
      <c r="I970" s="1">
        <v>45722</v>
      </c>
      <c r="K970" s="4">
        <v>600000</v>
      </c>
    </row>
    <row r="971" spans="1:11" hidden="1" outlineLevel="2" x14ac:dyDescent="0.35">
      <c r="A971" t="s">
        <v>131</v>
      </c>
      <c r="B971" s="1">
        <v>45722</v>
      </c>
      <c r="C971" t="s">
        <v>160</v>
      </c>
      <c r="D971" t="s">
        <v>160</v>
      </c>
      <c r="F971" t="str">
        <f t="shared" si="34"/>
        <v>70610010</v>
      </c>
      <c r="H971" t="s">
        <v>146</v>
      </c>
      <c r="I971" s="1">
        <v>45753</v>
      </c>
      <c r="K971" s="4">
        <v>132000</v>
      </c>
    </row>
    <row r="972" spans="1:11" hidden="1" outlineLevel="2" x14ac:dyDescent="0.35">
      <c r="A972" t="s">
        <v>131</v>
      </c>
      <c r="B972" s="1">
        <v>45722</v>
      </c>
      <c r="C972" t="s">
        <v>161</v>
      </c>
      <c r="D972" t="s">
        <v>161</v>
      </c>
      <c r="F972" t="str">
        <f t="shared" si="34"/>
        <v>70610010</v>
      </c>
      <c r="H972" t="s">
        <v>146</v>
      </c>
      <c r="I972" s="1">
        <v>45753</v>
      </c>
      <c r="K972" s="4">
        <v>132000</v>
      </c>
    </row>
    <row r="973" spans="1:11" hidden="1" outlineLevel="2" x14ac:dyDescent="0.35">
      <c r="A973" t="s">
        <v>131</v>
      </c>
      <c r="B973" s="1">
        <v>45722</v>
      </c>
      <c r="C973" t="s">
        <v>162</v>
      </c>
      <c r="D973" t="s">
        <v>162</v>
      </c>
      <c r="F973" t="str">
        <f t="shared" si="34"/>
        <v>70610010</v>
      </c>
      <c r="H973" t="s">
        <v>163</v>
      </c>
      <c r="I973" s="1">
        <v>45777</v>
      </c>
      <c r="K973" s="4">
        <v>66000</v>
      </c>
    </row>
    <row r="974" spans="1:11" hidden="1" outlineLevel="2" x14ac:dyDescent="0.35">
      <c r="A974" t="s">
        <v>131</v>
      </c>
      <c r="B974" s="1">
        <v>45722</v>
      </c>
      <c r="C974" t="s">
        <v>164</v>
      </c>
      <c r="D974" t="s">
        <v>164</v>
      </c>
      <c r="F974" t="str">
        <f t="shared" si="34"/>
        <v>70610010</v>
      </c>
      <c r="H974" t="s">
        <v>165</v>
      </c>
      <c r="I974" s="1">
        <v>45722</v>
      </c>
      <c r="K974" s="4">
        <v>201000</v>
      </c>
    </row>
    <row r="975" spans="1:11" hidden="1" outlineLevel="2" x14ac:dyDescent="0.35">
      <c r="A975" t="s">
        <v>131</v>
      </c>
      <c r="B975" s="1">
        <v>45722</v>
      </c>
      <c r="C975" t="s">
        <v>166</v>
      </c>
      <c r="D975" t="s">
        <v>166</v>
      </c>
      <c r="F975" t="str">
        <f t="shared" si="34"/>
        <v>70610010</v>
      </c>
      <c r="H975" t="s">
        <v>167</v>
      </c>
      <c r="I975" s="1">
        <v>45722</v>
      </c>
      <c r="K975" s="4">
        <v>132000</v>
      </c>
    </row>
    <row r="976" spans="1:11" hidden="1" outlineLevel="2" x14ac:dyDescent="0.35">
      <c r="A976" t="s">
        <v>131</v>
      </c>
      <c r="B976" s="1">
        <v>45722</v>
      </c>
      <c r="C976" t="s">
        <v>168</v>
      </c>
      <c r="D976" t="s">
        <v>168</v>
      </c>
      <c r="F976" t="str">
        <f t="shared" si="34"/>
        <v>70610010</v>
      </c>
      <c r="H976" t="s">
        <v>144</v>
      </c>
      <c r="I976" s="1">
        <v>45722</v>
      </c>
      <c r="K976" s="4">
        <v>132000</v>
      </c>
    </row>
    <row r="977" spans="1:11" hidden="1" outlineLevel="2" x14ac:dyDescent="0.35">
      <c r="A977" t="s">
        <v>131</v>
      </c>
      <c r="B977" s="1">
        <v>45723</v>
      </c>
      <c r="C977" t="s">
        <v>169</v>
      </c>
      <c r="D977" t="s">
        <v>169</v>
      </c>
      <c r="F977" t="str">
        <f t="shared" si="34"/>
        <v>70610010</v>
      </c>
      <c r="H977" t="s">
        <v>170</v>
      </c>
      <c r="I977" s="1">
        <v>45752</v>
      </c>
      <c r="K977" s="4">
        <v>1584000</v>
      </c>
    </row>
    <row r="978" spans="1:11" hidden="1" outlineLevel="2" x14ac:dyDescent="0.35">
      <c r="A978" t="s">
        <v>131</v>
      </c>
      <c r="B978" s="1">
        <v>45723</v>
      </c>
      <c r="C978" t="s">
        <v>171</v>
      </c>
      <c r="D978" t="s">
        <v>171</v>
      </c>
      <c r="F978" t="str">
        <f t="shared" si="34"/>
        <v>70610010</v>
      </c>
      <c r="H978" t="s">
        <v>159</v>
      </c>
      <c r="I978" s="1">
        <v>45723</v>
      </c>
      <c r="K978" s="4">
        <v>600000</v>
      </c>
    </row>
    <row r="979" spans="1:11" hidden="1" outlineLevel="2" x14ac:dyDescent="0.35">
      <c r="A979" t="s">
        <v>131</v>
      </c>
      <c r="B979" s="1">
        <v>45723</v>
      </c>
      <c r="C979" t="s">
        <v>172</v>
      </c>
      <c r="D979" t="s">
        <v>172</v>
      </c>
      <c r="F979" t="str">
        <f t="shared" si="34"/>
        <v>70610010</v>
      </c>
      <c r="H979" t="s">
        <v>146</v>
      </c>
      <c r="I979" s="1">
        <v>45754</v>
      </c>
      <c r="K979" s="4">
        <v>132000</v>
      </c>
    </row>
    <row r="980" spans="1:11" hidden="1" outlineLevel="2" x14ac:dyDescent="0.35">
      <c r="A980" t="s">
        <v>131</v>
      </c>
      <c r="B980" s="1">
        <v>45723</v>
      </c>
      <c r="C980" t="s">
        <v>173</v>
      </c>
      <c r="D980" t="s">
        <v>173</v>
      </c>
      <c r="F980" t="str">
        <f t="shared" si="34"/>
        <v>70610010</v>
      </c>
      <c r="H980" t="s">
        <v>146</v>
      </c>
      <c r="I980" s="1">
        <v>45754</v>
      </c>
      <c r="K980" s="4">
        <v>200000</v>
      </c>
    </row>
    <row r="981" spans="1:11" hidden="1" outlineLevel="2" x14ac:dyDescent="0.35">
      <c r="A981" t="s">
        <v>131</v>
      </c>
      <c r="B981" s="1">
        <v>45723</v>
      </c>
      <c r="C981" t="s">
        <v>174</v>
      </c>
      <c r="D981" t="s">
        <v>174</v>
      </c>
      <c r="F981" t="str">
        <f t="shared" si="34"/>
        <v>70610010</v>
      </c>
      <c r="H981" t="s">
        <v>175</v>
      </c>
      <c r="I981" s="1">
        <v>45754</v>
      </c>
      <c r="K981" s="4">
        <v>1320000</v>
      </c>
    </row>
    <row r="982" spans="1:11" hidden="1" outlineLevel="2" x14ac:dyDescent="0.35">
      <c r="A982" t="s">
        <v>131</v>
      </c>
      <c r="B982" s="1">
        <v>45726</v>
      </c>
      <c r="C982" t="s">
        <v>176</v>
      </c>
      <c r="D982" t="s">
        <v>176</v>
      </c>
      <c r="F982" t="str">
        <f t="shared" si="34"/>
        <v>70610010</v>
      </c>
      <c r="H982" t="s">
        <v>144</v>
      </c>
      <c r="I982" s="1">
        <v>45726</v>
      </c>
      <c r="K982" s="4">
        <v>528000</v>
      </c>
    </row>
    <row r="983" spans="1:11" hidden="1" outlineLevel="2" x14ac:dyDescent="0.35">
      <c r="A983" t="s">
        <v>131</v>
      </c>
      <c r="B983" s="1">
        <v>45726</v>
      </c>
      <c r="C983" t="s">
        <v>177</v>
      </c>
      <c r="D983" t="s">
        <v>177</v>
      </c>
      <c r="F983" t="str">
        <f t="shared" si="34"/>
        <v>70610010</v>
      </c>
      <c r="H983" t="s">
        <v>159</v>
      </c>
      <c r="I983" s="1">
        <v>45757</v>
      </c>
      <c r="K983" s="4">
        <v>201000</v>
      </c>
    </row>
    <row r="984" spans="1:11" hidden="1" outlineLevel="2" x14ac:dyDescent="0.35">
      <c r="A984" t="s">
        <v>131</v>
      </c>
      <c r="B984" s="1">
        <v>45726</v>
      </c>
      <c r="C984" t="s">
        <v>178</v>
      </c>
      <c r="D984" t="s">
        <v>178</v>
      </c>
      <c r="F984" t="str">
        <f t="shared" si="34"/>
        <v>70610010</v>
      </c>
      <c r="H984" t="s">
        <v>148</v>
      </c>
      <c r="I984" s="1">
        <v>45726</v>
      </c>
      <c r="K984" s="4">
        <v>360000</v>
      </c>
    </row>
    <row r="985" spans="1:11" hidden="1" outlineLevel="2" x14ac:dyDescent="0.35">
      <c r="A985" t="s">
        <v>131</v>
      </c>
      <c r="B985" s="1">
        <v>45726</v>
      </c>
      <c r="C985" t="s">
        <v>179</v>
      </c>
      <c r="D985" t="s">
        <v>179</v>
      </c>
      <c r="F985" t="str">
        <f t="shared" si="34"/>
        <v>70610010</v>
      </c>
      <c r="H985" t="s">
        <v>180</v>
      </c>
      <c r="I985" s="1">
        <v>45757</v>
      </c>
      <c r="K985" s="4">
        <v>1876000</v>
      </c>
    </row>
    <row r="986" spans="1:11" hidden="1" outlineLevel="2" x14ac:dyDescent="0.35">
      <c r="A986" t="s">
        <v>131</v>
      </c>
      <c r="B986" s="1">
        <v>45726</v>
      </c>
      <c r="C986" t="s">
        <v>181</v>
      </c>
      <c r="D986" t="s">
        <v>181</v>
      </c>
      <c r="F986" t="str">
        <f t="shared" si="34"/>
        <v>70610010</v>
      </c>
      <c r="H986" t="s">
        <v>180</v>
      </c>
      <c r="I986" s="1">
        <v>45757</v>
      </c>
      <c r="K986" s="4">
        <v>1876000</v>
      </c>
    </row>
    <row r="987" spans="1:11" hidden="1" outlineLevel="2" x14ac:dyDescent="0.35">
      <c r="A987" t="s">
        <v>131</v>
      </c>
      <c r="B987" s="1">
        <v>45726</v>
      </c>
      <c r="C987" t="s">
        <v>182</v>
      </c>
      <c r="D987" t="s">
        <v>182</v>
      </c>
      <c r="F987" t="str">
        <f t="shared" si="34"/>
        <v>70610010</v>
      </c>
      <c r="H987" t="s">
        <v>183</v>
      </c>
      <c r="I987" s="1">
        <v>45726</v>
      </c>
      <c r="K987" s="4">
        <v>198000</v>
      </c>
    </row>
    <row r="988" spans="1:11" hidden="1" outlineLevel="2" x14ac:dyDescent="0.35">
      <c r="A988" t="s">
        <v>131</v>
      </c>
      <c r="B988" s="1">
        <v>45727</v>
      </c>
      <c r="C988" t="s">
        <v>184</v>
      </c>
      <c r="D988" t="s">
        <v>184</v>
      </c>
      <c r="F988" t="str">
        <f t="shared" si="34"/>
        <v>70610010</v>
      </c>
      <c r="H988" t="s">
        <v>185</v>
      </c>
      <c r="I988" s="1">
        <v>45727</v>
      </c>
      <c r="J988" s="4">
        <v>132000</v>
      </c>
    </row>
    <row r="989" spans="1:11" hidden="1" outlineLevel="2" x14ac:dyDescent="0.35">
      <c r="A989" t="s">
        <v>131</v>
      </c>
      <c r="B989" s="1">
        <v>45727</v>
      </c>
      <c r="C989" t="s">
        <v>186</v>
      </c>
      <c r="D989" t="s">
        <v>186</v>
      </c>
      <c r="F989" t="str">
        <f t="shared" si="34"/>
        <v>70610010</v>
      </c>
      <c r="H989" t="s">
        <v>154</v>
      </c>
      <c r="I989" s="1">
        <v>45727</v>
      </c>
      <c r="K989" s="4">
        <v>2310000</v>
      </c>
    </row>
    <row r="990" spans="1:11" hidden="1" outlineLevel="2" x14ac:dyDescent="0.35">
      <c r="A990" t="s">
        <v>131</v>
      </c>
      <c r="B990" s="1">
        <v>45727</v>
      </c>
      <c r="C990" t="s">
        <v>187</v>
      </c>
      <c r="D990" t="s">
        <v>187</v>
      </c>
      <c r="F990" t="str">
        <f t="shared" si="34"/>
        <v>70610010</v>
      </c>
      <c r="H990" t="s">
        <v>188</v>
      </c>
      <c r="I990" s="1">
        <v>45727</v>
      </c>
      <c r="K990" s="4">
        <v>300000</v>
      </c>
    </row>
    <row r="991" spans="1:11" hidden="1" outlineLevel="2" x14ac:dyDescent="0.35">
      <c r="A991" t="s">
        <v>131</v>
      </c>
      <c r="B991" s="1">
        <v>45727</v>
      </c>
      <c r="C991" t="s">
        <v>189</v>
      </c>
      <c r="D991" t="s">
        <v>189</v>
      </c>
      <c r="F991" t="str">
        <f t="shared" si="34"/>
        <v>70610010</v>
      </c>
      <c r="H991" t="s">
        <v>188</v>
      </c>
      <c r="I991" s="1">
        <v>45727</v>
      </c>
      <c r="K991" s="4">
        <v>150000</v>
      </c>
    </row>
    <row r="992" spans="1:11" hidden="1" outlineLevel="2" x14ac:dyDescent="0.35">
      <c r="A992" t="s">
        <v>131</v>
      </c>
      <c r="B992" s="1">
        <v>45727</v>
      </c>
      <c r="C992" t="s">
        <v>190</v>
      </c>
      <c r="D992" t="s">
        <v>190</v>
      </c>
      <c r="F992" t="str">
        <f t="shared" si="34"/>
        <v>70610010</v>
      </c>
      <c r="H992" t="s">
        <v>159</v>
      </c>
      <c r="I992" s="1">
        <v>45758</v>
      </c>
      <c r="K992" s="4">
        <v>536000</v>
      </c>
    </row>
    <row r="993" spans="1:11" hidden="1" outlineLevel="2" x14ac:dyDescent="0.35">
      <c r="A993" t="s">
        <v>131</v>
      </c>
      <c r="B993" s="1">
        <v>45727</v>
      </c>
      <c r="C993" t="s">
        <v>191</v>
      </c>
      <c r="D993" t="s">
        <v>191</v>
      </c>
      <c r="F993" t="str">
        <f t="shared" si="34"/>
        <v>70610010</v>
      </c>
      <c r="H993" t="s">
        <v>163</v>
      </c>
      <c r="I993" s="1">
        <v>45777</v>
      </c>
      <c r="K993" s="4">
        <v>396000</v>
      </c>
    </row>
    <row r="994" spans="1:11" hidden="1" outlineLevel="2" x14ac:dyDescent="0.35">
      <c r="A994" t="s">
        <v>131</v>
      </c>
      <c r="B994" s="1">
        <v>45727</v>
      </c>
      <c r="C994" t="s">
        <v>192</v>
      </c>
      <c r="D994" t="s">
        <v>192</v>
      </c>
      <c r="F994" t="str">
        <f t="shared" si="34"/>
        <v>70610010</v>
      </c>
      <c r="H994" t="s">
        <v>163</v>
      </c>
      <c r="I994" s="1">
        <v>45777</v>
      </c>
      <c r="K994" s="4">
        <v>132000</v>
      </c>
    </row>
    <row r="995" spans="1:11" hidden="1" outlineLevel="2" x14ac:dyDescent="0.35">
      <c r="A995" t="s">
        <v>131</v>
      </c>
      <c r="B995" s="1">
        <v>45727</v>
      </c>
      <c r="C995" t="s">
        <v>193</v>
      </c>
      <c r="D995" t="s">
        <v>193</v>
      </c>
      <c r="F995" t="str">
        <f t="shared" si="34"/>
        <v>70610010</v>
      </c>
      <c r="H995" t="s">
        <v>167</v>
      </c>
      <c r="I995" s="1">
        <v>45727</v>
      </c>
      <c r="K995" s="4">
        <v>132000</v>
      </c>
    </row>
    <row r="996" spans="1:11" hidden="1" outlineLevel="2" x14ac:dyDescent="0.35">
      <c r="A996" t="s">
        <v>131</v>
      </c>
      <c r="B996" s="1">
        <v>45728</v>
      </c>
      <c r="C996" t="s">
        <v>194</v>
      </c>
      <c r="D996" t="s">
        <v>194</v>
      </c>
      <c r="F996" t="str">
        <f t="shared" si="34"/>
        <v>70610010</v>
      </c>
      <c r="H996" t="s">
        <v>195</v>
      </c>
      <c r="I996" s="1">
        <v>45728</v>
      </c>
      <c r="K996" s="4">
        <v>396000</v>
      </c>
    </row>
    <row r="997" spans="1:11" hidden="1" outlineLevel="2" x14ac:dyDescent="0.35">
      <c r="A997" t="s">
        <v>131</v>
      </c>
      <c r="B997" s="1">
        <v>45728</v>
      </c>
      <c r="C997" t="s">
        <v>196</v>
      </c>
      <c r="D997" t="s">
        <v>196</v>
      </c>
      <c r="F997" t="str">
        <f t="shared" si="34"/>
        <v>70610010</v>
      </c>
      <c r="H997" t="s">
        <v>195</v>
      </c>
      <c r="I997" s="1">
        <v>45728</v>
      </c>
      <c r="K997" s="4">
        <v>198000</v>
      </c>
    </row>
    <row r="998" spans="1:11" hidden="1" outlineLevel="2" x14ac:dyDescent="0.35">
      <c r="A998" t="s">
        <v>131</v>
      </c>
      <c r="B998" s="1">
        <v>45728</v>
      </c>
      <c r="C998" t="s">
        <v>197</v>
      </c>
      <c r="D998" t="s">
        <v>197</v>
      </c>
      <c r="F998" t="str">
        <f t="shared" si="34"/>
        <v>70610010</v>
      </c>
      <c r="H998" t="s">
        <v>148</v>
      </c>
      <c r="I998" s="1">
        <v>45728</v>
      </c>
      <c r="K998" s="4">
        <v>180000</v>
      </c>
    </row>
    <row r="999" spans="1:11" hidden="1" outlineLevel="2" x14ac:dyDescent="0.35">
      <c r="A999" t="s">
        <v>131</v>
      </c>
      <c r="B999" s="1">
        <v>45728</v>
      </c>
      <c r="C999" t="s">
        <v>198</v>
      </c>
      <c r="D999" t="s">
        <v>198</v>
      </c>
      <c r="F999" t="str">
        <f t="shared" si="34"/>
        <v>70610010</v>
      </c>
      <c r="H999" t="s">
        <v>148</v>
      </c>
      <c r="I999" s="1">
        <v>45728</v>
      </c>
      <c r="K999" s="4">
        <v>180000</v>
      </c>
    </row>
    <row r="1000" spans="1:11" hidden="1" outlineLevel="2" x14ac:dyDescent="0.35">
      <c r="A1000" t="s">
        <v>131</v>
      </c>
      <c r="B1000" s="1">
        <v>45728</v>
      </c>
      <c r="C1000" t="s">
        <v>199</v>
      </c>
      <c r="D1000" t="s">
        <v>199</v>
      </c>
      <c r="F1000" t="str">
        <f t="shared" si="34"/>
        <v>70610010</v>
      </c>
      <c r="H1000" t="s">
        <v>148</v>
      </c>
      <c r="I1000" s="1">
        <v>45728</v>
      </c>
      <c r="K1000" s="4">
        <v>323850</v>
      </c>
    </row>
    <row r="1001" spans="1:11" hidden="1" outlineLevel="2" x14ac:dyDescent="0.35">
      <c r="A1001" t="s">
        <v>131</v>
      </c>
      <c r="B1001" s="1">
        <v>45728</v>
      </c>
      <c r="C1001" t="s">
        <v>200</v>
      </c>
      <c r="D1001" t="s">
        <v>200</v>
      </c>
      <c r="F1001" t="str">
        <f t="shared" si="34"/>
        <v>70610010</v>
      </c>
      <c r="H1001" t="s">
        <v>148</v>
      </c>
      <c r="I1001" s="1">
        <v>45728</v>
      </c>
      <c r="K1001" s="4">
        <v>180000</v>
      </c>
    </row>
    <row r="1002" spans="1:11" hidden="1" outlineLevel="2" x14ac:dyDescent="0.35">
      <c r="A1002" t="s">
        <v>131</v>
      </c>
      <c r="B1002" s="1">
        <v>45728</v>
      </c>
      <c r="C1002" t="s">
        <v>201</v>
      </c>
      <c r="D1002" t="s">
        <v>201</v>
      </c>
      <c r="F1002" t="str">
        <f t="shared" si="34"/>
        <v>70610010</v>
      </c>
      <c r="H1002" t="s">
        <v>148</v>
      </c>
      <c r="I1002" s="1">
        <v>45728</v>
      </c>
      <c r="K1002" s="4">
        <v>1260000</v>
      </c>
    </row>
    <row r="1003" spans="1:11" hidden="1" outlineLevel="2" x14ac:dyDescent="0.35">
      <c r="A1003" t="s">
        <v>131</v>
      </c>
      <c r="B1003" s="1">
        <v>45728</v>
      </c>
      <c r="C1003" t="s">
        <v>202</v>
      </c>
      <c r="D1003" t="s">
        <v>202</v>
      </c>
      <c r="F1003" t="str">
        <f t="shared" si="34"/>
        <v>70610010</v>
      </c>
      <c r="H1003" t="s">
        <v>203</v>
      </c>
      <c r="I1003" s="1">
        <v>45728</v>
      </c>
      <c r="K1003" s="4">
        <v>99000</v>
      </c>
    </row>
    <row r="1004" spans="1:11" hidden="1" outlineLevel="2" x14ac:dyDescent="0.35">
      <c r="A1004" t="s">
        <v>131</v>
      </c>
      <c r="B1004" s="1">
        <v>45728</v>
      </c>
      <c r="C1004" t="s">
        <v>204</v>
      </c>
      <c r="D1004" t="s">
        <v>204</v>
      </c>
      <c r="F1004" t="str">
        <f t="shared" si="34"/>
        <v>70610010</v>
      </c>
      <c r="H1004" t="s">
        <v>139</v>
      </c>
      <c r="I1004" s="1">
        <v>45728</v>
      </c>
      <c r="K1004" s="4">
        <v>600000</v>
      </c>
    </row>
    <row r="1005" spans="1:11" hidden="1" outlineLevel="2" x14ac:dyDescent="0.35">
      <c r="A1005" t="s">
        <v>131</v>
      </c>
      <c r="B1005" s="1">
        <v>45728</v>
      </c>
      <c r="C1005" t="s">
        <v>205</v>
      </c>
      <c r="D1005" t="s">
        <v>205</v>
      </c>
      <c r="F1005" t="str">
        <f t="shared" si="34"/>
        <v>70610010</v>
      </c>
      <c r="H1005" t="s">
        <v>139</v>
      </c>
      <c r="I1005" s="1">
        <v>45759</v>
      </c>
      <c r="K1005" s="4">
        <v>1072000</v>
      </c>
    </row>
    <row r="1006" spans="1:11" hidden="1" outlineLevel="2" x14ac:dyDescent="0.35">
      <c r="A1006" t="s">
        <v>131</v>
      </c>
      <c r="B1006" s="1">
        <v>45729</v>
      </c>
      <c r="C1006" t="s">
        <v>206</v>
      </c>
      <c r="D1006" t="s">
        <v>206</v>
      </c>
      <c r="F1006" t="str">
        <f t="shared" si="34"/>
        <v>70610010</v>
      </c>
      <c r="H1006" t="s">
        <v>207</v>
      </c>
      <c r="I1006" s="1">
        <v>45729</v>
      </c>
      <c r="K1006" s="4">
        <v>264000</v>
      </c>
    </row>
    <row r="1007" spans="1:11" hidden="1" outlineLevel="2" x14ac:dyDescent="0.35">
      <c r="A1007" t="s">
        <v>131</v>
      </c>
      <c r="B1007" s="1">
        <v>45729</v>
      </c>
      <c r="C1007" t="s">
        <v>208</v>
      </c>
      <c r="D1007" t="s">
        <v>208</v>
      </c>
      <c r="F1007" t="str">
        <f t="shared" si="34"/>
        <v>70610010</v>
      </c>
      <c r="H1007" t="s">
        <v>144</v>
      </c>
      <c r="I1007" s="1">
        <v>45729</v>
      </c>
      <c r="K1007" s="4">
        <v>132000</v>
      </c>
    </row>
    <row r="1008" spans="1:11" hidden="1" outlineLevel="2" x14ac:dyDescent="0.35">
      <c r="A1008" t="s">
        <v>131</v>
      </c>
      <c r="B1008" s="1">
        <v>45729</v>
      </c>
      <c r="C1008" t="s">
        <v>209</v>
      </c>
      <c r="D1008" t="s">
        <v>209</v>
      </c>
      <c r="F1008" t="str">
        <f t="shared" si="34"/>
        <v>70610010</v>
      </c>
      <c r="H1008" t="s">
        <v>170</v>
      </c>
      <c r="I1008" s="1">
        <v>45752</v>
      </c>
      <c r="K1008" s="4">
        <v>594000</v>
      </c>
    </row>
    <row r="1009" spans="1:11" hidden="1" outlineLevel="2" x14ac:dyDescent="0.35">
      <c r="A1009" t="s">
        <v>131</v>
      </c>
      <c r="B1009" s="1">
        <v>45729</v>
      </c>
      <c r="C1009" t="s">
        <v>210</v>
      </c>
      <c r="D1009" t="s">
        <v>210</v>
      </c>
      <c r="F1009" t="str">
        <f t="shared" si="34"/>
        <v>70610010</v>
      </c>
      <c r="H1009" t="s">
        <v>139</v>
      </c>
      <c r="I1009" s="1">
        <v>45760</v>
      </c>
      <c r="K1009" s="4">
        <v>5360000</v>
      </c>
    </row>
    <row r="1010" spans="1:11" hidden="1" outlineLevel="2" x14ac:dyDescent="0.35">
      <c r="A1010" t="s">
        <v>131</v>
      </c>
      <c r="B1010" s="1">
        <v>45729</v>
      </c>
      <c r="C1010" t="s">
        <v>211</v>
      </c>
      <c r="D1010" t="s">
        <v>211</v>
      </c>
      <c r="F1010" t="str">
        <f t="shared" si="34"/>
        <v>70610010</v>
      </c>
      <c r="H1010" t="s">
        <v>139</v>
      </c>
      <c r="I1010" s="1">
        <v>45760</v>
      </c>
      <c r="K1010" s="4">
        <v>5092000</v>
      </c>
    </row>
    <row r="1011" spans="1:11" hidden="1" outlineLevel="2" x14ac:dyDescent="0.35">
      <c r="A1011" t="s">
        <v>131</v>
      </c>
      <c r="B1011" s="1">
        <v>45729</v>
      </c>
      <c r="C1011" t="s">
        <v>212</v>
      </c>
      <c r="D1011" t="s">
        <v>212</v>
      </c>
      <c r="F1011" t="str">
        <f t="shared" si="34"/>
        <v>70610010</v>
      </c>
      <c r="H1011" t="s">
        <v>148</v>
      </c>
      <c r="I1011" s="1">
        <v>45729</v>
      </c>
      <c r="K1011" s="4">
        <v>2160000</v>
      </c>
    </row>
    <row r="1012" spans="1:11" hidden="1" outlineLevel="2" x14ac:dyDescent="0.35">
      <c r="A1012" t="s">
        <v>131</v>
      </c>
      <c r="B1012" s="1">
        <v>45730</v>
      </c>
      <c r="C1012" t="s">
        <v>213</v>
      </c>
      <c r="D1012" t="s">
        <v>213</v>
      </c>
      <c r="F1012" t="str">
        <f t="shared" si="34"/>
        <v>70610010</v>
      </c>
      <c r="H1012" t="s">
        <v>167</v>
      </c>
      <c r="I1012" s="1">
        <v>45730</v>
      </c>
      <c r="K1012" s="4">
        <v>132000</v>
      </c>
    </row>
    <row r="1013" spans="1:11" hidden="1" outlineLevel="2" x14ac:dyDescent="0.35">
      <c r="A1013" t="s">
        <v>131</v>
      </c>
      <c r="B1013" s="1">
        <v>45730</v>
      </c>
      <c r="C1013" t="s">
        <v>214</v>
      </c>
      <c r="D1013" t="s">
        <v>214</v>
      </c>
      <c r="F1013" t="str">
        <f t="shared" si="34"/>
        <v>70610010</v>
      </c>
      <c r="H1013" t="s">
        <v>167</v>
      </c>
      <c r="I1013" s="1">
        <v>45730</v>
      </c>
      <c r="K1013" s="4">
        <v>132000</v>
      </c>
    </row>
    <row r="1014" spans="1:11" hidden="1" outlineLevel="2" x14ac:dyDescent="0.35">
      <c r="A1014" t="s">
        <v>131</v>
      </c>
      <c r="B1014" s="1">
        <v>45730</v>
      </c>
      <c r="C1014" t="s">
        <v>215</v>
      </c>
      <c r="D1014" t="s">
        <v>215</v>
      </c>
      <c r="F1014" t="str">
        <f t="shared" ref="F1014:F1077" si="35">"70610010"</f>
        <v>70610010</v>
      </c>
      <c r="H1014" t="s">
        <v>167</v>
      </c>
      <c r="I1014" s="1">
        <v>45730</v>
      </c>
      <c r="K1014" s="4">
        <v>132000</v>
      </c>
    </row>
    <row r="1015" spans="1:11" hidden="1" outlineLevel="2" x14ac:dyDescent="0.35">
      <c r="A1015" t="s">
        <v>131</v>
      </c>
      <c r="B1015" s="1">
        <v>45730</v>
      </c>
      <c r="C1015" t="s">
        <v>216</v>
      </c>
      <c r="D1015" t="s">
        <v>216</v>
      </c>
      <c r="F1015" t="str">
        <f t="shared" si="35"/>
        <v>70610010</v>
      </c>
      <c r="H1015" t="s">
        <v>217</v>
      </c>
      <c r="I1015" s="1">
        <v>45730</v>
      </c>
      <c r="K1015" s="4">
        <v>132000</v>
      </c>
    </row>
    <row r="1016" spans="1:11" hidden="1" outlineLevel="2" x14ac:dyDescent="0.35">
      <c r="A1016" t="s">
        <v>131</v>
      </c>
      <c r="B1016" s="1">
        <v>45730</v>
      </c>
      <c r="C1016" t="s">
        <v>218</v>
      </c>
      <c r="D1016" t="s">
        <v>218</v>
      </c>
      <c r="F1016" t="str">
        <f t="shared" si="35"/>
        <v>70610010</v>
      </c>
      <c r="H1016" t="s">
        <v>219</v>
      </c>
      <c r="I1016" s="1">
        <v>45730</v>
      </c>
      <c r="K1016" s="4">
        <v>132000</v>
      </c>
    </row>
    <row r="1017" spans="1:11" hidden="1" outlineLevel="2" x14ac:dyDescent="0.35">
      <c r="A1017" t="s">
        <v>131</v>
      </c>
      <c r="B1017" s="1">
        <v>45730</v>
      </c>
      <c r="C1017" t="s">
        <v>220</v>
      </c>
      <c r="D1017" t="s">
        <v>220</v>
      </c>
      <c r="F1017" t="str">
        <f t="shared" si="35"/>
        <v>70610010</v>
      </c>
      <c r="H1017" t="s">
        <v>219</v>
      </c>
      <c r="I1017" s="1">
        <v>45730</v>
      </c>
      <c r="K1017" s="4">
        <v>264000</v>
      </c>
    </row>
    <row r="1018" spans="1:11" hidden="1" outlineLevel="2" x14ac:dyDescent="0.35">
      <c r="A1018" t="s">
        <v>131</v>
      </c>
      <c r="B1018" s="1">
        <v>45730</v>
      </c>
      <c r="C1018" t="s">
        <v>221</v>
      </c>
      <c r="D1018" t="s">
        <v>221</v>
      </c>
      <c r="F1018" t="str">
        <f t="shared" si="35"/>
        <v>70610010</v>
      </c>
      <c r="H1018" t="s">
        <v>159</v>
      </c>
      <c r="I1018" s="1">
        <v>45730</v>
      </c>
      <c r="K1018" s="4">
        <v>498000</v>
      </c>
    </row>
    <row r="1019" spans="1:11" hidden="1" outlineLevel="2" x14ac:dyDescent="0.35">
      <c r="A1019" t="s">
        <v>131</v>
      </c>
      <c r="B1019" s="1">
        <v>45730</v>
      </c>
      <c r="C1019" t="s">
        <v>222</v>
      </c>
      <c r="D1019" t="s">
        <v>222</v>
      </c>
      <c r="F1019" t="str">
        <f t="shared" si="35"/>
        <v>70610010</v>
      </c>
      <c r="H1019" t="s">
        <v>159</v>
      </c>
      <c r="I1019" s="1">
        <v>45730</v>
      </c>
      <c r="K1019" s="4">
        <v>1500000</v>
      </c>
    </row>
    <row r="1020" spans="1:11" hidden="1" outlineLevel="2" x14ac:dyDescent="0.35">
      <c r="A1020" t="s">
        <v>131</v>
      </c>
      <c r="B1020" s="1">
        <v>45730</v>
      </c>
      <c r="C1020" t="s">
        <v>223</v>
      </c>
      <c r="D1020" t="s">
        <v>223</v>
      </c>
      <c r="F1020" t="str">
        <f t="shared" si="35"/>
        <v>70610010</v>
      </c>
      <c r="H1020" t="s">
        <v>224</v>
      </c>
      <c r="I1020" s="1">
        <v>45730</v>
      </c>
      <c r="K1020" s="4">
        <v>297000</v>
      </c>
    </row>
    <row r="1021" spans="1:11" hidden="1" outlineLevel="2" x14ac:dyDescent="0.35">
      <c r="A1021" t="s">
        <v>131</v>
      </c>
      <c r="B1021" s="1">
        <v>45730</v>
      </c>
      <c r="C1021" t="s">
        <v>225</v>
      </c>
      <c r="D1021" t="s">
        <v>225</v>
      </c>
      <c r="F1021" t="str">
        <f t="shared" si="35"/>
        <v>70610010</v>
      </c>
      <c r="H1021" t="s">
        <v>146</v>
      </c>
      <c r="I1021" s="1">
        <v>45761</v>
      </c>
      <c r="K1021" s="4">
        <v>132000</v>
      </c>
    </row>
    <row r="1022" spans="1:11" hidden="1" outlineLevel="2" x14ac:dyDescent="0.35">
      <c r="A1022" t="s">
        <v>131</v>
      </c>
      <c r="B1022" s="1">
        <v>45730</v>
      </c>
      <c r="C1022" t="s">
        <v>226</v>
      </c>
      <c r="D1022" t="s">
        <v>226</v>
      </c>
      <c r="F1022" t="str">
        <f t="shared" si="35"/>
        <v>70610010</v>
      </c>
      <c r="H1022" t="s">
        <v>148</v>
      </c>
      <c r="I1022" s="1">
        <v>45730</v>
      </c>
      <c r="K1022" s="4">
        <v>180000</v>
      </c>
    </row>
    <row r="1023" spans="1:11" hidden="1" outlineLevel="2" x14ac:dyDescent="0.35">
      <c r="A1023" t="s">
        <v>131</v>
      </c>
      <c r="B1023" s="1">
        <v>45730</v>
      </c>
      <c r="C1023" t="s">
        <v>227</v>
      </c>
      <c r="D1023" t="s">
        <v>227</v>
      </c>
      <c r="F1023" t="str">
        <f t="shared" si="35"/>
        <v>70610010</v>
      </c>
      <c r="H1023" t="s">
        <v>148</v>
      </c>
      <c r="I1023" s="1">
        <v>45730</v>
      </c>
      <c r="K1023" s="4">
        <v>180000</v>
      </c>
    </row>
    <row r="1024" spans="1:11" hidden="1" outlineLevel="2" x14ac:dyDescent="0.35">
      <c r="A1024" t="s">
        <v>131</v>
      </c>
      <c r="B1024" s="1">
        <v>45730</v>
      </c>
      <c r="C1024" t="s">
        <v>228</v>
      </c>
      <c r="D1024" t="s">
        <v>228</v>
      </c>
      <c r="F1024" t="str">
        <f t="shared" si="35"/>
        <v>70610010</v>
      </c>
      <c r="H1024" t="s">
        <v>148</v>
      </c>
      <c r="I1024" s="1">
        <v>45730</v>
      </c>
      <c r="K1024" s="4">
        <v>360000</v>
      </c>
    </row>
    <row r="1025" spans="1:11" hidden="1" outlineLevel="2" x14ac:dyDescent="0.35">
      <c r="A1025" t="s">
        <v>131</v>
      </c>
      <c r="B1025" s="1">
        <v>45730</v>
      </c>
      <c r="C1025" t="s">
        <v>229</v>
      </c>
      <c r="D1025" t="s">
        <v>229</v>
      </c>
      <c r="F1025" t="str">
        <f t="shared" si="35"/>
        <v>70610010</v>
      </c>
      <c r="H1025" t="s">
        <v>148</v>
      </c>
      <c r="I1025" s="1">
        <v>45730</v>
      </c>
      <c r="K1025" s="4">
        <v>360000</v>
      </c>
    </row>
    <row r="1026" spans="1:11" hidden="1" outlineLevel="2" x14ac:dyDescent="0.35">
      <c r="A1026" t="s">
        <v>131</v>
      </c>
      <c r="B1026" s="1">
        <v>45730</v>
      </c>
      <c r="C1026" t="s">
        <v>230</v>
      </c>
      <c r="D1026" t="s">
        <v>230</v>
      </c>
      <c r="F1026" t="str">
        <f t="shared" si="35"/>
        <v>70610010</v>
      </c>
      <c r="H1026" t="s">
        <v>148</v>
      </c>
      <c r="I1026" s="1">
        <v>45730</v>
      </c>
      <c r="K1026" s="4">
        <v>720000</v>
      </c>
    </row>
    <row r="1027" spans="1:11" hidden="1" outlineLevel="2" x14ac:dyDescent="0.35">
      <c r="A1027" t="s">
        <v>131</v>
      </c>
      <c r="B1027" s="1">
        <v>45730</v>
      </c>
      <c r="C1027" t="s">
        <v>231</v>
      </c>
      <c r="D1027" t="s">
        <v>231</v>
      </c>
      <c r="F1027" t="str">
        <f t="shared" si="35"/>
        <v>70610010</v>
      </c>
      <c r="H1027" t="s">
        <v>163</v>
      </c>
      <c r="I1027" s="1">
        <v>45777</v>
      </c>
      <c r="K1027" s="4">
        <v>132000</v>
      </c>
    </row>
    <row r="1028" spans="1:11" hidden="1" outlineLevel="2" x14ac:dyDescent="0.35">
      <c r="A1028" t="s">
        <v>131</v>
      </c>
      <c r="B1028" s="1">
        <v>45730</v>
      </c>
      <c r="C1028" t="s">
        <v>232</v>
      </c>
      <c r="D1028" t="s">
        <v>232</v>
      </c>
      <c r="F1028" t="str">
        <f t="shared" si="35"/>
        <v>70610010</v>
      </c>
      <c r="H1028" t="s">
        <v>233</v>
      </c>
      <c r="I1028" s="1">
        <v>45730</v>
      </c>
      <c r="K1028" s="4">
        <v>198000</v>
      </c>
    </row>
    <row r="1029" spans="1:11" hidden="1" outlineLevel="2" x14ac:dyDescent="0.35">
      <c r="A1029" t="s">
        <v>131</v>
      </c>
      <c r="B1029" s="1">
        <v>45730</v>
      </c>
      <c r="C1029" t="s">
        <v>234</v>
      </c>
      <c r="D1029" t="s">
        <v>234</v>
      </c>
      <c r="F1029" t="str">
        <f t="shared" si="35"/>
        <v>70610010</v>
      </c>
      <c r="H1029" t="s">
        <v>233</v>
      </c>
      <c r="I1029" s="1">
        <v>45730</v>
      </c>
      <c r="K1029" s="4">
        <v>132000</v>
      </c>
    </row>
    <row r="1030" spans="1:11" hidden="1" outlineLevel="2" x14ac:dyDescent="0.35">
      <c r="A1030" t="s">
        <v>131</v>
      </c>
      <c r="B1030" s="1">
        <v>45730</v>
      </c>
      <c r="C1030" t="s">
        <v>235</v>
      </c>
      <c r="D1030" t="s">
        <v>235</v>
      </c>
      <c r="F1030" t="str">
        <f t="shared" si="35"/>
        <v>70610010</v>
      </c>
      <c r="H1030" t="s">
        <v>139</v>
      </c>
      <c r="I1030" s="1">
        <v>45761</v>
      </c>
      <c r="K1030" s="4">
        <v>536000</v>
      </c>
    </row>
    <row r="1031" spans="1:11" hidden="1" outlineLevel="2" x14ac:dyDescent="0.35">
      <c r="A1031" t="s">
        <v>131</v>
      </c>
      <c r="B1031" s="1">
        <v>45730</v>
      </c>
      <c r="C1031" t="s">
        <v>236</v>
      </c>
      <c r="D1031" t="s">
        <v>236</v>
      </c>
      <c r="F1031" t="str">
        <f t="shared" si="35"/>
        <v>70610010</v>
      </c>
      <c r="H1031" t="s">
        <v>139</v>
      </c>
      <c r="I1031" s="1">
        <v>45761</v>
      </c>
      <c r="K1031" s="4">
        <v>536000</v>
      </c>
    </row>
    <row r="1032" spans="1:11" hidden="1" outlineLevel="2" x14ac:dyDescent="0.35">
      <c r="A1032" t="s">
        <v>131</v>
      </c>
      <c r="B1032" s="1">
        <v>45730</v>
      </c>
      <c r="C1032" t="s">
        <v>237</v>
      </c>
      <c r="D1032" t="s">
        <v>237</v>
      </c>
      <c r="F1032" t="str">
        <f t="shared" si="35"/>
        <v>70610010</v>
      </c>
      <c r="H1032" t="s">
        <v>139</v>
      </c>
      <c r="I1032" s="1">
        <v>45761</v>
      </c>
      <c r="K1032" s="4">
        <v>536000</v>
      </c>
    </row>
    <row r="1033" spans="1:11" hidden="1" outlineLevel="2" x14ac:dyDescent="0.35">
      <c r="A1033" t="s">
        <v>131</v>
      </c>
      <c r="B1033" s="1">
        <v>45734</v>
      </c>
      <c r="C1033" t="s">
        <v>238</v>
      </c>
      <c r="D1033" t="s">
        <v>238</v>
      </c>
      <c r="F1033" t="str">
        <f t="shared" si="35"/>
        <v>70610010</v>
      </c>
      <c r="H1033" t="s">
        <v>159</v>
      </c>
      <c r="I1033" s="1">
        <v>45734</v>
      </c>
      <c r="K1033" s="4">
        <v>66000</v>
      </c>
    </row>
    <row r="1034" spans="1:11" hidden="1" outlineLevel="2" x14ac:dyDescent="0.35">
      <c r="A1034" t="s">
        <v>131</v>
      </c>
      <c r="B1034" s="1">
        <v>45734</v>
      </c>
      <c r="C1034" t="s">
        <v>238</v>
      </c>
      <c r="D1034" t="s">
        <v>238</v>
      </c>
      <c r="F1034" t="str">
        <f t="shared" si="35"/>
        <v>70610010</v>
      </c>
      <c r="H1034" t="s">
        <v>159</v>
      </c>
      <c r="I1034" s="1">
        <v>45734</v>
      </c>
      <c r="K1034" s="4">
        <v>66000</v>
      </c>
    </row>
    <row r="1035" spans="1:11" hidden="1" outlineLevel="2" x14ac:dyDescent="0.35">
      <c r="A1035" t="s">
        <v>131</v>
      </c>
      <c r="B1035" s="1">
        <v>45734</v>
      </c>
      <c r="C1035" t="s">
        <v>238</v>
      </c>
      <c r="D1035" t="s">
        <v>238</v>
      </c>
      <c r="F1035" t="str">
        <f t="shared" si="35"/>
        <v>70610010</v>
      </c>
      <c r="H1035" t="s">
        <v>239</v>
      </c>
      <c r="I1035" s="1">
        <v>45734</v>
      </c>
      <c r="K1035" s="4">
        <v>-66000</v>
      </c>
    </row>
    <row r="1036" spans="1:11" hidden="1" outlineLevel="2" x14ac:dyDescent="0.35">
      <c r="A1036" t="s">
        <v>131</v>
      </c>
      <c r="B1036" s="1">
        <v>45734</v>
      </c>
      <c r="C1036" t="s">
        <v>240</v>
      </c>
      <c r="D1036" t="s">
        <v>240</v>
      </c>
      <c r="F1036" t="str">
        <f t="shared" si="35"/>
        <v>70610010</v>
      </c>
      <c r="H1036" t="s">
        <v>188</v>
      </c>
      <c r="I1036" s="1">
        <v>45734</v>
      </c>
      <c r="K1036" s="4">
        <v>300000</v>
      </c>
    </row>
    <row r="1037" spans="1:11" hidden="1" outlineLevel="2" x14ac:dyDescent="0.35">
      <c r="A1037" t="s">
        <v>131</v>
      </c>
      <c r="B1037" s="1">
        <v>45734</v>
      </c>
      <c r="C1037" t="s">
        <v>240</v>
      </c>
      <c r="D1037" t="s">
        <v>240</v>
      </c>
      <c r="F1037" t="str">
        <f t="shared" si="35"/>
        <v>70610010</v>
      </c>
      <c r="H1037" t="s">
        <v>188</v>
      </c>
      <c r="I1037" s="1">
        <v>45734</v>
      </c>
      <c r="K1037" s="4">
        <v>300000</v>
      </c>
    </row>
    <row r="1038" spans="1:11" hidden="1" outlineLevel="2" x14ac:dyDescent="0.35">
      <c r="A1038" t="s">
        <v>131</v>
      </c>
      <c r="B1038" s="1">
        <v>45734</v>
      </c>
      <c r="C1038" t="s">
        <v>240</v>
      </c>
      <c r="D1038" t="s">
        <v>240</v>
      </c>
      <c r="F1038" t="str">
        <f t="shared" si="35"/>
        <v>70610010</v>
      </c>
      <c r="H1038" t="s">
        <v>241</v>
      </c>
      <c r="I1038" s="1">
        <v>45734</v>
      </c>
      <c r="K1038" s="4">
        <v>-300000</v>
      </c>
    </row>
    <row r="1039" spans="1:11" hidden="1" outlineLevel="2" x14ac:dyDescent="0.35">
      <c r="A1039" t="s">
        <v>131</v>
      </c>
      <c r="B1039" s="1">
        <v>45734</v>
      </c>
      <c r="C1039" t="s">
        <v>242</v>
      </c>
      <c r="D1039" t="s">
        <v>242</v>
      </c>
      <c r="F1039" t="str">
        <f t="shared" si="35"/>
        <v>70610010</v>
      </c>
      <c r="H1039" t="s">
        <v>188</v>
      </c>
      <c r="I1039" s="1">
        <v>45734</v>
      </c>
      <c r="K1039" s="4">
        <v>300000</v>
      </c>
    </row>
    <row r="1040" spans="1:11" hidden="1" outlineLevel="2" x14ac:dyDescent="0.35">
      <c r="A1040" t="s">
        <v>131</v>
      </c>
      <c r="B1040" s="1">
        <v>45734</v>
      </c>
      <c r="C1040" t="s">
        <v>242</v>
      </c>
      <c r="D1040" t="s">
        <v>242</v>
      </c>
      <c r="F1040" t="str">
        <f t="shared" si="35"/>
        <v>70610010</v>
      </c>
      <c r="H1040" t="s">
        <v>188</v>
      </c>
      <c r="I1040" s="1">
        <v>45734</v>
      </c>
      <c r="K1040" s="4">
        <v>300000</v>
      </c>
    </row>
    <row r="1041" spans="1:11" hidden="1" outlineLevel="2" x14ac:dyDescent="0.35">
      <c r="A1041" t="s">
        <v>131</v>
      </c>
      <c r="B1041" s="1">
        <v>45734</v>
      </c>
      <c r="C1041" t="s">
        <v>242</v>
      </c>
      <c r="D1041" t="s">
        <v>242</v>
      </c>
      <c r="F1041" t="str">
        <f t="shared" si="35"/>
        <v>70610010</v>
      </c>
      <c r="H1041" t="s">
        <v>241</v>
      </c>
      <c r="I1041" s="1">
        <v>45734</v>
      </c>
      <c r="K1041" s="4">
        <v>-300000</v>
      </c>
    </row>
    <row r="1042" spans="1:11" hidden="1" outlineLevel="2" x14ac:dyDescent="0.35">
      <c r="A1042" t="s">
        <v>131</v>
      </c>
      <c r="B1042" s="1">
        <v>45734</v>
      </c>
      <c r="C1042" t="s">
        <v>243</v>
      </c>
      <c r="D1042" t="s">
        <v>243</v>
      </c>
      <c r="F1042" t="str">
        <f t="shared" si="35"/>
        <v>70610010</v>
      </c>
      <c r="H1042" t="s">
        <v>159</v>
      </c>
      <c r="I1042" s="1">
        <v>45734</v>
      </c>
      <c r="K1042" s="4">
        <v>148500</v>
      </c>
    </row>
    <row r="1043" spans="1:11" hidden="1" outlineLevel="2" x14ac:dyDescent="0.35">
      <c r="A1043" t="s">
        <v>131</v>
      </c>
      <c r="B1043" s="1">
        <v>45734</v>
      </c>
      <c r="C1043" t="s">
        <v>243</v>
      </c>
      <c r="D1043" t="s">
        <v>243</v>
      </c>
      <c r="F1043" t="str">
        <f t="shared" si="35"/>
        <v>70610010</v>
      </c>
      <c r="H1043" t="s">
        <v>159</v>
      </c>
      <c r="I1043" s="1">
        <v>45734</v>
      </c>
      <c r="K1043" s="4">
        <v>148500</v>
      </c>
    </row>
    <row r="1044" spans="1:11" hidden="1" outlineLevel="2" x14ac:dyDescent="0.35">
      <c r="A1044" t="s">
        <v>131</v>
      </c>
      <c r="B1044" s="1">
        <v>45734</v>
      </c>
      <c r="C1044" t="s">
        <v>243</v>
      </c>
      <c r="D1044" t="s">
        <v>243</v>
      </c>
      <c r="F1044" t="str">
        <f t="shared" si="35"/>
        <v>70610010</v>
      </c>
      <c r="H1044" t="s">
        <v>239</v>
      </c>
      <c r="I1044" s="1">
        <v>45734</v>
      </c>
      <c r="K1044" s="4">
        <v>-148500</v>
      </c>
    </row>
    <row r="1045" spans="1:11" hidden="1" outlineLevel="2" x14ac:dyDescent="0.35">
      <c r="A1045" t="s">
        <v>131</v>
      </c>
      <c r="B1045" s="1">
        <v>45734</v>
      </c>
      <c r="C1045" t="s">
        <v>244</v>
      </c>
      <c r="D1045" t="s">
        <v>244</v>
      </c>
      <c r="F1045" t="str">
        <f t="shared" si="35"/>
        <v>70610010</v>
      </c>
      <c r="H1045" t="s">
        <v>159</v>
      </c>
      <c r="I1045" s="1">
        <v>45734</v>
      </c>
      <c r="K1045" s="4">
        <v>297000</v>
      </c>
    </row>
    <row r="1046" spans="1:11" hidden="1" outlineLevel="2" x14ac:dyDescent="0.35">
      <c r="A1046" t="s">
        <v>131</v>
      </c>
      <c r="B1046" s="1">
        <v>45734</v>
      </c>
      <c r="C1046" t="s">
        <v>244</v>
      </c>
      <c r="D1046" t="s">
        <v>244</v>
      </c>
      <c r="F1046" t="str">
        <f t="shared" si="35"/>
        <v>70610010</v>
      </c>
      <c r="H1046" t="s">
        <v>159</v>
      </c>
      <c r="I1046" s="1">
        <v>45734</v>
      </c>
      <c r="K1046" s="4">
        <v>297000</v>
      </c>
    </row>
    <row r="1047" spans="1:11" hidden="1" outlineLevel="2" x14ac:dyDescent="0.35">
      <c r="A1047" t="s">
        <v>131</v>
      </c>
      <c r="B1047" s="1">
        <v>45734</v>
      </c>
      <c r="C1047" t="s">
        <v>244</v>
      </c>
      <c r="D1047" t="s">
        <v>244</v>
      </c>
      <c r="F1047" t="str">
        <f t="shared" si="35"/>
        <v>70610010</v>
      </c>
      <c r="H1047" t="s">
        <v>239</v>
      </c>
      <c r="I1047" s="1">
        <v>45734</v>
      </c>
      <c r="K1047" s="4">
        <v>-297000</v>
      </c>
    </row>
    <row r="1048" spans="1:11" hidden="1" outlineLevel="2" x14ac:dyDescent="0.35">
      <c r="A1048" t="s">
        <v>131</v>
      </c>
      <c r="B1048" s="1">
        <v>45734</v>
      </c>
      <c r="C1048" t="s">
        <v>245</v>
      </c>
      <c r="D1048" t="s">
        <v>245</v>
      </c>
      <c r="F1048" t="str">
        <f t="shared" si="35"/>
        <v>70610010</v>
      </c>
      <c r="H1048" t="s">
        <v>195</v>
      </c>
      <c r="I1048" s="1">
        <v>45734</v>
      </c>
      <c r="K1048" s="4">
        <v>198000</v>
      </c>
    </row>
    <row r="1049" spans="1:11" hidden="1" outlineLevel="2" x14ac:dyDescent="0.35">
      <c r="A1049" t="s">
        <v>131</v>
      </c>
      <c r="B1049" s="1">
        <v>45734</v>
      </c>
      <c r="C1049" t="s">
        <v>245</v>
      </c>
      <c r="D1049" t="s">
        <v>245</v>
      </c>
      <c r="F1049" t="str">
        <f t="shared" si="35"/>
        <v>70610010</v>
      </c>
      <c r="H1049" t="s">
        <v>195</v>
      </c>
      <c r="I1049" s="1">
        <v>45734</v>
      </c>
      <c r="K1049" s="4">
        <v>198000</v>
      </c>
    </row>
    <row r="1050" spans="1:11" hidden="1" outlineLevel="2" x14ac:dyDescent="0.35">
      <c r="A1050" t="s">
        <v>131</v>
      </c>
      <c r="B1050" s="1">
        <v>45734</v>
      </c>
      <c r="C1050" t="s">
        <v>245</v>
      </c>
      <c r="D1050" t="s">
        <v>245</v>
      </c>
      <c r="F1050" t="str">
        <f t="shared" si="35"/>
        <v>70610010</v>
      </c>
      <c r="H1050" t="s">
        <v>246</v>
      </c>
      <c r="I1050" s="1">
        <v>45734</v>
      </c>
      <c r="K1050" s="4">
        <v>-198000</v>
      </c>
    </row>
    <row r="1051" spans="1:11" hidden="1" outlineLevel="2" x14ac:dyDescent="0.35">
      <c r="A1051" t="s">
        <v>131</v>
      </c>
      <c r="B1051" s="1">
        <v>45734</v>
      </c>
      <c r="C1051" t="s">
        <v>247</v>
      </c>
      <c r="D1051" t="s">
        <v>247</v>
      </c>
      <c r="F1051" t="str">
        <f t="shared" si="35"/>
        <v>70610010</v>
      </c>
      <c r="H1051" t="s">
        <v>148</v>
      </c>
      <c r="I1051" s="1">
        <v>45734</v>
      </c>
      <c r="K1051" s="4">
        <v>720000</v>
      </c>
    </row>
    <row r="1052" spans="1:11" hidden="1" outlineLevel="2" x14ac:dyDescent="0.35">
      <c r="A1052" t="s">
        <v>131</v>
      </c>
      <c r="B1052" s="1">
        <v>45734</v>
      </c>
      <c r="C1052" t="s">
        <v>247</v>
      </c>
      <c r="D1052" t="s">
        <v>247</v>
      </c>
      <c r="F1052" t="str">
        <f t="shared" si="35"/>
        <v>70610010</v>
      </c>
      <c r="H1052" t="s">
        <v>148</v>
      </c>
      <c r="I1052" s="1">
        <v>45734</v>
      </c>
      <c r="K1052" s="4">
        <v>720000</v>
      </c>
    </row>
    <row r="1053" spans="1:11" hidden="1" outlineLevel="2" x14ac:dyDescent="0.35">
      <c r="A1053" t="s">
        <v>131</v>
      </c>
      <c r="B1053" s="1">
        <v>45734</v>
      </c>
      <c r="C1053" t="s">
        <v>247</v>
      </c>
      <c r="D1053" t="s">
        <v>247</v>
      </c>
      <c r="F1053" t="str">
        <f t="shared" si="35"/>
        <v>70610010</v>
      </c>
      <c r="H1053" t="s">
        <v>248</v>
      </c>
      <c r="I1053" s="1">
        <v>45734</v>
      </c>
      <c r="K1053" s="4">
        <v>-720000</v>
      </c>
    </row>
    <row r="1054" spans="1:11" hidden="1" outlineLevel="2" x14ac:dyDescent="0.35">
      <c r="A1054" t="s">
        <v>131</v>
      </c>
      <c r="B1054" s="1">
        <v>45734</v>
      </c>
      <c r="C1054" t="s">
        <v>249</v>
      </c>
      <c r="D1054" t="s">
        <v>249</v>
      </c>
      <c r="F1054" t="str">
        <f t="shared" si="35"/>
        <v>70610010</v>
      </c>
      <c r="H1054" t="s">
        <v>148</v>
      </c>
      <c r="I1054" s="1">
        <v>45734</v>
      </c>
      <c r="K1054" s="4">
        <v>180000</v>
      </c>
    </row>
    <row r="1055" spans="1:11" hidden="1" outlineLevel="2" x14ac:dyDescent="0.35">
      <c r="A1055" t="s">
        <v>131</v>
      </c>
      <c r="B1055" s="1">
        <v>45734</v>
      </c>
      <c r="C1055" t="s">
        <v>249</v>
      </c>
      <c r="D1055" t="s">
        <v>249</v>
      </c>
      <c r="F1055" t="str">
        <f t="shared" si="35"/>
        <v>70610010</v>
      </c>
      <c r="H1055" t="s">
        <v>148</v>
      </c>
      <c r="I1055" s="1">
        <v>45734</v>
      </c>
      <c r="K1055" s="4">
        <v>180000</v>
      </c>
    </row>
    <row r="1056" spans="1:11" hidden="1" outlineLevel="2" x14ac:dyDescent="0.35">
      <c r="A1056" t="s">
        <v>131</v>
      </c>
      <c r="B1056" s="1">
        <v>45734</v>
      </c>
      <c r="C1056" t="s">
        <v>249</v>
      </c>
      <c r="D1056" t="s">
        <v>249</v>
      </c>
      <c r="F1056" t="str">
        <f t="shared" si="35"/>
        <v>70610010</v>
      </c>
      <c r="H1056" t="s">
        <v>248</v>
      </c>
      <c r="I1056" s="1">
        <v>45734</v>
      </c>
      <c r="K1056" s="4">
        <v>-180000</v>
      </c>
    </row>
    <row r="1057" spans="1:11" hidden="1" outlineLevel="2" x14ac:dyDescent="0.35">
      <c r="A1057" t="s">
        <v>131</v>
      </c>
      <c r="B1057" s="1">
        <v>45734</v>
      </c>
      <c r="C1057" t="s">
        <v>250</v>
      </c>
      <c r="D1057" t="s">
        <v>250</v>
      </c>
      <c r="F1057" t="str">
        <f t="shared" si="35"/>
        <v>70610010</v>
      </c>
      <c r="H1057" t="s">
        <v>148</v>
      </c>
      <c r="I1057" s="1">
        <v>45734</v>
      </c>
      <c r="K1057" s="4">
        <v>323850</v>
      </c>
    </row>
    <row r="1058" spans="1:11" hidden="1" outlineLevel="2" x14ac:dyDescent="0.35">
      <c r="A1058" t="s">
        <v>131</v>
      </c>
      <c r="B1058" s="1">
        <v>45734</v>
      </c>
      <c r="C1058" t="s">
        <v>250</v>
      </c>
      <c r="D1058" t="s">
        <v>250</v>
      </c>
      <c r="F1058" t="str">
        <f t="shared" si="35"/>
        <v>70610010</v>
      </c>
      <c r="H1058" t="s">
        <v>148</v>
      </c>
      <c r="I1058" s="1">
        <v>45734</v>
      </c>
      <c r="K1058" s="4">
        <v>323850</v>
      </c>
    </row>
    <row r="1059" spans="1:11" hidden="1" outlineLevel="2" x14ac:dyDescent="0.35">
      <c r="A1059" t="s">
        <v>131</v>
      </c>
      <c r="B1059" s="1">
        <v>45734</v>
      </c>
      <c r="C1059" t="s">
        <v>250</v>
      </c>
      <c r="D1059" t="s">
        <v>250</v>
      </c>
      <c r="F1059" t="str">
        <f t="shared" si="35"/>
        <v>70610010</v>
      </c>
      <c r="H1059" t="s">
        <v>248</v>
      </c>
      <c r="I1059" s="1">
        <v>45734</v>
      </c>
      <c r="K1059" s="4">
        <v>-323850</v>
      </c>
    </row>
    <row r="1060" spans="1:11" hidden="1" outlineLevel="2" x14ac:dyDescent="0.35">
      <c r="A1060" t="s">
        <v>131</v>
      </c>
      <c r="B1060" s="1">
        <v>45734</v>
      </c>
      <c r="C1060" t="s">
        <v>251</v>
      </c>
      <c r="D1060" t="s">
        <v>251</v>
      </c>
      <c r="F1060" t="str">
        <f t="shared" si="35"/>
        <v>70610010</v>
      </c>
      <c r="H1060" t="s">
        <v>163</v>
      </c>
      <c r="I1060" s="1">
        <v>45777</v>
      </c>
      <c r="K1060" s="4">
        <v>132000</v>
      </c>
    </row>
    <row r="1061" spans="1:11" hidden="1" outlineLevel="2" x14ac:dyDescent="0.35">
      <c r="A1061" t="s">
        <v>131</v>
      </c>
      <c r="B1061" s="1">
        <v>45734</v>
      </c>
      <c r="C1061" t="s">
        <v>251</v>
      </c>
      <c r="D1061" t="s">
        <v>251</v>
      </c>
      <c r="F1061" t="str">
        <f t="shared" si="35"/>
        <v>70610010</v>
      </c>
      <c r="H1061" t="s">
        <v>163</v>
      </c>
      <c r="I1061" s="1">
        <v>45777</v>
      </c>
      <c r="K1061" s="4">
        <v>132000</v>
      </c>
    </row>
    <row r="1062" spans="1:11" hidden="1" outlineLevel="2" x14ac:dyDescent="0.35">
      <c r="A1062" t="s">
        <v>131</v>
      </c>
      <c r="B1062" s="1">
        <v>45734</v>
      </c>
      <c r="C1062" t="s">
        <v>251</v>
      </c>
      <c r="D1062" t="s">
        <v>251</v>
      </c>
      <c r="F1062" t="str">
        <f t="shared" si="35"/>
        <v>70610010</v>
      </c>
      <c r="H1062" t="s">
        <v>252</v>
      </c>
      <c r="I1062" s="1">
        <v>45777</v>
      </c>
      <c r="K1062" s="4">
        <v>-132000</v>
      </c>
    </row>
    <row r="1063" spans="1:11" hidden="1" outlineLevel="2" x14ac:dyDescent="0.35">
      <c r="A1063" t="s">
        <v>131</v>
      </c>
      <c r="B1063" s="1">
        <v>45734</v>
      </c>
      <c r="C1063" t="s">
        <v>253</v>
      </c>
      <c r="D1063" t="s">
        <v>253</v>
      </c>
      <c r="F1063" t="str">
        <f t="shared" si="35"/>
        <v>70610010</v>
      </c>
      <c r="H1063" t="s">
        <v>139</v>
      </c>
      <c r="I1063" s="1">
        <v>45765</v>
      </c>
      <c r="K1063" s="4">
        <v>804000</v>
      </c>
    </row>
    <row r="1064" spans="1:11" hidden="1" outlineLevel="2" x14ac:dyDescent="0.35">
      <c r="A1064" t="s">
        <v>131</v>
      </c>
      <c r="B1064" s="1">
        <v>45734</v>
      </c>
      <c r="C1064" t="s">
        <v>253</v>
      </c>
      <c r="D1064" t="s">
        <v>253</v>
      </c>
      <c r="F1064" t="str">
        <f t="shared" si="35"/>
        <v>70610010</v>
      </c>
      <c r="H1064" t="s">
        <v>139</v>
      </c>
      <c r="I1064" s="1">
        <v>45765</v>
      </c>
      <c r="K1064" s="4">
        <v>804000</v>
      </c>
    </row>
    <row r="1065" spans="1:11" hidden="1" outlineLevel="2" x14ac:dyDescent="0.35">
      <c r="A1065" t="s">
        <v>131</v>
      </c>
      <c r="B1065" s="1">
        <v>45734</v>
      </c>
      <c r="C1065" t="s">
        <v>253</v>
      </c>
      <c r="D1065" t="s">
        <v>253</v>
      </c>
      <c r="F1065" t="str">
        <f t="shared" si="35"/>
        <v>70610010</v>
      </c>
      <c r="H1065" t="s">
        <v>254</v>
      </c>
      <c r="I1065" s="1">
        <v>45765</v>
      </c>
      <c r="K1065" s="4">
        <v>-804000</v>
      </c>
    </row>
    <row r="1066" spans="1:11" hidden="1" outlineLevel="2" x14ac:dyDescent="0.35">
      <c r="A1066" t="s">
        <v>131</v>
      </c>
      <c r="B1066" s="1">
        <v>45735</v>
      </c>
      <c r="C1066" t="s">
        <v>255</v>
      </c>
      <c r="D1066" t="s">
        <v>255</v>
      </c>
      <c r="F1066" t="str">
        <f t="shared" si="35"/>
        <v>70610010</v>
      </c>
      <c r="H1066" t="s">
        <v>154</v>
      </c>
      <c r="I1066" s="1">
        <v>45735</v>
      </c>
      <c r="K1066" s="4">
        <v>1320000</v>
      </c>
    </row>
    <row r="1067" spans="1:11" hidden="1" outlineLevel="2" x14ac:dyDescent="0.35">
      <c r="A1067" t="s">
        <v>131</v>
      </c>
      <c r="B1067" s="1">
        <v>45735</v>
      </c>
      <c r="C1067" t="s">
        <v>255</v>
      </c>
      <c r="D1067" t="s">
        <v>255</v>
      </c>
      <c r="F1067" t="str">
        <f t="shared" si="35"/>
        <v>70610010</v>
      </c>
      <c r="H1067" t="s">
        <v>154</v>
      </c>
      <c r="I1067" s="1">
        <v>45735</v>
      </c>
      <c r="K1067" s="4">
        <v>1320000</v>
      </c>
    </row>
    <row r="1068" spans="1:11" hidden="1" outlineLevel="2" x14ac:dyDescent="0.35">
      <c r="A1068" t="s">
        <v>131</v>
      </c>
      <c r="B1068" s="1">
        <v>45735</v>
      </c>
      <c r="C1068" t="s">
        <v>255</v>
      </c>
      <c r="D1068" t="s">
        <v>255</v>
      </c>
      <c r="F1068" t="str">
        <f t="shared" si="35"/>
        <v>70610010</v>
      </c>
      <c r="H1068" t="s">
        <v>155</v>
      </c>
      <c r="I1068" s="1">
        <v>45735</v>
      </c>
      <c r="K1068" s="4">
        <v>-1320000</v>
      </c>
    </row>
    <row r="1069" spans="1:11" hidden="1" outlineLevel="2" x14ac:dyDescent="0.35">
      <c r="A1069" t="s">
        <v>131</v>
      </c>
      <c r="B1069" s="1">
        <v>45735</v>
      </c>
      <c r="C1069" t="s">
        <v>256</v>
      </c>
      <c r="D1069" t="s">
        <v>256</v>
      </c>
      <c r="F1069" t="str">
        <f t="shared" si="35"/>
        <v>70610010</v>
      </c>
      <c r="H1069" t="s">
        <v>180</v>
      </c>
      <c r="I1069" s="1">
        <v>45766</v>
      </c>
      <c r="K1069" s="4">
        <v>3618000</v>
      </c>
    </row>
    <row r="1070" spans="1:11" hidden="1" outlineLevel="2" x14ac:dyDescent="0.35">
      <c r="A1070" t="s">
        <v>131</v>
      </c>
      <c r="B1070" s="1">
        <v>45735</v>
      </c>
      <c r="C1070" t="s">
        <v>256</v>
      </c>
      <c r="D1070" t="s">
        <v>256</v>
      </c>
      <c r="F1070" t="str">
        <f t="shared" si="35"/>
        <v>70610010</v>
      </c>
      <c r="H1070" t="s">
        <v>180</v>
      </c>
      <c r="I1070" s="1">
        <v>45766</v>
      </c>
      <c r="K1070" s="4">
        <v>3618000</v>
      </c>
    </row>
    <row r="1071" spans="1:11" hidden="1" outlineLevel="2" x14ac:dyDescent="0.35">
      <c r="A1071" t="s">
        <v>131</v>
      </c>
      <c r="B1071" s="1">
        <v>45735</v>
      </c>
      <c r="C1071" t="s">
        <v>256</v>
      </c>
      <c r="D1071" t="s">
        <v>256</v>
      </c>
      <c r="F1071" t="str">
        <f t="shared" si="35"/>
        <v>70610010</v>
      </c>
      <c r="H1071" t="s">
        <v>257</v>
      </c>
      <c r="I1071" s="1">
        <v>45766</v>
      </c>
      <c r="K1071" s="4">
        <v>-3618000</v>
      </c>
    </row>
    <row r="1072" spans="1:11" hidden="1" outlineLevel="2" x14ac:dyDescent="0.35">
      <c r="A1072" t="s">
        <v>131</v>
      </c>
      <c r="B1072" s="1">
        <v>45735</v>
      </c>
      <c r="C1072" t="s">
        <v>258</v>
      </c>
      <c r="D1072" t="s">
        <v>258</v>
      </c>
      <c r="F1072" t="str">
        <f t="shared" si="35"/>
        <v>70610010</v>
      </c>
      <c r="H1072" t="s">
        <v>148</v>
      </c>
      <c r="I1072" s="1">
        <v>45735</v>
      </c>
      <c r="K1072" s="4">
        <v>1089000</v>
      </c>
    </row>
    <row r="1073" spans="1:11" hidden="1" outlineLevel="2" x14ac:dyDescent="0.35">
      <c r="A1073" t="s">
        <v>131</v>
      </c>
      <c r="B1073" s="1">
        <v>45735</v>
      </c>
      <c r="C1073" t="s">
        <v>258</v>
      </c>
      <c r="D1073" t="s">
        <v>258</v>
      </c>
      <c r="F1073" t="str">
        <f t="shared" si="35"/>
        <v>70610010</v>
      </c>
      <c r="H1073" t="s">
        <v>148</v>
      </c>
      <c r="I1073" s="1">
        <v>45735</v>
      </c>
      <c r="K1073" s="4">
        <v>1089000</v>
      </c>
    </row>
    <row r="1074" spans="1:11" hidden="1" outlineLevel="2" x14ac:dyDescent="0.35">
      <c r="A1074" t="s">
        <v>131</v>
      </c>
      <c r="B1074" s="1">
        <v>45735</v>
      </c>
      <c r="C1074" t="s">
        <v>258</v>
      </c>
      <c r="D1074" t="s">
        <v>258</v>
      </c>
      <c r="F1074" t="str">
        <f t="shared" si="35"/>
        <v>70610010</v>
      </c>
      <c r="H1074" t="s">
        <v>248</v>
      </c>
      <c r="I1074" s="1">
        <v>45735</v>
      </c>
      <c r="K1074" s="4">
        <v>-1089000</v>
      </c>
    </row>
    <row r="1075" spans="1:11" hidden="1" outlineLevel="2" x14ac:dyDescent="0.35">
      <c r="A1075" t="s">
        <v>131</v>
      </c>
      <c r="B1075" s="1">
        <v>45735</v>
      </c>
      <c r="C1075" t="s">
        <v>259</v>
      </c>
      <c r="D1075" t="s">
        <v>259</v>
      </c>
      <c r="F1075" t="str">
        <f t="shared" si="35"/>
        <v>70610010</v>
      </c>
      <c r="H1075" t="s">
        <v>207</v>
      </c>
      <c r="I1075" s="1">
        <v>45735</v>
      </c>
      <c r="K1075" s="4">
        <v>264000</v>
      </c>
    </row>
    <row r="1076" spans="1:11" hidden="1" outlineLevel="2" x14ac:dyDescent="0.35">
      <c r="A1076" t="s">
        <v>131</v>
      </c>
      <c r="B1076" s="1">
        <v>45735</v>
      </c>
      <c r="C1076" t="s">
        <v>259</v>
      </c>
      <c r="D1076" t="s">
        <v>259</v>
      </c>
      <c r="F1076" t="str">
        <f t="shared" si="35"/>
        <v>70610010</v>
      </c>
      <c r="H1076" t="s">
        <v>207</v>
      </c>
      <c r="I1076" s="1">
        <v>45735</v>
      </c>
      <c r="K1076" s="4">
        <v>264000</v>
      </c>
    </row>
    <row r="1077" spans="1:11" hidden="1" outlineLevel="2" x14ac:dyDescent="0.35">
      <c r="A1077" t="s">
        <v>131</v>
      </c>
      <c r="B1077" s="1">
        <v>45735</v>
      </c>
      <c r="C1077" t="s">
        <v>259</v>
      </c>
      <c r="D1077" t="s">
        <v>259</v>
      </c>
      <c r="F1077" t="str">
        <f t="shared" si="35"/>
        <v>70610010</v>
      </c>
      <c r="H1077" t="s">
        <v>260</v>
      </c>
      <c r="I1077" s="1">
        <v>45735</v>
      </c>
      <c r="K1077" s="4">
        <v>-264000</v>
      </c>
    </row>
    <row r="1078" spans="1:11" hidden="1" outlineLevel="2" x14ac:dyDescent="0.35">
      <c r="A1078" t="s">
        <v>131</v>
      </c>
      <c r="B1078" s="1">
        <v>45736</v>
      </c>
      <c r="C1078" t="s">
        <v>261</v>
      </c>
      <c r="D1078" t="s">
        <v>261</v>
      </c>
      <c r="F1078" t="str">
        <f t="shared" ref="F1078:F1141" si="36">"70610010"</f>
        <v>70610010</v>
      </c>
      <c r="H1078" t="s">
        <v>144</v>
      </c>
      <c r="I1078" s="1">
        <v>45736</v>
      </c>
      <c r="K1078" s="4">
        <v>396000</v>
      </c>
    </row>
    <row r="1079" spans="1:11" hidden="1" outlineLevel="2" x14ac:dyDescent="0.35">
      <c r="A1079" t="s">
        <v>131</v>
      </c>
      <c r="B1079" s="1">
        <v>45736</v>
      </c>
      <c r="C1079" t="s">
        <v>261</v>
      </c>
      <c r="D1079" t="s">
        <v>261</v>
      </c>
      <c r="F1079" t="str">
        <f t="shared" si="36"/>
        <v>70610010</v>
      </c>
      <c r="H1079" t="s">
        <v>144</v>
      </c>
      <c r="I1079" s="1">
        <v>45736</v>
      </c>
      <c r="K1079" s="4">
        <v>396000</v>
      </c>
    </row>
    <row r="1080" spans="1:11" hidden="1" outlineLevel="2" x14ac:dyDescent="0.35">
      <c r="A1080" t="s">
        <v>131</v>
      </c>
      <c r="B1080" s="1">
        <v>45736</v>
      </c>
      <c r="C1080" t="s">
        <v>261</v>
      </c>
      <c r="D1080" t="s">
        <v>261</v>
      </c>
      <c r="F1080" t="str">
        <f t="shared" si="36"/>
        <v>70610010</v>
      </c>
      <c r="H1080" t="s">
        <v>262</v>
      </c>
      <c r="I1080" s="1">
        <v>45736</v>
      </c>
      <c r="K1080" s="4">
        <v>-396000</v>
      </c>
    </row>
    <row r="1081" spans="1:11" hidden="1" outlineLevel="2" x14ac:dyDescent="0.35">
      <c r="A1081" t="s">
        <v>131</v>
      </c>
      <c r="B1081" s="1">
        <v>45736</v>
      </c>
      <c r="C1081" t="s">
        <v>263</v>
      </c>
      <c r="D1081" t="s">
        <v>263</v>
      </c>
      <c r="F1081" t="str">
        <f t="shared" si="36"/>
        <v>70610010</v>
      </c>
      <c r="H1081" t="s">
        <v>159</v>
      </c>
      <c r="I1081" s="1">
        <v>45767</v>
      </c>
      <c r="K1081" s="4">
        <v>402000</v>
      </c>
    </row>
    <row r="1082" spans="1:11" hidden="1" outlineLevel="2" x14ac:dyDescent="0.35">
      <c r="A1082" t="s">
        <v>131</v>
      </c>
      <c r="B1082" s="1">
        <v>45736</v>
      </c>
      <c r="C1082" t="s">
        <v>263</v>
      </c>
      <c r="D1082" t="s">
        <v>263</v>
      </c>
      <c r="F1082" t="str">
        <f t="shared" si="36"/>
        <v>70610010</v>
      </c>
      <c r="H1082" t="s">
        <v>159</v>
      </c>
      <c r="I1082" s="1">
        <v>45767</v>
      </c>
      <c r="K1082" s="4">
        <v>402000</v>
      </c>
    </row>
    <row r="1083" spans="1:11" hidden="1" outlineLevel="2" x14ac:dyDescent="0.35">
      <c r="A1083" t="s">
        <v>131</v>
      </c>
      <c r="B1083" s="1">
        <v>45736</v>
      </c>
      <c r="C1083" t="s">
        <v>263</v>
      </c>
      <c r="D1083" t="s">
        <v>263</v>
      </c>
      <c r="F1083" t="str">
        <f t="shared" si="36"/>
        <v>70610010</v>
      </c>
      <c r="H1083" t="s">
        <v>239</v>
      </c>
      <c r="I1083" s="1">
        <v>45767</v>
      </c>
      <c r="K1083" s="4">
        <v>-402000</v>
      </c>
    </row>
    <row r="1084" spans="1:11" hidden="1" outlineLevel="2" x14ac:dyDescent="0.35">
      <c r="A1084" t="s">
        <v>131</v>
      </c>
      <c r="B1084" s="1">
        <v>45736</v>
      </c>
      <c r="C1084" t="s">
        <v>264</v>
      </c>
      <c r="D1084" t="s">
        <v>264</v>
      </c>
      <c r="F1084" t="str">
        <f t="shared" si="36"/>
        <v>70610010</v>
      </c>
      <c r="H1084" t="s">
        <v>159</v>
      </c>
      <c r="I1084" s="1">
        <v>45767</v>
      </c>
      <c r="K1084" s="4">
        <v>402000</v>
      </c>
    </row>
    <row r="1085" spans="1:11" hidden="1" outlineLevel="2" x14ac:dyDescent="0.35">
      <c r="A1085" t="s">
        <v>131</v>
      </c>
      <c r="B1085" s="1">
        <v>45736</v>
      </c>
      <c r="C1085" t="s">
        <v>264</v>
      </c>
      <c r="D1085" t="s">
        <v>264</v>
      </c>
      <c r="F1085" t="str">
        <f t="shared" si="36"/>
        <v>70610010</v>
      </c>
      <c r="H1085" t="s">
        <v>159</v>
      </c>
      <c r="I1085" s="1">
        <v>45767</v>
      </c>
      <c r="K1085" s="4">
        <v>402000</v>
      </c>
    </row>
    <row r="1086" spans="1:11" hidden="1" outlineLevel="2" x14ac:dyDescent="0.35">
      <c r="A1086" t="s">
        <v>131</v>
      </c>
      <c r="B1086" s="1">
        <v>45736</v>
      </c>
      <c r="C1086" t="s">
        <v>264</v>
      </c>
      <c r="D1086" t="s">
        <v>264</v>
      </c>
      <c r="F1086" t="str">
        <f t="shared" si="36"/>
        <v>70610010</v>
      </c>
      <c r="H1086" t="s">
        <v>239</v>
      </c>
      <c r="I1086" s="1">
        <v>45767</v>
      </c>
      <c r="K1086" s="4">
        <v>-402000</v>
      </c>
    </row>
    <row r="1087" spans="1:11" hidden="1" outlineLevel="2" x14ac:dyDescent="0.35">
      <c r="A1087" t="s">
        <v>131</v>
      </c>
      <c r="B1087" s="1">
        <v>45736</v>
      </c>
      <c r="C1087" t="s">
        <v>265</v>
      </c>
      <c r="D1087" t="s">
        <v>265</v>
      </c>
      <c r="F1087" t="str">
        <f t="shared" si="36"/>
        <v>70610010</v>
      </c>
      <c r="H1087" t="s">
        <v>159</v>
      </c>
      <c r="I1087" s="1">
        <v>45736</v>
      </c>
      <c r="K1087" s="4">
        <v>900000</v>
      </c>
    </row>
    <row r="1088" spans="1:11" hidden="1" outlineLevel="2" x14ac:dyDescent="0.35">
      <c r="A1088" t="s">
        <v>131</v>
      </c>
      <c r="B1088" s="1">
        <v>45736</v>
      </c>
      <c r="C1088" t="s">
        <v>265</v>
      </c>
      <c r="D1088" t="s">
        <v>265</v>
      </c>
      <c r="F1088" t="str">
        <f t="shared" si="36"/>
        <v>70610010</v>
      </c>
      <c r="H1088" t="s">
        <v>159</v>
      </c>
      <c r="I1088" s="1">
        <v>45736</v>
      </c>
      <c r="K1088" s="4">
        <v>900000</v>
      </c>
    </row>
    <row r="1089" spans="1:11" hidden="1" outlineLevel="2" x14ac:dyDescent="0.35">
      <c r="A1089" t="s">
        <v>131</v>
      </c>
      <c r="B1089" s="1">
        <v>45736</v>
      </c>
      <c r="C1089" t="s">
        <v>265</v>
      </c>
      <c r="D1089" t="s">
        <v>265</v>
      </c>
      <c r="F1089" t="str">
        <f t="shared" si="36"/>
        <v>70610010</v>
      </c>
      <c r="H1089" t="s">
        <v>239</v>
      </c>
      <c r="I1089" s="1">
        <v>45736</v>
      </c>
      <c r="K1089" s="4">
        <v>-900000</v>
      </c>
    </row>
    <row r="1090" spans="1:11" hidden="1" outlineLevel="2" x14ac:dyDescent="0.35">
      <c r="A1090" t="s">
        <v>131</v>
      </c>
      <c r="B1090" s="1">
        <v>45736</v>
      </c>
      <c r="C1090" t="s">
        <v>266</v>
      </c>
      <c r="D1090" t="s">
        <v>266</v>
      </c>
      <c r="F1090" t="str">
        <f t="shared" si="36"/>
        <v>70610010</v>
      </c>
      <c r="H1090" t="s">
        <v>159</v>
      </c>
      <c r="I1090" s="1">
        <v>45736</v>
      </c>
      <c r="K1090" s="4">
        <v>198000</v>
      </c>
    </row>
    <row r="1091" spans="1:11" hidden="1" outlineLevel="2" x14ac:dyDescent="0.35">
      <c r="A1091" t="s">
        <v>131</v>
      </c>
      <c r="B1091" s="1">
        <v>45736</v>
      </c>
      <c r="C1091" t="s">
        <v>266</v>
      </c>
      <c r="D1091" t="s">
        <v>266</v>
      </c>
      <c r="F1091" t="str">
        <f t="shared" si="36"/>
        <v>70610010</v>
      </c>
      <c r="H1091" t="s">
        <v>159</v>
      </c>
      <c r="I1091" s="1">
        <v>45736</v>
      </c>
      <c r="K1091" s="4">
        <v>198000</v>
      </c>
    </row>
    <row r="1092" spans="1:11" hidden="1" outlineLevel="2" x14ac:dyDescent="0.35">
      <c r="A1092" t="s">
        <v>131</v>
      </c>
      <c r="B1092" s="1">
        <v>45736</v>
      </c>
      <c r="C1092" t="s">
        <v>266</v>
      </c>
      <c r="D1092" t="s">
        <v>266</v>
      </c>
      <c r="F1092" t="str">
        <f t="shared" si="36"/>
        <v>70610010</v>
      </c>
      <c r="H1092" t="s">
        <v>239</v>
      </c>
      <c r="I1092" s="1">
        <v>45736</v>
      </c>
      <c r="K1092" s="4">
        <v>-198000</v>
      </c>
    </row>
    <row r="1093" spans="1:11" hidden="1" outlineLevel="2" x14ac:dyDescent="0.35">
      <c r="A1093" t="s">
        <v>131</v>
      </c>
      <c r="B1093" s="1">
        <v>45736</v>
      </c>
      <c r="C1093" t="s">
        <v>267</v>
      </c>
      <c r="D1093" t="s">
        <v>267</v>
      </c>
      <c r="F1093" t="str">
        <f t="shared" si="36"/>
        <v>70610010</v>
      </c>
      <c r="H1093" t="s">
        <v>146</v>
      </c>
      <c r="I1093" s="1">
        <v>45767</v>
      </c>
      <c r="K1093" s="4">
        <v>264000</v>
      </c>
    </row>
    <row r="1094" spans="1:11" hidden="1" outlineLevel="2" x14ac:dyDescent="0.35">
      <c r="A1094" t="s">
        <v>131</v>
      </c>
      <c r="B1094" s="1">
        <v>45736</v>
      </c>
      <c r="C1094" t="s">
        <v>267</v>
      </c>
      <c r="D1094" t="s">
        <v>267</v>
      </c>
      <c r="F1094" t="str">
        <f t="shared" si="36"/>
        <v>70610010</v>
      </c>
      <c r="H1094" t="s">
        <v>146</v>
      </c>
      <c r="I1094" s="1">
        <v>45767</v>
      </c>
      <c r="K1094" s="4">
        <v>264000</v>
      </c>
    </row>
    <row r="1095" spans="1:11" hidden="1" outlineLevel="2" x14ac:dyDescent="0.35">
      <c r="A1095" t="s">
        <v>131</v>
      </c>
      <c r="B1095" s="1">
        <v>45736</v>
      </c>
      <c r="C1095" t="s">
        <v>267</v>
      </c>
      <c r="D1095" t="s">
        <v>267</v>
      </c>
      <c r="F1095" t="str">
        <f t="shared" si="36"/>
        <v>70610010</v>
      </c>
      <c r="H1095" t="s">
        <v>268</v>
      </c>
      <c r="I1095" s="1">
        <v>45767</v>
      </c>
      <c r="K1095" s="4">
        <v>-264000</v>
      </c>
    </row>
    <row r="1096" spans="1:11" hidden="1" outlineLevel="2" x14ac:dyDescent="0.35">
      <c r="A1096" t="s">
        <v>131</v>
      </c>
      <c r="B1096" s="1">
        <v>45736</v>
      </c>
      <c r="C1096" t="s">
        <v>269</v>
      </c>
      <c r="D1096" t="s">
        <v>269</v>
      </c>
      <c r="F1096" t="str">
        <f t="shared" si="36"/>
        <v>70610010</v>
      </c>
      <c r="H1096" t="s">
        <v>148</v>
      </c>
      <c r="I1096" s="1">
        <v>45736</v>
      </c>
      <c r="K1096" s="4">
        <v>900000</v>
      </c>
    </row>
    <row r="1097" spans="1:11" hidden="1" outlineLevel="2" x14ac:dyDescent="0.35">
      <c r="A1097" t="s">
        <v>131</v>
      </c>
      <c r="B1097" s="1">
        <v>45736</v>
      </c>
      <c r="C1097" t="s">
        <v>269</v>
      </c>
      <c r="D1097" t="s">
        <v>269</v>
      </c>
      <c r="F1097" t="str">
        <f t="shared" si="36"/>
        <v>70610010</v>
      </c>
      <c r="H1097" t="s">
        <v>148</v>
      </c>
      <c r="I1097" s="1">
        <v>45736</v>
      </c>
      <c r="K1097" s="4">
        <v>900000</v>
      </c>
    </row>
    <row r="1098" spans="1:11" hidden="1" outlineLevel="2" x14ac:dyDescent="0.35">
      <c r="A1098" t="s">
        <v>131</v>
      </c>
      <c r="B1098" s="1">
        <v>45736</v>
      </c>
      <c r="C1098" t="s">
        <v>269</v>
      </c>
      <c r="D1098" t="s">
        <v>269</v>
      </c>
      <c r="F1098" t="str">
        <f t="shared" si="36"/>
        <v>70610010</v>
      </c>
      <c r="H1098" t="s">
        <v>248</v>
      </c>
      <c r="I1098" s="1">
        <v>45736</v>
      </c>
      <c r="K1098" s="4">
        <v>-900000</v>
      </c>
    </row>
    <row r="1099" spans="1:11" hidden="1" outlineLevel="2" x14ac:dyDescent="0.35">
      <c r="A1099" t="s">
        <v>131</v>
      </c>
      <c r="B1099" s="1">
        <v>45736</v>
      </c>
      <c r="C1099" t="s">
        <v>270</v>
      </c>
      <c r="D1099" t="s">
        <v>270</v>
      </c>
      <c r="F1099" t="str">
        <f t="shared" si="36"/>
        <v>70610010</v>
      </c>
      <c r="H1099" t="s">
        <v>271</v>
      </c>
      <c r="I1099" s="1">
        <v>45736</v>
      </c>
      <c r="K1099" s="4">
        <v>268000</v>
      </c>
    </row>
    <row r="1100" spans="1:11" hidden="1" outlineLevel="2" x14ac:dyDescent="0.35">
      <c r="A1100" t="s">
        <v>131</v>
      </c>
      <c r="B1100" s="1">
        <v>45736</v>
      </c>
      <c r="C1100" t="s">
        <v>270</v>
      </c>
      <c r="D1100" t="s">
        <v>270</v>
      </c>
      <c r="F1100" t="str">
        <f t="shared" si="36"/>
        <v>70610010</v>
      </c>
      <c r="H1100" t="s">
        <v>272</v>
      </c>
      <c r="I1100" s="1">
        <v>45736</v>
      </c>
      <c r="K1100" s="4">
        <v>268000</v>
      </c>
    </row>
    <row r="1101" spans="1:11" hidden="1" outlineLevel="2" x14ac:dyDescent="0.35">
      <c r="A1101" t="s">
        <v>131</v>
      </c>
      <c r="B1101" s="1">
        <v>45736</v>
      </c>
      <c r="C1101" t="s">
        <v>270</v>
      </c>
      <c r="D1101" t="s">
        <v>270</v>
      </c>
      <c r="F1101" t="str">
        <f t="shared" si="36"/>
        <v>70610010</v>
      </c>
      <c r="H1101" t="s">
        <v>273</v>
      </c>
      <c r="I1101" s="1">
        <v>45736</v>
      </c>
      <c r="K1101" s="4">
        <v>-268000</v>
      </c>
    </row>
    <row r="1102" spans="1:11" hidden="1" outlineLevel="2" x14ac:dyDescent="0.35">
      <c r="A1102" t="s">
        <v>131</v>
      </c>
      <c r="B1102" s="1">
        <v>45736</v>
      </c>
      <c r="C1102" t="s">
        <v>274</v>
      </c>
      <c r="D1102" t="s">
        <v>274</v>
      </c>
      <c r="F1102" t="str">
        <f t="shared" si="36"/>
        <v>70610010</v>
      </c>
      <c r="H1102" t="s">
        <v>148</v>
      </c>
      <c r="I1102" s="1">
        <v>45736</v>
      </c>
      <c r="K1102" s="4">
        <v>180000</v>
      </c>
    </row>
    <row r="1103" spans="1:11" hidden="1" outlineLevel="2" x14ac:dyDescent="0.35">
      <c r="A1103" t="s">
        <v>131</v>
      </c>
      <c r="B1103" s="1">
        <v>45736</v>
      </c>
      <c r="C1103" t="s">
        <v>274</v>
      </c>
      <c r="D1103" t="s">
        <v>274</v>
      </c>
      <c r="F1103" t="str">
        <f t="shared" si="36"/>
        <v>70610010</v>
      </c>
      <c r="H1103" t="s">
        <v>148</v>
      </c>
      <c r="I1103" s="1">
        <v>45736</v>
      </c>
      <c r="K1103" s="4">
        <v>180000</v>
      </c>
    </row>
    <row r="1104" spans="1:11" hidden="1" outlineLevel="2" x14ac:dyDescent="0.35">
      <c r="A1104" t="s">
        <v>131</v>
      </c>
      <c r="B1104" s="1">
        <v>45736</v>
      </c>
      <c r="C1104" t="s">
        <v>274</v>
      </c>
      <c r="D1104" t="s">
        <v>274</v>
      </c>
      <c r="F1104" t="str">
        <f t="shared" si="36"/>
        <v>70610010</v>
      </c>
      <c r="H1104" t="s">
        <v>248</v>
      </c>
      <c r="I1104" s="1">
        <v>45736</v>
      </c>
      <c r="K1104" s="4">
        <v>-180000</v>
      </c>
    </row>
    <row r="1105" spans="1:11" hidden="1" outlineLevel="2" x14ac:dyDescent="0.35">
      <c r="A1105" t="s">
        <v>131</v>
      </c>
      <c r="B1105" s="1">
        <v>45736</v>
      </c>
      <c r="C1105" t="s">
        <v>275</v>
      </c>
      <c r="D1105" t="s">
        <v>275</v>
      </c>
      <c r="F1105" t="str">
        <f t="shared" si="36"/>
        <v>70610010</v>
      </c>
      <c r="H1105" t="s">
        <v>139</v>
      </c>
      <c r="I1105" s="1">
        <v>45767</v>
      </c>
      <c r="K1105" s="4">
        <v>536000</v>
      </c>
    </row>
    <row r="1106" spans="1:11" hidden="1" outlineLevel="2" x14ac:dyDescent="0.35">
      <c r="A1106" t="s">
        <v>131</v>
      </c>
      <c r="B1106" s="1">
        <v>45736</v>
      </c>
      <c r="C1106" t="s">
        <v>275</v>
      </c>
      <c r="D1106" t="s">
        <v>275</v>
      </c>
      <c r="F1106" t="str">
        <f t="shared" si="36"/>
        <v>70610010</v>
      </c>
      <c r="H1106" t="s">
        <v>139</v>
      </c>
      <c r="I1106" s="1">
        <v>45767</v>
      </c>
      <c r="K1106" s="4">
        <v>536000</v>
      </c>
    </row>
    <row r="1107" spans="1:11" hidden="1" outlineLevel="2" x14ac:dyDescent="0.35">
      <c r="A1107" t="s">
        <v>131</v>
      </c>
      <c r="B1107" s="1">
        <v>45736</v>
      </c>
      <c r="C1107" t="s">
        <v>275</v>
      </c>
      <c r="D1107" t="s">
        <v>275</v>
      </c>
      <c r="F1107" t="str">
        <f t="shared" si="36"/>
        <v>70610010</v>
      </c>
      <c r="H1107" t="s">
        <v>254</v>
      </c>
      <c r="I1107" s="1">
        <v>45767</v>
      </c>
      <c r="K1107" s="4">
        <v>-536000</v>
      </c>
    </row>
    <row r="1108" spans="1:11" hidden="1" outlineLevel="2" x14ac:dyDescent="0.35">
      <c r="A1108" t="s">
        <v>131</v>
      </c>
      <c r="B1108" s="1">
        <v>45736</v>
      </c>
      <c r="C1108" t="s">
        <v>276</v>
      </c>
      <c r="D1108" t="s">
        <v>276</v>
      </c>
      <c r="F1108" t="str">
        <f t="shared" si="36"/>
        <v>70610010</v>
      </c>
      <c r="H1108" t="s">
        <v>154</v>
      </c>
      <c r="I1108" s="1">
        <v>45736</v>
      </c>
      <c r="K1108" s="4">
        <v>1320000</v>
      </c>
    </row>
    <row r="1109" spans="1:11" hidden="1" outlineLevel="2" x14ac:dyDescent="0.35">
      <c r="A1109" t="s">
        <v>131</v>
      </c>
      <c r="B1109" s="1">
        <v>45736</v>
      </c>
      <c r="C1109" t="s">
        <v>276</v>
      </c>
      <c r="D1109" t="s">
        <v>276</v>
      </c>
      <c r="F1109" t="str">
        <f t="shared" si="36"/>
        <v>70610010</v>
      </c>
      <c r="H1109" t="s">
        <v>154</v>
      </c>
      <c r="I1109" s="1">
        <v>45736</v>
      </c>
      <c r="K1109" s="4">
        <v>1320000</v>
      </c>
    </row>
    <row r="1110" spans="1:11" hidden="1" outlineLevel="2" x14ac:dyDescent="0.35">
      <c r="A1110" t="s">
        <v>131</v>
      </c>
      <c r="B1110" s="1">
        <v>45736</v>
      </c>
      <c r="C1110" t="s">
        <v>276</v>
      </c>
      <c r="D1110" t="s">
        <v>276</v>
      </c>
      <c r="F1110" t="str">
        <f t="shared" si="36"/>
        <v>70610010</v>
      </c>
      <c r="H1110" t="s">
        <v>155</v>
      </c>
      <c r="I1110" s="1">
        <v>45736</v>
      </c>
      <c r="K1110" s="4">
        <v>-1320000</v>
      </c>
    </row>
    <row r="1111" spans="1:11" hidden="1" outlineLevel="2" x14ac:dyDescent="0.35">
      <c r="A1111" t="s">
        <v>131</v>
      </c>
      <c r="B1111" s="1">
        <v>45736</v>
      </c>
      <c r="C1111" t="s">
        <v>277</v>
      </c>
      <c r="D1111" t="s">
        <v>277</v>
      </c>
      <c r="F1111" t="str">
        <f t="shared" si="36"/>
        <v>70610010</v>
      </c>
      <c r="H1111" t="s">
        <v>271</v>
      </c>
      <c r="I1111" s="1">
        <v>45736</v>
      </c>
      <c r="K1111" s="4">
        <v>1206000</v>
      </c>
    </row>
    <row r="1112" spans="1:11" hidden="1" outlineLevel="2" x14ac:dyDescent="0.35">
      <c r="A1112" t="s">
        <v>131</v>
      </c>
      <c r="B1112" s="1">
        <v>45736</v>
      </c>
      <c r="C1112" t="s">
        <v>277</v>
      </c>
      <c r="D1112" t="s">
        <v>277</v>
      </c>
      <c r="F1112" t="str">
        <f t="shared" si="36"/>
        <v>70610010</v>
      </c>
      <c r="H1112" t="s">
        <v>272</v>
      </c>
      <c r="I1112" s="1">
        <v>45736</v>
      </c>
      <c r="K1112" s="4">
        <v>1206000</v>
      </c>
    </row>
    <row r="1113" spans="1:11" hidden="1" outlineLevel="2" x14ac:dyDescent="0.35">
      <c r="A1113" t="s">
        <v>131</v>
      </c>
      <c r="B1113" s="1">
        <v>45736</v>
      </c>
      <c r="C1113" t="s">
        <v>277</v>
      </c>
      <c r="D1113" t="s">
        <v>277</v>
      </c>
      <c r="F1113" t="str">
        <f t="shared" si="36"/>
        <v>70610010</v>
      </c>
      <c r="H1113" t="s">
        <v>273</v>
      </c>
      <c r="I1113" s="1">
        <v>45736</v>
      </c>
      <c r="K1113" s="4">
        <v>-1206000</v>
      </c>
    </row>
    <row r="1114" spans="1:11" hidden="1" outlineLevel="2" x14ac:dyDescent="0.35">
      <c r="A1114" t="s">
        <v>131</v>
      </c>
      <c r="B1114" s="1">
        <v>45736</v>
      </c>
      <c r="C1114" t="s">
        <v>278</v>
      </c>
      <c r="D1114" t="s">
        <v>278</v>
      </c>
      <c r="F1114" t="str">
        <f t="shared" si="36"/>
        <v>70610010</v>
      </c>
      <c r="H1114" t="s">
        <v>139</v>
      </c>
      <c r="I1114" s="1">
        <v>45767</v>
      </c>
      <c r="K1114" s="4">
        <v>2680000</v>
      </c>
    </row>
    <row r="1115" spans="1:11" hidden="1" outlineLevel="2" x14ac:dyDescent="0.35">
      <c r="A1115" t="s">
        <v>131</v>
      </c>
      <c r="B1115" s="1">
        <v>45736</v>
      </c>
      <c r="C1115" t="s">
        <v>278</v>
      </c>
      <c r="D1115" t="s">
        <v>278</v>
      </c>
      <c r="F1115" t="str">
        <f t="shared" si="36"/>
        <v>70610010</v>
      </c>
      <c r="H1115" t="s">
        <v>139</v>
      </c>
      <c r="I1115" s="1">
        <v>45767</v>
      </c>
      <c r="K1115" s="4">
        <v>2680000</v>
      </c>
    </row>
    <row r="1116" spans="1:11" hidden="1" outlineLevel="2" x14ac:dyDescent="0.35">
      <c r="A1116" t="s">
        <v>131</v>
      </c>
      <c r="B1116" s="1">
        <v>45736</v>
      </c>
      <c r="C1116" t="s">
        <v>278</v>
      </c>
      <c r="D1116" t="s">
        <v>278</v>
      </c>
      <c r="F1116" t="str">
        <f t="shared" si="36"/>
        <v>70610010</v>
      </c>
      <c r="H1116" t="s">
        <v>254</v>
      </c>
      <c r="I1116" s="1">
        <v>45767</v>
      </c>
      <c r="K1116" s="4">
        <v>-2680000</v>
      </c>
    </row>
    <row r="1117" spans="1:11" hidden="1" outlineLevel="2" x14ac:dyDescent="0.35">
      <c r="A1117" t="s">
        <v>131</v>
      </c>
      <c r="B1117" s="1">
        <v>45736</v>
      </c>
      <c r="C1117" t="s">
        <v>279</v>
      </c>
      <c r="D1117" t="s">
        <v>279</v>
      </c>
      <c r="F1117" t="str">
        <f t="shared" si="36"/>
        <v>70610010</v>
      </c>
      <c r="H1117" t="s">
        <v>139</v>
      </c>
      <c r="I1117" s="1">
        <v>45767</v>
      </c>
      <c r="K1117" s="4">
        <v>2412000</v>
      </c>
    </row>
    <row r="1118" spans="1:11" hidden="1" outlineLevel="2" x14ac:dyDescent="0.35">
      <c r="A1118" t="s">
        <v>131</v>
      </c>
      <c r="B1118" s="1">
        <v>45736</v>
      </c>
      <c r="C1118" t="s">
        <v>279</v>
      </c>
      <c r="D1118" t="s">
        <v>279</v>
      </c>
      <c r="F1118" t="str">
        <f t="shared" si="36"/>
        <v>70610010</v>
      </c>
      <c r="H1118" t="s">
        <v>139</v>
      </c>
      <c r="I1118" s="1">
        <v>45767</v>
      </c>
      <c r="K1118" s="4">
        <v>2412000</v>
      </c>
    </row>
    <row r="1119" spans="1:11" hidden="1" outlineLevel="2" x14ac:dyDescent="0.35">
      <c r="A1119" t="s">
        <v>131</v>
      </c>
      <c r="B1119" s="1">
        <v>45736</v>
      </c>
      <c r="C1119" t="s">
        <v>279</v>
      </c>
      <c r="D1119" t="s">
        <v>279</v>
      </c>
      <c r="F1119" t="str">
        <f t="shared" si="36"/>
        <v>70610010</v>
      </c>
      <c r="H1119" t="s">
        <v>254</v>
      </c>
      <c r="I1119" s="1">
        <v>45767</v>
      </c>
      <c r="K1119" s="4">
        <v>-2412000</v>
      </c>
    </row>
    <row r="1120" spans="1:11" hidden="1" outlineLevel="2" x14ac:dyDescent="0.35">
      <c r="A1120" t="s">
        <v>131</v>
      </c>
      <c r="B1120" s="1">
        <v>45736</v>
      </c>
      <c r="C1120" t="s">
        <v>280</v>
      </c>
      <c r="D1120" t="s">
        <v>280</v>
      </c>
      <c r="F1120" t="str">
        <f t="shared" si="36"/>
        <v>70610010</v>
      </c>
      <c r="H1120" t="s">
        <v>139</v>
      </c>
      <c r="I1120" s="1">
        <v>45767</v>
      </c>
      <c r="K1120" s="4">
        <v>1340000</v>
      </c>
    </row>
    <row r="1121" spans="1:11" hidden="1" outlineLevel="2" x14ac:dyDescent="0.35">
      <c r="A1121" t="s">
        <v>131</v>
      </c>
      <c r="B1121" s="1">
        <v>45736</v>
      </c>
      <c r="C1121" t="s">
        <v>280</v>
      </c>
      <c r="D1121" t="s">
        <v>280</v>
      </c>
      <c r="F1121" t="str">
        <f t="shared" si="36"/>
        <v>70610010</v>
      </c>
      <c r="H1121" t="s">
        <v>139</v>
      </c>
      <c r="I1121" s="1">
        <v>45767</v>
      </c>
      <c r="K1121" s="4">
        <v>1340000</v>
      </c>
    </row>
    <row r="1122" spans="1:11" hidden="1" outlineLevel="2" x14ac:dyDescent="0.35">
      <c r="A1122" t="s">
        <v>131</v>
      </c>
      <c r="B1122" s="1">
        <v>45736</v>
      </c>
      <c r="C1122" t="s">
        <v>280</v>
      </c>
      <c r="D1122" t="s">
        <v>280</v>
      </c>
      <c r="F1122" t="str">
        <f t="shared" si="36"/>
        <v>70610010</v>
      </c>
      <c r="H1122" t="s">
        <v>254</v>
      </c>
      <c r="I1122" s="1">
        <v>45767</v>
      </c>
      <c r="K1122" s="4">
        <v>-1340000</v>
      </c>
    </row>
    <row r="1123" spans="1:11" hidden="1" outlineLevel="2" x14ac:dyDescent="0.35">
      <c r="A1123" t="s">
        <v>131</v>
      </c>
      <c r="B1123" s="1">
        <v>45736</v>
      </c>
      <c r="C1123" t="s">
        <v>281</v>
      </c>
      <c r="D1123" t="s">
        <v>281</v>
      </c>
      <c r="F1123" t="str">
        <f t="shared" si="36"/>
        <v>70610010</v>
      </c>
      <c r="H1123" t="s">
        <v>180</v>
      </c>
      <c r="I1123" s="1">
        <v>45767</v>
      </c>
      <c r="K1123" s="4">
        <v>1407000</v>
      </c>
    </row>
    <row r="1124" spans="1:11" hidden="1" outlineLevel="2" x14ac:dyDescent="0.35">
      <c r="A1124" t="s">
        <v>131</v>
      </c>
      <c r="B1124" s="1">
        <v>45736</v>
      </c>
      <c r="C1124" t="s">
        <v>281</v>
      </c>
      <c r="D1124" t="s">
        <v>281</v>
      </c>
      <c r="F1124" t="str">
        <f t="shared" si="36"/>
        <v>70610010</v>
      </c>
      <c r="H1124" t="s">
        <v>180</v>
      </c>
      <c r="I1124" s="1">
        <v>45767</v>
      </c>
      <c r="K1124" s="4">
        <v>1407000</v>
      </c>
    </row>
    <row r="1125" spans="1:11" hidden="1" outlineLevel="2" x14ac:dyDescent="0.35">
      <c r="A1125" t="s">
        <v>131</v>
      </c>
      <c r="B1125" s="1">
        <v>45736</v>
      </c>
      <c r="C1125" t="s">
        <v>281</v>
      </c>
      <c r="D1125" t="s">
        <v>281</v>
      </c>
      <c r="F1125" t="str">
        <f t="shared" si="36"/>
        <v>70610010</v>
      </c>
      <c r="H1125" t="s">
        <v>257</v>
      </c>
      <c r="I1125" s="1">
        <v>45767</v>
      </c>
      <c r="K1125" s="4">
        <v>-1407000</v>
      </c>
    </row>
    <row r="1126" spans="1:11" hidden="1" outlineLevel="2" x14ac:dyDescent="0.35">
      <c r="A1126" t="s">
        <v>131</v>
      </c>
      <c r="B1126" s="1">
        <v>45737</v>
      </c>
      <c r="C1126" t="s">
        <v>282</v>
      </c>
      <c r="D1126" t="s">
        <v>282</v>
      </c>
      <c r="F1126" t="str">
        <f t="shared" si="36"/>
        <v>70610010</v>
      </c>
      <c r="H1126" t="s">
        <v>175</v>
      </c>
      <c r="I1126" s="1">
        <v>45768</v>
      </c>
      <c r="K1126" s="4">
        <v>1056000</v>
      </c>
    </row>
    <row r="1127" spans="1:11" hidden="1" outlineLevel="2" x14ac:dyDescent="0.35">
      <c r="A1127" t="s">
        <v>131</v>
      </c>
      <c r="B1127" s="1">
        <v>45737</v>
      </c>
      <c r="C1127" t="s">
        <v>282</v>
      </c>
      <c r="D1127" t="s">
        <v>282</v>
      </c>
      <c r="F1127" t="str">
        <f t="shared" si="36"/>
        <v>70610010</v>
      </c>
      <c r="H1127" t="s">
        <v>175</v>
      </c>
      <c r="I1127" s="1">
        <v>45768</v>
      </c>
      <c r="K1127" s="4">
        <v>1056000</v>
      </c>
    </row>
    <row r="1128" spans="1:11" hidden="1" outlineLevel="2" x14ac:dyDescent="0.35">
      <c r="A1128" t="s">
        <v>131</v>
      </c>
      <c r="B1128" s="1">
        <v>45737</v>
      </c>
      <c r="C1128" t="s">
        <v>282</v>
      </c>
      <c r="D1128" t="s">
        <v>282</v>
      </c>
      <c r="F1128" t="str">
        <f t="shared" si="36"/>
        <v>70610010</v>
      </c>
      <c r="H1128" t="s">
        <v>283</v>
      </c>
      <c r="I1128" s="1">
        <v>45768</v>
      </c>
      <c r="K1128" s="4">
        <v>-1056000</v>
      </c>
    </row>
    <row r="1129" spans="1:11" hidden="1" outlineLevel="2" x14ac:dyDescent="0.35">
      <c r="A1129" t="s">
        <v>131</v>
      </c>
      <c r="B1129" s="1">
        <v>45737</v>
      </c>
      <c r="C1129" t="s">
        <v>284</v>
      </c>
      <c r="D1129" t="s">
        <v>284</v>
      </c>
      <c r="F1129" t="str">
        <f t="shared" si="36"/>
        <v>70610010</v>
      </c>
      <c r="H1129" t="s">
        <v>146</v>
      </c>
      <c r="I1129" s="1">
        <v>45768</v>
      </c>
      <c r="K1129" s="4">
        <v>132000</v>
      </c>
    </row>
    <row r="1130" spans="1:11" hidden="1" outlineLevel="2" x14ac:dyDescent="0.35">
      <c r="A1130" t="s">
        <v>131</v>
      </c>
      <c r="B1130" s="1">
        <v>45737</v>
      </c>
      <c r="C1130" t="s">
        <v>284</v>
      </c>
      <c r="D1130" t="s">
        <v>284</v>
      </c>
      <c r="F1130" t="str">
        <f t="shared" si="36"/>
        <v>70610010</v>
      </c>
      <c r="H1130" t="s">
        <v>146</v>
      </c>
      <c r="I1130" s="1">
        <v>45768</v>
      </c>
      <c r="K1130" s="4">
        <v>132000</v>
      </c>
    </row>
    <row r="1131" spans="1:11" hidden="1" outlineLevel="2" x14ac:dyDescent="0.35">
      <c r="A1131" t="s">
        <v>131</v>
      </c>
      <c r="B1131" s="1">
        <v>45737</v>
      </c>
      <c r="C1131" t="s">
        <v>284</v>
      </c>
      <c r="D1131" t="s">
        <v>284</v>
      </c>
      <c r="F1131" t="str">
        <f t="shared" si="36"/>
        <v>70610010</v>
      </c>
      <c r="H1131" t="s">
        <v>268</v>
      </c>
      <c r="I1131" s="1">
        <v>45768</v>
      </c>
      <c r="K1131" s="4">
        <v>-132000</v>
      </c>
    </row>
    <row r="1132" spans="1:11" hidden="1" outlineLevel="2" x14ac:dyDescent="0.35">
      <c r="A1132" t="s">
        <v>131</v>
      </c>
      <c r="B1132" s="1">
        <v>45737</v>
      </c>
      <c r="C1132" t="s">
        <v>285</v>
      </c>
      <c r="D1132" t="s">
        <v>285</v>
      </c>
      <c r="F1132" t="str">
        <f t="shared" si="36"/>
        <v>70610010</v>
      </c>
      <c r="H1132" t="s">
        <v>146</v>
      </c>
      <c r="I1132" s="1">
        <v>45768</v>
      </c>
      <c r="K1132" s="4">
        <v>528000</v>
      </c>
    </row>
    <row r="1133" spans="1:11" hidden="1" outlineLevel="2" x14ac:dyDescent="0.35">
      <c r="A1133" t="s">
        <v>131</v>
      </c>
      <c r="B1133" s="1">
        <v>45737</v>
      </c>
      <c r="C1133" t="s">
        <v>285</v>
      </c>
      <c r="D1133" t="s">
        <v>285</v>
      </c>
      <c r="F1133" t="str">
        <f t="shared" si="36"/>
        <v>70610010</v>
      </c>
      <c r="H1133" t="s">
        <v>146</v>
      </c>
      <c r="I1133" s="1">
        <v>45768</v>
      </c>
      <c r="K1133" s="4">
        <v>528000</v>
      </c>
    </row>
    <row r="1134" spans="1:11" hidden="1" outlineLevel="2" x14ac:dyDescent="0.35">
      <c r="A1134" t="s">
        <v>131</v>
      </c>
      <c r="B1134" s="1">
        <v>45737</v>
      </c>
      <c r="C1134" t="s">
        <v>285</v>
      </c>
      <c r="D1134" t="s">
        <v>285</v>
      </c>
      <c r="F1134" t="str">
        <f t="shared" si="36"/>
        <v>70610010</v>
      </c>
      <c r="H1134" t="s">
        <v>268</v>
      </c>
      <c r="I1134" s="1">
        <v>45768</v>
      </c>
      <c r="K1134" s="4">
        <v>-528000</v>
      </c>
    </row>
    <row r="1135" spans="1:11" hidden="1" outlineLevel="2" x14ac:dyDescent="0.35">
      <c r="A1135" t="s">
        <v>131</v>
      </c>
      <c r="B1135" s="1">
        <v>45737</v>
      </c>
      <c r="C1135" t="s">
        <v>286</v>
      </c>
      <c r="D1135" t="s">
        <v>286</v>
      </c>
      <c r="F1135" t="str">
        <f t="shared" si="36"/>
        <v>70610010</v>
      </c>
      <c r="H1135" t="s">
        <v>139</v>
      </c>
      <c r="I1135" s="1">
        <v>45768</v>
      </c>
      <c r="K1135" s="4">
        <v>603000</v>
      </c>
    </row>
    <row r="1136" spans="1:11" hidden="1" outlineLevel="2" x14ac:dyDescent="0.35">
      <c r="A1136" t="s">
        <v>131</v>
      </c>
      <c r="B1136" s="1">
        <v>45737</v>
      </c>
      <c r="C1136" t="s">
        <v>286</v>
      </c>
      <c r="D1136" t="s">
        <v>286</v>
      </c>
      <c r="F1136" t="str">
        <f t="shared" si="36"/>
        <v>70610010</v>
      </c>
      <c r="H1136" t="s">
        <v>139</v>
      </c>
      <c r="I1136" s="1">
        <v>45768</v>
      </c>
      <c r="K1136" s="4">
        <v>603000</v>
      </c>
    </row>
    <row r="1137" spans="1:11" hidden="1" outlineLevel="2" x14ac:dyDescent="0.35">
      <c r="A1137" t="s">
        <v>131</v>
      </c>
      <c r="B1137" s="1">
        <v>45737</v>
      </c>
      <c r="C1137" t="s">
        <v>286</v>
      </c>
      <c r="D1137" t="s">
        <v>286</v>
      </c>
      <c r="F1137" t="str">
        <f t="shared" si="36"/>
        <v>70610010</v>
      </c>
      <c r="H1137" t="s">
        <v>254</v>
      </c>
      <c r="I1137" s="1">
        <v>45768</v>
      </c>
      <c r="K1137" s="4">
        <v>-603000</v>
      </c>
    </row>
    <row r="1138" spans="1:11" hidden="1" outlineLevel="2" x14ac:dyDescent="0.35">
      <c r="A1138" t="s">
        <v>131</v>
      </c>
      <c r="B1138" s="1">
        <v>45737</v>
      </c>
      <c r="C1138" t="s">
        <v>287</v>
      </c>
      <c r="D1138" t="s">
        <v>287</v>
      </c>
      <c r="F1138" t="str">
        <f t="shared" si="36"/>
        <v>70610010</v>
      </c>
      <c r="H1138" t="s">
        <v>180</v>
      </c>
      <c r="I1138" s="1">
        <v>45768</v>
      </c>
      <c r="K1138" s="4">
        <v>804000</v>
      </c>
    </row>
    <row r="1139" spans="1:11" hidden="1" outlineLevel="2" x14ac:dyDescent="0.35">
      <c r="A1139" t="s">
        <v>131</v>
      </c>
      <c r="B1139" s="1">
        <v>45737</v>
      </c>
      <c r="C1139" t="s">
        <v>287</v>
      </c>
      <c r="D1139" t="s">
        <v>287</v>
      </c>
      <c r="F1139" t="str">
        <f t="shared" si="36"/>
        <v>70610010</v>
      </c>
      <c r="H1139" t="s">
        <v>180</v>
      </c>
      <c r="I1139" s="1">
        <v>45768</v>
      </c>
      <c r="K1139" s="4">
        <v>804000</v>
      </c>
    </row>
    <row r="1140" spans="1:11" hidden="1" outlineLevel="2" x14ac:dyDescent="0.35">
      <c r="A1140" t="s">
        <v>131</v>
      </c>
      <c r="B1140" s="1">
        <v>45737</v>
      </c>
      <c r="C1140" t="s">
        <v>287</v>
      </c>
      <c r="D1140" t="s">
        <v>287</v>
      </c>
      <c r="F1140" t="str">
        <f t="shared" si="36"/>
        <v>70610010</v>
      </c>
      <c r="H1140" t="s">
        <v>257</v>
      </c>
      <c r="I1140" s="1">
        <v>45768</v>
      </c>
      <c r="K1140" s="4">
        <v>-804000</v>
      </c>
    </row>
    <row r="1141" spans="1:11" hidden="1" outlineLevel="2" x14ac:dyDescent="0.35">
      <c r="A1141" t="s">
        <v>131</v>
      </c>
      <c r="B1141" s="1">
        <v>45737</v>
      </c>
      <c r="C1141" t="s">
        <v>288</v>
      </c>
      <c r="D1141" t="s">
        <v>288</v>
      </c>
      <c r="F1141" t="str">
        <f t="shared" si="36"/>
        <v>70610010</v>
      </c>
      <c r="H1141" t="s">
        <v>139</v>
      </c>
      <c r="I1141" s="1">
        <v>45768</v>
      </c>
      <c r="K1141" s="4">
        <v>3752000</v>
      </c>
    </row>
    <row r="1142" spans="1:11" hidden="1" outlineLevel="2" x14ac:dyDescent="0.35">
      <c r="A1142" t="s">
        <v>131</v>
      </c>
      <c r="B1142" s="1">
        <v>45737</v>
      </c>
      <c r="C1142" t="s">
        <v>288</v>
      </c>
      <c r="D1142" t="s">
        <v>288</v>
      </c>
      <c r="F1142" t="str">
        <f t="shared" ref="F1142:F1186" si="37">"70610010"</f>
        <v>70610010</v>
      </c>
      <c r="H1142" t="s">
        <v>139</v>
      </c>
      <c r="I1142" s="1">
        <v>45768</v>
      </c>
      <c r="K1142" s="4">
        <v>3752000</v>
      </c>
    </row>
    <row r="1143" spans="1:11" hidden="1" outlineLevel="2" x14ac:dyDescent="0.35">
      <c r="A1143" t="s">
        <v>131</v>
      </c>
      <c r="B1143" s="1">
        <v>45737</v>
      </c>
      <c r="C1143" t="s">
        <v>288</v>
      </c>
      <c r="D1143" t="s">
        <v>288</v>
      </c>
      <c r="F1143" t="str">
        <f t="shared" si="37"/>
        <v>70610010</v>
      </c>
      <c r="H1143" t="s">
        <v>254</v>
      </c>
      <c r="I1143" s="1">
        <v>45768</v>
      </c>
      <c r="K1143" s="4">
        <v>-3752000</v>
      </c>
    </row>
    <row r="1144" spans="1:11" hidden="1" outlineLevel="2" x14ac:dyDescent="0.35">
      <c r="A1144" t="s">
        <v>131</v>
      </c>
      <c r="B1144" s="1">
        <v>45740</v>
      </c>
      <c r="C1144" t="s">
        <v>289</v>
      </c>
      <c r="D1144" t="s">
        <v>289</v>
      </c>
      <c r="F1144" t="str">
        <f t="shared" si="37"/>
        <v>70610010</v>
      </c>
      <c r="H1144" t="s">
        <v>290</v>
      </c>
      <c r="I1144" s="1">
        <v>45740</v>
      </c>
      <c r="K1144" s="4">
        <v>132000</v>
      </c>
    </row>
    <row r="1145" spans="1:11" hidden="1" outlineLevel="2" x14ac:dyDescent="0.35">
      <c r="A1145" t="s">
        <v>131</v>
      </c>
      <c r="B1145" s="1">
        <v>45740</v>
      </c>
      <c r="C1145" t="s">
        <v>291</v>
      </c>
      <c r="D1145" t="s">
        <v>291</v>
      </c>
      <c r="F1145" t="str">
        <f t="shared" si="37"/>
        <v>70610010</v>
      </c>
      <c r="H1145" t="s">
        <v>144</v>
      </c>
      <c r="I1145" s="1">
        <v>45740</v>
      </c>
      <c r="K1145" s="4">
        <v>60000</v>
      </c>
    </row>
    <row r="1146" spans="1:11" hidden="1" outlineLevel="2" x14ac:dyDescent="0.35">
      <c r="A1146" t="s">
        <v>131</v>
      </c>
      <c r="B1146" s="1">
        <v>45740</v>
      </c>
      <c r="C1146" t="s">
        <v>292</v>
      </c>
      <c r="D1146" t="s">
        <v>292</v>
      </c>
      <c r="F1146" t="str">
        <f t="shared" si="37"/>
        <v>70610010</v>
      </c>
      <c r="H1146" t="s">
        <v>159</v>
      </c>
      <c r="I1146" s="1">
        <v>45740</v>
      </c>
      <c r="K1146" s="4">
        <v>198000</v>
      </c>
    </row>
    <row r="1147" spans="1:11" hidden="1" outlineLevel="2" x14ac:dyDescent="0.35">
      <c r="A1147" t="s">
        <v>131</v>
      </c>
      <c r="B1147" s="1">
        <v>45740</v>
      </c>
      <c r="C1147" t="s">
        <v>293</v>
      </c>
      <c r="D1147" t="s">
        <v>293</v>
      </c>
      <c r="F1147" t="str">
        <f t="shared" si="37"/>
        <v>70610010</v>
      </c>
      <c r="H1147" t="s">
        <v>188</v>
      </c>
      <c r="I1147" s="1">
        <v>45740</v>
      </c>
      <c r="K1147" s="4">
        <v>300000</v>
      </c>
    </row>
    <row r="1148" spans="1:11" hidden="1" outlineLevel="2" x14ac:dyDescent="0.35">
      <c r="A1148" t="s">
        <v>131</v>
      </c>
      <c r="B1148" s="1">
        <v>45740</v>
      </c>
      <c r="C1148" t="s">
        <v>294</v>
      </c>
      <c r="D1148" t="s">
        <v>294</v>
      </c>
      <c r="F1148" t="str">
        <f t="shared" si="37"/>
        <v>70610010</v>
      </c>
      <c r="H1148" t="s">
        <v>159</v>
      </c>
      <c r="I1148" s="1">
        <v>45771</v>
      </c>
      <c r="K1148" s="4">
        <v>201000</v>
      </c>
    </row>
    <row r="1149" spans="1:11" hidden="1" outlineLevel="2" x14ac:dyDescent="0.35">
      <c r="A1149" t="s">
        <v>131</v>
      </c>
      <c r="B1149" s="1">
        <v>45740</v>
      </c>
      <c r="C1149" t="s">
        <v>295</v>
      </c>
      <c r="D1149" t="s">
        <v>295</v>
      </c>
      <c r="F1149" t="str">
        <f t="shared" si="37"/>
        <v>70610010</v>
      </c>
      <c r="H1149" t="s">
        <v>159</v>
      </c>
      <c r="I1149" s="1">
        <v>45740</v>
      </c>
      <c r="K1149" s="4">
        <v>268000</v>
      </c>
    </row>
    <row r="1150" spans="1:11" hidden="1" outlineLevel="2" x14ac:dyDescent="0.35">
      <c r="A1150" t="s">
        <v>131</v>
      </c>
      <c r="B1150" s="1">
        <v>45740</v>
      </c>
      <c r="C1150" t="s">
        <v>296</v>
      </c>
      <c r="D1150" t="s">
        <v>296</v>
      </c>
      <c r="F1150" t="str">
        <f t="shared" si="37"/>
        <v>70610010</v>
      </c>
      <c r="H1150" t="s">
        <v>159</v>
      </c>
      <c r="I1150" s="1">
        <v>45740</v>
      </c>
      <c r="K1150" s="4">
        <v>268000</v>
      </c>
    </row>
    <row r="1151" spans="1:11" hidden="1" outlineLevel="2" x14ac:dyDescent="0.35">
      <c r="A1151" t="s">
        <v>131</v>
      </c>
      <c r="B1151" s="1">
        <v>45740</v>
      </c>
      <c r="C1151" t="s">
        <v>297</v>
      </c>
      <c r="D1151" t="s">
        <v>297</v>
      </c>
      <c r="F1151" t="str">
        <f t="shared" si="37"/>
        <v>70610010</v>
      </c>
      <c r="H1151" t="s">
        <v>159</v>
      </c>
      <c r="I1151" s="1">
        <v>45740</v>
      </c>
      <c r="K1151" s="4">
        <v>134000</v>
      </c>
    </row>
    <row r="1152" spans="1:11" hidden="1" outlineLevel="2" x14ac:dyDescent="0.35">
      <c r="A1152" t="s">
        <v>131</v>
      </c>
      <c r="B1152" s="1">
        <v>45740</v>
      </c>
      <c r="C1152" t="s">
        <v>298</v>
      </c>
      <c r="D1152" t="s">
        <v>298</v>
      </c>
      <c r="F1152" t="str">
        <f t="shared" si="37"/>
        <v>70610010</v>
      </c>
      <c r="H1152" t="s">
        <v>159</v>
      </c>
      <c r="I1152" s="1">
        <v>45740</v>
      </c>
      <c r="K1152" s="4">
        <v>134000</v>
      </c>
    </row>
    <row r="1153" spans="1:11" hidden="1" outlineLevel="2" x14ac:dyDescent="0.35">
      <c r="A1153" t="s">
        <v>131</v>
      </c>
      <c r="B1153" s="1">
        <v>45740</v>
      </c>
      <c r="C1153" t="s">
        <v>299</v>
      </c>
      <c r="D1153" t="s">
        <v>299</v>
      </c>
      <c r="F1153" t="str">
        <f t="shared" si="37"/>
        <v>70610010</v>
      </c>
      <c r="H1153" t="s">
        <v>224</v>
      </c>
      <c r="I1153" s="1">
        <v>45740</v>
      </c>
      <c r="K1153" s="4">
        <v>297000</v>
      </c>
    </row>
    <row r="1154" spans="1:11" hidden="1" outlineLevel="2" x14ac:dyDescent="0.35">
      <c r="A1154" t="s">
        <v>131</v>
      </c>
      <c r="B1154" s="1">
        <v>45740</v>
      </c>
      <c r="C1154" t="s">
        <v>300</v>
      </c>
      <c r="D1154" t="s">
        <v>300</v>
      </c>
      <c r="F1154" t="str">
        <f t="shared" si="37"/>
        <v>70610010</v>
      </c>
      <c r="H1154" t="s">
        <v>146</v>
      </c>
      <c r="I1154" s="1">
        <v>45771</v>
      </c>
      <c r="K1154" s="4">
        <v>30000</v>
      </c>
    </row>
    <row r="1155" spans="1:11" hidden="1" outlineLevel="2" x14ac:dyDescent="0.35">
      <c r="A1155" t="s">
        <v>131</v>
      </c>
      <c r="B1155" s="1">
        <v>45740</v>
      </c>
      <c r="C1155" t="s">
        <v>301</v>
      </c>
      <c r="D1155" t="s">
        <v>301</v>
      </c>
      <c r="F1155" t="str">
        <f t="shared" si="37"/>
        <v>70610010</v>
      </c>
      <c r="H1155" t="s">
        <v>146</v>
      </c>
      <c r="I1155" s="1">
        <v>45771</v>
      </c>
      <c r="K1155" s="4">
        <v>30000</v>
      </c>
    </row>
    <row r="1156" spans="1:11" hidden="1" outlineLevel="2" x14ac:dyDescent="0.35">
      <c r="A1156" t="s">
        <v>131</v>
      </c>
      <c r="B1156" s="1">
        <v>45740</v>
      </c>
      <c r="C1156" t="s">
        <v>302</v>
      </c>
      <c r="D1156" t="s">
        <v>302</v>
      </c>
      <c r="F1156" t="str">
        <f t="shared" si="37"/>
        <v>70610010</v>
      </c>
      <c r="H1156" t="s">
        <v>148</v>
      </c>
      <c r="I1156" s="1">
        <v>45740</v>
      </c>
      <c r="K1156" s="4">
        <v>323850</v>
      </c>
    </row>
    <row r="1157" spans="1:11" hidden="1" outlineLevel="2" x14ac:dyDescent="0.35">
      <c r="A1157" t="s">
        <v>131</v>
      </c>
      <c r="B1157" s="1">
        <v>45740</v>
      </c>
      <c r="C1157" t="s">
        <v>303</v>
      </c>
      <c r="D1157" t="s">
        <v>303</v>
      </c>
      <c r="F1157" t="str">
        <f t="shared" si="37"/>
        <v>70610010</v>
      </c>
      <c r="H1157" t="s">
        <v>233</v>
      </c>
      <c r="I1157" s="1">
        <v>45740</v>
      </c>
      <c r="K1157" s="4">
        <v>264000</v>
      </c>
    </row>
    <row r="1158" spans="1:11" hidden="1" outlineLevel="2" x14ac:dyDescent="0.35">
      <c r="A1158" t="s">
        <v>131</v>
      </c>
      <c r="B1158" s="1">
        <v>45740</v>
      </c>
      <c r="C1158" t="s">
        <v>304</v>
      </c>
      <c r="D1158" t="s">
        <v>304</v>
      </c>
      <c r="F1158" t="str">
        <f t="shared" si="37"/>
        <v>70610010</v>
      </c>
      <c r="H1158" t="s">
        <v>180</v>
      </c>
      <c r="I1158" s="1">
        <v>45771</v>
      </c>
      <c r="K1158" s="4">
        <v>3618000</v>
      </c>
    </row>
    <row r="1159" spans="1:11" hidden="1" outlineLevel="2" x14ac:dyDescent="0.35">
      <c r="A1159" t="s">
        <v>131</v>
      </c>
      <c r="B1159" s="1">
        <v>45740</v>
      </c>
      <c r="C1159" t="s">
        <v>305</v>
      </c>
      <c r="D1159" t="s">
        <v>305</v>
      </c>
      <c r="F1159" t="str">
        <f t="shared" si="37"/>
        <v>70610010</v>
      </c>
      <c r="H1159" t="s">
        <v>180</v>
      </c>
      <c r="I1159" s="1">
        <v>45771</v>
      </c>
      <c r="K1159" s="4">
        <v>536000</v>
      </c>
    </row>
    <row r="1160" spans="1:11" hidden="1" outlineLevel="2" x14ac:dyDescent="0.35">
      <c r="A1160" t="s">
        <v>131</v>
      </c>
      <c r="B1160" s="1">
        <v>45741</v>
      </c>
      <c r="C1160" t="s">
        <v>306</v>
      </c>
      <c r="D1160" t="s">
        <v>306</v>
      </c>
      <c r="F1160" t="str">
        <f t="shared" si="37"/>
        <v>70610010</v>
      </c>
      <c r="H1160" t="s">
        <v>307</v>
      </c>
      <c r="I1160" s="1">
        <v>45772</v>
      </c>
      <c r="K1160" s="4">
        <v>198000</v>
      </c>
    </row>
    <row r="1161" spans="1:11" hidden="1" outlineLevel="2" x14ac:dyDescent="0.35">
      <c r="A1161" t="s">
        <v>131</v>
      </c>
      <c r="B1161" s="1">
        <v>45741</v>
      </c>
      <c r="C1161" t="s">
        <v>308</v>
      </c>
      <c r="D1161" t="s">
        <v>308</v>
      </c>
      <c r="F1161" t="str">
        <f t="shared" si="37"/>
        <v>70610010</v>
      </c>
      <c r="H1161" t="s">
        <v>139</v>
      </c>
      <c r="I1161" s="1">
        <v>45772</v>
      </c>
      <c r="K1161" s="4">
        <v>1876000</v>
      </c>
    </row>
    <row r="1162" spans="1:11" hidden="1" outlineLevel="2" x14ac:dyDescent="0.35">
      <c r="A1162" t="s">
        <v>131</v>
      </c>
      <c r="B1162" s="1">
        <v>45741</v>
      </c>
      <c r="C1162" t="s">
        <v>309</v>
      </c>
      <c r="D1162" t="s">
        <v>309</v>
      </c>
      <c r="F1162" t="str">
        <f t="shared" si="37"/>
        <v>70610010</v>
      </c>
      <c r="H1162" t="s">
        <v>148</v>
      </c>
      <c r="I1162" s="1">
        <v>45741</v>
      </c>
      <c r="K1162" s="4">
        <v>1440000</v>
      </c>
    </row>
    <row r="1163" spans="1:11" hidden="1" outlineLevel="2" x14ac:dyDescent="0.35">
      <c r="A1163" t="s">
        <v>131</v>
      </c>
      <c r="B1163" s="1">
        <v>45742</v>
      </c>
      <c r="C1163" t="s">
        <v>310</v>
      </c>
      <c r="D1163" t="s">
        <v>310</v>
      </c>
      <c r="F1163" t="str">
        <f t="shared" si="37"/>
        <v>70610010</v>
      </c>
      <c r="H1163" t="s">
        <v>146</v>
      </c>
      <c r="I1163" s="1">
        <v>45773</v>
      </c>
      <c r="K1163" s="4">
        <v>264000</v>
      </c>
    </row>
    <row r="1164" spans="1:11" hidden="1" outlineLevel="2" x14ac:dyDescent="0.35">
      <c r="A1164" t="s">
        <v>131</v>
      </c>
      <c r="B1164" s="1">
        <v>45742</v>
      </c>
      <c r="C1164" t="s">
        <v>311</v>
      </c>
      <c r="D1164" t="s">
        <v>311</v>
      </c>
      <c r="F1164" t="str">
        <f t="shared" si="37"/>
        <v>70610010</v>
      </c>
      <c r="H1164" t="s">
        <v>170</v>
      </c>
      <c r="I1164" s="1">
        <v>45752</v>
      </c>
      <c r="K1164" s="4">
        <v>660000</v>
      </c>
    </row>
    <row r="1165" spans="1:11" hidden="1" outlineLevel="2" x14ac:dyDescent="0.35">
      <c r="A1165" t="s">
        <v>131</v>
      </c>
      <c r="B1165" s="1">
        <v>45744</v>
      </c>
      <c r="C1165" t="s">
        <v>312</v>
      </c>
      <c r="D1165" t="s">
        <v>312</v>
      </c>
      <c r="F1165" t="str">
        <f t="shared" si="37"/>
        <v>70610010</v>
      </c>
      <c r="H1165" t="s">
        <v>167</v>
      </c>
      <c r="I1165" s="1">
        <v>45744</v>
      </c>
      <c r="K1165" s="4">
        <v>132000</v>
      </c>
    </row>
    <row r="1166" spans="1:11" hidden="1" outlineLevel="2" x14ac:dyDescent="0.35">
      <c r="A1166" t="s">
        <v>131</v>
      </c>
      <c r="B1166" s="1">
        <v>45744</v>
      </c>
      <c r="C1166" t="s">
        <v>313</v>
      </c>
      <c r="D1166" t="s">
        <v>313</v>
      </c>
      <c r="F1166" t="str">
        <f t="shared" si="37"/>
        <v>70610010</v>
      </c>
      <c r="H1166" t="s">
        <v>159</v>
      </c>
      <c r="I1166" s="1">
        <v>45744</v>
      </c>
      <c r="K1166" s="4">
        <v>198000</v>
      </c>
    </row>
    <row r="1167" spans="1:11" hidden="1" outlineLevel="2" x14ac:dyDescent="0.35">
      <c r="A1167" t="s">
        <v>131</v>
      </c>
      <c r="B1167" s="1">
        <v>45744</v>
      </c>
      <c r="C1167" t="s">
        <v>314</v>
      </c>
      <c r="D1167" t="s">
        <v>314</v>
      </c>
      <c r="F1167" t="str">
        <f t="shared" si="37"/>
        <v>70610010</v>
      </c>
      <c r="H1167" t="s">
        <v>159</v>
      </c>
      <c r="I1167" s="1">
        <v>45775</v>
      </c>
      <c r="K1167" s="4">
        <v>268000</v>
      </c>
    </row>
    <row r="1168" spans="1:11" hidden="1" outlineLevel="2" x14ac:dyDescent="0.35">
      <c r="A1168" t="s">
        <v>131</v>
      </c>
      <c r="B1168" s="1">
        <v>45744</v>
      </c>
      <c r="C1168" t="s">
        <v>315</v>
      </c>
      <c r="D1168" t="s">
        <v>315</v>
      </c>
      <c r="F1168" t="str">
        <f t="shared" si="37"/>
        <v>70610010</v>
      </c>
      <c r="H1168" t="s">
        <v>159</v>
      </c>
      <c r="I1168" s="1">
        <v>45775</v>
      </c>
      <c r="K1168" s="4">
        <v>268000</v>
      </c>
    </row>
    <row r="1169" spans="1:11" hidden="1" outlineLevel="2" x14ac:dyDescent="0.35">
      <c r="A1169" t="s">
        <v>131</v>
      </c>
      <c r="B1169" s="1">
        <v>45744</v>
      </c>
      <c r="C1169" t="s">
        <v>316</v>
      </c>
      <c r="D1169" t="s">
        <v>316</v>
      </c>
      <c r="F1169" t="str">
        <f t="shared" si="37"/>
        <v>70610010</v>
      </c>
      <c r="H1169" t="s">
        <v>146</v>
      </c>
      <c r="I1169" s="1">
        <v>45775</v>
      </c>
      <c r="K1169" s="4">
        <v>132000</v>
      </c>
    </row>
    <row r="1170" spans="1:11" hidden="1" outlineLevel="2" x14ac:dyDescent="0.35">
      <c r="A1170" t="s">
        <v>131</v>
      </c>
      <c r="B1170" s="1">
        <v>45744</v>
      </c>
      <c r="C1170" t="s">
        <v>317</v>
      </c>
      <c r="D1170" t="s">
        <v>317</v>
      </c>
      <c r="F1170" t="str">
        <f t="shared" si="37"/>
        <v>70610010</v>
      </c>
      <c r="H1170" t="s">
        <v>271</v>
      </c>
      <c r="I1170" s="1">
        <v>45744</v>
      </c>
      <c r="K1170" s="4">
        <v>402000</v>
      </c>
    </row>
    <row r="1171" spans="1:11" hidden="1" outlineLevel="2" x14ac:dyDescent="0.35">
      <c r="A1171" t="s">
        <v>131</v>
      </c>
      <c r="B1171" s="1">
        <v>45744</v>
      </c>
      <c r="C1171" t="s">
        <v>318</v>
      </c>
      <c r="D1171" t="s">
        <v>318</v>
      </c>
      <c r="F1171" t="str">
        <f t="shared" si="37"/>
        <v>70610010</v>
      </c>
      <c r="H1171" t="s">
        <v>195</v>
      </c>
      <c r="I1171" s="1">
        <v>45744</v>
      </c>
      <c r="K1171" s="4">
        <v>268000</v>
      </c>
    </row>
    <row r="1172" spans="1:11" hidden="1" outlineLevel="2" x14ac:dyDescent="0.35">
      <c r="A1172" t="s">
        <v>131</v>
      </c>
      <c r="B1172" s="1">
        <v>45744</v>
      </c>
      <c r="C1172" t="s">
        <v>319</v>
      </c>
      <c r="D1172" t="s">
        <v>319</v>
      </c>
      <c r="F1172" t="str">
        <f t="shared" si="37"/>
        <v>70610010</v>
      </c>
      <c r="H1172" t="s">
        <v>203</v>
      </c>
      <c r="I1172" s="1">
        <v>45744</v>
      </c>
      <c r="K1172" s="4">
        <v>99000</v>
      </c>
    </row>
    <row r="1173" spans="1:11" hidden="1" outlineLevel="2" x14ac:dyDescent="0.35">
      <c r="A1173" t="s">
        <v>131</v>
      </c>
      <c r="B1173" s="1">
        <v>45744</v>
      </c>
      <c r="C1173" t="s">
        <v>320</v>
      </c>
      <c r="D1173" t="s">
        <v>320</v>
      </c>
      <c r="F1173" t="str">
        <f t="shared" si="37"/>
        <v>70610010</v>
      </c>
      <c r="H1173" t="s">
        <v>139</v>
      </c>
      <c r="I1173" s="1">
        <v>45775</v>
      </c>
      <c r="K1173" s="4">
        <v>2948000</v>
      </c>
    </row>
    <row r="1174" spans="1:11" hidden="1" outlineLevel="2" x14ac:dyDescent="0.35">
      <c r="A1174" t="s">
        <v>131</v>
      </c>
      <c r="B1174" s="1">
        <v>45744</v>
      </c>
      <c r="C1174" t="s">
        <v>321</v>
      </c>
      <c r="D1174" t="s">
        <v>321</v>
      </c>
      <c r="F1174" t="str">
        <f t="shared" si="37"/>
        <v>70610010</v>
      </c>
      <c r="H1174" t="s">
        <v>139</v>
      </c>
      <c r="I1174" s="1">
        <v>45775</v>
      </c>
      <c r="K1174" s="4">
        <v>2144000</v>
      </c>
    </row>
    <row r="1175" spans="1:11" hidden="1" outlineLevel="2" x14ac:dyDescent="0.35">
      <c r="A1175" t="s">
        <v>131</v>
      </c>
      <c r="B1175" s="1">
        <v>45744</v>
      </c>
      <c r="C1175" t="s">
        <v>322</v>
      </c>
      <c r="D1175" t="s">
        <v>322</v>
      </c>
      <c r="F1175" t="str">
        <f t="shared" si="37"/>
        <v>70610010</v>
      </c>
      <c r="H1175" t="s">
        <v>139</v>
      </c>
      <c r="I1175" s="1">
        <v>45775</v>
      </c>
      <c r="K1175" s="4">
        <v>4288000</v>
      </c>
    </row>
    <row r="1176" spans="1:11" hidden="1" outlineLevel="2" x14ac:dyDescent="0.35">
      <c r="A1176" t="s">
        <v>131</v>
      </c>
      <c r="B1176" s="1">
        <v>45744</v>
      </c>
      <c r="C1176" t="s">
        <v>323</v>
      </c>
      <c r="D1176" t="s">
        <v>323</v>
      </c>
      <c r="F1176" t="str">
        <f t="shared" si="37"/>
        <v>70610010</v>
      </c>
      <c r="H1176" t="s">
        <v>139</v>
      </c>
      <c r="I1176" s="1">
        <v>45775</v>
      </c>
      <c r="K1176" s="4">
        <v>5360000</v>
      </c>
    </row>
    <row r="1177" spans="1:11" hidden="1" outlineLevel="2" x14ac:dyDescent="0.35">
      <c r="A1177" t="s">
        <v>131</v>
      </c>
      <c r="B1177" s="1">
        <v>45744</v>
      </c>
      <c r="C1177" t="s">
        <v>324</v>
      </c>
      <c r="D1177" t="s">
        <v>324</v>
      </c>
      <c r="F1177" t="str">
        <f t="shared" si="37"/>
        <v>70610010</v>
      </c>
      <c r="H1177" t="s">
        <v>139</v>
      </c>
      <c r="I1177" s="1">
        <v>45775</v>
      </c>
      <c r="K1177" s="4">
        <v>4556000</v>
      </c>
    </row>
    <row r="1178" spans="1:11" hidden="1" outlineLevel="2" x14ac:dyDescent="0.35">
      <c r="A1178" t="s">
        <v>131</v>
      </c>
      <c r="B1178" s="1">
        <v>45747</v>
      </c>
      <c r="C1178" t="s">
        <v>325</v>
      </c>
      <c r="D1178" t="s">
        <v>325</v>
      </c>
      <c r="F1178" t="str">
        <f t="shared" si="37"/>
        <v>70610010</v>
      </c>
      <c r="H1178" t="s">
        <v>326</v>
      </c>
      <c r="I1178" s="1">
        <v>45747</v>
      </c>
      <c r="J1178" s="4">
        <v>132000</v>
      </c>
    </row>
    <row r="1179" spans="1:11" hidden="1" outlineLevel="2" x14ac:dyDescent="0.35">
      <c r="A1179" t="s">
        <v>131</v>
      </c>
      <c r="B1179" s="1">
        <v>45747</v>
      </c>
      <c r="C1179" t="s">
        <v>327</v>
      </c>
      <c r="D1179" t="s">
        <v>327</v>
      </c>
      <c r="F1179" t="str">
        <f t="shared" si="37"/>
        <v>70610010</v>
      </c>
      <c r="H1179" t="s">
        <v>146</v>
      </c>
      <c r="I1179" s="1">
        <v>45777</v>
      </c>
      <c r="K1179" s="4">
        <v>30000</v>
      </c>
    </row>
    <row r="1180" spans="1:11" hidden="1" outlineLevel="2" x14ac:dyDescent="0.35">
      <c r="A1180" t="s">
        <v>131</v>
      </c>
      <c r="B1180" s="1">
        <v>45747</v>
      </c>
      <c r="C1180" t="s">
        <v>328</v>
      </c>
      <c r="D1180" t="s">
        <v>328</v>
      </c>
      <c r="F1180" t="str">
        <f t="shared" si="37"/>
        <v>70610010</v>
      </c>
      <c r="H1180" t="s">
        <v>148</v>
      </c>
      <c r="I1180" s="1">
        <v>45747</v>
      </c>
      <c r="K1180" s="4">
        <v>858000</v>
      </c>
    </row>
    <row r="1181" spans="1:11" hidden="1" outlineLevel="2" x14ac:dyDescent="0.35">
      <c r="A1181" t="s">
        <v>131</v>
      </c>
      <c r="B1181" s="1">
        <v>45747</v>
      </c>
      <c r="C1181" t="s">
        <v>329</v>
      </c>
      <c r="D1181" t="s">
        <v>329</v>
      </c>
      <c r="F1181" t="str">
        <f t="shared" si="37"/>
        <v>70610010</v>
      </c>
      <c r="H1181" t="s">
        <v>154</v>
      </c>
      <c r="I1181" s="1">
        <v>45747</v>
      </c>
      <c r="K1181" s="4">
        <v>660000</v>
      </c>
    </row>
    <row r="1182" spans="1:11" hidden="1" outlineLevel="2" x14ac:dyDescent="0.35">
      <c r="A1182" t="s">
        <v>131</v>
      </c>
      <c r="B1182" s="1">
        <v>45747</v>
      </c>
      <c r="C1182" t="s">
        <v>330</v>
      </c>
      <c r="D1182" t="s">
        <v>330</v>
      </c>
      <c r="F1182" t="str">
        <f t="shared" si="37"/>
        <v>70610010</v>
      </c>
      <c r="H1182" t="s">
        <v>154</v>
      </c>
      <c r="I1182" s="1">
        <v>45747</v>
      </c>
      <c r="K1182" s="4">
        <v>660000</v>
      </c>
    </row>
    <row r="1183" spans="1:11" hidden="1" outlineLevel="2" x14ac:dyDescent="0.35">
      <c r="A1183" t="s">
        <v>131</v>
      </c>
      <c r="B1183" s="1">
        <v>45747</v>
      </c>
      <c r="C1183" t="s">
        <v>331</v>
      </c>
      <c r="D1183" t="s">
        <v>331</v>
      </c>
      <c r="F1183" t="str">
        <f t="shared" si="37"/>
        <v>70610010</v>
      </c>
      <c r="H1183" t="s">
        <v>180</v>
      </c>
      <c r="I1183" s="1">
        <v>45777</v>
      </c>
      <c r="K1183" s="4">
        <v>1340000</v>
      </c>
    </row>
    <row r="1184" spans="1:11" hidden="1" outlineLevel="2" x14ac:dyDescent="0.35">
      <c r="A1184" t="s">
        <v>131</v>
      </c>
      <c r="B1184" s="1">
        <v>45747</v>
      </c>
      <c r="C1184" t="s">
        <v>332</v>
      </c>
      <c r="D1184" t="s">
        <v>332</v>
      </c>
      <c r="F1184" t="str">
        <f t="shared" si="37"/>
        <v>70610010</v>
      </c>
      <c r="H1184" t="s">
        <v>148</v>
      </c>
      <c r="I1184" s="1">
        <v>45747</v>
      </c>
      <c r="K1184" s="4">
        <v>1254000</v>
      </c>
    </row>
    <row r="1185" spans="1:11" hidden="1" outlineLevel="2" x14ac:dyDescent="0.35">
      <c r="A1185" t="s">
        <v>131</v>
      </c>
      <c r="B1185" s="1">
        <v>45747</v>
      </c>
      <c r="C1185" t="s">
        <v>333</v>
      </c>
      <c r="D1185" t="s">
        <v>333</v>
      </c>
      <c r="F1185" t="str">
        <f t="shared" si="37"/>
        <v>70610010</v>
      </c>
      <c r="H1185" t="s">
        <v>154</v>
      </c>
      <c r="I1185" s="1">
        <v>45747</v>
      </c>
      <c r="K1185" s="4">
        <v>1980000</v>
      </c>
    </row>
    <row r="1186" spans="1:11" hidden="1" outlineLevel="2" x14ac:dyDescent="0.35">
      <c r="A1186" t="s">
        <v>131</v>
      </c>
      <c r="B1186" s="1">
        <v>45747</v>
      </c>
      <c r="C1186" t="s">
        <v>334</v>
      </c>
      <c r="D1186" t="s">
        <v>334</v>
      </c>
      <c r="F1186" t="str">
        <f t="shared" si="37"/>
        <v>70610010</v>
      </c>
      <c r="H1186" t="s">
        <v>307</v>
      </c>
      <c r="I1186" s="1">
        <v>45777</v>
      </c>
      <c r="K1186" s="4">
        <v>198000</v>
      </c>
    </row>
    <row r="1187" spans="1:11" outlineLevel="1" collapsed="1" x14ac:dyDescent="0.35">
      <c r="B1187" s="1"/>
      <c r="F1187" s="3" t="s">
        <v>6718</v>
      </c>
      <c r="I1187" s="1"/>
      <c r="J1187" s="4">
        <f>SUBTOTAL(9,J950:J1186)</f>
        <v>414000</v>
      </c>
      <c r="K1187" s="4">
        <f>SUBTOTAL(9,K950:K1186)</f>
        <v>98384050</v>
      </c>
    </row>
    <row r="1188" spans="1:11" hidden="1" outlineLevel="2" x14ac:dyDescent="0.35">
      <c r="A1188" t="s">
        <v>101</v>
      </c>
      <c r="B1188" s="1">
        <v>45717</v>
      </c>
      <c r="C1188" t="str">
        <f>"8"</f>
        <v>8</v>
      </c>
      <c r="F1188" t="str">
        <f t="shared" ref="F1188:F1200" si="38">"70610040"</f>
        <v>70610040</v>
      </c>
      <c r="H1188" t="s">
        <v>109</v>
      </c>
      <c r="K1188" s="4">
        <v>-850000</v>
      </c>
    </row>
    <row r="1189" spans="1:11" hidden="1" outlineLevel="2" x14ac:dyDescent="0.35">
      <c r="A1189" t="s">
        <v>101</v>
      </c>
      <c r="B1189" s="1">
        <v>45717</v>
      </c>
      <c r="C1189" t="str">
        <f>"8"</f>
        <v>8</v>
      </c>
      <c r="F1189" t="str">
        <f t="shared" si="38"/>
        <v>70610040</v>
      </c>
      <c r="H1189" t="s">
        <v>110</v>
      </c>
      <c r="K1189" s="4">
        <v>19542500</v>
      </c>
    </row>
    <row r="1190" spans="1:11" hidden="1" outlineLevel="2" x14ac:dyDescent="0.35">
      <c r="A1190" t="s">
        <v>101</v>
      </c>
      <c r="B1190" s="1">
        <v>45747</v>
      </c>
      <c r="C1190" t="str">
        <f>"9"</f>
        <v>9</v>
      </c>
      <c r="F1190" t="str">
        <f t="shared" si="38"/>
        <v>70610040</v>
      </c>
      <c r="H1190" t="s">
        <v>121</v>
      </c>
      <c r="K1190" s="4">
        <v>1010000</v>
      </c>
    </row>
    <row r="1191" spans="1:11" hidden="1" outlineLevel="2" x14ac:dyDescent="0.35">
      <c r="A1191" t="s">
        <v>101</v>
      </c>
      <c r="B1191" s="1">
        <v>45747</v>
      </c>
      <c r="C1191" t="str">
        <f>"9"</f>
        <v>9</v>
      </c>
      <c r="F1191" t="str">
        <f t="shared" si="38"/>
        <v>70610040</v>
      </c>
      <c r="H1191" t="s">
        <v>121</v>
      </c>
      <c r="K1191" s="4">
        <v>-20526500</v>
      </c>
    </row>
    <row r="1192" spans="1:11" hidden="1" outlineLevel="2" x14ac:dyDescent="0.35">
      <c r="A1192" t="s">
        <v>131</v>
      </c>
      <c r="B1192" s="1">
        <v>45717</v>
      </c>
      <c r="C1192" t="s">
        <v>132</v>
      </c>
      <c r="D1192" t="s">
        <v>132</v>
      </c>
      <c r="F1192" t="str">
        <f t="shared" si="38"/>
        <v>70610040</v>
      </c>
      <c r="H1192" t="s">
        <v>133</v>
      </c>
      <c r="K1192" s="4">
        <v>118000</v>
      </c>
    </row>
    <row r="1193" spans="1:11" hidden="1" outlineLevel="2" x14ac:dyDescent="0.35">
      <c r="A1193" t="s">
        <v>131</v>
      </c>
      <c r="B1193" s="1">
        <v>45717</v>
      </c>
      <c r="C1193" t="s">
        <v>132</v>
      </c>
      <c r="D1193" t="s">
        <v>132</v>
      </c>
      <c r="F1193" t="str">
        <f t="shared" si="38"/>
        <v>70610040</v>
      </c>
      <c r="H1193" t="s">
        <v>134</v>
      </c>
      <c r="K1193" s="4">
        <v>-118000</v>
      </c>
    </row>
    <row r="1194" spans="1:11" hidden="1" outlineLevel="2" x14ac:dyDescent="0.35">
      <c r="A1194" t="s">
        <v>131</v>
      </c>
      <c r="B1194" s="1">
        <v>45717</v>
      </c>
      <c r="C1194" t="s">
        <v>135</v>
      </c>
      <c r="D1194" t="s">
        <v>135</v>
      </c>
      <c r="F1194" t="str">
        <f t="shared" si="38"/>
        <v>70610040</v>
      </c>
      <c r="H1194" t="s">
        <v>136</v>
      </c>
      <c r="K1194" s="4">
        <v>-118000</v>
      </c>
    </row>
    <row r="1195" spans="1:11" hidden="1" outlineLevel="2" x14ac:dyDescent="0.35">
      <c r="A1195" t="s">
        <v>131</v>
      </c>
      <c r="B1195" s="1">
        <v>45717</v>
      </c>
      <c r="C1195" t="s">
        <v>135</v>
      </c>
      <c r="D1195" t="s">
        <v>135</v>
      </c>
      <c r="F1195" t="str">
        <f t="shared" si="38"/>
        <v>70610040</v>
      </c>
      <c r="H1195" t="s">
        <v>137</v>
      </c>
      <c r="K1195" s="4">
        <v>118000</v>
      </c>
    </row>
    <row r="1196" spans="1:11" hidden="1" outlineLevel="2" x14ac:dyDescent="0.35">
      <c r="A1196" t="s">
        <v>131</v>
      </c>
      <c r="B1196" s="1">
        <v>45721</v>
      </c>
      <c r="C1196" t="s">
        <v>149</v>
      </c>
      <c r="D1196" t="s">
        <v>149</v>
      </c>
      <c r="F1196" t="str">
        <f t="shared" si="38"/>
        <v>70610040</v>
      </c>
      <c r="H1196" t="s">
        <v>150</v>
      </c>
      <c r="K1196" s="4">
        <v>59000</v>
      </c>
    </row>
    <row r="1197" spans="1:11" hidden="1" outlineLevel="2" x14ac:dyDescent="0.35">
      <c r="A1197" t="s">
        <v>131</v>
      </c>
      <c r="B1197" s="1">
        <v>45740</v>
      </c>
      <c r="C1197" t="s">
        <v>291</v>
      </c>
      <c r="D1197" t="s">
        <v>291</v>
      </c>
      <c r="F1197" t="str">
        <f t="shared" si="38"/>
        <v>70610040</v>
      </c>
      <c r="H1197" t="s">
        <v>144</v>
      </c>
      <c r="I1197" s="1">
        <v>45740</v>
      </c>
      <c r="K1197" s="4">
        <v>340000</v>
      </c>
    </row>
    <row r="1198" spans="1:11" hidden="1" outlineLevel="2" x14ac:dyDescent="0.35">
      <c r="A1198" t="s">
        <v>131</v>
      </c>
      <c r="B1198" s="1">
        <v>45740</v>
      </c>
      <c r="C1198" t="s">
        <v>300</v>
      </c>
      <c r="D1198" t="s">
        <v>300</v>
      </c>
      <c r="F1198" t="str">
        <f t="shared" si="38"/>
        <v>70610040</v>
      </c>
      <c r="H1198" t="s">
        <v>146</v>
      </c>
      <c r="I1198" s="1">
        <v>45771</v>
      </c>
      <c r="K1198" s="4">
        <v>195000</v>
      </c>
    </row>
    <row r="1199" spans="1:11" hidden="1" outlineLevel="2" x14ac:dyDescent="0.35">
      <c r="A1199" t="s">
        <v>131</v>
      </c>
      <c r="B1199" s="1">
        <v>45740</v>
      </c>
      <c r="C1199" t="s">
        <v>301</v>
      </c>
      <c r="D1199" t="s">
        <v>301</v>
      </c>
      <c r="F1199" t="str">
        <f t="shared" si="38"/>
        <v>70610040</v>
      </c>
      <c r="H1199" t="s">
        <v>146</v>
      </c>
      <c r="I1199" s="1">
        <v>45771</v>
      </c>
      <c r="K1199" s="4">
        <v>270000</v>
      </c>
    </row>
    <row r="1200" spans="1:11" hidden="1" outlineLevel="2" x14ac:dyDescent="0.35">
      <c r="A1200" t="s">
        <v>131</v>
      </c>
      <c r="B1200" s="1">
        <v>45747</v>
      </c>
      <c r="C1200" t="s">
        <v>327</v>
      </c>
      <c r="D1200" t="s">
        <v>327</v>
      </c>
      <c r="F1200" t="str">
        <f t="shared" si="38"/>
        <v>70610040</v>
      </c>
      <c r="H1200" t="s">
        <v>146</v>
      </c>
      <c r="I1200" s="1">
        <v>45777</v>
      </c>
      <c r="K1200" s="4">
        <v>220000</v>
      </c>
    </row>
    <row r="1201" spans="1:11" outlineLevel="1" collapsed="1" x14ac:dyDescent="0.35">
      <c r="B1201" s="1"/>
      <c r="F1201" s="3" t="s">
        <v>6722</v>
      </c>
      <c r="I1201" s="1"/>
      <c r="J1201" s="4">
        <f>SUBTOTAL(9,J1188:J1200)</f>
        <v>0</v>
      </c>
      <c r="K1201" s="4">
        <f>SUBTOTAL(9,K1188:K1200)</f>
        <v>260000</v>
      </c>
    </row>
    <row r="1202" spans="1:11" hidden="1" outlineLevel="2" x14ac:dyDescent="0.35">
      <c r="A1202" t="s">
        <v>101</v>
      </c>
      <c r="B1202" s="1">
        <v>45717</v>
      </c>
      <c r="C1202" t="str">
        <f>"8"</f>
        <v>8</v>
      </c>
      <c r="F1202" t="str">
        <f t="shared" ref="F1202:F1214" si="39">"70610050"</f>
        <v>70610050</v>
      </c>
      <c r="H1202" t="s">
        <v>111</v>
      </c>
      <c r="K1202" s="4">
        <v>2376000</v>
      </c>
    </row>
    <row r="1203" spans="1:11" hidden="1" outlineLevel="2" x14ac:dyDescent="0.35">
      <c r="A1203" t="s">
        <v>101</v>
      </c>
      <c r="B1203" s="1">
        <v>45747</v>
      </c>
      <c r="C1203" t="str">
        <f>"9"</f>
        <v>9</v>
      </c>
      <c r="F1203" t="str">
        <f t="shared" si="39"/>
        <v>70610050</v>
      </c>
      <c r="H1203" t="s">
        <v>124</v>
      </c>
      <c r="K1203" s="4">
        <v>-4455000</v>
      </c>
    </row>
    <row r="1204" spans="1:11" hidden="1" outlineLevel="2" x14ac:dyDescent="0.35">
      <c r="A1204" t="s">
        <v>131</v>
      </c>
      <c r="B1204" s="1">
        <v>45721</v>
      </c>
      <c r="C1204" t="s">
        <v>147</v>
      </c>
      <c r="D1204" t="s">
        <v>147</v>
      </c>
      <c r="F1204" t="str">
        <f t="shared" si="39"/>
        <v>70610050</v>
      </c>
      <c r="H1204" t="s">
        <v>148</v>
      </c>
      <c r="I1204" s="1">
        <v>45721</v>
      </c>
      <c r="K1204" s="4">
        <v>297000</v>
      </c>
    </row>
    <row r="1205" spans="1:11" hidden="1" outlineLevel="2" x14ac:dyDescent="0.35">
      <c r="A1205" t="s">
        <v>131</v>
      </c>
      <c r="B1205" s="1">
        <v>45721</v>
      </c>
      <c r="C1205" t="s">
        <v>151</v>
      </c>
      <c r="D1205" t="s">
        <v>151</v>
      </c>
      <c r="F1205" t="str">
        <f t="shared" si="39"/>
        <v>70610050</v>
      </c>
      <c r="H1205" t="s">
        <v>148</v>
      </c>
      <c r="I1205" s="1">
        <v>45721</v>
      </c>
      <c r="K1205" s="4">
        <v>198000</v>
      </c>
    </row>
    <row r="1206" spans="1:11" hidden="1" outlineLevel="2" x14ac:dyDescent="0.35">
      <c r="A1206" t="s">
        <v>131</v>
      </c>
      <c r="B1206" s="1">
        <v>45727</v>
      </c>
      <c r="C1206" t="s">
        <v>191</v>
      </c>
      <c r="D1206" t="s">
        <v>191</v>
      </c>
      <c r="F1206" t="str">
        <f t="shared" si="39"/>
        <v>70610050</v>
      </c>
      <c r="H1206" t="s">
        <v>163</v>
      </c>
      <c r="I1206" s="1">
        <v>45777</v>
      </c>
      <c r="K1206" s="4">
        <v>198000</v>
      </c>
    </row>
    <row r="1207" spans="1:11" hidden="1" outlineLevel="2" x14ac:dyDescent="0.35">
      <c r="A1207" t="s">
        <v>131</v>
      </c>
      <c r="B1207" s="1">
        <v>45727</v>
      </c>
      <c r="C1207" t="s">
        <v>192</v>
      </c>
      <c r="D1207" t="s">
        <v>192</v>
      </c>
      <c r="F1207" t="str">
        <f t="shared" si="39"/>
        <v>70610050</v>
      </c>
      <c r="H1207" t="s">
        <v>163</v>
      </c>
      <c r="I1207" s="1">
        <v>45777</v>
      </c>
      <c r="K1207" s="4">
        <v>198000</v>
      </c>
    </row>
    <row r="1208" spans="1:11" hidden="1" outlineLevel="2" x14ac:dyDescent="0.35">
      <c r="A1208" t="s">
        <v>131</v>
      </c>
      <c r="B1208" s="1">
        <v>45728</v>
      </c>
      <c r="C1208" t="s">
        <v>199</v>
      </c>
      <c r="D1208" t="s">
        <v>199</v>
      </c>
      <c r="F1208" t="str">
        <f t="shared" si="39"/>
        <v>70610050</v>
      </c>
      <c r="H1208" t="s">
        <v>148</v>
      </c>
      <c r="I1208" s="1">
        <v>45728</v>
      </c>
      <c r="K1208" s="4">
        <v>198000</v>
      </c>
    </row>
    <row r="1209" spans="1:11" hidden="1" outlineLevel="2" x14ac:dyDescent="0.35">
      <c r="A1209" t="s">
        <v>131</v>
      </c>
      <c r="B1209" s="1">
        <v>45730</v>
      </c>
      <c r="C1209" t="s">
        <v>231</v>
      </c>
      <c r="D1209" t="s">
        <v>231</v>
      </c>
      <c r="F1209" t="str">
        <f t="shared" si="39"/>
        <v>70610050</v>
      </c>
      <c r="H1209" t="s">
        <v>163</v>
      </c>
      <c r="I1209" s="1">
        <v>45777</v>
      </c>
      <c r="K1209" s="4">
        <v>198000</v>
      </c>
    </row>
    <row r="1210" spans="1:11" hidden="1" outlineLevel="2" x14ac:dyDescent="0.35">
      <c r="A1210" t="s">
        <v>131</v>
      </c>
      <c r="B1210" s="1">
        <v>45734</v>
      </c>
      <c r="C1210" t="s">
        <v>245</v>
      </c>
      <c r="D1210" t="s">
        <v>245</v>
      </c>
      <c r="F1210" t="str">
        <f t="shared" si="39"/>
        <v>70610050</v>
      </c>
      <c r="H1210" t="s">
        <v>195</v>
      </c>
      <c r="I1210" s="1">
        <v>45734</v>
      </c>
      <c r="K1210" s="4">
        <v>198000</v>
      </c>
    </row>
    <row r="1211" spans="1:11" hidden="1" outlineLevel="2" x14ac:dyDescent="0.35">
      <c r="A1211" t="s">
        <v>131</v>
      </c>
      <c r="B1211" s="1">
        <v>45734</v>
      </c>
      <c r="C1211" t="s">
        <v>245</v>
      </c>
      <c r="D1211" t="s">
        <v>245</v>
      </c>
      <c r="F1211" t="str">
        <f t="shared" si="39"/>
        <v>70610050</v>
      </c>
      <c r="H1211" t="s">
        <v>195</v>
      </c>
      <c r="I1211" s="1">
        <v>45734</v>
      </c>
      <c r="K1211" s="4">
        <v>198000</v>
      </c>
    </row>
    <row r="1212" spans="1:11" hidden="1" outlineLevel="2" x14ac:dyDescent="0.35">
      <c r="A1212" t="s">
        <v>131</v>
      </c>
      <c r="B1212" s="1">
        <v>45734</v>
      </c>
      <c r="C1212" t="s">
        <v>245</v>
      </c>
      <c r="D1212" t="s">
        <v>245</v>
      </c>
      <c r="F1212" t="str">
        <f t="shared" si="39"/>
        <v>70610050</v>
      </c>
      <c r="H1212" t="s">
        <v>246</v>
      </c>
      <c r="I1212" s="1">
        <v>45734</v>
      </c>
      <c r="K1212" s="4">
        <v>-198000</v>
      </c>
    </row>
    <row r="1213" spans="1:11" hidden="1" outlineLevel="2" x14ac:dyDescent="0.35">
      <c r="A1213" t="s">
        <v>131</v>
      </c>
      <c r="B1213" s="1">
        <v>45740</v>
      </c>
      <c r="C1213" t="s">
        <v>305</v>
      </c>
      <c r="D1213" t="s">
        <v>305</v>
      </c>
      <c r="F1213" t="str">
        <f t="shared" si="39"/>
        <v>70610050</v>
      </c>
      <c r="H1213" t="s">
        <v>180</v>
      </c>
      <c r="I1213" s="1">
        <v>45771</v>
      </c>
      <c r="K1213" s="4">
        <v>396000</v>
      </c>
    </row>
    <row r="1214" spans="1:11" hidden="1" outlineLevel="2" x14ac:dyDescent="0.35">
      <c r="A1214" t="s">
        <v>131</v>
      </c>
      <c r="B1214" s="1">
        <v>45744</v>
      </c>
      <c r="C1214" t="s">
        <v>318</v>
      </c>
      <c r="D1214" t="s">
        <v>318</v>
      </c>
      <c r="F1214" t="str">
        <f t="shared" si="39"/>
        <v>70610050</v>
      </c>
      <c r="H1214" t="s">
        <v>195</v>
      </c>
      <c r="I1214" s="1">
        <v>45744</v>
      </c>
      <c r="K1214" s="4">
        <v>198000</v>
      </c>
    </row>
    <row r="1215" spans="1:11" outlineLevel="1" collapsed="1" x14ac:dyDescent="0.35">
      <c r="B1215" s="1"/>
      <c r="F1215" s="3" t="s">
        <v>6723</v>
      </c>
      <c r="I1215" s="1"/>
      <c r="J1215" s="4">
        <f>SUBTOTAL(9,J1202:J1214)</f>
        <v>0</v>
      </c>
      <c r="K1215" s="4">
        <f>SUBTOTAL(9,K1202:K1214)</f>
        <v>0</v>
      </c>
    </row>
    <row r="1216" spans="1:11" hidden="1" outlineLevel="2" x14ac:dyDescent="0.35">
      <c r="A1216" t="s">
        <v>101</v>
      </c>
      <c r="B1216" s="1">
        <v>45717</v>
      </c>
      <c r="C1216" t="str">
        <f>"8"</f>
        <v>8</v>
      </c>
      <c r="F1216" t="str">
        <f>"70690000"</f>
        <v>70690000</v>
      </c>
      <c r="H1216" t="s">
        <v>112</v>
      </c>
      <c r="K1216" s="4">
        <v>-8391974</v>
      </c>
    </row>
    <row r="1217" spans="1:11" hidden="1" outlineLevel="2" x14ac:dyDescent="0.35">
      <c r="A1217" t="s">
        <v>101</v>
      </c>
      <c r="B1217" s="1">
        <v>45747</v>
      </c>
      <c r="C1217" t="str">
        <f>"9"</f>
        <v>9</v>
      </c>
      <c r="F1217" t="str">
        <f>"70690000"</f>
        <v>70690000</v>
      </c>
      <c r="H1217" t="s">
        <v>125</v>
      </c>
      <c r="K1217" s="4">
        <v>8391974</v>
      </c>
    </row>
    <row r="1218" spans="1:11" outlineLevel="1" collapsed="1" x14ac:dyDescent="0.35">
      <c r="B1218" s="1"/>
      <c r="F1218" s="3" t="s">
        <v>6724</v>
      </c>
      <c r="J1218" s="4">
        <f>SUBTOTAL(9,J1216:J1217)</f>
        <v>0</v>
      </c>
      <c r="K1218" s="4">
        <f>SUBTOTAL(9,K1216:K1217)</f>
        <v>0</v>
      </c>
    </row>
    <row r="1219" spans="1:11" hidden="1" outlineLevel="2" x14ac:dyDescent="0.35">
      <c r="A1219" t="s">
        <v>11</v>
      </c>
      <c r="B1219" s="1">
        <v>45717</v>
      </c>
      <c r="C1219" t="str">
        <f>"19"</f>
        <v>19</v>
      </c>
      <c r="E1219" t="s">
        <v>20</v>
      </c>
      <c r="F1219" t="str">
        <f>"89500000"</f>
        <v>89500000</v>
      </c>
      <c r="H1219" t="s">
        <v>21</v>
      </c>
      <c r="J1219" s="4">
        <v>1333333</v>
      </c>
    </row>
    <row r="1220" spans="1:11" outlineLevel="1" collapsed="1" x14ac:dyDescent="0.35">
      <c r="B1220" s="1"/>
      <c r="F1220" s="3" t="s">
        <v>6739</v>
      </c>
      <c r="J1220" s="4">
        <f>SUBTOTAL(9,J1219:J1219)</f>
        <v>1333333</v>
      </c>
      <c r="K1220" s="4">
        <f>SUBTOTAL(9,K1219:K1219)</f>
        <v>0</v>
      </c>
    </row>
    <row r="1221" spans="1:11" x14ac:dyDescent="0.35">
      <c r="B1221" s="1"/>
      <c r="F1221" s="3" t="s">
        <v>6727</v>
      </c>
      <c r="J1221" s="4">
        <f>SUBTOTAL(9,J2:J1219)</f>
        <v>603037029</v>
      </c>
      <c r="K1221" s="4">
        <f>SUBTOTAL(9,K2:K1219)</f>
        <v>603037029</v>
      </c>
    </row>
  </sheetData>
  <sortState xmlns:xlrd2="http://schemas.microsoft.com/office/spreadsheetml/2017/richdata2" ref="A2:K1219">
    <sortCondition ref="F2:F1219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B78B1-9928-4F89-930D-2E8B3133B89D}">
  <dimension ref="A1:K447"/>
  <sheetViews>
    <sheetView topLeftCell="A375" workbookViewId="0">
      <selection activeCell="K187" sqref="K187"/>
    </sheetView>
  </sheetViews>
  <sheetFormatPr baseColWidth="10" defaultRowHeight="14.5" outlineLevelRow="2" x14ac:dyDescent="0.35"/>
  <cols>
    <col min="10" max="11" width="15.6328125" style="4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4" t="s">
        <v>9</v>
      </c>
      <c r="K1" s="4" t="s">
        <v>10</v>
      </c>
    </row>
    <row r="2" spans="1:11" hidden="1" outlineLevel="2" x14ac:dyDescent="0.35">
      <c r="A2" t="s">
        <v>101</v>
      </c>
      <c r="B2" s="1">
        <v>45747</v>
      </c>
      <c r="C2" t="str">
        <f>"27"</f>
        <v>27</v>
      </c>
      <c r="E2" t="s">
        <v>116</v>
      </c>
      <c r="F2" t="str">
        <f>"28120000"</f>
        <v>28120000</v>
      </c>
      <c r="H2" t="s">
        <v>6193</v>
      </c>
      <c r="K2" s="4">
        <v>40000</v>
      </c>
    </row>
    <row r="3" spans="1:11" outlineLevel="1" collapsed="1" x14ac:dyDescent="0.35">
      <c r="B3" s="1"/>
      <c r="F3" s="3" t="s">
        <v>6758</v>
      </c>
      <c r="J3" s="4">
        <f>SUBTOTAL(9,J2:J2)</f>
        <v>0</v>
      </c>
      <c r="K3" s="4">
        <f>SUBTOTAL(9,K2:K2)</f>
        <v>40000</v>
      </c>
    </row>
    <row r="4" spans="1:11" hidden="1" outlineLevel="2" x14ac:dyDescent="0.35">
      <c r="A4" t="s">
        <v>101</v>
      </c>
      <c r="B4" s="1">
        <v>45747</v>
      </c>
      <c r="C4" t="str">
        <f>"27"</f>
        <v>27</v>
      </c>
      <c r="E4" t="s">
        <v>116</v>
      </c>
      <c r="F4" t="str">
        <f>"28351000"</f>
        <v>28351000</v>
      </c>
      <c r="H4" t="s">
        <v>6194</v>
      </c>
      <c r="K4" s="4">
        <v>389874</v>
      </c>
    </row>
    <row r="5" spans="1:11" outlineLevel="1" collapsed="1" x14ac:dyDescent="0.35">
      <c r="B5" s="1"/>
      <c r="F5" s="3" t="s">
        <v>6759</v>
      </c>
      <c r="J5" s="4">
        <f>SUBTOTAL(9,J4:J4)</f>
        <v>0</v>
      </c>
      <c r="K5" s="4">
        <f>SUBTOTAL(9,K4:K4)</f>
        <v>389874</v>
      </c>
    </row>
    <row r="6" spans="1:11" hidden="1" outlineLevel="2" x14ac:dyDescent="0.35">
      <c r="A6" t="s">
        <v>101</v>
      </c>
      <c r="B6" s="1">
        <v>45747</v>
      </c>
      <c r="C6" t="str">
        <f>"27"</f>
        <v>27</v>
      </c>
      <c r="E6" t="s">
        <v>116</v>
      </c>
      <c r="F6" t="str">
        <f>"28412000"</f>
        <v>28412000</v>
      </c>
      <c r="H6" t="s">
        <v>6195</v>
      </c>
      <c r="K6" s="4">
        <v>1020611</v>
      </c>
    </row>
    <row r="7" spans="1:11" outlineLevel="1" collapsed="1" x14ac:dyDescent="0.35">
      <c r="B7" s="1"/>
      <c r="F7" s="3" t="s">
        <v>6760</v>
      </c>
      <c r="J7" s="4">
        <f>SUBTOTAL(9,J6:J6)</f>
        <v>0</v>
      </c>
      <c r="K7" s="4">
        <f>SUBTOTAL(9,K6:K6)</f>
        <v>1020611</v>
      </c>
    </row>
    <row r="8" spans="1:11" hidden="1" outlineLevel="2" x14ac:dyDescent="0.35">
      <c r="A8" t="s">
        <v>101</v>
      </c>
      <c r="B8" s="1">
        <v>45747</v>
      </c>
      <c r="C8" t="str">
        <f>"27"</f>
        <v>27</v>
      </c>
      <c r="E8" t="s">
        <v>116</v>
      </c>
      <c r="F8" t="str">
        <f>"28441000"</f>
        <v>28441000</v>
      </c>
      <c r="H8" t="s">
        <v>6196</v>
      </c>
      <c r="K8" s="4">
        <v>422659</v>
      </c>
    </row>
    <row r="9" spans="1:11" outlineLevel="1" collapsed="1" x14ac:dyDescent="0.35">
      <c r="B9" s="1"/>
      <c r="F9" s="3" t="s">
        <v>6516</v>
      </c>
      <c r="J9" s="4">
        <f>SUBTOTAL(9,J8:J8)</f>
        <v>0</v>
      </c>
      <c r="K9" s="4">
        <f>SUBTOTAL(9,K8:K8)</f>
        <v>422659</v>
      </c>
    </row>
    <row r="10" spans="1:11" hidden="1" outlineLevel="2" x14ac:dyDescent="0.35">
      <c r="A10" t="s">
        <v>101</v>
      </c>
      <c r="B10" s="1">
        <v>45747</v>
      </c>
      <c r="C10" t="str">
        <f>"27"</f>
        <v>27</v>
      </c>
      <c r="E10" t="s">
        <v>116</v>
      </c>
      <c r="F10" t="str">
        <f>"28442000"</f>
        <v>28442000</v>
      </c>
      <c r="H10" t="s">
        <v>6197</v>
      </c>
      <c r="K10" s="4">
        <v>512835</v>
      </c>
    </row>
    <row r="11" spans="1:11" outlineLevel="1" collapsed="1" x14ac:dyDescent="0.35">
      <c r="B11" s="1"/>
      <c r="F11" s="3" t="s">
        <v>6517</v>
      </c>
      <c r="J11" s="4">
        <f>SUBTOTAL(9,J10:J10)</f>
        <v>0</v>
      </c>
      <c r="K11" s="4">
        <f>SUBTOTAL(9,K10:K10)</f>
        <v>512835</v>
      </c>
    </row>
    <row r="12" spans="1:11" hidden="1" outlineLevel="2" x14ac:dyDescent="0.35">
      <c r="A12" t="s">
        <v>26</v>
      </c>
      <c r="B12" s="1">
        <v>45717</v>
      </c>
      <c r="C12" t="str">
        <f>"11"</f>
        <v>11</v>
      </c>
      <c r="D12" t="s">
        <v>6038</v>
      </c>
      <c r="E12" t="s">
        <v>1773</v>
      </c>
      <c r="F12" t="str">
        <f t="shared" ref="F12:F43" si="0">"40110000"</f>
        <v>40110000</v>
      </c>
      <c r="G12" t="s">
        <v>6036</v>
      </c>
      <c r="H12" t="s">
        <v>6039</v>
      </c>
      <c r="I12" s="1">
        <v>45717</v>
      </c>
      <c r="K12" s="4">
        <v>52500000</v>
      </c>
    </row>
    <row r="13" spans="1:11" hidden="1" outlineLevel="2" x14ac:dyDescent="0.35">
      <c r="A13" t="s">
        <v>26</v>
      </c>
      <c r="B13" s="1">
        <v>45717</v>
      </c>
      <c r="C13" t="str">
        <f>"12"</f>
        <v>12</v>
      </c>
      <c r="D13" t="s">
        <v>6038</v>
      </c>
      <c r="E13" t="s">
        <v>1773</v>
      </c>
      <c r="F13" t="str">
        <f t="shared" si="0"/>
        <v>40110000</v>
      </c>
      <c r="G13" t="s">
        <v>6036</v>
      </c>
      <c r="H13" t="s">
        <v>6040</v>
      </c>
      <c r="I13" s="1">
        <v>45717</v>
      </c>
      <c r="K13" s="4">
        <v>-52500000</v>
      </c>
    </row>
    <row r="14" spans="1:11" hidden="1" outlineLevel="2" x14ac:dyDescent="0.35">
      <c r="A14" t="s">
        <v>26</v>
      </c>
      <c r="B14" s="1">
        <v>45720</v>
      </c>
      <c r="C14" t="str">
        <f>"1"</f>
        <v>1</v>
      </c>
      <c r="D14" t="s">
        <v>6041</v>
      </c>
      <c r="E14" t="str">
        <f>"2503266"</f>
        <v>2503266</v>
      </c>
      <c r="F14" t="str">
        <f t="shared" si="0"/>
        <v>40110000</v>
      </c>
      <c r="G14" t="s">
        <v>6030</v>
      </c>
      <c r="H14" t="s">
        <v>6042</v>
      </c>
      <c r="I14" s="1">
        <v>45720</v>
      </c>
      <c r="K14" s="4">
        <v>4661000</v>
      </c>
    </row>
    <row r="15" spans="1:11" hidden="1" outlineLevel="2" x14ac:dyDescent="0.35">
      <c r="A15" t="s">
        <v>26</v>
      </c>
      <c r="B15" s="1">
        <v>45720</v>
      </c>
      <c r="C15" t="str">
        <f>"2"</f>
        <v>2</v>
      </c>
      <c r="D15" t="s">
        <v>6043</v>
      </c>
      <c r="E15" t="str">
        <f>"2503267"</f>
        <v>2503267</v>
      </c>
      <c r="F15" t="str">
        <f t="shared" si="0"/>
        <v>40110000</v>
      </c>
      <c r="G15" t="s">
        <v>6030</v>
      </c>
      <c r="H15" t="s">
        <v>6044</v>
      </c>
      <c r="I15" s="1">
        <v>45720</v>
      </c>
      <c r="K15" s="4">
        <v>2655000</v>
      </c>
    </row>
    <row r="16" spans="1:11" hidden="1" outlineLevel="2" x14ac:dyDescent="0.35">
      <c r="A16" t="s">
        <v>26</v>
      </c>
      <c r="B16" s="1">
        <v>45720</v>
      </c>
      <c r="C16" t="str">
        <f>"3"</f>
        <v>3</v>
      </c>
      <c r="D16" t="s">
        <v>6045</v>
      </c>
      <c r="E16" t="str">
        <f>"2503268"</f>
        <v>2503268</v>
      </c>
      <c r="F16" t="str">
        <f t="shared" si="0"/>
        <v>40110000</v>
      </c>
      <c r="G16" t="s">
        <v>6030</v>
      </c>
      <c r="H16" t="s">
        <v>6046</v>
      </c>
      <c r="I16" s="1">
        <v>45720</v>
      </c>
      <c r="K16" s="4">
        <v>106200</v>
      </c>
    </row>
    <row r="17" spans="1:11" hidden="1" outlineLevel="2" x14ac:dyDescent="0.35">
      <c r="A17" t="s">
        <v>26</v>
      </c>
      <c r="B17" s="1">
        <v>45720</v>
      </c>
      <c r="C17" t="str">
        <f>"4"</f>
        <v>4</v>
      </c>
      <c r="D17" t="s">
        <v>6047</v>
      </c>
      <c r="E17" t="str">
        <f>"2503269"</f>
        <v>2503269</v>
      </c>
      <c r="F17" t="str">
        <f t="shared" si="0"/>
        <v>40110000</v>
      </c>
      <c r="G17" t="s">
        <v>6030</v>
      </c>
      <c r="H17" t="s">
        <v>6048</v>
      </c>
      <c r="I17" s="1">
        <v>45720</v>
      </c>
      <c r="K17" s="4">
        <v>66080</v>
      </c>
    </row>
    <row r="18" spans="1:11" hidden="1" outlineLevel="2" x14ac:dyDescent="0.35">
      <c r="A18" t="s">
        <v>26</v>
      </c>
      <c r="B18" s="1">
        <v>45722</v>
      </c>
      <c r="C18" t="str">
        <f>"5"</f>
        <v>5</v>
      </c>
      <c r="D18" t="s">
        <v>6049</v>
      </c>
      <c r="E18" t="str">
        <f>"000493"</f>
        <v>000493</v>
      </c>
      <c r="F18" t="str">
        <f t="shared" si="0"/>
        <v>40110000</v>
      </c>
      <c r="G18" t="s">
        <v>6028</v>
      </c>
      <c r="H18" t="s">
        <v>6050</v>
      </c>
      <c r="I18" s="1">
        <v>45722</v>
      </c>
      <c r="K18" s="4">
        <v>2800000</v>
      </c>
    </row>
    <row r="19" spans="1:11" hidden="1" outlineLevel="2" x14ac:dyDescent="0.35">
      <c r="A19" t="s">
        <v>26</v>
      </c>
      <c r="B19" s="1">
        <v>45722</v>
      </c>
      <c r="C19" t="str">
        <f>"6"</f>
        <v>6</v>
      </c>
      <c r="D19" t="s">
        <v>6051</v>
      </c>
      <c r="E19" t="str">
        <f>"000495"</f>
        <v>000495</v>
      </c>
      <c r="F19" t="str">
        <f t="shared" si="0"/>
        <v>40110000</v>
      </c>
      <c r="G19" t="s">
        <v>6028</v>
      </c>
      <c r="H19" t="s">
        <v>6050</v>
      </c>
      <c r="I19" s="1">
        <v>45722</v>
      </c>
      <c r="K19" s="4">
        <v>4800000</v>
      </c>
    </row>
    <row r="20" spans="1:11" hidden="1" outlineLevel="2" x14ac:dyDescent="0.35">
      <c r="A20" t="s">
        <v>26</v>
      </c>
      <c r="B20" s="1">
        <v>45723</v>
      </c>
      <c r="C20" t="str">
        <f>"13"</f>
        <v>13</v>
      </c>
      <c r="D20" t="s">
        <v>6052</v>
      </c>
      <c r="E20" t="str">
        <f>"86366"</f>
        <v>86366</v>
      </c>
      <c r="F20" t="str">
        <f t="shared" si="0"/>
        <v>40110000</v>
      </c>
      <c r="G20" t="s">
        <v>6053</v>
      </c>
      <c r="H20" t="s">
        <v>6054</v>
      </c>
      <c r="I20" s="1">
        <v>45722</v>
      </c>
      <c r="K20" s="4">
        <v>82600</v>
      </c>
    </row>
    <row r="21" spans="1:11" hidden="1" outlineLevel="2" x14ac:dyDescent="0.35">
      <c r="A21" t="s">
        <v>26</v>
      </c>
      <c r="B21" s="1">
        <v>45723</v>
      </c>
      <c r="C21" t="str">
        <f>"14"</f>
        <v>14</v>
      </c>
      <c r="D21" t="s">
        <v>6055</v>
      </c>
      <c r="E21" t="str">
        <f>"86367"</f>
        <v>86367</v>
      </c>
      <c r="F21" t="str">
        <f t="shared" si="0"/>
        <v>40110000</v>
      </c>
      <c r="G21" t="s">
        <v>6053</v>
      </c>
      <c r="H21" t="s">
        <v>6056</v>
      </c>
      <c r="I21" s="1">
        <v>45723</v>
      </c>
      <c r="K21" s="4">
        <v>494538</v>
      </c>
    </row>
    <row r="22" spans="1:11" hidden="1" outlineLevel="2" x14ac:dyDescent="0.35">
      <c r="A22" t="s">
        <v>26</v>
      </c>
      <c r="B22" s="1">
        <v>45723</v>
      </c>
      <c r="C22" t="str">
        <f>"15"</f>
        <v>15</v>
      </c>
      <c r="D22" t="s">
        <v>6057</v>
      </c>
      <c r="E22" t="str">
        <f>"03532"</f>
        <v>03532</v>
      </c>
      <c r="F22" t="str">
        <f t="shared" si="0"/>
        <v>40110000</v>
      </c>
      <c r="G22" t="s">
        <v>6058</v>
      </c>
      <c r="H22" t="s">
        <v>6059</v>
      </c>
      <c r="I22" s="1">
        <v>45723</v>
      </c>
      <c r="K22" s="4">
        <v>303897</v>
      </c>
    </row>
    <row r="23" spans="1:11" hidden="1" outlineLevel="2" x14ac:dyDescent="0.35">
      <c r="A23" t="s">
        <v>26</v>
      </c>
      <c r="B23" s="1">
        <v>45726</v>
      </c>
      <c r="C23" t="str">
        <f>"7"</f>
        <v>7</v>
      </c>
      <c r="D23" t="s">
        <v>6060</v>
      </c>
      <c r="E23" t="str">
        <f>"8890522032025"</f>
        <v>8890522032025</v>
      </c>
      <c r="F23" t="str">
        <f t="shared" si="0"/>
        <v>40110000</v>
      </c>
      <c r="G23" t="s">
        <v>6061</v>
      </c>
      <c r="H23" t="s">
        <v>6062</v>
      </c>
      <c r="I23" s="1">
        <v>45726</v>
      </c>
      <c r="K23" s="4">
        <v>1323417</v>
      </c>
    </row>
    <row r="24" spans="1:11" hidden="1" outlineLevel="2" x14ac:dyDescent="0.35">
      <c r="A24" t="s">
        <v>26</v>
      </c>
      <c r="B24" s="1">
        <v>45726</v>
      </c>
      <c r="C24" t="str">
        <f>"8"</f>
        <v>8</v>
      </c>
      <c r="D24" t="s">
        <v>6063</v>
      </c>
      <c r="E24" t="str">
        <f>"8998053032025"</f>
        <v>8998053032025</v>
      </c>
      <c r="F24" t="str">
        <f t="shared" si="0"/>
        <v>40110000</v>
      </c>
      <c r="G24" t="s">
        <v>6061</v>
      </c>
      <c r="H24" t="s">
        <v>6064</v>
      </c>
      <c r="I24" s="1">
        <v>45726</v>
      </c>
      <c r="K24" s="4">
        <v>369141</v>
      </c>
    </row>
    <row r="25" spans="1:11" hidden="1" outlineLevel="2" x14ac:dyDescent="0.35">
      <c r="A25" t="s">
        <v>26</v>
      </c>
      <c r="B25" s="1">
        <v>45726</v>
      </c>
      <c r="C25" t="str">
        <f>"9"</f>
        <v>9</v>
      </c>
      <c r="D25" t="s">
        <v>6065</v>
      </c>
      <c r="E25" t="str">
        <f>"000758"</f>
        <v>000758</v>
      </c>
      <c r="F25" t="str">
        <f t="shared" si="0"/>
        <v>40110000</v>
      </c>
      <c r="G25" t="s">
        <v>6066</v>
      </c>
      <c r="H25" t="s">
        <v>6067</v>
      </c>
      <c r="I25" s="1">
        <v>45726</v>
      </c>
      <c r="K25" s="4">
        <v>182633</v>
      </c>
    </row>
    <row r="26" spans="1:11" hidden="1" outlineLevel="2" x14ac:dyDescent="0.35">
      <c r="A26" t="s">
        <v>26</v>
      </c>
      <c r="B26" s="1">
        <v>45726</v>
      </c>
      <c r="C26" t="str">
        <f>"16"</f>
        <v>16</v>
      </c>
      <c r="D26" t="s">
        <v>6068</v>
      </c>
      <c r="E26" t="str">
        <f>"0001872"</f>
        <v>0001872</v>
      </c>
      <c r="F26" t="str">
        <f t="shared" si="0"/>
        <v>40110000</v>
      </c>
      <c r="G26" t="s">
        <v>6069</v>
      </c>
      <c r="H26" t="s">
        <v>6070</v>
      </c>
      <c r="I26" s="1">
        <v>45726</v>
      </c>
      <c r="K26" s="4">
        <v>200010</v>
      </c>
    </row>
    <row r="27" spans="1:11" hidden="1" outlineLevel="2" x14ac:dyDescent="0.35">
      <c r="A27" t="s">
        <v>26</v>
      </c>
      <c r="B27" s="1">
        <v>45727</v>
      </c>
      <c r="C27" t="str">
        <f>"17"</f>
        <v>17</v>
      </c>
      <c r="D27" t="s">
        <v>6076</v>
      </c>
      <c r="E27" t="s">
        <v>6077</v>
      </c>
      <c r="F27" t="str">
        <f t="shared" si="0"/>
        <v>40110000</v>
      </c>
      <c r="G27" t="s">
        <v>6078</v>
      </c>
      <c r="H27" t="s">
        <v>6079</v>
      </c>
      <c r="I27" s="1">
        <v>45727</v>
      </c>
      <c r="K27" s="4">
        <v>7260000</v>
      </c>
    </row>
    <row r="28" spans="1:11" hidden="1" outlineLevel="2" x14ac:dyDescent="0.35">
      <c r="A28" t="s">
        <v>26</v>
      </c>
      <c r="B28" s="1">
        <v>45728</v>
      </c>
      <c r="C28" t="str">
        <f>"18"</f>
        <v>18</v>
      </c>
      <c r="D28" t="s">
        <v>6080</v>
      </c>
      <c r="E28" t="s">
        <v>6081</v>
      </c>
      <c r="F28" t="str">
        <f t="shared" si="0"/>
        <v>40110000</v>
      </c>
      <c r="G28" t="s">
        <v>6082</v>
      </c>
      <c r="H28" t="s">
        <v>6083</v>
      </c>
      <c r="I28" s="1">
        <v>45728</v>
      </c>
      <c r="K28" s="4">
        <v>1310333</v>
      </c>
    </row>
    <row r="29" spans="1:11" hidden="1" outlineLevel="2" x14ac:dyDescent="0.35">
      <c r="A29" t="s">
        <v>26</v>
      </c>
      <c r="B29" s="1">
        <v>45728</v>
      </c>
      <c r="C29" t="str">
        <f>"19"</f>
        <v>19</v>
      </c>
      <c r="D29" t="s">
        <v>6084</v>
      </c>
      <c r="E29" t="s">
        <v>6085</v>
      </c>
      <c r="F29" t="str">
        <f t="shared" si="0"/>
        <v>40110000</v>
      </c>
      <c r="G29" t="s">
        <v>6082</v>
      </c>
      <c r="H29" t="s">
        <v>6083</v>
      </c>
      <c r="I29" s="1">
        <v>45728</v>
      </c>
      <c r="K29" s="4">
        <v>14402962</v>
      </c>
    </row>
    <row r="30" spans="1:11" hidden="1" outlineLevel="2" x14ac:dyDescent="0.35">
      <c r="A30" t="s">
        <v>26</v>
      </c>
      <c r="B30" s="1">
        <v>45729</v>
      </c>
      <c r="C30" t="str">
        <f>"20"</f>
        <v>20</v>
      </c>
      <c r="D30" t="s">
        <v>6086</v>
      </c>
      <c r="E30" t="str">
        <f>"1772"</f>
        <v>1772</v>
      </c>
      <c r="F30" t="str">
        <f t="shared" si="0"/>
        <v>40110000</v>
      </c>
      <c r="G30" t="s">
        <v>6087</v>
      </c>
      <c r="H30" t="s">
        <v>6088</v>
      </c>
      <c r="I30" s="1">
        <v>45734</v>
      </c>
      <c r="K30" s="4">
        <v>12141802</v>
      </c>
    </row>
    <row r="31" spans="1:11" hidden="1" outlineLevel="2" x14ac:dyDescent="0.35">
      <c r="A31" t="s">
        <v>26</v>
      </c>
      <c r="B31" s="1">
        <v>45729</v>
      </c>
      <c r="C31" t="str">
        <f>"21"</f>
        <v>21</v>
      </c>
      <c r="D31" t="s">
        <v>6089</v>
      </c>
      <c r="E31" t="str">
        <f>"1773"</f>
        <v>1773</v>
      </c>
      <c r="F31" t="str">
        <f t="shared" si="0"/>
        <v>40110000</v>
      </c>
      <c r="G31" t="s">
        <v>6087</v>
      </c>
      <c r="H31" t="s">
        <v>6088</v>
      </c>
      <c r="I31" s="1">
        <v>45729</v>
      </c>
      <c r="K31" s="4">
        <v>803821</v>
      </c>
    </row>
    <row r="32" spans="1:11" hidden="1" outlineLevel="2" x14ac:dyDescent="0.35">
      <c r="A32" t="s">
        <v>26</v>
      </c>
      <c r="B32" s="1">
        <v>45730</v>
      </c>
      <c r="C32" t="str">
        <f>"22"</f>
        <v>22</v>
      </c>
      <c r="D32" t="s">
        <v>6090</v>
      </c>
      <c r="E32" t="s">
        <v>6091</v>
      </c>
      <c r="F32" t="str">
        <f t="shared" si="0"/>
        <v>40110000</v>
      </c>
      <c r="G32" t="s">
        <v>6092</v>
      </c>
      <c r="H32" t="s">
        <v>6093</v>
      </c>
      <c r="I32" s="1">
        <v>45730</v>
      </c>
      <c r="K32" s="4">
        <v>1180944</v>
      </c>
    </row>
    <row r="33" spans="1:11" hidden="1" outlineLevel="2" x14ac:dyDescent="0.35">
      <c r="A33" t="s">
        <v>26</v>
      </c>
      <c r="B33" s="1">
        <v>45730</v>
      </c>
      <c r="C33" t="str">
        <f>"23"</f>
        <v>23</v>
      </c>
      <c r="D33" t="s">
        <v>6094</v>
      </c>
      <c r="E33" t="str">
        <f>"0000012"</f>
        <v>0000012</v>
      </c>
      <c r="F33" t="str">
        <f t="shared" si="0"/>
        <v>40110000</v>
      </c>
      <c r="G33" t="s">
        <v>6095</v>
      </c>
      <c r="H33" t="s">
        <v>6096</v>
      </c>
      <c r="I33" s="1">
        <v>45730</v>
      </c>
      <c r="K33" s="4">
        <v>944005</v>
      </c>
    </row>
    <row r="34" spans="1:11" hidden="1" outlineLevel="2" x14ac:dyDescent="0.35">
      <c r="A34" t="s">
        <v>26</v>
      </c>
      <c r="B34" s="1">
        <v>45730</v>
      </c>
      <c r="C34" t="str">
        <f>"24"</f>
        <v>24</v>
      </c>
      <c r="D34" t="s">
        <v>6097</v>
      </c>
      <c r="E34" t="str">
        <f>"0000013"</f>
        <v>0000013</v>
      </c>
      <c r="F34" t="str">
        <f t="shared" si="0"/>
        <v>40110000</v>
      </c>
      <c r="G34" t="s">
        <v>6095</v>
      </c>
      <c r="H34" t="s">
        <v>6098</v>
      </c>
      <c r="I34" s="1">
        <v>45730</v>
      </c>
      <c r="K34" s="4">
        <v>225498</v>
      </c>
    </row>
    <row r="35" spans="1:11" hidden="1" outlineLevel="2" x14ac:dyDescent="0.35">
      <c r="A35" t="s">
        <v>26</v>
      </c>
      <c r="B35" s="1">
        <v>45730</v>
      </c>
      <c r="C35" t="str">
        <f>"25"</f>
        <v>25</v>
      </c>
      <c r="D35" t="s">
        <v>6099</v>
      </c>
      <c r="E35" t="str">
        <f>"0000014"</f>
        <v>0000014</v>
      </c>
      <c r="F35" t="str">
        <f t="shared" si="0"/>
        <v>40110000</v>
      </c>
      <c r="G35" t="s">
        <v>6095</v>
      </c>
      <c r="H35" t="s">
        <v>6096</v>
      </c>
      <c r="I35" s="1">
        <v>45730</v>
      </c>
      <c r="K35" s="4">
        <v>1776785</v>
      </c>
    </row>
    <row r="36" spans="1:11" hidden="1" outlineLevel="2" x14ac:dyDescent="0.35">
      <c r="A36" t="s">
        <v>26</v>
      </c>
      <c r="B36" s="1">
        <v>45734</v>
      </c>
      <c r="C36" t="str">
        <f>"10"</f>
        <v>10</v>
      </c>
      <c r="D36" t="s">
        <v>6100</v>
      </c>
      <c r="E36" t="str">
        <f>"165"</f>
        <v>165</v>
      </c>
      <c r="F36" t="str">
        <f t="shared" si="0"/>
        <v>40110000</v>
      </c>
      <c r="G36" t="s">
        <v>6101</v>
      </c>
      <c r="H36" t="s">
        <v>6102</v>
      </c>
      <c r="I36" s="1">
        <v>45734</v>
      </c>
      <c r="K36" s="4">
        <v>660805</v>
      </c>
    </row>
    <row r="37" spans="1:11" hidden="1" outlineLevel="2" x14ac:dyDescent="0.35">
      <c r="A37" t="s">
        <v>26</v>
      </c>
      <c r="B37" s="1">
        <v>45736</v>
      </c>
      <c r="C37" t="str">
        <f>"26"</f>
        <v>26</v>
      </c>
      <c r="D37" t="s">
        <v>6103</v>
      </c>
      <c r="E37" t="str">
        <f>"0536556"</f>
        <v>0536556</v>
      </c>
      <c r="F37" t="str">
        <f t="shared" si="0"/>
        <v>40110000</v>
      </c>
      <c r="G37" t="s">
        <v>6104</v>
      </c>
      <c r="H37" t="s">
        <v>6105</v>
      </c>
      <c r="I37" s="1">
        <v>45736</v>
      </c>
      <c r="K37" s="4">
        <v>500000</v>
      </c>
    </row>
    <row r="38" spans="1:11" hidden="1" outlineLevel="2" x14ac:dyDescent="0.35">
      <c r="A38" t="s">
        <v>26</v>
      </c>
      <c r="B38" s="1">
        <v>45736</v>
      </c>
      <c r="C38" t="str">
        <f>"27"</f>
        <v>27</v>
      </c>
      <c r="D38" t="s">
        <v>6106</v>
      </c>
      <c r="E38" t="str">
        <f>"000094"</f>
        <v>000094</v>
      </c>
      <c r="F38" t="str">
        <f t="shared" si="0"/>
        <v>40110000</v>
      </c>
      <c r="G38" t="s">
        <v>6107</v>
      </c>
      <c r="H38" t="s">
        <v>6108</v>
      </c>
      <c r="I38" s="1">
        <v>45736</v>
      </c>
      <c r="K38" s="4">
        <v>459880</v>
      </c>
    </row>
    <row r="39" spans="1:11" hidden="1" outlineLevel="2" x14ac:dyDescent="0.35">
      <c r="A39" t="s">
        <v>26</v>
      </c>
      <c r="B39" s="1">
        <v>45741</v>
      </c>
      <c r="C39" t="str">
        <f>"28"</f>
        <v>28</v>
      </c>
      <c r="D39" t="s">
        <v>6109</v>
      </c>
      <c r="E39" t="str">
        <f>"6110380101202501"</f>
        <v>6110380101202501</v>
      </c>
      <c r="F39" t="str">
        <f t="shared" si="0"/>
        <v>40110000</v>
      </c>
      <c r="G39" t="s">
        <v>6110</v>
      </c>
      <c r="H39" t="s">
        <v>6111</v>
      </c>
      <c r="I39" s="1">
        <v>45741</v>
      </c>
      <c r="K39" s="4">
        <v>30521</v>
      </c>
    </row>
    <row r="40" spans="1:11" hidden="1" outlineLevel="2" x14ac:dyDescent="0.35">
      <c r="A40" t="s">
        <v>26</v>
      </c>
      <c r="B40" s="1">
        <v>45741</v>
      </c>
      <c r="C40" t="str">
        <f>"29"</f>
        <v>29</v>
      </c>
      <c r="D40" t="s">
        <v>6112</v>
      </c>
      <c r="E40" t="str">
        <f>"000019"</f>
        <v>000019</v>
      </c>
      <c r="F40" t="str">
        <f t="shared" si="0"/>
        <v>40110000</v>
      </c>
      <c r="G40" t="s">
        <v>6113</v>
      </c>
      <c r="H40" t="s">
        <v>6114</v>
      </c>
      <c r="I40" s="1">
        <v>45741</v>
      </c>
      <c r="K40" s="4">
        <v>140000</v>
      </c>
    </row>
    <row r="41" spans="1:11" hidden="1" outlineLevel="2" x14ac:dyDescent="0.35">
      <c r="A41" t="s">
        <v>26</v>
      </c>
      <c r="B41" s="1">
        <v>45741</v>
      </c>
      <c r="C41" t="str">
        <f>"30"</f>
        <v>30</v>
      </c>
      <c r="D41" t="s">
        <v>6115</v>
      </c>
      <c r="E41" t="str">
        <f>"000890"</f>
        <v>000890</v>
      </c>
      <c r="F41" t="str">
        <f t="shared" si="0"/>
        <v>40110000</v>
      </c>
      <c r="G41" t="s">
        <v>6066</v>
      </c>
      <c r="H41" t="s">
        <v>6116</v>
      </c>
      <c r="I41" s="1">
        <v>45741</v>
      </c>
      <c r="K41" s="4">
        <v>23866</v>
      </c>
    </row>
    <row r="42" spans="1:11" hidden="1" outlineLevel="2" x14ac:dyDescent="0.35">
      <c r="A42" t="s">
        <v>26</v>
      </c>
      <c r="B42" s="1">
        <v>45742</v>
      </c>
      <c r="C42" t="str">
        <f>"31"</f>
        <v>31</v>
      </c>
      <c r="D42" t="s">
        <v>6117</v>
      </c>
      <c r="E42" t="str">
        <f>"0748145"</f>
        <v>0748145</v>
      </c>
      <c r="F42" t="str">
        <f t="shared" si="0"/>
        <v>40110000</v>
      </c>
      <c r="G42" t="s">
        <v>6118</v>
      </c>
      <c r="H42" t="s">
        <v>6119</v>
      </c>
      <c r="I42" s="1">
        <v>45742</v>
      </c>
      <c r="K42" s="4">
        <v>48000</v>
      </c>
    </row>
    <row r="43" spans="1:11" hidden="1" outlineLevel="2" x14ac:dyDescent="0.35">
      <c r="A43" t="s">
        <v>75</v>
      </c>
      <c r="B43" s="1">
        <v>45717</v>
      </c>
      <c r="C43" t="str">
        <f>"13"</f>
        <v>13</v>
      </c>
      <c r="D43" t="s">
        <v>6120</v>
      </c>
      <c r="E43" t="s">
        <v>6121</v>
      </c>
      <c r="F43" t="str">
        <f t="shared" si="0"/>
        <v>40110000</v>
      </c>
      <c r="G43" t="s">
        <v>6104</v>
      </c>
      <c r="H43" t="s">
        <v>6122</v>
      </c>
      <c r="I43" s="1">
        <v>45717</v>
      </c>
      <c r="J43" s="4">
        <v>110000</v>
      </c>
    </row>
    <row r="44" spans="1:11" hidden="1" outlineLevel="2" x14ac:dyDescent="0.35">
      <c r="A44" t="s">
        <v>6164</v>
      </c>
      <c r="B44" s="1">
        <v>45721</v>
      </c>
      <c r="C44" t="str">
        <f>"23"</f>
        <v>23</v>
      </c>
      <c r="F44" t="str">
        <f t="shared" ref="F44:F64" si="1">"40110000"</f>
        <v>40110000</v>
      </c>
      <c r="G44" t="s">
        <v>6165</v>
      </c>
      <c r="H44" t="s">
        <v>6166</v>
      </c>
      <c r="J44" s="4">
        <v>520003</v>
      </c>
    </row>
    <row r="45" spans="1:11" hidden="1" outlineLevel="2" x14ac:dyDescent="0.35">
      <c r="A45" t="s">
        <v>6164</v>
      </c>
      <c r="B45" s="1">
        <v>45721</v>
      </c>
      <c r="C45" t="str">
        <f>"24"</f>
        <v>24</v>
      </c>
      <c r="F45" t="str">
        <f t="shared" si="1"/>
        <v>40110000</v>
      </c>
      <c r="G45" t="s">
        <v>6167</v>
      </c>
      <c r="H45" t="s">
        <v>6168</v>
      </c>
      <c r="J45" s="4">
        <v>749600</v>
      </c>
    </row>
    <row r="46" spans="1:11" hidden="1" outlineLevel="2" x14ac:dyDescent="0.35">
      <c r="A46" t="s">
        <v>6164</v>
      </c>
      <c r="B46" s="1">
        <v>45721</v>
      </c>
      <c r="C46" t="str">
        <f>"25"</f>
        <v>25</v>
      </c>
      <c r="F46" t="str">
        <f t="shared" si="1"/>
        <v>40110000</v>
      </c>
      <c r="G46" t="s">
        <v>6058</v>
      </c>
      <c r="H46" t="s">
        <v>6169</v>
      </c>
      <c r="J46" s="4">
        <v>355758</v>
      </c>
    </row>
    <row r="47" spans="1:11" hidden="1" outlineLevel="2" x14ac:dyDescent="0.35">
      <c r="A47" t="s">
        <v>101</v>
      </c>
      <c r="B47" s="1">
        <v>45717</v>
      </c>
      <c r="C47" t="str">
        <f>"25"</f>
        <v>25</v>
      </c>
      <c r="F47" t="str">
        <f t="shared" si="1"/>
        <v>40110000</v>
      </c>
      <c r="G47" t="s">
        <v>6104</v>
      </c>
      <c r="H47" t="s">
        <v>6170</v>
      </c>
      <c r="I47" s="1">
        <v>45657</v>
      </c>
      <c r="K47" s="4">
        <v>-1695771</v>
      </c>
    </row>
    <row r="48" spans="1:11" hidden="1" outlineLevel="2" x14ac:dyDescent="0.35">
      <c r="A48" t="s">
        <v>101</v>
      </c>
      <c r="B48" s="1">
        <v>45747</v>
      </c>
      <c r="C48" t="str">
        <f>"68"</f>
        <v>68</v>
      </c>
      <c r="F48" t="str">
        <f t="shared" si="1"/>
        <v>40110000</v>
      </c>
      <c r="G48" t="s">
        <v>6104</v>
      </c>
      <c r="H48" t="s">
        <v>6211</v>
      </c>
      <c r="I48" s="1">
        <v>45747</v>
      </c>
      <c r="K48" s="4">
        <v>1060000</v>
      </c>
    </row>
    <row r="49" spans="1:10" hidden="1" outlineLevel="2" x14ac:dyDescent="0.35">
      <c r="A49" t="s">
        <v>6215</v>
      </c>
      <c r="B49" s="1">
        <v>45717</v>
      </c>
      <c r="C49" t="str">
        <f>"34"</f>
        <v>34</v>
      </c>
      <c r="F49" t="str">
        <f t="shared" si="1"/>
        <v>40110000</v>
      </c>
      <c r="G49" t="s">
        <v>6107</v>
      </c>
      <c r="H49" t="s">
        <v>6216</v>
      </c>
      <c r="J49" s="4">
        <v>919760</v>
      </c>
    </row>
    <row r="50" spans="1:10" hidden="1" outlineLevel="2" x14ac:dyDescent="0.35">
      <c r="A50" t="s">
        <v>6215</v>
      </c>
      <c r="B50" s="1">
        <v>45720</v>
      </c>
      <c r="C50" t="str">
        <f>"4"</f>
        <v>4</v>
      </c>
      <c r="F50" t="str">
        <f t="shared" si="1"/>
        <v>40110000</v>
      </c>
      <c r="G50" t="s">
        <v>6104</v>
      </c>
      <c r="H50" t="s">
        <v>6217</v>
      </c>
      <c r="J50" s="4">
        <v>1728833</v>
      </c>
    </row>
    <row r="51" spans="1:10" hidden="1" outlineLevel="2" x14ac:dyDescent="0.35">
      <c r="A51" t="s">
        <v>6215</v>
      </c>
      <c r="B51" s="1">
        <v>45721</v>
      </c>
      <c r="C51" t="str">
        <f>"1"</f>
        <v>1</v>
      </c>
      <c r="F51" t="str">
        <f t="shared" si="1"/>
        <v>40110000</v>
      </c>
      <c r="G51" t="s">
        <v>6218</v>
      </c>
      <c r="H51" t="s">
        <v>6219</v>
      </c>
      <c r="J51" s="4">
        <v>953959</v>
      </c>
    </row>
    <row r="52" spans="1:10" hidden="1" outlineLevel="2" x14ac:dyDescent="0.35">
      <c r="A52" t="s">
        <v>6215</v>
      </c>
      <c r="B52" s="1">
        <v>45721</v>
      </c>
      <c r="C52" t="str">
        <f>"2"</f>
        <v>2</v>
      </c>
      <c r="F52" t="str">
        <f t="shared" si="1"/>
        <v>40110000</v>
      </c>
      <c r="G52" t="s">
        <v>6220</v>
      </c>
      <c r="H52" t="s">
        <v>6221</v>
      </c>
      <c r="J52" s="4">
        <v>1320000</v>
      </c>
    </row>
    <row r="53" spans="1:10" hidden="1" outlineLevel="2" x14ac:dyDescent="0.35">
      <c r="A53" t="s">
        <v>6215</v>
      </c>
      <c r="B53" s="1">
        <v>45721</v>
      </c>
      <c r="C53" t="str">
        <f>"3"</f>
        <v>3</v>
      </c>
      <c r="F53" t="str">
        <f t="shared" si="1"/>
        <v>40110000</v>
      </c>
      <c r="G53" t="s">
        <v>6203</v>
      </c>
      <c r="H53" t="s">
        <v>6222</v>
      </c>
      <c r="J53" s="4">
        <v>3589642</v>
      </c>
    </row>
    <row r="54" spans="1:10" hidden="1" outlineLevel="2" x14ac:dyDescent="0.35">
      <c r="A54" t="s">
        <v>6215</v>
      </c>
      <c r="B54" s="1">
        <v>45721</v>
      </c>
      <c r="C54" t="str">
        <f>"5"</f>
        <v>5</v>
      </c>
      <c r="F54" t="str">
        <f t="shared" si="1"/>
        <v>40110000</v>
      </c>
      <c r="G54" t="s">
        <v>6078</v>
      </c>
      <c r="H54" t="s">
        <v>6223</v>
      </c>
      <c r="J54" s="4">
        <v>1308008</v>
      </c>
    </row>
    <row r="55" spans="1:10" hidden="1" outlineLevel="2" x14ac:dyDescent="0.35">
      <c r="A55" t="s">
        <v>6215</v>
      </c>
      <c r="B55" s="1">
        <v>45721</v>
      </c>
      <c r="C55" t="str">
        <f>"6"</f>
        <v>6</v>
      </c>
      <c r="F55" t="str">
        <f t="shared" si="1"/>
        <v>40110000</v>
      </c>
      <c r="G55" t="s">
        <v>6224</v>
      </c>
      <c r="H55" t="s">
        <v>6225</v>
      </c>
      <c r="J55" s="4">
        <v>2572636</v>
      </c>
    </row>
    <row r="56" spans="1:10" hidden="1" outlineLevel="2" x14ac:dyDescent="0.35">
      <c r="A56" t="s">
        <v>6215</v>
      </c>
      <c r="B56" s="1">
        <v>45721</v>
      </c>
      <c r="C56" t="str">
        <f>"7"</f>
        <v>7</v>
      </c>
      <c r="F56" t="str">
        <f t="shared" si="1"/>
        <v>40110000</v>
      </c>
      <c r="G56" t="s">
        <v>6053</v>
      </c>
      <c r="H56" t="s">
        <v>6226</v>
      </c>
      <c r="J56" s="4">
        <v>1498600</v>
      </c>
    </row>
    <row r="57" spans="1:10" hidden="1" outlineLevel="2" x14ac:dyDescent="0.35">
      <c r="A57" t="s">
        <v>6215</v>
      </c>
      <c r="B57" s="1">
        <v>45721</v>
      </c>
      <c r="C57" t="str">
        <f>"8"</f>
        <v>8</v>
      </c>
      <c r="F57" t="str">
        <f t="shared" si="1"/>
        <v>40110000</v>
      </c>
      <c r="G57" t="s">
        <v>6113</v>
      </c>
      <c r="H57" t="s">
        <v>6227</v>
      </c>
      <c r="J57" s="4">
        <v>150000</v>
      </c>
    </row>
    <row r="58" spans="1:10" hidden="1" outlineLevel="2" x14ac:dyDescent="0.35">
      <c r="A58" t="s">
        <v>6215</v>
      </c>
      <c r="B58" s="1">
        <v>45721</v>
      </c>
      <c r="C58" t="str">
        <f>"9"</f>
        <v>9</v>
      </c>
      <c r="F58" t="str">
        <f t="shared" si="1"/>
        <v>40110000</v>
      </c>
      <c r="G58" t="s">
        <v>6028</v>
      </c>
      <c r="H58" t="s">
        <v>6228</v>
      </c>
      <c r="J58" s="4">
        <v>12400000</v>
      </c>
    </row>
    <row r="59" spans="1:10" hidden="1" outlineLevel="2" x14ac:dyDescent="0.35">
      <c r="A59" t="s">
        <v>6215</v>
      </c>
      <c r="B59" s="1">
        <v>45721</v>
      </c>
      <c r="C59" t="str">
        <f>"10"</f>
        <v>10</v>
      </c>
      <c r="F59" t="str">
        <f t="shared" si="1"/>
        <v>40110000</v>
      </c>
      <c r="G59" t="s">
        <v>6118</v>
      </c>
      <c r="H59" t="s">
        <v>6229</v>
      </c>
      <c r="J59" s="4">
        <v>294000</v>
      </c>
    </row>
    <row r="60" spans="1:10" hidden="1" outlineLevel="2" x14ac:dyDescent="0.35">
      <c r="A60" t="s">
        <v>6215</v>
      </c>
      <c r="B60" s="1">
        <v>45727</v>
      </c>
      <c r="C60" t="str">
        <f>"11"</f>
        <v>11</v>
      </c>
      <c r="F60" t="str">
        <f t="shared" si="1"/>
        <v>40110000</v>
      </c>
      <c r="G60" t="s">
        <v>6087</v>
      </c>
      <c r="H60" t="s">
        <v>6232</v>
      </c>
      <c r="J60" s="4">
        <v>19751719</v>
      </c>
    </row>
    <row r="61" spans="1:10" hidden="1" outlineLevel="2" x14ac:dyDescent="0.35">
      <c r="A61" t="s">
        <v>6215</v>
      </c>
      <c r="B61" s="1">
        <v>45727</v>
      </c>
      <c r="C61" t="str">
        <f>"12"</f>
        <v>12</v>
      </c>
      <c r="F61" t="str">
        <f t="shared" si="1"/>
        <v>40110000</v>
      </c>
      <c r="G61" t="s">
        <v>6034</v>
      </c>
      <c r="H61" t="s">
        <v>6233</v>
      </c>
      <c r="J61" s="4">
        <v>8177400</v>
      </c>
    </row>
    <row r="62" spans="1:10" hidden="1" outlineLevel="2" x14ac:dyDescent="0.35">
      <c r="A62" t="s">
        <v>6215</v>
      </c>
      <c r="B62" s="1">
        <v>45727</v>
      </c>
      <c r="C62" t="str">
        <f>"13"</f>
        <v>13</v>
      </c>
      <c r="F62" t="str">
        <f t="shared" si="1"/>
        <v>40110000</v>
      </c>
      <c r="G62" t="s">
        <v>6082</v>
      </c>
      <c r="H62" t="s">
        <v>6234</v>
      </c>
      <c r="J62" s="4">
        <v>15200000</v>
      </c>
    </row>
    <row r="63" spans="1:10" hidden="1" outlineLevel="2" x14ac:dyDescent="0.35">
      <c r="A63" t="s">
        <v>6215</v>
      </c>
      <c r="B63" s="1">
        <v>45736</v>
      </c>
      <c r="C63" t="str">
        <f>"19"</f>
        <v>19</v>
      </c>
      <c r="F63" t="str">
        <f t="shared" si="1"/>
        <v>40110000</v>
      </c>
      <c r="G63" t="s">
        <v>6061</v>
      </c>
      <c r="H63" t="s">
        <v>6241</v>
      </c>
      <c r="J63" s="4">
        <v>1692558</v>
      </c>
    </row>
    <row r="64" spans="1:10" hidden="1" outlineLevel="2" x14ac:dyDescent="0.35">
      <c r="A64" t="s">
        <v>6215</v>
      </c>
      <c r="B64" s="1">
        <v>45736</v>
      </c>
      <c r="C64" t="str">
        <f>"20"</f>
        <v>20</v>
      </c>
      <c r="F64" t="str">
        <f t="shared" si="1"/>
        <v>40110000</v>
      </c>
      <c r="G64" t="s">
        <v>6101</v>
      </c>
      <c r="H64" t="s">
        <v>6242</v>
      </c>
      <c r="J64" s="4">
        <v>660805</v>
      </c>
    </row>
    <row r="65" spans="1:11" outlineLevel="1" collapsed="1" x14ac:dyDescent="0.35">
      <c r="B65" s="1"/>
      <c r="F65" s="3" t="s">
        <v>6529</v>
      </c>
      <c r="J65" s="4">
        <f>SUBTOTAL(9,J12:J64)</f>
        <v>73953281</v>
      </c>
      <c r="K65" s="4">
        <f>SUBTOTAL(9,K12:K64)</f>
        <v>59317967</v>
      </c>
    </row>
    <row r="66" spans="1:11" hidden="1" outlineLevel="2" x14ac:dyDescent="0.35">
      <c r="A66" t="s">
        <v>75</v>
      </c>
      <c r="B66" s="1">
        <v>45723</v>
      </c>
      <c r="C66" t="str">
        <f>"4"</f>
        <v>4</v>
      </c>
      <c r="D66" t="s">
        <v>6129</v>
      </c>
      <c r="E66" t="s">
        <v>6130</v>
      </c>
      <c r="F66" t="str">
        <f>"40420000"</f>
        <v>40420000</v>
      </c>
      <c r="G66" t="s">
        <v>6131</v>
      </c>
      <c r="H66" t="s">
        <v>6132</v>
      </c>
      <c r="I66" s="1">
        <v>45723</v>
      </c>
      <c r="J66" s="4">
        <v>3009472</v>
      </c>
    </row>
    <row r="67" spans="1:11" hidden="1" outlineLevel="2" x14ac:dyDescent="0.35">
      <c r="A67" t="s">
        <v>101</v>
      </c>
      <c r="B67" s="1">
        <v>45717</v>
      </c>
      <c r="C67" t="str">
        <f>"25"</f>
        <v>25</v>
      </c>
      <c r="F67" t="str">
        <f>"40420000"</f>
        <v>40420000</v>
      </c>
      <c r="G67" t="s">
        <v>6104</v>
      </c>
      <c r="H67" t="s">
        <v>6171</v>
      </c>
      <c r="I67" s="1">
        <v>45657</v>
      </c>
      <c r="K67" s="4">
        <v>-73081750</v>
      </c>
    </row>
    <row r="68" spans="1:11" hidden="1" outlineLevel="2" x14ac:dyDescent="0.35">
      <c r="A68" t="s">
        <v>101</v>
      </c>
      <c r="B68" s="1">
        <v>45747</v>
      </c>
      <c r="C68" t="str">
        <f>"53"</f>
        <v>53</v>
      </c>
      <c r="F68" t="str">
        <f>"40420000"</f>
        <v>40420000</v>
      </c>
      <c r="G68" t="s">
        <v>6200</v>
      </c>
      <c r="H68" t="s">
        <v>6201</v>
      </c>
      <c r="I68" s="1">
        <v>45747</v>
      </c>
      <c r="J68" s="4">
        <v>1</v>
      </c>
    </row>
    <row r="69" spans="1:11" outlineLevel="1" collapsed="1" x14ac:dyDescent="0.35">
      <c r="B69" s="1"/>
      <c r="F69" s="3" t="s">
        <v>6531</v>
      </c>
      <c r="I69" s="1"/>
      <c r="J69" s="4">
        <f>SUBTOTAL(9,J66:J68)</f>
        <v>3009473</v>
      </c>
      <c r="K69" s="4">
        <f>SUBTOTAL(9,K66:K68)</f>
        <v>-73081750</v>
      </c>
    </row>
    <row r="70" spans="1:11" hidden="1" outlineLevel="2" x14ac:dyDescent="0.35">
      <c r="A70" t="s">
        <v>101</v>
      </c>
      <c r="B70" s="1">
        <v>45717</v>
      </c>
      <c r="C70" t="str">
        <f>"51"</f>
        <v>51</v>
      </c>
      <c r="F70" t="str">
        <f t="shared" ref="F70:F84" si="2">"40810000"</f>
        <v>40810000</v>
      </c>
      <c r="G70" t="s">
        <v>6104</v>
      </c>
      <c r="H70" t="s">
        <v>6173</v>
      </c>
      <c r="I70" s="1">
        <v>45688</v>
      </c>
      <c r="K70" s="4">
        <v>-1060000</v>
      </c>
    </row>
    <row r="71" spans="1:11" hidden="1" outlineLevel="2" x14ac:dyDescent="0.35">
      <c r="A71" t="s">
        <v>101</v>
      </c>
      <c r="B71" s="1">
        <v>45717</v>
      </c>
      <c r="C71" t="str">
        <f>"52"</f>
        <v>52</v>
      </c>
      <c r="F71" t="str">
        <f t="shared" si="2"/>
        <v>40810000</v>
      </c>
      <c r="G71" t="s">
        <v>6104</v>
      </c>
      <c r="H71" t="s">
        <v>6174</v>
      </c>
      <c r="I71" s="1">
        <v>45716</v>
      </c>
      <c r="K71" s="4">
        <v>-1060000</v>
      </c>
    </row>
    <row r="72" spans="1:11" hidden="1" outlineLevel="2" x14ac:dyDescent="0.35">
      <c r="A72" t="s">
        <v>101</v>
      </c>
      <c r="B72" s="1">
        <v>45717</v>
      </c>
      <c r="C72" t="str">
        <f>"56"</f>
        <v>56</v>
      </c>
      <c r="F72" t="str">
        <f t="shared" si="2"/>
        <v>40810000</v>
      </c>
      <c r="G72" t="s">
        <v>6069</v>
      </c>
      <c r="H72" t="s">
        <v>6175</v>
      </c>
      <c r="I72" s="1">
        <v>45777</v>
      </c>
      <c r="K72" s="4">
        <v>-169500</v>
      </c>
    </row>
    <row r="73" spans="1:11" hidden="1" outlineLevel="2" x14ac:dyDescent="0.35">
      <c r="A73" t="s">
        <v>101</v>
      </c>
      <c r="B73" s="1">
        <v>45717</v>
      </c>
      <c r="C73" t="str">
        <f>"57"</f>
        <v>57</v>
      </c>
      <c r="F73" t="str">
        <f t="shared" si="2"/>
        <v>40810000</v>
      </c>
      <c r="G73" t="s">
        <v>6069</v>
      </c>
      <c r="H73" t="s">
        <v>6175</v>
      </c>
      <c r="I73" s="1">
        <v>45777</v>
      </c>
      <c r="K73" s="4">
        <v>-169500</v>
      </c>
    </row>
    <row r="74" spans="1:11" hidden="1" outlineLevel="2" x14ac:dyDescent="0.35">
      <c r="A74" t="s">
        <v>101</v>
      </c>
      <c r="B74" s="1">
        <v>45717</v>
      </c>
      <c r="C74" t="str">
        <f>"58"</f>
        <v>58</v>
      </c>
      <c r="F74" t="str">
        <f t="shared" si="2"/>
        <v>40810000</v>
      </c>
      <c r="G74" t="s">
        <v>6053</v>
      </c>
      <c r="H74" t="s">
        <v>6176</v>
      </c>
      <c r="I74" s="1">
        <v>45747</v>
      </c>
      <c r="K74" s="4">
        <v>-280000</v>
      </c>
    </row>
    <row r="75" spans="1:11" hidden="1" outlineLevel="2" x14ac:dyDescent="0.35">
      <c r="A75" t="s">
        <v>101</v>
      </c>
      <c r="B75" s="1">
        <v>45717</v>
      </c>
      <c r="C75" t="str">
        <f>"59"</f>
        <v>59</v>
      </c>
      <c r="F75" t="str">
        <f t="shared" si="2"/>
        <v>40810000</v>
      </c>
      <c r="G75" t="s">
        <v>6082</v>
      </c>
      <c r="H75" t="s">
        <v>6177</v>
      </c>
      <c r="I75" s="1">
        <v>45960</v>
      </c>
      <c r="K75" s="4">
        <v>-13188459</v>
      </c>
    </row>
    <row r="76" spans="1:11" hidden="1" outlineLevel="2" x14ac:dyDescent="0.35">
      <c r="A76" t="s">
        <v>101</v>
      </c>
      <c r="B76" s="1">
        <v>45717</v>
      </c>
      <c r="C76" t="str">
        <f>"60"</f>
        <v>60</v>
      </c>
      <c r="F76" t="str">
        <f t="shared" si="2"/>
        <v>40810000</v>
      </c>
      <c r="G76" t="s">
        <v>6087</v>
      </c>
      <c r="H76" t="s">
        <v>6179</v>
      </c>
      <c r="I76" s="1">
        <v>45961</v>
      </c>
      <c r="K76" s="4">
        <v>-10959663</v>
      </c>
    </row>
    <row r="77" spans="1:11" hidden="1" outlineLevel="2" x14ac:dyDescent="0.35">
      <c r="A77" t="s">
        <v>101</v>
      </c>
      <c r="B77" s="1">
        <v>45747</v>
      </c>
      <c r="C77" t="str">
        <f>"5"</f>
        <v>5</v>
      </c>
      <c r="F77" t="str">
        <f t="shared" si="2"/>
        <v>40810000</v>
      </c>
      <c r="G77" t="s">
        <v>6185</v>
      </c>
      <c r="H77" t="s">
        <v>6186</v>
      </c>
      <c r="I77" s="1">
        <v>45777</v>
      </c>
      <c r="K77" s="4">
        <v>1120000</v>
      </c>
    </row>
    <row r="78" spans="1:11" hidden="1" outlineLevel="2" x14ac:dyDescent="0.35">
      <c r="A78" t="s">
        <v>101</v>
      </c>
      <c r="B78" s="1">
        <v>45747</v>
      </c>
      <c r="C78" t="str">
        <f>"6"</f>
        <v>6</v>
      </c>
      <c r="F78" t="str">
        <f t="shared" si="2"/>
        <v>40810000</v>
      </c>
      <c r="G78" t="s">
        <v>6074</v>
      </c>
      <c r="H78" t="s">
        <v>6187</v>
      </c>
      <c r="I78" s="1">
        <v>45747</v>
      </c>
      <c r="K78" s="4">
        <v>1022673</v>
      </c>
    </row>
    <row r="79" spans="1:11" hidden="1" outlineLevel="2" x14ac:dyDescent="0.35">
      <c r="A79" t="s">
        <v>101</v>
      </c>
      <c r="B79" s="1">
        <v>45747</v>
      </c>
      <c r="C79" t="str">
        <f>"7"</f>
        <v>7</v>
      </c>
      <c r="F79" t="str">
        <f t="shared" si="2"/>
        <v>40810000</v>
      </c>
      <c r="G79" t="s">
        <v>6069</v>
      </c>
      <c r="H79" t="s">
        <v>6188</v>
      </c>
      <c r="I79" s="1">
        <v>45777</v>
      </c>
      <c r="K79" s="4">
        <v>169500</v>
      </c>
    </row>
    <row r="80" spans="1:11" hidden="1" outlineLevel="2" x14ac:dyDescent="0.35">
      <c r="A80" t="s">
        <v>101</v>
      </c>
      <c r="B80" s="1">
        <v>45747</v>
      </c>
      <c r="C80" t="str">
        <f>"8"</f>
        <v>8</v>
      </c>
      <c r="F80" t="str">
        <f t="shared" si="2"/>
        <v>40810000</v>
      </c>
      <c r="G80" t="s">
        <v>6053</v>
      </c>
      <c r="H80" t="s">
        <v>6189</v>
      </c>
      <c r="I80" s="1">
        <v>45747</v>
      </c>
      <c r="K80" s="4">
        <v>419100</v>
      </c>
    </row>
    <row r="81" spans="1:11" hidden="1" outlineLevel="2" x14ac:dyDescent="0.35">
      <c r="A81" t="s">
        <v>101</v>
      </c>
      <c r="B81" s="1">
        <v>45747</v>
      </c>
      <c r="C81" t="str">
        <f>"9"</f>
        <v>9</v>
      </c>
      <c r="F81" t="str">
        <f t="shared" si="2"/>
        <v>40810000</v>
      </c>
      <c r="G81" t="s">
        <v>6061</v>
      </c>
      <c r="H81" t="s">
        <v>6190</v>
      </c>
      <c r="I81" s="1">
        <v>45747</v>
      </c>
      <c r="K81" s="4">
        <v>508450</v>
      </c>
    </row>
    <row r="82" spans="1:11" hidden="1" outlineLevel="2" x14ac:dyDescent="0.35">
      <c r="A82" t="s">
        <v>101</v>
      </c>
      <c r="B82" s="1">
        <v>45747</v>
      </c>
      <c r="C82" t="str">
        <f>"61"</f>
        <v>61</v>
      </c>
      <c r="F82" t="str">
        <f t="shared" si="2"/>
        <v>40810000</v>
      </c>
      <c r="G82" t="s">
        <v>6203</v>
      </c>
      <c r="H82" t="s">
        <v>6204</v>
      </c>
      <c r="I82" s="1">
        <v>46022</v>
      </c>
      <c r="K82" s="4">
        <v>1521035</v>
      </c>
    </row>
    <row r="83" spans="1:11" hidden="1" outlineLevel="2" x14ac:dyDescent="0.35">
      <c r="A83" t="s">
        <v>101</v>
      </c>
      <c r="B83" s="1">
        <v>45747</v>
      </c>
      <c r="C83" t="str">
        <f>"62"</f>
        <v>62</v>
      </c>
      <c r="F83" t="str">
        <f t="shared" si="2"/>
        <v>40810000</v>
      </c>
      <c r="G83" t="s">
        <v>6082</v>
      </c>
      <c r="H83" t="s">
        <v>6205</v>
      </c>
      <c r="I83" s="1">
        <v>45960</v>
      </c>
      <c r="K83" s="4">
        <v>10595753</v>
      </c>
    </row>
    <row r="84" spans="1:11" hidden="1" outlineLevel="2" x14ac:dyDescent="0.35">
      <c r="A84" t="s">
        <v>101</v>
      </c>
      <c r="B84" s="1">
        <v>45747</v>
      </c>
      <c r="C84" t="str">
        <f>"63"</f>
        <v>63</v>
      </c>
      <c r="F84" t="str">
        <f t="shared" si="2"/>
        <v>40810000</v>
      </c>
      <c r="G84" t="s">
        <v>6087</v>
      </c>
      <c r="H84" t="s">
        <v>6207</v>
      </c>
      <c r="I84" s="1">
        <v>45961</v>
      </c>
      <c r="K84" s="4">
        <v>13154875</v>
      </c>
    </row>
    <row r="85" spans="1:11" outlineLevel="1" collapsed="1" x14ac:dyDescent="0.35">
      <c r="B85" s="1"/>
      <c r="F85" s="3" t="s">
        <v>6532</v>
      </c>
      <c r="I85" s="1"/>
      <c r="J85" s="4">
        <f>SUBTOTAL(9,J70:J84)</f>
        <v>0</v>
      </c>
      <c r="K85" s="4">
        <f>SUBTOTAL(9,K70:K84)</f>
        <v>1624264</v>
      </c>
    </row>
    <row r="86" spans="1:11" hidden="1" outlineLevel="2" x14ac:dyDescent="0.35">
      <c r="A86" t="s">
        <v>101</v>
      </c>
      <c r="B86" s="1">
        <v>45717</v>
      </c>
      <c r="C86" t="str">
        <f>"25"</f>
        <v>25</v>
      </c>
      <c r="F86" t="str">
        <f>"40910000"</f>
        <v>40910000</v>
      </c>
      <c r="G86" t="s">
        <v>6104</v>
      </c>
      <c r="H86" t="s">
        <v>6171</v>
      </c>
      <c r="I86" s="1">
        <v>45657</v>
      </c>
      <c r="J86" s="4">
        <v>-73081750</v>
      </c>
    </row>
    <row r="87" spans="1:11" hidden="1" outlineLevel="2" x14ac:dyDescent="0.35">
      <c r="A87" t="s">
        <v>101</v>
      </c>
      <c r="B87" s="1">
        <v>45717</v>
      </c>
      <c r="C87" t="str">
        <f>"25"</f>
        <v>25</v>
      </c>
      <c r="F87" t="str">
        <f>"40910000"</f>
        <v>40910000</v>
      </c>
      <c r="G87" t="s">
        <v>6104</v>
      </c>
      <c r="H87" t="s">
        <v>6170</v>
      </c>
      <c r="I87" s="1">
        <v>45657</v>
      </c>
      <c r="J87" s="4">
        <v>-1695771</v>
      </c>
    </row>
    <row r="88" spans="1:11" outlineLevel="1" collapsed="1" x14ac:dyDescent="0.35">
      <c r="B88" s="1"/>
      <c r="F88" s="3" t="s">
        <v>6750</v>
      </c>
      <c r="I88" s="1"/>
      <c r="J88" s="4">
        <f>SUBTOTAL(9,J86:J87)</f>
        <v>-74777521</v>
      </c>
      <c r="K88" s="4">
        <f>SUBTOTAL(9,K86:K87)</f>
        <v>0</v>
      </c>
    </row>
    <row r="89" spans="1:11" hidden="1" outlineLevel="2" x14ac:dyDescent="0.35">
      <c r="A89" t="s">
        <v>75</v>
      </c>
      <c r="B89" s="1">
        <v>45744</v>
      </c>
      <c r="C89" t="str">
        <f>"14"</f>
        <v>14</v>
      </c>
      <c r="F89" t="str">
        <f t="shared" ref="F89:F104" si="3">"41110000"</f>
        <v>41110000</v>
      </c>
      <c r="G89" t="s">
        <v>6159</v>
      </c>
      <c r="H89" t="s">
        <v>6160</v>
      </c>
      <c r="I89" s="1">
        <v>45774</v>
      </c>
      <c r="K89" s="4">
        <v>7670000</v>
      </c>
    </row>
    <row r="90" spans="1:11" hidden="1" outlineLevel="2" x14ac:dyDescent="0.35">
      <c r="A90" t="s">
        <v>6215</v>
      </c>
      <c r="B90" s="1">
        <v>45726</v>
      </c>
      <c r="C90" t="str">
        <f>"16"</f>
        <v>16</v>
      </c>
      <c r="F90" t="str">
        <f t="shared" si="3"/>
        <v>41110000</v>
      </c>
      <c r="G90" t="s">
        <v>6231</v>
      </c>
      <c r="H90" t="s">
        <v>6230</v>
      </c>
      <c r="K90" s="4">
        <v>36872640</v>
      </c>
    </row>
    <row r="91" spans="1:11" hidden="1" outlineLevel="2" x14ac:dyDescent="0.35">
      <c r="A91" t="s">
        <v>6215</v>
      </c>
      <c r="B91" s="1">
        <v>45742</v>
      </c>
      <c r="C91" t="str">
        <f>"21"</f>
        <v>21</v>
      </c>
      <c r="F91" t="str">
        <f t="shared" si="3"/>
        <v>41110000</v>
      </c>
      <c r="G91" t="s">
        <v>6231</v>
      </c>
      <c r="H91" t="s">
        <v>6243</v>
      </c>
      <c r="K91" s="4">
        <v>143250154</v>
      </c>
    </row>
    <row r="92" spans="1:11" hidden="1" outlineLevel="2" x14ac:dyDescent="0.35">
      <c r="A92" t="s">
        <v>6215</v>
      </c>
      <c r="B92" s="1">
        <v>45744</v>
      </c>
      <c r="C92" t="str">
        <f>"22"</f>
        <v>22</v>
      </c>
      <c r="F92" t="str">
        <f t="shared" si="3"/>
        <v>41110000</v>
      </c>
      <c r="G92" t="s">
        <v>6250</v>
      </c>
      <c r="H92" t="s">
        <v>6251</v>
      </c>
      <c r="K92" s="4">
        <v>2360000</v>
      </c>
    </row>
    <row r="93" spans="1:11" hidden="1" outlineLevel="2" x14ac:dyDescent="0.35">
      <c r="A93" t="s">
        <v>6256</v>
      </c>
      <c r="B93" s="1">
        <v>45717</v>
      </c>
      <c r="C93" t="str">
        <f>"4"</f>
        <v>4</v>
      </c>
      <c r="D93" t="str">
        <f>"00130"</f>
        <v>00130</v>
      </c>
      <c r="E93" t="str">
        <f>"00130"</f>
        <v>00130</v>
      </c>
      <c r="F93" t="str">
        <f t="shared" si="3"/>
        <v>41110000</v>
      </c>
      <c r="G93" t="s">
        <v>6231</v>
      </c>
      <c r="H93" t="s">
        <v>6257</v>
      </c>
      <c r="I93" s="1">
        <v>45717</v>
      </c>
      <c r="J93" s="4">
        <v>531000</v>
      </c>
    </row>
    <row r="94" spans="1:11" hidden="1" outlineLevel="2" x14ac:dyDescent="0.35">
      <c r="A94" t="s">
        <v>6256</v>
      </c>
      <c r="B94" s="1">
        <v>45733</v>
      </c>
      <c r="C94" t="str">
        <f>"1"</f>
        <v>1</v>
      </c>
      <c r="D94" t="str">
        <f>"00136"</f>
        <v>00136</v>
      </c>
      <c r="E94" t="str">
        <f>"00136"</f>
        <v>00136</v>
      </c>
      <c r="F94" t="str">
        <f t="shared" si="3"/>
        <v>41110000</v>
      </c>
      <c r="G94" t="s">
        <v>6159</v>
      </c>
      <c r="H94" t="s">
        <v>6258</v>
      </c>
      <c r="I94" s="1">
        <v>45763</v>
      </c>
      <c r="J94" s="4">
        <v>-9322000</v>
      </c>
    </row>
    <row r="95" spans="1:11" hidden="1" outlineLevel="2" x14ac:dyDescent="0.35">
      <c r="A95" t="s">
        <v>6256</v>
      </c>
      <c r="B95" s="1">
        <v>45733</v>
      </c>
      <c r="C95" t="str">
        <f>"3"</f>
        <v>3</v>
      </c>
      <c r="D95" t="str">
        <f>"00134"</f>
        <v>00134</v>
      </c>
      <c r="E95" t="str">
        <f>"00134"</f>
        <v>00134</v>
      </c>
      <c r="F95" t="str">
        <f t="shared" si="3"/>
        <v>41110000</v>
      </c>
      <c r="G95" t="s">
        <v>6231</v>
      </c>
      <c r="H95" t="s">
        <v>6259</v>
      </c>
      <c r="I95" s="1">
        <v>45733</v>
      </c>
      <c r="J95" s="4">
        <v>134988960</v>
      </c>
    </row>
    <row r="96" spans="1:11" hidden="1" outlineLevel="2" x14ac:dyDescent="0.35">
      <c r="A96" t="s">
        <v>6256</v>
      </c>
      <c r="B96" s="1">
        <v>45735</v>
      </c>
      <c r="C96" t="str">
        <f>"2"</f>
        <v>2</v>
      </c>
      <c r="D96" t="str">
        <f>"00137"</f>
        <v>00137</v>
      </c>
      <c r="E96" t="str">
        <f>"00137"</f>
        <v>00137</v>
      </c>
      <c r="F96" t="str">
        <f t="shared" si="3"/>
        <v>41110000</v>
      </c>
      <c r="G96" t="s">
        <v>6260</v>
      </c>
      <c r="H96" t="s">
        <v>6261</v>
      </c>
      <c r="I96" s="1">
        <v>45735</v>
      </c>
      <c r="J96" s="4">
        <v>9322000</v>
      </c>
    </row>
    <row r="97" spans="1:11" hidden="1" outlineLevel="2" x14ac:dyDescent="0.35">
      <c r="A97" t="s">
        <v>6256</v>
      </c>
      <c r="B97" s="1">
        <v>45735</v>
      </c>
      <c r="C97" t="str">
        <f>"5"</f>
        <v>5</v>
      </c>
      <c r="F97" t="str">
        <f t="shared" si="3"/>
        <v>41110000</v>
      </c>
      <c r="G97" t="s">
        <v>6231</v>
      </c>
      <c r="H97" t="s">
        <v>6262</v>
      </c>
      <c r="I97" s="1">
        <v>45735</v>
      </c>
      <c r="J97" s="4">
        <v>531000</v>
      </c>
    </row>
    <row r="98" spans="1:11" hidden="1" outlineLevel="2" x14ac:dyDescent="0.35">
      <c r="A98" t="s">
        <v>6256</v>
      </c>
      <c r="B98" s="1">
        <v>45744</v>
      </c>
      <c r="C98" t="str">
        <f>"6"</f>
        <v>6</v>
      </c>
      <c r="D98" t="str">
        <f>"00146"</f>
        <v>00146</v>
      </c>
      <c r="E98" t="str">
        <f>"00146"</f>
        <v>00146</v>
      </c>
      <c r="F98" t="str">
        <f t="shared" si="3"/>
        <v>41110000</v>
      </c>
      <c r="G98" t="s">
        <v>6231</v>
      </c>
      <c r="H98" t="s">
        <v>6263</v>
      </c>
      <c r="I98" s="1">
        <v>45744</v>
      </c>
      <c r="J98" s="4">
        <v>9776300</v>
      </c>
    </row>
    <row r="99" spans="1:11" hidden="1" outlineLevel="2" x14ac:dyDescent="0.35">
      <c r="A99" t="s">
        <v>6256</v>
      </c>
      <c r="B99" s="1">
        <v>45744</v>
      </c>
      <c r="C99" t="str">
        <f>"7"</f>
        <v>7</v>
      </c>
      <c r="D99" t="str">
        <f>"00144"</f>
        <v>00144</v>
      </c>
      <c r="E99" t="str">
        <f>"00144"</f>
        <v>00144</v>
      </c>
      <c r="F99" t="str">
        <f t="shared" si="3"/>
        <v>41110000</v>
      </c>
      <c r="G99" t="s">
        <v>6250</v>
      </c>
      <c r="H99" t="s">
        <v>6264</v>
      </c>
      <c r="I99" s="1">
        <v>45774</v>
      </c>
      <c r="J99" s="4">
        <v>2383376</v>
      </c>
    </row>
    <row r="100" spans="1:11" hidden="1" outlineLevel="2" x14ac:dyDescent="0.35">
      <c r="A100" t="s">
        <v>6256</v>
      </c>
      <c r="B100" s="1">
        <v>45744</v>
      </c>
      <c r="C100" t="str">
        <f>"8"</f>
        <v>8</v>
      </c>
      <c r="D100" t="str">
        <f>"00142"</f>
        <v>00142</v>
      </c>
      <c r="E100" t="str">
        <f>"00142"</f>
        <v>00142</v>
      </c>
      <c r="F100" t="str">
        <f t="shared" si="3"/>
        <v>41110000</v>
      </c>
      <c r="G100" t="s">
        <v>6265</v>
      </c>
      <c r="H100" t="s">
        <v>6266</v>
      </c>
      <c r="I100" s="1">
        <v>45774</v>
      </c>
      <c r="J100" s="4">
        <v>3540000</v>
      </c>
    </row>
    <row r="101" spans="1:11" hidden="1" outlineLevel="2" x14ac:dyDescent="0.35">
      <c r="A101" t="s">
        <v>6256</v>
      </c>
      <c r="B101" s="1">
        <v>45744</v>
      </c>
      <c r="C101" t="str">
        <f>"9"</f>
        <v>9</v>
      </c>
      <c r="D101" t="str">
        <f>"00141"</f>
        <v>00141</v>
      </c>
      <c r="E101" t="str">
        <f>"00141"</f>
        <v>00141</v>
      </c>
      <c r="F101" t="str">
        <f t="shared" si="3"/>
        <v>41110000</v>
      </c>
      <c r="G101" t="s">
        <v>6231</v>
      </c>
      <c r="H101" t="s">
        <v>6267</v>
      </c>
      <c r="I101" s="1">
        <v>45744</v>
      </c>
      <c r="J101" s="4">
        <v>295000</v>
      </c>
    </row>
    <row r="102" spans="1:11" hidden="1" outlineLevel="2" x14ac:dyDescent="0.35">
      <c r="A102" t="s">
        <v>6256</v>
      </c>
      <c r="B102" s="1">
        <v>45744</v>
      </c>
      <c r="C102" t="str">
        <f>"10"</f>
        <v>10</v>
      </c>
      <c r="D102" t="str">
        <f>"00140"</f>
        <v>00140</v>
      </c>
      <c r="E102" t="str">
        <f>"00140"</f>
        <v>00140</v>
      </c>
      <c r="F102" t="str">
        <f t="shared" si="3"/>
        <v>41110000</v>
      </c>
      <c r="G102" t="s">
        <v>6231</v>
      </c>
      <c r="H102" t="s">
        <v>6268</v>
      </c>
      <c r="I102" s="1">
        <v>45744</v>
      </c>
      <c r="J102" s="4">
        <v>4720000</v>
      </c>
    </row>
    <row r="103" spans="1:11" hidden="1" outlineLevel="2" x14ac:dyDescent="0.35">
      <c r="A103" t="s">
        <v>6256</v>
      </c>
      <c r="B103" s="1">
        <v>45744</v>
      </c>
      <c r="C103" t="str">
        <f>"11"</f>
        <v>11</v>
      </c>
      <c r="D103" t="str">
        <f>"00139"</f>
        <v>00139</v>
      </c>
      <c r="E103" t="str">
        <f>"00139"</f>
        <v>00139</v>
      </c>
      <c r="F103" t="str">
        <f t="shared" si="3"/>
        <v>41110000</v>
      </c>
      <c r="G103" t="s">
        <v>6260</v>
      </c>
      <c r="H103" t="s">
        <v>6269</v>
      </c>
      <c r="I103" s="1">
        <v>45774</v>
      </c>
      <c r="J103" s="4">
        <v>8968000</v>
      </c>
    </row>
    <row r="104" spans="1:11" hidden="1" outlineLevel="2" x14ac:dyDescent="0.35">
      <c r="A104" t="s">
        <v>6256</v>
      </c>
      <c r="B104" s="1">
        <v>45744</v>
      </c>
      <c r="C104" t="str">
        <f>"12"</f>
        <v>12</v>
      </c>
      <c r="D104" t="str">
        <f>"00143"</f>
        <v>00143</v>
      </c>
      <c r="E104" t="str">
        <f>"00143"</f>
        <v>00143</v>
      </c>
      <c r="F104" t="str">
        <f t="shared" si="3"/>
        <v>41110000</v>
      </c>
      <c r="G104" t="s">
        <v>6231</v>
      </c>
      <c r="H104" t="s">
        <v>6270</v>
      </c>
      <c r="I104" s="1">
        <v>45744</v>
      </c>
      <c r="J104" s="4">
        <v>18436320</v>
      </c>
    </row>
    <row r="105" spans="1:11" outlineLevel="1" collapsed="1" x14ac:dyDescent="0.35">
      <c r="B105" s="1"/>
      <c r="F105" s="3" t="s">
        <v>6533</v>
      </c>
      <c r="I105" s="1"/>
      <c r="J105" s="4">
        <f>SUBTOTAL(9,J89:J104)</f>
        <v>184169956</v>
      </c>
      <c r="K105" s="4">
        <f>SUBTOTAL(9,K89:K104)</f>
        <v>190152794</v>
      </c>
    </row>
    <row r="106" spans="1:11" hidden="1" outlineLevel="2" x14ac:dyDescent="0.35">
      <c r="A106" t="s">
        <v>101</v>
      </c>
      <c r="B106" s="1">
        <v>45717</v>
      </c>
      <c r="C106" t="str">
        <f>"64"</f>
        <v>64</v>
      </c>
      <c r="F106" t="str">
        <f>"41810000"</f>
        <v>41810000</v>
      </c>
      <c r="H106" t="s">
        <v>6180</v>
      </c>
      <c r="I106" s="1">
        <v>45716</v>
      </c>
      <c r="J106" s="4">
        <v>7566483</v>
      </c>
    </row>
    <row r="107" spans="1:11" hidden="1" outlineLevel="2" x14ac:dyDescent="0.35">
      <c r="A107" t="s">
        <v>101</v>
      </c>
      <c r="B107" s="1">
        <v>45717</v>
      </c>
      <c r="C107" t="str">
        <f>"65"</f>
        <v>65</v>
      </c>
      <c r="F107" t="str">
        <f>"41810000"</f>
        <v>41810000</v>
      </c>
      <c r="H107" t="s">
        <v>106</v>
      </c>
      <c r="I107" s="1">
        <v>45716</v>
      </c>
      <c r="J107" s="4">
        <v>40979000</v>
      </c>
    </row>
    <row r="108" spans="1:11" hidden="1" outlineLevel="2" x14ac:dyDescent="0.35">
      <c r="A108" t="s">
        <v>101</v>
      </c>
      <c r="B108" s="1">
        <v>45747</v>
      </c>
      <c r="C108" t="str">
        <f>"66"</f>
        <v>66</v>
      </c>
      <c r="F108" t="str">
        <f>"41810000"</f>
        <v>41810000</v>
      </c>
      <c r="H108" t="s">
        <v>6208</v>
      </c>
      <c r="I108" s="1">
        <v>45747</v>
      </c>
      <c r="J108" s="4">
        <v>-82657810</v>
      </c>
    </row>
    <row r="109" spans="1:11" hidden="1" outlineLevel="2" x14ac:dyDescent="0.35">
      <c r="A109" t="s">
        <v>101</v>
      </c>
      <c r="B109" s="1">
        <v>45747</v>
      </c>
      <c r="C109" t="str">
        <f>"67"</f>
        <v>67</v>
      </c>
      <c r="F109" t="str">
        <f>"41810000"</f>
        <v>41810000</v>
      </c>
      <c r="H109" t="s">
        <v>6210</v>
      </c>
      <c r="I109" s="1">
        <v>45747</v>
      </c>
      <c r="J109" s="4">
        <v>29662326</v>
      </c>
    </row>
    <row r="110" spans="1:11" outlineLevel="1" collapsed="1" x14ac:dyDescent="0.35">
      <c r="B110" s="1"/>
      <c r="F110" s="3" t="s">
        <v>6537</v>
      </c>
      <c r="I110" s="1"/>
      <c r="J110" s="4">
        <f>SUBTOTAL(9,J106:J109)</f>
        <v>-4450001</v>
      </c>
      <c r="K110" s="4">
        <f>SUBTOTAL(9,K106:K109)</f>
        <v>0</v>
      </c>
    </row>
    <row r="111" spans="1:11" hidden="1" outlineLevel="2" x14ac:dyDescent="0.35">
      <c r="A111" t="s">
        <v>6212</v>
      </c>
      <c r="B111" s="1">
        <v>45746</v>
      </c>
      <c r="C111" t="str">
        <f>"3"</f>
        <v>3</v>
      </c>
      <c r="E111" t="s">
        <v>6213</v>
      </c>
      <c r="F111" t="str">
        <f>"42110010"</f>
        <v>42110010</v>
      </c>
      <c r="H111" t="s">
        <v>6214</v>
      </c>
      <c r="I111" s="1">
        <v>45746</v>
      </c>
      <c r="K111" s="4">
        <v>884000</v>
      </c>
    </row>
    <row r="112" spans="1:11" outlineLevel="1" collapsed="1" x14ac:dyDescent="0.35">
      <c r="B112" s="1"/>
      <c r="F112" s="3" t="s">
        <v>6762</v>
      </c>
      <c r="I112" s="1"/>
      <c r="J112" s="4">
        <f>SUBTOTAL(9,J111:J111)</f>
        <v>0</v>
      </c>
      <c r="K112" s="4">
        <f>SUBTOTAL(9,K111:K111)</f>
        <v>884000</v>
      </c>
    </row>
    <row r="113" spans="1:11" hidden="1" outlineLevel="2" x14ac:dyDescent="0.35">
      <c r="A113" t="s">
        <v>6212</v>
      </c>
      <c r="B113" s="1">
        <v>45746</v>
      </c>
      <c r="C113" t="str">
        <f>"3"</f>
        <v>3</v>
      </c>
      <c r="E113" t="s">
        <v>6213</v>
      </c>
      <c r="F113" t="str">
        <f>"42200000"</f>
        <v>42200000</v>
      </c>
      <c r="H113" t="s">
        <v>6214</v>
      </c>
      <c r="I113" s="1">
        <v>45746</v>
      </c>
      <c r="K113" s="4">
        <v>31825334</v>
      </c>
    </row>
    <row r="114" spans="1:11" hidden="1" outlineLevel="2" x14ac:dyDescent="0.35">
      <c r="A114" t="s">
        <v>6215</v>
      </c>
      <c r="B114" s="1">
        <v>45742</v>
      </c>
      <c r="C114" t="str">
        <f>"35"</f>
        <v>35</v>
      </c>
      <c r="F114" t="str">
        <f>"42200000"</f>
        <v>42200000</v>
      </c>
      <c r="H114" t="s">
        <v>6249</v>
      </c>
      <c r="J114" s="4">
        <v>30883024</v>
      </c>
    </row>
    <row r="115" spans="1:11" hidden="1" outlineLevel="2" x14ac:dyDescent="0.35">
      <c r="A115" t="s">
        <v>6215</v>
      </c>
      <c r="B115" s="1">
        <v>45744</v>
      </c>
      <c r="C115" t="str">
        <f>"24"</f>
        <v>24</v>
      </c>
      <c r="F115" t="str">
        <f>"42200000"</f>
        <v>42200000</v>
      </c>
      <c r="H115" t="s">
        <v>6252</v>
      </c>
      <c r="J115" s="4">
        <v>183881</v>
      </c>
    </row>
    <row r="116" spans="1:11" hidden="1" outlineLevel="2" x14ac:dyDescent="0.35">
      <c r="A116" t="s">
        <v>6215</v>
      </c>
      <c r="B116" s="1">
        <v>45744</v>
      </c>
      <c r="C116" t="str">
        <f>"25"</f>
        <v>25</v>
      </c>
      <c r="F116" t="str">
        <f>"42200000"</f>
        <v>42200000</v>
      </c>
      <c r="H116" t="s">
        <v>6253</v>
      </c>
      <c r="J116" s="4">
        <v>306657</v>
      </c>
    </row>
    <row r="117" spans="1:11" hidden="1" outlineLevel="2" x14ac:dyDescent="0.35">
      <c r="A117" t="s">
        <v>6215</v>
      </c>
      <c r="B117" s="1">
        <v>45744</v>
      </c>
      <c r="C117" t="str">
        <f>"26"</f>
        <v>26</v>
      </c>
      <c r="F117" t="str">
        <f>"42200000"</f>
        <v>42200000</v>
      </c>
      <c r="H117" t="s">
        <v>6254</v>
      </c>
      <c r="J117" s="4">
        <v>279773</v>
      </c>
    </row>
    <row r="118" spans="1:11" outlineLevel="1" collapsed="1" x14ac:dyDescent="0.35">
      <c r="B118" s="1"/>
      <c r="F118" s="3" t="s">
        <v>6544</v>
      </c>
      <c r="J118" s="4">
        <f>SUBTOTAL(9,J113:J117)</f>
        <v>31653335</v>
      </c>
      <c r="K118" s="4">
        <f>SUBTOTAL(9,K113:K117)</f>
        <v>31825334</v>
      </c>
    </row>
    <row r="119" spans="1:11" hidden="1" outlineLevel="2" x14ac:dyDescent="0.35">
      <c r="A119" t="s">
        <v>101</v>
      </c>
      <c r="B119" s="1">
        <v>45747</v>
      </c>
      <c r="C119" t="str">
        <f>"2"</f>
        <v>2</v>
      </c>
      <c r="F119" t="str">
        <f>"43100100"</f>
        <v>43100100</v>
      </c>
      <c r="H119" t="s">
        <v>2849</v>
      </c>
      <c r="K119" s="4">
        <v>15500</v>
      </c>
    </row>
    <row r="120" spans="1:11" hidden="1" outlineLevel="2" x14ac:dyDescent="0.35">
      <c r="A120" t="s">
        <v>6212</v>
      </c>
      <c r="B120" s="1">
        <v>45746</v>
      </c>
      <c r="C120" t="str">
        <f>"3"</f>
        <v>3</v>
      </c>
      <c r="E120" t="s">
        <v>6213</v>
      </c>
      <c r="F120" t="str">
        <f>"43100100"</f>
        <v>43100100</v>
      </c>
      <c r="H120" t="s">
        <v>6214</v>
      </c>
      <c r="K120" s="4">
        <v>91500</v>
      </c>
    </row>
    <row r="121" spans="1:11" hidden="1" outlineLevel="2" x14ac:dyDescent="0.35">
      <c r="A121" t="s">
        <v>6215</v>
      </c>
      <c r="B121" s="1">
        <v>45730</v>
      </c>
      <c r="C121" t="str">
        <f>"18"</f>
        <v>18</v>
      </c>
      <c r="F121" t="str">
        <f>"43100100"</f>
        <v>43100100</v>
      </c>
      <c r="H121" t="s">
        <v>6238</v>
      </c>
      <c r="J121" s="4">
        <v>33000</v>
      </c>
    </row>
    <row r="122" spans="1:11" outlineLevel="1" collapsed="1" x14ac:dyDescent="0.35">
      <c r="B122" s="1"/>
      <c r="F122" s="3" t="s">
        <v>6752</v>
      </c>
      <c r="J122" s="4">
        <f>SUBTOTAL(9,J119:J121)</f>
        <v>33000</v>
      </c>
      <c r="K122" s="4">
        <f>SUBTOTAL(9,K119:K121)</f>
        <v>107000</v>
      </c>
    </row>
    <row r="123" spans="1:11" hidden="1" outlineLevel="2" x14ac:dyDescent="0.35">
      <c r="A123" t="s">
        <v>101</v>
      </c>
      <c r="B123" s="1">
        <v>45747</v>
      </c>
      <c r="C123" t="str">
        <f>"4"</f>
        <v>4</v>
      </c>
      <c r="F123" t="str">
        <f>"43110000"</f>
        <v>43110000</v>
      </c>
      <c r="H123" t="s">
        <v>6184</v>
      </c>
      <c r="K123" s="4">
        <v>405375</v>
      </c>
    </row>
    <row r="124" spans="1:11" hidden="1" outlineLevel="2" x14ac:dyDescent="0.35">
      <c r="A124" t="s">
        <v>6215</v>
      </c>
      <c r="B124" s="1">
        <v>45730</v>
      </c>
      <c r="C124" t="str">
        <f>"17"</f>
        <v>17</v>
      </c>
      <c r="F124" t="str">
        <f>"43110000"</f>
        <v>43110000</v>
      </c>
      <c r="H124" t="s">
        <v>6235</v>
      </c>
      <c r="J124" s="4">
        <v>409688</v>
      </c>
    </row>
    <row r="125" spans="1:11" outlineLevel="1" collapsed="1" x14ac:dyDescent="0.35">
      <c r="B125" s="1"/>
      <c r="F125" s="3" t="s">
        <v>6754</v>
      </c>
      <c r="J125" s="4">
        <f>SUBTOTAL(9,J123:J124)</f>
        <v>409688</v>
      </c>
      <c r="K125" s="4">
        <f>SUBTOTAL(9,K123:K124)</f>
        <v>405375</v>
      </c>
    </row>
    <row r="126" spans="1:11" hidden="1" outlineLevel="2" x14ac:dyDescent="0.35">
      <c r="A126" t="s">
        <v>101</v>
      </c>
      <c r="B126" s="1">
        <v>45747</v>
      </c>
      <c r="C126" t="str">
        <f>"4"</f>
        <v>4</v>
      </c>
      <c r="F126" t="str">
        <f>"43120000"</f>
        <v>43120000</v>
      </c>
      <c r="H126" t="s">
        <v>6184</v>
      </c>
      <c r="K126" s="4">
        <v>211500</v>
      </c>
    </row>
    <row r="127" spans="1:11" hidden="1" outlineLevel="2" x14ac:dyDescent="0.35">
      <c r="A127" t="s">
        <v>6215</v>
      </c>
      <c r="B127" s="1">
        <v>45730</v>
      </c>
      <c r="C127" t="str">
        <f>"17"</f>
        <v>17</v>
      </c>
      <c r="F127" t="str">
        <f>"43120000"</f>
        <v>43120000</v>
      </c>
      <c r="H127" t="s">
        <v>6236</v>
      </c>
      <c r="J127" s="4">
        <v>213750</v>
      </c>
    </row>
    <row r="128" spans="1:11" outlineLevel="1" collapsed="1" x14ac:dyDescent="0.35">
      <c r="B128" s="1"/>
      <c r="F128" s="3" t="s">
        <v>6755</v>
      </c>
      <c r="J128" s="4">
        <f>SUBTOTAL(9,J126:J127)</f>
        <v>213750</v>
      </c>
      <c r="K128" s="4">
        <f>SUBTOTAL(9,K126:K127)</f>
        <v>211500</v>
      </c>
    </row>
    <row r="129" spans="1:11" hidden="1" outlineLevel="2" x14ac:dyDescent="0.35">
      <c r="A129" t="s">
        <v>101</v>
      </c>
      <c r="B129" s="1">
        <v>45747</v>
      </c>
      <c r="C129" t="str">
        <f>"4"</f>
        <v>4</v>
      </c>
      <c r="F129" t="str">
        <f>"43130000"</f>
        <v>43130000</v>
      </c>
      <c r="H129" t="s">
        <v>6184</v>
      </c>
      <c r="K129" s="4">
        <v>2460819</v>
      </c>
    </row>
    <row r="130" spans="1:11" hidden="1" outlineLevel="2" x14ac:dyDescent="0.35">
      <c r="A130" t="s">
        <v>6212</v>
      </c>
      <c r="B130" s="1">
        <v>45746</v>
      </c>
      <c r="C130" t="str">
        <f>"3"</f>
        <v>3</v>
      </c>
      <c r="E130" t="s">
        <v>6213</v>
      </c>
      <c r="F130" t="str">
        <f>"43130000"</f>
        <v>43130000</v>
      </c>
      <c r="H130" t="s">
        <v>6214</v>
      </c>
      <c r="K130" s="4">
        <v>2013396</v>
      </c>
    </row>
    <row r="131" spans="1:11" hidden="1" outlineLevel="2" x14ac:dyDescent="0.35">
      <c r="A131" t="s">
        <v>6215</v>
      </c>
      <c r="B131" s="1">
        <v>45730</v>
      </c>
      <c r="C131" t="str">
        <f>"17"</f>
        <v>17</v>
      </c>
      <c r="F131" t="str">
        <f>"43130000"</f>
        <v>43130000</v>
      </c>
      <c r="H131" t="s">
        <v>6237</v>
      </c>
      <c r="J131" s="4">
        <v>4739500</v>
      </c>
    </row>
    <row r="132" spans="1:11" outlineLevel="1" collapsed="1" x14ac:dyDescent="0.35">
      <c r="B132" s="1"/>
      <c r="F132" s="3" t="s">
        <v>6547</v>
      </c>
      <c r="J132" s="4">
        <f>SUBTOTAL(9,J129:J131)</f>
        <v>4739500</v>
      </c>
      <c r="K132" s="4">
        <f>SUBTOTAL(9,K129:K131)</f>
        <v>4474215</v>
      </c>
    </row>
    <row r="133" spans="1:11" hidden="1" outlineLevel="2" x14ac:dyDescent="0.35">
      <c r="A133" t="s">
        <v>101</v>
      </c>
      <c r="B133" s="1">
        <v>45747</v>
      </c>
      <c r="C133" t="str">
        <f>"54"</f>
        <v>54</v>
      </c>
      <c r="F133" t="str">
        <f t="shared" ref="F133:F145" si="4">"44320000"</f>
        <v>44320000</v>
      </c>
      <c r="H133" t="s">
        <v>120</v>
      </c>
      <c r="J133" s="4">
        <v>27836358</v>
      </c>
    </row>
    <row r="134" spans="1:11" hidden="1" outlineLevel="2" x14ac:dyDescent="0.35">
      <c r="A134" t="s">
        <v>6256</v>
      </c>
      <c r="B134" s="1">
        <v>45717</v>
      </c>
      <c r="C134" t="str">
        <f>"4"</f>
        <v>4</v>
      </c>
      <c r="D134" t="str">
        <f>"00130"</f>
        <v>00130</v>
      </c>
      <c r="E134" t="str">
        <f>"00130"</f>
        <v>00130</v>
      </c>
      <c r="F134" t="str">
        <f t="shared" si="4"/>
        <v>44320000</v>
      </c>
      <c r="H134" t="s">
        <v>6257</v>
      </c>
      <c r="K134" s="4">
        <v>81000</v>
      </c>
    </row>
    <row r="135" spans="1:11" hidden="1" outlineLevel="2" x14ac:dyDescent="0.35">
      <c r="A135" t="s">
        <v>6256</v>
      </c>
      <c r="B135" s="1">
        <v>45733</v>
      </c>
      <c r="C135" t="str">
        <f>"1"</f>
        <v>1</v>
      </c>
      <c r="D135" t="str">
        <f>"00136"</f>
        <v>00136</v>
      </c>
      <c r="E135" t="str">
        <f>"00136"</f>
        <v>00136</v>
      </c>
      <c r="F135" t="str">
        <f t="shared" si="4"/>
        <v>44320000</v>
      </c>
      <c r="H135" t="s">
        <v>6258</v>
      </c>
      <c r="K135" s="4">
        <v>-1422000</v>
      </c>
    </row>
    <row r="136" spans="1:11" hidden="1" outlineLevel="2" x14ac:dyDescent="0.35">
      <c r="A136" t="s">
        <v>6256</v>
      </c>
      <c r="B136" s="1">
        <v>45733</v>
      </c>
      <c r="C136" t="str">
        <f>"3"</f>
        <v>3</v>
      </c>
      <c r="D136" t="str">
        <f>"00134"</f>
        <v>00134</v>
      </c>
      <c r="E136" t="str">
        <f>"00134"</f>
        <v>00134</v>
      </c>
      <c r="F136" t="str">
        <f t="shared" si="4"/>
        <v>44320000</v>
      </c>
      <c r="H136" t="s">
        <v>6259</v>
      </c>
      <c r="K136" s="4">
        <v>20591536</v>
      </c>
    </row>
    <row r="137" spans="1:11" hidden="1" outlineLevel="2" x14ac:dyDescent="0.35">
      <c r="A137" t="s">
        <v>6256</v>
      </c>
      <c r="B137" s="1">
        <v>45735</v>
      </c>
      <c r="C137" t="str">
        <f>"2"</f>
        <v>2</v>
      </c>
      <c r="D137" t="str">
        <f>"00137"</f>
        <v>00137</v>
      </c>
      <c r="E137" t="str">
        <f>"00137"</f>
        <v>00137</v>
      </c>
      <c r="F137" t="str">
        <f t="shared" si="4"/>
        <v>44320000</v>
      </c>
      <c r="H137" t="s">
        <v>6261</v>
      </c>
      <c r="K137" s="4">
        <v>1422000</v>
      </c>
    </row>
    <row r="138" spans="1:11" hidden="1" outlineLevel="2" x14ac:dyDescent="0.35">
      <c r="A138" t="s">
        <v>6256</v>
      </c>
      <c r="B138" s="1">
        <v>45735</v>
      </c>
      <c r="C138" t="str">
        <f>"5"</f>
        <v>5</v>
      </c>
      <c r="F138" t="str">
        <f t="shared" si="4"/>
        <v>44320000</v>
      </c>
      <c r="H138" t="s">
        <v>6262</v>
      </c>
      <c r="K138" s="4">
        <v>81000</v>
      </c>
    </row>
    <row r="139" spans="1:11" hidden="1" outlineLevel="2" x14ac:dyDescent="0.35">
      <c r="A139" t="s">
        <v>6256</v>
      </c>
      <c r="B139" s="1">
        <v>45744</v>
      </c>
      <c r="C139" t="str">
        <f>"6"</f>
        <v>6</v>
      </c>
      <c r="D139" t="str">
        <f>"00146"</f>
        <v>00146</v>
      </c>
      <c r="E139" t="str">
        <f>"00146"</f>
        <v>00146</v>
      </c>
      <c r="F139" t="str">
        <f t="shared" si="4"/>
        <v>44320000</v>
      </c>
      <c r="H139" t="s">
        <v>6263</v>
      </c>
      <c r="K139" s="4">
        <v>1491300</v>
      </c>
    </row>
    <row r="140" spans="1:11" hidden="1" outlineLevel="2" x14ac:dyDescent="0.35">
      <c r="A140" t="s">
        <v>6256</v>
      </c>
      <c r="B140" s="1">
        <v>45744</v>
      </c>
      <c r="C140" t="str">
        <f>"7"</f>
        <v>7</v>
      </c>
      <c r="D140" t="str">
        <f>"00144"</f>
        <v>00144</v>
      </c>
      <c r="E140" t="str">
        <f>"00144"</f>
        <v>00144</v>
      </c>
      <c r="F140" t="str">
        <f t="shared" si="4"/>
        <v>44320000</v>
      </c>
      <c r="H140" t="s">
        <v>6264</v>
      </c>
      <c r="K140" s="4">
        <v>363566</v>
      </c>
    </row>
    <row r="141" spans="1:11" hidden="1" outlineLevel="2" x14ac:dyDescent="0.35">
      <c r="A141" t="s">
        <v>6256</v>
      </c>
      <c r="B141" s="1">
        <v>45744</v>
      </c>
      <c r="C141" t="str">
        <f>"8"</f>
        <v>8</v>
      </c>
      <c r="D141" t="str">
        <f>"00142"</f>
        <v>00142</v>
      </c>
      <c r="E141" t="str">
        <f>"00142"</f>
        <v>00142</v>
      </c>
      <c r="F141" t="str">
        <f t="shared" si="4"/>
        <v>44320000</v>
      </c>
      <c r="H141" t="s">
        <v>6266</v>
      </c>
      <c r="K141" s="4">
        <v>540000</v>
      </c>
    </row>
    <row r="142" spans="1:11" hidden="1" outlineLevel="2" x14ac:dyDescent="0.35">
      <c r="A142" t="s">
        <v>6256</v>
      </c>
      <c r="B142" s="1">
        <v>45744</v>
      </c>
      <c r="C142" t="str">
        <f>"9"</f>
        <v>9</v>
      </c>
      <c r="D142" t="str">
        <f>"00141"</f>
        <v>00141</v>
      </c>
      <c r="E142" t="str">
        <f>"00141"</f>
        <v>00141</v>
      </c>
      <c r="F142" t="str">
        <f t="shared" si="4"/>
        <v>44320000</v>
      </c>
      <c r="H142" t="s">
        <v>6267</v>
      </c>
      <c r="K142" s="4">
        <v>45000</v>
      </c>
    </row>
    <row r="143" spans="1:11" hidden="1" outlineLevel="2" x14ac:dyDescent="0.35">
      <c r="A143" t="s">
        <v>6256</v>
      </c>
      <c r="B143" s="1">
        <v>45744</v>
      </c>
      <c r="C143" t="str">
        <f>"10"</f>
        <v>10</v>
      </c>
      <c r="D143" t="str">
        <f>"00140"</f>
        <v>00140</v>
      </c>
      <c r="E143" t="str">
        <f>"00140"</f>
        <v>00140</v>
      </c>
      <c r="F143" t="str">
        <f t="shared" si="4"/>
        <v>44320000</v>
      </c>
      <c r="H143" t="s">
        <v>6268</v>
      </c>
      <c r="K143" s="4">
        <v>720000</v>
      </c>
    </row>
    <row r="144" spans="1:11" hidden="1" outlineLevel="2" x14ac:dyDescent="0.35">
      <c r="A144" t="s">
        <v>6256</v>
      </c>
      <c r="B144" s="1">
        <v>45744</v>
      </c>
      <c r="C144" t="str">
        <f>"11"</f>
        <v>11</v>
      </c>
      <c r="D144" t="str">
        <f>"00139"</f>
        <v>00139</v>
      </c>
      <c r="E144" t="str">
        <f>"00139"</f>
        <v>00139</v>
      </c>
      <c r="F144" t="str">
        <f t="shared" si="4"/>
        <v>44320000</v>
      </c>
      <c r="H144" t="s">
        <v>6269</v>
      </c>
      <c r="K144" s="4">
        <v>1368000</v>
      </c>
    </row>
    <row r="145" spans="1:11" hidden="1" outlineLevel="2" x14ac:dyDescent="0.35">
      <c r="A145" t="s">
        <v>6256</v>
      </c>
      <c r="B145" s="1">
        <v>45744</v>
      </c>
      <c r="C145" t="str">
        <f>"12"</f>
        <v>12</v>
      </c>
      <c r="D145" t="str">
        <f>"00143"</f>
        <v>00143</v>
      </c>
      <c r="E145" t="str">
        <f>"00143"</f>
        <v>00143</v>
      </c>
      <c r="F145" t="str">
        <f t="shared" si="4"/>
        <v>44320000</v>
      </c>
      <c r="H145" t="s">
        <v>6270</v>
      </c>
      <c r="K145" s="4">
        <v>2812320</v>
      </c>
    </row>
    <row r="146" spans="1:11" outlineLevel="1" collapsed="1" x14ac:dyDescent="0.35">
      <c r="B146" s="1"/>
      <c r="F146" s="3" t="s">
        <v>6554</v>
      </c>
      <c r="J146" s="4">
        <f>SUBTOTAL(9,J133:J145)</f>
        <v>27836358</v>
      </c>
      <c r="K146" s="4">
        <f>SUBTOTAL(9,K133:K145)</f>
        <v>28093722</v>
      </c>
    </row>
    <row r="147" spans="1:11" hidden="1" outlineLevel="2" x14ac:dyDescent="0.35">
      <c r="A147" t="s">
        <v>101</v>
      </c>
      <c r="B147" s="1">
        <v>45747</v>
      </c>
      <c r="C147" t="str">
        <f>"54"</f>
        <v>54</v>
      </c>
      <c r="F147" t="str">
        <f>"44410000"</f>
        <v>44410000</v>
      </c>
      <c r="H147" t="s">
        <v>120</v>
      </c>
      <c r="K147" s="4">
        <v>7402553</v>
      </c>
    </row>
    <row r="148" spans="1:11" outlineLevel="1" collapsed="1" x14ac:dyDescent="0.35">
      <c r="B148" s="1"/>
      <c r="F148" s="3" t="s">
        <v>6555</v>
      </c>
      <c r="J148" s="4">
        <f>SUBTOTAL(9,J147:J147)</f>
        <v>0</v>
      </c>
      <c r="K148" s="4">
        <f>SUBTOTAL(9,K147:K147)</f>
        <v>7402553</v>
      </c>
    </row>
    <row r="149" spans="1:11" hidden="1" outlineLevel="2" x14ac:dyDescent="0.35">
      <c r="A149" t="s">
        <v>101</v>
      </c>
      <c r="B149" s="1">
        <v>45747</v>
      </c>
      <c r="C149" t="str">
        <f>"54"</f>
        <v>54</v>
      </c>
      <c r="F149" t="str">
        <f>"44490000"</f>
        <v>44490000</v>
      </c>
      <c r="H149" t="s">
        <v>120</v>
      </c>
      <c r="K149" s="4">
        <v>12394819</v>
      </c>
    </row>
    <row r="150" spans="1:11" outlineLevel="1" collapsed="1" x14ac:dyDescent="0.35">
      <c r="B150" s="1"/>
      <c r="F150" s="3" t="s">
        <v>6761</v>
      </c>
      <c r="J150" s="4">
        <f>SUBTOTAL(9,J149:J149)</f>
        <v>0</v>
      </c>
      <c r="K150" s="4">
        <f>SUBTOTAL(9,K149:K149)</f>
        <v>12394819</v>
      </c>
    </row>
    <row r="151" spans="1:11" hidden="1" outlineLevel="2" x14ac:dyDescent="0.35">
      <c r="A151" t="s">
        <v>101</v>
      </c>
      <c r="B151" s="1">
        <v>45747</v>
      </c>
      <c r="C151" t="str">
        <f>"54"</f>
        <v>54</v>
      </c>
      <c r="F151" t="str">
        <f>"44510000"</f>
        <v>44510000</v>
      </c>
      <c r="H151" t="s">
        <v>120</v>
      </c>
      <c r="K151" s="4">
        <v>27720</v>
      </c>
    </row>
    <row r="152" spans="1:11" outlineLevel="1" collapsed="1" x14ac:dyDescent="0.35">
      <c r="B152" s="1"/>
      <c r="F152" s="3" t="s">
        <v>6556</v>
      </c>
      <c r="J152" s="4">
        <f>SUBTOTAL(9,J151:J151)</f>
        <v>0</v>
      </c>
      <c r="K152" s="4">
        <f>SUBTOTAL(9,K151:K151)</f>
        <v>27720</v>
      </c>
    </row>
    <row r="153" spans="1:11" hidden="1" outlineLevel="2" x14ac:dyDescent="0.35">
      <c r="A153" t="s">
        <v>26</v>
      </c>
      <c r="B153" s="1">
        <v>45726</v>
      </c>
      <c r="C153" t="str">
        <f>"9"</f>
        <v>9</v>
      </c>
      <c r="D153" t="s">
        <v>6065</v>
      </c>
      <c r="E153" t="str">
        <f>"000758"</f>
        <v>000758</v>
      </c>
      <c r="F153" t="str">
        <f t="shared" ref="F153:F159" si="5">"44520000"</f>
        <v>44520000</v>
      </c>
      <c r="H153" t="s">
        <v>6067</v>
      </c>
      <c r="J153" s="4">
        <v>27859</v>
      </c>
    </row>
    <row r="154" spans="1:11" hidden="1" outlineLevel="2" x14ac:dyDescent="0.35">
      <c r="A154" t="s">
        <v>26</v>
      </c>
      <c r="B154" s="1">
        <v>45726</v>
      </c>
      <c r="C154" t="str">
        <f>"16"</f>
        <v>16</v>
      </c>
      <c r="D154" t="s">
        <v>6068</v>
      </c>
      <c r="E154" t="str">
        <f>"0001872"</f>
        <v>0001872</v>
      </c>
      <c r="F154" t="str">
        <f t="shared" si="5"/>
        <v>44520000</v>
      </c>
      <c r="H154" t="s">
        <v>6070</v>
      </c>
      <c r="J154" s="4">
        <v>30510</v>
      </c>
    </row>
    <row r="155" spans="1:11" hidden="1" outlineLevel="2" x14ac:dyDescent="0.35">
      <c r="A155" t="s">
        <v>26</v>
      </c>
      <c r="B155" s="1">
        <v>45730</v>
      </c>
      <c r="C155" t="str">
        <f>"23"</f>
        <v>23</v>
      </c>
      <c r="D155" t="s">
        <v>6094</v>
      </c>
      <c r="E155" t="str">
        <f>"0000012"</f>
        <v>0000012</v>
      </c>
      <c r="F155" t="str">
        <f t="shared" si="5"/>
        <v>44520000</v>
      </c>
      <c r="H155" t="s">
        <v>6096</v>
      </c>
      <c r="J155" s="4">
        <v>144001</v>
      </c>
    </row>
    <row r="156" spans="1:11" hidden="1" outlineLevel="2" x14ac:dyDescent="0.35">
      <c r="A156" t="s">
        <v>26</v>
      </c>
      <c r="B156" s="1">
        <v>45730</v>
      </c>
      <c r="C156" t="str">
        <f>"24"</f>
        <v>24</v>
      </c>
      <c r="D156" t="s">
        <v>6097</v>
      </c>
      <c r="E156" t="str">
        <f>"0000013"</f>
        <v>0000013</v>
      </c>
      <c r="F156" t="str">
        <f t="shared" si="5"/>
        <v>44520000</v>
      </c>
      <c r="H156" t="s">
        <v>6098</v>
      </c>
      <c r="J156" s="4">
        <v>34398</v>
      </c>
    </row>
    <row r="157" spans="1:11" hidden="1" outlineLevel="2" x14ac:dyDescent="0.35">
      <c r="A157" t="s">
        <v>26</v>
      </c>
      <c r="B157" s="1">
        <v>45730</v>
      </c>
      <c r="C157" t="str">
        <f>"25"</f>
        <v>25</v>
      </c>
      <c r="D157" t="s">
        <v>6099</v>
      </c>
      <c r="E157" t="str">
        <f>"0000014"</f>
        <v>0000014</v>
      </c>
      <c r="F157" t="str">
        <f t="shared" si="5"/>
        <v>44520000</v>
      </c>
      <c r="H157" t="s">
        <v>6096</v>
      </c>
      <c r="J157" s="4">
        <v>271035</v>
      </c>
    </row>
    <row r="158" spans="1:11" hidden="1" outlineLevel="2" x14ac:dyDescent="0.35">
      <c r="A158" t="s">
        <v>26</v>
      </c>
      <c r="B158" s="1">
        <v>45741</v>
      </c>
      <c r="C158" t="str">
        <f>"30"</f>
        <v>30</v>
      </c>
      <c r="D158" t="s">
        <v>6115</v>
      </c>
      <c r="E158" t="str">
        <f>"000890"</f>
        <v>000890</v>
      </c>
      <c r="F158" t="str">
        <f t="shared" si="5"/>
        <v>44520000</v>
      </c>
      <c r="H158" t="s">
        <v>6116</v>
      </c>
      <c r="J158" s="4">
        <v>3641</v>
      </c>
    </row>
    <row r="159" spans="1:11" hidden="1" outlineLevel="2" x14ac:dyDescent="0.35">
      <c r="A159" t="s">
        <v>101</v>
      </c>
      <c r="B159" s="1">
        <v>45747</v>
      </c>
      <c r="C159" t="str">
        <f>"54"</f>
        <v>54</v>
      </c>
      <c r="F159" t="str">
        <f t="shared" si="5"/>
        <v>44520000</v>
      </c>
      <c r="H159" t="s">
        <v>120</v>
      </c>
      <c r="K159" s="4">
        <v>511444</v>
      </c>
    </row>
    <row r="160" spans="1:11" outlineLevel="1" collapsed="1" x14ac:dyDescent="0.35">
      <c r="B160" s="1"/>
      <c r="F160" s="3" t="s">
        <v>6559</v>
      </c>
      <c r="J160" s="4">
        <f>SUBTOTAL(9,J153:J159)</f>
        <v>511444</v>
      </c>
      <c r="K160" s="4">
        <f>SUBTOTAL(9,K153:K159)</f>
        <v>511444</v>
      </c>
    </row>
    <row r="161" spans="1:10" hidden="1" outlineLevel="2" x14ac:dyDescent="0.35">
      <c r="A161" t="s">
        <v>26</v>
      </c>
      <c r="B161" s="1">
        <v>45720</v>
      </c>
      <c r="C161" t="str">
        <f>"1"</f>
        <v>1</v>
      </c>
      <c r="D161" t="s">
        <v>6041</v>
      </c>
      <c r="E161" t="str">
        <f>"2503266"</f>
        <v>2503266</v>
      </c>
      <c r="F161" t="str">
        <f t="shared" ref="F161:F186" si="6">"44540000"</f>
        <v>44540000</v>
      </c>
      <c r="H161" t="s">
        <v>6042</v>
      </c>
      <c r="J161" s="4">
        <v>711000</v>
      </c>
    </row>
    <row r="162" spans="1:10" hidden="1" outlineLevel="2" x14ac:dyDescent="0.35">
      <c r="A162" t="s">
        <v>26</v>
      </c>
      <c r="B162" s="1">
        <v>45720</v>
      </c>
      <c r="C162" t="str">
        <f>"2"</f>
        <v>2</v>
      </c>
      <c r="D162" t="s">
        <v>6043</v>
      </c>
      <c r="E162" t="str">
        <f>"2503267"</f>
        <v>2503267</v>
      </c>
      <c r="F162" t="str">
        <f t="shared" si="6"/>
        <v>44540000</v>
      </c>
      <c r="H162" t="s">
        <v>6044</v>
      </c>
      <c r="J162" s="4">
        <v>405000</v>
      </c>
    </row>
    <row r="163" spans="1:10" hidden="1" outlineLevel="2" x14ac:dyDescent="0.35">
      <c r="A163" t="s">
        <v>26</v>
      </c>
      <c r="B163" s="1">
        <v>45720</v>
      </c>
      <c r="C163" t="str">
        <f>"3"</f>
        <v>3</v>
      </c>
      <c r="D163" t="s">
        <v>6045</v>
      </c>
      <c r="E163" t="str">
        <f>"2503268"</f>
        <v>2503268</v>
      </c>
      <c r="F163" t="str">
        <f t="shared" si="6"/>
        <v>44540000</v>
      </c>
      <c r="H163" t="s">
        <v>6046</v>
      </c>
      <c r="J163" s="4">
        <v>16200</v>
      </c>
    </row>
    <row r="164" spans="1:10" hidden="1" outlineLevel="2" x14ac:dyDescent="0.35">
      <c r="A164" t="s">
        <v>26</v>
      </c>
      <c r="B164" s="1">
        <v>45720</v>
      </c>
      <c r="C164" t="str">
        <f>"4"</f>
        <v>4</v>
      </c>
      <c r="D164" t="s">
        <v>6047</v>
      </c>
      <c r="E164" t="str">
        <f>"2503269"</f>
        <v>2503269</v>
      </c>
      <c r="F164" t="str">
        <f t="shared" si="6"/>
        <v>44540000</v>
      </c>
      <c r="H164" t="s">
        <v>6048</v>
      </c>
      <c r="J164" s="4">
        <v>10080</v>
      </c>
    </row>
    <row r="165" spans="1:10" hidden="1" outlineLevel="2" x14ac:dyDescent="0.35">
      <c r="A165" t="s">
        <v>26</v>
      </c>
      <c r="B165" s="1">
        <v>45723</v>
      </c>
      <c r="C165" t="str">
        <f>"13"</f>
        <v>13</v>
      </c>
      <c r="D165" t="s">
        <v>6052</v>
      </c>
      <c r="E165" t="str">
        <f>"86366"</f>
        <v>86366</v>
      </c>
      <c r="F165" t="str">
        <f t="shared" si="6"/>
        <v>44540000</v>
      </c>
      <c r="H165" t="s">
        <v>6054</v>
      </c>
      <c r="J165" s="4">
        <v>12600</v>
      </c>
    </row>
    <row r="166" spans="1:10" hidden="1" outlineLevel="2" x14ac:dyDescent="0.35">
      <c r="A166" t="s">
        <v>26</v>
      </c>
      <c r="B166" s="1">
        <v>45723</v>
      </c>
      <c r="C166" t="str">
        <f>"14"</f>
        <v>14</v>
      </c>
      <c r="D166" t="s">
        <v>6055</v>
      </c>
      <c r="E166" t="str">
        <f>"86367"</f>
        <v>86367</v>
      </c>
      <c r="F166" t="str">
        <f t="shared" si="6"/>
        <v>44540000</v>
      </c>
      <c r="H166" t="s">
        <v>6056</v>
      </c>
      <c r="J166" s="4">
        <v>75438</v>
      </c>
    </row>
    <row r="167" spans="1:10" hidden="1" outlineLevel="2" x14ac:dyDescent="0.35">
      <c r="A167" t="s">
        <v>26</v>
      </c>
      <c r="B167" s="1">
        <v>45723</v>
      </c>
      <c r="C167" t="str">
        <f>"15"</f>
        <v>15</v>
      </c>
      <c r="D167" t="s">
        <v>6057</v>
      </c>
      <c r="E167" t="str">
        <f>"03532"</f>
        <v>03532</v>
      </c>
      <c r="F167" t="str">
        <f t="shared" si="6"/>
        <v>44540000</v>
      </c>
      <c r="H167" t="s">
        <v>6059</v>
      </c>
      <c r="J167" s="4">
        <v>46357</v>
      </c>
    </row>
    <row r="168" spans="1:10" hidden="1" outlineLevel="2" x14ac:dyDescent="0.35">
      <c r="A168" t="s">
        <v>26</v>
      </c>
      <c r="B168" s="1">
        <v>45726</v>
      </c>
      <c r="C168" t="str">
        <f>"7"</f>
        <v>7</v>
      </c>
      <c r="D168" t="s">
        <v>6060</v>
      </c>
      <c r="E168" t="str">
        <f>"8890522032025"</f>
        <v>8890522032025</v>
      </c>
      <c r="F168" t="str">
        <f t="shared" si="6"/>
        <v>44540000</v>
      </c>
      <c r="H168" t="s">
        <v>6062</v>
      </c>
      <c r="J168" s="4">
        <v>196872</v>
      </c>
    </row>
    <row r="169" spans="1:10" hidden="1" outlineLevel="2" x14ac:dyDescent="0.35">
      <c r="A169" t="s">
        <v>26</v>
      </c>
      <c r="B169" s="1">
        <v>45726</v>
      </c>
      <c r="C169" t="str">
        <f>"8"</f>
        <v>8</v>
      </c>
      <c r="D169" t="s">
        <v>6063</v>
      </c>
      <c r="E169" t="str">
        <f>"8998053032025"</f>
        <v>8998053032025</v>
      </c>
      <c r="F169" t="str">
        <f t="shared" si="6"/>
        <v>44540000</v>
      </c>
      <c r="H169" t="s">
        <v>6064</v>
      </c>
      <c r="J169" s="4">
        <v>54914</v>
      </c>
    </row>
    <row r="170" spans="1:10" hidden="1" outlineLevel="2" x14ac:dyDescent="0.35">
      <c r="A170" t="s">
        <v>26</v>
      </c>
      <c r="B170" s="1">
        <v>45726</v>
      </c>
      <c r="C170" t="str">
        <f>"32"</f>
        <v>32</v>
      </c>
      <c r="D170" t="s">
        <v>6071</v>
      </c>
      <c r="E170" t="s">
        <v>6072</v>
      </c>
      <c r="F170" t="str">
        <f t="shared" si="6"/>
        <v>44540000</v>
      </c>
      <c r="H170" t="s">
        <v>6073</v>
      </c>
      <c r="J170" s="4">
        <v>27720</v>
      </c>
    </row>
    <row r="171" spans="1:10" hidden="1" outlineLevel="2" x14ac:dyDescent="0.35">
      <c r="A171" t="s">
        <v>26</v>
      </c>
      <c r="B171" s="1">
        <v>45726</v>
      </c>
      <c r="C171" t="str">
        <f>"33"</f>
        <v>33</v>
      </c>
      <c r="D171" t="s">
        <v>6071</v>
      </c>
      <c r="E171" t="s">
        <v>6072</v>
      </c>
      <c r="F171" t="str">
        <f t="shared" si="6"/>
        <v>44540000</v>
      </c>
      <c r="H171" t="s">
        <v>6075</v>
      </c>
      <c r="J171" s="4">
        <v>-27720</v>
      </c>
    </row>
    <row r="172" spans="1:10" hidden="1" outlineLevel="2" x14ac:dyDescent="0.35">
      <c r="A172" t="s">
        <v>26</v>
      </c>
      <c r="B172" s="1">
        <v>45728</v>
      </c>
      <c r="C172" t="str">
        <f>"18"</f>
        <v>18</v>
      </c>
      <c r="D172" t="s">
        <v>6080</v>
      </c>
      <c r="E172" t="s">
        <v>6081</v>
      </c>
      <c r="F172" t="str">
        <f t="shared" si="6"/>
        <v>44540000</v>
      </c>
      <c r="H172" t="s">
        <v>6083</v>
      </c>
      <c r="J172" s="4">
        <v>199881</v>
      </c>
    </row>
    <row r="173" spans="1:10" hidden="1" outlineLevel="2" x14ac:dyDescent="0.35">
      <c r="A173" t="s">
        <v>26</v>
      </c>
      <c r="B173" s="1">
        <v>45728</v>
      </c>
      <c r="C173" t="str">
        <f>"19"</f>
        <v>19</v>
      </c>
      <c r="D173" t="s">
        <v>6084</v>
      </c>
      <c r="E173" t="s">
        <v>6085</v>
      </c>
      <c r="F173" t="str">
        <f t="shared" si="6"/>
        <v>44540000</v>
      </c>
      <c r="H173" t="s">
        <v>6083</v>
      </c>
      <c r="J173" s="4">
        <v>2197062</v>
      </c>
    </row>
    <row r="174" spans="1:10" hidden="1" outlineLevel="2" x14ac:dyDescent="0.35">
      <c r="A174" t="s">
        <v>26</v>
      </c>
      <c r="B174" s="1">
        <v>45729</v>
      </c>
      <c r="C174" t="str">
        <f>"20"</f>
        <v>20</v>
      </c>
      <c r="D174" t="s">
        <v>6086</v>
      </c>
      <c r="E174" t="str">
        <f>"1772"</f>
        <v>1772</v>
      </c>
      <c r="F174" t="str">
        <f t="shared" si="6"/>
        <v>44540000</v>
      </c>
      <c r="H174" t="s">
        <v>6088</v>
      </c>
      <c r="J174" s="4">
        <v>1852139</v>
      </c>
    </row>
    <row r="175" spans="1:10" hidden="1" outlineLevel="2" x14ac:dyDescent="0.35">
      <c r="A175" t="s">
        <v>26</v>
      </c>
      <c r="B175" s="1">
        <v>45729</v>
      </c>
      <c r="C175" t="str">
        <f>"21"</f>
        <v>21</v>
      </c>
      <c r="D175" t="s">
        <v>6089</v>
      </c>
      <c r="E175" t="str">
        <f>"1773"</f>
        <v>1773</v>
      </c>
      <c r="F175" t="str">
        <f t="shared" si="6"/>
        <v>44540000</v>
      </c>
      <c r="H175" t="s">
        <v>6088</v>
      </c>
      <c r="J175" s="4">
        <v>122617</v>
      </c>
    </row>
    <row r="176" spans="1:10" hidden="1" outlineLevel="2" x14ac:dyDescent="0.35">
      <c r="A176" t="s">
        <v>26</v>
      </c>
      <c r="B176" s="1">
        <v>45730</v>
      </c>
      <c r="C176" t="str">
        <f>"22"</f>
        <v>22</v>
      </c>
      <c r="D176" t="s">
        <v>6090</v>
      </c>
      <c r="E176" t="s">
        <v>6091</v>
      </c>
      <c r="F176" t="str">
        <f t="shared" si="6"/>
        <v>44540000</v>
      </c>
      <c r="H176" t="s">
        <v>6093</v>
      </c>
      <c r="J176" s="4">
        <v>180144</v>
      </c>
    </row>
    <row r="177" spans="1:11" hidden="1" outlineLevel="2" x14ac:dyDescent="0.35">
      <c r="A177" t="s">
        <v>26</v>
      </c>
      <c r="B177" s="1">
        <v>45736</v>
      </c>
      <c r="C177" t="str">
        <f>"27"</f>
        <v>27</v>
      </c>
      <c r="D177" t="s">
        <v>6106</v>
      </c>
      <c r="E177" t="str">
        <f>"000094"</f>
        <v>000094</v>
      </c>
      <c r="F177" t="str">
        <f t="shared" si="6"/>
        <v>44540000</v>
      </c>
      <c r="H177" t="s">
        <v>6108</v>
      </c>
      <c r="J177" s="4">
        <v>14400</v>
      </c>
    </row>
    <row r="178" spans="1:11" hidden="1" outlineLevel="2" x14ac:dyDescent="0.35">
      <c r="A178" t="s">
        <v>75</v>
      </c>
      <c r="B178" s="1">
        <v>45722</v>
      </c>
      <c r="C178" t="str">
        <f>"1"</f>
        <v>1</v>
      </c>
      <c r="D178" t="s">
        <v>6123</v>
      </c>
      <c r="E178" t="s">
        <v>6124</v>
      </c>
      <c r="F178" t="str">
        <f t="shared" si="6"/>
        <v>44540000</v>
      </c>
      <c r="H178" t="s">
        <v>6125</v>
      </c>
      <c r="J178" s="4">
        <v>122270</v>
      </c>
    </row>
    <row r="179" spans="1:11" hidden="1" outlineLevel="2" x14ac:dyDescent="0.35">
      <c r="A179" t="s">
        <v>75</v>
      </c>
      <c r="B179" s="1">
        <v>45722</v>
      </c>
      <c r="C179" t="str">
        <f>"2"</f>
        <v>2</v>
      </c>
      <c r="D179" t="s">
        <v>6126</v>
      </c>
      <c r="E179" t="s">
        <v>6127</v>
      </c>
      <c r="F179" t="str">
        <f t="shared" si="6"/>
        <v>44540000</v>
      </c>
      <c r="H179" t="s">
        <v>6128</v>
      </c>
      <c r="J179" s="4">
        <v>128610</v>
      </c>
    </row>
    <row r="180" spans="1:11" hidden="1" outlineLevel="2" x14ac:dyDescent="0.35">
      <c r="A180" t="s">
        <v>75</v>
      </c>
      <c r="B180" s="1">
        <v>45726</v>
      </c>
      <c r="C180" t="str">
        <f>"3"</f>
        <v>3</v>
      </c>
      <c r="D180" t="s">
        <v>6133</v>
      </c>
      <c r="E180" t="s">
        <v>6134</v>
      </c>
      <c r="F180" t="str">
        <f t="shared" si="6"/>
        <v>44540000</v>
      </c>
      <c r="H180" t="s">
        <v>6135</v>
      </c>
      <c r="J180" s="4">
        <v>438</v>
      </c>
    </row>
    <row r="181" spans="1:11" hidden="1" outlineLevel="2" x14ac:dyDescent="0.35">
      <c r="A181" t="s">
        <v>75</v>
      </c>
      <c r="B181" s="1">
        <v>45726</v>
      </c>
      <c r="C181" t="str">
        <f>"9"</f>
        <v>9</v>
      </c>
      <c r="D181" t="s">
        <v>6071</v>
      </c>
      <c r="E181" t="s">
        <v>6072</v>
      </c>
      <c r="F181" t="str">
        <f t="shared" si="6"/>
        <v>44540000</v>
      </c>
      <c r="H181" t="s">
        <v>6136</v>
      </c>
      <c r="J181" s="4">
        <v>27720</v>
      </c>
    </row>
    <row r="182" spans="1:11" hidden="1" outlineLevel="2" x14ac:dyDescent="0.35">
      <c r="A182" t="s">
        <v>75</v>
      </c>
      <c r="B182" s="1">
        <v>45726</v>
      </c>
      <c r="C182" t="str">
        <f>"10"</f>
        <v>10</v>
      </c>
      <c r="D182" t="s">
        <v>6137</v>
      </c>
      <c r="E182" t="s">
        <v>6138</v>
      </c>
      <c r="F182" t="str">
        <f t="shared" si="6"/>
        <v>44540000</v>
      </c>
      <c r="H182" t="s">
        <v>6139</v>
      </c>
      <c r="J182" s="4">
        <v>9000</v>
      </c>
    </row>
    <row r="183" spans="1:11" hidden="1" outlineLevel="2" x14ac:dyDescent="0.35">
      <c r="A183" t="s">
        <v>75</v>
      </c>
      <c r="B183" s="1">
        <v>45733</v>
      </c>
      <c r="C183" t="str">
        <f>"6"</f>
        <v>6</v>
      </c>
      <c r="D183" t="s">
        <v>6143</v>
      </c>
      <c r="E183" t="s">
        <v>6144</v>
      </c>
      <c r="F183" t="str">
        <f t="shared" si="6"/>
        <v>44540000</v>
      </c>
      <c r="H183" t="s">
        <v>6145</v>
      </c>
      <c r="J183" s="4">
        <v>763200</v>
      </c>
    </row>
    <row r="184" spans="1:11" hidden="1" outlineLevel="2" x14ac:dyDescent="0.35">
      <c r="A184" t="s">
        <v>75</v>
      </c>
      <c r="B184" s="1">
        <v>45740</v>
      </c>
      <c r="C184" t="str">
        <f>"7"</f>
        <v>7</v>
      </c>
      <c r="D184" t="s">
        <v>6146</v>
      </c>
      <c r="E184" t="s">
        <v>6147</v>
      </c>
      <c r="F184" t="str">
        <f t="shared" si="6"/>
        <v>44540000</v>
      </c>
      <c r="H184" t="s">
        <v>6148</v>
      </c>
      <c r="J184" s="4">
        <v>190800</v>
      </c>
    </row>
    <row r="185" spans="1:11" hidden="1" outlineLevel="2" x14ac:dyDescent="0.35">
      <c r="A185" t="s">
        <v>75</v>
      </c>
      <c r="B185" s="1">
        <v>45740</v>
      </c>
      <c r="C185" t="str">
        <f>"8"</f>
        <v>8</v>
      </c>
      <c r="D185" t="s">
        <v>6149</v>
      </c>
      <c r="E185" t="s">
        <v>6150</v>
      </c>
      <c r="F185" t="str">
        <f t="shared" si="6"/>
        <v>44540000</v>
      </c>
      <c r="H185" t="s">
        <v>6151</v>
      </c>
      <c r="J185" s="4">
        <v>190800</v>
      </c>
    </row>
    <row r="186" spans="1:11" hidden="1" outlineLevel="2" x14ac:dyDescent="0.35">
      <c r="A186" t="s">
        <v>101</v>
      </c>
      <c r="B186" s="1">
        <v>45747</v>
      </c>
      <c r="C186" t="str">
        <f>"54"</f>
        <v>54</v>
      </c>
      <c r="F186" t="str">
        <f t="shared" si="6"/>
        <v>44540000</v>
      </c>
      <c r="H186" t="s">
        <v>120</v>
      </c>
      <c r="K186" s="4">
        <v>7499822</v>
      </c>
    </row>
    <row r="187" spans="1:11" outlineLevel="1" collapsed="1" x14ac:dyDescent="0.35">
      <c r="B187" s="1"/>
      <c r="F187" s="3" t="s">
        <v>6560</v>
      </c>
      <c r="J187" s="4">
        <f>SUBTOTAL(9,J161:J186)</f>
        <v>7527542</v>
      </c>
      <c r="K187" s="4">
        <f>SUBTOTAL(9,K161:K186)</f>
        <v>7499822</v>
      </c>
    </row>
    <row r="188" spans="1:11" hidden="1" outlineLevel="2" x14ac:dyDescent="0.35">
      <c r="A188" t="s">
        <v>101</v>
      </c>
      <c r="B188" s="1">
        <v>45747</v>
      </c>
      <c r="C188" t="str">
        <f>"10"</f>
        <v>10</v>
      </c>
      <c r="F188" t="str">
        <f>"44660000"</f>
        <v>44660000</v>
      </c>
      <c r="H188" t="s">
        <v>114</v>
      </c>
      <c r="K188" s="4">
        <v>154646</v>
      </c>
    </row>
    <row r="189" spans="1:11" outlineLevel="1" collapsed="1" x14ac:dyDescent="0.35">
      <c r="B189" s="1"/>
      <c r="F189" s="3" t="s">
        <v>6756</v>
      </c>
      <c r="J189" s="4">
        <f>SUBTOTAL(9,J188:J188)</f>
        <v>0</v>
      </c>
      <c r="K189" s="4">
        <f>SUBTOTAL(9,K188:K188)</f>
        <v>154646</v>
      </c>
    </row>
    <row r="190" spans="1:11" hidden="1" outlineLevel="2" x14ac:dyDescent="0.35">
      <c r="A190" t="s">
        <v>101</v>
      </c>
      <c r="B190" s="1">
        <v>45747</v>
      </c>
      <c r="C190" t="str">
        <f>"1"</f>
        <v>1</v>
      </c>
      <c r="F190" t="str">
        <f>"44720000"</f>
        <v>44720000</v>
      </c>
      <c r="H190" t="s">
        <v>6182</v>
      </c>
      <c r="K190" s="4">
        <v>1066169</v>
      </c>
    </row>
    <row r="191" spans="1:11" hidden="1" outlineLevel="2" x14ac:dyDescent="0.35">
      <c r="A191" t="s">
        <v>101</v>
      </c>
      <c r="B191" s="1">
        <v>45747</v>
      </c>
      <c r="C191" t="str">
        <f>"3"</f>
        <v>3</v>
      </c>
      <c r="F191" t="str">
        <f>"44720000"</f>
        <v>44720000</v>
      </c>
      <c r="H191" t="s">
        <v>6183</v>
      </c>
      <c r="K191" s="4">
        <v>137884</v>
      </c>
    </row>
    <row r="192" spans="1:11" hidden="1" outlineLevel="2" x14ac:dyDescent="0.35">
      <c r="A192" t="s">
        <v>101</v>
      </c>
      <c r="B192" s="1">
        <v>45747</v>
      </c>
      <c r="C192" t="str">
        <f>"3"</f>
        <v>3</v>
      </c>
      <c r="F192" t="str">
        <f>"44720000"</f>
        <v>44720000</v>
      </c>
      <c r="H192" t="s">
        <v>6183</v>
      </c>
      <c r="K192" s="4">
        <v>206826</v>
      </c>
    </row>
    <row r="193" spans="1:11" hidden="1" outlineLevel="2" x14ac:dyDescent="0.35">
      <c r="A193" t="s">
        <v>101</v>
      </c>
      <c r="B193" s="1">
        <v>45747</v>
      </c>
      <c r="C193" t="str">
        <f>"55"</f>
        <v>55</v>
      </c>
      <c r="F193" t="str">
        <f>"44720000"</f>
        <v>44720000</v>
      </c>
      <c r="H193" t="s">
        <v>6202</v>
      </c>
      <c r="K193" s="4">
        <v>31548</v>
      </c>
    </row>
    <row r="194" spans="1:11" hidden="1" outlineLevel="2" x14ac:dyDescent="0.35">
      <c r="A194" t="s">
        <v>6212</v>
      </c>
      <c r="B194" s="1">
        <v>45746</v>
      </c>
      <c r="C194" t="str">
        <f>"3"</f>
        <v>3</v>
      </c>
      <c r="E194" t="s">
        <v>6213</v>
      </c>
      <c r="F194" t="str">
        <f>"44720000"</f>
        <v>44720000</v>
      </c>
      <c r="H194" t="s">
        <v>6214</v>
      </c>
      <c r="K194" s="4">
        <v>4642870</v>
      </c>
    </row>
    <row r="195" spans="1:11" outlineLevel="1" collapsed="1" x14ac:dyDescent="0.35">
      <c r="B195" s="1"/>
      <c r="F195" s="3" t="s">
        <v>6562</v>
      </c>
      <c r="J195" s="4">
        <f>SUBTOTAL(9,J190:J194)</f>
        <v>0</v>
      </c>
      <c r="K195" s="4">
        <f>SUBTOTAL(9,K190:K194)</f>
        <v>6085297</v>
      </c>
    </row>
    <row r="196" spans="1:11" hidden="1" outlineLevel="2" x14ac:dyDescent="0.35">
      <c r="A196" t="s">
        <v>6215</v>
      </c>
      <c r="B196" s="1">
        <v>45721</v>
      </c>
      <c r="C196" t="str">
        <f>"10"</f>
        <v>10</v>
      </c>
      <c r="F196" t="str">
        <f>"44920000"</f>
        <v>44920000</v>
      </c>
      <c r="H196" t="s">
        <v>6229</v>
      </c>
      <c r="K196" s="4">
        <v>5120</v>
      </c>
    </row>
    <row r="197" spans="1:11" outlineLevel="1" collapsed="1" x14ac:dyDescent="0.35">
      <c r="B197" s="1"/>
      <c r="F197" s="3" t="s">
        <v>6766</v>
      </c>
      <c r="J197" s="4">
        <f>SUBTOTAL(9,J196:J196)</f>
        <v>0</v>
      </c>
      <c r="K197" s="4">
        <f>SUBTOTAL(9,K196:K196)</f>
        <v>5120</v>
      </c>
    </row>
    <row r="198" spans="1:11" hidden="1" outlineLevel="2" x14ac:dyDescent="0.35">
      <c r="A198" t="s">
        <v>26</v>
      </c>
      <c r="B198" s="1">
        <v>45726</v>
      </c>
      <c r="C198" t="str">
        <f>"32"</f>
        <v>32</v>
      </c>
      <c r="D198" t="s">
        <v>6071</v>
      </c>
      <c r="E198" t="s">
        <v>6072</v>
      </c>
      <c r="F198" t="str">
        <f t="shared" ref="F198:F221" si="7">"47112300"</f>
        <v>47112300</v>
      </c>
      <c r="G198" t="s">
        <v>6074</v>
      </c>
      <c r="H198" t="s">
        <v>6073</v>
      </c>
      <c r="K198" s="4">
        <v>797720</v>
      </c>
    </row>
    <row r="199" spans="1:11" hidden="1" outlineLevel="2" x14ac:dyDescent="0.35">
      <c r="A199" t="s">
        <v>26</v>
      </c>
      <c r="B199" s="1">
        <v>45726</v>
      </c>
      <c r="C199" t="str">
        <f>"33"</f>
        <v>33</v>
      </c>
      <c r="D199" t="s">
        <v>6071</v>
      </c>
      <c r="E199" t="s">
        <v>6072</v>
      </c>
      <c r="F199" t="str">
        <f t="shared" si="7"/>
        <v>47112300</v>
      </c>
      <c r="G199" t="s">
        <v>6074</v>
      </c>
      <c r="H199" t="s">
        <v>6075</v>
      </c>
      <c r="K199" s="4">
        <v>-797720</v>
      </c>
    </row>
    <row r="200" spans="1:11" hidden="1" outlineLevel="2" x14ac:dyDescent="0.35">
      <c r="A200" t="s">
        <v>75</v>
      </c>
      <c r="B200" s="1">
        <v>45717</v>
      </c>
      <c r="C200" t="str">
        <f>"13"</f>
        <v>13</v>
      </c>
      <c r="D200" t="s">
        <v>6120</v>
      </c>
      <c r="E200" t="s">
        <v>6121</v>
      </c>
      <c r="F200" t="str">
        <f t="shared" si="7"/>
        <v>47112300</v>
      </c>
      <c r="G200" t="s">
        <v>6074</v>
      </c>
      <c r="H200" t="s">
        <v>6122</v>
      </c>
      <c r="K200" s="4">
        <v>110000</v>
      </c>
    </row>
    <row r="201" spans="1:11" hidden="1" outlineLevel="2" x14ac:dyDescent="0.35">
      <c r="A201" t="s">
        <v>75</v>
      </c>
      <c r="B201" s="1">
        <v>45722</v>
      </c>
      <c r="C201" t="str">
        <f>"1"</f>
        <v>1</v>
      </c>
      <c r="D201" t="s">
        <v>6123</v>
      </c>
      <c r="E201" t="s">
        <v>6124</v>
      </c>
      <c r="F201" t="str">
        <f t="shared" si="7"/>
        <v>47112300</v>
      </c>
      <c r="G201" t="s">
        <v>6074</v>
      </c>
      <c r="H201" t="s">
        <v>6125</v>
      </c>
      <c r="K201" s="4">
        <v>817475</v>
      </c>
    </row>
    <row r="202" spans="1:11" hidden="1" outlineLevel="2" x14ac:dyDescent="0.35">
      <c r="A202" t="s">
        <v>75</v>
      </c>
      <c r="B202" s="1">
        <v>45722</v>
      </c>
      <c r="C202" t="str">
        <f>"2"</f>
        <v>2</v>
      </c>
      <c r="D202" t="s">
        <v>6126</v>
      </c>
      <c r="E202" t="s">
        <v>6127</v>
      </c>
      <c r="F202" t="str">
        <f t="shared" si="7"/>
        <v>47112300</v>
      </c>
      <c r="G202" t="s">
        <v>6074</v>
      </c>
      <c r="H202" t="s">
        <v>6128</v>
      </c>
      <c r="K202" s="4">
        <v>875620</v>
      </c>
    </row>
    <row r="203" spans="1:11" hidden="1" outlineLevel="2" x14ac:dyDescent="0.35">
      <c r="A203" t="s">
        <v>75</v>
      </c>
      <c r="B203" s="1">
        <v>45723</v>
      </c>
      <c r="C203" t="str">
        <f>"4"</f>
        <v>4</v>
      </c>
      <c r="D203" t="s">
        <v>6129</v>
      </c>
      <c r="E203" t="s">
        <v>6130</v>
      </c>
      <c r="F203" t="str">
        <f t="shared" si="7"/>
        <v>47112300</v>
      </c>
      <c r="G203" t="s">
        <v>6074</v>
      </c>
      <c r="H203" t="s">
        <v>6132</v>
      </c>
      <c r="K203" s="4">
        <v>3009472</v>
      </c>
    </row>
    <row r="204" spans="1:11" hidden="1" outlineLevel="2" x14ac:dyDescent="0.35">
      <c r="A204" t="s">
        <v>75</v>
      </c>
      <c r="B204" s="1">
        <v>45726</v>
      </c>
      <c r="C204" t="str">
        <f>"3"</f>
        <v>3</v>
      </c>
      <c r="D204" t="s">
        <v>6133</v>
      </c>
      <c r="E204" t="s">
        <v>6134</v>
      </c>
      <c r="F204" t="str">
        <f t="shared" si="7"/>
        <v>47112300</v>
      </c>
      <c r="G204" t="s">
        <v>6074</v>
      </c>
      <c r="H204" t="s">
        <v>6135</v>
      </c>
      <c r="K204" s="4">
        <v>4784</v>
      </c>
    </row>
    <row r="205" spans="1:11" hidden="1" outlineLevel="2" x14ac:dyDescent="0.35">
      <c r="A205" t="s">
        <v>75</v>
      </c>
      <c r="B205" s="1">
        <v>45726</v>
      </c>
      <c r="C205" t="str">
        <f>"9"</f>
        <v>9</v>
      </c>
      <c r="D205" t="s">
        <v>6071</v>
      </c>
      <c r="E205" t="s">
        <v>6072</v>
      </c>
      <c r="F205" t="str">
        <f t="shared" si="7"/>
        <v>47112300</v>
      </c>
      <c r="G205" t="s">
        <v>6074</v>
      </c>
      <c r="H205" t="s">
        <v>6136</v>
      </c>
      <c r="K205" s="4">
        <v>797720</v>
      </c>
    </row>
    <row r="206" spans="1:11" hidden="1" outlineLevel="2" x14ac:dyDescent="0.35">
      <c r="A206" t="s">
        <v>75</v>
      </c>
      <c r="B206" s="1">
        <v>45726</v>
      </c>
      <c r="C206" t="str">
        <f>"10"</f>
        <v>10</v>
      </c>
      <c r="D206" t="s">
        <v>6137</v>
      </c>
      <c r="E206" t="s">
        <v>6138</v>
      </c>
      <c r="F206" t="str">
        <f t="shared" si="7"/>
        <v>47112300</v>
      </c>
      <c r="G206" t="s">
        <v>6074</v>
      </c>
      <c r="H206" t="s">
        <v>6139</v>
      </c>
      <c r="K206" s="4">
        <v>163400</v>
      </c>
    </row>
    <row r="207" spans="1:11" hidden="1" outlineLevel="2" x14ac:dyDescent="0.35">
      <c r="A207" t="s">
        <v>75</v>
      </c>
      <c r="B207" s="1">
        <v>45727</v>
      </c>
      <c r="C207" t="str">
        <f>"5"</f>
        <v>5</v>
      </c>
      <c r="D207" t="s">
        <v>6140</v>
      </c>
      <c r="E207" t="s">
        <v>6141</v>
      </c>
      <c r="F207" t="str">
        <f t="shared" si="7"/>
        <v>47112300</v>
      </c>
      <c r="G207" t="s">
        <v>6074</v>
      </c>
      <c r="H207" t="s">
        <v>6142</v>
      </c>
      <c r="K207" s="4">
        <v>518636</v>
      </c>
    </row>
    <row r="208" spans="1:11" hidden="1" outlineLevel="2" x14ac:dyDescent="0.35">
      <c r="A208" t="s">
        <v>75</v>
      </c>
      <c r="B208" s="1">
        <v>45733</v>
      </c>
      <c r="C208" t="str">
        <f>"6"</f>
        <v>6</v>
      </c>
      <c r="D208" t="s">
        <v>6143</v>
      </c>
      <c r="E208" t="s">
        <v>6144</v>
      </c>
      <c r="F208" t="str">
        <f t="shared" si="7"/>
        <v>47112300</v>
      </c>
      <c r="G208" t="s">
        <v>6074</v>
      </c>
      <c r="H208" t="s">
        <v>6145</v>
      </c>
      <c r="K208" s="4">
        <v>5003200</v>
      </c>
    </row>
    <row r="209" spans="1:11" hidden="1" outlineLevel="2" x14ac:dyDescent="0.35">
      <c r="A209" t="s">
        <v>75</v>
      </c>
      <c r="B209" s="1">
        <v>45740</v>
      </c>
      <c r="C209" t="str">
        <f>"7"</f>
        <v>7</v>
      </c>
      <c r="D209" t="s">
        <v>6146</v>
      </c>
      <c r="E209" t="s">
        <v>6147</v>
      </c>
      <c r="F209" t="str">
        <f t="shared" si="7"/>
        <v>47112300</v>
      </c>
      <c r="G209" t="s">
        <v>6074</v>
      </c>
      <c r="H209" t="s">
        <v>6148</v>
      </c>
      <c r="K209" s="4">
        <v>1250800</v>
      </c>
    </row>
    <row r="210" spans="1:11" hidden="1" outlineLevel="2" x14ac:dyDescent="0.35">
      <c r="A210" t="s">
        <v>75</v>
      </c>
      <c r="B210" s="1">
        <v>45740</v>
      </c>
      <c r="C210" t="str">
        <f>"8"</f>
        <v>8</v>
      </c>
      <c r="D210" t="s">
        <v>6149</v>
      </c>
      <c r="E210" t="s">
        <v>6150</v>
      </c>
      <c r="F210" t="str">
        <f t="shared" si="7"/>
        <v>47112300</v>
      </c>
      <c r="G210" t="s">
        <v>6074</v>
      </c>
      <c r="H210" t="s">
        <v>6151</v>
      </c>
      <c r="K210" s="4">
        <v>1250800</v>
      </c>
    </row>
    <row r="211" spans="1:11" hidden="1" outlineLevel="2" x14ac:dyDescent="0.35">
      <c r="A211" t="s">
        <v>75</v>
      </c>
      <c r="B211" s="1">
        <v>45742</v>
      </c>
      <c r="C211" t="str">
        <f>"16"</f>
        <v>16</v>
      </c>
      <c r="D211" t="s">
        <v>6152</v>
      </c>
      <c r="E211" t="s">
        <v>6153</v>
      </c>
      <c r="F211" t="str">
        <f t="shared" si="7"/>
        <v>47112300</v>
      </c>
      <c r="G211" t="s">
        <v>6074</v>
      </c>
      <c r="H211" t="s">
        <v>6154</v>
      </c>
      <c r="K211" s="4">
        <v>15000</v>
      </c>
    </row>
    <row r="212" spans="1:11" hidden="1" outlineLevel="2" x14ac:dyDescent="0.35">
      <c r="A212" t="s">
        <v>75</v>
      </c>
      <c r="B212" s="1">
        <v>45744</v>
      </c>
      <c r="C212" t="str">
        <f>"11"</f>
        <v>11</v>
      </c>
      <c r="D212" t="s">
        <v>6155</v>
      </c>
      <c r="E212" t="s">
        <v>6156</v>
      </c>
      <c r="F212" t="str">
        <f t="shared" si="7"/>
        <v>47112300</v>
      </c>
      <c r="G212" t="s">
        <v>6074</v>
      </c>
      <c r="H212" t="s">
        <v>6157</v>
      </c>
      <c r="K212" s="4">
        <v>45000</v>
      </c>
    </row>
    <row r="213" spans="1:11" hidden="1" outlineLevel="2" x14ac:dyDescent="0.35">
      <c r="A213" t="s">
        <v>75</v>
      </c>
      <c r="B213" s="1">
        <v>45744</v>
      </c>
      <c r="C213" t="str">
        <f>"12"</f>
        <v>12</v>
      </c>
      <c r="D213" t="s">
        <v>6155</v>
      </c>
      <c r="E213" t="s">
        <v>6156</v>
      </c>
      <c r="F213" t="str">
        <f t="shared" si="7"/>
        <v>47112300</v>
      </c>
      <c r="G213" t="s">
        <v>6074</v>
      </c>
      <c r="H213" t="s">
        <v>6158</v>
      </c>
      <c r="K213" s="4">
        <v>49000</v>
      </c>
    </row>
    <row r="214" spans="1:11" hidden="1" outlineLevel="2" x14ac:dyDescent="0.35">
      <c r="A214" t="s">
        <v>75</v>
      </c>
      <c r="B214" s="1">
        <v>45744</v>
      </c>
      <c r="C214" t="str">
        <f>"14"</f>
        <v>14</v>
      </c>
      <c r="F214" t="str">
        <f t="shared" si="7"/>
        <v>47112300</v>
      </c>
      <c r="G214" t="s">
        <v>6074</v>
      </c>
      <c r="H214" t="s">
        <v>6160</v>
      </c>
      <c r="J214" s="4">
        <v>7670000</v>
      </c>
    </row>
    <row r="215" spans="1:11" hidden="1" outlineLevel="2" x14ac:dyDescent="0.35">
      <c r="A215" t="s">
        <v>75</v>
      </c>
      <c r="B215" s="1">
        <v>45744</v>
      </c>
      <c r="C215" t="str">
        <f>"15"</f>
        <v>15</v>
      </c>
      <c r="D215" t="s">
        <v>6161</v>
      </c>
      <c r="E215" t="s">
        <v>6162</v>
      </c>
      <c r="F215" t="str">
        <f t="shared" si="7"/>
        <v>47112300</v>
      </c>
      <c r="G215" t="s">
        <v>6074</v>
      </c>
      <c r="H215" t="s">
        <v>6163</v>
      </c>
      <c r="K215" s="4">
        <v>201700</v>
      </c>
    </row>
    <row r="216" spans="1:11" hidden="1" outlineLevel="2" x14ac:dyDescent="0.35">
      <c r="A216" t="s">
        <v>101</v>
      </c>
      <c r="B216" s="1">
        <v>45717</v>
      </c>
      <c r="C216" t="str">
        <f>"25"</f>
        <v>25</v>
      </c>
      <c r="F216" t="str">
        <f t="shared" si="7"/>
        <v>47112300</v>
      </c>
      <c r="G216" t="s">
        <v>6074</v>
      </c>
      <c r="H216" t="s">
        <v>6172</v>
      </c>
      <c r="K216" s="4">
        <v>-4240000</v>
      </c>
    </row>
    <row r="217" spans="1:11" hidden="1" outlineLevel="2" x14ac:dyDescent="0.35">
      <c r="A217" t="s">
        <v>6215</v>
      </c>
      <c r="B217" s="1">
        <v>45726</v>
      </c>
      <c r="C217" t="str">
        <f>"15"</f>
        <v>15</v>
      </c>
      <c r="F217" t="str">
        <f t="shared" si="7"/>
        <v>47112300</v>
      </c>
      <c r="G217" t="s">
        <v>6074</v>
      </c>
      <c r="H217" t="s">
        <v>6230</v>
      </c>
      <c r="K217" s="4">
        <v>36872640</v>
      </c>
    </row>
    <row r="218" spans="1:11" hidden="1" outlineLevel="2" x14ac:dyDescent="0.35">
      <c r="A218" t="s">
        <v>6215</v>
      </c>
      <c r="B218" s="1">
        <v>45726</v>
      </c>
      <c r="C218" t="str">
        <f>"16"</f>
        <v>16</v>
      </c>
      <c r="F218" t="str">
        <f t="shared" si="7"/>
        <v>47112300</v>
      </c>
      <c r="G218" t="s">
        <v>6074</v>
      </c>
      <c r="H218" t="s">
        <v>6230</v>
      </c>
      <c r="J218" s="4">
        <v>36872640</v>
      </c>
    </row>
    <row r="219" spans="1:11" hidden="1" outlineLevel="2" x14ac:dyDescent="0.35">
      <c r="A219" t="s">
        <v>6215</v>
      </c>
      <c r="B219" s="1">
        <v>45734</v>
      </c>
      <c r="C219" t="str">
        <f>"23"</f>
        <v>23</v>
      </c>
      <c r="F219" t="str">
        <f t="shared" si="7"/>
        <v>47112300</v>
      </c>
      <c r="G219" t="s">
        <v>6074</v>
      </c>
      <c r="H219" t="s">
        <v>6239</v>
      </c>
      <c r="K219" s="4">
        <v>10000000</v>
      </c>
    </row>
    <row r="220" spans="1:11" hidden="1" outlineLevel="2" x14ac:dyDescent="0.35">
      <c r="A220" t="s">
        <v>6215</v>
      </c>
      <c r="B220" s="1">
        <v>45742</v>
      </c>
      <c r="C220" t="str">
        <f>"21"</f>
        <v>21</v>
      </c>
      <c r="F220" t="str">
        <f t="shared" si="7"/>
        <v>47112300</v>
      </c>
      <c r="G220" t="s">
        <v>6074</v>
      </c>
      <c r="H220" t="s">
        <v>6243</v>
      </c>
      <c r="K220" s="4">
        <v>69639883</v>
      </c>
    </row>
    <row r="221" spans="1:11" hidden="1" outlineLevel="2" x14ac:dyDescent="0.35">
      <c r="A221" t="s">
        <v>6215</v>
      </c>
      <c r="B221" s="1">
        <v>45742</v>
      </c>
      <c r="C221" t="str">
        <f>"27"</f>
        <v>27</v>
      </c>
      <c r="F221" t="str">
        <f t="shared" si="7"/>
        <v>47112300</v>
      </c>
      <c r="G221" t="s">
        <v>6074</v>
      </c>
      <c r="H221" t="s">
        <v>6244</v>
      </c>
      <c r="J221" s="4">
        <v>158180181</v>
      </c>
    </row>
    <row r="222" spans="1:11" outlineLevel="1" collapsed="1" x14ac:dyDescent="0.35">
      <c r="B222" s="1"/>
      <c r="F222" s="3" t="s">
        <v>6743</v>
      </c>
      <c r="J222" s="4">
        <f>SUBTOTAL(9,J198:J221)</f>
        <v>202722821</v>
      </c>
      <c r="K222" s="4">
        <f>SUBTOTAL(9,K198:K221)</f>
        <v>126385130</v>
      </c>
    </row>
    <row r="223" spans="1:11" hidden="1" outlineLevel="2" x14ac:dyDescent="0.35">
      <c r="A223" t="s">
        <v>6215</v>
      </c>
      <c r="B223" s="1">
        <v>45742</v>
      </c>
      <c r="C223" t="str">
        <f>"27"</f>
        <v>27</v>
      </c>
      <c r="F223" t="str">
        <f>"47112400"</f>
        <v>47112400</v>
      </c>
      <c r="G223" t="s">
        <v>6245</v>
      </c>
      <c r="H223" t="s">
        <v>6246</v>
      </c>
      <c r="J223" s="4">
        <v>20312274</v>
      </c>
    </row>
    <row r="224" spans="1:11" outlineLevel="1" collapsed="1" x14ac:dyDescent="0.35">
      <c r="B224" s="1"/>
      <c r="F224" s="3" t="s">
        <v>6767</v>
      </c>
      <c r="J224" s="4">
        <f>SUBTOTAL(9,J223:J223)</f>
        <v>20312274</v>
      </c>
      <c r="K224" s="4">
        <f>SUBTOTAL(9,K223:K223)</f>
        <v>0</v>
      </c>
    </row>
    <row r="225" spans="1:11" hidden="1" outlineLevel="2" x14ac:dyDescent="0.35">
      <c r="A225" t="s">
        <v>6019</v>
      </c>
      <c r="B225" s="1">
        <v>45717</v>
      </c>
      <c r="C225" t="str">
        <f>"21"</f>
        <v>21</v>
      </c>
      <c r="E225" t="s">
        <v>1201</v>
      </c>
      <c r="F225" t="str">
        <f t="shared" ref="F225:F237" si="8">"47461000"</f>
        <v>47461000</v>
      </c>
      <c r="G225" t="s">
        <v>6022</v>
      </c>
      <c r="H225" t="s">
        <v>6023</v>
      </c>
      <c r="K225" s="4">
        <v>606104</v>
      </c>
    </row>
    <row r="226" spans="1:11" hidden="1" outlineLevel="2" x14ac:dyDescent="0.35">
      <c r="A226" t="s">
        <v>6019</v>
      </c>
      <c r="B226" s="1">
        <v>45717</v>
      </c>
      <c r="C226" t="str">
        <f>"24"</f>
        <v>24</v>
      </c>
      <c r="E226" t="s">
        <v>6027</v>
      </c>
      <c r="F226" t="str">
        <f t="shared" si="8"/>
        <v>47461000</v>
      </c>
      <c r="G226" t="s">
        <v>6028</v>
      </c>
      <c r="H226" t="s">
        <v>6029</v>
      </c>
      <c r="K226" s="4">
        <v>7600000</v>
      </c>
    </row>
    <row r="227" spans="1:11" hidden="1" outlineLevel="2" x14ac:dyDescent="0.35">
      <c r="A227" t="s">
        <v>6019</v>
      </c>
      <c r="B227" s="1">
        <v>45717</v>
      </c>
      <c r="C227" t="str">
        <f>"25"</f>
        <v>25</v>
      </c>
      <c r="E227" t="s">
        <v>1239</v>
      </c>
      <c r="F227" t="str">
        <f t="shared" si="8"/>
        <v>47461000</v>
      </c>
      <c r="G227" t="s">
        <v>6030</v>
      </c>
      <c r="H227" t="s">
        <v>6031</v>
      </c>
      <c r="K227" s="4">
        <v>3950000</v>
      </c>
    </row>
    <row r="228" spans="1:11" hidden="1" outlineLevel="2" x14ac:dyDescent="0.35">
      <c r="A228" t="s">
        <v>6019</v>
      </c>
      <c r="B228" s="1">
        <v>45717</v>
      </c>
      <c r="C228" t="str">
        <f>"26"</f>
        <v>26</v>
      </c>
      <c r="E228" t="s">
        <v>1239</v>
      </c>
      <c r="F228" t="str">
        <f t="shared" si="8"/>
        <v>47461000</v>
      </c>
      <c r="G228" t="s">
        <v>6030</v>
      </c>
      <c r="H228" t="s">
        <v>6031</v>
      </c>
      <c r="K228" s="4">
        <v>2250000</v>
      </c>
    </row>
    <row r="229" spans="1:11" hidden="1" outlineLevel="2" x14ac:dyDescent="0.35">
      <c r="A229" t="s">
        <v>6019</v>
      </c>
      <c r="B229" s="1">
        <v>45718</v>
      </c>
      <c r="C229" t="str">
        <f>"28"</f>
        <v>28</v>
      </c>
      <c r="E229" t="s">
        <v>24</v>
      </c>
      <c r="F229" t="str">
        <f t="shared" si="8"/>
        <v>47461000</v>
      </c>
      <c r="G229" t="s">
        <v>6034</v>
      </c>
      <c r="H229" t="s">
        <v>25</v>
      </c>
      <c r="K229" s="4">
        <v>962500</v>
      </c>
    </row>
    <row r="230" spans="1:11" hidden="1" outlineLevel="2" x14ac:dyDescent="0.35">
      <c r="A230" t="s">
        <v>6019</v>
      </c>
      <c r="B230" s="1">
        <v>45718</v>
      </c>
      <c r="C230" t="str">
        <f>"29"</f>
        <v>29</v>
      </c>
      <c r="E230" t="s">
        <v>6035</v>
      </c>
      <c r="F230" t="str">
        <f t="shared" si="8"/>
        <v>47461000</v>
      </c>
      <c r="G230" t="s">
        <v>6036</v>
      </c>
      <c r="H230" t="s">
        <v>6037</v>
      </c>
      <c r="K230" s="4">
        <v>10500000</v>
      </c>
    </row>
    <row r="231" spans="1:11" hidden="1" outlineLevel="2" x14ac:dyDescent="0.35">
      <c r="A231" t="s">
        <v>26</v>
      </c>
      <c r="B231" s="1">
        <v>45717</v>
      </c>
      <c r="C231" t="str">
        <f>"11"</f>
        <v>11</v>
      </c>
      <c r="D231" t="s">
        <v>6038</v>
      </c>
      <c r="E231" t="s">
        <v>1773</v>
      </c>
      <c r="F231" t="str">
        <f t="shared" si="8"/>
        <v>47461000</v>
      </c>
      <c r="G231" t="s">
        <v>6036</v>
      </c>
      <c r="H231" t="s">
        <v>6039</v>
      </c>
      <c r="J231" s="4">
        <v>52500000</v>
      </c>
    </row>
    <row r="232" spans="1:11" hidden="1" outlineLevel="2" x14ac:dyDescent="0.35">
      <c r="A232" t="s">
        <v>26</v>
      </c>
      <c r="B232" s="1">
        <v>45717</v>
      </c>
      <c r="C232" t="str">
        <f>"12"</f>
        <v>12</v>
      </c>
      <c r="D232" t="s">
        <v>6038</v>
      </c>
      <c r="E232" t="s">
        <v>1773</v>
      </c>
      <c r="F232" t="str">
        <f t="shared" si="8"/>
        <v>47461000</v>
      </c>
      <c r="G232" t="s">
        <v>6036</v>
      </c>
      <c r="H232" t="s">
        <v>6040</v>
      </c>
      <c r="J232" s="4">
        <v>-52500000</v>
      </c>
    </row>
    <row r="233" spans="1:11" hidden="1" outlineLevel="2" x14ac:dyDescent="0.35">
      <c r="A233" t="s">
        <v>26</v>
      </c>
      <c r="B233" s="1">
        <v>45720</v>
      </c>
      <c r="C233" t="str">
        <f>"1"</f>
        <v>1</v>
      </c>
      <c r="D233" t="s">
        <v>6041</v>
      </c>
      <c r="E233" t="str">
        <f>"2503266"</f>
        <v>2503266</v>
      </c>
      <c r="F233" t="str">
        <f t="shared" si="8"/>
        <v>47461000</v>
      </c>
      <c r="G233" t="s">
        <v>6030</v>
      </c>
      <c r="H233" t="s">
        <v>6042</v>
      </c>
      <c r="J233" s="4">
        <v>3950000</v>
      </c>
    </row>
    <row r="234" spans="1:11" hidden="1" outlineLevel="2" x14ac:dyDescent="0.35">
      <c r="A234" t="s">
        <v>26</v>
      </c>
      <c r="B234" s="1">
        <v>45720</v>
      </c>
      <c r="C234" t="str">
        <f>"2"</f>
        <v>2</v>
      </c>
      <c r="D234" t="s">
        <v>6043</v>
      </c>
      <c r="E234" t="str">
        <f>"2503267"</f>
        <v>2503267</v>
      </c>
      <c r="F234" t="str">
        <f t="shared" si="8"/>
        <v>47461000</v>
      </c>
      <c r="G234" t="s">
        <v>6030</v>
      </c>
      <c r="H234" t="s">
        <v>6044</v>
      </c>
      <c r="J234" s="4">
        <v>2250000</v>
      </c>
    </row>
    <row r="235" spans="1:11" hidden="1" outlineLevel="2" x14ac:dyDescent="0.35">
      <c r="A235" t="s">
        <v>26</v>
      </c>
      <c r="B235" s="1">
        <v>45722</v>
      </c>
      <c r="C235" t="str">
        <f>"5"</f>
        <v>5</v>
      </c>
      <c r="D235" t="s">
        <v>6049</v>
      </c>
      <c r="E235" t="str">
        <f>"000493"</f>
        <v>000493</v>
      </c>
      <c r="F235" t="str">
        <f t="shared" si="8"/>
        <v>47461000</v>
      </c>
      <c r="G235" t="s">
        <v>6028</v>
      </c>
      <c r="H235" t="s">
        <v>6050</v>
      </c>
      <c r="J235" s="4">
        <v>2800000</v>
      </c>
    </row>
    <row r="236" spans="1:11" hidden="1" outlineLevel="2" x14ac:dyDescent="0.35">
      <c r="A236" t="s">
        <v>26</v>
      </c>
      <c r="B236" s="1">
        <v>45722</v>
      </c>
      <c r="C236" t="str">
        <f>"6"</f>
        <v>6</v>
      </c>
      <c r="D236" t="s">
        <v>6051</v>
      </c>
      <c r="E236" t="str">
        <f>"000495"</f>
        <v>000495</v>
      </c>
      <c r="F236" t="str">
        <f t="shared" si="8"/>
        <v>47461000</v>
      </c>
      <c r="G236" t="s">
        <v>6028</v>
      </c>
      <c r="H236" t="s">
        <v>6050</v>
      </c>
      <c r="J236" s="4">
        <v>4800000</v>
      </c>
    </row>
    <row r="237" spans="1:11" hidden="1" outlineLevel="2" x14ac:dyDescent="0.35">
      <c r="A237" t="s">
        <v>101</v>
      </c>
      <c r="B237" s="1">
        <v>45747</v>
      </c>
      <c r="C237" t="str">
        <f>"26"</f>
        <v>26</v>
      </c>
      <c r="F237" t="str">
        <f t="shared" si="8"/>
        <v>47461000</v>
      </c>
      <c r="G237" t="s">
        <v>6078</v>
      </c>
      <c r="H237" t="s">
        <v>6192</v>
      </c>
      <c r="K237" s="4">
        <v>7260000</v>
      </c>
    </row>
    <row r="238" spans="1:11" outlineLevel="1" collapsed="1" x14ac:dyDescent="0.35">
      <c r="B238" s="1"/>
      <c r="F238" s="3" t="s">
        <v>6740</v>
      </c>
      <c r="J238" s="4">
        <f>SUBTOTAL(9,J225:J237)</f>
        <v>13800000</v>
      </c>
      <c r="K238" s="4">
        <f>SUBTOTAL(9,K225:K237)</f>
        <v>33128604</v>
      </c>
    </row>
    <row r="239" spans="1:11" hidden="1" outlineLevel="2" x14ac:dyDescent="0.35">
      <c r="A239" t="s">
        <v>6019</v>
      </c>
      <c r="B239" s="1">
        <v>45717</v>
      </c>
      <c r="C239" t="str">
        <f>"20"</f>
        <v>20</v>
      </c>
      <c r="D239" t="s">
        <v>6020</v>
      </c>
      <c r="F239" t="str">
        <f t="shared" ref="F239:F245" si="9">"47600000"</f>
        <v>47600000</v>
      </c>
      <c r="H239" t="s">
        <v>6021</v>
      </c>
      <c r="K239" s="4">
        <v>400000</v>
      </c>
    </row>
    <row r="240" spans="1:11" hidden="1" outlineLevel="2" x14ac:dyDescent="0.35">
      <c r="A240" t="s">
        <v>6019</v>
      </c>
      <c r="B240" s="1">
        <v>45717</v>
      </c>
      <c r="C240" t="str">
        <f>"22"</f>
        <v>22</v>
      </c>
      <c r="E240" t="s">
        <v>6024</v>
      </c>
      <c r="F240" t="str">
        <f t="shared" si="9"/>
        <v>47600000</v>
      </c>
      <c r="H240" t="s">
        <v>6025</v>
      </c>
      <c r="K240" s="4">
        <v>2420000</v>
      </c>
    </row>
    <row r="241" spans="1:11" hidden="1" outlineLevel="2" x14ac:dyDescent="0.35">
      <c r="A241" t="s">
        <v>6019</v>
      </c>
      <c r="B241" s="1">
        <v>45717</v>
      </c>
      <c r="C241" t="str">
        <f>"23"</f>
        <v>23</v>
      </c>
      <c r="F241" t="str">
        <f t="shared" si="9"/>
        <v>47600000</v>
      </c>
      <c r="H241" t="s">
        <v>6026</v>
      </c>
      <c r="K241" s="4">
        <v>16000000</v>
      </c>
    </row>
    <row r="242" spans="1:11" hidden="1" outlineLevel="2" x14ac:dyDescent="0.35">
      <c r="A242" t="s">
        <v>6019</v>
      </c>
      <c r="B242" s="1">
        <v>45717</v>
      </c>
      <c r="C242" t="str">
        <f>"27"</f>
        <v>27</v>
      </c>
      <c r="E242" t="s">
        <v>6032</v>
      </c>
      <c r="F242" t="str">
        <f t="shared" si="9"/>
        <v>47600000</v>
      </c>
      <c r="H242" t="s">
        <v>6033</v>
      </c>
      <c r="K242" s="4">
        <v>3861714</v>
      </c>
    </row>
    <row r="243" spans="1:11" hidden="1" outlineLevel="2" x14ac:dyDescent="0.35">
      <c r="A243" t="s">
        <v>26</v>
      </c>
      <c r="B243" s="1">
        <v>45727</v>
      </c>
      <c r="C243" t="str">
        <f>"17"</f>
        <v>17</v>
      </c>
      <c r="D243" t="s">
        <v>6076</v>
      </c>
      <c r="E243" t="s">
        <v>6077</v>
      </c>
      <c r="F243" t="str">
        <f t="shared" si="9"/>
        <v>47600000</v>
      </c>
      <c r="H243" t="s">
        <v>6079</v>
      </c>
      <c r="J243" s="4">
        <v>7260000</v>
      </c>
    </row>
    <row r="244" spans="1:11" hidden="1" outlineLevel="2" x14ac:dyDescent="0.35">
      <c r="A244" t="s">
        <v>101</v>
      </c>
      <c r="B244" s="1">
        <v>45747</v>
      </c>
      <c r="C244" t="str">
        <f>"11"</f>
        <v>11</v>
      </c>
      <c r="E244" t="s">
        <v>6191</v>
      </c>
      <c r="F244" t="str">
        <f t="shared" si="9"/>
        <v>47600000</v>
      </c>
      <c r="H244" t="s">
        <v>113</v>
      </c>
      <c r="K244" s="4">
        <v>7984000</v>
      </c>
    </row>
    <row r="245" spans="1:11" hidden="1" outlineLevel="2" x14ac:dyDescent="0.35">
      <c r="A245" t="s">
        <v>101</v>
      </c>
      <c r="B245" s="1">
        <v>45747</v>
      </c>
      <c r="C245" t="str">
        <f>"26"</f>
        <v>26</v>
      </c>
      <c r="F245" t="str">
        <f t="shared" si="9"/>
        <v>47600000</v>
      </c>
      <c r="H245" t="s">
        <v>6192</v>
      </c>
      <c r="J245" s="4">
        <v>7260000</v>
      </c>
    </row>
    <row r="246" spans="1:11" outlineLevel="1" collapsed="1" x14ac:dyDescent="0.35">
      <c r="B246" s="1"/>
      <c r="F246" s="3" t="s">
        <v>6583</v>
      </c>
      <c r="J246" s="4">
        <f>SUBTOTAL(9,J239:J245)</f>
        <v>14520000</v>
      </c>
      <c r="K246" s="4">
        <f>SUBTOTAL(9,K239:K245)</f>
        <v>30665714</v>
      </c>
    </row>
    <row r="247" spans="1:11" hidden="1" outlineLevel="2" x14ac:dyDescent="0.35">
      <c r="A247" t="s">
        <v>6215</v>
      </c>
      <c r="B247" s="1">
        <v>45717</v>
      </c>
      <c r="C247" t="str">
        <f>"34"</f>
        <v>34</v>
      </c>
      <c r="F247" t="str">
        <f t="shared" ref="F247:F279" si="10">"52110000"</f>
        <v>52110000</v>
      </c>
      <c r="H247" t="s">
        <v>6216</v>
      </c>
      <c r="K247" s="4">
        <v>919760</v>
      </c>
    </row>
    <row r="248" spans="1:11" hidden="1" outlineLevel="2" x14ac:dyDescent="0.35">
      <c r="A248" t="s">
        <v>6215</v>
      </c>
      <c r="B248" s="1">
        <v>45720</v>
      </c>
      <c r="C248" t="str">
        <f>"4"</f>
        <v>4</v>
      </c>
      <c r="F248" t="str">
        <f t="shared" si="10"/>
        <v>52110000</v>
      </c>
      <c r="H248" t="s">
        <v>6217</v>
      </c>
      <c r="K248" s="4">
        <v>1728833</v>
      </c>
    </row>
    <row r="249" spans="1:11" hidden="1" outlineLevel="2" x14ac:dyDescent="0.35">
      <c r="A249" t="s">
        <v>6215</v>
      </c>
      <c r="B249" s="1">
        <v>45721</v>
      </c>
      <c r="C249" t="str">
        <f>"1"</f>
        <v>1</v>
      </c>
      <c r="F249" t="str">
        <f t="shared" si="10"/>
        <v>52110000</v>
      </c>
      <c r="H249" t="s">
        <v>6219</v>
      </c>
      <c r="K249" s="4">
        <v>953959</v>
      </c>
    </row>
    <row r="250" spans="1:11" hidden="1" outlineLevel="2" x14ac:dyDescent="0.35">
      <c r="A250" t="s">
        <v>6215</v>
      </c>
      <c r="B250" s="1">
        <v>45721</v>
      </c>
      <c r="C250" t="str">
        <f>"2"</f>
        <v>2</v>
      </c>
      <c r="F250" t="str">
        <f t="shared" si="10"/>
        <v>52110000</v>
      </c>
      <c r="H250" t="s">
        <v>6221</v>
      </c>
      <c r="K250" s="4">
        <v>1320000</v>
      </c>
    </row>
    <row r="251" spans="1:11" hidden="1" outlineLevel="2" x14ac:dyDescent="0.35">
      <c r="A251" t="s">
        <v>6215</v>
      </c>
      <c r="B251" s="1">
        <v>45721</v>
      </c>
      <c r="C251" t="str">
        <f>"3"</f>
        <v>3</v>
      </c>
      <c r="F251" t="str">
        <f t="shared" si="10"/>
        <v>52110000</v>
      </c>
      <c r="H251" t="s">
        <v>6222</v>
      </c>
      <c r="K251" s="4">
        <v>3589642</v>
      </c>
    </row>
    <row r="252" spans="1:11" hidden="1" outlineLevel="2" x14ac:dyDescent="0.35">
      <c r="A252" t="s">
        <v>6215</v>
      </c>
      <c r="B252" s="1">
        <v>45721</v>
      </c>
      <c r="C252" t="str">
        <f>"5"</f>
        <v>5</v>
      </c>
      <c r="F252" t="str">
        <f t="shared" si="10"/>
        <v>52110000</v>
      </c>
      <c r="H252" t="s">
        <v>6223</v>
      </c>
      <c r="K252" s="4">
        <v>1308008</v>
      </c>
    </row>
    <row r="253" spans="1:11" hidden="1" outlineLevel="2" x14ac:dyDescent="0.35">
      <c r="A253" t="s">
        <v>6215</v>
      </c>
      <c r="B253" s="1">
        <v>45721</v>
      </c>
      <c r="C253" t="str">
        <f>"6"</f>
        <v>6</v>
      </c>
      <c r="F253" t="str">
        <f t="shared" si="10"/>
        <v>52110000</v>
      </c>
      <c r="H253" t="s">
        <v>6225</v>
      </c>
      <c r="K253" s="4">
        <v>2572636</v>
      </c>
    </row>
    <row r="254" spans="1:11" hidden="1" outlineLevel="2" x14ac:dyDescent="0.35">
      <c r="A254" t="s">
        <v>6215</v>
      </c>
      <c r="B254" s="1">
        <v>45721</v>
      </c>
      <c r="C254" t="str">
        <f>"7"</f>
        <v>7</v>
      </c>
      <c r="F254" t="str">
        <f t="shared" si="10"/>
        <v>52110000</v>
      </c>
      <c r="H254" t="s">
        <v>6226</v>
      </c>
      <c r="K254" s="4">
        <v>1498600</v>
      </c>
    </row>
    <row r="255" spans="1:11" hidden="1" outlineLevel="2" x14ac:dyDescent="0.35">
      <c r="A255" t="s">
        <v>6215</v>
      </c>
      <c r="B255" s="1">
        <v>45721</v>
      </c>
      <c r="C255" t="str">
        <f>"8"</f>
        <v>8</v>
      </c>
      <c r="F255" t="str">
        <f t="shared" si="10"/>
        <v>52110000</v>
      </c>
      <c r="H255" t="s">
        <v>6227</v>
      </c>
      <c r="K255" s="4">
        <v>150000</v>
      </c>
    </row>
    <row r="256" spans="1:11" hidden="1" outlineLevel="2" x14ac:dyDescent="0.35">
      <c r="A256" t="s">
        <v>6215</v>
      </c>
      <c r="B256" s="1">
        <v>45721</v>
      </c>
      <c r="C256" t="str">
        <f>"9"</f>
        <v>9</v>
      </c>
      <c r="F256" t="str">
        <f t="shared" si="10"/>
        <v>52110000</v>
      </c>
      <c r="H256" t="s">
        <v>6228</v>
      </c>
      <c r="K256" s="4">
        <v>12400000</v>
      </c>
    </row>
    <row r="257" spans="1:11" hidden="1" outlineLevel="2" x14ac:dyDescent="0.35">
      <c r="A257" t="s">
        <v>6215</v>
      </c>
      <c r="B257" s="1">
        <v>45721</v>
      </c>
      <c r="C257" t="str">
        <f>"10"</f>
        <v>10</v>
      </c>
      <c r="F257" t="str">
        <f t="shared" si="10"/>
        <v>52110000</v>
      </c>
      <c r="H257" t="s">
        <v>6229</v>
      </c>
      <c r="K257" s="4">
        <v>288880</v>
      </c>
    </row>
    <row r="258" spans="1:11" hidden="1" outlineLevel="2" x14ac:dyDescent="0.35">
      <c r="A258" t="s">
        <v>6215</v>
      </c>
      <c r="B258" s="1">
        <v>45726</v>
      </c>
      <c r="C258" t="str">
        <f>"15"</f>
        <v>15</v>
      </c>
      <c r="F258" t="str">
        <f t="shared" si="10"/>
        <v>52110000</v>
      </c>
      <c r="H258" t="s">
        <v>6230</v>
      </c>
      <c r="J258" s="4">
        <v>36872640</v>
      </c>
    </row>
    <row r="259" spans="1:11" hidden="1" outlineLevel="2" x14ac:dyDescent="0.35">
      <c r="A259" t="s">
        <v>6215</v>
      </c>
      <c r="B259" s="1">
        <v>45727</v>
      </c>
      <c r="C259" t="str">
        <f>"11"</f>
        <v>11</v>
      </c>
      <c r="F259" t="str">
        <f t="shared" si="10"/>
        <v>52110000</v>
      </c>
      <c r="H259" t="s">
        <v>6232</v>
      </c>
      <c r="K259" s="4">
        <v>19751719</v>
      </c>
    </row>
    <row r="260" spans="1:11" hidden="1" outlineLevel="2" x14ac:dyDescent="0.35">
      <c r="A260" t="s">
        <v>6215</v>
      </c>
      <c r="B260" s="1">
        <v>45727</v>
      </c>
      <c r="C260" t="str">
        <f>"12"</f>
        <v>12</v>
      </c>
      <c r="F260" t="str">
        <f t="shared" si="10"/>
        <v>52110000</v>
      </c>
      <c r="H260" t="s">
        <v>6233</v>
      </c>
      <c r="K260" s="4">
        <v>8177400</v>
      </c>
    </row>
    <row r="261" spans="1:11" hidden="1" outlineLevel="2" x14ac:dyDescent="0.35">
      <c r="A261" t="s">
        <v>6215</v>
      </c>
      <c r="B261" s="1">
        <v>45727</v>
      </c>
      <c r="C261" t="str">
        <f>"13"</f>
        <v>13</v>
      </c>
      <c r="F261" t="str">
        <f t="shared" si="10"/>
        <v>52110000</v>
      </c>
      <c r="H261" t="s">
        <v>6234</v>
      </c>
      <c r="K261" s="4">
        <v>15200000</v>
      </c>
    </row>
    <row r="262" spans="1:11" hidden="1" outlineLevel="2" x14ac:dyDescent="0.35">
      <c r="A262" t="s">
        <v>6215</v>
      </c>
      <c r="B262" s="1">
        <v>45730</v>
      </c>
      <c r="C262" t="str">
        <f>"17"</f>
        <v>17</v>
      </c>
      <c r="F262" t="str">
        <f t="shared" si="10"/>
        <v>52110000</v>
      </c>
      <c r="H262" t="s">
        <v>6237</v>
      </c>
      <c r="K262" s="4">
        <v>5362938</v>
      </c>
    </row>
    <row r="263" spans="1:11" hidden="1" outlineLevel="2" x14ac:dyDescent="0.35">
      <c r="A263" t="s">
        <v>6215</v>
      </c>
      <c r="B263" s="1">
        <v>45730</v>
      </c>
      <c r="C263" t="str">
        <f>"18"</f>
        <v>18</v>
      </c>
      <c r="F263" t="str">
        <f t="shared" si="10"/>
        <v>52110000</v>
      </c>
      <c r="H263" t="s">
        <v>6238</v>
      </c>
      <c r="K263" s="4">
        <v>33000</v>
      </c>
    </row>
    <row r="264" spans="1:11" hidden="1" outlineLevel="2" x14ac:dyDescent="0.35">
      <c r="A264" t="s">
        <v>6215</v>
      </c>
      <c r="B264" s="1">
        <v>45734</v>
      </c>
      <c r="C264" t="str">
        <f>"23"</f>
        <v>23</v>
      </c>
      <c r="F264" t="str">
        <f t="shared" si="10"/>
        <v>52110000</v>
      </c>
      <c r="H264" t="s">
        <v>6239</v>
      </c>
      <c r="J264" s="4">
        <v>10000000</v>
      </c>
    </row>
    <row r="265" spans="1:11" hidden="1" outlineLevel="2" x14ac:dyDescent="0.35">
      <c r="A265" t="s">
        <v>6215</v>
      </c>
      <c r="B265" s="1">
        <v>45734</v>
      </c>
      <c r="C265" t="str">
        <f>"28"</f>
        <v>28</v>
      </c>
      <c r="F265" t="str">
        <f t="shared" si="10"/>
        <v>52110000</v>
      </c>
      <c r="H265" t="s">
        <v>6240</v>
      </c>
      <c r="K265" s="4">
        <v>1499</v>
      </c>
    </row>
    <row r="266" spans="1:11" hidden="1" outlineLevel="2" x14ac:dyDescent="0.35">
      <c r="A266" t="s">
        <v>6215</v>
      </c>
      <c r="B266" s="1">
        <v>45736</v>
      </c>
      <c r="C266" t="str">
        <f>"19"</f>
        <v>19</v>
      </c>
      <c r="F266" t="str">
        <f t="shared" si="10"/>
        <v>52110000</v>
      </c>
      <c r="H266" t="s">
        <v>6241</v>
      </c>
      <c r="K266" s="4">
        <v>1692558</v>
      </c>
    </row>
    <row r="267" spans="1:11" hidden="1" outlineLevel="2" x14ac:dyDescent="0.35">
      <c r="A267" t="s">
        <v>6215</v>
      </c>
      <c r="B267" s="1">
        <v>45736</v>
      </c>
      <c r="C267" t="str">
        <f>"20"</f>
        <v>20</v>
      </c>
      <c r="F267" t="str">
        <f t="shared" si="10"/>
        <v>52110000</v>
      </c>
      <c r="H267" t="s">
        <v>6242</v>
      </c>
      <c r="K267" s="4">
        <v>660805</v>
      </c>
    </row>
    <row r="268" spans="1:11" hidden="1" outlineLevel="2" x14ac:dyDescent="0.35">
      <c r="A268" t="s">
        <v>6215</v>
      </c>
      <c r="B268" s="1">
        <v>45742</v>
      </c>
      <c r="C268" t="str">
        <f>"21"</f>
        <v>21</v>
      </c>
      <c r="F268" t="str">
        <f t="shared" si="10"/>
        <v>52110000</v>
      </c>
      <c r="H268" t="s">
        <v>6243</v>
      </c>
      <c r="J268" s="4">
        <v>212890037</v>
      </c>
    </row>
    <row r="269" spans="1:11" hidden="1" outlineLevel="2" x14ac:dyDescent="0.35">
      <c r="A269" t="s">
        <v>6215</v>
      </c>
      <c r="B269" s="1">
        <v>45742</v>
      </c>
      <c r="C269" t="str">
        <f>"27"</f>
        <v>27</v>
      </c>
      <c r="F269" t="str">
        <f t="shared" si="10"/>
        <v>52110000</v>
      </c>
      <c r="H269" t="s">
        <v>6244</v>
      </c>
      <c r="K269" s="4">
        <v>178492455</v>
      </c>
    </row>
    <row r="270" spans="1:11" hidden="1" outlineLevel="2" x14ac:dyDescent="0.35">
      <c r="A270" t="s">
        <v>6215</v>
      </c>
      <c r="B270" s="1">
        <v>45742</v>
      </c>
      <c r="C270" t="str">
        <f>"31"</f>
        <v>31</v>
      </c>
      <c r="F270" t="str">
        <f t="shared" si="10"/>
        <v>52110000</v>
      </c>
      <c r="H270" t="s">
        <v>6247</v>
      </c>
      <c r="K270" s="4">
        <v>43175</v>
      </c>
    </row>
    <row r="271" spans="1:11" hidden="1" outlineLevel="2" x14ac:dyDescent="0.35">
      <c r="A271" t="s">
        <v>6215</v>
      </c>
      <c r="B271" s="1">
        <v>45742</v>
      </c>
      <c r="C271" t="str">
        <f>"32"</f>
        <v>32</v>
      </c>
      <c r="F271" t="str">
        <f t="shared" si="10"/>
        <v>52110000</v>
      </c>
      <c r="H271" t="s">
        <v>6247</v>
      </c>
      <c r="K271" s="4">
        <v>7425</v>
      </c>
    </row>
    <row r="272" spans="1:11" hidden="1" outlineLevel="2" x14ac:dyDescent="0.35">
      <c r="A272" t="s">
        <v>6215</v>
      </c>
      <c r="B272" s="1">
        <v>45742</v>
      </c>
      <c r="C272" t="str">
        <f>"33"</f>
        <v>33</v>
      </c>
      <c r="F272" t="str">
        <f t="shared" si="10"/>
        <v>52110000</v>
      </c>
      <c r="H272" t="s">
        <v>6248</v>
      </c>
      <c r="K272" s="4">
        <v>31900</v>
      </c>
    </row>
    <row r="273" spans="1:11" hidden="1" outlineLevel="2" x14ac:dyDescent="0.35">
      <c r="A273" t="s">
        <v>6215</v>
      </c>
      <c r="B273" s="1">
        <v>45742</v>
      </c>
      <c r="C273" t="str">
        <f>"35"</f>
        <v>35</v>
      </c>
      <c r="F273" t="str">
        <f t="shared" si="10"/>
        <v>52110000</v>
      </c>
      <c r="H273" t="s">
        <v>6249</v>
      </c>
      <c r="K273" s="4">
        <v>30883024</v>
      </c>
    </row>
    <row r="274" spans="1:11" hidden="1" outlineLevel="2" x14ac:dyDescent="0.35">
      <c r="A274" t="s">
        <v>6215</v>
      </c>
      <c r="B274" s="1">
        <v>45744</v>
      </c>
      <c r="C274" t="str">
        <f>"22"</f>
        <v>22</v>
      </c>
      <c r="F274" t="str">
        <f t="shared" si="10"/>
        <v>52110000</v>
      </c>
      <c r="H274" t="s">
        <v>6251</v>
      </c>
      <c r="J274" s="4">
        <v>2360000</v>
      </c>
    </row>
    <row r="275" spans="1:11" hidden="1" outlineLevel="2" x14ac:dyDescent="0.35">
      <c r="A275" t="s">
        <v>6215</v>
      </c>
      <c r="B275" s="1">
        <v>45744</v>
      </c>
      <c r="C275" t="str">
        <f>"24"</f>
        <v>24</v>
      </c>
      <c r="F275" t="str">
        <f t="shared" si="10"/>
        <v>52110000</v>
      </c>
      <c r="H275" t="s">
        <v>6252</v>
      </c>
      <c r="K275" s="4">
        <v>183881</v>
      </c>
    </row>
    <row r="276" spans="1:11" hidden="1" outlineLevel="2" x14ac:dyDescent="0.35">
      <c r="A276" t="s">
        <v>6215</v>
      </c>
      <c r="B276" s="1">
        <v>45744</v>
      </c>
      <c r="C276" t="str">
        <f>"25"</f>
        <v>25</v>
      </c>
      <c r="F276" t="str">
        <f t="shared" si="10"/>
        <v>52110000</v>
      </c>
      <c r="H276" t="s">
        <v>6253</v>
      </c>
      <c r="K276" s="4">
        <v>306657</v>
      </c>
    </row>
    <row r="277" spans="1:11" hidden="1" outlineLevel="2" x14ac:dyDescent="0.35">
      <c r="A277" t="s">
        <v>6215</v>
      </c>
      <c r="B277" s="1">
        <v>45744</v>
      </c>
      <c r="C277" t="str">
        <f>"26"</f>
        <v>26</v>
      </c>
      <c r="F277" t="str">
        <f t="shared" si="10"/>
        <v>52110000</v>
      </c>
      <c r="H277" t="s">
        <v>6254</v>
      </c>
      <c r="K277" s="4">
        <v>279773</v>
      </c>
    </row>
    <row r="278" spans="1:11" hidden="1" outlineLevel="2" x14ac:dyDescent="0.35">
      <c r="A278" t="s">
        <v>6215</v>
      </c>
      <c r="B278" s="1">
        <v>45744</v>
      </c>
      <c r="C278" t="str">
        <f>"30"</f>
        <v>30</v>
      </c>
      <c r="F278" t="str">
        <f t="shared" si="10"/>
        <v>52110000</v>
      </c>
      <c r="H278" t="s">
        <v>6240</v>
      </c>
      <c r="K278" s="4">
        <v>4400</v>
      </c>
    </row>
    <row r="279" spans="1:11" hidden="1" outlineLevel="2" x14ac:dyDescent="0.35">
      <c r="A279" t="s">
        <v>6215</v>
      </c>
      <c r="B279" s="1">
        <v>45747</v>
      </c>
      <c r="C279" t="str">
        <f>"29"</f>
        <v>29</v>
      </c>
      <c r="F279" t="str">
        <f t="shared" si="10"/>
        <v>52110000</v>
      </c>
      <c r="H279" t="s">
        <v>6255</v>
      </c>
      <c r="K279" s="4">
        <v>142759</v>
      </c>
    </row>
    <row r="280" spans="1:11" outlineLevel="1" collapsed="1" x14ac:dyDescent="0.35">
      <c r="B280" s="1"/>
      <c r="F280" s="3" t="s">
        <v>6765</v>
      </c>
      <c r="J280" s="4">
        <f>SUBTOTAL(9,J247:J279)</f>
        <v>262122677</v>
      </c>
      <c r="K280" s="4">
        <f>SUBTOTAL(9,K247:K279)</f>
        <v>287985686</v>
      </c>
    </row>
    <row r="281" spans="1:11" hidden="1" outlineLevel="2" x14ac:dyDescent="0.35">
      <c r="A281" t="s">
        <v>6164</v>
      </c>
      <c r="B281" s="1">
        <v>45721</v>
      </c>
      <c r="C281" t="str">
        <f>"23"</f>
        <v>23</v>
      </c>
      <c r="F281" t="str">
        <f t="shared" ref="F281:F286" si="11">"52115000"</f>
        <v>52115000</v>
      </c>
      <c r="H281" t="s">
        <v>6166</v>
      </c>
      <c r="K281" s="4">
        <v>520003</v>
      </c>
    </row>
    <row r="282" spans="1:11" hidden="1" outlineLevel="2" x14ac:dyDescent="0.35">
      <c r="A282" t="s">
        <v>6164</v>
      </c>
      <c r="B282" s="1">
        <v>45721</v>
      </c>
      <c r="C282" t="str">
        <f>"24"</f>
        <v>24</v>
      </c>
      <c r="F282" t="str">
        <f t="shared" si="11"/>
        <v>52115000</v>
      </c>
      <c r="H282" t="s">
        <v>6168</v>
      </c>
      <c r="K282" s="4">
        <v>749600</v>
      </c>
    </row>
    <row r="283" spans="1:11" hidden="1" outlineLevel="2" x14ac:dyDescent="0.35">
      <c r="A283" t="s">
        <v>6164</v>
      </c>
      <c r="B283" s="1">
        <v>45721</v>
      </c>
      <c r="C283" t="str">
        <f>"25"</f>
        <v>25</v>
      </c>
      <c r="F283" t="str">
        <f t="shared" si="11"/>
        <v>52115000</v>
      </c>
      <c r="H283" t="s">
        <v>6169</v>
      </c>
      <c r="K283" s="4">
        <v>355758</v>
      </c>
    </row>
    <row r="284" spans="1:11" hidden="1" outlineLevel="2" x14ac:dyDescent="0.35">
      <c r="A284" t="s">
        <v>6164</v>
      </c>
      <c r="B284" s="1">
        <v>45744</v>
      </c>
      <c r="C284" t="str">
        <f>"26"</f>
        <v>26</v>
      </c>
      <c r="F284" t="str">
        <f t="shared" si="11"/>
        <v>52115000</v>
      </c>
      <c r="H284" t="s">
        <v>58</v>
      </c>
      <c r="K284" s="4">
        <v>11000</v>
      </c>
    </row>
    <row r="285" spans="1:11" hidden="1" outlineLevel="2" x14ac:dyDescent="0.35">
      <c r="A285" t="s">
        <v>6164</v>
      </c>
      <c r="B285" s="1">
        <v>45744</v>
      </c>
      <c r="C285" t="str">
        <f>"27"</f>
        <v>27</v>
      </c>
      <c r="F285" t="str">
        <f t="shared" si="11"/>
        <v>52115000</v>
      </c>
      <c r="H285" t="s">
        <v>58</v>
      </c>
      <c r="K285" s="4">
        <v>19800</v>
      </c>
    </row>
    <row r="286" spans="1:11" hidden="1" outlineLevel="2" x14ac:dyDescent="0.35">
      <c r="A286" t="s">
        <v>6164</v>
      </c>
      <c r="B286" s="1">
        <v>45747</v>
      </c>
      <c r="C286" t="str">
        <f>"28"</f>
        <v>28</v>
      </c>
      <c r="F286" t="str">
        <f t="shared" si="11"/>
        <v>52115000</v>
      </c>
      <c r="H286" t="s">
        <v>58</v>
      </c>
      <c r="K286" s="4">
        <v>2200</v>
      </c>
    </row>
    <row r="287" spans="1:11" outlineLevel="1" collapsed="1" x14ac:dyDescent="0.35">
      <c r="B287" s="1"/>
      <c r="F287" s="3" t="s">
        <v>6749</v>
      </c>
      <c r="J287" s="4">
        <f>SUBTOTAL(9,J281:J286)</f>
        <v>0</v>
      </c>
      <c r="K287" s="4">
        <f>SUBTOTAL(9,K281:K286)</f>
        <v>1658361</v>
      </c>
    </row>
    <row r="288" spans="1:11" hidden="1" outlineLevel="2" x14ac:dyDescent="0.35">
      <c r="A288" t="s">
        <v>75</v>
      </c>
      <c r="B288" s="1">
        <v>45726</v>
      </c>
      <c r="C288" t="str">
        <f>"3"</f>
        <v>3</v>
      </c>
      <c r="D288" t="s">
        <v>6133</v>
      </c>
      <c r="E288" t="s">
        <v>6134</v>
      </c>
      <c r="F288" t="str">
        <f>"60510000"</f>
        <v>60510000</v>
      </c>
      <c r="H288" t="s">
        <v>6135</v>
      </c>
      <c r="J288" s="4">
        <v>4346</v>
      </c>
    </row>
    <row r="289" spans="1:11" outlineLevel="1" collapsed="1" x14ac:dyDescent="0.35">
      <c r="B289" s="1"/>
      <c r="F289" s="3" t="s">
        <v>6615</v>
      </c>
      <c r="J289" s="4">
        <f>SUBTOTAL(9,J288:J288)</f>
        <v>4346</v>
      </c>
      <c r="K289" s="4">
        <f>SUBTOTAL(9,K288:K288)</f>
        <v>0</v>
      </c>
    </row>
    <row r="290" spans="1:11" hidden="1" outlineLevel="2" x14ac:dyDescent="0.35">
      <c r="A290" t="s">
        <v>75</v>
      </c>
      <c r="B290" s="1">
        <v>45722</v>
      </c>
      <c r="C290" t="str">
        <f>"1"</f>
        <v>1</v>
      </c>
      <c r="D290" t="s">
        <v>6123</v>
      </c>
      <c r="E290" t="s">
        <v>6124</v>
      </c>
      <c r="F290" t="str">
        <f>"60520000"</f>
        <v>60520000</v>
      </c>
      <c r="H290" t="s">
        <v>6125</v>
      </c>
      <c r="J290" s="4">
        <v>695205</v>
      </c>
    </row>
    <row r="291" spans="1:11" hidden="1" outlineLevel="2" x14ac:dyDescent="0.35">
      <c r="A291" t="s">
        <v>75</v>
      </c>
      <c r="B291" s="1">
        <v>45722</v>
      </c>
      <c r="C291" t="str">
        <f>"2"</f>
        <v>2</v>
      </c>
      <c r="D291" t="s">
        <v>6126</v>
      </c>
      <c r="E291" t="s">
        <v>6127</v>
      </c>
      <c r="F291" t="str">
        <f>"60520000"</f>
        <v>60520000</v>
      </c>
      <c r="H291" t="s">
        <v>6128</v>
      </c>
      <c r="J291" s="4">
        <v>747010</v>
      </c>
    </row>
    <row r="292" spans="1:11" outlineLevel="1" collapsed="1" x14ac:dyDescent="0.35">
      <c r="B292" s="1"/>
      <c r="F292" s="3" t="s">
        <v>6616</v>
      </c>
      <c r="J292" s="4">
        <f>SUBTOTAL(9,J290:J291)</f>
        <v>1442215</v>
      </c>
      <c r="K292" s="4">
        <f>SUBTOTAL(9,K290:K291)</f>
        <v>0</v>
      </c>
    </row>
    <row r="293" spans="1:11" hidden="1" outlineLevel="2" x14ac:dyDescent="0.35">
      <c r="A293" t="s">
        <v>75</v>
      </c>
      <c r="B293" s="1">
        <v>45727</v>
      </c>
      <c r="C293" t="str">
        <f>"5"</f>
        <v>5</v>
      </c>
      <c r="D293" t="s">
        <v>6140</v>
      </c>
      <c r="E293" t="s">
        <v>6141</v>
      </c>
      <c r="F293" t="str">
        <f>"60545000"</f>
        <v>60545000</v>
      </c>
      <c r="H293" t="s">
        <v>6142</v>
      </c>
      <c r="J293" s="4">
        <v>518636</v>
      </c>
    </row>
    <row r="294" spans="1:11" outlineLevel="1" collapsed="1" x14ac:dyDescent="0.35">
      <c r="B294" s="1"/>
      <c r="F294" s="3" t="s">
        <v>6747</v>
      </c>
      <c r="J294" s="4">
        <f>SUBTOTAL(9,J293:J293)</f>
        <v>518636</v>
      </c>
      <c r="K294" s="4">
        <f>SUBTOTAL(9,K293:K293)</f>
        <v>0</v>
      </c>
    </row>
    <row r="295" spans="1:11" hidden="1" outlineLevel="2" x14ac:dyDescent="0.35">
      <c r="A295" t="s">
        <v>26</v>
      </c>
      <c r="B295" s="1">
        <v>45726</v>
      </c>
      <c r="C295" t="str">
        <f>"9"</f>
        <v>9</v>
      </c>
      <c r="D295" t="s">
        <v>6065</v>
      </c>
      <c r="E295" t="str">
        <f>"000758"</f>
        <v>000758</v>
      </c>
      <c r="F295" t="str">
        <f t="shared" ref="F295:F300" si="12">"60550000"</f>
        <v>60550000</v>
      </c>
      <c r="H295" t="s">
        <v>6067</v>
      </c>
      <c r="J295" s="4">
        <v>154774</v>
      </c>
    </row>
    <row r="296" spans="1:11" hidden="1" outlineLevel="2" x14ac:dyDescent="0.35">
      <c r="A296" t="s">
        <v>26</v>
      </c>
      <c r="B296" s="1">
        <v>45726</v>
      </c>
      <c r="C296" t="str">
        <f>"16"</f>
        <v>16</v>
      </c>
      <c r="D296" t="s">
        <v>6068</v>
      </c>
      <c r="E296" t="str">
        <f>"0001872"</f>
        <v>0001872</v>
      </c>
      <c r="F296" t="str">
        <f t="shared" si="12"/>
        <v>60550000</v>
      </c>
      <c r="H296" t="s">
        <v>6070</v>
      </c>
      <c r="J296" s="4">
        <v>169500</v>
      </c>
    </row>
    <row r="297" spans="1:11" hidden="1" outlineLevel="2" x14ac:dyDescent="0.35">
      <c r="A297" t="s">
        <v>26</v>
      </c>
      <c r="B297" s="1">
        <v>45741</v>
      </c>
      <c r="C297" t="str">
        <f>"30"</f>
        <v>30</v>
      </c>
      <c r="D297" t="s">
        <v>6115</v>
      </c>
      <c r="E297" t="str">
        <f>"000890"</f>
        <v>000890</v>
      </c>
      <c r="F297" t="str">
        <f t="shared" si="12"/>
        <v>60550000</v>
      </c>
      <c r="H297" t="s">
        <v>6116</v>
      </c>
      <c r="J297" s="4">
        <v>20225</v>
      </c>
    </row>
    <row r="298" spans="1:11" hidden="1" outlineLevel="2" x14ac:dyDescent="0.35">
      <c r="A298" t="s">
        <v>101</v>
      </c>
      <c r="B298" s="1">
        <v>45717</v>
      </c>
      <c r="C298" t="str">
        <f>"56"</f>
        <v>56</v>
      </c>
      <c r="F298" t="str">
        <f t="shared" si="12"/>
        <v>60550000</v>
      </c>
      <c r="H298" t="s">
        <v>6175</v>
      </c>
      <c r="J298" s="4">
        <v>-169500</v>
      </c>
    </row>
    <row r="299" spans="1:11" hidden="1" outlineLevel="2" x14ac:dyDescent="0.35">
      <c r="A299" t="s">
        <v>101</v>
      </c>
      <c r="B299" s="1">
        <v>45717</v>
      </c>
      <c r="C299" t="str">
        <f>"57"</f>
        <v>57</v>
      </c>
      <c r="F299" t="str">
        <f t="shared" si="12"/>
        <v>60550000</v>
      </c>
      <c r="H299" t="s">
        <v>6175</v>
      </c>
      <c r="J299" s="4">
        <v>-169500</v>
      </c>
    </row>
    <row r="300" spans="1:11" hidden="1" outlineLevel="2" x14ac:dyDescent="0.35">
      <c r="A300" t="s">
        <v>101</v>
      </c>
      <c r="B300" s="1">
        <v>45747</v>
      </c>
      <c r="C300" t="str">
        <f>"7"</f>
        <v>7</v>
      </c>
      <c r="F300" t="str">
        <f t="shared" si="12"/>
        <v>60550000</v>
      </c>
      <c r="H300" t="s">
        <v>6188</v>
      </c>
      <c r="J300" s="4">
        <v>169500</v>
      </c>
    </row>
    <row r="301" spans="1:11" outlineLevel="1" collapsed="1" x14ac:dyDescent="0.35">
      <c r="B301" s="1"/>
      <c r="F301" s="3" t="s">
        <v>6737</v>
      </c>
      <c r="J301" s="4">
        <f>SUBTOTAL(9,J295:J300)</f>
        <v>174999</v>
      </c>
      <c r="K301" s="4">
        <f>SUBTOTAL(9,K295:K300)</f>
        <v>0</v>
      </c>
    </row>
    <row r="302" spans="1:11" hidden="1" outlineLevel="2" x14ac:dyDescent="0.35">
      <c r="A302" t="s">
        <v>26</v>
      </c>
      <c r="B302" s="1">
        <v>45741</v>
      </c>
      <c r="C302" t="str">
        <f>"29"</f>
        <v>29</v>
      </c>
      <c r="D302" t="s">
        <v>6112</v>
      </c>
      <c r="E302" t="str">
        <f>"000019"</f>
        <v>000019</v>
      </c>
      <c r="F302" t="str">
        <f>"60551000"</f>
        <v>60551000</v>
      </c>
      <c r="H302" t="s">
        <v>6114</v>
      </c>
      <c r="J302" s="4">
        <v>140000</v>
      </c>
    </row>
    <row r="303" spans="1:11" outlineLevel="1" collapsed="1" x14ac:dyDescent="0.35">
      <c r="B303" s="1"/>
      <c r="F303" s="3" t="s">
        <v>6746</v>
      </c>
      <c r="J303" s="4">
        <f>SUBTOTAL(9,J302:J302)</f>
        <v>140000</v>
      </c>
      <c r="K303" s="4">
        <f>SUBTOTAL(9,K302:K302)</f>
        <v>0</v>
      </c>
    </row>
    <row r="304" spans="1:11" hidden="1" outlineLevel="2" x14ac:dyDescent="0.35">
      <c r="A304" t="s">
        <v>26</v>
      </c>
      <c r="B304" s="1">
        <v>45730</v>
      </c>
      <c r="C304" t="str">
        <f>"23"</f>
        <v>23</v>
      </c>
      <c r="D304" t="s">
        <v>6094</v>
      </c>
      <c r="E304" t="str">
        <f>"0000012"</f>
        <v>0000012</v>
      </c>
      <c r="F304" t="str">
        <f>"60580000"</f>
        <v>60580000</v>
      </c>
      <c r="H304" t="s">
        <v>6096</v>
      </c>
      <c r="J304" s="4">
        <v>800004</v>
      </c>
    </row>
    <row r="305" spans="1:11" hidden="1" outlineLevel="2" x14ac:dyDescent="0.35">
      <c r="A305" t="s">
        <v>26</v>
      </c>
      <c r="B305" s="1">
        <v>45730</v>
      </c>
      <c r="C305" t="str">
        <f>"24"</f>
        <v>24</v>
      </c>
      <c r="D305" t="s">
        <v>6097</v>
      </c>
      <c r="E305" t="str">
        <f>"0000013"</f>
        <v>0000013</v>
      </c>
      <c r="F305" t="str">
        <f>"60580000"</f>
        <v>60580000</v>
      </c>
      <c r="H305" t="s">
        <v>6098</v>
      </c>
      <c r="J305" s="4">
        <v>191100</v>
      </c>
    </row>
    <row r="306" spans="1:11" hidden="1" outlineLevel="2" x14ac:dyDescent="0.35">
      <c r="A306" t="s">
        <v>26</v>
      </c>
      <c r="B306" s="1">
        <v>45730</v>
      </c>
      <c r="C306" t="str">
        <f>"25"</f>
        <v>25</v>
      </c>
      <c r="D306" t="s">
        <v>6099</v>
      </c>
      <c r="E306" t="str">
        <f>"0000014"</f>
        <v>0000014</v>
      </c>
      <c r="F306" t="str">
        <f>"60580000"</f>
        <v>60580000</v>
      </c>
      <c r="H306" t="s">
        <v>6096</v>
      </c>
      <c r="J306" s="4">
        <v>1505750</v>
      </c>
    </row>
    <row r="307" spans="1:11" outlineLevel="1" collapsed="1" x14ac:dyDescent="0.35">
      <c r="B307" s="1"/>
      <c r="F307" s="3" t="s">
        <v>6745</v>
      </c>
      <c r="J307" s="4">
        <f>SUBTOTAL(9,J304:J306)</f>
        <v>2496854</v>
      </c>
      <c r="K307" s="4">
        <f>SUBTOTAL(9,K304:K306)</f>
        <v>0</v>
      </c>
    </row>
    <row r="308" spans="1:11" hidden="1" outlineLevel="2" x14ac:dyDescent="0.35">
      <c r="A308" t="s">
        <v>6019</v>
      </c>
      <c r="B308" s="1">
        <v>45717</v>
      </c>
      <c r="C308" t="str">
        <f>"24"</f>
        <v>24</v>
      </c>
      <c r="E308" t="s">
        <v>6027</v>
      </c>
      <c r="F308" t="str">
        <f>"61400000"</f>
        <v>61400000</v>
      </c>
      <c r="H308" t="s">
        <v>6029</v>
      </c>
      <c r="J308" s="4">
        <v>7600000</v>
      </c>
    </row>
    <row r="309" spans="1:11" outlineLevel="1" collapsed="1" x14ac:dyDescent="0.35">
      <c r="B309" s="1"/>
      <c r="F309" s="3" t="s">
        <v>6621</v>
      </c>
      <c r="J309" s="4">
        <f>SUBTOTAL(9,J308:J308)</f>
        <v>7600000</v>
      </c>
      <c r="K309" s="4">
        <f>SUBTOTAL(9,K308:K308)</f>
        <v>0</v>
      </c>
    </row>
    <row r="310" spans="1:11" hidden="1" outlineLevel="2" x14ac:dyDescent="0.35">
      <c r="A310" t="s">
        <v>101</v>
      </c>
      <c r="B310" s="1">
        <v>45747</v>
      </c>
      <c r="C310" t="str">
        <f>"6"</f>
        <v>6</v>
      </c>
      <c r="F310" t="str">
        <f>"61810000"</f>
        <v>61810000</v>
      </c>
      <c r="H310" t="s">
        <v>6187</v>
      </c>
      <c r="J310" s="4">
        <v>1022673</v>
      </c>
    </row>
    <row r="311" spans="1:11" outlineLevel="1" collapsed="1" x14ac:dyDescent="0.35">
      <c r="B311" s="1"/>
      <c r="F311" s="3" t="s">
        <v>6623</v>
      </c>
      <c r="J311" s="4">
        <f>SUBTOTAL(9,J310:J310)</f>
        <v>1022673</v>
      </c>
      <c r="K311" s="4">
        <f>SUBTOTAL(9,K310:K310)</f>
        <v>0</v>
      </c>
    </row>
    <row r="312" spans="1:11" hidden="1" outlineLevel="2" x14ac:dyDescent="0.35">
      <c r="A312" t="s">
        <v>6019</v>
      </c>
      <c r="B312" s="1">
        <v>45717</v>
      </c>
      <c r="C312" t="str">
        <f>"23"</f>
        <v>23</v>
      </c>
      <c r="F312" t="str">
        <f>"62220000"</f>
        <v>62220000</v>
      </c>
      <c r="H312" t="s">
        <v>6026</v>
      </c>
      <c r="J312" s="4">
        <v>16000000</v>
      </c>
    </row>
    <row r="313" spans="1:11" hidden="1" outlineLevel="2" x14ac:dyDescent="0.35">
      <c r="A313" t="s">
        <v>6019</v>
      </c>
      <c r="B313" s="1">
        <v>45718</v>
      </c>
      <c r="C313" t="str">
        <f>"29"</f>
        <v>29</v>
      </c>
      <c r="E313" t="s">
        <v>6035</v>
      </c>
      <c r="F313" t="str">
        <f>"62220000"</f>
        <v>62220000</v>
      </c>
      <c r="H313" t="s">
        <v>6037</v>
      </c>
      <c r="J313" s="4">
        <v>10500000</v>
      </c>
    </row>
    <row r="314" spans="1:11" outlineLevel="1" collapsed="1" x14ac:dyDescent="0.35">
      <c r="B314" s="1"/>
      <c r="F314" s="3" t="s">
        <v>6629</v>
      </c>
      <c r="J314" s="4">
        <f>SUBTOTAL(9,J312:J313)</f>
        <v>26500000</v>
      </c>
      <c r="K314" s="4">
        <f>SUBTOTAL(9,K312:K313)</f>
        <v>0</v>
      </c>
    </row>
    <row r="315" spans="1:11" hidden="1" outlineLevel="2" x14ac:dyDescent="0.35">
      <c r="A315" t="s">
        <v>26</v>
      </c>
      <c r="B315" s="1">
        <v>45723</v>
      </c>
      <c r="C315" t="str">
        <f>"15"</f>
        <v>15</v>
      </c>
      <c r="D315" t="s">
        <v>6057</v>
      </c>
      <c r="E315" t="str">
        <f>"03532"</f>
        <v>03532</v>
      </c>
      <c r="F315" t="str">
        <f t="shared" ref="F315:F324" si="13">"62230000"</f>
        <v>62230000</v>
      </c>
      <c r="H315" t="s">
        <v>6059</v>
      </c>
      <c r="J315" s="4">
        <v>257540</v>
      </c>
    </row>
    <row r="316" spans="1:11" hidden="1" outlineLevel="2" x14ac:dyDescent="0.35">
      <c r="A316" t="s">
        <v>26</v>
      </c>
      <c r="B316" s="1">
        <v>45730</v>
      </c>
      <c r="C316" t="str">
        <f>"22"</f>
        <v>22</v>
      </c>
      <c r="D316" t="s">
        <v>6090</v>
      </c>
      <c r="E316" t="s">
        <v>6091</v>
      </c>
      <c r="F316" t="str">
        <f t="shared" si="13"/>
        <v>62230000</v>
      </c>
      <c r="H316" t="s">
        <v>6093</v>
      </c>
      <c r="J316" s="4">
        <v>1000800</v>
      </c>
    </row>
    <row r="317" spans="1:11" hidden="1" outlineLevel="2" x14ac:dyDescent="0.35">
      <c r="A317" t="s">
        <v>75</v>
      </c>
      <c r="B317" s="1">
        <v>45733</v>
      </c>
      <c r="C317" t="str">
        <f>"6"</f>
        <v>6</v>
      </c>
      <c r="D317" t="s">
        <v>6143</v>
      </c>
      <c r="E317" t="s">
        <v>6144</v>
      </c>
      <c r="F317" t="str">
        <f t="shared" si="13"/>
        <v>62230000</v>
      </c>
      <c r="H317" t="s">
        <v>6145</v>
      </c>
      <c r="J317" s="4">
        <v>4240000</v>
      </c>
    </row>
    <row r="318" spans="1:11" hidden="1" outlineLevel="2" x14ac:dyDescent="0.35">
      <c r="A318" t="s">
        <v>75</v>
      </c>
      <c r="B318" s="1">
        <v>45740</v>
      </c>
      <c r="C318" t="str">
        <f>"7"</f>
        <v>7</v>
      </c>
      <c r="D318" t="s">
        <v>6146</v>
      </c>
      <c r="E318" t="s">
        <v>6147</v>
      </c>
      <c r="F318" t="str">
        <f t="shared" si="13"/>
        <v>62230000</v>
      </c>
      <c r="H318" t="s">
        <v>6148</v>
      </c>
      <c r="J318" s="4">
        <v>1060000</v>
      </c>
    </row>
    <row r="319" spans="1:11" hidden="1" outlineLevel="2" x14ac:dyDescent="0.35">
      <c r="A319" t="s">
        <v>75</v>
      </c>
      <c r="B319" s="1">
        <v>45740</v>
      </c>
      <c r="C319" t="str">
        <f>"8"</f>
        <v>8</v>
      </c>
      <c r="D319" t="s">
        <v>6149</v>
      </c>
      <c r="E319" t="s">
        <v>6150</v>
      </c>
      <c r="F319" t="str">
        <f t="shared" si="13"/>
        <v>62230000</v>
      </c>
      <c r="H319" t="s">
        <v>6151</v>
      </c>
      <c r="J319" s="4">
        <v>1060000</v>
      </c>
    </row>
    <row r="320" spans="1:11" hidden="1" outlineLevel="2" x14ac:dyDescent="0.35">
      <c r="A320" t="s">
        <v>101</v>
      </c>
      <c r="B320" s="1">
        <v>45717</v>
      </c>
      <c r="C320" t="str">
        <f>"25"</f>
        <v>25</v>
      </c>
      <c r="F320" t="str">
        <f t="shared" si="13"/>
        <v>62230000</v>
      </c>
      <c r="H320" t="s">
        <v>6172</v>
      </c>
      <c r="J320" s="4">
        <v>-4240000</v>
      </c>
    </row>
    <row r="321" spans="1:11" hidden="1" outlineLevel="2" x14ac:dyDescent="0.35">
      <c r="A321" t="s">
        <v>101</v>
      </c>
      <c r="B321" s="1">
        <v>45717</v>
      </c>
      <c r="C321" t="str">
        <f>"51"</f>
        <v>51</v>
      </c>
      <c r="F321" t="str">
        <f t="shared" si="13"/>
        <v>62230000</v>
      </c>
      <c r="H321" t="s">
        <v>6173</v>
      </c>
      <c r="J321" s="4">
        <v>-1060000</v>
      </c>
    </row>
    <row r="322" spans="1:11" hidden="1" outlineLevel="2" x14ac:dyDescent="0.35">
      <c r="A322" t="s">
        <v>101</v>
      </c>
      <c r="B322" s="1">
        <v>45717</v>
      </c>
      <c r="C322" t="str">
        <f>"52"</f>
        <v>52</v>
      </c>
      <c r="F322" t="str">
        <f t="shared" si="13"/>
        <v>62230000</v>
      </c>
      <c r="H322" t="s">
        <v>6174</v>
      </c>
      <c r="J322" s="4">
        <v>-1060000</v>
      </c>
    </row>
    <row r="323" spans="1:11" hidden="1" outlineLevel="2" x14ac:dyDescent="0.35">
      <c r="A323" t="s">
        <v>101</v>
      </c>
      <c r="B323" s="1">
        <v>45747</v>
      </c>
      <c r="C323" t="str">
        <f>"5"</f>
        <v>5</v>
      </c>
      <c r="F323" t="str">
        <f t="shared" si="13"/>
        <v>62230000</v>
      </c>
      <c r="H323" t="s">
        <v>6186</v>
      </c>
      <c r="J323" s="4">
        <v>1120000</v>
      </c>
    </row>
    <row r="324" spans="1:11" hidden="1" outlineLevel="2" x14ac:dyDescent="0.35">
      <c r="A324" t="s">
        <v>101</v>
      </c>
      <c r="B324" s="1">
        <v>45747</v>
      </c>
      <c r="C324" t="str">
        <f>"68"</f>
        <v>68</v>
      </c>
      <c r="F324" t="str">
        <f t="shared" si="13"/>
        <v>62230000</v>
      </c>
      <c r="H324" t="s">
        <v>6211</v>
      </c>
      <c r="J324" s="4">
        <v>1060000</v>
      </c>
    </row>
    <row r="325" spans="1:11" outlineLevel="1" collapsed="1" x14ac:dyDescent="0.35">
      <c r="B325" s="1"/>
      <c r="F325" s="3" t="s">
        <v>6630</v>
      </c>
      <c r="J325" s="4">
        <f>SUBTOTAL(9,J315:J324)</f>
        <v>3438340</v>
      </c>
      <c r="K325" s="4">
        <f>SUBTOTAL(9,K315:K324)</f>
        <v>0</v>
      </c>
    </row>
    <row r="326" spans="1:11" hidden="1" outlineLevel="2" x14ac:dyDescent="0.35">
      <c r="A326" t="s">
        <v>26</v>
      </c>
      <c r="B326" s="1">
        <v>45723</v>
      </c>
      <c r="C326" t="str">
        <f>"13"</f>
        <v>13</v>
      </c>
      <c r="D326" t="s">
        <v>6052</v>
      </c>
      <c r="E326" t="str">
        <f>"86366"</f>
        <v>86366</v>
      </c>
      <c r="F326" t="str">
        <f t="shared" ref="F326:F336" si="14">"62410000"</f>
        <v>62410000</v>
      </c>
      <c r="H326" t="s">
        <v>6054</v>
      </c>
      <c r="J326" s="4">
        <v>70000</v>
      </c>
    </row>
    <row r="327" spans="1:11" hidden="1" outlineLevel="2" x14ac:dyDescent="0.35">
      <c r="A327" t="s">
        <v>26</v>
      </c>
      <c r="B327" s="1">
        <v>45723</v>
      </c>
      <c r="C327" t="str">
        <f>"14"</f>
        <v>14</v>
      </c>
      <c r="D327" t="s">
        <v>6055</v>
      </c>
      <c r="E327" t="str">
        <f>"86367"</f>
        <v>86367</v>
      </c>
      <c r="F327" t="str">
        <f t="shared" si="14"/>
        <v>62410000</v>
      </c>
      <c r="H327" t="s">
        <v>6056</v>
      </c>
      <c r="J327" s="4">
        <v>419100</v>
      </c>
    </row>
    <row r="328" spans="1:11" hidden="1" outlineLevel="2" x14ac:dyDescent="0.35">
      <c r="A328" t="s">
        <v>26</v>
      </c>
      <c r="B328" s="1">
        <v>45726</v>
      </c>
      <c r="C328" t="str">
        <f>"32"</f>
        <v>32</v>
      </c>
      <c r="D328" t="s">
        <v>6071</v>
      </c>
      <c r="E328" t="s">
        <v>6072</v>
      </c>
      <c r="F328" t="str">
        <f t="shared" si="14"/>
        <v>62410000</v>
      </c>
      <c r="H328" t="s">
        <v>6073</v>
      </c>
      <c r="J328" s="4">
        <v>770000</v>
      </c>
    </row>
    <row r="329" spans="1:11" hidden="1" outlineLevel="2" x14ac:dyDescent="0.35">
      <c r="A329" t="s">
        <v>26</v>
      </c>
      <c r="B329" s="1">
        <v>45726</v>
      </c>
      <c r="C329" t="str">
        <f>"33"</f>
        <v>33</v>
      </c>
      <c r="D329" t="s">
        <v>6071</v>
      </c>
      <c r="E329" t="s">
        <v>6072</v>
      </c>
      <c r="F329" t="str">
        <f t="shared" si="14"/>
        <v>62410000</v>
      </c>
      <c r="H329" t="s">
        <v>6075</v>
      </c>
      <c r="J329" s="4">
        <v>-770000</v>
      </c>
    </row>
    <row r="330" spans="1:11" hidden="1" outlineLevel="2" x14ac:dyDescent="0.35">
      <c r="A330" t="s">
        <v>26</v>
      </c>
      <c r="B330" s="1">
        <v>45736</v>
      </c>
      <c r="C330" t="str">
        <f>"27"</f>
        <v>27</v>
      </c>
      <c r="D330" t="s">
        <v>6106</v>
      </c>
      <c r="E330" t="str">
        <f>"000094"</f>
        <v>000094</v>
      </c>
      <c r="F330" t="str">
        <f t="shared" si="14"/>
        <v>62410000</v>
      </c>
      <c r="H330" t="s">
        <v>6108</v>
      </c>
      <c r="J330" s="4">
        <v>445480</v>
      </c>
    </row>
    <row r="331" spans="1:11" hidden="1" outlineLevel="2" x14ac:dyDescent="0.35">
      <c r="A331" t="s">
        <v>26</v>
      </c>
      <c r="B331" s="1">
        <v>45742</v>
      </c>
      <c r="C331" t="str">
        <f>"31"</f>
        <v>31</v>
      </c>
      <c r="D331" t="s">
        <v>6117</v>
      </c>
      <c r="E331" t="str">
        <f>"0748145"</f>
        <v>0748145</v>
      </c>
      <c r="F331" t="str">
        <f t="shared" si="14"/>
        <v>62410000</v>
      </c>
      <c r="H331" t="s">
        <v>6119</v>
      </c>
      <c r="J331" s="4">
        <v>48000</v>
      </c>
    </row>
    <row r="332" spans="1:11" hidden="1" outlineLevel="2" x14ac:dyDescent="0.35">
      <c r="A332" t="s">
        <v>75</v>
      </c>
      <c r="B332" s="1">
        <v>45726</v>
      </c>
      <c r="C332" t="str">
        <f>"9"</f>
        <v>9</v>
      </c>
      <c r="D332" t="s">
        <v>6071</v>
      </c>
      <c r="E332" t="s">
        <v>6072</v>
      </c>
      <c r="F332" t="str">
        <f t="shared" si="14"/>
        <v>62410000</v>
      </c>
      <c r="H332" t="s">
        <v>6136</v>
      </c>
      <c r="J332" s="4">
        <v>770000</v>
      </c>
    </row>
    <row r="333" spans="1:11" hidden="1" outlineLevel="2" x14ac:dyDescent="0.35">
      <c r="A333" t="s">
        <v>75</v>
      </c>
      <c r="B333" s="1">
        <v>45726</v>
      </c>
      <c r="C333" t="str">
        <f>"10"</f>
        <v>10</v>
      </c>
      <c r="D333" t="s">
        <v>6137</v>
      </c>
      <c r="E333" t="s">
        <v>6138</v>
      </c>
      <c r="F333" t="str">
        <f t="shared" si="14"/>
        <v>62410000</v>
      </c>
      <c r="H333" t="s">
        <v>6139</v>
      </c>
      <c r="J333" s="4">
        <v>154400</v>
      </c>
    </row>
    <row r="334" spans="1:11" hidden="1" outlineLevel="2" x14ac:dyDescent="0.35">
      <c r="A334" t="s">
        <v>101</v>
      </c>
      <c r="B334" s="1">
        <v>45717</v>
      </c>
      <c r="C334" t="str">
        <f>"58"</f>
        <v>58</v>
      </c>
      <c r="F334" t="str">
        <f t="shared" si="14"/>
        <v>62410000</v>
      </c>
      <c r="H334" t="s">
        <v>6176</v>
      </c>
      <c r="J334" s="4">
        <v>-280000</v>
      </c>
    </row>
    <row r="335" spans="1:11" hidden="1" outlineLevel="2" x14ac:dyDescent="0.35">
      <c r="A335" t="s">
        <v>101</v>
      </c>
      <c r="B335" s="1">
        <v>45747</v>
      </c>
      <c r="C335" t="str">
        <f>"8"</f>
        <v>8</v>
      </c>
      <c r="F335" t="str">
        <f t="shared" si="14"/>
        <v>62410000</v>
      </c>
      <c r="H335" t="s">
        <v>6189</v>
      </c>
      <c r="J335" s="4">
        <v>419100</v>
      </c>
    </row>
    <row r="336" spans="1:11" hidden="1" outlineLevel="2" x14ac:dyDescent="0.35">
      <c r="A336" t="s">
        <v>101</v>
      </c>
      <c r="B336" s="1">
        <v>45747</v>
      </c>
      <c r="C336" t="str">
        <f>"61"</f>
        <v>61</v>
      </c>
      <c r="F336" t="str">
        <f t="shared" si="14"/>
        <v>62410000</v>
      </c>
      <c r="H336" t="s">
        <v>6204</v>
      </c>
      <c r="J336" s="4">
        <v>1521035</v>
      </c>
    </row>
    <row r="337" spans="1:11" outlineLevel="1" collapsed="1" x14ac:dyDescent="0.35">
      <c r="B337" s="1"/>
      <c r="F337" s="3" t="s">
        <v>6634</v>
      </c>
      <c r="J337" s="4">
        <f>SUBTOTAL(9,J326:J336)</f>
        <v>3567115</v>
      </c>
      <c r="K337" s="4">
        <f>SUBTOTAL(9,K326:K336)</f>
        <v>0</v>
      </c>
    </row>
    <row r="338" spans="1:11" hidden="1" outlineLevel="2" x14ac:dyDescent="0.35">
      <c r="A338" t="s">
        <v>26</v>
      </c>
      <c r="B338" s="1">
        <v>45736</v>
      </c>
      <c r="C338" t="str">
        <f>"26"</f>
        <v>26</v>
      </c>
      <c r="D338" t="s">
        <v>6103</v>
      </c>
      <c r="E338" t="str">
        <f>"0536556"</f>
        <v>0536556</v>
      </c>
      <c r="F338" t="str">
        <f>"62480000"</f>
        <v>62480000</v>
      </c>
      <c r="H338" t="s">
        <v>6105</v>
      </c>
      <c r="J338" s="4">
        <v>500000</v>
      </c>
    </row>
    <row r="339" spans="1:11" outlineLevel="1" collapsed="1" x14ac:dyDescent="0.35">
      <c r="B339" s="1"/>
      <c r="F339" s="3" t="s">
        <v>6640</v>
      </c>
      <c r="J339" s="4">
        <f>SUBTOTAL(9,J338:J338)</f>
        <v>500000</v>
      </c>
      <c r="K339" s="4">
        <f>SUBTOTAL(9,K338:K338)</f>
        <v>0</v>
      </c>
    </row>
    <row r="340" spans="1:11" hidden="1" outlineLevel="2" x14ac:dyDescent="0.35">
      <c r="A340" t="s">
        <v>26</v>
      </c>
      <c r="B340" s="1">
        <v>45726</v>
      </c>
      <c r="C340" t="str">
        <f>"7"</f>
        <v>7</v>
      </c>
      <c r="D340" t="s">
        <v>6060</v>
      </c>
      <c r="E340" t="str">
        <f>"8890522032025"</f>
        <v>8890522032025</v>
      </c>
      <c r="F340" t="str">
        <f>"62810000"</f>
        <v>62810000</v>
      </c>
      <c r="H340" t="s">
        <v>6062</v>
      </c>
      <c r="J340" s="4">
        <v>1126545</v>
      </c>
    </row>
    <row r="341" spans="1:11" hidden="1" outlineLevel="2" x14ac:dyDescent="0.35">
      <c r="A341" t="s">
        <v>26</v>
      </c>
      <c r="B341" s="1">
        <v>45726</v>
      </c>
      <c r="C341" t="str">
        <f>"8"</f>
        <v>8</v>
      </c>
      <c r="D341" t="s">
        <v>6063</v>
      </c>
      <c r="E341" t="str">
        <f>"8998053032025"</f>
        <v>8998053032025</v>
      </c>
      <c r="F341" t="str">
        <f>"62810000"</f>
        <v>62810000</v>
      </c>
      <c r="H341" t="s">
        <v>6064</v>
      </c>
      <c r="J341" s="4">
        <v>314227</v>
      </c>
    </row>
    <row r="342" spans="1:11" hidden="1" outlineLevel="2" x14ac:dyDescent="0.35">
      <c r="A342" t="s">
        <v>101</v>
      </c>
      <c r="B342" s="1">
        <v>45747</v>
      </c>
      <c r="C342" t="str">
        <f>"9"</f>
        <v>9</v>
      </c>
      <c r="F342" t="str">
        <f>"62810000"</f>
        <v>62810000</v>
      </c>
      <c r="H342" t="s">
        <v>6190</v>
      </c>
      <c r="J342" s="4">
        <v>508450</v>
      </c>
    </row>
    <row r="343" spans="1:11" outlineLevel="1" collapsed="1" x14ac:dyDescent="0.35">
      <c r="B343" s="1"/>
      <c r="F343" s="3" t="s">
        <v>6648</v>
      </c>
      <c r="J343" s="4">
        <f>SUBTOTAL(9,J340:J342)</f>
        <v>1949222</v>
      </c>
      <c r="K343" s="4">
        <f>SUBTOTAL(9,K340:K342)</f>
        <v>0</v>
      </c>
    </row>
    <row r="344" spans="1:11" hidden="1" outlineLevel="2" x14ac:dyDescent="0.35">
      <c r="A344" t="s">
        <v>75</v>
      </c>
      <c r="B344" s="1">
        <v>45744</v>
      </c>
      <c r="C344" t="str">
        <f>"11"</f>
        <v>11</v>
      </c>
      <c r="D344" t="s">
        <v>6155</v>
      </c>
      <c r="E344" t="s">
        <v>6156</v>
      </c>
      <c r="F344" t="str">
        <f>"62880000"</f>
        <v>62880000</v>
      </c>
      <c r="H344" t="s">
        <v>6157</v>
      </c>
      <c r="J344" s="4">
        <v>45000</v>
      </c>
    </row>
    <row r="345" spans="1:11" hidden="1" outlineLevel="2" x14ac:dyDescent="0.35">
      <c r="A345" t="s">
        <v>75</v>
      </c>
      <c r="B345" s="1">
        <v>45744</v>
      </c>
      <c r="C345" t="str">
        <f>"12"</f>
        <v>12</v>
      </c>
      <c r="D345" t="s">
        <v>6155</v>
      </c>
      <c r="E345" t="s">
        <v>6156</v>
      </c>
      <c r="F345" t="str">
        <f>"62880000"</f>
        <v>62880000</v>
      </c>
      <c r="H345" t="s">
        <v>6158</v>
      </c>
      <c r="J345" s="4">
        <v>49000</v>
      </c>
    </row>
    <row r="346" spans="1:11" outlineLevel="1" collapsed="1" x14ac:dyDescent="0.35">
      <c r="B346" s="1"/>
      <c r="F346" s="3" t="s">
        <v>6649</v>
      </c>
      <c r="J346" s="4">
        <f>SUBTOTAL(9,J344:J345)</f>
        <v>94000</v>
      </c>
      <c r="K346" s="4">
        <f>SUBTOTAL(9,K344:K345)</f>
        <v>0</v>
      </c>
    </row>
    <row r="347" spans="1:11" hidden="1" outlineLevel="2" x14ac:dyDescent="0.35">
      <c r="A347" t="s">
        <v>75</v>
      </c>
      <c r="B347" s="1">
        <v>45744</v>
      </c>
      <c r="C347" t="str">
        <f>"15"</f>
        <v>15</v>
      </c>
      <c r="D347" t="s">
        <v>6161</v>
      </c>
      <c r="E347" t="s">
        <v>6162</v>
      </c>
      <c r="F347" t="str">
        <f>"63170000"</f>
        <v>63170000</v>
      </c>
      <c r="H347" t="s">
        <v>6163</v>
      </c>
      <c r="J347" s="4">
        <v>1700</v>
      </c>
    </row>
    <row r="348" spans="1:11" outlineLevel="1" collapsed="1" x14ac:dyDescent="0.35">
      <c r="B348" s="1"/>
      <c r="F348" s="3" t="s">
        <v>6651</v>
      </c>
      <c r="J348" s="4">
        <f>SUBTOTAL(9,J347:J347)</f>
        <v>1700</v>
      </c>
      <c r="K348" s="4">
        <f>SUBTOTAL(9,K347:K347)</f>
        <v>0</v>
      </c>
    </row>
    <row r="349" spans="1:11" hidden="1" outlineLevel="2" x14ac:dyDescent="0.35">
      <c r="A349" t="s">
        <v>6164</v>
      </c>
      <c r="B349" s="1">
        <v>45744</v>
      </c>
      <c r="C349" t="str">
        <f>"26"</f>
        <v>26</v>
      </c>
      <c r="F349" t="str">
        <f t="shared" ref="F349:F356" si="15">"63180000"</f>
        <v>63180000</v>
      </c>
      <c r="H349" t="s">
        <v>58</v>
      </c>
      <c r="J349" s="4">
        <v>11000</v>
      </c>
    </row>
    <row r="350" spans="1:11" hidden="1" outlineLevel="2" x14ac:dyDescent="0.35">
      <c r="A350" t="s">
        <v>6164</v>
      </c>
      <c r="B350" s="1">
        <v>45744</v>
      </c>
      <c r="C350" t="str">
        <f>"27"</f>
        <v>27</v>
      </c>
      <c r="F350" t="str">
        <f t="shared" si="15"/>
        <v>63180000</v>
      </c>
      <c r="H350" t="s">
        <v>58</v>
      </c>
      <c r="J350" s="4">
        <v>19800</v>
      </c>
    </row>
    <row r="351" spans="1:11" hidden="1" outlineLevel="2" x14ac:dyDescent="0.35">
      <c r="A351" t="s">
        <v>6164</v>
      </c>
      <c r="B351" s="1">
        <v>45747</v>
      </c>
      <c r="C351" t="str">
        <f>"28"</f>
        <v>28</v>
      </c>
      <c r="F351" t="str">
        <f t="shared" si="15"/>
        <v>63180000</v>
      </c>
      <c r="H351" t="s">
        <v>58</v>
      </c>
      <c r="J351" s="4">
        <v>2200</v>
      </c>
    </row>
    <row r="352" spans="1:11" hidden="1" outlineLevel="2" x14ac:dyDescent="0.35">
      <c r="A352" t="s">
        <v>6215</v>
      </c>
      <c r="B352" s="1">
        <v>45734</v>
      </c>
      <c r="C352" t="str">
        <f>"28"</f>
        <v>28</v>
      </c>
      <c r="F352" t="str">
        <f t="shared" si="15"/>
        <v>63180000</v>
      </c>
      <c r="H352" t="s">
        <v>6240</v>
      </c>
      <c r="J352" s="4">
        <v>1499</v>
      </c>
    </row>
    <row r="353" spans="1:11" hidden="1" outlineLevel="2" x14ac:dyDescent="0.35">
      <c r="A353" t="s">
        <v>6215</v>
      </c>
      <c r="B353" s="1">
        <v>45742</v>
      </c>
      <c r="C353" t="str">
        <f>"31"</f>
        <v>31</v>
      </c>
      <c r="F353" t="str">
        <f t="shared" si="15"/>
        <v>63180000</v>
      </c>
      <c r="H353" t="s">
        <v>6247</v>
      </c>
      <c r="J353" s="4">
        <v>43175</v>
      </c>
    </row>
    <row r="354" spans="1:11" hidden="1" outlineLevel="2" x14ac:dyDescent="0.35">
      <c r="A354" t="s">
        <v>6215</v>
      </c>
      <c r="B354" s="1">
        <v>45742</v>
      </c>
      <c r="C354" t="str">
        <f>"32"</f>
        <v>32</v>
      </c>
      <c r="F354" t="str">
        <f t="shared" si="15"/>
        <v>63180000</v>
      </c>
      <c r="H354" t="s">
        <v>6247</v>
      </c>
      <c r="J354" s="4">
        <v>7425</v>
      </c>
    </row>
    <row r="355" spans="1:11" hidden="1" outlineLevel="2" x14ac:dyDescent="0.35">
      <c r="A355" t="s">
        <v>6215</v>
      </c>
      <c r="B355" s="1">
        <v>45742</v>
      </c>
      <c r="C355" t="str">
        <f>"33"</f>
        <v>33</v>
      </c>
      <c r="F355" t="str">
        <f t="shared" si="15"/>
        <v>63180000</v>
      </c>
      <c r="H355" t="s">
        <v>6248</v>
      </c>
      <c r="J355" s="4">
        <v>31900</v>
      </c>
    </row>
    <row r="356" spans="1:11" hidden="1" outlineLevel="2" x14ac:dyDescent="0.35">
      <c r="A356" t="s">
        <v>6215</v>
      </c>
      <c r="B356" s="1">
        <v>45744</v>
      </c>
      <c r="C356" t="str">
        <f>"30"</f>
        <v>30</v>
      </c>
      <c r="F356" t="str">
        <f t="shared" si="15"/>
        <v>63180000</v>
      </c>
      <c r="H356" t="s">
        <v>6240</v>
      </c>
      <c r="J356" s="4">
        <v>4400</v>
      </c>
    </row>
    <row r="357" spans="1:11" outlineLevel="1" collapsed="1" x14ac:dyDescent="0.35">
      <c r="B357" s="1"/>
      <c r="F357" s="3" t="s">
        <v>6652</v>
      </c>
      <c r="J357" s="4">
        <f>SUBTOTAL(9,J349:J356)</f>
        <v>121399</v>
      </c>
      <c r="K357" s="4">
        <f>SUBTOTAL(9,K349:K356)</f>
        <v>0</v>
      </c>
    </row>
    <row r="358" spans="1:11" hidden="1" outlineLevel="2" x14ac:dyDescent="0.35">
      <c r="A358" t="s">
        <v>6019</v>
      </c>
      <c r="B358" s="1">
        <v>45718</v>
      </c>
      <c r="C358" t="str">
        <f>"28"</f>
        <v>28</v>
      </c>
      <c r="E358" t="s">
        <v>24</v>
      </c>
      <c r="F358" t="str">
        <f>"63240000"</f>
        <v>63240000</v>
      </c>
      <c r="H358" t="s">
        <v>25</v>
      </c>
      <c r="J358" s="4">
        <v>962500</v>
      </c>
    </row>
    <row r="359" spans="1:11" outlineLevel="1" collapsed="1" x14ac:dyDescent="0.35">
      <c r="B359" s="1"/>
      <c r="F359" s="3" t="s">
        <v>6653</v>
      </c>
      <c r="J359" s="4">
        <f>SUBTOTAL(9,J358:J358)</f>
        <v>962500</v>
      </c>
      <c r="K359" s="4">
        <f>SUBTOTAL(9,K358:K358)</f>
        <v>0</v>
      </c>
    </row>
    <row r="360" spans="1:11" hidden="1" outlineLevel="2" x14ac:dyDescent="0.35">
      <c r="A360" t="s">
        <v>101</v>
      </c>
      <c r="B360" s="1">
        <v>45747</v>
      </c>
      <c r="C360" t="str">
        <f>"11"</f>
        <v>11</v>
      </c>
      <c r="E360" t="s">
        <v>6191</v>
      </c>
      <c r="F360" t="str">
        <f>"63240100"</f>
        <v>63240100</v>
      </c>
      <c r="H360" t="s">
        <v>113</v>
      </c>
      <c r="J360" s="4">
        <v>7984000</v>
      </c>
    </row>
    <row r="361" spans="1:11" outlineLevel="1" collapsed="1" x14ac:dyDescent="0.35">
      <c r="B361" s="1"/>
      <c r="F361" s="3" t="s">
        <v>6654</v>
      </c>
      <c r="J361" s="4">
        <f>SUBTOTAL(9,J360:J360)</f>
        <v>7984000</v>
      </c>
      <c r="K361" s="4">
        <f>SUBTOTAL(9,K360:K360)</f>
        <v>0</v>
      </c>
    </row>
    <row r="362" spans="1:11" hidden="1" outlineLevel="2" x14ac:dyDescent="0.35">
      <c r="A362" t="s">
        <v>6019</v>
      </c>
      <c r="B362" s="1">
        <v>45717</v>
      </c>
      <c r="C362" t="str">
        <f>"25"</f>
        <v>25</v>
      </c>
      <c r="E362" t="s">
        <v>1239</v>
      </c>
      <c r="F362" t="str">
        <f>"63720000"</f>
        <v>63720000</v>
      </c>
      <c r="H362" t="s">
        <v>6031</v>
      </c>
      <c r="J362" s="4">
        <v>3950000</v>
      </c>
    </row>
    <row r="363" spans="1:11" hidden="1" outlineLevel="2" x14ac:dyDescent="0.35">
      <c r="A363" t="s">
        <v>6019</v>
      </c>
      <c r="B363" s="1">
        <v>45717</v>
      </c>
      <c r="C363" t="str">
        <f>"26"</f>
        <v>26</v>
      </c>
      <c r="E363" t="s">
        <v>1239</v>
      </c>
      <c r="F363" t="str">
        <f>"63720000"</f>
        <v>63720000</v>
      </c>
      <c r="H363" t="s">
        <v>6031</v>
      </c>
      <c r="J363" s="4">
        <v>2250000</v>
      </c>
    </row>
    <row r="364" spans="1:11" hidden="1" outlineLevel="2" x14ac:dyDescent="0.35">
      <c r="A364" t="s">
        <v>26</v>
      </c>
      <c r="B364" s="1">
        <v>45720</v>
      </c>
      <c r="C364" t="str">
        <f>"3"</f>
        <v>3</v>
      </c>
      <c r="D364" t="s">
        <v>6045</v>
      </c>
      <c r="E364" t="str">
        <f>"2503268"</f>
        <v>2503268</v>
      </c>
      <c r="F364" t="str">
        <f>"63720000"</f>
        <v>63720000</v>
      </c>
      <c r="H364" t="s">
        <v>6046</v>
      </c>
      <c r="J364" s="4">
        <v>90000</v>
      </c>
    </row>
    <row r="365" spans="1:11" hidden="1" outlineLevel="2" x14ac:dyDescent="0.35">
      <c r="A365" t="s">
        <v>26</v>
      </c>
      <c r="B365" s="1">
        <v>45720</v>
      </c>
      <c r="C365" t="str">
        <f>"4"</f>
        <v>4</v>
      </c>
      <c r="D365" t="s">
        <v>6047</v>
      </c>
      <c r="E365" t="str">
        <f>"2503269"</f>
        <v>2503269</v>
      </c>
      <c r="F365" t="str">
        <f>"63720000"</f>
        <v>63720000</v>
      </c>
      <c r="H365" t="s">
        <v>6048</v>
      </c>
      <c r="J365" s="4">
        <v>56000</v>
      </c>
    </row>
    <row r="366" spans="1:11" outlineLevel="1" collapsed="1" x14ac:dyDescent="0.35">
      <c r="B366" s="1"/>
      <c r="F366" s="3" t="s">
        <v>6742</v>
      </c>
      <c r="J366" s="4">
        <f>SUBTOTAL(9,J362:J365)</f>
        <v>6346000</v>
      </c>
      <c r="K366" s="4">
        <f>SUBTOTAL(9,K362:K365)</f>
        <v>0</v>
      </c>
    </row>
    <row r="367" spans="1:11" hidden="1" outlineLevel="2" x14ac:dyDescent="0.35">
      <c r="A367" t="s">
        <v>6019</v>
      </c>
      <c r="B367" s="1">
        <v>45717</v>
      </c>
      <c r="C367" t="str">
        <f>"27"</f>
        <v>27</v>
      </c>
      <c r="E367" t="s">
        <v>6032</v>
      </c>
      <c r="F367" t="str">
        <f>"64120000"</f>
        <v>64120000</v>
      </c>
      <c r="H367" t="s">
        <v>6033</v>
      </c>
      <c r="J367" s="4">
        <v>3861714</v>
      </c>
    </row>
    <row r="368" spans="1:11" outlineLevel="1" collapsed="1" x14ac:dyDescent="0.35">
      <c r="B368" s="1"/>
      <c r="F368" s="3" t="s">
        <v>6738</v>
      </c>
      <c r="J368" s="4">
        <f>SUBTOTAL(9,J367:J367)</f>
        <v>3861714</v>
      </c>
      <c r="K368" s="4">
        <f>SUBTOTAL(9,K367:K367)</f>
        <v>0</v>
      </c>
    </row>
    <row r="369" spans="1:11" hidden="1" outlineLevel="2" x14ac:dyDescent="0.35">
      <c r="A369" t="s">
        <v>101</v>
      </c>
      <c r="B369" s="1">
        <v>45747</v>
      </c>
      <c r="C369" t="str">
        <f>"1"</f>
        <v>1</v>
      </c>
      <c r="F369" t="str">
        <f>"64130000"</f>
        <v>64130000</v>
      </c>
      <c r="H369" t="s">
        <v>6182</v>
      </c>
      <c r="J369" s="4">
        <v>1066169</v>
      </c>
    </row>
    <row r="370" spans="1:11" hidden="1" outlineLevel="2" x14ac:dyDescent="0.35">
      <c r="A370" t="s">
        <v>101</v>
      </c>
      <c r="B370" s="1">
        <v>45747</v>
      </c>
      <c r="C370" t="str">
        <f>"55"</f>
        <v>55</v>
      </c>
      <c r="F370" t="str">
        <f>"64130000"</f>
        <v>64130000</v>
      </c>
      <c r="H370" t="s">
        <v>6202</v>
      </c>
      <c r="J370" s="4">
        <v>31548</v>
      </c>
    </row>
    <row r="371" spans="1:11" outlineLevel="1" collapsed="1" x14ac:dyDescent="0.35">
      <c r="B371" s="1"/>
      <c r="F371" s="3" t="s">
        <v>6668</v>
      </c>
      <c r="J371" s="4">
        <f>SUBTOTAL(9,J369:J370)</f>
        <v>1097717</v>
      </c>
      <c r="K371" s="4">
        <f>SUBTOTAL(9,K369:K370)</f>
        <v>0</v>
      </c>
    </row>
    <row r="372" spans="1:11" hidden="1" outlineLevel="2" x14ac:dyDescent="0.35">
      <c r="A372" t="s">
        <v>101</v>
      </c>
      <c r="B372" s="1">
        <v>45747</v>
      </c>
      <c r="C372" t="str">
        <f>"3"</f>
        <v>3</v>
      </c>
      <c r="F372" t="str">
        <f>"64140000"</f>
        <v>64140000</v>
      </c>
      <c r="H372" t="s">
        <v>6183</v>
      </c>
      <c r="J372" s="4">
        <v>137884</v>
      </c>
    </row>
    <row r="373" spans="1:11" outlineLevel="1" collapsed="1" x14ac:dyDescent="0.35">
      <c r="B373" s="1"/>
      <c r="F373" s="3" t="s">
        <v>6669</v>
      </c>
      <c r="J373" s="4">
        <f>SUBTOTAL(9,J372:J372)</f>
        <v>137884</v>
      </c>
      <c r="K373" s="4">
        <f>SUBTOTAL(9,K372:K372)</f>
        <v>0</v>
      </c>
    </row>
    <row r="374" spans="1:11" hidden="1" outlineLevel="2" x14ac:dyDescent="0.35">
      <c r="A374" t="s">
        <v>101</v>
      </c>
      <c r="B374" s="1">
        <v>45747</v>
      </c>
      <c r="C374" t="str">
        <f>"3"</f>
        <v>3</v>
      </c>
      <c r="F374" t="str">
        <f>"64150000"</f>
        <v>64150000</v>
      </c>
      <c r="H374" t="s">
        <v>6183</v>
      </c>
      <c r="J374" s="4">
        <v>206826</v>
      </c>
    </row>
    <row r="375" spans="1:11" outlineLevel="1" collapsed="1" x14ac:dyDescent="0.35">
      <c r="B375" s="1"/>
      <c r="F375" s="3" t="s">
        <v>6670</v>
      </c>
      <c r="J375" s="4">
        <f>SUBTOTAL(9,J374:J374)</f>
        <v>206826</v>
      </c>
      <c r="K375" s="4">
        <f>SUBTOTAL(9,K374:K374)</f>
        <v>0</v>
      </c>
    </row>
    <row r="376" spans="1:11" hidden="1" outlineLevel="2" x14ac:dyDescent="0.35">
      <c r="A376" t="s">
        <v>101</v>
      </c>
      <c r="B376" s="1">
        <v>45747</v>
      </c>
      <c r="C376" t="str">
        <f>"10"</f>
        <v>10</v>
      </c>
      <c r="F376" t="str">
        <f>"64180000"</f>
        <v>64180000</v>
      </c>
      <c r="H376" t="s">
        <v>114</v>
      </c>
      <c r="J376" s="4">
        <v>154646</v>
      </c>
    </row>
    <row r="377" spans="1:11" outlineLevel="1" collapsed="1" x14ac:dyDescent="0.35">
      <c r="B377" s="1"/>
      <c r="F377" s="3" t="s">
        <v>6757</v>
      </c>
      <c r="J377" s="4">
        <f>SUBTOTAL(9,J376:J376)</f>
        <v>154646</v>
      </c>
      <c r="K377" s="4">
        <f>SUBTOTAL(9,K376:K376)</f>
        <v>0</v>
      </c>
    </row>
    <row r="378" spans="1:11" hidden="1" outlineLevel="2" x14ac:dyDescent="0.35">
      <c r="A378" t="s">
        <v>6019</v>
      </c>
      <c r="B378" s="1">
        <v>45717</v>
      </c>
      <c r="C378" t="str">
        <f>"20"</f>
        <v>20</v>
      </c>
      <c r="D378" t="s">
        <v>6020</v>
      </c>
      <c r="F378" t="str">
        <f>"64680000"</f>
        <v>64680000</v>
      </c>
      <c r="H378" t="s">
        <v>6021</v>
      </c>
      <c r="J378" s="4">
        <v>400000</v>
      </c>
    </row>
    <row r="379" spans="1:11" outlineLevel="1" collapsed="1" x14ac:dyDescent="0.35">
      <c r="B379" s="1"/>
      <c r="F379" s="3" t="s">
        <v>6677</v>
      </c>
      <c r="J379" s="4">
        <f>SUBTOTAL(9,J378:J378)</f>
        <v>400000</v>
      </c>
      <c r="K379" s="4">
        <f>SUBTOTAL(9,K378:K378)</f>
        <v>0</v>
      </c>
    </row>
    <row r="380" spans="1:11" hidden="1" outlineLevel="2" x14ac:dyDescent="0.35">
      <c r="A380" t="s">
        <v>6212</v>
      </c>
      <c r="B380" s="1">
        <v>45746</v>
      </c>
      <c r="C380" t="str">
        <f>"3"</f>
        <v>3</v>
      </c>
      <c r="E380" t="s">
        <v>6213</v>
      </c>
      <c r="F380" t="str">
        <f>"66110000"</f>
        <v>66110000</v>
      </c>
      <c r="H380" t="s">
        <v>6214</v>
      </c>
      <c r="J380" s="4">
        <v>31187393</v>
      </c>
    </row>
    <row r="381" spans="1:11" outlineLevel="1" collapsed="1" x14ac:dyDescent="0.35">
      <c r="B381" s="1"/>
      <c r="F381" s="3" t="s">
        <v>6687</v>
      </c>
      <c r="J381" s="4">
        <f>SUBTOTAL(9,J380:J380)</f>
        <v>31187393</v>
      </c>
      <c r="K381" s="4">
        <f>SUBTOTAL(9,K380:K380)</f>
        <v>0</v>
      </c>
    </row>
    <row r="382" spans="1:11" hidden="1" outlineLevel="2" x14ac:dyDescent="0.35">
      <c r="A382" t="s">
        <v>6212</v>
      </c>
      <c r="B382" s="1">
        <v>45746</v>
      </c>
      <c r="C382" t="str">
        <f>"3"</f>
        <v>3</v>
      </c>
      <c r="E382" t="s">
        <v>6213</v>
      </c>
      <c r="F382" t="str">
        <f>"66121000"</f>
        <v>66121000</v>
      </c>
      <c r="H382" t="s">
        <v>6214</v>
      </c>
      <c r="J382" s="4">
        <v>3717194</v>
      </c>
    </row>
    <row r="383" spans="1:11" hidden="1" outlineLevel="2" x14ac:dyDescent="0.35">
      <c r="A383" t="s">
        <v>6212</v>
      </c>
      <c r="B383" s="1">
        <v>45746</v>
      </c>
      <c r="C383" t="str">
        <f>"3"</f>
        <v>3</v>
      </c>
      <c r="E383" t="s">
        <v>6213</v>
      </c>
      <c r="F383" t="str">
        <f>"66121000"</f>
        <v>66121000</v>
      </c>
      <c r="H383" t="s">
        <v>6214</v>
      </c>
      <c r="J383" s="4">
        <v>1043465</v>
      </c>
    </row>
    <row r="384" spans="1:11" outlineLevel="1" collapsed="1" x14ac:dyDescent="0.35">
      <c r="B384" s="1"/>
      <c r="F384" s="3" t="s">
        <v>6763</v>
      </c>
      <c r="J384" s="4">
        <f>SUBTOTAL(9,J382:J383)</f>
        <v>4760659</v>
      </c>
      <c r="K384" s="4">
        <f>SUBTOTAL(9,K382:K383)</f>
        <v>0</v>
      </c>
    </row>
    <row r="385" spans="1:11" hidden="1" outlineLevel="2" x14ac:dyDescent="0.35">
      <c r="A385" t="s">
        <v>6212</v>
      </c>
      <c r="B385" s="1">
        <v>45746</v>
      </c>
      <c r="C385" t="str">
        <f>"3"</f>
        <v>3</v>
      </c>
      <c r="E385" t="s">
        <v>6213</v>
      </c>
      <c r="F385" t="str">
        <f>"66122000"</f>
        <v>66122000</v>
      </c>
      <c r="H385" t="s">
        <v>6214</v>
      </c>
      <c r="J385" s="4">
        <v>15827</v>
      </c>
    </row>
    <row r="386" spans="1:11" outlineLevel="1" collapsed="1" x14ac:dyDescent="0.35">
      <c r="B386" s="1"/>
      <c r="F386" s="3" t="s">
        <v>6764</v>
      </c>
      <c r="J386" s="4">
        <f>SUBTOTAL(9,J385:J385)</f>
        <v>15827</v>
      </c>
      <c r="K386" s="4">
        <f>SUBTOTAL(9,K385:K385)</f>
        <v>0</v>
      </c>
    </row>
    <row r="387" spans="1:11" hidden="1" outlineLevel="2" x14ac:dyDescent="0.35">
      <c r="A387" t="s">
        <v>6212</v>
      </c>
      <c r="B387" s="1">
        <v>45746</v>
      </c>
      <c r="C387" t="str">
        <f>"3"</f>
        <v>3</v>
      </c>
      <c r="E387" t="s">
        <v>6213</v>
      </c>
      <c r="F387" t="str">
        <f>"66130000"</f>
        <v>66130000</v>
      </c>
      <c r="H387" t="s">
        <v>6214</v>
      </c>
      <c r="J387" s="4">
        <v>261221</v>
      </c>
    </row>
    <row r="388" spans="1:11" outlineLevel="1" collapsed="1" x14ac:dyDescent="0.35">
      <c r="B388" s="1"/>
      <c r="F388" s="3" t="s">
        <v>6693</v>
      </c>
      <c r="J388" s="4">
        <f>SUBTOTAL(9,J387:J387)</f>
        <v>261221</v>
      </c>
      <c r="K388" s="4">
        <f>SUBTOTAL(9,K387:K387)</f>
        <v>0</v>
      </c>
    </row>
    <row r="389" spans="1:11" hidden="1" outlineLevel="2" x14ac:dyDescent="0.35">
      <c r="A389" t="s">
        <v>75</v>
      </c>
      <c r="B389" s="1">
        <v>45744</v>
      </c>
      <c r="C389" t="str">
        <f>"15"</f>
        <v>15</v>
      </c>
      <c r="D389" t="s">
        <v>6161</v>
      </c>
      <c r="E389" t="s">
        <v>6162</v>
      </c>
      <c r="F389" t="str">
        <f>"66184000"</f>
        <v>66184000</v>
      </c>
      <c r="H389" t="s">
        <v>6163</v>
      </c>
      <c r="J389" s="4">
        <v>200000</v>
      </c>
    </row>
    <row r="390" spans="1:11" outlineLevel="1" collapsed="1" x14ac:dyDescent="0.35">
      <c r="B390" s="1"/>
      <c r="F390" s="3" t="s">
        <v>6748</v>
      </c>
      <c r="J390" s="4">
        <f>SUBTOTAL(9,J389:J389)</f>
        <v>200000</v>
      </c>
      <c r="K390" s="4">
        <f>SUBTOTAL(9,K389:K389)</f>
        <v>0</v>
      </c>
    </row>
    <row r="391" spans="1:11" hidden="1" outlineLevel="2" x14ac:dyDescent="0.35">
      <c r="A391" t="s">
        <v>6212</v>
      </c>
      <c r="B391" s="1">
        <v>45746</v>
      </c>
      <c r="C391" t="str">
        <f>"3"</f>
        <v>3</v>
      </c>
      <c r="E391" t="s">
        <v>6213</v>
      </c>
      <c r="F391" t="str">
        <f>"66320000"</f>
        <v>66320000</v>
      </c>
      <c r="H391" t="s">
        <v>6214</v>
      </c>
      <c r="J391" s="4">
        <v>500000</v>
      </c>
    </row>
    <row r="392" spans="1:11" outlineLevel="1" collapsed="1" x14ac:dyDescent="0.35">
      <c r="B392" s="1"/>
      <c r="F392" s="3" t="s">
        <v>6699</v>
      </c>
      <c r="J392" s="4">
        <f>SUBTOTAL(9,J391:J391)</f>
        <v>500000</v>
      </c>
      <c r="K392" s="4">
        <f>SUBTOTAL(9,K391:K391)</f>
        <v>0</v>
      </c>
    </row>
    <row r="393" spans="1:11" hidden="1" outlineLevel="2" x14ac:dyDescent="0.35">
      <c r="A393" t="s">
        <v>6019</v>
      </c>
      <c r="B393" s="1">
        <v>45717</v>
      </c>
      <c r="C393" t="str">
        <f>"22"</f>
        <v>22</v>
      </c>
      <c r="E393" t="s">
        <v>6024</v>
      </c>
      <c r="F393" t="str">
        <f>"66380000"</f>
        <v>66380000</v>
      </c>
      <c r="H393" t="s">
        <v>6025</v>
      </c>
      <c r="J393" s="4">
        <v>2420000</v>
      </c>
    </row>
    <row r="394" spans="1:11" hidden="1" outlineLevel="2" x14ac:dyDescent="0.35">
      <c r="A394" t="s">
        <v>26</v>
      </c>
      <c r="B394" s="1">
        <v>45734</v>
      </c>
      <c r="C394" t="str">
        <f>"10"</f>
        <v>10</v>
      </c>
      <c r="D394" t="s">
        <v>6100</v>
      </c>
      <c r="E394" t="str">
        <f>"165"</f>
        <v>165</v>
      </c>
      <c r="F394" t="str">
        <f>"66380000"</f>
        <v>66380000</v>
      </c>
      <c r="H394" t="s">
        <v>6102</v>
      </c>
      <c r="J394" s="4">
        <v>660805</v>
      </c>
    </row>
    <row r="395" spans="1:11" hidden="1" outlineLevel="2" x14ac:dyDescent="0.35">
      <c r="A395" t="s">
        <v>26</v>
      </c>
      <c r="B395" s="1">
        <v>45741</v>
      </c>
      <c r="C395" t="str">
        <f>"28"</f>
        <v>28</v>
      </c>
      <c r="D395" t="s">
        <v>6109</v>
      </c>
      <c r="E395" t="str">
        <f>"6110380101202501"</f>
        <v>6110380101202501</v>
      </c>
      <c r="F395" t="str">
        <f>"66380000"</f>
        <v>66380000</v>
      </c>
      <c r="H395" t="s">
        <v>6111</v>
      </c>
      <c r="J395" s="4">
        <v>30521</v>
      </c>
    </row>
    <row r="396" spans="1:11" outlineLevel="1" collapsed="1" x14ac:dyDescent="0.35">
      <c r="B396" s="1"/>
      <c r="F396" s="3" t="s">
        <v>6741</v>
      </c>
      <c r="J396" s="4">
        <f>SUBTOTAL(9,J393:J395)</f>
        <v>3111326</v>
      </c>
      <c r="K396" s="4">
        <f>SUBTOTAL(9,K393:K395)</f>
        <v>0</v>
      </c>
    </row>
    <row r="397" spans="1:11" hidden="1" outlineLevel="2" x14ac:dyDescent="0.35">
      <c r="A397" t="s">
        <v>6212</v>
      </c>
      <c r="B397" s="1">
        <v>45746</v>
      </c>
      <c r="C397" t="str">
        <f>"3"</f>
        <v>3</v>
      </c>
      <c r="E397" t="s">
        <v>6213</v>
      </c>
      <c r="F397" t="str">
        <f>"66381000"</f>
        <v>66381000</v>
      </c>
      <c r="H397" t="s">
        <v>6214</v>
      </c>
      <c r="J397" s="4">
        <v>2732000</v>
      </c>
    </row>
    <row r="398" spans="1:11" outlineLevel="1" collapsed="1" x14ac:dyDescent="0.35">
      <c r="B398" s="1"/>
      <c r="F398" s="3" t="s">
        <v>6701</v>
      </c>
      <c r="J398" s="4">
        <f>SUBTOTAL(9,J397:J397)</f>
        <v>2732000</v>
      </c>
      <c r="K398" s="4">
        <f>SUBTOTAL(9,K397:K397)</f>
        <v>0</v>
      </c>
    </row>
    <row r="399" spans="1:11" hidden="1" outlineLevel="2" x14ac:dyDescent="0.35">
      <c r="A399" t="s">
        <v>101</v>
      </c>
      <c r="B399" s="1">
        <v>45747</v>
      </c>
      <c r="C399" t="str">
        <f>"4"</f>
        <v>4</v>
      </c>
      <c r="F399" t="str">
        <f>"66410000"</f>
        <v>66410000</v>
      </c>
      <c r="H399" t="s">
        <v>6184</v>
      </c>
      <c r="J399" s="4">
        <v>3077694</v>
      </c>
    </row>
    <row r="400" spans="1:11" outlineLevel="1" collapsed="1" x14ac:dyDescent="0.35">
      <c r="B400" s="1"/>
      <c r="F400" s="3" t="s">
        <v>6702</v>
      </c>
      <c r="J400" s="4">
        <f>SUBTOTAL(9,J399:J399)</f>
        <v>3077694</v>
      </c>
      <c r="K400" s="4">
        <f>SUBTOTAL(9,K399:K399)</f>
        <v>0</v>
      </c>
    </row>
    <row r="401" spans="1:11" hidden="1" outlineLevel="2" x14ac:dyDescent="0.35">
      <c r="A401" t="s">
        <v>101</v>
      </c>
      <c r="B401" s="1">
        <v>45747</v>
      </c>
      <c r="C401" t="str">
        <f>"2"</f>
        <v>2</v>
      </c>
      <c r="F401" t="str">
        <f>"66410002"</f>
        <v>66410002</v>
      </c>
      <c r="H401" t="s">
        <v>2849</v>
      </c>
      <c r="J401" s="4">
        <v>15500</v>
      </c>
    </row>
    <row r="402" spans="1:11" outlineLevel="1" collapsed="1" x14ac:dyDescent="0.35">
      <c r="B402" s="1"/>
      <c r="F402" s="3" t="s">
        <v>6753</v>
      </c>
      <c r="J402" s="4">
        <f>SUBTOTAL(9,J401:J401)</f>
        <v>15500</v>
      </c>
      <c r="K402" s="4">
        <f>SUBTOTAL(9,K401:K401)</f>
        <v>0</v>
      </c>
    </row>
    <row r="403" spans="1:11" hidden="1" outlineLevel="2" x14ac:dyDescent="0.35">
      <c r="A403" t="s">
        <v>26</v>
      </c>
      <c r="B403" s="1">
        <v>45728</v>
      </c>
      <c r="C403" t="str">
        <f>"18"</f>
        <v>18</v>
      </c>
      <c r="D403" t="s">
        <v>6080</v>
      </c>
      <c r="E403" t="s">
        <v>6081</v>
      </c>
      <c r="F403" t="str">
        <f t="shared" ref="F403:F410" si="16">"66720000"</f>
        <v>66720000</v>
      </c>
      <c r="H403" t="s">
        <v>6083</v>
      </c>
      <c r="J403" s="4">
        <v>1110452</v>
      </c>
    </row>
    <row r="404" spans="1:11" hidden="1" outlineLevel="2" x14ac:dyDescent="0.35">
      <c r="A404" t="s">
        <v>26</v>
      </c>
      <c r="B404" s="1">
        <v>45728</v>
      </c>
      <c r="C404" t="str">
        <f>"19"</f>
        <v>19</v>
      </c>
      <c r="D404" t="s">
        <v>6084</v>
      </c>
      <c r="E404" t="s">
        <v>6085</v>
      </c>
      <c r="F404" t="str">
        <f t="shared" si="16"/>
        <v>66720000</v>
      </c>
      <c r="H404" t="s">
        <v>6083</v>
      </c>
      <c r="J404" s="4">
        <v>12205900</v>
      </c>
    </row>
    <row r="405" spans="1:11" hidden="1" outlineLevel="2" x14ac:dyDescent="0.35">
      <c r="A405" t="s">
        <v>26</v>
      </c>
      <c r="B405" s="1">
        <v>45729</v>
      </c>
      <c r="C405" t="str">
        <f>"20"</f>
        <v>20</v>
      </c>
      <c r="D405" t="s">
        <v>6086</v>
      </c>
      <c r="E405" t="str">
        <f>"1772"</f>
        <v>1772</v>
      </c>
      <c r="F405" t="str">
        <f t="shared" si="16"/>
        <v>66720000</v>
      </c>
      <c r="H405" t="s">
        <v>6088</v>
      </c>
      <c r="J405" s="4">
        <v>10289663</v>
      </c>
    </row>
    <row r="406" spans="1:11" hidden="1" outlineLevel="2" x14ac:dyDescent="0.35">
      <c r="A406" t="s">
        <v>26</v>
      </c>
      <c r="B406" s="1">
        <v>45729</v>
      </c>
      <c r="C406" t="str">
        <f>"21"</f>
        <v>21</v>
      </c>
      <c r="D406" t="s">
        <v>6089</v>
      </c>
      <c r="E406" t="str">
        <f>"1773"</f>
        <v>1773</v>
      </c>
      <c r="F406" t="str">
        <f t="shared" si="16"/>
        <v>66720000</v>
      </c>
      <c r="H406" t="s">
        <v>6088</v>
      </c>
      <c r="J406" s="4">
        <v>681204</v>
      </c>
    </row>
    <row r="407" spans="1:11" hidden="1" outlineLevel="2" x14ac:dyDescent="0.35">
      <c r="A407" t="s">
        <v>101</v>
      </c>
      <c r="B407" s="1">
        <v>45717</v>
      </c>
      <c r="C407" t="str">
        <f>"59"</f>
        <v>59</v>
      </c>
      <c r="F407" t="str">
        <f t="shared" si="16"/>
        <v>66720000</v>
      </c>
      <c r="H407" t="s">
        <v>6178</v>
      </c>
      <c r="J407" s="4">
        <v>-13188459</v>
      </c>
    </row>
    <row r="408" spans="1:11" hidden="1" outlineLevel="2" x14ac:dyDescent="0.35">
      <c r="A408" t="s">
        <v>101</v>
      </c>
      <c r="B408" s="1">
        <v>45717</v>
      </c>
      <c r="C408" t="str">
        <f>"60"</f>
        <v>60</v>
      </c>
      <c r="F408" t="str">
        <f t="shared" si="16"/>
        <v>66720000</v>
      </c>
      <c r="H408" t="s">
        <v>6179</v>
      </c>
      <c r="J408" s="4">
        <v>-10959663</v>
      </c>
    </row>
    <row r="409" spans="1:11" hidden="1" outlineLevel="2" x14ac:dyDescent="0.35">
      <c r="A409" t="s">
        <v>101</v>
      </c>
      <c r="B409" s="1">
        <v>45747</v>
      </c>
      <c r="C409" t="str">
        <f>"62"</f>
        <v>62</v>
      </c>
      <c r="F409" t="str">
        <f t="shared" si="16"/>
        <v>66720000</v>
      </c>
      <c r="H409" t="s">
        <v>6206</v>
      </c>
      <c r="J409" s="4">
        <v>10595753</v>
      </c>
    </row>
    <row r="410" spans="1:11" hidden="1" outlineLevel="2" x14ac:dyDescent="0.35">
      <c r="A410" t="s">
        <v>101</v>
      </c>
      <c r="B410" s="1">
        <v>45747</v>
      </c>
      <c r="C410" t="str">
        <f>"63"</f>
        <v>63</v>
      </c>
      <c r="F410" t="str">
        <f t="shared" si="16"/>
        <v>66720000</v>
      </c>
      <c r="H410" t="s">
        <v>6207</v>
      </c>
      <c r="J410" s="4">
        <v>13154875</v>
      </c>
    </row>
    <row r="411" spans="1:11" outlineLevel="1" collapsed="1" x14ac:dyDescent="0.35">
      <c r="B411" s="1"/>
      <c r="F411" s="3" t="s">
        <v>6744</v>
      </c>
      <c r="J411" s="4">
        <f>SUBTOTAL(9,J403:J410)</f>
        <v>23889725</v>
      </c>
      <c r="K411" s="4">
        <f>SUBTOTAL(9,K403:K410)</f>
        <v>0</v>
      </c>
    </row>
    <row r="412" spans="1:11" hidden="1" outlineLevel="2" x14ac:dyDescent="0.35">
      <c r="A412" t="s">
        <v>75</v>
      </c>
      <c r="B412" s="1">
        <v>45742</v>
      </c>
      <c r="C412" t="str">
        <f>"16"</f>
        <v>16</v>
      </c>
      <c r="D412" t="s">
        <v>6152</v>
      </c>
      <c r="E412" t="s">
        <v>6153</v>
      </c>
      <c r="F412" t="str">
        <f>"66840000"</f>
        <v>66840000</v>
      </c>
      <c r="H412" t="s">
        <v>6154</v>
      </c>
      <c r="J412" s="4">
        <v>15000</v>
      </c>
    </row>
    <row r="413" spans="1:11" outlineLevel="1" collapsed="1" x14ac:dyDescent="0.35">
      <c r="B413" s="1"/>
      <c r="F413" s="3" t="s">
        <v>6707</v>
      </c>
      <c r="J413" s="4">
        <f>SUBTOTAL(9,J412:J412)</f>
        <v>15000</v>
      </c>
      <c r="K413" s="4">
        <f>SUBTOTAL(9,K412:K412)</f>
        <v>0</v>
      </c>
    </row>
    <row r="414" spans="1:11" hidden="1" outlineLevel="2" x14ac:dyDescent="0.35">
      <c r="A414" t="s">
        <v>6019</v>
      </c>
      <c r="B414" s="1">
        <v>45717</v>
      </c>
      <c r="C414" t="str">
        <f>"21"</f>
        <v>21</v>
      </c>
      <c r="E414" t="s">
        <v>1201</v>
      </c>
      <c r="F414" t="str">
        <f>"66850000"</f>
        <v>66850000</v>
      </c>
      <c r="H414" t="s">
        <v>6023</v>
      </c>
      <c r="J414" s="4">
        <v>606104</v>
      </c>
    </row>
    <row r="415" spans="1:11" outlineLevel="1" collapsed="1" x14ac:dyDescent="0.35">
      <c r="B415" s="1"/>
      <c r="F415" s="3" t="s">
        <v>6708</v>
      </c>
      <c r="J415" s="4">
        <f>SUBTOTAL(9,J414:J414)</f>
        <v>606104</v>
      </c>
      <c r="K415" s="4">
        <f>SUBTOTAL(9,K414:K414)</f>
        <v>0</v>
      </c>
    </row>
    <row r="416" spans="1:11" hidden="1" outlineLevel="2" x14ac:dyDescent="0.35">
      <c r="A416" t="s">
        <v>6215</v>
      </c>
      <c r="B416" s="1">
        <v>45747</v>
      </c>
      <c r="C416" t="str">
        <f>"29"</f>
        <v>29</v>
      </c>
      <c r="F416" t="str">
        <f>"67450000"</f>
        <v>67450000</v>
      </c>
      <c r="H416" t="s">
        <v>6255</v>
      </c>
      <c r="J416" s="4">
        <v>142759</v>
      </c>
    </row>
    <row r="417" spans="1:11" outlineLevel="1" collapsed="1" x14ac:dyDescent="0.35">
      <c r="B417" s="1"/>
      <c r="F417" s="3" t="s">
        <v>6714</v>
      </c>
      <c r="J417" s="4">
        <f>SUBTOTAL(9,J416:J416)</f>
        <v>142759</v>
      </c>
      <c r="K417" s="4">
        <f>SUBTOTAL(9,K416:K416)</f>
        <v>0</v>
      </c>
    </row>
    <row r="418" spans="1:11" hidden="1" outlineLevel="2" x14ac:dyDescent="0.35">
      <c r="A418" t="s">
        <v>101</v>
      </c>
      <c r="B418" s="1">
        <v>45747</v>
      </c>
      <c r="C418" t="str">
        <f>"27"</f>
        <v>27</v>
      </c>
      <c r="E418" t="s">
        <v>116</v>
      </c>
      <c r="F418" t="str">
        <f>"68120000"</f>
        <v>68120000</v>
      </c>
      <c r="H418" t="s">
        <v>6198</v>
      </c>
      <c r="J418" s="4">
        <v>40000</v>
      </c>
    </row>
    <row r="419" spans="1:11" outlineLevel="1" collapsed="1" x14ac:dyDescent="0.35">
      <c r="B419" s="1"/>
      <c r="F419" s="3" t="s">
        <v>6715</v>
      </c>
      <c r="J419" s="4">
        <f>SUBTOTAL(9,J418:J418)</f>
        <v>40000</v>
      </c>
      <c r="K419" s="4">
        <f>SUBTOTAL(9,K418:K418)</f>
        <v>0</v>
      </c>
    </row>
    <row r="420" spans="1:11" hidden="1" outlineLevel="2" x14ac:dyDescent="0.35">
      <c r="A420" t="s">
        <v>101</v>
      </c>
      <c r="B420" s="1">
        <v>45747</v>
      </c>
      <c r="C420" t="str">
        <f>"27"</f>
        <v>27</v>
      </c>
      <c r="E420" t="s">
        <v>116</v>
      </c>
      <c r="F420" t="str">
        <f>"68130000"</f>
        <v>68130000</v>
      </c>
      <c r="H420" t="s">
        <v>6199</v>
      </c>
      <c r="J420" s="4">
        <v>2345979</v>
      </c>
    </row>
    <row r="421" spans="1:11" outlineLevel="1" collapsed="1" x14ac:dyDescent="0.35">
      <c r="B421" s="1"/>
      <c r="F421" s="3" t="s">
        <v>6716</v>
      </c>
      <c r="J421" s="4">
        <f>SUBTOTAL(9,J420:J420)</f>
        <v>2345979</v>
      </c>
      <c r="K421" s="4">
        <f>SUBTOTAL(9,K420:K420)</f>
        <v>0</v>
      </c>
    </row>
    <row r="422" spans="1:11" hidden="1" outlineLevel="2" x14ac:dyDescent="0.35">
      <c r="A422" t="s">
        <v>101</v>
      </c>
      <c r="B422" s="1">
        <v>45717</v>
      </c>
      <c r="C422" t="str">
        <f>"64"</f>
        <v>64</v>
      </c>
      <c r="F422" t="str">
        <f t="shared" ref="F422:F443" si="17">"70611100"</f>
        <v>70611100</v>
      </c>
      <c r="H422" t="s">
        <v>6180</v>
      </c>
      <c r="K422" s="4">
        <v>7566483</v>
      </c>
    </row>
    <row r="423" spans="1:11" hidden="1" outlineLevel="2" x14ac:dyDescent="0.35">
      <c r="A423" t="s">
        <v>101</v>
      </c>
      <c r="B423" s="1">
        <v>45717</v>
      </c>
      <c r="C423" t="str">
        <f>"65"</f>
        <v>65</v>
      </c>
      <c r="F423" t="str">
        <f t="shared" si="17"/>
        <v>70611100</v>
      </c>
      <c r="H423" t="s">
        <v>6181</v>
      </c>
      <c r="K423" s="4">
        <v>4000000</v>
      </c>
    </row>
    <row r="424" spans="1:11" hidden="1" outlineLevel="2" x14ac:dyDescent="0.35">
      <c r="A424" t="s">
        <v>101</v>
      </c>
      <c r="B424" s="1">
        <v>45717</v>
      </c>
      <c r="C424" t="str">
        <f>"65"</f>
        <v>65</v>
      </c>
      <c r="F424" t="str">
        <f t="shared" si="17"/>
        <v>70611100</v>
      </c>
      <c r="H424" t="s">
        <v>6181</v>
      </c>
      <c r="K424" s="4">
        <v>13455000</v>
      </c>
    </row>
    <row r="425" spans="1:11" hidden="1" outlineLevel="2" x14ac:dyDescent="0.35">
      <c r="A425" t="s">
        <v>101</v>
      </c>
      <c r="B425" s="1">
        <v>45717</v>
      </c>
      <c r="C425" t="str">
        <f>"65"</f>
        <v>65</v>
      </c>
      <c r="F425" t="str">
        <f t="shared" si="17"/>
        <v>70611100</v>
      </c>
      <c r="H425" t="s">
        <v>6181</v>
      </c>
      <c r="K425" s="4">
        <v>15624000</v>
      </c>
    </row>
    <row r="426" spans="1:11" hidden="1" outlineLevel="2" x14ac:dyDescent="0.35">
      <c r="A426" t="s">
        <v>101</v>
      </c>
      <c r="B426" s="1">
        <v>45717</v>
      </c>
      <c r="C426" t="str">
        <f>"65"</f>
        <v>65</v>
      </c>
      <c r="F426" t="str">
        <f t="shared" si="17"/>
        <v>70611100</v>
      </c>
      <c r="H426" t="s">
        <v>6181</v>
      </c>
      <c r="K426" s="4">
        <v>7900000</v>
      </c>
    </row>
    <row r="427" spans="1:11" hidden="1" outlineLevel="2" x14ac:dyDescent="0.35">
      <c r="A427" t="s">
        <v>101</v>
      </c>
      <c r="B427" s="1">
        <v>45747</v>
      </c>
      <c r="C427" t="str">
        <f>"66"</f>
        <v>66</v>
      </c>
      <c r="F427" t="str">
        <f t="shared" si="17"/>
        <v>70611100</v>
      </c>
      <c r="H427" t="s">
        <v>6209</v>
      </c>
      <c r="K427" s="4">
        <v>-8000000</v>
      </c>
    </row>
    <row r="428" spans="1:11" hidden="1" outlineLevel="2" x14ac:dyDescent="0.35">
      <c r="A428" t="s">
        <v>101</v>
      </c>
      <c r="B428" s="1">
        <v>45747</v>
      </c>
      <c r="C428" t="str">
        <f>"66"</f>
        <v>66</v>
      </c>
      <c r="F428" t="str">
        <f t="shared" si="17"/>
        <v>70611100</v>
      </c>
      <c r="H428" t="s">
        <v>6209</v>
      </c>
      <c r="K428" s="4">
        <v>-27909810</v>
      </c>
    </row>
    <row r="429" spans="1:11" hidden="1" outlineLevel="2" x14ac:dyDescent="0.35">
      <c r="A429" t="s">
        <v>101</v>
      </c>
      <c r="B429" s="1">
        <v>45747</v>
      </c>
      <c r="C429" t="str">
        <f>"66"</f>
        <v>66</v>
      </c>
      <c r="F429" t="str">
        <f t="shared" si="17"/>
        <v>70611100</v>
      </c>
      <c r="H429" t="s">
        <v>6209</v>
      </c>
      <c r="K429" s="4">
        <v>-31248000</v>
      </c>
    </row>
    <row r="430" spans="1:11" hidden="1" outlineLevel="2" x14ac:dyDescent="0.35">
      <c r="A430" t="s">
        <v>101</v>
      </c>
      <c r="B430" s="1">
        <v>45747</v>
      </c>
      <c r="C430" t="str">
        <f>"66"</f>
        <v>66</v>
      </c>
      <c r="F430" t="str">
        <f t="shared" si="17"/>
        <v>70611100</v>
      </c>
      <c r="H430" t="s">
        <v>6209</v>
      </c>
      <c r="K430" s="4">
        <v>-15500000</v>
      </c>
    </row>
    <row r="431" spans="1:11" hidden="1" outlineLevel="2" x14ac:dyDescent="0.35">
      <c r="A431" t="s">
        <v>101</v>
      </c>
      <c r="B431" s="1">
        <v>45747</v>
      </c>
      <c r="C431" t="str">
        <f>"67"</f>
        <v>67</v>
      </c>
      <c r="F431" t="str">
        <f t="shared" si="17"/>
        <v>70611100</v>
      </c>
      <c r="H431" t="s">
        <v>6210</v>
      </c>
      <c r="K431" s="4">
        <v>29662326</v>
      </c>
    </row>
    <row r="432" spans="1:11" hidden="1" outlineLevel="2" x14ac:dyDescent="0.35">
      <c r="A432" t="s">
        <v>6256</v>
      </c>
      <c r="B432" s="1">
        <v>45717</v>
      </c>
      <c r="C432" t="str">
        <f>"4"</f>
        <v>4</v>
      </c>
      <c r="D432" t="str">
        <f>"00130"</f>
        <v>00130</v>
      </c>
      <c r="E432" t="str">
        <f>"00130"</f>
        <v>00130</v>
      </c>
      <c r="F432" t="str">
        <f t="shared" si="17"/>
        <v>70611100</v>
      </c>
      <c r="H432" t="s">
        <v>6257</v>
      </c>
      <c r="K432" s="4">
        <v>450000</v>
      </c>
    </row>
    <row r="433" spans="1:11" hidden="1" outlineLevel="2" x14ac:dyDescent="0.35">
      <c r="A433" t="s">
        <v>6256</v>
      </c>
      <c r="B433" s="1">
        <v>45733</v>
      </c>
      <c r="C433" t="str">
        <f>"1"</f>
        <v>1</v>
      </c>
      <c r="D433" t="str">
        <f>"00136"</f>
        <v>00136</v>
      </c>
      <c r="E433" t="str">
        <f>"00136"</f>
        <v>00136</v>
      </c>
      <c r="F433" t="str">
        <f t="shared" si="17"/>
        <v>70611100</v>
      </c>
      <c r="H433" t="s">
        <v>6258</v>
      </c>
      <c r="K433" s="4">
        <v>-7900000</v>
      </c>
    </row>
    <row r="434" spans="1:11" hidden="1" outlineLevel="2" x14ac:dyDescent="0.35">
      <c r="A434" t="s">
        <v>6256</v>
      </c>
      <c r="B434" s="1">
        <v>45733</v>
      </c>
      <c r="C434" t="str">
        <f>"3"</f>
        <v>3</v>
      </c>
      <c r="D434" t="str">
        <f>"00134"</f>
        <v>00134</v>
      </c>
      <c r="E434" t="str">
        <f>"00134"</f>
        <v>00134</v>
      </c>
      <c r="F434" t="str">
        <f t="shared" si="17"/>
        <v>70611100</v>
      </c>
      <c r="H434" t="s">
        <v>6259</v>
      </c>
      <c r="K434" s="4">
        <v>114397424</v>
      </c>
    </row>
    <row r="435" spans="1:11" hidden="1" outlineLevel="2" x14ac:dyDescent="0.35">
      <c r="A435" t="s">
        <v>6256</v>
      </c>
      <c r="B435" s="1">
        <v>45735</v>
      </c>
      <c r="C435" t="str">
        <f>"2"</f>
        <v>2</v>
      </c>
      <c r="D435" t="str">
        <f>"00137"</f>
        <v>00137</v>
      </c>
      <c r="E435" t="str">
        <f>"00137"</f>
        <v>00137</v>
      </c>
      <c r="F435" t="str">
        <f t="shared" si="17"/>
        <v>70611100</v>
      </c>
      <c r="H435" t="s">
        <v>6261</v>
      </c>
      <c r="K435" s="4">
        <v>7900000</v>
      </c>
    </row>
    <row r="436" spans="1:11" hidden="1" outlineLevel="2" x14ac:dyDescent="0.35">
      <c r="A436" t="s">
        <v>6256</v>
      </c>
      <c r="B436" s="1">
        <v>45735</v>
      </c>
      <c r="C436" t="str">
        <f>"5"</f>
        <v>5</v>
      </c>
      <c r="F436" t="str">
        <f t="shared" si="17"/>
        <v>70611100</v>
      </c>
      <c r="H436" t="s">
        <v>6262</v>
      </c>
      <c r="K436" s="4">
        <v>450000</v>
      </c>
    </row>
    <row r="437" spans="1:11" hidden="1" outlineLevel="2" x14ac:dyDescent="0.35">
      <c r="A437" t="s">
        <v>6256</v>
      </c>
      <c r="B437" s="1">
        <v>45744</v>
      </c>
      <c r="C437" t="str">
        <f>"6"</f>
        <v>6</v>
      </c>
      <c r="D437" t="str">
        <f>"00146"</f>
        <v>00146</v>
      </c>
      <c r="E437" t="str">
        <f>"00146"</f>
        <v>00146</v>
      </c>
      <c r="F437" t="str">
        <f t="shared" si="17"/>
        <v>70611100</v>
      </c>
      <c r="H437" t="s">
        <v>6263</v>
      </c>
      <c r="K437" s="4">
        <v>8285000</v>
      </c>
    </row>
    <row r="438" spans="1:11" hidden="1" outlineLevel="2" x14ac:dyDescent="0.35">
      <c r="A438" t="s">
        <v>6256</v>
      </c>
      <c r="B438" s="1">
        <v>45744</v>
      </c>
      <c r="C438" t="str">
        <f>"7"</f>
        <v>7</v>
      </c>
      <c r="D438" t="str">
        <f>"00144"</f>
        <v>00144</v>
      </c>
      <c r="E438" t="str">
        <f>"00144"</f>
        <v>00144</v>
      </c>
      <c r="F438" t="str">
        <f t="shared" si="17"/>
        <v>70611100</v>
      </c>
      <c r="H438" t="s">
        <v>6264</v>
      </c>
      <c r="K438" s="4">
        <v>2019810</v>
      </c>
    </row>
    <row r="439" spans="1:11" hidden="1" outlineLevel="2" x14ac:dyDescent="0.35">
      <c r="A439" t="s">
        <v>6256</v>
      </c>
      <c r="B439" s="1">
        <v>45744</v>
      </c>
      <c r="C439" t="str">
        <f>"8"</f>
        <v>8</v>
      </c>
      <c r="D439" t="str">
        <f>"00142"</f>
        <v>00142</v>
      </c>
      <c r="E439" t="str">
        <f>"00142"</f>
        <v>00142</v>
      </c>
      <c r="F439" t="str">
        <f t="shared" si="17"/>
        <v>70611100</v>
      </c>
      <c r="H439" t="s">
        <v>6266</v>
      </c>
      <c r="K439" s="4">
        <v>3000000</v>
      </c>
    </row>
    <row r="440" spans="1:11" hidden="1" outlineLevel="2" x14ac:dyDescent="0.35">
      <c r="A440" t="s">
        <v>6256</v>
      </c>
      <c r="B440" s="1">
        <v>45744</v>
      </c>
      <c r="C440" t="str">
        <f>"9"</f>
        <v>9</v>
      </c>
      <c r="D440" t="str">
        <f>"00141"</f>
        <v>00141</v>
      </c>
      <c r="E440" t="str">
        <f>"00141"</f>
        <v>00141</v>
      </c>
      <c r="F440" t="str">
        <f t="shared" si="17"/>
        <v>70611100</v>
      </c>
      <c r="H440" t="s">
        <v>6267</v>
      </c>
      <c r="K440" s="4">
        <v>250000</v>
      </c>
    </row>
    <row r="441" spans="1:11" hidden="1" outlineLevel="2" x14ac:dyDescent="0.35">
      <c r="A441" t="s">
        <v>6256</v>
      </c>
      <c r="B441" s="1">
        <v>45744</v>
      </c>
      <c r="C441" t="str">
        <f>"10"</f>
        <v>10</v>
      </c>
      <c r="D441" t="str">
        <f>"00140"</f>
        <v>00140</v>
      </c>
      <c r="E441" t="str">
        <f>"00140"</f>
        <v>00140</v>
      </c>
      <c r="F441" t="str">
        <f t="shared" si="17"/>
        <v>70611100</v>
      </c>
      <c r="H441" t="s">
        <v>6268</v>
      </c>
      <c r="K441" s="4">
        <v>4000000</v>
      </c>
    </row>
    <row r="442" spans="1:11" hidden="1" outlineLevel="2" x14ac:dyDescent="0.35">
      <c r="A442" t="s">
        <v>6256</v>
      </c>
      <c r="B442" s="1">
        <v>45744</v>
      </c>
      <c r="C442" t="str">
        <f>"11"</f>
        <v>11</v>
      </c>
      <c r="D442" t="str">
        <f>"00139"</f>
        <v>00139</v>
      </c>
      <c r="E442" t="str">
        <f>"00139"</f>
        <v>00139</v>
      </c>
      <c r="F442" t="str">
        <f t="shared" si="17"/>
        <v>70611100</v>
      </c>
      <c r="H442" t="s">
        <v>6269</v>
      </c>
      <c r="K442" s="4">
        <v>7600000</v>
      </c>
    </row>
    <row r="443" spans="1:11" hidden="1" outlineLevel="2" x14ac:dyDescent="0.35">
      <c r="A443" t="s">
        <v>6256</v>
      </c>
      <c r="B443" s="1">
        <v>45744</v>
      </c>
      <c r="C443" t="str">
        <f>"12"</f>
        <v>12</v>
      </c>
      <c r="D443" t="str">
        <f>"00143"</f>
        <v>00143</v>
      </c>
      <c r="E443" t="str">
        <f>"00143"</f>
        <v>00143</v>
      </c>
      <c r="F443" t="str">
        <f t="shared" si="17"/>
        <v>70611100</v>
      </c>
      <c r="H443" t="s">
        <v>6270</v>
      </c>
      <c r="K443" s="4">
        <v>15624000</v>
      </c>
    </row>
    <row r="444" spans="1:11" outlineLevel="1" collapsed="1" x14ac:dyDescent="0.35">
      <c r="B444" s="1"/>
      <c r="F444" s="3" t="s">
        <v>6751</v>
      </c>
      <c r="J444" s="4">
        <f>SUBTOTAL(9,J422:J443)</f>
        <v>0</v>
      </c>
      <c r="K444" s="4">
        <f>SUBTOTAL(9,K422:K443)</f>
        <v>151626233</v>
      </c>
    </row>
    <row r="445" spans="1:11" hidden="1" outlineLevel="2" x14ac:dyDescent="0.35">
      <c r="A445" t="s">
        <v>101</v>
      </c>
      <c r="B445" s="1">
        <v>45747</v>
      </c>
      <c r="C445" t="str">
        <f>"53"</f>
        <v>53</v>
      </c>
      <c r="F445" t="str">
        <f>"75880000"</f>
        <v>75880000</v>
      </c>
      <c r="H445" t="s">
        <v>6201</v>
      </c>
      <c r="K445" s="4">
        <v>1</v>
      </c>
    </row>
    <row r="446" spans="1:11" outlineLevel="1" collapsed="1" x14ac:dyDescent="0.35">
      <c r="B446" s="1"/>
      <c r="F446" s="3" t="s">
        <v>6725</v>
      </c>
      <c r="J446" s="4">
        <f>SUBTOTAL(9,J445:J445)</f>
        <v>0</v>
      </c>
      <c r="K446" s="4">
        <f>SUBTOTAL(9,K445:K445)</f>
        <v>1</v>
      </c>
    </row>
    <row r="447" spans="1:11" x14ac:dyDescent="0.35">
      <c r="B447" s="1"/>
      <c r="F447" s="3" t="s">
        <v>6727</v>
      </c>
      <c r="J447" s="4">
        <f>SUBTOTAL(9,J2:J445)</f>
        <v>911931550</v>
      </c>
      <c r="K447" s="4">
        <f>SUBTOTAL(9,K2:K445)</f>
        <v>911931550</v>
      </c>
    </row>
  </sheetData>
  <sortState xmlns:xlrd2="http://schemas.microsoft.com/office/spreadsheetml/2017/richdata2" ref="A2:K445">
    <sortCondition ref="F2:F445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0BBA5-AB79-498E-90F0-EC69938286E8}">
  <dimension ref="A1:K143"/>
  <sheetViews>
    <sheetView topLeftCell="A60" workbookViewId="0">
      <selection activeCell="J145" sqref="J145"/>
    </sheetView>
  </sheetViews>
  <sheetFormatPr baseColWidth="10" defaultRowHeight="14.5" outlineLevelRow="2" x14ac:dyDescent="0.35"/>
  <cols>
    <col min="10" max="11" width="17.1796875" style="4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4" t="s">
        <v>9</v>
      </c>
      <c r="K1" s="4" t="s">
        <v>10</v>
      </c>
    </row>
    <row r="2" spans="1:11" hidden="1" outlineLevel="2" x14ac:dyDescent="0.35">
      <c r="A2" t="s">
        <v>26</v>
      </c>
      <c r="B2" s="1">
        <v>45717</v>
      </c>
      <c r="C2" t="str">
        <f>"3"</f>
        <v>3</v>
      </c>
      <c r="D2" t="s">
        <v>6306</v>
      </c>
      <c r="E2" t="str">
        <f>"000971"</f>
        <v>000971</v>
      </c>
      <c r="F2" t="str">
        <f t="shared" ref="F2:F8" si="0">"23910000"</f>
        <v>23910000</v>
      </c>
      <c r="H2" t="s">
        <v>6307</v>
      </c>
      <c r="J2" s="4">
        <v>3600000</v>
      </c>
    </row>
    <row r="3" spans="1:11" hidden="1" outlineLevel="2" x14ac:dyDescent="0.35">
      <c r="A3" t="s">
        <v>26</v>
      </c>
      <c r="B3" s="1">
        <v>45717</v>
      </c>
      <c r="C3" t="str">
        <f>"12"</f>
        <v>12</v>
      </c>
      <c r="D3" t="s">
        <v>6308</v>
      </c>
      <c r="E3" t="str">
        <f>"102614"</f>
        <v>102614</v>
      </c>
      <c r="F3" t="str">
        <f t="shared" si="0"/>
        <v>23910000</v>
      </c>
      <c r="H3" t="s">
        <v>6309</v>
      </c>
      <c r="J3" s="4">
        <v>12991002</v>
      </c>
    </row>
    <row r="4" spans="1:11" hidden="1" outlineLevel="2" x14ac:dyDescent="0.35">
      <c r="A4" t="s">
        <v>26</v>
      </c>
      <c r="B4" s="1">
        <v>45726</v>
      </c>
      <c r="C4" t="str">
        <f>"6"</f>
        <v>6</v>
      </c>
      <c r="D4" t="s">
        <v>6312</v>
      </c>
      <c r="E4" t="str">
        <f>"000143"</f>
        <v>000143</v>
      </c>
      <c r="F4" t="str">
        <f t="shared" si="0"/>
        <v>23910000</v>
      </c>
      <c r="H4" t="s">
        <v>6313</v>
      </c>
      <c r="J4" s="4">
        <v>12923000</v>
      </c>
    </row>
    <row r="5" spans="1:11" hidden="1" outlineLevel="2" x14ac:dyDescent="0.35">
      <c r="A5" t="s">
        <v>26</v>
      </c>
      <c r="B5" s="1">
        <v>45726</v>
      </c>
      <c r="C5" t="str">
        <f>"7"</f>
        <v>7</v>
      </c>
      <c r="D5" t="s">
        <v>6314</v>
      </c>
      <c r="E5" t="str">
        <f>"000144"</f>
        <v>000144</v>
      </c>
      <c r="F5" t="str">
        <f t="shared" si="0"/>
        <v>23910000</v>
      </c>
      <c r="H5" t="s">
        <v>6315</v>
      </c>
      <c r="J5" s="4">
        <v>12923000</v>
      </c>
    </row>
    <row r="6" spans="1:11" hidden="1" outlineLevel="2" x14ac:dyDescent="0.35">
      <c r="A6" t="s">
        <v>26</v>
      </c>
      <c r="B6" s="1">
        <v>45740</v>
      </c>
      <c r="C6" t="str">
        <f>"9"</f>
        <v>9</v>
      </c>
      <c r="D6" t="s">
        <v>6323</v>
      </c>
      <c r="E6" t="str">
        <f>"000162"</f>
        <v>000162</v>
      </c>
      <c r="F6" t="str">
        <f t="shared" si="0"/>
        <v>23910000</v>
      </c>
      <c r="H6" t="s">
        <v>6324</v>
      </c>
      <c r="J6" s="4">
        <v>1049598</v>
      </c>
    </row>
    <row r="7" spans="1:11" hidden="1" outlineLevel="2" x14ac:dyDescent="0.35">
      <c r="A7" t="s">
        <v>26</v>
      </c>
      <c r="B7" s="1">
        <v>45740</v>
      </c>
      <c r="C7" t="str">
        <f>"10"</f>
        <v>10</v>
      </c>
      <c r="D7" t="s">
        <v>6325</v>
      </c>
      <c r="E7" t="str">
        <f>"000163"</f>
        <v>000163</v>
      </c>
      <c r="F7" t="str">
        <f t="shared" si="0"/>
        <v>23910000</v>
      </c>
      <c r="H7" t="s">
        <v>6324</v>
      </c>
      <c r="J7" s="4">
        <v>425159</v>
      </c>
    </row>
    <row r="8" spans="1:11" hidden="1" outlineLevel="2" x14ac:dyDescent="0.35">
      <c r="A8" t="s">
        <v>26</v>
      </c>
      <c r="B8" s="1">
        <v>45740</v>
      </c>
      <c r="C8" t="str">
        <f>"11"</f>
        <v>11</v>
      </c>
      <c r="D8" t="s">
        <v>6326</v>
      </c>
      <c r="E8" t="str">
        <f>"000164"</f>
        <v>000164</v>
      </c>
      <c r="F8" t="str">
        <f t="shared" si="0"/>
        <v>23910000</v>
      </c>
      <c r="H8" t="s">
        <v>6324</v>
      </c>
      <c r="J8" s="4">
        <v>2983900</v>
      </c>
    </row>
    <row r="9" spans="1:11" outlineLevel="1" collapsed="1" x14ac:dyDescent="0.35">
      <c r="A9" s="3" t="s">
        <v>6768</v>
      </c>
      <c r="B9" s="1"/>
      <c r="J9" s="4">
        <f>SUBTOTAL(9,J2:J8)</f>
        <v>46895659</v>
      </c>
      <c r="K9" s="4">
        <f>SUBTOTAL(9,K2:K8)</f>
        <v>0</v>
      </c>
    </row>
    <row r="10" spans="1:11" hidden="1" outlineLevel="2" x14ac:dyDescent="0.35">
      <c r="A10" t="s">
        <v>101</v>
      </c>
      <c r="B10" s="1">
        <v>45747</v>
      </c>
      <c r="C10" t="str">
        <f>"23"</f>
        <v>23</v>
      </c>
      <c r="E10" t="s">
        <v>116</v>
      </c>
      <c r="F10" t="str">
        <f>"28160000"</f>
        <v>28160000</v>
      </c>
      <c r="H10" t="s">
        <v>6348</v>
      </c>
      <c r="K10" s="4">
        <v>612603</v>
      </c>
    </row>
    <row r="11" spans="1:11" hidden="1" outlineLevel="2" x14ac:dyDescent="0.35">
      <c r="A11" t="s">
        <v>101</v>
      </c>
      <c r="B11" s="1">
        <v>45747</v>
      </c>
      <c r="C11" t="str">
        <f>"23"</f>
        <v>23</v>
      </c>
      <c r="E11" t="s">
        <v>116</v>
      </c>
      <c r="F11" t="str">
        <f>"28310000"</f>
        <v>28310000</v>
      </c>
      <c r="H11" t="s">
        <v>6349</v>
      </c>
      <c r="K11" s="4">
        <v>190247</v>
      </c>
    </row>
    <row r="12" spans="1:11" hidden="1" outlineLevel="2" x14ac:dyDescent="0.35">
      <c r="A12" t="s">
        <v>101</v>
      </c>
      <c r="B12" s="1">
        <v>45747</v>
      </c>
      <c r="C12" t="str">
        <f>"23"</f>
        <v>23</v>
      </c>
      <c r="E12" t="s">
        <v>116</v>
      </c>
      <c r="F12" t="str">
        <f>"28470000"</f>
        <v>28470000</v>
      </c>
      <c r="H12" t="s">
        <v>6350</v>
      </c>
      <c r="K12" s="4">
        <v>108009</v>
      </c>
    </row>
    <row r="13" spans="1:11" outlineLevel="1" collapsed="1" x14ac:dyDescent="0.35">
      <c r="A13" s="3" t="s">
        <v>6769</v>
      </c>
      <c r="B13" s="1"/>
      <c r="J13" s="4">
        <f>SUBTOTAL(9,J10:J12)</f>
        <v>0</v>
      </c>
      <c r="K13" s="4">
        <f>SUBTOTAL(9,K10:K12)</f>
        <v>910859</v>
      </c>
    </row>
    <row r="14" spans="1:11" hidden="1" outlineLevel="2" x14ac:dyDescent="0.35">
      <c r="A14" t="s">
        <v>26</v>
      </c>
      <c r="B14" s="1">
        <v>45717</v>
      </c>
      <c r="C14" t="str">
        <f>"2"</f>
        <v>2</v>
      </c>
      <c r="D14" t="s">
        <v>6303</v>
      </c>
      <c r="E14" t="s">
        <v>6304</v>
      </c>
      <c r="F14" t="str">
        <f t="shared" ref="F14:F20" si="1">"40110000"</f>
        <v>40110000</v>
      </c>
      <c r="G14" t="str">
        <f>"40110054"</f>
        <v>40110054</v>
      </c>
      <c r="H14" t="s">
        <v>6305</v>
      </c>
      <c r="I14" s="1">
        <v>45717</v>
      </c>
      <c r="K14" s="4">
        <v>4574375</v>
      </c>
    </row>
    <row r="15" spans="1:11" hidden="1" outlineLevel="2" x14ac:dyDescent="0.35">
      <c r="A15" t="s">
        <v>26</v>
      </c>
      <c r="B15" s="1">
        <v>45719</v>
      </c>
      <c r="C15" t="str">
        <f>"1"</f>
        <v>1</v>
      </c>
      <c r="D15" t="s">
        <v>6310</v>
      </c>
      <c r="E15" t="str">
        <f>"103112"</f>
        <v>103112</v>
      </c>
      <c r="F15" t="str">
        <f t="shared" si="1"/>
        <v>40110000</v>
      </c>
      <c r="G15" t="str">
        <f>"40110026"</f>
        <v>40110026</v>
      </c>
      <c r="H15" t="s">
        <v>6311</v>
      </c>
      <c r="I15" s="1">
        <v>45719</v>
      </c>
      <c r="K15" s="4">
        <v>110401</v>
      </c>
    </row>
    <row r="16" spans="1:11" hidden="1" outlineLevel="2" x14ac:dyDescent="0.35">
      <c r="A16" t="s">
        <v>26</v>
      </c>
      <c r="B16" s="1">
        <v>45726</v>
      </c>
      <c r="C16" t="str">
        <f>"14"</f>
        <v>14</v>
      </c>
      <c r="D16" t="s">
        <v>6316</v>
      </c>
      <c r="E16" t="s">
        <v>6317</v>
      </c>
      <c r="F16" t="str">
        <f t="shared" si="1"/>
        <v>40110000</v>
      </c>
      <c r="G16" t="str">
        <f>"40111070"</f>
        <v>40111070</v>
      </c>
      <c r="H16" t="s">
        <v>6318</v>
      </c>
      <c r="I16" s="1">
        <v>45726</v>
      </c>
      <c r="K16" s="4">
        <v>2950000</v>
      </c>
    </row>
    <row r="17" spans="1:11" hidden="1" outlineLevel="2" x14ac:dyDescent="0.35">
      <c r="A17" t="s">
        <v>26</v>
      </c>
      <c r="B17" s="1">
        <v>45735</v>
      </c>
      <c r="C17" t="str">
        <f>"4"</f>
        <v>4</v>
      </c>
      <c r="D17" t="s">
        <v>6319</v>
      </c>
      <c r="E17" t="str">
        <f>"0235685"</f>
        <v>0235685</v>
      </c>
      <c r="F17" t="str">
        <f t="shared" si="1"/>
        <v>40110000</v>
      </c>
      <c r="G17" t="str">
        <f>"40111022"</f>
        <v>40111022</v>
      </c>
      <c r="H17" t="s">
        <v>6320</v>
      </c>
      <c r="I17" s="1">
        <v>45735</v>
      </c>
      <c r="K17" s="4">
        <v>65000</v>
      </c>
    </row>
    <row r="18" spans="1:11" hidden="1" outlineLevel="2" x14ac:dyDescent="0.35">
      <c r="A18" t="s">
        <v>26</v>
      </c>
      <c r="B18" s="1">
        <v>45737</v>
      </c>
      <c r="C18" t="str">
        <f>"5"</f>
        <v>5</v>
      </c>
      <c r="D18" t="s">
        <v>6321</v>
      </c>
      <c r="E18" t="str">
        <f>"0235678"</f>
        <v>0235678</v>
      </c>
      <c r="F18" t="str">
        <f t="shared" si="1"/>
        <v>40110000</v>
      </c>
      <c r="G18" t="str">
        <f>"40111022"</f>
        <v>40111022</v>
      </c>
      <c r="H18" t="s">
        <v>6320</v>
      </c>
      <c r="I18" s="1">
        <v>45737</v>
      </c>
      <c r="K18" s="4">
        <v>65000</v>
      </c>
    </row>
    <row r="19" spans="1:11" hidden="1" outlineLevel="2" x14ac:dyDescent="0.35">
      <c r="A19" t="s">
        <v>26</v>
      </c>
      <c r="B19" s="1">
        <v>45737</v>
      </c>
      <c r="C19" t="str">
        <f>"8"</f>
        <v>8</v>
      </c>
      <c r="D19" t="s">
        <v>6322</v>
      </c>
      <c r="E19" t="str">
        <f>"0235683"</f>
        <v>0235683</v>
      </c>
      <c r="F19" t="str">
        <f t="shared" si="1"/>
        <v>40110000</v>
      </c>
      <c r="G19" t="str">
        <f>"40111022"</f>
        <v>40111022</v>
      </c>
      <c r="H19" t="s">
        <v>6320</v>
      </c>
      <c r="I19" s="1">
        <v>45737</v>
      </c>
      <c r="K19" s="4">
        <v>130000</v>
      </c>
    </row>
    <row r="20" spans="1:11" hidden="1" outlineLevel="2" x14ac:dyDescent="0.35">
      <c r="A20" t="s">
        <v>26</v>
      </c>
      <c r="B20" s="1">
        <v>45747</v>
      </c>
      <c r="C20" t="str">
        <f>"13"</f>
        <v>13</v>
      </c>
      <c r="D20" t="s">
        <v>6327</v>
      </c>
      <c r="E20" t="str">
        <f>"0235694"</f>
        <v>0235694</v>
      </c>
      <c r="F20" t="str">
        <f t="shared" si="1"/>
        <v>40110000</v>
      </c>
      <c r="G20" t="str">
        <f>"40111022"</f>
        <v>40111022</v>
      </c>
      <c r="H20" t="s">
        <v>6328</v>
      </c>
      <c r="I20" s="1">
        <v>45747</v>
      </c>
      <c r="K20" s="4">
        <v>130000</v>
      </c>
    </row>
    <row r="21" spans="1:11" outlineLevel="1" collapsed="1" x14ac:dyDescent="0.35">
      <c r="A21" s="3" t="s">
        <v>6768</v>
      </c>
      <c r="B21" s="1"/>
      <c r="I21" s="1"/>
      <c r="J21" s="4">
        <f>SUBTOTAL(9,J14:J20)</f>
        <v>0</v>
      </c>
      <c r="K21" s="4">
        <f>SUBTOTAL(9,K14:K20)</f>
        <v>8024776</v>
      </c>
    </row>
    <row r="22" spans="1:11" hidden="1" outlineLevel="2" x14ac:dyDescent="0.35">
      <c r="A22" t="s">
        <v>75</v>
      </c>
      <c r="B22" s="1">
        <v>45727</v>
      </c>
      <c r="C22" t="str">
        <f>"2"</f>
        <v>2</v>
      </c>
      <c r="F22" t="str">
        <f>"40110000"</f>
        <v>40110000</v>
      </c>
      <c r="G22" t="str">
        <f>"40111022"</f>
        <v>40111022</v>
      </c>
      <c r="H22" t="s">
        <v>6341</v>
      </c>
      <c r="I22" s="1">
        <v>45727</v>
      </c>
      <c r="J22" s="4">
        <v>130000</v>
      </c>
    </row>
    <row r="23" spans="1:11" hidden="1" outlineLevel="2" x14ac:dyDescent="0.35">
      <c r="A23" t="s">
        <v>75</v>
      </c>
      <c r="B23" s="1">
        <v>45727</v>
      </c>
      <c r="C23" t="str">
        <f>"3"</f>
        <v>3</v>
      </c>
      <c r="F23" t="str">
        <f>"40110000"</f>
        <v>40110000</v>
      </c>
      <c r="G23" t="str">
        <f>"40111022"</f>
        <v>40111022</v>
      </c>
      <c r="H23" t="s">
        <v>6341</v>
      </c>
      <c r="I23" s="1">
        <v>45727</v>
      </c>
      <c r="J23" s="4">
        <v>65000</v>
      </c>
    </row>
    <row r="24" spans="1:11" outlineLevel="1" collapsed="1" x14ac:dyDescent="0.35">
      <c r="A24" s="3" t="s">
        <v>6770</v>
      </c>
      <c r="B24" s="1"/>
      <c r="I24" s="1"/>
      <c r="J24" s="4">
        <f>SUBTOTAL(9,J22:J23)</f>
        <v>195000</v>
      </c>
      <c r="K24" s="4">
        <f>SUBTOTAL(9,K22:K23)</f>
        <v>0</v>
      </c>
    </row>
    <row r="25" spans="1:11" hidden="1" outlineLevel="2" x14ac:dyDescent="0.35">
      <c r="A25" t="s">
        <v>101</v>
      </c>
      <c r="B25" s="1">
        <v>45717</v>
      </c>
      <c r="C25" t="str">
        <f>"19"</f>
        <v>19</v>
      </c>
      <c r="F25" t="str">
        <f>"40810000"</f>
        <v>40810000</v>
      </c>
      <c r="H25" t="s">
        <v>6343</v>
      </c>
      <c r="I25" s="1">
        <v>45657</v>
      </c>
      <c r="J25" s="4">
        <v>2500000</v>
      </c>
    </row>
    <row r="26" spans="1:11" hidden="1" outlineLevel="2" x14ac:dyDescent="0.35">
      <c r="A26" t="s">
        <v>101</v>
      </c>
      <c r="B26" s="1">
        <v>45747</v>
      </c>
      <c r="C26" t="str">
        <f>"26"</f>
        <v>26</v>
      </c>
      <c r="F26" t="str">
        <f>"40810000"</f>
        <v>40810000</v>
      </c>
      <c r="G26" t="str">
        <f>"40110027"</f>
        <v>40110027</v>
      </c>
      <c r="H26" t="s">
        <v>6354</v>
      </c>
      <c r="I26" s="1">
        <v>45747</v>
      </c>
      <c r="K26" s="4">
        <v>2392330</v>
      </c>
    </row>
    <row r="27" spans="1:11" outlineLevel="1" collapsed="1" x14ac:dyDescent="0.35">
      <c r="A27" s="3" t="s">
        <v>6769</v>
      </c>
      <c r="B27" s="1"/>
      <c r="I27" s="1"/>
      <c r="J27" s="4">
        <f>SUBTOTAL(9,J25:J26)</f>
        <v>2500000</v>
      </c>
      <c r="K27" s="4">
        <f>SUBTOTAL(9,K25:K26)</f>
        <v>2392330</v>
      </c>
    </row>
    <row r="28" spans="1:11" hidden="1" outlineLevel="2" x14ac:dyDescent="0.35">
      <c r="A28" t="s">
        <v>131</v>
      </c>
      <c r="B28" s="1">
        <v>45737</v>
      </c>
      <c r="C28" t="str">
        <f>"1"</f>
        <v>1</v>
      </c>
      <c r="D28" t="str">
        <f>"000103"</f>
        <v>000103</v>
      </c>
      <c r="E28" t="str">
        <f>"000103"</f>
        <v>000103</v>
      </c>
      <c r="F28" t="str">
        <f>"41110000"</f>
        <v>41110000</v>
      </c>
      <c r="G28" t="s">
        <v>6355</v>
      </c>
      <c r="H28" t="s">
        <v>6356</v>
      </c>
      <c r="I28" s="1">
        <v>45737</v>
      </c>
      <c r="J28" s="4">
        <v>178649286</v>
      </c>
    </row>
    <row r="29" spans="1:11" hidden="1" outlineLevel="2" x14ac:dyDescent="0.35">
      <c r="A29" t="s">
        <v>131</v>
      </c>
      <c r="B29" s="1">
        <v>45737</v>
      </c>
      <c r="C29" t="str">
        <f>"2"</f>
        <v>2</v>
      </c>
      <c r="D29" t="str">
        <f>"000100"</f>
        <v>000100</v>
      </c>
      <c r="E29" t="str">
        <f>"000100"</f>
        <v>000100</v>
      </c>
      <c r="F29" t="str">
        <f>"41110000"</f>
        <v>41110000</v>
      </c>
      <c r="G29" t="s">
        <v>6357</v>
      </c>
      <c r="H29" t="s">
        <v>6358</v>
      </c>
      <c r="I29" s="1">
        <v>45737</v>
      </c>
      <c r="J29" s="4">
        <v>186115146</v>
      </c>
    </row>
    <row r="30" spans="1:11" outlineLevel="1" collapsed="1" x14ac:dyDescent="0.35">
      <c r="A30" s="3" t="s">
        <v>6771</v>
      </c>
      <c r="B30" s="1"/>
      <c r="I30" s="1"/>
      <c r="J30" s="4">
        <f>SUBTOTAL(9,J28:J29)</f>
        <v>364764432</v>
      </c>
      <c r="K30" s="4">
        <f>SUBTOTAL(9,K28:K29)</f>
        <v>0</v>
      </c>
    </row>
    <row r="31" spans="1:11" hidden="1" outlineLevel="2" x14ac:dyDescent="0.35">
      <c r="A31" t="s">
        <v>101</v>
      </c>
      <c r="B31" s="1">
        <v>45717</v>
      </c>
      <c r="C31" t="str">
        <f>"24"</f>
        <v>24</v>
      </c>
      <c r="F31" t="str">
        <f>"41810000"</f>
        <v>41810000</v>
      </c>
      <c r="G31" t="str">
        <f>"41110000"</f>
        <v>41110000</v>
      </c>
      <c r="H31" t="s">
        <v>6345</v>
      </c>
      <c r="I31" s="1">
        <v>45716</v>
      </c>
      <c r="K31" s="4">
        <v>-150239216</v>
      </c>
    </row>
    <row r="32" spans="1:11" hidden="1" outlineLevel="2" x14ac:dyDescent="0.35">
      <c r="A32" t="s">
        <v>101</v>
      </c>
      <c r="B32" s="1">
        <v>45747</v>
      </c>
      <c r="C32" t="str">
        <f>"25"</f>
        <v>25</v>
      </c>
      <c r="F32" t="str">
        <f>"41810000"</f>
        <v>41810000</v>
      </c>
      <c r="G32" t="str">
        <f>"41110000"</f>
        <v>41110000</v>
      </c>
      <c r="H32" t="s">
        <v>6353</v>
      </c>
      <c r="I32" s="1">
        <v>45747</v>
      </c>
      <c r="J32" s="4">
        <v>-294581149</v>
      </c>
    </row>
    <row r="33" spans="1:11" outlineLevel="1" collapsed="1" x14ac:dyDescent="0.35">
      <c r="A33" s="3" t="s">
        <v>6769</v>
      </c>
      <c r="B33" s="1"/>
      <c r="I33" s="1"/>
      <c r="J33" s="4">
        <f>SUBTOTAL(9,J31:J32)</f>
        <v>-294581149</v>
      </c>
      <c r="K33" s="4">
        <f>SUBTOTAL(9,K31:K32)</f>
        <v>-150239216</v>
      </c>
    </row>
    <row r="34" spans="1:11" hidden="1" outlineLevel="2" x14ac:dyDescent="0.35">
      <c r="A34" t="s">
        <v>6329</v>
      </c>
      <c r="B34" s="1">
        <v>45717</v>
      </c>
      <c r="C34" t="str">
        <f>"12"</f>
        <v>12</v>
      </c>
      <c r="F34" t="str">
        <f>"44210100"</f>
        <v>44210100</v>
      </c>
      <c r="H34" t="s">
        <v>6330</v>
      </c>
      <c r="K34" s="4">
        <v>25000000</v>
      </c>
    </row>
    <row r="35" spans="1:11" hidden="1" outlineLevel="2" x14ac:dyDescent="0.35">
      <c r="A35" t="s">
        <v>6329</v>
      </c>
      <c r="B35" s="1">
        <v>45717</v>
      </c>
      <c r="C35" t="str">
        <f>"12"</f>
        <v>12</v>
      </c>
      <c r="F35" t="str">
        <f>"44210100"</f>
        <v>44210100</v>
      </c>
      <c r="H35" t="s">
        <v>6331</v>
      </c>
      <c r="K35" s="4">
        <v>25000000</v>
      </c>
    </row>
    <row r="36" spans="1:11" hidden="1" outlineLevel="2" x14ac:dyDescent="0.35">
      <c r="A36" t="s">
        <v>6329</v>
      </c>
      <c r="B36" s="1">
        <v>45747</v>
      </c>
      <c r="C36" t="str">
        <f>"2"</f>
        <v>2</v>
      </c>
      <c r="F36" t="str">
        <f>"44210100"</f>
        <v>44210100</v>
      </c>
      <c r="H36" t="s">
        <v>6335</v>
      </c>
      <c r="J36" s="4">
        <v>25000000</v>
      </c>
    </row>
    <row r="37" spans="1:11" hidden="1" outlineLevel="2" x14ac:dyDescent="0.35">
      <c r="A37" t="s">
        <v>6329</v>
      </c>
      <c r="B37" s="1">
        <v>45747</v>
      </c>
      <c r="C37" t="str">
        <f>"13"</f>
        <v>13</v>
      </c>
      <c r="F37" t="str">
        <f>"44210100"</f>
        <v>44210100</v>
      </c>
      <c r="H37" t="s">
        <v>6336</v>
      </c>
      <c r="K37" s="4">
        <v>25000000</v>
      </c>
    </row>
    <row r="38" spans="1:11" hidden="1" outlineLevel="2" x14ac:dyDescent="0.35">
      <c r="A38" t="s">
        <v>6329</v>
      </c>
      <c r="B38" s="1">
        <v>45747</v>
      </c>
      <c r="C38" t="str">
        <f>"15"</f>
        <v>15</v>
      </c>
      <c r="F38" t="str">
        <f>"44210100"</f>
        <v>44210100</v>
      </c>
      <c r="H38" t="s">
        <v>6337</v>
      </c>
      <c r="J38" s="4">
        <v>43169525</v>
      </c>
    </row>
    <row r="39" spans="1:11" outlineLevel="1" collapsed="1" x14ac:dyDescent="0.35">
      <c r="A39" s="3" t="s">
        <v>6772</v>
      </c>
      <c r="B39" s="1"/>
      <c r="J39" s="4">
        <f>SUBTOTAL(9,J34:J38)</f>
        <v>68169525</v>
      </c>
      <c r="K39" s="4">
        <f>SUBTOTAL(9,K34:K38)</f>
        <v>75000000</v>
      </c>
    </row>
    <row r="40" spans="1:11" hidden="1" outlineLevel="2" x14ac:dyDescent="0.35">
      <c r="A40" t="s">
        <v>101</v>
      </c>
      <c r="B40" s="1">
        <v>45717</v>
      </c>
      <c r="C40" t="str">
        <f>"22"</f>
        <v>22</v>
      </c>
      <c r="F40" t="str">
        <f>"44210100"</f>
        <v>44210100</v>
      </c>
      <c r="H40" t="s">
        <v>6344</v>
      </c>
      <c r="K40" s="4">
        <v>86339050</v>
      </c>
    </row>
    <row r="41" spans="1:11" outlineLevel="1" collapsed="1" x14ac:dyDescent="0.35">
      <c r="A41" s="3" t="s">
        <v>6769</v>
      </c>
      <c r="B41" s="1"/>
      <c r="J41" s="4">
        <f>SUBTOTAL(9,J40:J40)</f>
        <v>0</v>
      </c>
      <c r="K41" s="4">
        <f>SUBTOTAL(9,K40:K40)</f>
        <v>86339050</v>
      </c>
    </row>
    <row r="42" spans="1:11" hidden="1" outlineLevel="2" x14ac:dyDescent="0.35">
      <c r="A42" t="s">
        <v>131</v>
      </c>
      <c r="B42" s="1">
        <v>45737</v>
      </c>
      <c r="C42" t="str">
        <f>"1"</f>
        <v>1</v>
      </c>
      <c r="D42" t="str">
        <f>"000103"</f>
        <v>000103</v>
      </c>
      <c r="E42" t="str">
        <f>"000103"</f>
        <v>000103</v>
      </c>
      <c r="F42" t="str">
        <f>"44320000"</f>
        <v>44320000</v>
      </c>
      <c r="H42" t="s">
        <v>6356</v>
      </c>
      <c r="K42" s="4">
        <v>27251586</v>
      </c>
    </row>
    <row r="43" spans="1:11" hidden="1" outlineLevel="2" x14ac:dyDescent="0.35">
      <c r="A43" t="s">
        <v>131</v>
      </c>
      <c r="B43" s="1">
        <v>45737</v>
      </c>
      <c r="C43" t="str">
        <f>"2"</f>
        <v>2</v>
      </c>
      <c r="D43" t="str">
        <f>"000100"</f>
        <v>000100</v>
      </c>
      <c r="E43" t="str">
        <f>"000100"</f>
        <v>000100</v>
      </c>
      <c r="F43" t="str">
        <f>"44320000"</f>
        <v>44320000</v>
      </c>
      <c r="H43" t="s">
        <v>6358</v>
      </c>
      <c r="K43" s="4">
        <v>28390446</v>
      </c>
    </row>
    <row r="44" spans="1:11" outlineLevel="1" collapsed="1" x14ac:dyDescent="0.35">
      <c r="A44" s="3" t="s">
        <v>6771</v>
      </c>
      <c r="B44" s="1"/>
      <c r="J44" s="4">
        <f>SUBTOTAL(9,J42:J43)</f>
        <v>0</v>
      </c>
      <c r="K44" s="4">
        <f>SUBTOTAL(9,K42:K43)</f>
        <v>55642032</v>
      </c>
    </row>
    <row r="45" spans="1:11" hidden="1" outlineLevel="2" x14ac:dyDescent="0.35">
      <c r="A45" t="s">
        <v>101</v>
      </c>
      <c r="B45" s="1">
        <v>45747</v>
      </c>
      <c r="C45" t="str">
        <f>"20"</f>
        <v>20</v>
      </c>
      <c r="F45" t="str">
        <f>"44490000"</f>
        <v>44490000</v>
      </c>
      <c r="H45" t="s">
        <v>120</v>
      </c>
      <c r="K45" s="4">
        <v>793377786</v>
      </c>
    </row>
    <row r="46" spans="1:11" hidden="1" outlineLevel="2" x14ac:dyDescent="0.35">
      <c r="A46" t="s">
        <v>101</v>
      </c>
      <c r="B46" s="1">
        <v>45747</v>
      </c>
      <c r="C46" t="str">
        <f>"20"</f>
        <v>20</v>
      </c>
      <c r="F46" t="str">
        <f>"44490000"</f>
        <v>44490000</v>
      </c>
      <c r="H46" t="s">
        <v>120</v>
      </c>
      <c r="J46" s="4">
        <v>802285847</v>
      </c>
    </row>
    <row r="47" spans="1:11" outlineLevel="1" collapsed="1" x14ac:dyDescent="0.35">
      <c r="A47" s="3" t="s">
        <v>6769</v>
      </c>
      <c r="B47" s="1"/>
      <c r="J47" s="4">
        <f>SUBTOTAL(9,J45:J46)</f>
        <v>802285847</v>
      </c>
      <c r="K47" s="4">
        <f>SUBTOTAL(9,K45:K46)</f>
        <v>793377786</v>
      </c>
    </row>
    <row r="48" spans="1:11" hidden="1" outlineLevel="2" x14ac:dyDescent="0.35">
      <c r="A48" t="s">
        <v>26</v>
      </c>
      <c r="B48" s="1">
        <v>45717</v>
      </c>
      <c r="C48" t="str">
        <f>"3"</f>
        <v>3</v>
      </c>
      <c r="D48" t="s">
        <v>6306</v>
      </c>
      <c r="E48" t="str">
        <f>"000971"</f>
        <v>000971</v>
      </c>
      <c r="F48" t="str">
        <f t="shared" ref="F48:F54" si="2">"44510000"</f>
        <v>44510000</v>
      </c>
      <c r="H48" t="s">
        <v>6307</v>
      </c>
      <c r="J48" s="4">
        <v>648000</v>
      </c>
    </row>
    <row r="49" spans="1:11" hidden="1" outlineLevel="2" x14ac:dyDescent="0.35">
      <c r="A49" t="s">
        <v>26</v>
      </c>
      <c r="B49" s="1">
        <v>45717</v>
      </c>
      <c r="C49" t="str">
        <f>"12"</f>
        <v>12</v>
      </c>
      <c r="D49" t="s">
        <v>6308</v>
      </c>
      <c r="E49" t="str">
        <f>"102614"</f>
        <v>102614</v>
      </c>
      <c r="F49" t="str">
        <f t="shared" si="2"/>
        <v>44510000</v>
      </c>
      <c r="H49" t="s">
        <v>6309</v>
      </c>
      <c r="J49" s="4">
        <v>2338380</v>
      </c>
    </row>
    <row r="50" spans="1:11" hidden="1" outlineLevel="2" x14ac:dyDescent="0.35">
      <c r="A50" t="s">
        <v>26</v>
      </c>
      <c r="B50" s="1">
        <v>45726</v>
      </c>
      <c r="C50" t="str">
        <f>"6"</f>
        <v>6</v>
      </c>
      <c r="D50" t="s">
        <v>6312</v>
      </c>
      <c r="E50" t="str">
        <f>"000143"</f>
        <v>000143</v>
      </c>
      <c r="F50" t="str">
        <f t="shared" si="2"/>
        <v>44510000</v>
      </c>
      <c r="H50" t="s">
        <v>6313</v>
      </c>
      <c r="J50" s="4">
        <v>2326140</v>
      </c>
    </row>
    <row r="51" spans="1:11" hidden="1" outlineLevel="2" x14ac:dyDescent="0.35">
      <c r="A51" t="s">
        <v>26</v>
      </c>
      <c r="B51" s="1">
        <v>45726</v>
      </c>
      <c r="C51" t="str">
        <f>"7"</f>
        <v>7</v>
      </c>
      <c r="D51" t="s">
        <v>6314</v>
      </c>
      <c r="E51" t="str">
        <f>"000144"</f>
        <v>000144</v>
      </c>
      <c r="F51" t="str">
        <f t="shared" si="2"/>
        <v>44510000</v>
      </c>
      <c r="H51" t="s">
        <v>6315</v>
      </c>
      <c r="J51" s="4">
        <v>2326140</v>
      </c>
    </row>
    <row r="52" spans="1:11" hidden="1" outlineLevel="2" x14ac:dyDescent="0.35">
      <c r="A52" t="s">
        <v>26</v>
      </c>
      <c r="B52" s="1">
        <v>45740</v>
      </c>
      <c r="C52" t="str">
        <f>"9"</f>
        <v>9</v>
      </c>
      <c r="D52" t="s">
        <v>6323</v>
      </c>
      <c r="E52" t="str">
        <f>"000162"</f>
        <v>000162</v>
      </c>
      <c r="F52" t="str">
        <f t="shared" si="2"/>
        <v>44510000</v>
      </c>
      <c r="H52" t="s">
        <v>6324</v>
      </c>
      <c r="J52" s="4">
        <v>188929</v>
      </c>
    </row>
    <row r="53" spans="1:11" hidden="1" outlineLevel="2" x14ac:dyDescent="0.35">
      <c r="A53" t="s">
        <v>26</v>
      </c>
      <c r="B53" s="1">
        <v>45740</v>
      </c>
      <c r="C53" t="str">
        <f>"10"</f>
        <v>10</v>
      </c>
      <c r="D53" t="s">
        <v>6325</v>
      </c>
      <c r="E53" t="str">
        <f>"000163"</f>
        <v>000163</v>
      </c>
      <c r="F53" t="str">
        <f t="shared" si="2"/>
        <v>44510000</v>
      </c>
      <c r="H53" t="s">
        <v>6324</v>
      </c>
      <c r="J53" s="4">
        <v>76529</v>
      </c>
    </row>
    <row r="54" spans="1:11" hidden="1" outlineLevel="2" x14ac:dyDescent="0.35">
      <c r="A54" t="s">
        <v>26</v>
      </c>
      <c r="B54" s="1">
        <v>45740</v>
      </c>
      <c r="C54" t="str">
        <f>"11"</f>
        <v>11</v>
      </c>
      <c r="D54" t="s">
        <v>6326</v>
      </c>
      <c r="E54" t="str">
        <f>"000164"</f>
        <v>000164</v>
      </c>
      <c r="F54" t="str">
        <f t="shared" si="2"/>
        <v>44510000</v>
      </c>
      <c r="H54" t="s">
        <v>6324</v>
      </c>
      <c r="J54" s="4">
        <v>537102</v>
      </c>
    </row>
    <row r="55" spans="1:11" outlineLevel="1" collapsed="1" x14ac:dyDescent="0.35">
      <c r="A55" s="3" t="s">
        <v>6768</v>
      </c>
      <c r="B55" s="1"/>
      <c r="J55" s="4">
        <f>SUBTOTAL(9,J48:J54)</f>
        <v>8441220</v>
      </c>
      <c r="K55" s="4">
        <f>SUBTOTAL(9,K48:K54)</f>
        <v>0</v>
      </c>
    </row>
    <row r="56" spans="1:11" hidden="1" outlineLevel="2" x14ac:dyDescent="0.35">
      <c r="A56" t="s">
        <v>101</v>
      </c>
      <c r="B56" s="1">
        <v>45747</v>
      </c>
      <c r="C56" t="str">
        <f>"20"</f>
        <v>20</v>
      </c>
      <c r="F56" t="str">
        <f>"44510000"</f>
        <v>44510000</v>
      </c>
      <c r="H56" t="s">
        <v>120</v>
      </c>
      <c r="K56" s="4">
        <v>8441220</v>
      </c>
    </row>
    <row r="57" spans="1:11" outlineLevel="1" collapsed="1" x14ac:dyDescent="0.35">
      <c r="A57" s="3" t="s">
        <v>6769</v>
      </c>
      <c r="B57" s="1"/>
      <c r="J57" s="4">
        <f>SUBTOTAL(9,J56:J56)</f>
        <v>0</v>
      </c>
      <c r="K57" s="4">
        <f>SUBTOTAL(9,K56:K56)</f>
        <v>8441220</v>
      </c>
    </row>
    <row r="58" spans="1:11" hidden="1" outlineLevel="2" x14ac:dyDescent="0.35">
      <c r="A58" t="s">
        <v>26</v>
      </c>
      <c r="B58" s="1">
        <v>45719</v>
      </c>
      <c r="C58" t="str">
        <f>"1"</f>
        <v>1</v>
      </c>
      <c r="D58" t="s">
        <v>6310</v>
      </c>
      <c r="E58" t="str">
        <f>"103112"</f>
        <v>103112</v>
      </c>
      <c r="F58" t="str">
        <f>"44540000"</f>
        <v>44540000</v>
      </c>
      <c r="H58" t="s">
        <v>6311</v>
      </c>
      <c r="J58" s="4">
        <v>16841</v>
      </c>
    </row>
    <row r="59" spans="1:11" hidden="1" outlineLevel="2" x14ac:dyDescent="0.35">
      <c r="A59" t="s">
        <v>26</v>
      </c>
      <c r="B59" s="1">
        <v>45726</v>
      </c>
      <c r="C59" t="str">
        <f>"14"</f>
        <v>14</v>
      </c>
      <c r="D59" t="s">
        <v>6316</v>
      </c>
      <c r="E59" t="s">
        <v>6317</v>
      </c>
      <c r="F59" t="str">
        <f>"44540000"</f>
        <v>44540000</v>
      </c>
      <c r="H59" t="s">
        <v>6318</v>
      </c>
      <c r="J59" s="4">
        <v>450000</v>
      </c>
    </row>
    <row r="60" spans="1:11" outlineLevel="1" collapsed="1" x14ac:dyDescent="0.35">
      <c r="A60" s="3" t="s">
        <v>6768</v>
      </c>
      <c r="B60" s="1"/>
      <c r="J60" s="4">
        <f>SUBTOTAL(9,J58:J59)</f>
        <v>466841</v>
      </c>
      <c r="K60" s="4">
        <f>SUBTOTAL(9,K58:K59)</f>
        <v>0</v>
      </c>
    </row>
    <row r="61" spans="1:11" hidden="1" outlineLevel="2" x14ac:dyDescent="0.35">
      <c r="A61" t="s">
        <v>101</v>
      </c>
      <c r="B61" s="1">
        <v>45747</v>
      </c>
      <c r="C61" t="str">
        <f>"20"</f>
        <v>20</v>
      </c>
      <c r="F61" t="str">
        <f>"44540000"</f>
        <v>44540000</v>
      </c>
      <c r="H61" t="s">
        <v>120</v>
      </c>
      <c r="K61" s="4">
        <v>466841</v>
      </c>
    </row>
    <row r="62" spans="1:11" outlineLevel="1" collapsed="1" x14ac:dyDescent="0.35">
      <c r="A62" s="3" t="s">
        <v>6769</v>
      </c>
      <c r="B62" s="1"/>
      <c r="J62" s="4">
        <f>SUBTOTAL(9,J61:J61)</f>
        <v>0</v>
      </c>
      <c r="K62" s="4">
        <f>SUBTOTAL(9,K61:K61)</f>
        <v>466841</v>
      </c>
    </row>
    <row r="63" spans="1:11" hidden="1" outlineLevel="2" x14ac:dyDescent="0.35">
      <c r="A63" t="s">
        <v>6329</v>
      </c>
      <c r="B63" s="1">
        <v>45734</v>
      </c>
      <c r="C63" t="str">
        <f>"14"</f>
        <v>14</v>
      </c>
      <c r="F63" t="str">
        <f>"44920100"</f>
        <v>44920100</v>
      </c>
      <c r="H63" t="s">
        <v>6334</v>
      </c>
      <c r="J63" s="4">
        <v>146200</v>
      </c>
    </row>
    <row r="64" spans="1:11" outlineLevel="1" collapsed="1" x14ac:dyDescent="0.35">
      <c r="A64" s="3" t="s">
        <v>6772</v>
      </c>
      <c r="B64" s="1"/>
      <c r="J64" s="4">
        <f>SUBTOTAL(9,J63:J63)</f>
        <v>146200</v>
      </c>
      <c r="K64" s="4">
        <f>SUBTOTAL(9,K63:K63)</f>
        <v>0</v>
      </c>
    </row>
    <row r="65" spans="1:11" hidden="1" outlineLevel="2" x14ac:dyDescent="0.35">
      <c r="A65" t="s">
        <v>75</v>
      </c>
      <c r="B65" s="1">
        <v>45727</v>
      </c>
      <c r="C65" t="str">
        <f>"2"</f>
        <v>2</v>
      </c>
      <c r="F65" t="str">
        <f>"44920100"</f>
        <v>44920100</v>
      </c>
      <c r="H65" t="s">
        <v>6341</v>
      </c>
      <c r="K65" s="4">
        <v>2600</v>
      </c>
    </row>
    <row r="66" spans="1:11" hidden="1" outlineLevel="2" x14ac:dyDescent="0.35">
      <c r="A66" t="s">
        <v>75</v>
      </c>
      <c r="B66" s="1">
        <v>45727</v>
      </c>
      <c r="C66" t="str">
        <f>"3"</f>
        <v>3</v>
      </c>
      <c r="F66" t="str">
        <f>"44920100"</f>
        <v>44920100</v>
      </c>
      <c r="H66" t="s">
        <v>6341</v>
      </c>
      <c r="K66" s="4">
        <v>1300</v>
      </c>
    </row>
    <row r="67" spans="1:11" hidden="1" outlineLevel="2" x14ac:dyDescent="0.35">
      <c r="A67" t="s">
        <v>75</v>
      </c>
      <c r="B67" s="1">
        <v>45727</v>
      </c>
      <c r="C67" t="str">
        <f>"1"</f>
        <v>1</v>
      </c>
      <c r="D67" t="s">
        <v>6338</v>
      </c>
      <c r="E67" t="s">
        <v>6339</v>
      </c>
      <c r="F67" t="str">
        <f>"47120500"</f>
        <v>47120500</v>
      </c>
      <c r="H67" t="s">
        <v>6340</v>
      </c>
      <c r="K67" s="4">
        <v>1500000</v>
      </c>
    </row>
    <row r="68" spans="1:11" hidden="1" outlineLevel="2" x14ac:dyDescent="0.35">
      <c r="A68" t="s">
        <v>75</v>
      </c>
      <c r="B68" s="1">
        <v>45727</v>
      </c>
      <c r="C68" t="str">
        <f>"2"</f>
        <v>2</v>
      </c>
      <c r="F68" t="str">
        <f>"47120500"</f>
        <v>47120500</v>
      </c>
      <c r="H68" t="s">
        <v>6341</v>
      </c>
      <c r="K68" s="4">
        <v>127400</v>
      </c>
    </row>
    <row r="69" spans="1:11" hidden="1" outlineLevel="2" x14ac:dyDescent="0.35">
      <c r="A69" t="s">
        <v>75</v>
      </c>
      <c r="B69" s="1">
        <v>45727</v>
      </c>
      <c r="C69" t="str">
        <f>"3"</f>
        <v>3</v>
      </c>
      <c r="F69" t="str">
        <f>"47120500"</f>
        <v>47120500</v>
      </c>
      <c r="H69" t="s">
        <v>6341</v>
      </c>
      <c r="K69" s="4">
        <v>63700</v>
      </c>
    </row>
    <row r="70" spans="1:11" hidden="1" outlineLevel="2" x14ac:dyDescent="0.35">
      <c r="A70" t="s">
        <v>75</v>
      </c>
      <c r="B70" s="1">
        <v>45742</v>
      </c>
      <c r="C70" t="str">
        <f>"4"</f>
        <v>4</v>
      </c>
      <c r="F70" t="str">
        <f>"47120500"</f>
        <v>47120500</v>
      </c>
      <c r="H70" t="s">
        <v>6342</v>
      </c>
      <c r="K70" s="4">
        <v>18900</v>
      </c>
    </row>
    <row r="71" spans="1:11" outlineLevel="1" collapsed="1" x14ac:dyDescent="0.35">
      <c r="A71" s="3" t="s">
        <v>6770</v>
      </c>
      <c r="B71" s="1"/>
      <c r="J71" s="4">
        <f>SUBTOTAL(9,J65:J70)</f>
        <v>0</v>
      </c>
      <c r="K71" s="4">
        <f>SUBTOTAL(9,K65:K70)</f>
        <v>1713900</v>
      </c>
    </row>
    <row r="72" spans="1:11" hidden="1" outlineLevel="2" x14ac:dyDescent="0.35">
      <c r="A72" t="s">
        <v>11</v>
      </c>
      <c r="B72" s="1">
        <v>45718</v>
      </c>
      <c r="C72" t="str">
        <f>"28"</f>
        <v>28</v>
      </c>
      <c r="E72" t="s">
        <v>24</v>
      </c>
      <c r="F72" t="str">
        <f>"47460000"</f>
        <v>47460000</v>
      </c>
      <c r="H72" t="s">
        <v>25</v>
      </c>
      <c r="K72" s="4">
        <v>208333</v>
      </c>
    </row>
    <row r="73" spans="1:11" hidden="1" outlineLevel="2" x14ac:dyDescent="0.35">
      <c r="A73" t="s">
        <v>11</v>
      </c>
      <c r="B73" s="1">
        <v>45717</v>
      </c>
      <c r="C73" t="str">
        <f>"26"</f>
        <v>26</v>
      </c>
      <c r="E73" t="s">
        <v>6300</v>
      </c>
      <c r="F73" t="str">
        <f>"47461000"</f>
        <v>47461000</v>
      </c>
      <c r="H73" t="s">
        <v>6301</v>
      </c>
      <c r="K73" s="4">
        <v>19022538</v>
      </c>
    </row>
    <row r="74" spans="1:11" hidden="1" outlineLevel="2" x14ac:dyDescent="0.35">
      <c r="A74" t="s">
        <v>11</v>
      </c>
      <c r="B74" s="1">
        <v>45717</v>
      </c>
      <c r="C74" t="str">
        <f>"24"</f>
        <v>24</v>
      </c>
      <c r="E74" t="s">
        <v>12</v>
      </c>
      <c r="F74" t="str">
        <f>"47600000"</f>
        <v>47600000</v>
      </c>
      <c r="H74" t="s">
        <v>6298</v>
      </c>
      <c r="K74" s="4">
        <v>1266747</v>
      </c>
    </row>
    <row r="75" spans="1:11" hidden="1" outlineLevel="2" x14ac:dyDescent="0.35">
      <c r="A75" t="s">
        <v>11</v>
      </c>
      <c r="B75" s="1">
        <v>45717</v>
      </c>
      <c r="C75" t="str">
        <f>"25"</f>
        <v>25</v>
      </c>
      <c r="F75" t="str">
        <f>"47600000"</f>
        <v>47600000</v>
      </c>
      <c r="H75" t="s">
        <v>6299</v>
      </c>
      <c r="K75" s="4">
        <v>30000000</v>
      </c>
    </row>
    <row r="76" spans="1:11" hidden="1" outlineLevel="2" x14ac:dyDescent="0.35">
      <c r="A76" t="s">
        <v>11</v>
      </c>
      <c r="B76" s="1">
        <v>45717</v>
      </c>
      <c r="C76" t="str">
        <f>"27"</f>
        <v>27</v>
      </c>
      <c r="F76" t="str">
        <f>"47600000"</f>
        <v>47600000</v>
      </c>
      <c r="H76" t="s">
        <v>6302</v>
      </c>
      <c r="K76" s="4">
        <v>457438</v>
      </c>
    </row>
    <row r="77" spans="1:11" outlineLevel="1" collapsed="1" x14ac:dyDescent="0.35">
      <c r="A77" s="3" t="s">
        <v>6773</v>
      </c>
      <c r="B77" s="1"/>
      <c r="J77" s="4">
        <f>SUBTOTAL(9,J72:J76)</f>
        <v>0</v>
      </c>
      <c r="K77" s="4">
        <f>SUBTOTAL(9,K72:K76)</f>
        <v>50955056</v>
      </c>
    </row>
    <row r="78" spans="1:11" hidden="1" outlineLevel="2" x14ac:dyDescent="0.35">
      <c r="A78" t="s">
        <v>26</v>
      </c>
      <c r="B78" s="1">
        <v>45717</v>
      </c>
      <c r="C78" t="str">
        <f>"2"</f>
        <v>2</v>
      </c>
      <c r="D78" t="s">
        <v>6303</v>
      </c>
      <c r="E78" t="s">
        <v>6304</v>
      </c>
      <c r="F78" t="str">
        <f>"47600000"</f>
        <v>47600000</v>
      </c>
      <c r="H78" t="s">
        <v>6305</v>
      </c>
      <c r="J78" s="4">
        <v>4574375</v>
      </c>
    </row>
    <row r="79" spans="1:11" outlineLevel="1" collapsed="1" x14ac:dyDescent="0.35">
      <c r="A79" s="3" t="s">
        <v>6768</v>
      </c>
      <c r="B79" s="1"/>
      <c r="J79" s="4">
        <f>SUBTOTAL(9,J78:J78)</f>
        <v>4574375</v>
      </c>
      <c r="K79" s="4">
        <f>SUBTOTAL(9,K78:K78)</f>
        <v>0</v>
      </c>
    </row>
    <row r="80" spans="1:11" hidden="1" outlineLevel="2" x14ac:dyDescent="0.35">
      <c r="A80" t="s">
        <v>6329</v>
      </c>
      <c r="B80" s="1">
        <v>45731</v>
      </c>
      <c r="C80" t="str">
        <f>"1"</f>
        <v>1</v>
      </c>
      <c r="F80" t="str">
        <f>"47600000"</f>
        <v>47600000</v>
      </c>
      <c r="H80" t="s">
        <v>6332</v>
      </c>
      <c r="K80" s="4">
        <v>29014644</v>
      </c>
    </row>
    <row r="81" spans="1:11" hidden="1" outlineLevel="2" x14ac:dyDescent="0.35">
      <c r="A81" t="s">
        <v>6329</v>
      </c>
      <c r="B81" s="1">
        <v>45731</v>
      </c>
      <c r="C81" t="str">
        <f>"3"</f>
        <v>3</v>
      </c>
      <c r="F81" t="str">
        <f>"47600000"</f>
        <v>47600000</v>
      </c>
      <c r="H81" t="s">
        <v>6333</v>
      </c>
      <c r="K81" s="4">
        <v>16371659</v>
      </c>
    </row>
    <row r="82" spans="1:11" outlineLevel="1" collapsed="1" x14ac:dyDescent="0.35">
      <c r="A82" s="3" t="s">
        <v>6772</v>
      </c>
      <c r="B82" s="1"/>
      <c r="J82" s="4">
        <f>SUBTOTAL(9,J80:J81)</f>
        <v>0</v>
      </c>
      <c r="K82" s="4">
        <f>SUBTOTAL(9,K80:K81)</f>
        <v>45386303</v>
      </c>
    </row>
    <row r="83" spans="1:11" hidden="1" outlineLevel="2" x14ac:dyDescent="0.35">
      <c r="A83" t="s">
        <v>101</v>
      </c>
      <c r="B83" s="1">
        <v>45717</v>
      </c>
      <c r="C83" t="str">
        <f>"22"</f>
        <v>22</v>
      </c>
      <c r="F83" t="str">
        <f>"47600000"</f>
        <v>47600000</v>
      </c>
      <c r="H83" t="s">
        <v>6344</v>
      </c>
      <c r="J83" s="4">
        <v>86339050</v>
      </c>
    </row>
    <row r="84" spans="1:11" hidden="1" outlineLevel="2" x14ac:dyDescent="0.35">
      <c r="A84" t="s">
        <v>101</v>
      </c>
      <c r="B84" s="1">
        <v>45747</v>
      </c>
      <c r="C84" t="str">
        <f>"21"</f>
        <v>21</v>
      </c>
      <c r="F84" t="str">
        <f>"47600000"</f>
        <v>47600000</v>
      </c>
      <c r="H84" t="s">
        <v>6346</v>
      </c>
      <c r="K84" s="4">
        <v>8431000</v>
      </c>
    </row>
    <row r="85" spans="1:11" outlineLevel="1" collapsed="1" x14ac:dyDescent="0.35">
      <c r="A85" s="3" t="s">
        <v>6769</v>
      </c>
      <c r="B85" s="1"/>
      <c r="J85" s="4">
        <f>SUBTOTAL(9,J83:J84)</f>
        <v>86339050</v>
      </c>
      <c r="K85" s="4">
        <f>SUBTOTAL(9,K83:K84)</f>
        <v>8431000</v>
      </c>
    </row>
    <row r="86" spans="1:11" hidden="1" outlineLevel="2" x14ac:dyDescent="0.35">
      <c r="A86" t="s">
        <v>26</v>
      </c>
      <c r="B86" s="1">
        <v>45717</v>
      </c>
      <c r="C86" t="str">
        <f>"3"</f>
        <v>3</v>
      </c>
      <c r="D86" t="s">
        <v>6306</v>
      </c>
      <c r="E86" t="str">
        <f>"000971"</f>
        <v>000971</v>
      </c>
      <c r="F86" t="str">
        <f t="shared" ref="F86:F92" si="3">"48120000"</f>
        <v>48120000</v>
      </c>
      <c r="G86" t="str">
        <f>"40110565"</f>
        <v>40110565</v>
      </c>
      <c r="H86" t="s">
        <v>6307</v>
      </c>
      <c r="K86" s="4">
        <v>4248000</v>
      </c>
    </row>
    <row r="87" spans="1:11" hidden="1" outlineLevel="2" x14ac:dyDescent="0.35">
      <c r="A87" t="s">
        <v>26</v>
      </c>
      <c r="B87" s="1">
        <v>45717</v>
      </c>
      <c r="C87" t="str">
        <f>"12"</f>
        <v>12</v>
      </c>
      <c r="D87" t="s">
        <v>6308</v>
      </c>
      <c r="E87" t="str">
        <f>"102614"</f>
        <v>102614</v>
      </c>
      <c r="F87" t="str">
        <f t="shared" si="3"/>
        <v>48120000</v>
      </c>
      <c r="G87" t="str">
        <f>"40110026"</f>
        <v>40110026</v>
      </c>
      <c r="H87" t="s">
        <v>6309</v>
      </c>
      <c r="K87" s="4">
        <v>15329382</v>
      </c>
    </row>
    <row r="88" spans="1:11" hidden="1" outlineLevel="2" x14ac:dyDescent="0.35">
      <c r="A88" t="s">
        <v>26</v>
      </c>
      <c r="B88" s="1">
        <v>45726</v>
      </c>
      <c r="C88" t="str">
        <f>"6"</f>
        <v>6</v>
      </c>
      <c r="D88" t="s">
        <v>6312</v>
      </c>
      <c r="E88" t="str">
        <f>"000143"</f>
        <v>000143</v>
      </c>
      <c r="F88" t="str">
        <f t="shared" si="3"/>
        <v>48120000</v>
      </c>
      <c r="G88" t="str">
        <f>"40112072"</f>
        <v>40112072</v>
      </c>
      <c r="H88" t="s">
        <v>6313</v>
      </c>
      <c r="K88" s="4">
        <v>15249140</v>
      </c>
    </row>
    <row r="89" spans="1:11" hidden="1" outlineLevel="2" x14ac:dyDescent="0.35">
      <c r="A89" t="s">
        <v>26</v>
      </c>
      <c r="B89" s="1">
        <v>45726</v>
      </c>
      <c r="C89" t="str">
        <f>"7"</f>
        <v>7</v>
      </c>
      <c r="D89" t="s">
        <v>6314</v>
      </c>
      <c r="E89" t="str">
        <f>"000144"</f>
        <v>000144</v>
      </c>
      <c r="F89" t="str">
        <f t="shared" si="3"/>
        <v>48120000</v>
      </c>
      <c r="G89" t="str">
        <f>"40112072"</f>
        <v>40112072</v>
      </c>
      <c r="H89" t="s">
        <v>6315</v>
      </c>
      <c r="K89" s="4">
        <v>15249140</v>
      </c>
    </row>
    <row r="90" spans="1:11" hidden="1" outlineLevel="2" x14ac:dyDescent="0.35">
      <c r="A90" t="s">
        <v>26</v>
      </c>
      <c r="B90" s="1">
        <v>45740</v>
      </c>
      <c r="C90" t="str">
        <f>"9"</f>
        <v>9</v>
      </c>
      <c r="D90" t="s">
        <v>6323</v>
      </c>
      <c r="E90" t="str">
        <f>"000162"</f>
        <v>000162</v>
      </c>
      <c r="F90" t="str">
        <f t="shared" si="3"/>
        <v>48120000</v>
      </c>
      <c r="G90" t="str">
        <f>"40110001"</f>
        <v>40110001</v>
      </c>
      <c r="H90" t="s">
        <v>6324</v>
      </c>
      <c r="K90" s="4">
        <v>1238527</v>
      </c>
    </row>
    <row r="91" spans="1:11" hidden="1" outlineLevel="2" x14ac:dyDescent="0.35">
      <c r="A91" t="s">
        <v>26</v>
      </c>
      <c r="B91" s="1">
        <v>45740</v>
      </c>
      <c r="C91" t="str">
        <f>"10"</f>
        <v>10</v>
      </c>
      <c r="D91" t="s">
        <v>6325</v>
      </c>
      <c r="E91" t="str">
        <f>"000163"</f>
        <v>000163</v>
      </c>
      <c r="F91" t="str">
        <f t="shared" si="3"/>
        <v>48120000</v>
      </c>
      <c r="G91" t="str">
        <f>"40110001"</f>
        <v>40110001</v>
      </c>
      <c r="H91" t="s">
        <v>6324</v>
      </c>
      <c r="K91" s="4">
        <v>501688</v>
      </c>
    </row>
    <row r="92" spans="1:11" hidden="1" outlineLevel="2" x14ac:dyDescent="0.35">
      <c r="A92" t="s">
        <v>26</v>
      </c>
      <c r="B92" s="1">
        <v>45740</v>
      </c>
      <c r="C92" t="str">
        <f>"11"</f>
        <v>11</v>
      </c>
      <c r="D92" t="s">
        <v>6326</v>
      </c>
      <c r="E92" t="str">
        <f>"000164"</f>
        <v>000164</v>
      </c>
      <c r="F92" t="str">
        <f t="shared" si="3"/>
        <v>48120000</v>
      </c>
      <c r="G92" t="str">
        <f>"40110001"</f>
        <v>40110001</v>
      </c>
      <c r="H92" t="s">
        <v>6324</v>
      </c>
      <c r="K92" s="4">
        <v>3521002</v>
      </c>
    </row>
    <row r="93" spans="1:11" outlineLevel="1" collapsed="1" x14ac:dyDescent="0.35">
      <c r="A93" s="3" t="s">
        <v>6768</v>
      </c>
      <c r="B93" s="1"/>
      <c r="J93" s="4">
        <f>SUBTOTAL(9,J86:J92)</f>
        <v>0</v>
      </c>
      <c r="K93" s="4">
        <f>SUBTOTAL(9,K86:K92)</f>
        <v>55336879</v>
      </c>
    </row>
    <row r="94" spans="1:11" hidden="1" outlineLevel="2" x14ac:dyDescent="0.35">
      <c r="A94" t="s">
        <v>6329</v>
      </c>
      <c r="B94" s="1">
        <v>45717</v>
      </c>
      <c r="C94" t="str">
        <f>"12"</f>
        <v>12</v>
      </c>
      <c r="F94" t="str">
        <f t="shared" ref="F94:F101" si="4">"52300100"</f>
        <v>52300100</v>
      </c>
      <c r="H94" t="s">
        <v>6330</v>
      </c>
      <c r="J94" s="4">
        <v>25000000</v>
      </c>
    </row>
    <row r="95" spans="1:11" hidden="1" outlineLevel="2" x14ac:dyDescent="0.35">
      <c r="A95" t="s">
        <v>6329</v>
      </c>
      <c r="B95" s="1">
        <v>45717</v>
      </c>
      <c r="C95" t="str">
        <f>"12"</f>
        <v>12</v>
      </c>
      <c r="F95" t="str">
        <f t="shared" si="4"/>
        <v>52300100</v>
      </c>
      <c r="H95" t="s">
        <v>6331</v>
      </c>
      <c r="J95" s="4">
        <v>25000000</v>
      </c>
    </row>
    <row r="96" spans="1:11" hidden="1" outlineLevel="2" x14ac:dyDescent="0.35">
      <c r="A96" t="s">
        <v>6329</v>
      </c>
      <c r="B96" s="1">
        <v>45734</v>
      </c>
      <c r="C96" t="str">
        <f>"14"</f>
        <v>14</v>
      </c>
      <c r="F96" t="str">
        <f t="shared" si="4"/>
        <v>52300100</v>
      </c>
      <c r="H96" t="s">
        <v>6334</v>
      </c>
      <c r="K96" s="4">
        <v>146200</v>
      </c>
    </row>
    <row r="97" spans="1:11" hidden="1" outlineLevel="2" x14ac:dyDescent="0.35">
      <c r="A97" t="s">
        <v>6329</v>
      </c>
      <c r="B97" s="1">
        <v>45742</v>
      </c>
      <c r="C97" t="str">
        <f>"16"</f>
        <v>16</v>
      </c>
      <c r="F97" t="str">
        <f t="shared" si="4"/>
        <v>52300100</v>
      </c>
      <c r="H97" t="s">
        <v>58</v>
      </c>
      <c r="K97" s="4">
        <v>31900</v>
      </c>
    </row>
    <row r="98" spans="1:11" hidden="1" outlineLevel="2" x14ac:dyDescent="0.35">
      <c r="A98" t="s">
        <v>6329</v>
      </c>
      <c r="B98" s="1">
        <v>45747</v>
      </c>
      <c r="C98" t="str">
        <f>"2"</f>
        <v>2</v>
      </c>
      <c r="F98" t="str">
        <f t="shared" si="4"/>
        <v>52300100</v>
      </c>
      <c r="H98" t="s">
        <v>6335</v>
      </c>
      <c r="K98" s="4">
        <v>25000000</v>
      </c>
    </row>
    <row r="99" spans="1:11" hidden="1" outlineLevel="2" x14ac:dyDescent="0.35">
      <c r="A99" t="s">
        <v>6329</v>
      </c>
      <c r="B99" s="1">
        <v>45747</v>
      </c>
      <c r="C99" t="str">
        <f>"13"</f>
        <v>13</v>
      </c>
      <c r="F99" t="str">
        <f t="shared" si="4"/>
        <v>52300100</v>
      </c>
      <c r="H99" t="s">
        <v>6336</v>
      </c>
      <c r="J99" s="4">
        <v>25000000</v>
      </c>
    </row>
    <row r="100" spans="1:11" hidden="1" outlineLevel="2" x14ac:dyDescent="0.35">
      <c r="A100" t="s">
        <v>6329</v>
      </c>
      <c r="B100" s="1">
        <v>45747</v>
      </c>
      <c r="C100" t="str">
        <f>"15"</f>
        <v>15</v>
      </c>
      <c r="F100" t="str">
        <f t="shared" si="4"/>
        <v>52300100</v>
      </c>
      <c r="H100" t="s">
        <v>6337</v>
      </c>
      <c r="K100" s="4">
        <v>43169525</v>
      </c>
    </row>
    <row r="101" spans="1:11" hidden="1" outlineLevel="2" x14ac:dyDescent="0.35">
      <c r="A101" t="s">
        <v>6329</v>
      </c>
      <c r="B101" s="1">
        <v>45747</v>
      </c>
      <c r="C101" t="str">
        <f>"17"</f>
        <v>17</v>
      </c>
      <c r="F101" t="str">
        <f t="shared" si="4"/>
        <v>52300100</v>
      </c>
      <c r="H101" t="s">
        <v>6255</v>
      </c>
      <c r="K101" s="4">
        <v>24200</v>
      </c>
    </row>
    <row r="102" spans="1:11" outlineLevel="1" collapsed="1" x14ac:dyDescent="0.35">
      <c r="A102" s="3" t="s">
        <v>6772</v>
      </c>
      <c r="B102" s="1"/>
      <c r="J102" s="4">
        <f>SUBTOTAL(9,J94:J101)</f>
        <v>75000000</v>
      </c>
      <c r="K102" s="4">
        <f>SUBTOTAL(9,K94:K101)</f>
        <v>68371825</v>
      </c>
    </row>
    <row r="103" spans="1:11" hidden="1" outlineLevel="2" x14ac:dyDescent="0.35">
      <c r="A103" t="s">
        <v>75</v>
      </c>
      <c r="B103" s="1">
        <v>45742</v>
      </c>
      <c r="C103" t="str">
        <f>"4"</f>
        <v>4</v>
      </c>
      <c r="F103" t="str">
        <f>"60440500"</f>
        <v>60440500</v>
      </c>
      <c r="H103" t="s">
        <v>6342</v>
      </c>
      <c r="J103" s="4">
        <v>18900</v>
      </c>
    </row>
    <row r="104" spans="1:11" outlineLevel="1" collapsed="1" x14ac:dyDescent="0.35">
      <c r="A104" s="3" t="s">
        <v>6770</v>
      </c>
      <c r="B104" s="1"/>
      <c r="J104" s="4">
        <f>SUBTOTAL(9,J103:J103)</f>
        <v>18900</v>
      </c>
      <c r="K104" s="4">
        <f>SUBTOTAL(9,K103:K103)</f>
        <v>0</v>
      </c>
    </row>
    <row r="105" spans="1:11" hidden="1" outlineLevel="2" x14ac:dyDescent="0.35">
      <c r="A105" t="s">
        <v>101</v>
      </c>
      <c r="B105" s="1">
        <v>45747</v>
      </c>
      <c r="C105" t="str">
        <f>"26"</f>
        <v>26</v>
      </c>
      <c r="F105" t="str">
        <f>"60520000"</f>
        <v>60520000</v>
      </c>
      <c r="H105" t="s">
        <v>6354</v>
      </c>
      <c r="J105" s="4">
        <v>2392330</v>
      </c>
    </row>
    <row r="106" spans="1:11" outlineLevel="1" collapsed="1" x14ac:dyDescent="0.35">
      <c r="A106" s="3" t="s">
        <v>6769</v>
      </c>
      <c r="B106" s="1"/>
      <c r="J106" s="4">
        <f>SUBTOTAL(9,J105:J105)</f>
        <v>2392330</v>
      </c>
      <c r="K106" s="4">
        <f>SUBTOTAL(9,K105:K105)</f>
        <v>0</v>
      </c>
    </row>
    <row r="107" spans="1:11" hidden="1" outlineLevel="2" x14ac:dyDescent="0.35">
      <c r="A107" t="s">
        <v>11</v>
      </c>
      <c r="B107" s="1">
        <v>45717</v>
      </c>
      <c r="C107" t="str">
        <f>"26"</f>
        <v>26</v>
      </c>
      <c r="E107" t="s">
        <v>6300</v>
      </c>
      <c r="F107" t="str">
        <f>"62220000"</f>
        <v>62220000</v>
      </c>
      <c r="H107" t="s">
        <v>6301</v>
      </c>
      <c r="J107" s="4">
        <v>19022538</v>
      </c>
    </row>
    <row r="108" spans="1:11" outlineLevel="1" collapsed="1" x14ac:dyDescent="0.35">
      <c r="A108" s="3" t="s">
        <v>6773</v>
      </c>
      <c r="B108" s="1"/>
      <c r="J108" s="4">
        <f>SUBTOTAL(9,J107:J107)</f>
        <v>19022538</v>
      </c>
      <c r="K108" s="4">
        <f>SUBTOTAL(9,K107:K107)</f>
        <v>0</v>
      </c>
    </row>
    <row r="109" spans="1:11" hidden="1" outlineLevel="2" x14ac:dyDescent="0.35">
      <c r="A109" t="s">
        <v>26</v>
      </c>
      <c r="B109" s="1">
        <v>45735</v>
      </c>
      <c r="C109" t="str">
        <f>"4"</f>
        <v>4</v>
      </c>
      <c r="D109" t="s">
        <v>6319</v>
      </c>
      <c r="E109" t="str">
        <f>"0235685"</f>
        <v>0235685</v>
      </c>
      <c r="F109" t="str">
        <f>"62411000"</f>
        <v>62411000</v>
      </c>
      <c r="H109" t="s">
        <v>6320</v>
      </c>
      <c r="J109" s="4">
        <v>65000</v>
      </c>
    </row>
    <row r="110" spans="1:11" hidden="1" outlineLevel="2" x14ac:dyDescent="0.35">
      <c r="A110" t="s">
        <v>26</v>
      </c>
      <c r="B110" s="1">
        <v>45737</v>
      </c>
      <c r="C110" t="str">
        <f>"5"</f>
        <v>5</v>
      </c>
      <c r="D110" t="s">
        <v>6321</v>
      </c>
      <c r="E110" t="str">
        <f>"0235678"</f>
        <v>0235678</v>
      </c>
      <c r="F110" t="str">
        <f>"62411000"</f>
        <v>62411000</v>
      </c>
      <c r="H110" t="s">
        <v>6320</v>
      </c>
      <c r="J110" s="4">
        <v>65000</v>
      </c>
    </row>
    <row r="111" spans="1:11" hidden="1" outlineLevel="2" x14ac:dyDescent="0.35">
      <c r="A111" t="s">
        <v>26</v>
      </c>
      <c r="B111" s="1">
        <v>45737</v>
      </c>
      <c r="C111" t="str">
        <f>"8"</f>
        <v>8</v>
      </c>
      <c r="D111" t="s">
        <v>6322</v>
      </c>
      <c r="E111" t="str">
        <f>"0235683"</f>
        <v>0235683</v>
      </c>
      <c r="F111" t="str">
        <f>"62411000"</f>
        <v>62411000</v>
      </c>
      <c r="H111" t="s">
        <v>6320</v>
      </c>
      <c r="J111" s="4">
        <v>130000</v>
      </c>
    </row>
    <row r="112" spans="1:11" hidden="1" outlineLevel="2" x14ac:dyDescent="0.35">
      <c r="A112" t="s">
        <v>26</v>
      </c>
      <c r="B112" s="1">
        <v>45747</v>
      </c>
      <c r="C112" t="str">
        <f>"13"</f>
        <v>13</v>
      </c>
      <c r="D112" t="s">
        <v>6327</v>
      </c>
      <c r="E112" t="str">
        <f>"0235694"</f>
        <v>0235694</v>
      </c>
      <c r="F112" t="str">
        <f>"62411000"</f>
        <v>62411000</v>
      </c>
      <c r="H112" t="s">
        <v>6328</v>
      </c>
      <c r="J112" s="4">
        <v>130000</v>
      </c>
    </row>
    <row r="113" spans="1:11" hidden="1" outlineLevel="2" x14ac:dyDescent="0.35">
      <c r="A113" t="s">
        <v>26</v>
      </c>
      <c r="B113" s="1">
        <v>45719</v>
      </c>
      <c r="C113" t="str">
        <f>"1"</f>
        <v>1</v>
      </c>
      <c r="D113" t="s">
        <v>6310</v>
      </c>
      <c r="E113" t="str">
        <f>"103112"</f>
        <v>103112</v>
      </c>
      <c r="F113" t="str">
        <f>"62480000"</f>
        <v>62480000</v>
      </c>
      <c r="H113" t="s">
        <v>6311</v>
      </c>
      <c r="J113" s="4">
        <v>93560</v>
      </c>
    </row>
    <row r="114" spans="1:11" outlineLevel="1" collapsed="1" x14ac:dyDescent="0.35">
      <c r="A114" s="3" t="s">
        <v>6768</v>
      </c>
      <c r="B114" s="1"/>
      <c r="J114" s="4">
        <f>SUBTOTAL(9,J109:J113)</f>
        <v>483560</v>
      </c>
      <c r="K114" s="4">
        <f>SUBTOTAL(9,K109:K113)</f>
        <v>0</v>
      </c>
    </row>
    <row r="115" spans="1:11" hidden="1" outlineLevel="2" x14ac:dyDescent="0.35">
      <c r="A115" t="s">
        <v>11</v>
      </c>
      <c r="B115" s="1">
        <v>45717</v>
      </c>
      <c r="C115" t="str">
        <f>"24"</f>
        <v>24</v>
      </c>
      <c r="E115" t="s">
        <v>12</v>
      </c>
      <c r="F115" t="str">
        <f>"62510000"</f>
        <v>62510000</v>
      </c>
      <c r="H115" t="s">
        <v>6298</v>
      </c>
      <c r="J115" s="4">
        <v>1266747</v>
      </c>
    </row>
    <row r="116" spans="1:11" hidden="1" outlineLevel="2" x14ac:dyDescent="0.35">
      <c r="A116" t="s">
        <v>11</v>
      </c>
      <c r="B116" s="1">
        <v>45717</v>
      </c>
      <c r="C116" t="str">
        <f>"27"</f>
        <v>27</v>
      </c>
      <c r="F116" t="str">
        <f>"62510000"</f>
        <v>62510000</v>
      </c>
      <c r="H116" t="s">
        <v>6302</v>
      </c>
      <c r="J116" s="4">
        <v>457438</v>
      </c>
    </row>
    <row r="117" spans="1:11" outlineLevel="1" collapsed="1" x14ac:dyDescent="0.35">
      <c r="A117" s="3" t="s">
        <v>6773</v>
      </c>
      <c r="B117" s="1"/>
      <c r="J117" s="4">
        <f>SUBTOTAL(9,J115:J116)</f>
        <v>1724185</v>
      </c>
      <c r="K117" s="4">
        <f>SUBTOTAL(9,K115:K116)</f>
        <v>0</v>
      </c>
    </row>
    <row r="118" spans="1:11" hidden="1" outlineLevel="2" x14ac:dyDescent="0.35">
      <c r="A118" t="s">
        <v>6329</v>
      </c>
      <c r="B118" s="1">
        <v>45742</v>
      </c>
      <c r="C118" t="str">
        <f>"16"</f>
        <v>16</v>
      </c>
      <c r="F118" t="str">
        <f>"63180000"</f>
        <v>63180000</v>
      </c>
      <c r="H118" t="s">
        <v>58</v>
      </c>
      <c r="J118" s="4">
        <v>31900</v>
      </c>
    </row>
    <row r="119" spans="1:11" outlineLevel="1" collapsed="1" x14ac:dyDescent="0.35">
      <c r="A119" s="3" t="s">
        <v>6772</v>
      </c>
      <c r="B119" s="1"/>
      <c r="J119" s="4">
        <f>SUBTOTAL(9,J118:J118)</f>
        <v>31900</v>
      </c>
      <c r="K119" s="4">
        <f>SUBTOTAL(9,K118:K118)</f>
        <v>0</v>
      </c>
    </row>
    <row r="120" spans="1:11" hidden="1" outlineLevel="2" x14ac:dyDescent="0.35">
      <c r="A120" t="s">
        <v>11</v>
      </c>
      <c r="B120" s="1">
        <v>45718</v>
      </c>
      <c r="C120" t="str">
        <f>"28"</f>
        <v>28</v>
      </c>
      <c r="E120" t="s">
        <v>24</v>
      </c>
      <c r="F120" t="str">
        <f>"63240000"</f>
        <v>63240000</v>
      </c>
      <c r="H120" t="s">
        <v>25</v>
      </c>
      <c r="J120" s="4">
        <v>208333</v>
      </c>
    </row>
    <row r="121" spans="1:11" outlineLevel="1" collapsed="1" x14ac:dyDescent="0.35">
      <c r="A121" s="3" t="s">
        <v>6773</v>
      </c>
      <c r="B121" s="1"/>
      <c r="J121" s="4">
        <f>SUBTOTAL(9,J120:J120)</f>
        <v>208333</v>
      </c>
      <c r="K121" s="4">
        <f>SUBTOTAL(9,K120:K120)</f>
        <v>0</v>
      </c>
    </row>
    <row r="122" spans="1:11" hidden="1" outlineLevel="2" x14ac:dyDescent="0.35">
      <c r="A122" t="s">
        <v>26</v>
      </c>
      <c r="B122" s="1">
        <v>45726</v>
      </c>
      <c r="C122" t="str">
        <f>"14"</f>
        <v>14</v>
      </c>
      <c r="D122" t="s">
        <v>6316</v>
      </c>
      <c r="E122" t="s">
        <v>6317</v>
      </c>
      <c r="F122" t="str">
        <f>"63240000"</f>
        <v>63240000</v>
      </c>
      <c r="H122" t="s">
        <v>6318</v>
      </c>
      <c r="J122" s="4">
        <v>2500000</v>
      </c>
    </row>
    <row r="123" spans="1:11" outlineLevel="1" collapsed="1" x14ac:dyDescent="0.35">
      <c r="A123" s="3" t="s">
        <v>6768</v>
      </c>
      <c r="B123" s="1"/>
      <c r="J123" s="4">
        <f>SUBTOTAL(9,J122:J122)</f>
        <v>2500000</v>
      </c>
      <c r="K123" s="4">
        <f>SUBTOTAL(9,K122:K122)</f>
        <v>0</v>
      </c>
    </row>
    <row r="124" spans="1:11" hidden="1" outlineLevel="2" x14ac:dyDescent="0.35">
      <c r="A124" t="s">
        <v>101</v>
      </c>
      <c r="B124" s="1">
        <v>45717</v>
      </c>
      <c r="C124" t="str">
        <f>"19"</f>
        <v>19</v>
      </c>
      <c r="F124" t="str">
        <f>"63240000"</f>
        <v>63240000</v>
      </c>
      <c r="H124" t="s">
        <v>6343</v>
      </c>
      <c r="K124" s="4">
        <v>2500000</v>
      </c>
    </row>
    <row r="125" spans="1:11" hidden="1" outlineLevel="2" x14ac:dyDescent="0.35">
      <c r="A125" t="s">
        <v>101</v>
      </c>
      <c r="B125" s="1">
        <v>45747</v>
      </c>
      <c r="C125" t="str">
        <f>"21"</f>
        <v>21</v>
      </c>
      <c r="E125" t="s">
        <v>6347</v>
      </c>
      <c r="F125" t="str">
        <f>"63240100"</f>
        <v>63240100</v>
      </c>
      <c r="H125" t="s">
        <v>6346</v>
      </c>
      <c r="J125" s="4">
        <v>8431000</v>
      </c>
    </row>
    <row r="126" spans="1:11" outlineLevel="1" collapsed="1" x14ac:dyDescent="0.35">
      <c r="A126" s="3" t="s">
        <v>6769</v>
      </c>
      <c r="B126" s="1"/>
      <c r="J126" s="4">
        <f>SUBTOTAL(9,J124:J125)</f>
        <v>8431000</v>
      </c>
      <c r="K126" s="4">
        <f>SUBTOTAL(9,K124:K125)</f>
        <v>2500000</v>
      </c>
    </row>
    <row r="127" spans="1:11" hidden="1" outlineLevel="2" x14ac:dyDescent="0.35">
      <c r="A127" t="s">
        <v>11</v>
      </c>
      <c r="B127" s="1">
        <v>45717</v>
      </c>
      <c r="C127" t="str">
        <f>"25"</f>
        <v>25</v>
      </c>
      <c r="F127" t="str">
        <f>"64110000"</f>
        <v>64110000</v>
      </c>
      <c r="H127" t="s">
        <v>6299</v>
      </c>
      <c r="J127" s="4">
        <v>30000000</v>
      </c>
    </row>
    <row r="128" spans="1:11" outlineLevel="1" collapsed="1" x14ac:dyDescent="0.35">
      <c r="A128" s="3" t="s">
        <v>6773</v>
      </c>
      <c r="B128" s="1"/>
      <c r="J128" s="4">
        <f>SUBTOTAL(9,J127:J127)</f>
        <v>30000000</v>
      </c>
      <c r="K128" s="4">
        <f>SUBTOTAL(9,K127:K127)</f>
        <v>0</v>
      </c>
    </row>
    <row r="129" spans="1:11" hidden="1" outlineLevel="2" x14ac:dyDescent="0.35">
      <c r="A129" t="s">
        <v>75</v>
      </c>
      <c r="B129" s="1">
        <v>45727</v>
      </c>
      <c r="C129" t="str">
        <f>"1"</f>
        <v>1</v>
      </c>
      <c r="D129" t="s">
        <v>6338</v>
      </c>
      <c r="E129" t="s">
        <v>6339</v>
      </c>
      <c r="F129" t="str">
        <f>"65880000"</f>
        <v>65880000</v>
      </c>
      <c r="H129" t="s">
        <v>6340</v>
      </c>
      <c r="J129" s="4">
        <v>1500000</v>
      </c>
    </row>
    <row r="130" spans="1:11" outlineLevel="1" collapsed="1" x14ac:dyDescent="0.35">
      <c r="A130" s="3" t="s">
        <v>6770</v>
      </c>
      <c r="B130" s="1"/>
      <c r="J130" s="4">
        <f>SUBTOTAL(9,J129:J129)</f>
        <v>1500000</v>
      </c>
      <c r="K130" s="4">
        <f>SUBTOTAL(9,K129:K129)</f>
        <v>0</v>
      </c>
    </row>
    <row r="131" spans="1:11" hidden="1" outlineLevel="2" x14ac:dyDescent="0.35">
      <c r="A131" t="s">
        <v>6329</v>
      </c>
      <c r="B131" s="1">
        <v>45731</v>
      </c>
      <c r="C131" t="str">
        <f>"1"</f>
        <v>1</v>
      </c>
      <c r="F131" t="str">
        <f>"67120000"</f>
        <v>67120000</v>
      </c>
      <c r="H131" t="s">
        <v>6332</v>
      </c>
      <c r="J131" s="4">
        <v>29014644</v>
      </c>
    </row>
    <row r="132" spans="1:11" hidden="1" outlineLevel="2" x14ac:dyDescent="0.35">
      <c r="A132" t="s">
        <v>6329</v>
      </c>
      <c r="B132" s="1">
        <v>45731</v>
      </c>
      <c r="C132" t="str">
        <f>"3"</f>
        <v>3</v>
      </c>
      <c r="F132" t="str">
        <f>"67120000"</f>
        <v>67120000</v>
      </c>
      <c r="H132" t="s">
        <v>6333</v>
      </c>
      <c r="J132" s="4">
        <v>16371659</v>
      </c>
    </row>
    <row r="133" spans="1:11" hidden="1" outlineLevel="2" x14ac:dyDescent="0.35">
      <c r="A133" t="s">
        <v>6329</v>
      </c>
      <c r="B133" s="1">
        <v>45747</v>
      </c>
      <c r="C133" t="str">
        <f>"17"</f>
        <v>17</v>
      </c>
      <c r="F133" t="str">
        <f>"67450000"</f>
        <v>67450000</v>
      </c>
      <c r="H133" t="s">
        <v>6255</v>
      </c>
      <c r="J133" s="4">
        <v>24200</v>
      </c>
    </row>
    <row r="134" spans="1:11" outlineLevel="1" collapsed="1" x14ac:dyDescent="0.35">
      <c r="A134" s="3" t="s">
        <v>6772</v>
      </c>
      <c r="B134" s="1"/>
      <c r="J134" s="4">
        <f>SUBTOTAL(9,J131:J133)</f>
        <v>45410503</v>
      </c>
      <c r="K134" s="4">
        <f>SUBTOTAL(9,K131:K133)</f>
        <v>0</v>
      </c>
    </row>
    <row r="135" spans="1:11" hidden="1" outlineLevel="2" x14ac:dyDescent="0.35">
      <c r="A135" t="s">
        <v>101</v>
      </c>
      <c r="B135" s="1">
        <v>45747</v>
      </c>
      <c r="C135" t="str">
        <f>"23"</f>
        <v>23</v>
      </c>
      <c r="E135" t="s">
        <v>116</v>
      </c>
      <c r="F135" t="str">
        <f>"68120000"</f>
        <v>68120000</v>
      </c>
      <c r="H135" t="s">
        <v>6351</v>
      </c>
      <c r="J135" s="4">
        <v>612603</v>
      </c>
    </row>
    <row r="136" spans="1:11" hidden="1" outlineLevel="2" x14ac:dyDescent="0.35">
      <c r="A136" t="s">
        <v>101</v>
      </c>
      <c r="B136" s="1">
        <v>45747</v>
      </c>
      <c r="C136" t="str">
        <f>"23"</f>
        <v>23</v>
      </c>
      <c r="E136" t="s">
        <v>116</v>
      </c>
      <c r="F136" t="str">
        <f>"68130000"</f>
        <v>68130000</v>
      </c>
      <c r="H136" t="s">
        <v>6352</v>
      </c>
      <c r="J136" s="4">
        <v>298256</v>
      </c>
    </row>
    <row r="137" spans="1:11" hidden="1" outlineLevel="2" x14ac:dyDescent="0.35">
      <c r="A137" t="s">
        <v>101</v>
      </c>
      <c r="B137" s="1">
        <v>45717</v>
      </c>
      <c r="C137" t="str">
        <f>"24"</f>
        <v>24</v>
      </c>
      <c r="F137" t="str">
        <f>"70610020"</f>
        <v>70610020</v>
      </c>
      <c r="H137" t="s">
        <v>6345</v>
      </c>
      <c r="J137" s="4">
        <v>-150239216</v>
      </c>
    </row>
    <row r="138" spans="1:11" hidden="1" outlineLevel="2" x14ac:dyDescent="0.35">
      <c r="A138" t="s">
        <v>101</v>
      </c>
      <c r="B138" s="1">
        <v>45747</v>
      </c>
      <c r="C138" t="str">
        <f>"25"</f>
        <v>25</v>
      </c>
      <c r="F138" t="str">
        <f>"70610020"</f>
        <v>70610020</v>
      </c>
      <c r="H138" t="s">
        <v>6353</v>
      </c>
      <c r="K138" s="4">
        <v>-294581149</v>
      </c>
    </row>
    <row r="139" spans="1:11" outlineLevel="1" collapsed="1" x14ac:dyDescent="0.35">
      <c r="A139" s="3" t="s">
        <v>6769</v>
      </c>
      <c r="B139" s="1"/>
      <c r="J139" s="4">
        <f>SUBTOTAL(9,J135:J138)</f>
        <v>-149328357</v>
      </c>
      <c r="K139" s="4">
        <f>SUBTOTAL(9,K135:K138)</f>
        <v>-294581149</v>
      </c>
    </row>
    <row r="140" spans="1:11" hidden="1" outlineLevel="2" x14ac:dyDescent="0.35">
      <c r="A140" t="s">
        <v>131</v>
      </c>
      <c r="B140" s="1">
        <v>45737</v>
      </c>
      <c r="C140" t="str">
        <f>"1"</f>
        <v>1</v>
      </c>
      <c r="D140" t="str">
        <f>"000103"</f>
        <v>000103</v>
      </c>
      <c r="E140" t="str">
        <f>"000103"</f>
        <v>000103</v>
      </c>
      <c r="F140" t="str">
        <f>"70610020"</f>
        <v>70610020</v>
      </c>
      <c r="H140" t="s">
        <v>6356</v>
      </c>
      <c r="K140" s="4">
        <v>151397700</v>
      </c>
    </row>
    <row r="141" spans="1:11" hidden="1" outlineLevel="2" x14ac:dyDescent="0.35">
      <c r="A141" t="s">
        <v>131</v>
      </c>
      <c r="B141" s="1">
        <v>45737</v>
      </c>
      <c r="C141" t="str">
        <f>"2"</f>
        <v>2</v>
      </c>
      <c r="D141" t="str">
        <f>"000100"</f>
        <v>000100</v>
      </c>
      <c r="E141" t="str">
        <f>"000100"</f>
        <v>000100</v>
      </c>
      <c r="F141" t="str">
        <f>"70610020"</f>
        <v>70610020</v>
      </c>
      <c r="H141" t="s">
        <v>6358</v>
      </c>
      <c r="K141" s="4">
        <v>157724700</v>
      </c>
    </row>
    <row r="142" spans="1:11" outlineLevel="1" collapsed="1" x14ac:dyDescent="0.35">
      <c r="A142" s="3" t="s">
        <v>6771</v>
      </c>
      <c r="B142" s="1"/>
      <c r="J142" s="4">
        <f>SUBTOTAL(9,J140:J141)</f>
        <v>0</v>
      </c>
      <c r="K142" s="4">
        <f>SUBTOTAL(9,K140:K141)</f>
        <v>309122400</v>
      </c>
    </row>
    <row r="143" spans="1:11" x14ac:dyDescent="0.35">
      <c r="A143" s="3" t="s">
        <v>6727</v>
      </c>
      <c r="B143" s="1"/>
      <c r="J143" s="4">
        <f>SUBTOTAL(9,J2:J141)</f>
        <v>1127591892</v>
      </c>
      <c r="K143" s="4">
        <f>SUBTOTAL(9,K2:K141)</f>
        <v>1127591892</v>
      </c>
    </row>
  </sheetData>
  <sortState xmlns:xlrd2="http://schemas.microsoft.com/office/spreadsheetml/2017/richdata2" ref="A2:K141">
    <sortCondition ref="F2:F14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AC58-CD6B-41B3-9AD1-A48117B9BF6D}">
  <dimension ref="A1:K225"/>
  <sheetViews>
    <sheetView topLeftCell="A175" workbookViewId="0">
      <selection activeCell="I16" sqref="I16"/>
    </sheetView>
  </sheetViews>
  <sheetFormatPr baseColWidth="10" defaultRowHeight="14.5" outlineLevelRow="2" x14ac:dyDescent="0.35"/>
  <cols>
    <col min="6" max="6" width="16.1796875" bestFit="1" customWidth="1"/>
    <col min="9" max="9" width="13" bestFit="1" customWidth="1"/>
    <col min="10" max="11" width="15.6328125" style="4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4" t="s">
        <v>9</v>
      </c>
      <c r="K1" s="4" t="s">
        <v>10</v>
      </c>
    </row>
    <row r="2" spans="1:11" hidden="1" outlineLevel="2" x14ac:dyDescent="0.35">
      <c r="A2" t="s">
        <v>101</v>
      </c>
      <c r="B2" s="1">
        <v>45747</v>
      </c>
      <c r="C2" t="str">
        <f>"1900"</f>
        <v>1900</v>
      </c>
      <c r="F2" t="str">
        <f>"16640000"</f>
        <v>16640000</v>
      </c>
      <c r="H2" t="s">
        <v>6448</v>
      </c>
      <c r="K2" s="4">
        <v>14267644</v>
      </c>
    </row>
    <row r="3" spans="1:11" outlineLevel="1" collapsed="1" x14ac:dyDescent="0.35">
      <c r="B3" s="1"/>
      <c r="F3" s="3" t="s">
        <v>6774</v>
      </c>
      <c r="J3" s="4">
        <f>SUBTOTAL(9,J2:J2)</f>
        <v>0</v>
      </c>
      <c r="K3" s="4">
        <f>SUBTOTAL(9,K2:K2)</f>
        <v>14267644</v>
      </c>
    </row>
    <row r="4" spans="1:11" hidden="1" outlineLevel="2" x14ac:dyDescent="0.35">
      <c r="A4" t="s">
        <v>6395</v>
      </c>
      <c r="B4" s="1">
        <v>45736</v>
      </c>
      <c r="C4" t="str">
        <f>"1904"</f>
        <v>1904</v>
      </c>
      <c r="F4" t="str">
        <f>"16640010"</f>
        <v>16640010</v>
      </c>
      <c r="H4" t="s">
        <v>6399</v>
      </c>
      <c r="J4" s="4">
        <v>20000000</v>
      </c>
    </row>
    <row r="5" spans="1:11" hidden="1" outlineLevel="2" x14ac:dyDescent="0.35">
      <c r="A5" t="s">
        <v>101</v>
      </c>
      <c r="B5" s="1">
        <v>45747</v>
      </c>
      <c r="C5" t="str">
        <f>"1892"</f>
        <v>1892</v>
      </c>
      <c r="F5" t="str">
        <f>"16640010"</f>
        <v>16640010</v>
      </c>
      <c r="H5" t="s">
        <v>6443</v>
      </c>
      <c r="K5" s="4">
        <v>5095890</v>
      </c>
    </row>
    <row r="6" spans="1:11" outlineLevel="1" collapsed="1" x14ac:dyDescent="0.35">
      <c r="B6" s="1"/>
      <c r="F6" s="3" t="s">
        <v>6775</v>
      </c>
      <c r="J6" s="4">
        <f>SUBTOTAL(9,J4:J5)</f>
        <v>20000000</v>
      </c>
      <c r="K6" s="4">
        <f>SUBTOTAL(9,K4:K5)</f>
        <v>5095890</v>
      </c>
    </row>
    <row r="7" spans="1:11" hidden="1" outlineLevel="2" x14ac:dyDescent="0.35">
      <c r="A7" t="s">
        <v>6395</v>
      </c>
      <c r="B7" s="1">
        <v>45736</v>
      </c>
      <c r="C7" t="str">
        <f>"1905"</f>
        <v>1905</v>
      </c>
      <c r="F7" t="str">
        <f>"16640020"</f>
        <v>16640020</v>
      </c>
      <c r="H7" t="s">
        <v>6400</v>
      </c>
      <c r="J7" s="4">
        <v>15000000</v>
      </c>
    </row>
    <row r="8" spans="1:11" hidden="1" outlineLevel="2" x14ac:dyDescent="0.35">
      <c r="A8" t="s">
        <v>101</v>
      </c>
      <c r="B8" s="1">
        <v>45747</v>
      </c>
      <c r="C8" t="str">
        <f>"1893"</f>
        <v>1893</v>
      </c>
      <c r="F8" t="str">
        <f>"16640020"</f>
        <v>16640020</v>
      </c>
      <c r="H8" t="s">
        <v>6444</v>
      </c>
      <c r="K8" s="4">
        <v>5095890</v>
      </c>
    </row>
    <row r="9" spans="1:11" outlineLevel="1" collapsed="1" x14ac:dyDescent="0.35">
      <c r="B9" s="1"/>
      <c r="F9" s="3" t="s">
        <v>6776</v>
      </c>
      <c r="J9" s="4">
        <f>SUBTOTAL(9,J7:J8)</f>
        <v>15000000</v>
      </c>
      <c r="K9" s="4">
        <f>SUBTOTAL(9,K7:K8)</f>
        <v>5095890</v>
      </c>
    </row>
    <row r="10" spans="1:11" hidden="1" outlineLevel="2" x14ac:dyDescent="0.35">
      <c r="A10" t="s">
        <v>101</v>
      </c>
      <c r="B10" s="1">
        <v>45747</v>
      </c>
      <c r="C10" t="str">
        <f>"1899"</f>
        <v>1899</v>
      </c>
      <c r="F10" t="str">
        <f>"16640030"</f>
        <v>16640030</v>
      </c>
      <c r="H10" t="s">
        <v>6447</v>
      </c>
      <c r="K10" s="4">
        <v>2127442</v>
      </c>
    </row>
    <row r="11" spans="1:11" outlineLevel="1" collapsed="1" x14ac:dyDescent="0.35">
      <c r="B11" s="1"/>
      <c r="F11" s="3" t="s">
        <v>6777</v>
      </c>
      <c r="J11" s="4">
        <f>SUBTOTAL(9,J10:J10)</f>
        <v>0</v>
      </c>
      <c r="K11" s="4">
        <f>SUBTOTAL(9,K10:K10)</f>
        <v>2127442</v>
      </c>
    </row>
    <row r="12" spans="1:11" hidden="1" outlineLevel="2" x14ac:dyDescent="0.35">
      <c r="A12" t="s">
        <v>101</v>
      </c>
      <c r="B12" s="1">
        <v>45747</v>
      </c>
      <c r="C12" t="str">
        <f>"1891"</f>
        <v>1891</v>
      </c>
      <c r="F12" t="str">
        <f>"16640050"</f>
        <v>16640050</v>
      </c>
      <c r="H12" t="s">
        <v>6442</v>
      </c>
      <c r="K12" s="4">
        <v>9382808</v>
      </c>
    </row>
    <row r="13" spans="1:11" hidden="1" outlineLevel="2" x14ac:dyDescent="0.35">
      <c r="A13" t="s">
        <v>101</v>
      </c>
      <c r="B13" s="1">
        <v>45747</v>
      </c>
      <c r="C13" t="str">
        <f>"1944"</f>
        <v>1944</v>
      </c>
      <c r="F13" t="str">
        <f>"16640050"</f>
        <v>16640050</v>
      </c>
      <c r="H13" t="s">
        <v>6457</v>
      </c>
      <c r="K13" s="4">
        <v>6356096</v>
      </c>
    </row>
    <row r="14" spans="1:11" outlineLevel="1" collapsed="1" x14ac:dyDescent="0.35">
      <c r="B14" s="1"/>
      <c r="F14" s="3" t="s">
        <v>6778</v>
      </c>
      <c r="J14" s="4">
        <f>SUBTOTAL(9,J12:J13)</f>
        <v>0</v>
      </c>
      <c r="K14" s="4">
        <f>SUBTOTAL(9,K12:K13)</f>
        <v>15738904</v>
      </c>
    </row>
    <row r="15" spans="1:11" hidden="1" outlineLevel="2" x14ac:dyDescent="0.35">
      <c r="A15" t="s">
        <v>72</v>
      </c>
      <c r="B15" s="1">
        <v>45722</v>
      </c>
      <c r="C15" t="str">
        <f>"1"</f>
        <v>1</v>
      </c>
      <c r="D15" t="str">
        <f>"00082"</f>
        <v>00082</v>
      </c>
      <c r="E15" t="s">
        <v>6407</v>
      </c>
      <c r="F15" t="str">
        <f>"21930000"</f>
        <v>21930000</v>
      </c>
      <c r="H15" t="s">
        <v>6408</v>
      </c>
      <c r="J15" s="4">
        <v>12919500</v>
      </c>
    </row>
    <row r="16" spans="1:11" outlineLevel="1" collapsed="1" x14ac:dyDescent="0.35">
      <c r="B16" s="1"/>
      <c r="F16" s="3" t="s">
        <v>6779</v>
      </c>
      <c r="J16" s="4">
        <f>SUBTOTAL(9,J15:J15)</f>
        <v>12919500</v>
      </c>
      <c r="K16" s="4">
        <f>SUBTOTAL(9,K15:K15)</f>
        <v>0</v>
      </c>
    </row>
    <row r="17" spans="1:11" hidden="1" outlineLevel="2" x14ac:dyDescent="0.35">
      <c r="A17" t="s">
        <v>101</v>
      </c>
      <c r="B17" s="1">
        <v>45747</v>
      </c>
      <c r="C17" t="str">
        <f>"1932"</f>
        <v>1932</v>
      </c>
      <c r="E17" t="s">
        <v>116</v>
      </c>
      <c r="F17" t="str">
        <f>"28130000"</f>
        <v>28130000</v>
      </c>
      <c r="H17" t="s">
        <v>6452</v>
      </c>
      <c r="K17" s="4">
        <v>487032</v>
      </c>
    </row>
    <row r="18" spans="1:11" outlineLevel="1" collapsed="1" x14ac:dyDescent="0.35">
      <c r="B18" s="1"/>
      <c r="F18" s="3" t="s">
        <v>6780</v>
      </c>
      <c r="J18" s="4">
        <f>SUBTOTAL(9,J17:J17)</f>
        <v>0</v>
      </c>
      <c r="K18" s="4">
        <f>SUBTOTAL(9,K17:K17)</f>
        <v>487032</v>
      </c>
    </row>
    <row r="19" spans="1:11" hidden="1" outlineLevel="2" x14ac:dyDescent="0.35">
      <c r="A19" t="s">
        <v>101</v>
      </c>
      <c r="B19" s="1">
        <v>45747</v>
      </c>
      <c r="C19" t="str">
        <f>"1932"</f>
        <v>1932</v>
      </c>
      <c r="E19" t="s">
        <v>116</v>
      </c>
      <c r="F19" t="str">
        <f>"28410000"</f>
        <v>28410000</v>
      </c>
      <c r="H19" t="s">
        <v>6453</v>
      </c>
      <c r="K19" s="4">
        <v>83794</v>
      </c>
    </row>
    <row r="20" spans="1:11" outlineLevel="1" collapsed="1" x14ac:dyDescent="0.35">
      <c r="B20" s="1"/>
      <c r="F20" s="3" t="s">
        <v>6781</v>
      </c>
      <c r="J20" s="4">
        <f>SUBTOTAL(9,J19:J19)</f>
        <v>0</v>
      </c>
      <c r="K20" s="4">
        <f>SUBTOTAL(9,K19:K19)</f>
        <v>83794</v>
      </c>
    </row>
    <row r="21" spans="1:11" hidden="1" outlineLevel="2" x14ac:dyDescent="0.35">
      <c r="A21" t="s">
        <v>101</v>
      </c>
      <c r="B21" s="1">
        <v>45747</v>
      </c>
      <c r="C21" t="str">
        <f>"1932"</f>
        <v>1932</v>
      </c>
      <c r="E21" t="s">
        <v>116</v>
      </c>
      <c r="F21" t="str">
        <f>"28440000"</f>
        <v>28440000</v>
      </c>
      <c r="H21" t="s">
        <v>6454</v>
      </c>
      <c r="K21" s="4">
        <v>306907</v>
      </c>
    </row>
    <row r="22" spans="1:11" outlineLevel="1" collapsed="1" x14ac:dyDescent="0.35">
      <c r="B22" s="1"/>
      <c r="F22" s="3" t="s">
        <v>6782</v>
      </c>
      <c r="J22" s="4">
        <f>SUBTOTAL(9,J21:J21)</f>
        <v>0</v>
      </c>
      <c r="K22" s="4">
        <f>SUBTOTAL(9,K21:K21)</f>
        <v>306907</v>
      </c>
    </row>
    <row r="23" spans="1:11" hidden="1" outlineLevel="2" x14ac:dyDescent="0.35">
      <c r="A23" t="s">
        <v>6378</v>
      </c>
      <c r="B23" s="1">
        <v>45717</v>
      </c>
      <c r="C23" t="str">
        <f>"1879"</f>
        <v>1879</v>
      </c>
      <c r="D23" t="s">
        <v>6379</v>
      </c>
      <c r="E23" t="s">
        <v>6380</v>
      </c>
      <c r="F23" t="str">
        <f t="shared" ref="F23:F33" si="0">"40110000"</f>
        <v>40110000</v>
      </c>
      <c r="G23" t="s">
        <v>6034</v>
      </c>
      <c r="H23" t="s">
        <v>6381</v>
      </c>
      <c r="I23" s="1">
        <v>45717</v>
      </c>
      <c r="K23" s="4">
        <v>2360000</v>
      </c>
    </row>
    <row r="24" spans="1:11" hidden="1" outlineLevel="2" x14ac:dyDescent="0.35">
      <c r="A24" t="s">
        <v>6378</v>
      </c>
      <c r="B24" s="1">
        <v>45720</v>
      </c>
      <c r="C24" t="str">
        <f>"1880"</f>
        <v>1880</v>
      </c>
      <c r="D24" t="s">
        <v>6382</v>
      </c>
      <c r="E24" t="str">
        <f>"2503033"</f>
        <v>2503033</v>
      </c>
      <c r="F24" t="str">
        <f t="shared" si="0"/>
        <v>40110000</v>
      </c>
      <c r="G24" t="s">
        <v>6383</v>
      </c>
      <c r="H24" t="s">
        <v>6384</v>
      </c>
      <c r="I24" s="1">
        <v>45720</v>
      </c>
      <c r="K24" s="4">
        <v>97940</v>
      </c>
    </row>
    <row r="25" spans="1:11" hidden="1" outlineLevel="2" x14ac:dyDescent="0.35">
      <c r="A25" t="s">
        <v>6378</v>
      </c>
      <c r="B25" s="1">
        <v>45720</v>
      </c>
      <c r="C25" t="str">
        <f>"1881"</f>
        <v>1881</v>
      </c>
      <c r="D25" t="s">
        <v>6386</v>
      </c>
      <c r="E25" t="str">
        <f>"2503034"</f>
        <v>2503034</v>
      </c>
      <c r="F25" t="str">
        <f t="shared" si="0"/>
        <v>40110000</v>
      </c>
      <c r="G25" t="s">
        <v>6383</v>
      </c>
      <c r="H25" t="s">
        <v>6387</v>
      </c>
      <c r="I25" s="1">
        <v>45720</v>
      </c>
      <c r="K25" s="4">
        <v>97940</v>
      </c>
    </row>
    <row r="26" spans="1:11" hidden="1" outlineLevel="2" x14ac:dyDescent="0.35">
      <c r="A26" t="s">
        <v>6378</v>
      </c>
      <c r="B26" s="1">
        <v>45720</v>
      </c>
      <c r="C26" t="str">
        <f>"1882"</f>
        <v>1882</v>
      </c>
      <c r="D26" t="s">
        <v>6388</v>
      </c>
      <c r="E26" t="str">
        <f>"0001493"</f>
        <v>0001493</v>
      </c>
      <c r="F26" t="str">
        <f t="shared" si="0"/>
        <v>40110000</v>
      </c>
      <c r="G26" t="s">
        <v>6389</v>
      </c>
      <c r="H26" t="s">
        <v>6390</v>
      </c>
      <c r="I26" s="1">
        <v>45720</v>
      </c>
      <c r="K26" s="4">
        <v>9800000</v>
      </c>
    </row>
    <row r="27" spans="1:11" hidden="1" outlineLevel="2" x14ac:dyDescent="0.35">
      <c r="A27" t="s">
        <v>6378</v>
      </c>
      <c r="B27" s="1">
        <v>45730</v>
      </c>
      <c r="C27" t="str">
        <f>"1888"</f>
        <v>1888</v>
      </c>
      <c r="D27" t="s">
        <v>6391</v>
      </c>
      <c r="E27" t="s">
        <v>6392</v>
      </c>
      <c r="F27" t="str">
        <f t="shared" si="0"/>
        <v>40110000</v>
      </c>
      <c r="G27" t="s">
        <v>6393</v>
      </c>
      <c r="H27" t="s">
        <v>6394</v>
      </c>
      <c r="I27" s="1">
        <v>45730</v>
      </c>
      <c r="K27" s="4">
        <v>204000</v>
      </c>
    </row>
    <row r="28" spans="1:11" hidden="1" outlineLevel="2" x14ac:dyDescent="0.35">
      <c r="A28" t="s">
        <v>6395</v>
      </c>
      <c r="B28" s="1">
        <v>45727</v>
      </c>
      <c r="C28" t="str">
        <f>"1886"</f>
        <v>1886</v>
      </c>
      <c r="F28" t="str">
        <f t="shared" si="0"/>
        <v>40110000</v>
      </c>
      <c r="G28" t="s">
        <v>6034</v>
      </c>
      <c r="H28" t="s">
        <v>6398</v>
      </c>
      <c r="J28" s="4">
        <v>1415062</v>
      </c>
    </row>
    <row r="29" spans="1:11" hidden="1" outlineLevel="2" x14ac:dyDescent="0.35">
      <c r="A29" t="s">
        <v>6395</v>
      </c>
      <c r="B29" s="1">
        <v>45741</v>
      </c>
      <c r="C29" t="str">
        <f>"1906"</f>
        <v>1906</v>
      </c>
      <c r="F29" t="str">
        <f t="shared" si="0"/>
        <v>40110000</v>
      </c>
      <c r="G29" t="s">
        <v>6401</v>
      </c>
      <c r="H29" t="s">
        <v>6402</v>
      </c>
      <c r="J29" s="4">
        <v>9025230</v>
      </c>
    </row>
    <row r="30" spans="1:11" hidden="1" outlineLevel="2" x14ac:dyDescent="0.35">
      <c r="A30" t="s">
        <v>6403</v>
      </c>
      <c r="B30" s="1">
        <v>45717</v>
      </c>
      <c r="C30" t="str">
        <f>"1935"</f>
        <v>1935</v>
      </c>
      <c r="F30" t="str">
        <f t="shared" si="0"/>
        <v>40110000</v>
      </c>
      <c r="G30" t="s">
        <v>6383</v>
      </c>
      <c r="H30" t="s">
        <v>6404</v>
      </c>
      <c r="J30" s="4">
        <v>195880</v>
      </c>
    </row>
    <row r="31" spans="1:11" hidden="1" outlineLevel="2" x14ac:dyDescent="0.35">
      <c r="A31" t="s">
        <v>6403</v>
      </c>
      <c r="B31" s="1">
        <v>45728</v>
      </c>
      <c r="C31" t="str">
        <f>"1883"</f>
        <v>1883</v>
      </c>
      <c r="F31" t="str">
        <f t="shared" si="0"/>
        <v>40110000</v>
      </c>
      <c r="G31" t="s">
        <v>6393</v>
      </c>
      <c r="H31" t="s">
        <v>6405</v>
      </c>
      <c r="J31" s="4">
        <v>204000</v>
      </c>
    </row>
    <row r="32" spans="1:11" hidden="1" outlineLevel="2" x14ac:dyDescent="0.35">
      <c r="A32" t="s">
        <v>75</v>
      </c>
      <c r="B32" s="1">
        <v>45729</v>
      </c>
      <c r="C32" t="str">
        <f>"1913"</f>
        <v>1913</v>
      </c>
      <c r="D32" t="s">
        <v>6424</v>
      </c>
      <c r="E32" t="s">
        <v>6425</v>
      </c>
      <c r="F32" t="str">
        <f t="shared" si="0"/>
        <v>40110000</v>
      </c>
      <c r="G32" t="s">
        <v>6389</v>
      </c>
      <c r="H32" t="s">
        <v>6426</v>
      </c>
      <c r="I32" s="1">
        <v>45729</v>
      </c>
      <c r="J32" s="4">
        <v>9800000</v>
      </c>
    </row>
    <row r="33" spans="1:11" hidden="1" outlineLevel="2" x14ac:dyDescent="0.35">
      <c r="A33" t="s">
        <v>75</v>
      </c>
      <c r="B33" s="1">
        <v>45744</v>
      </c>
      <c r="C33" t="str">
        <f>"1939"</f>
        <v>1939</v>
      </c>
      <c r="D33" t="s">
        <v>6437</v>
      </c>
      <c r="E33" t="s">
        <v>6438</v>
      </c>
      <c r="F33" t="str">
        <f t="shared" si="0"/>
        <v>40110000</v>
      </c>
      <c r="G33" t="s">
        <v>6439</v>
      </c>
      <c r="H33" t="s">
        <v>6440</v>
      </c>
      <c r="I33" s="1">
        <v>45744</v>
      </c>
      <c r="J33" s="4">
        <v>7011700</v>
      </c>
    </row>
    <row r="34" spans="1:11" outlineLevel="1" collapsed="1" x14ac:dyDescent="0.35">
      <c r="B34" s="1"/>
      <c r="F34" s="3" t="s">
        <v>6529</v>
      </c>
      <c r="I34" s="1"/>
      <c r="J34" s="4">
        <f>SUBTOTAL(9,J23:J33)</f>
        <v>27651872</v>
      </c>
      <c r="K34" s="4">
        <f>SUBTOTAL(9,K23:K33)</f>
        <v>12559880</v>
      </c>
    </row>
    <row r="35" spans="1:11" hidden="1" outlineLevel="2" x14ac:dyDescent="0.35">
      <c r="A35" t="s">
        <v>101</v>
      </c>
      <c r="B35" s="1">
        <v>45747</v>
      </c>
      <c r="C35" t="str">
        <f>"1902"</f>
        <v>1902</v>
      </c>
      <c r="F35" t="str">
        <f>"40810000"</f>
        <v>40810000</v>
      </c>
      <c r="G35" t="s">
        <v>6074</v>
      </c>
      <c r="H35" t="s">
        <v>6450</v>
      </c>
      <c r="K35" s="4">
        <v>724865</v>
      </c>
    </row>
    <row r="36" spans="1:11" outlineLevel="1" collapsed="1" x14ac:dyDescent="0.35">
      <c r="B36" s="1"/>
      <c r="F36" s="3" t="s">
        <v>6532</v>
      </c>
      <c r="J36" s="4">
        <f>SUBTOTAL(9,J35:J35)</f>
        <v>0</v>
      </c>
      <c r="K36" s="4">
        <f>SUBTOTAL(9,K35:K35)</f>
        <v>724865</v>
      </c>
    </row>
    <row r="37" spans="1:11" hidden="1" outlineLevel="2" x14ac:dyDescent="0.35">
      <c r="A37" t="s">
        <v>2964</v>
      </c>
      <c r="B37" s="1">
        <v>45746</v>
      </c>
      <c r="C37" t="str">
        <f>"1908"</f>
        <v>1908</v>
      </c>
      <c r="E37" t="s">
        <v>6213</v>
      </c>
      <c r="F37" t="str">
        <f>"42110100"</f>
        <v>42110100</v>
      </c>
      <c r="G37" t="str">
        <f>"00006"</f>
        <v>00006</v>
      </c>
      <c r="H37" t="s">
        <v>6458</v>
      </c>
      <c r="I37" s="1">
        <v>45746</v>
      </c>
      <c r="K37" s="4">
        <v>12000</v>
      </c>
    </row>
    <row r="38" spans="1:11" hidden="1" outlineLevel="2" x14ac:dyDescent="0.35">
      <c r="A38" t="s">
        <v>2964</v>
      </c>
      <c r="B38" s="1">
        <v>45746</v>
      </c>
      <c r="C38" t="str">
        <f>"1908"</f>
        <v>1908</v>
      </c>
      <c r="E38" t="s">
        <v>6213</v>
      </c>
      <c r="F38" t="str">
        <f>"42110100"</f>
        <v>42110100</v>
      </c>
      <c r="G38" t="s">
        <v>6459</v>
      </c>
      <c r="H38" t="s">
        <v>6458</v>
      </c>
      <c r="I38" s="1">
        <v>45746</v>
      </c>
      <c r="K38" s="4">
        <v>12000</v>
      </c>
    </row>
    <row r="39" spans="1:11" hidden="1" outlineLevel="2" x14ac:dyDescent="0.35">
      <c r="A39" t="s">
        <v>2964</v>
      </c>
      <c r="B39" s="1">
        <v>45746</v>
      </c>
      <c r="C39" t="str">
        <f>"1908"</f>
        <v>1908</v>
      </c>
      <c r="E39" t="s">
        <v>6213</v>
      </c>
      <c r="F39" t="str">
        <f>"42110100"</f>
        <v>42110100</v>
      </c>
      <c r="G39" t="s">
        <v>6460</v>
      </c>
      <c r="H39" t="s">
        <v>6458</v>
      </c>
      <c r="I39" s="1">
        <v>45746</v>
      </c>
      <c r="K39" s="4">
        <v>12000</v>
      </c>
    </row>
    <row r="40" spans="1:11" hidden="1" outlineLevel="2" x14ac:dyDescent="0.35">
      <c r="A40" t="s">
        <v>2964</v>
      </c>
      <c r="B40" s="1">
        <v>45746</v>
      </c>
      <c r="C40" t="str">
        <f>"1908"</f>
        <v>1908</v>
      </c>
      <c r="E40" t="s">
        <v>6213</v>
      </c>
      <c r="F40" t="str">
        <f>"42110100"</f>
        <v>42110100</v>
      </c>
      <c r="G40" t="s">
        <v>6461</v>
      </c>
      <c r="H40" t="s">
        <v>6458</v>
      </c>
      <c r="I40" s="1">
        <v>45746</v>
      </c>
      <c r="K40" s="4">
        <v>12000</v>
      </c>
    </row>
    <row r="41" spans="1:11" hidden="1" outlineLevel="2" x14ac:dyDescent="0.35">
      <c r="A41" t="s">
        <v>2964</v>
      </c>
      <c r="B41" s="1">
        <v>45746</v>
      </c>
      <c r="C41" t="str">
        <f>"1908"</f>
        <v>1908</v>
      </c>
      <c r="E41" t="s">
        <v>6213</v>
      </c>
      <c r="F41" t="str">
        <f>"42110100"</f>
        <v>42110100</v>
      </c>
      <c r="G41" t="s">
        <v>6462</v>
      </c>
      <c r="H41" t="s">
        <v>6458</v>
      </c>
      <c r="I41" s="1">
        <v>45746</v>
      </c>
      <c r="K41" s="4">
        <v>12000</v>
      </c>
    </row>
    <row r="42" spans="1:11" outlineLevel="1" collapsed="1" x14ac:dyDescent="0.35">
      <c r="B42" s="1"/>
      <c r="F42" s="3" t="s">
        <v>6539</v>
      </c>
      <c r="I42" s="1"/>
      <c r="J42" s="4">
        <f>SUBTOTAL(9,J37:J41)</f>
        <v>0</v>
      </c>
      <c r="K42" s="4">
        <f>SUBTOTAL(9,K37:K41)</f>
        <v>60000</v>
      </c>
    </row>
    <row r="43" spans="1:11" hidden="1" outlineLevel="2" x14ac:dyDescent="0.35">
      <c r="A43" t="s">
        <v>75</v>
      </c>
      <c r="B43" s="1">
        <v>45742</v>
      </c>
      <c r="C43" t="str">
        <f>"1941"</f>
        <v>1941</v>
      </c>
      <c r="D43" t="s">
        <v>6429</v>
      </c>
      <c r="E43" t="s">
        <v>6430</v>
      </c>
      <c r="F43" t="str">
        <f>"42200000"</f>
        <v>42200000</v>
      </c>
      <c r="H43" t="s">
        <v>6431</v>
      </c>
      <c r="J43" s="4">
        <v>20312274</v>
      </c>
    </row>
    <row r="44" spans="1:11" hidden="1" outlineLevel="2" x14ac:dyDescent="0.35">
      <c r="A44" t="s">
        <v>2964</v>
      </c>
      <c r="B44" s="1">
        <v>45746</v>
      </c>
      <c r="C44" t="str">
        <f>"1908"</f>
        <v>1908</v>
      </c>
      <c r="E44" t="s">
        <v>6213</v>
      </c>
      <c r="F44" t="str">
        <f>"42200000"</f>
        <v>42200000</v>
      </c>
      <c r="H44" t="s">
        <v>6458</v>
      </c>
      <c r="K44" s="4">
        <v>20312274</v>
      </c>
    </row>
    <row r="45" spans="1:11" outlineLevel="1" collapsed="1" x14ac:dyDescent="0.35">
      <c r="B45" s="1"/>
      <c r="F45" s="3" t="s">
        <v>6544</v>
      </c>
      <c r="J45" s="4">
        <f>SUBTOTAL(9,J43:J44)</f>
        <v>20312274</v>
      </c>
      <c r="K45" s="4">
        <f>SUBTOTAL(9,K43:K44)</f>
        <v>20312274</v>
      </c>
    </row>
    <row r="46" spans="1:11" hidden="1" outlineLevel="2" x14ac:dyDescent="0.35">
      <c r="A46" t="s">
        <v>101</v>
      </c>
      <c r="B46" s="1">
        <v>45747</v>
      </c>
      <c r="C46" t="str">
        <f>"1897"</f>
        <v>1897</v>
      </c>
      <c r="F46" t="str">
        <f>"43110000"</f>
        <v>43110000</v>
      </c>
      <c r="H46" t="s">
        <v>6184</v>
      </c>
      <c r="K46" s="4">
        <v>25875</v>
      </c>
    </row>
    <row r="47" spans="1:11" outlineLevel="1" collapsed="1" x14ac:dyDescent="0.35">
      <c r="B47" s="1"/>
      <c r="F47" s="3" t="s">
        <v>6754</v>
      </c>
      <c r="J47" s="4">
        <f>SUBTOTAL(9,J46:J46)</f>
        <v>0</v>
      </c>
      <c r="K47" s="4">
        <f>SUBTOTAL(9,K46:K46)</f>
        <v>25875</v>
      </c>
    </row>
    <row r="48" spans="1:11" hidden="1" outlineLevel="2" x14ac:dyDescent="0.35">
      <c r="A48" t="s">
        <v>101</v>
      </c>
      <c r="B48" s="1">
        <v>45747</v>
      </c>
      <c r="C48" t="str">
        <f>"1897"</f>
        <v>1897</v>
      </c>
      <c r="F48" t="str">
        <f>"43120000"</f>
        <v>43120000</v>
      </c>
      <c r="H48" t="s">
        <v>6184</v>
      </c>
      <c r="K48" s="4">
        <v>13500</v>
      </c>
    </row>
    <row r="49" spans="1:11" outlineLevel="1" collapsed="1" x14ac:dyDescent="0.35">
      <c r="B49" s="1"/>
      <c r="F49" s="3" t="s">
        <v>6755</v>
      </c>
      <c r="J49" s="4">
        <f>SUBTOTAL(9,J48:J48)</f>
        <v>0</v>
      </c>
      <c r="K49" s="4">
        <f>SUBTOTAL(9,K48:K48)</f>
        <v>13500</v>
      </c>
    </row>
    <row r="50" spans="1:11" hidden="1" outlineLevel="2" x14ac:dyDescent="0.35">
      <c r="A50" t="s">
        <v>101</v>
      </c>
      <c r="B50" s="1">
        <v>45747</v>
      </c>
      <c r="C50" t="str">
        <f>"1897"</f>
        <v>1897</v>
      </c>
      <c r="F50" t="str">
        <f>"43130000"</f>
        <v>43130000</v>
      </c>
      <c r="H50" t="s">
        <v>6184</v>
      </c>
      <c r="K50" s="4">
        <v>1231352</v>
      </c>
    </row>
    <row r="51" spans="1:11" hidden="1" outlineLevel="2" x14ac:dyDescent="0.35">
      <c r="A51" t="s">
        <v>2964</v>
      </c>
      <c r="B51" s="1">
        <v>45746</v>
      </c>
      <c r="C51" t="str">
        <f>"1908"</f>
        <v>1908</v>
      </c>
      <c r="E51" t="s">
        <v>6213</v>
      </c>
      <c r="F51" t="str">
        <f>"43130000"</f>
        <v>43130000</v>
      </c>
      <c r="H51" t="s">
        <v>6458</v>
      </c>
      <c r="K51" s="4">
        <v>1007470</v>
      </c>
    </row>
    <row r="52" spans="1:11" outlineLevel="1" collapsed="1" x14ac:dyDescent="0.35">
      <c r="B52" s="1"/>
      <c r="F52" s="3" t="s">
        <v>6547</v>
      </c>
      <c r="J52" s="4">
        <f>SUBTOTAL(9,J50:J51)</f>
        <v>0</v>
      </c>
      <c r="K52" s="4">
        <f>SUBTOTAL(9,K50:K51)</f>
        <v>2238822</v>
      </c>
    </row>
    <row r="53" spans="1:11" hidden="1" outlineLevel="2" x14ac:dyDescent="0.35">
      <c r="A53" t="s">
        <v>101</v>
      </c>
      <c r="B53" s="1">
        <v>45747</v>
      </c>
      <c r="C53" t="str">
        <f>"1898"</f>
        <v>1898</v>
      </c>
      <c r="F53" t="str">
        <f>"43180000"</f>
        <v>43180000</v>
      </c>
      <c r="H53" t="s">
        <v>2849</v>
      </c>
      <c r="K53" s="4">
        <v>3000</v>
      </c>
    </row>
    <row r="54" spans="1:11" hidden="1" outlineLevel="2" x14ac:dyDescent="0.35">
      <c r="A54" t="s">
        <v>2964</v>
      </c>
      <c r="B54" s="1">
        <v>45746</v>
      </c>
      <c r="C54" t="str">
        <f>"1908"</f>
        <v>1908</v>
      </c>
      <c r="E54" t="s">
        <v>6213</v>
      </c>
      <c r="F54" t="str">
        <f>"43180000"</f>
        <v>43180000</v>
      </c>
      <c r="H54" t="s">
        <v>6458</v>
      </c>
      <c r="K54" s="4">
        <v>11500</v>
      </c>
    </row>
    <row r="55" spans="1:11" outlineLevel="1" collapsed="1" x14ac:dyDescent="0.35">
      <c r="B55" s="1"/>
      <c r="F55" s="3" t="s">
        <v>6549</v>
      </c>
      <c r="J55" s="4">
        <f>SUBTOTAL(9,J53:J54)</f>
        <v>0</v>
      </c>
      <c r="K55" s="4">
        <f>SUBTOTAL(9,K53:K54)</f>
        <v>14500</v>
      </c>
    </row>
    <row r="56" spans="1:11" hidden="1" outlineLevel="2" x14ac:dyDescent="0.35">
      <c r="A56" t="s">
        <v>101</v>
      </c>
      <c r="B56" s="1">
        <v>45747</v>
      </c>
      <c r="C56" t="str">
        <f>"1902"</f>
        <v>1902</v>
      </c>
      <c r="F56" t="str">
        <f>"44210000"</f>
        <v>44210000</v>
      </c>
      <c r="H56" t="s">
        <v>102</v>
      </c>
      <c r="K56" s="4">
        <v>-4000000</v>
      </c>
    </row>
    <row r="57" spans="1:11" hidden="1" outlineLevel="2" x14ac:dyDescent="0.35">
      <c r="A57" t="s">
        <v>101</v>
      </c>
      <c r="B57" s="1">
        <v>45747</v>
      </c>
      <c r="C57" t="str">
        <f>"1903"</f>
        <v>1903</v>
      </c>
      <c r="F57" t="str">
        <f>"44210000"</f>
        <v>44210000</v>
      </c>
      <c r="H57" t="s">
        <v>6451</v>
      </c>
      <c r="K57" s="4">
        <v>4000000</v>
      </c>
    </row>
    <row r="58" spans="1:11" outlineLevel="1" collapsed="1" x14ac:dyDescent="0.35">
      <c r="B58" s="1"/>
      <c r="F58" s="3" t="s">
        <v>6730</v>
      </c>
      <c r="J58" s="4">
        <f>SUBTOTAL(9,J56:J57)</f>
        <v>0</v>
      </c>
      <c r="K58" s="4">
        <f>SUBTOTAL(9,K56:K57)</f>
        <v>0</v>
      </c>
    </row>
    <row r="59" spans="1:11" hidden="1" outlineLevel="2" x14ac:dyDescent="0.35">
      <c r="A59" t="s">
        <v>101</v>
      </c>
      <c r="B59" s="1">
        <v>45717</v>
      </c>
      <c r="C59" t="str">
        <f>"1915"</f>
        <v>1915</v>
      </c>
      <c r="F59" t="str">
        <f>"44490000"</f>
        <v>44490000</v>
      </c>
      <c r="H59" t="s">
        <v>2750</v>
      </c>
      <c r="K59" s="4">
        <v>337500</v>
      </c>
    </row>
    <row r="60" spans="1:11" hidden="1" outlineLevel="2" x14ac:dyDescent="0.35">
      <c r="A60" t="s">
        <v>101</v>
      </c>
      <c r="B60" s="1">
        <v>45717</v>
      </c>
      <c r="C60" t="str">
        <f>"1915"</f>
        <v>1915</v>
      </c>
      <c r="F60" t="str">
        <f>"44490000"</f>
        <v>44490000</v>
      </c>
      <c r="H60" t="s">
        <v>2750</v>
      </c>
      <c r="J60" s="4">
        <v>5680680</v>
      </c>
    </row>
    <row r="61" spans="1:11" hidden="1" outlineLevel="2" x14ac:dyDescent="0.35">
      <c r="A61" t="s">
        <v>101</v>
      </c>
      <c r="B61" s="1">
        <v>45747</v>
      </c>
      <c r="C61" t="str">
        <f>"1916"</f>
        <v>1916</v>
      </c>
      <c r="F61" t="str">
        <f>"44490000"</f>
        <v>44490000</v>
      </c>
      <c r="H61" t="s">
        <v>120</v>
      </c>
      <c r="K61" s="4">
        <v>5680680</v>
      </c>
    </row>
    <row r="62" spans="1:11" hidden="1" outlineLevel="2" x14ac:dyDescent="0.35">
      <c r="A62" t="s">
        <v>101</v>
      </c>
      <c r="B62" s="1">
        <v>45747</v>
      </c>
      <c r="C62" t="str">
        <f>"1916"</f>
        <v>1916</v>
      </c>
      <c r="F62" t="str">
        <f>"44490000"</f>
        <v>44490000</v>
      </c>
      <c r="H62" t="s">
        <v>120</v>
      </c>
      <c r="J62" s="4">
        <v>8006190</v>
      </c>
    </row>
    <row r="63" spans="1:11" outlineLevel="1" collapsed="1" x14ac:dyDescent="0.35">
      <c r="B63" s="1"/>
      <c r="F63" s="3" t="s">
        <v>6761</v>
      </c>
      <c r="J63" s="4">
        <f>SUBTOTAL(9,J59:J62)</f>
        <v>13686870</v>
      </c>
      <c r="K63" s="4">
        <f>SUBTOTAL(9,K59:K62)</f>
        <v>6018180</v>
      </c>
    </row>
    <row r="64" spans="1:11" hidden="1" outlineLevel="2" x14ac:dyDescent="0.35">
      <c r="A64" t="s">
        <v>72</v>
      </c>
      <c r="B64" s="1">
        <v>45722</v>
      </c>
      <c r="C64" t="str">
        <f>"1"</f>
        <v>1</v>
      </c>
      <c r="D64" t="str">
        <f>"00082"</f>
        <v>00082</v>
      </c>
      <c r="E64" t="s">
        <v>6407</v>
      </c>
      <c r="F64" t="str">
        <f>"44510000"</f>
        <v>44510000</v>
      </c>
      <c r="H64" t="s">
        <v>6408</v>
      </c>
      <c r="J64" s="4">
        <v>2325510</v>
      </c>
    </row>
    <row r="65" spans="1:11" hidden="1" outlineLevel="2" x14ac:dyDescent="0.35">
      <c r="A65" t="s">
        <v>101</v>
      </c>
      <c r="B65" s="1">
        <v>45717</v>
      </c>
      <c r="C65" t="str">
        <f>"1915"</f>
        <v>1915</v>
      </c>
      <c r="F65" t="str">
        <f>"44510000"</f>
        <v>44510000</v>
      </c>
      <c r="H65" t="s">
        <v>2750</v>
      </c>
      <c r="K65" s="4">
        <v>3488265</v>
      </c>
    </row>
    <row r="66" spans="1:11" hidden="1" outlineLevel="2" x14ac:dyDescent="0.35">
      <c r="A66" t="s">
        <v>101</v>
      </c>
      <c r="B66" s="1">
        <v>45747</v>
      </c>
      <c r="C66" t="str">
        <f>"1916"</f>
        <v>1916</v>
      </c>
      <c r="F66" t="str">
        <f>"44510000"</f>
        <v>44510000</v>
      </c>
      <c r="H66" t="s">
        <v>120</v>
      </c>
      <c r="K66" s="4">
        <v>2325510</v>
      </c>
    </row>
    <row r="67" spans="1:11" outlineLevel="1" collapsed="1" x14ac:dyDescent="0.35">
      <c r="B67" s="1"/>
      <c r="F67" s="3" t="s">
        <v>6556</v>
      </c>
      <c r="J67" s="4">
        <f>SUBTOTAL(9,J64:J66)</f>
        <v>2325510</v>
      </c>
      <c r="K67" s="4">
        <f>SUBTOTAL(9,K64:K66)</f>
        <v>5813775</v>
      </c>
    </row>
    <row r="68" spans="1:11" hidden="1" outlineLevel="2" x14ac:dyDescent="0.35">
      <c r="A68" t="s">
        <v>6378</v>
      </c>
      <c r="B68" s="1">
        <v>45717</v>
      </c>
      <c r="C68" t="str">
        <f>"1879"</f>
        <v>1879</v>
      </c>
      <c r="D68" t="s">
        <v>6379</v>
      </c>
      <c r="E68" t="s">
        <v>6380</v>
      </c>
      <c r="F68" t="str">
        <f>"44540000"</f>
        <v>44540000</v>
      </c>
      <c r="H68" t="s">
        <v>6381</v>
      </c>
      <c r="J68" s="4">
        <v>360000</v>
      </c>
    </row>
    <row r="69" spans="1:11" hidden="1" outlineLevel="2" x14ac:dyDescent="0.35">
      <c r="A69" t="s">
        <v>6378</v>
      </c>
      <c r="B69" s="1">
        <v>45720</v>
      </c>
      <c r="C69" t="str">
        <f>"1882"</f>
        <v>1882</v>
      </c>
      <c r="D69" t="s">
        <v>6388</v>
      </c>
      <c r="E69" t="str">
        <f>"0001493"</f>
        <v>0001493</v>
      </c>
      <c r="F69" t="str">
        <f>"44540000"</f>
        <v>44540000</v>
      </c>
      <c r="H69" t="s">
        <v>6390</v>
      </c>
      <c r="J69" s="4">
        <v>1494915</v>
      </c>
    </row>
    <row r="70" spans="1:11" hidden="1" outlineLevel="2" x14ac:dyDescent="0.35">
      <c r="A70" t="s">
        <v>101</v>
      </c>
      <c r="B70" s="1">
        <v>45717</v>
      </c>
      <c r="C70" t="str">
        <f>"1915"</f>
        <v>1915</v>
      </c>
      <c r="F70" t="str">
        <f>"44540000"</f>
        <v>44540000</v>
      </c>
      <c r="H70" t="s">
        <v>2750</v>
      </c>
      <c r="K70" s="4">
        <v>1854915</v>
      </c>
    </row>
    <row r="71" spans="1:11" hidden="1" outlineLevel="2" x14ac:dyDescent="0.35">
      <c r="A71" t="s">
        <v>101</v>
      </c>
      <c r="B71" s="1">
        <v>45747</v>
      </c>
      <c r="C71" t="str">
        <f>"1916"</f>
        <v>1916</v>
      </c>
      <c r="F71" t="str">
        <f>"44540000"</f>
        <v>44540000</v>
      </c>
      <c r="H71" t="s">
        <v>120</v>
      </c>
      <c r="J71" s="4">
        <v>337500</v>
      </c>
    </row>
    <row r="72" spans="1:11" hidden="1" outlineLevel="2" x14ac:dyDescent="0.35">
      <c r="A72" t="s">
        <v>101</v>
      </c>
      <c r="B72" s="1">
        <v>45747</v>
      </c>
      <c r="C72" t="str">
        <f>"1916"</f>
        <v>1916</v>
      </c>
      <c r="F72" t="str">
        <f>"44540000"</f>
        <v>44540000</v>
      </c>
      <c r="H72" t="s">
        <v>120</v>
      </c>
      <c r="J72" s="4">
        <v>-337500</v>
      </c>
    </row>
    <row r="73" spans="1:11" outlineLevel="1" collapsed="1" x14ac:dyDescent="0.35">
      <c r="B73" s="1"/>
      <c r="F73" s="3" t="s">
        <v>6560</v>
      </c>
      <c r="J73" s="4">
        <f>SUBTOTAL(9,J68:J72)</f>
        <v>1854915</v>
      </c>
      <c r="K73" s="4">
        <f>SUBTOTAL(9,K68:K72)</f>
        <v>1854915</v>
      </c>
    </row>
    <row r="74" spans="1:11" hidden="1" outlineLevel="2" x14ac:dyDescent="0.35">
      <c r="A74" t="s">
        <v>6395</v>
      </c>
      <c r="B74" s="1">
        <v>45723</v>
      </c>
      <c r="C74" t="str">
        <f>"1884"</f>
        <v>1884</v>
      </c>
      <c r="F74" t="str">
        <f t="shared" ref="F74:F79" si="1">"44720000"</f>
        <v>44720000</v>
      </c>
      <c r="H74" t="s">
        <v>6396</v>
      </c>
      <c r="J74" s="4">
        <v>8779378</v>
      </c>
    </row>
    <row r="75" spans="1:11" hidden="1" outlineLevel="2" x14ac:dyDescent="0.35">
      <c r="A75" t="s">
        <v>6395</v>
      </c>
      <c r="B75" s="1">
        <v>45723</v>
      </c>
      <c r="C75" t="str">
        <f>"1885"</f>
        <v>1885</v>
      </c>
      <c r="F75" t="str">
        <f t="shared" si="1"/>
        <v>44720000</v>
      </c>
      <c r="H75" t="s">
        <v>6397</v>
      </c>
      <c r="J75" s="4">
        <v>14048578</v>
      </c>
    </row>
    <row r="76" spans="1:11" hidden="1" outlineLevel="2" x14ac:dyDescent="0.35">
      <c r="A76" t="s">
        <v>101</v>
      </c>
      <c r="B76" s="1">
        <v>45747</v>
      </c>
      <c r="C76" t="str">
        <f>"1895"</f>
        <v>1895</v>
      </c>
      <c r="F76" t="str">
        <f t="shared" si="1"/>
        <v>44720000</v>
      </c>
      <c r="H76" t="s">
        <v>6446</v>
      </c>
      <c r="K76" s="4">
        <v>342084</v>
      </c>
    </row>
    <row r="77" spans="1:11" hidden="1" outlineLevel="2" x14ac:dyDescent="0.35">
      <c r="A77" t="s">
        <v>101</v>
      </c>
      <c r="B77" s="1">
        <v>45747</v>
      </c>
      <c r="C77" t="str">
        <f>"1896"</f>
        <v>1896</v>
      </c>
      <c r="F77" t="str">
        <f t="shared" si="1"/>
        <v>44720000</v>
      </c>
      <c r="H77" t="s">
        <v>6183</v>
      </c>
      <c r="K77" s="4">
        <v>114028</v>
      </c>
    </row>
    <row r="78" spans="1:11" hidden="1" outlineLevel="2" x14ac:dyDescent="0.35">
      <c r="A78" t="s">
        <v>101</v>
      </c>
      <c r="B78" s="1">
        <v>45747</v>
      </c>
      <c r="C78" t="str">
        <f>"1896"</f>
        <v>1896</v>
      </c>
      <c r="F78" t="str">
        <f t="shared" si="1"/>
        <v>44720000</v>
      </c>
      <c r="H78" t="s">
        <v>6183</v>
      </c>
      <c r="K78" s="4">
        <v>171042</v>
      </c>
    </row>
    <row r="79" spans="1:11" hidden="1" outlineLevel="2" x14ac:dyDescent="0.35">
      <c r="A79" t="s">
        <v>2964</v>
      </c>
      <c r="B79" s="1">
        <v>45746</v>
      </c>
      <c r="C79" t="str">
        <f>"1908"</f>
        <v>1908</v>
      </c>
      <c r="E79" t="s">
        <v>6213</v>
      </c>
      <c r="F79" t="str">
        <f t="shared" si="1"/>
        <v>44720000</v>
      </c>
      <c r="H79" t="s">
        <v>6458</v>
      </c>
      <c r="K79" s="4">
        <v>7145753</v>
      </c>
    </row>
    <row r="80" spans="1:11" outlineLevel="1" collapsed="1" x14ac:dyDescent="0.35">
      <c r="B80" s="1"/>
      <c r="F80" s="3" t="s">
        <v>6562</v>
      </c>
      <c r="J80" s="4">
        <f>SUBTOTAL(9,J74:J79)</f>
        <v>22827956</v>
      </c>
      <c r="K80" s="4">
        <f>SUBTOTAL(9,K74:K79)</f>
        <v>7772907</v>
      </c>
    </row>
    <row r="81" spans="1:11" hidden="1" outlineLevel="2" x14ac:dyDescent="0.35">
      <c r="A81" t="s">
        <v>11</v>
      </c>
      <c r="B81" s="1">
        <v>45717</v>
      </c>
      <c r="C81" t="str">
        <f>"1923"</f>
        <v>1923</v>
      </c>
      <c r="E81" t="s">
        <v>20</v>
      </c>
      <c r="F81" t="str">
        <f>"44860000"</f>
        <v>44860000</v>
      </c>
      <c r="H81" t="s">
        <v>6368</v>
      </c>
      <c r="K81" s="4">
        <v>346165</v>
      </c>
    </row>
    <row r="82" spans="1:11" hidden="1" outlineLevel="2" x14ac:dyDescent="0.35">
      <c r="A82" t="s">
        <v>11</v>
      </c>
      <c r="B82" s="1">
        <v>45717</v>
      </c>
      <c r="C82" t="str">
        <f>"1925"</f>
        <v>1925</v>
      </c>
      <c r="E82" t="s">
        <v>6371</v>
      </c>
      <c r="F82" t="str">
        <f>"44860000"</f>
        <v>44860000</v>
      </c>
      <c r="H82" t="s">
        <v>1225</v>
      </c>
      <c r="K82" s="4">
        <v>1448750</v>
      </c>
    </row>
    <row r="83" spans="1:11" outlineLevel="1" collapsed="1" x14ac:dyDescent="0.35">
      <c r="B83" s="1"/>
      <c r="F83" s="3" t="s">
        <v>6731</v>
      </c>
      <c r="J83" s="4">
        <f>SUBTOTAL(9,J81:J82)</f>
        <v>0</v>
      </c>
      <c r="K83" s="4">
        <f>SUBTOTAL(9,K81:K82)</f>
        <v>1794915</v>
      </c>
    </row>
    <row r="84" spans="1:11" hidden="1" outlineLevel="2" x14ac:dyDescent="0.35">
      <c r="A84" t="s">
        <v>101</v>
      </c>
      <c r="B84" s="1">
        <v>45747</v>
      </c>
      <c r="C84" t="str">
        <f>"1894"</f>
        <v>1894</v>
      </c>
      <c r="F84" t="str">
        <f>"46601000"</f>
        <v>46601000</v>
      </c>
      <c r="G84" t="s">
        <v>6074</v>
      </c>
      <c r="H84" t="s">
        <v>6445</v>
      </c>
      <c r="J84" s="4">
        <v>9478356</v>
      </c>
    </row>
    <row r="85" spans="1:11" outlineLevel="1" collapsed="1" x14ac:dyDescent="0.35">
      <c r="B85" s="1"/>
      <c r="F85" s="3" t="s">
        <v>6783</v>
      </c>
      <c r="J85" s="4">
        <f>SUBTOTAL(9,J84:J84)</f>
        <v>9478356</v>
      </c>
      <c r="K85" s="4">
        <f>SUBTOTAL(9,K84:K84)</f>
        <v>0</v>
      </c>
    </row>
    <row r="86" spans="1:11" hidden="1" outlineLevel="2" x14ac:dyDescent="0.35">
      <c r="A86" t="s">
        <v>6395</v>
      </c>
      <c r="B86" s="1">
        <v>45729</v>
      </c>
      <c r="C86" t="str">
        <f>"1887"</f>
        <v>1887</v>
      </c>
      <c r="F86" t="str">
        <f t="shared" ref="F86:F101" si="2">"47110000"</f>
        <v>47110000</v>
      </c>
      <c r="G86" t="s">
        <v>6074</v>
      </c>
      <c r="H86" t="s">
        <v>1897</v>
      </c>
      <c r="K86" s="4">
        <v>1000000</v>
      </c>
    </row>
    <row r="87" spans="1:11" hidden="1" outlineLevel="2" x14ac:dyDescent="0.35">
      <c r="A87" t="s">
        <v>6395</v>
      </c>
      <c r="B87" s="1">
        <v>45734</v>
      </c>
      <c r="C87" t="str">
        <f>"1889"</f>
        <v>1889</v>
      </c>
      <c r="F87" t="str">
        <f t="shared" si="2"/>
        <v>47110000</v>
      </c>
      <c r="G87" t="s">
        <v>6074</v>
      </c>
      <c r="H87" t="s">
        <v>1897</v>
      </c>
      <c r="K87" s="4">
        <v>44000000</v>
      </c>
    </row>
    <row r="88" spans="1:11" hidden="1" outlineLevel="2" x14ac:dyDescent="0.35">
      <c r="A88" t="s">
        <v>6403</v>
      </c>
      <c r="B88" s="1">
        <v>45735</v>
      </c>
      <c r="C88" t="str">
        <f>"1907"</f>
        <v>1907</v>
      </c>
      <c r="F88" t="str">
        <f t="shared" si="2"/>
        <v>47110000</v>
      </c>
      <c r="G88" t="s">
        <v>6074</v>
      </c>
      <c r="H88" t="s">
        <v>6406</v>
      </c>
      <c r="K88" s="4">
        <v>6000000</v>
      </c>
    </row>
    <row r="89" spans="1:11" hidden="1" outlineLevel="2" x14ac:dyDescent="0.35">
      <c r="A89" t="s">
        <v>75</v>
      </c>
      <c r="B89" s="1">
        <v>45722</v>
      </c>
      <c r="C89" t="str">
        <f>"1909"</f>
        <v>1909</v>
      </c>
      <c r="D89" t="s">
        <v>6409</v>
      </c>
      <c r="E89" t="s">
        <v>6410</v>
      </c>
      <c r="F89" t="str">
        <f t="shared" si="2"/>
        <v>47110000</v>
      </c>
      <c r="G89" t="s">
        <v>6074</v>
      </c>
      <c r="H89" t="s">
        <v>6411</v>
      </c>
      <c r="K89" s="4">
        <v>848585</v>
      </c>
    </row>
    <row r="90" spans="1:11" hidden="1" outlineLevel="2" x14ac:dyDescent="0.35">
      <c r="A90" t="s">
        <v>75</v>
      </c>
      <c r="B90" s="1">
        <v>45722</v>
      </c>
      <c r="C90" t="str">
        <f>"1910"</f>
        <v>1910</v>
      </c>
      <c r="D90" t="s">
        <v>6412</v>
      </c>
      <c r="E90" t="s">
        <v>6413</v>
      </c>
      <c r="F90" t="str">
        <f t="shared" si="2"/>
        <v>47110000</v>
      </c>
      <c r="G90" t="s">
        <v>6074</v>
      </c>
      <c r="H90" t="s">
        <v>6414</v>
      </c>
      <c r="K90" s="4">
        <v>146635</v>
      </c>
    </row>
    <row r="91" spans="1:11" hidden="1" outlineLevel="2" x14ac:dyDescent="0.35">
      <c r="A91" t="s">
        <v>75</v>
      </c>
      <c r="B91" s="1">
        <v>45726</v>
      </c>
      <c r="C91" t="str">
        <f>"1911"</f>
        <v>1911</v>
      </c>
      <c r="D91" t="s">
        <v>6415</v>
      </c>
      <c r="E91" t="s">
        <v>6416</v>
      </c>
      <c r="F91" t="str">
        <f t="shared" si="2"/>
        <v>47110000</v>
      </c>
      <c r="G91" t="s">
        <v>6074</v>
      </c>
      <c r="H91" t="s">
        <v>6417</v>
      </c>
      <c r="K91" s="4">
        <v>56073</v>
      </c>
    </row>
    <row r="92" spans="1:11" hidden="1" outlineLevel="2" x14ac:dyDescent="0.35">
      <c r="A92" t="s">
        <v>75</v>
      </c>
      <c r="B92" s="1">
        <v>45726</v>
      </c>
      <c r="C92" t="str">
        <f>"1912"</f>
        <v>1912</v>
      </c>
      <c r="D92" t="s">
        <v>6418</v>
      </c>
      <c r="E92" t="s">
        <v>6419</v>
      </c>
      <c r="F92" t="str">
        <f t="shared" si="2"/>
        <v>47110000</v>
      </c>
      <c r="G92" t="s">
        <v>6074</v>
      </c>
      <c r="H92" t="s">
        <v>6420</v>
      </c>
      <c r="K92" s="4">
        <v>72055</v>
      </c>
    </row>
    <row r="93" spans="1:11" hidden="1" outlineLevel="2" x14ac:dyDescent="0.35">
      <c r="A93" t="s">
        <v>75</v>
      </c>
      <c r="B93" s="1">
        <v>45726</v>
      </c>
      <c r="C93" t="str">
        <f>"1942"</f>
        <v>1942</v>
      </c>
      <c r="D93" t="s">
        <v>6421</v>
      </c>
      <c r="E93" t="s">
        <v>6422</v>
      </c>
      <c r="F93" t="str">
        <f t="shared" si="2"/>
        <v>47110000</v>
      </c>
      <c r="G93" t="s">
        <v>6074</v>
      </c>
      <c r="H93" t="s">
        <v>6423</v>
      </c>
      <c r="K93" s="4">
        <v>109926</v>
      </c>
    </row>
    <row r="94" spans="1:11" hidden="1" outlineLevel="2" x14ac:dyDescent="0.35">
      <c r="A94" t="s">
        <v>75</v>
      </c>
      <c r="B94" s="1">
        <v>45729</v>
      </c>
      <c r="C94" t="str">
        <f>"1913"</f>
        <v>1913</v>
      </c>
      <c r="D94" t="s">
        <v>6424</v>
      </c>
      <c r="E94" t="s">
        <v>6425</v>
      </c>
      <c r="F94" t="str">
        <f t="shared" si="2"/>
        <v>47110000</v>
      </c>
      <c r="G94" t="s">
        <v>6074</v>
      </c>
      <c r="H94" t="s">
        <v>6426</v>
      </c>
      <c r="K94" s="4">
        <v>9800000</v>
      </c>
    </row>
    <row r="95" spans="1:11" hidden="1" outlineLevel="2" x14ac:dyDescent="0.35">
      <c r="A95" t="s">
        <v>75</v>
      </c>
      <c r="B95" s="1">
        <v>45729</v>
      </c>
      <c r="C95" t="str">
        <f>"1914"</f>
        <v>1914</v>
      </c>
      <c r="D95" t="s">
        <v>6424</v>
      </c>
      <c r="E95" t="s">
        <v>6425</v>
      </c>
      <c r="F95" t="str">
        <f t="shared" si="2"/>
        <v>47110000</v>
      </c>
      <c r="G95" t="s">
        <v>6074</v>
      </c>
      <c r="H95" t="s">
        <v>6427</v>
      </c>
      <c r="K95" s="4">
        <v>262000</v>
      </c>
    </row>
    <row r="96" spans="1:11" hidden="1" outlineLevel="2" x14ac:dyDescent="0.35">
      <c r="A96" t="s">
        <v>75</v>
      </c>
      <c r="B96" s="1">
        <v>45740</v>
      </c>
      <c r="C96" t="str">
        <f>"1943"</f>
        <v>1943</v>
      </c>
      <c r="D96" t="s">
        <v>6421</v>
      </c>
      <c r="E96" t="s">
        <v>6422</v>
      </c>
      <c r="F96" t="str">
        <f t="shared" si="2"/>
        <v>47110000</v>
      </c>
      <c r="G96" t="s">
        <v>6074</v>
      </c>
      <c r="H96" t="s">
        <v>6428</v>
      </c>
      <c r="K96" s="4">
        <v>118073</v>
      </c>
    </row>
    <row r="97" spans="1:11" hidden="1" outlineLevel="2" x14ac:dyDescent="0.35">
      <c r="A97" t="s">
        <v>75</v>
      </c>
      <c r="B97" s="1">
        <v>45742</v>
      </c>
      <c r="C97" t="str">
        <f>"1941"</f>
        <v>1941</v>
      </c>
      <c r="D97" t="s">
        <v>6429</v>
      </c>
      <c r="E97" t="s">
        <v>6430</v>
      </c>
      <c r="F97" t="str">
        <f t="shared" si="2"/>
        <v>47110000</v>
      </c>
      <c r="G97" t="s">
        <v>6432</v>
      </c>
      <c r="H97" t="s">
        <v>6431</v>
      </c>
      <c r="K97" s="4">
        <v>20312274</v>
      </c>
    </row>
    <row r="98" spans="1:11" hidden="1" outlineLevel="2" x14ac:dyDescent="0.35">
      <c r="A98" t="s">
        <v>75</v>
      </c>
      <c r="B98" s="1">
        <v>45744</v>
      </c>
      <c r="C98" t="str">
        <f>"1930"</f>
        <v>1930</v>
      </c>
      <c r="D98" t="s">
        <v>6433</v>
      </c>
      <c r="E98" t="s">
        <v>6434</v>
      </c>
      <c r="F98" t="str">
        <f t="shared" si="2"/>
        <v>47110000</v>
      </c>
      <c r="G98" t="s">
        <v>6074</v>
      </c>
      <c r="H98" t="s">
        <v>6435</v>
      </c>
      <c r="K98" s="4">
        <v>242040</v>
      </c>
    </row>
    <row r="99" spans="1:11" hidden="1" outlineLevel="2" x14ac:dyDescent="0.35">
      <c r="A99" t="s">
        <v>75</v>
      </c>
      <c r="B99" s="1">
        <v>45744</v>
      </c>
      <c r="C99" t="str">
        <f>"1931"</f>
        <v>1931</v>
      </c>
      <c r="D99" t="s">
        <v>6433</v>
      </c>
      <c r="E99" t="s">
        <v>6434</v>
      </c>
      <c r="F99" t="str">
        <f t="shared" si="2"/>
        <v>47110000</v>
      </c>
      <c r="G99" t="s">
        <v>6074</v>
      </c>
      <c r="H99" t="s">
        <v>6436</v>
      </c>
      <c r="K99" s="4">
        <v>85000</v>
      </c>
    </row>
    <row r="100" spans="1:11" hidden="1" outlineLevel="2" x14ac:dyDescent="0.35">
      <c r="A100" t="s">
        <v>75</v>
      </c>
      <c r="B100" s="1">
        <v>45744</v>
      </c>
      <c r="C100" t="str">
        <f>"1939"</f>
        <v>1939</v>
      </c>
      <c r="D100" t="s">
        <v>6437</v>
      </c>
      <c r="E100" t="s">
        <v>6438</v>
      </c>
      <c r="F100" t="str">
        <f t="shared" si="2"/>
        <v>47110000</v>
      </c>
      <c r="G100" t="s">
        <v>6074</v>
      </c>
      <c r="H100" t="s">
        <v>6440</v>
      </c>
      <c r="K100" s="4">
        <v>7011700</v>
      </c>
    </row>
    <row r="101" spans="1:11" hidden="1" outlineLevel="2" x14ac:dyDescent="0.35">
      <c r="A101" t="s">
        <v>101</v>
      </c>
      <c r="B101" s="1">
        <v>45747</v>
      </c>
      <c r="C101" t="str">
        <f>"1901"</f>
        <v>1901</v>
      </c>
      <c r="F101" t="str">
        <f t="shared" si="2"/>
        <v>47110000</v>
      </c>
      <c r="G101" t="s">
        <v>6074</v>
      </c>
      <c r="H101" t="s">
        <v>6449</v>
      </c>
      <c r="K101" s="4">
        <v>793750</v>
      </c>
    </row>
    <row r="102" spans="1:11" outlineLevel="1" collapsed="1" x14ac:dyDescent="0.35">
      <c r="B102" s="1"/>
      <c r="F102" s="3" t="s">
        <v>6570</v>
      </c>
      <c r="J102" s="4">
        <f>SUBTOTAL(9,J86:J101)</f>
        <v>0</v>
      </c>
      <c r="K102" s="4">
        <f>SUBTOTAL(9,K86:K101)</f>
        <v>90858111</v>
      </c>
    </row>
    <row r="103" spans="1:11" hidden="1" outlineLevel="2" x14ac:dyDescent="0.35">
      <c r="A103" t="s">
        <v>75</v>
      </c>
      <c r="B103" s="1">
        <v>45740</v>
      </c>
      <c r="C103" t="str">
        <f>"1943"</f>
        <v>1943</v>
      </c>
      <c r="D103" t="s">
        <v>6421</v>
      </c>
      <c r="E103" t="s">
        <v>6422</v>
      </c>
      <c r="F103" t="str">
        <f>"47110010"</f>
        <v>47110010</v>
      </c>
      <c r="H103" t="s">
        <v>6428</v>
      </c>
      <c r="J103" s="4">
        <v>118073</v>
      </c>
    </row>
    <row r="104" spans="1:11" outlineLevel="1" collapsed="1" x14ac:dyDescent="0.35">
      <c r="B104" s="1"/>
      <c r="F104" s="3" t="s">
        <v>6784</v>
      </c>
      <c r="J104" s="4">
        <f>SUBTOTAL(9,J103:J103)</f>
        <v>118073</v>
      </c>
      <c r="K104" s="4">
        <f>SUBTOTAL(9,K103:K103)</f>
        <v>0</v>
      </c>
    </row>
    <row r="105" spans="1:11" hidden="1" outlineLevel="2" x14ac:dyDescent="0.35">
      <c r="A105" t="s">
        <v>6378</v>
      </c>
      <c r="B105" s="1">
        <v>45720</v>
      </c>
      <c r="C105" t="str">
        <f>"1880"</f>
        <v>1880</v>
      </c>
      <c r="D105" t="s">
        <v>6382</v>
      </c>
      <c r="E105" t="str">
        <f>"2503033"</f>
        <v>2503033</v>
      </c>
      <c r="F105" t="str">
        <f>"47150000"</f>
        <v>47150000</v>
      </c>
      <c r="G105" t="s">
        <v>6385</v>
      </c>
      <c r="H105" t="s">
        <v>6384</v>
      </c>
      <c r="J105" s="4">
        <v>97940</v>
      </c>
    </row>
    <row r="106" spans="1:11" hidden="1" outlineLevel="2" x14ac:dyDescent="0.35">
      <c r="A106" t="s">
        <v>75</v>
      </c>
      <c r="B106" s="1">
        <v>45722</v>
      </c>
      <c r="C106" t="str">
        <f>"1909"</f>
        <v>1909</v>
      </c>
      <c r="D106" t="s">
        <v>6409</v>
      </c>
      <c r="E106" t="s">
        <v>6410</v>
      </c>
      <c r="F106" t="str">
        <f>"47150000"</f>
        <v>47150000</v>
      </c>
      <c r="G106" t="s">
        <v>6385</v>
      </c>
      <c r="H106" t="s">
        <v>6411</v>
      </c>
      <c r="J106" s="4">
        <v>848585</v>
      </c>
    </row>
    <row r="107" spans="1:11" hidden="1" outlineLevel="2" x14ac:dyDescent="0.35">
      <c r="A107" t="s">
        <v>75</v>
      </c>
      <c r="B107" s="1">
        <v>45726</v>
      </c>
      <c r="C107" t="str">
        <f>"1912"</f>
        <v>1912</v>
      </c>
      <c r="D107" t="s">
        <v>6418</v>
      </c>
      <c r="E107" t="s">
        <v>6419</v>
      </c>
      <c r="F107" t="str">
        <f>"47150000"</f>
        <v>47150000</v>
      </c>
      <c r="G107" t="s">
        <v>6385</v>
      </c>
      <c r="H107" t="s">
        <v>6420</v>
      </c>
      <c r="J107" s="4">
        <v>72055</v>
      </c>
    </row>
    <row r="108" spans="1:11" hidden="1" outlineLevel="2" x14ac:dyDescent="0.35">
      <c r="A108" t="s">
        <v>101</v>
      </c>
      <c r="B108" s="1">
        <v>45717</v>
      </c>
      <c r="C108" t="str">
        <f>"1917"</f>
        <v>1917</v>
      </c>
      <c r="F108" t="str">
        <f>"47150000"</f>
        <v>47150000</v>
      </c>
      <c r="G108" t="s">
        <v>6385</v>
      </c>
      <c r="H108" t="s">
        <v>6441</v>
      </c>
      <c r="K108" s="4">
        <v>72352205</v>
      </c>
    </row>
    <row r="109" spans="1:11" outlineLevel="1" collapsed="1" x14ac:dyDescent="0.35">
      <c r="B109" s="1"/>
      <c r="F109" s="3" t="s">
        <v>6578</v>
      </c>
      <c r="J109" s="4">
        <f>SUBTOTAL(9,J105:J108)</f>
        <v>1018580</v>
      </c>
      <c r="K109" s="4">
        <f>SUBTOTAL(9,K105:K108)</f>
        <v>72352205</v>
      </c>
    </row>
    <row r="110" spans="1:11" hidden="1" outlineLevel="2" x14ac:dyDescent="0.35">
      <c r="A110" t="s">
        <v>11</v>
      </c>
      <c r="B110" s="1">
        <v>45717</v>
      </c>
      <c r="C110" t="str">
        <f>"1918"</f>
        <v>1918</v>
      </c>
      <c r="E110" t="s">
        <v>6359</v>
      </c>
      <c r="F110" t="str">
        <f t="shared" ref="F110:F119" si="3">"47460000"</f>
        <v>47460000</v>
      </c>
      <c r="H110" t="s">
        <v>6360</v>
      </c>
      <c r="K110" s="4">
        <v>360503</v>
      </c>
    </row>
    <row r="111" spans="1:11" hidden="1" outlineLevel="2" x14ac:dyDescent="0.35">
      <c r="A111" t="s">
        <v>11</v>
      </c>
      <c r="B111" s="1">
        <v>45717</v>
      </c>
      <c r="C111" t="str">
        <f>"1919"</f>
        <v>1919</v>
      </c>
      <c r="E111" t="s">
        <v>1201</v>
      </c>
      <c r="F111" t="str">
        <f t="shared" si="3"/>
        <v>47460000</v>
      </c>
      <c r="H111" t="s">
        <v>6361</v>
      </c>
      <c r="K111" s="4">
        <v>558875</v>
      </c>
    </row>
    <row r="112" spans="1:11" hidden="1" outlineLevel="2" x14ac:dyDescent="0.35">
      <c r="A112" t="s">
        <v>11</v>
      </c>
      <c r="B112" s="1">
        <v>45717</v>
      </c>
      <c r="C112" t="str">
        <f>"1920"</f>
        <v>1920</v>
      </c>
      <c r="E112" t="s">
        <v>6362</v>
      </c>
      <c r="F112" t="str">
        <f t="shared" si="3"/>
        <v>47460000</v>
      </c>
      <c r="H112" t="s">
        <v>6363</v>
      </c>
      <c r="K112" s="4">
        <v>625000</v>
      </c>
    </row>
    <row r="113" spans="1:11" hidden="1" outlineLevel="2" x14ac:dyDescent="0.35">
      <c r="A113" t="s">
        <v>11</v>
      </c>
      <c r="B113" s="1">
        <v>45717</v>
      </c>
      <c r="C113" t="str">
        <f>"1922"</f>
        <v>1922</v>
      </c>
      <c r="E113" t="s">
        <v>6366</v>
      </c>
      <c r="F113" t="str">
        <f t="shared" si="3"/>
        <v>47460000</v>
      </c>
      <c r="H113" t="s">
        <v>6367</v>
      </c>
      <c r="K113" s="4">
        <v>97940</v>
      </c>
    </row>
    <row r="114" spans="1:11" hidden="1" outlineLevel="2" x14ac:dyDescent="0.35">
      <c r="A114" t="s">
        <v>11</v>
      </c>
      <c r="B114" s="1">
        <v>45717</v>
      </c>
      <c r="C114" t="str">
        <f>"1926"</f>
        <v>1926</v>
      </c>
      <c r="E114" t="s">
        <v>6372</v>
      </c>
      <c r="F114" t="str">
        <f t="shared" si="3"/>
        <v>47460000</v>
      </c>
      <c r="H114" t="s">
        <v>6373</v>
      </c>
      <c r="K114" s="4">
        <v>3000000</v>
      </c>
    </row>
    <row r="115" spans="1:11" hidden="1" outlineLevel="2" x14ac:dyDescent="0.35">
      <c r="A115" t="s">
        <v>11</v>
      </c>
      <c r="B115" s="1">
        <v>45717</v>
      </c>
      <c r="C115" t="str">
        <f>"1927"</f>
        <v>1927</v>
      </c>
      <c r="E115" t="s">
        <v>6374</v>
      </c>
      <c r="F115" t="str">
        <f t="shared" si="3"/>
        <v>47460000</v>
      </c>
      <c r="H115" t="s">
        <v>6375</v>
      </c>
      <c r="K115" s="4">
        <v>200000</v>
      </c>
    </row>
    <row r="116" spans="1:11" hidden="1" outlineLevel="2" x14ac:dyDescent="0.35">
      <c r="A116" t="s">
        <v>11</v>
      </c>
      <c r="B116" s="1">
        <v>45718</v>
      </c>
      <c r="C116" t="str">
        <f>"1928"</f>
        <v>1928</v>
      </c>
      <c r="E116" t="s">
        <v>6376</v>
      </c>
      <c r="F116" t="str">
        <f t="shared" si="3"/>
        <v>47460000</v>
      </c>
      <c r="H116" t="s">
        <v>6377</v>
      </c>
      <c r="K116" s="4">
        <v>692090</v>
      </c>
    </row>
    <row r="117" spans="1:11" hidden="1" outlineLevel="2" x14ac:dyDescent="0.35">
      <c r="A117" t="s">
        <v>11</v>
      </c>
      <c r="B117" s="1">
        <v>45718</v>
      </c>
      <c r="C117" t="str">
        <f>"1929"</f>
        <v>1929</v>
      </c>
      <c r="E117" t="s">
        <v>24</v>
      </c>
      <c r="F117" t="str">
        <f t="shared" si="3"/>
        <v>47460000</v>
      </c>
      <c r="H117" t="s">
        <v>25</v>
      </c>
      <c r="K117" s="4">
        <v>333112</v>
      </c>
    </row>
    <row r="118" spans="1:11" hidden="1" outlineLevel="2" x14ac:dyDescent="0.35">
      <c r="A118" t="s">
        <v>6378</v>
      </c>
      <c r="B118" s="1">
        <v>45720</v>
      </c>
      <c r="C118" t="str">
        <f>"1881"</f>
        <v>1881</v>
      </c>
      <c r="D118" t="s">
        <v>6386</v>
      </c>
      <c r="E118" t="str">
        <f>"2503034"</f>
        <v>2503034</v>
      </c>
      <c r="F118" t="str">
        <f t="shared" si="3"/>
        <v>47460000</v>
      </c>
      <c r="H118" t="s">
        <v>6387</v>
      </c>
      <c r="J118" s="4">
        <v>97940</v>
      </c>
    </row>
    <row r="119" spans="1:11" hidden="1" outlineLevel="2" x14ac:dyDescent="0.35">
      <c r="A119" t="s">
        <v>6378</v>
      </c>
      <c r="B119" s="1">
        <v>45720</v>
      </c>
      <c r="C119" t="str">
        <f>"1882"</f>
        <v>1882</v>
      </c>
      <c r="D119" t="s">
        <v>6388</v>
      </c>
      <c r="E119" t="str">
        <f>"0001493"</f>
        <v>0001493</v>
      </c>
      <c r="F119" t="str">
        <f t="shared" si="3"/>
        <v>47460000</v>
      </c>
      <c r="H119" t="s">
        <v>6390</v>
      </c>
      <c r="J119" s="4">
        <v>8305090</v>
      </c>
    </row>
    <row r="120" spans="1:11" outlineLevel="1" collapsed="1" x14ac:dyDescent="0.35">
      <c r="B120" s="1"/>
      <c r="F120" s="3" t="s">
        <v>6581</v>
      </c>
      <c r="J120" s="4">
        <f>SUBTOTAL(9,J110:J119)</f>
        <v>8403030</v>
      </c>
      <c r="K120" s="4">
        <f>SUBTOTAL(9,K110:K119)</f>
        <v>5867520</v>
      </c>
    </row>
    <row r="121" spans="1:11" hidden="1" outlineLevel="2" x14ac:dyDescent="0.35">
      <c r="A121" t="s">
        <v>101</v>
      </c>
      <c r="B121" s="1">
        <v>45747</v>
      </c>
      <c r="C121" t="str">
        <f>"1890"</f>
        <v>1890</v>
      </c>
      <c r="E121" t="s">
        <v>6347</v>
      </c>
      <c r="F121" t="str">
        <f>"47470000"</f>
        <v>47470000</v>
      </c>
      <c r="H121" t="s">
        <v>113</v>
      </c>
      <c r="J121" s="4">
        <v>126151000</v>
      </c>
    </row>
    <row r="122" spans="1:11" outlineLevel="1" collapsed="1" x14ac:dyDescent="0.35">
      <c r="B122" s="1"/>
      <c r="F122" s="3" t="s">
        <v>6785</v>
      </c>
      <c r="J122" s="4">
        <f>SUBTOTAL(9,J121:J121)</f>
        <v>126151000</v>
      </c>
      <c r="K122" s="4">
        <f>SUBTOTAL(9,K121:K121)</f>
        <v>0</v>
      </c>
    </row>
    <row r="123" spans="1:11" hidden="1" outlineLevel="2" x14ac:dyDescent="0.35">
      <c r="A123" t="s">
        <v>11</v>
      </c>
      <c r="B123" s="1">
        <v>45717</v>
      </c>
      <c r="C123" t="str">
        <f>"1921"</f>
        <v>1921</v>
      </c>
      <c r="E123" t="s">
        <v>6364</v>
      </c>
      <c r="F123" t="str">
        <f>"47600000"</f>
        <v>47600000</v>
      </c>
      <c r="H123" t="s">
        <v>6365</v>
      </c>
      <c r="K123" s="4">
        <v>6029350</v>
      </c>
    </row>
    <row r="124" spans="1:11" hidden="1" outlineLevel="2" x14ac:dyDescent="0.35">
      <c r="A124" t="s">
        <v>11</v>
      </c>
      <c r="B124" s="1">
        <v>45717</v>
      </c>
      <c r="C124" t="str">
        <f>"1924"</f>
        <v>1924</v>
      </c>
      <c r="E124" t="s">
        <v>6369</v>
      </c>
      <c r="F124" t="str">
        <f>"47600000"</f>
        <v>47600000</v>
      </c>
      <c r="H124" t="s">
        <v>6370</v>
      </c>
      <c r="K124" s="4">
        <v>363637</v>
      </c>
    </row>
    <row r="125" spans="1:11" hidden="1" outlineLevel="2" x14ac:dyDescent="0.35">
      <c r="A125" t="s">
        <v>101</v>
      </c>
      <c r="B125" s="1">
        <v>45717</v>
      </c>
      <c r="C125" t="str">
        <f>"1917"</f>
        <v>1917</v>
      </c>
      <c r="F125" t="str">
        <f>"47600000"</f>
        <v>47600000</v>
      </c>
      <c r="H125" t="s">
        <v>6441</v>
      </c>
      <c r="J125" s="4">
        <v>72352200</v>
      </c>
    </row>
    <row r="126" spans="1:11" hidden="1" outlineLevel="2" x14ac:dyDescent="0.35">
      <c r="A126" t="s">
        <v>101</v>
      </c>
      <c r="B126" s="1">
        <v>45747</v>
      </c>
      <c r="C126" t="str">
        <f>"1902"</f>
        <v>1902</v>
      </c>
      <c r="F126" t="str">
        <f>"47600000"</f>
        <v>47600000</v>
      </c>
      <c r="H126" t="s">
        <v>102</v>
      </c>
      <c r="J126" s="4">
        <v>-4000000</v>
      </c>
    </row>
    <row r="127" spans="1:11" hidden="1" outlineLevel="2" x14ac:dyDescent="0.35">
      <c r="A127" t="s">
        <v>101</v>
      </c>
      <c r="B127" s="1">
        <v>45747</v>
      </c>
      <c r="C127" t="str">
        <f>"1903"</f>
        <v>1903</v>
      </c>
      <c r="F127" t="str">
        <f>"47600000"</f>
        <v>47600000</v>
      </c>
      <c r="H127" t="s">
        <v>6451</v>
      </c>
      <c r="J127" s="4">
        <v>4000000</v>
      </c>
    </row>
    <row r="128" spans="1:11" outlineLevel="1" collapsed="1" x14ac:dyDescent="0.35">
      <c r="B128" s="1"/>
      <c r="F128" s="3" t="s">
        <v>6583</v>
      </c>
      <c r="J128" s="4">
        <f>SUBTOTAL(9,J123:J127)</f>
        <v>72352200</v>
      </c>
      <c r="K128" s="4">
        <f>SUBTOTAL(9,K123:K127)</f>
        <v>6392987</v>
      </c>
    </row>
    <row r="129" spans="1:11" hidden="1" outlineLevel="2" x14ac:dyDescent="0.35">
      <c r="A129" t="s">
        <v>72</v>
      </c>
      <c r="B129" s="1">
        <v>45722</v>
      </c>
      <c r="C129" t="str">
        <f>"1"</f>
        <v>1</v>
      </c>
      <c r="D129" t="str">
        <f>"00082"</f>
        <v>00082</v>
      </c>
      <c r="E129" t="s">
        <v>6407</v>
      </c>
      <c r="F129" t="str">
        <f>"48110000"</f>
        <v>48110000</v>
      </c>
      <c r="H129" t="s">
        <v>6408</v>
      </c>
      <c r="K129" s="4">
        <v>15245010</v>
      </c>
    </row>
    <row r="130" spans="1:11" outlineLevel="1" collapsed="1" x14ac:dyDescent="0.35">
      <c r="B130" s="1"/>
      <c r="F130" s="3" t="s">
        <v>6786</v>
      </c>
      <c r="J130" s="4">
        <f>SUBTOTAL(9,J129:J129)</f>
        <v>0</v>
      </c>
      <c r="K130" s="4">
        <f>SUBTOTAL(9,K129:K129)</f>
        <v>15245010</v>
      </c>
    </row>
    <row r="131" spans="1:11" hidden="1" outlineLevel="2" x14ac:dyDescent="0.35">
      <c r="A131" t="s">
        <v>6395</v>
      </c>
      <c r="B131" s="1">
        <v>45723</v>
      </c>
      <c r="C131" t="str">
        <f>"1884"</f>
        <v>1884</v>
      </c>
      <c r="F131" t="str">
        <f t="shared" ref="F131:F141" si="4">"52110000"</f>
        <v>52110000</v>
      </c>
      <c r="H131" t="s">
        <v>6396</v>
      </c>
      <c r="K131" s="4">
        <v>8779377</v>
      </c>
    </row>
    <row r="132" spans="1:11" hidden="1" outlineLevel="2" x14ac:dyDescent="0.35">
      <c r="A132" t="s">
        <v>6395</v>
      </c>
      <c r="B132" s="1">
        <v>45723</v>
      </c>
      <c r="C132" t="str">
        <f>"1885"</f>
        <v>1885</v>
      </c>
      <c r="F132" t="str">
        <f t="shared" si="4"/>
        <v>52110000</v>
      </c>
      <c r="H132" t="s">
        <v>6397</v>
      </c>
      <c r="K132" s="4">
        <v>14048577</v>
      </c>
    </row>
    <row r="133" spans="1:11" hidden="1" outlineLevel="2" x14ac:dyDescent="0.35">
      <c r="A133" t="s">
        <v>6395</v>
      </c>
      <c r="B133" s="1">
        <v>45727</v>
      </c>
      <c r="C133" t="str">
        <f>"1886"</f>
        <v>1886</v>
      </c>
      <c r="F133" t="str">
        <f t="shared" si="4"/>
        <v>52110000</v>
      </c>
      <c r="H133" t="s">
        <v>6398</v>
      </c>
      <c r="K133" s="4">
        <v>1415062</v>
      </c>
    </row>
    <row r="134" spans="1:11" hidden="1" outlineLevel="2" x14ac:dyDescent="0.35">
      <c r="A134" t="s">
        <v>6395</v>
      </c>
      <c r="B134" s="1">
        <v>45729</v>
      </c>
      <c r="C134" t="str">
        <f>"1887"</f>
        <v>1887</v>
      </c>
      <c r="F134" t="str">
        <f t="shared" si="4"/>
        <v>52110000</v>
      </c>
      <c r="H134" t="s">
        <v>1897</v>
      </c>
      <c r="J134" s="4">
        <v>1000000</v>
      </c>
    </row>
    <row r="135" spans="1:11" hidden="1" outlineLevel="2" x14ac:dyDescent="0.35">
      <c r="A135" t="s">
        <v>6395</v>
      </c>
      <c r="B135" s="1">
        <v>45734</v>
      </c>
      <c r="C135" t="str">
        <f>"1889"</f>
        <v>1889</v>
      </c>
      <c r="F135" t="str">
        <f t="shared" si="4"/>
        <v>52110000</v>
      </c>
      <c r="H135" t="s">
        <v>1897</v>
      </c>
      <c r="J135" s="4">
        <v>44000000</v>
      </c>
    </row>
    <row r="136" spans="1:11" hidden="1" outlineLevel="2" x14ac:dyDescent="0.35">
      <c r="A136" t="s">
        <v>6395</v>
      </c>
      <c r="B136" s="1">
        <v>45736</v>
      </c>
      <c r="C136" t="str">
        <f>"1904"</f>
        <v>1904</v>
      </c>
      <c r="F136" t="str">
        <f t="shared" si="4"/>
        <v>52110000</v>
      </c>
      <c r="H136" t="s">
        <v>6399</v>
      </c>
      <c r="K136" s="4">
        <v>20000000</v>
      </c>
    </row>
    <row r="137" spans="1:11" hidden="1" outlineLevel="2" x14ac:dyDescent="0.35">
      <c r="A137" t="s">
        <v>6395</v>
      </c>
      <c r="B137" s="1">
        <v>45736</v>
      </c>
      <c r="C137" t="str">
        <f>"1905"</f>
        <v>1905</v>
      </c>
      <c r="F137" t="str">
        <f t="shared" si="4"/>
        <v>52110000</v>
      </c>
      <c r="H137" t="s">
        <v>6400</v>
      </c>
      <c r="K137" s="4">
        <v>15000000</v>
      </c>
    </row>
    <row r="138" spans="1:11" hidden="1" outlineLevel="2" x14ac:dyDescent="0.35">
      <c r="A138" t="s">
        <v>6395</v>
      </c>
      <c r="B138" s="1">
        <v>45736</v>
      </c>
      <c r="C138" t="str">
        <f>"1936"</f>
        <v>1936</v>
      </c>
      <c r="F138" t="str">
        <f t="shared" si="4"/>
        <v>52110000</v>
      </c>
      <c r="H138" t="s">
        <v>58</v>
      </c>
      <c r="K138" s="4">
        <v>275</v>
      </c>
    </row>
    <row r="139" spans="1:11" hidden="1" outlineLevel="2" x14ac:dyDescent="0.35">
      <c r="A139" t="s">
        <v>6395</v>
      </c>
      <c r="B139" s="1">
        <v>45741</v>
      </c>
      <c r="C139" t="str">
        <f>"1906"</f>
        <v>1906</v>
      </c>
      <c r="F139" t="str">
        <f t="shared" si="4"/>
        <v>52110000</v>
      </c>
      <c r="H139" t="s">
        <v>6402</v>
      </c>
      <c r="K139" s="4">
        <v>9025230</v>
      </c>
    </row>
    <row r="140" spans="1:11" hidden="1" outlineLevel="2" x14ac:dyDescent="0.35">
      <c r="A140" t="s">
        <v>6395</v>
      </c>
      <c r="B140" s="1">
        <v>45742</v>
      </c>
      <c r="C140" t="str">
        <f>"1937"</f>
        <v>1937</v>
      </c>
      <c r="F140" t="str">
        <f t="shared" si="4"/>
        <v>52110000</v>
      </c>
      <c r="H140" t="s">
        <v>6248</v>
      </c>
      <c r="K140" s="4">
        <v>31900</v>
      </c>
    </row>
    <row r="141" spans="1:11" hidden="1" outlineLevel="2" x14ac:dyDescent="0.35">
      <c r="A141" t="s">
        <v>6395</v>
      </c>
      <c r="B141" s="1">
        <v>45747</v>
      </c>
      <c r="C141" t="str">
        <f>"1938"</f>
        <v>1938</v>
      </c>
      <c r="F141" t="str">
        <f t="shared" si="4"/>
        <v>52110000</v>
      </c>
      <c r="H141" t="s">
        <v>6255</v>
      </c>
      <c r="K141" s="4">
        <v>42875</v>
      </c>
    </row>
    <row r="142" spans="1:11" outlineLevel="1" collapsed="1" x14ac:dyDescent="0.35">
      <c r="B142" s="1"/>
      <c r="F142" s="3" t="s">
        <v>6765</v>
      </c>
      <c r="J142" s="4">
        <f>SUBTOTAL(9,J131:J141)</f>
        <v>45000000</v>
      </c>
      <c r="K142" s="4">
        <f>SUBTOTAL(9,K131:K141)</f>
        <v>68343296</v>
      </c>
    </row>
    <row r="143" spans="1:11" hidden="1" outlineLevel="2" x14ac:dyDescent="0.35">
      <c r="A143" t="s">
        <v>6403</v>
      </c>
      <c r="B143" s="1">
        <v>45717</v>
      </c>
      <c r="C143" t="str">
        <f>"1935"</f>
        <v>1935</v>
      </c>
      <c r="F143" t="str">
        <f>"52110010"</f>
        <v>52110010</v>
      </c>
      <c r="H143" t="s">
        <v>6404</v>
      </c>
      <c r="K143" s="4">
        <v>195880</v>
      </c>
    </row>
    <row r="144" spans="1:11" hidden="1" outlineLevel="2" x14ac:dyDescent="0.35">
      <c r="A144" t="s">
        <v>6403</v>
      </c>
      <c r="B144" s="1">
        <v>45728</v>
      </c>
      <c r="C144" t="str">
        <f>"1883"</f>
        <v>1883</v>
      </c>
      <c r="F144" t="str">
        <f>"52110010"</f>
        <v>52110010</v>
      </c>
      <c r="H144" t="s">
        <v>6405</v>
      </c>
      <c r="K144" s="4">
        <v>204000</v>
      </c>
    </row>
    <row r="145" spans="1:11" hidden="1" outlineLevel="2" x14ac:dyDescent="0.35">
      <c r="A145" t="s">
        <v>6403</v>
      </c>
      <c r="B145" s="1">
        <v>45735</v>
      </c>
      <c r="C145" t="str">
        <f>"1907"</f>
        <v>1907</v>
      </c>
      <c r="F145" t="str">
        <f>"52110010"</f>
        <v>52110010</v>
      </c>
      <c r="H145" t="s">
        <v>6406</v>
      </c>
      <c r="J145" s="4">
        <v>6000000</v>
      </c>
    </row>
    <row r="146" spans="1:11" hidden="1" outlineLevel="2" x14ac:dyDescent="0.35">
      <c r="A146" t="s">
        <v>6403</v>
      </c>
      <c r="B146" s="1">
        <v>45747</v>
      </c>
      <c r="C146" t="str">
        <f>"1933"</f>
        <v>1933</v>
      </c>
      <c r="F146" t="str">
        <f>"52110010"</f>
        <v>52110010</v>
      </c>
      <c r="H146" t="s">
        <v>58</v>
      </c>
      <c r="K146" s="4">
        <v>2970</v>
      </c>
    </row>
    <row r="147" spans="1:11" hidden="1" outlineLevel="2" x14ac:dyDescent="0.35">
      <c r="A147" t="s">
        <v>6403</v>
      </c>
      <c r="B147" s="1">
        <v>45747</v>
      </c>
      <c r="C147" t="str">
        <f>"1934"</f>
        <v>1934</v>
      </c>
      <c r="F147" t="str">
        <f>"52110010"</f>
        <v>52110010</v>
      </c>
      <c r="H147" t="s">
        <v>58</v>
      </c>
      <c r="K147" s="4">
        <v>22000</v>
      </c>
    </row>
    <row r="148" spans="1:11" outlineLevel="1" collapsed="1" x14ac:dyDescent="0.35">
      <c r="B148" s="1"/>
      <c r="F148" s="3" t="s">
        <v>6787</v>
      </c>
      <c r="J148" s="4">
        <f>SUBTOTAL(9,J143:J147)</f>
        <v>6000000</v>
      </c>
      <c r="K148" s="4">
        <f>SUBTOTAL(9,K143:K147)</f>
        <v>424850</v>
      </c>
    </row>
    <row r="149" spans="1:11" hidden="1" outlineLevel="2" x14ac:dyDescent="0.35">
      <c r="A149" t="s">
        <v>75</v>
      </c>
      <c r="B149" s="1">
        <v>45744</v>
      </c>
      <c r="C149" t="str">
        <f>"1931"</f>
        <v>1931</v>
      </c>
      <c r="D149" t="s">
        <v>6433</v>
      </c>
      <c r="E149" t="s">
        <v>6434</v>
      </c>
      <c r="F149" t="str">
        <f>"60470000"</f>
        <v>60470000</v>
      </c>
      <c r="H149" t="s">
        <v>6436</v>
      </c>
      <c r="J149" s="4">
        <v>85000</v>
      </c>
    </row>
    <row r="150" spans="1:11" outlineLevel="1" collapsed="1" x14ac:dyDescent="0.35">
      <c r="B150" s="1"/>
      <c r="F150" s="3" t="s">
        <v>6612</v>
      </c>
      <c r="J150" s="4">
        <f>SUBTOTAL(9,J149:J149)</f>
        <v>85000</v>
      </c>
      <c r="K150" s="4">
        <f>SUBTOTAL(9,K149:K149)</f>
        <v>0</v>
      </c>
    </row>
    <row r="151" spans="1:11" hidden="1" outlineLevel="2" x14ac:dyDescent="0.35">
      <c r="A151" t="s">
        <v>75</v>
      </c>
      <c r="B151" s="1">
        <v>45744</v>
      </c>
      <c r="C151" t="str">
        <f>"1930"</f>
        <v>1930</v>
      </c>
      <c r="D151" t="s">
        <v>6433</v>
      </c>
      <c r="E151" t="s">
        <v>6434</v>
      </c>
      <c r="F151" t="str">
        <f>"61810000"</f>
        <v>61810000</v>
      </c>
      <c r="H151" t="s">
        <v>6435</v>
      </c>
      <c r="J151" s="4">
        <v>242040</v>
      </c>
    </row>
    <row r="152" spans="1:11" hidden="1" outlineLevel="2" x14ac:dyDescent="0.35">
      <c r="A152" t="s">
        <v>101</v>
      </c>
      <c r="B152" s="1">
        <v>45747</v>
      </c>
      <c r="C152" t="str">
        <f>"1901"</f>
        <v>1901</v>
      </c>
      <c r="F152" t="str">
        <f>"61810000"</f>
        <v>61810000</v>
      </c>
      <c r="H152" t="s">
        <v>6449</v>
      </c>
      <c r="J152" s="4">
        <v>793750</v>
      </c>
    </row>
    <row r="153" spans="1:11" outlineLevel="1" collapsed="1" x14ac:dyDescent="0.35">
      <c r="B153" s="1"/>
      <c r="F153" s="3" t="s">
        <v>6623</v>
      </c>
      <c r="J153" s="4">
        <f>SUBTOTAL(9,J151:J152)</f>
        <v>1035790</v>
      </c>
      <c r="K153" s="4">
        <f>SUBTOTAL(9,K151:K152)</f>
        <v>0</v>
      </c>
    </row>
    <row r="154" spans="1:11" hidden="1" outlineLevel="2" x14ac:dyDescent="0.35">
      <c r="A154" t="s">
        <v>11</v>
      </c>
      <c r="B154" s="1">
        <v>45717</v>
      </c>
      <c r="C154" t="str">
        <f>"1927"</f>
        <v>1927</v>
      </c>
      <c r="E154" t="s">
        <v>6374</v>
      </c>
      <c r="F154" t="str">
        <f>"62200000"</f>
        <v>62200000</v>
      </c>
      <c r="H154" t="s">
        <v>6375</v>
      </c>
      <c r="J154" s="4">
        <v>200000</v>
      </c>
    </row>
    <row r="155" spans="1:11" outlineLevel="1" collapsed="1" x14ac:dyDescent="0.35">
      <c r="B155" s="1"/>
      <c r="F155" s="3" t="s">
        <v>6788</v>
      </c>
      <c r="J155" s="4">
        <f>SUBTOTAL(9,J154:J154)</f>
        <v>200000</v>
      </c>
      <c r="K155" s="4">
        <f>SUBTOTAL(9,K154:K154)</f>
        <v>0</v>
      </c>
    </row>
    <row r="156" spans="1:11" hidden="1" outlineLevel="2" x14ac:dyDescent="0.35">
      <c r="A156" t="s">
        <v>75</v>
      </c>
      <c r="B156" s="1">
        <v>45726</v>
      </c>
      <c r="C156" t="str">
        <f>"1942"</f>
        <v>1942</v>
      </c>
      <c r="D156" t="s">
        <v>6421</v>
      </c>
      <c r="E156" t="s">
        <v>6422</v>
      </c>
      <c r="F156" t="str">
        <f>"62610000"</f>
        <v>62610000</v>
      </c>
      <c r="H156" t="s">
        <v>6423</v>
      </c>
      <c r="J156" s="4">
        <v>109926</v>
      </c>
    </row>
    <row r="157" spans="1:11" outlineLevel="1" collapsed="1" x14ac:dyDescent="0.35">
      <c r="B157" s="1"/>
      <c r="F157" s="3" t="s">
        <v>6789</v>
      </c>
      <c r="J157" s="4">
        <f>SUBTOTAL(9,J156:J156)</f>
        <v>109926</v>
      </c>
      <c r="K157" s="4">
        <f>SUBTOTAL(9,K156:K156)</f>
        <v>0</v>
      </c>
    </row>
    <row r="158" spans="1:11" hidden="1" outlineLevel="2" x14ac:dyDescent="0.35">
      <c r="A158" t="s">
        <v>11</v>
      </c>
      <c r="B158" s="1">
        <v>45718</v>
      </c>
      <c r="C158" t="str">
        <f>"1928"</f>
        <v>1928</v>
      </c>
      <c r="E158" t="s">
        <v>6376</v>
      </c>
      <c r="F158" t="str">
        <f>"62780000"</f>
        <v>62780000</v>
      </c>
      <c r="H158" t="s">
        <v>6377</v>
      </c>
      <c r="J158" s="4">
        <v>692090</v>
      </c>
    </row>
    <row r="159" spans="1:11" hidden="1" outlineLevel="2" x14ac:dyDescent="0.35">
      <c r="A159" t="s">
        <v>6378</v>
      </c>
      <c r="B159" s="1">
        <v>45720</v>
      </c>
      <c r="C159" t="str">
        <f>"1882"</f>
        <v>1882</v>
      </c>
      <c r="D159" t="s">
        <v>6388</v>
      </c>
      <c r="E159" t="str">
        <f>"0001493"</f>
        <v>0001493</v>
      </c>
      <c r="F159" t="str">
        <f>"62780000"</f>
        <v>62780000</v>
      </c>
      <c r="H159" t="s">
        <v>6390</v>
      </c>
      <c r="J159" s="4">
        <v>-5</v>
      </c>
    </row>
    <row r="160" spans="1:11" outlineLevel="1" collapsed="1" x14ac:dyDescent="0.35">
      <c r="B160" s="1"/>
      <c r="F160" s="3" t="s">
        <v>6790</v>
      </c>
      <c r="J160" s="4">
        <f>SUBTOTAL(9,J158:J159)</f>
        <v>692085</v>
      </c>
      <c r="K160" s="4">
        <f>SUBTOTAL(9,K158:K159)</f>
        <v>0</v>
      </c>
    </row>
    <row r="161" spans="1:11" hidden="1" outlineLevel="2" x14ac:dyDescent="0.35">
      <c r="A161" t="s">
        <v>101</v>
      </c>
      <c r="B161" s="1">
        <v>45747</v>
      </c>
      <c r="C161" t="str">
        <f>"1902"</f>
        <v>1902</v>
      </c>
      <c r="F161" t="str">
        <f>"62810000"</f>
        <v>62810000</v>
      </c>
      <c r="H161" t="s">
        <v>6450</v>
      </c>
      <c r="J161" s="4">
        <v>724865</v>
      </c>
    </row>
    <row r="162" spans="1:11" outlineLevel="1" collapsed="1" x14ac:dyDescent="0.35">
      <c r="B162" s="1"/>
      <c r="F162" s="3" t="s">
        <v>6648</v>
      </c>
      <c r="J162" s="4">
        <f>SUBTOTAL(9,J161:J161)</f>
        <v>724865</v>
      </c>
      <c r="K162" s="4">
        <f>SUBTOTAL(9,K161:K161)</f>
        <v>0</v>
      </c>
    </row>
    <row r="163" spans="1:11" hidden="1" outlineLevel="2" x14ac:dyDescent="0.35">
      <c r="A163" t="s">
        <v>6395</v>
      </c>
      <c r="B163" s="1">
        <v>45736</v>
      </c>
      <c r="C163" t="str">
        <f>"1936"</f>
        <v>1936</v>
      </c>
      <c r="F163" t="str">
        <f>"63180000"</f>
        <v>63180000</v>
      </c>
      <c r="H163" t="s">
        <v>58</v>
      </c>
      <c r="J163" s="4">
        <v>275</v>
      </c>
    </row>
    <row r="164" spans="1:11" hidden="1" outlineLevel="2" x14ac:dyDescent="0.35">
      <c r="A164" t="s">
        <v>6395</v>
      </c>
      <c r="B164" s="1">
        <v>45742</v>
      </c>
      <c r="C164" t="str">
        <f>"1937"</f>
        <v>1937</v>
      </c>
      <c r="F164" t="str">
        <f>"63180000"</f>
        <v>63180000</v>
      </c>
      <c r="H164" t="s">
        <v>6248</v>
      </c>
      <c r="J164" s="4">
        <v>31900</v>
      </c>
    </row>
    <row r="165" spans="1:11" hidden="1" outlineLevel="2" x14ac:dyDescent="0.35">
      <c r="A165" t="s">
        <v>6395</v>
      </c>
      <c r="B165" s="1">
        <v>45747</v>
      </c>
      <c r="C165" t="str">
        <f>"1938"</f>
        <v>1938</v>
      </c>
      <c r="F165" t="str">
        <f>"63180000"</f>
        <v>63180000</v>
      </c>
      <c r="H165" t="s">
        <v>6255</v>
      </c>
      <c r="J165" s="4">
        <v>42875</v>
      </c>
    </row>
    <row r="166" spans="1:11" hidden="1" outlineLevel="2" x14ac:dyDescent="0.35">
      <c r="A166" t="s">
        <v>6403</v>
      </c>
      <c r="B166" s="1">
        <v>45747</v>
      </c>
      <c r="C166" t="str">
        <f>"1933"</f>
        <v>1933</v>
      </c>
      <c r="F166" t="str">
        <f>"63180000"</f>
        <v>63180000</v>
      </c>
      <c r="H166" t="s">
        <v>58</v>
      </c>
      <c r="J166" s="4">
        <v>2970</v>
      </c>
    </row>
    <row r="167" spans="1:11" hidden="1" outlineLevel="2" x14ac:dyDescent="0.35">
      <c r="A167" t="s">
        <v>6403</v>
      </c>
      <c r="B167" s="1">
        <v>45747</v>
      </c>
      <c r="C167" t="str">
        <f>"1934"</f>
        <v>1934</v>
      </c>
      <c r="F167" t="str">
        <f>"63180000"</f>
        <v>63180000</v>
      </c>
      <c r="H167" t="s">
        <v>58</v>
      </c>
      <c r="J167" s="4">
        <v>22000</v>
      </c>
    </row>
    <row r="168" spans="1:11" outlineLevel="1" collapsed="1" x14ac:dyDescent="0.35">
      <c r="B168" s="1"/>
      <c r="F168" s="3" t="s">
        <v>6652</v>
      </c>
      <c r="J168" s="4">
        <f>SUBTOTAL(9,J163:J167)</f>
        <v>100020</v>
      </c>
      <c r="K168" s="4">
        <f>SUBTOTAL(9,K163:K167)</f>
        <v>0</v>
      </c>
    </row>
    <row r="169" spans="1:11" hidden="1" outlineLevel="2" x14ac:dyDescent="0.35">
      <c r="A169" t="s">
        <v>11</v>
      </c>
      <c r="B169" s="1">
        <v>45718</v>
      </c>
      <c r="C169" t="str">
        <f>"1929"</f>
        <v>1929</v>
      </c>
      <c r="E169" t="s">
        <v>24</v>
      </c>
      <c r="F169" t="str">
        <f>"63240000"</f>
        <v>63240000</v>
      </c>
      <c r="H169" t="s">
        <v>25</v>
      </c>
      <c r="J169" s="4">
        <v>333112</v>
      </c>
    </row>
    <row r="170" spans="1:11" hidden="1" outlineLevel="2" x14ac:dyDescent="0.35">
      <c r="A170" t="s">
        <v>6378</v>
      </c>
      <c r="B170" s="1">
        <v>45717</v>
      </c>
      <c r="C170" t="str">
        <f>"1879"</f>
        <v>1879</v>
      </c>
      <c r="D170" t="s">
        <v>6379</v>
      </c>
      <c r="E170" t="s">
        <v>6380</v>
      </c>
      <c r="F170" t="str">
        <f>"63240000"</f>
        <v>63240000</v>
      </c>
      <c r="H170" t="s">
        <v>6381</v>
      </c>
      <c r="J170" s="4">
        <v>2000000</v>
      </c>
    </row>
    <row r="171" spans="1:11" outlineLevel="1" collapsed="1" x14ac:dyDescent="0.35">
      <c r="B171" s="1"/>
      <c r="F171" s="3" t="s">
        <v>6653</v>
      </c>
      <c r="J171" s="4">
        <f>SUBTOTAL(9,J169:J170)</f>
        <v>2333112</v>
      </c>
      <c r="K171" s="4">
        <f>SUBTOTAL(9,K169:K170)</f>
        <v>0</v>
      </c>
    </row>
    <row r="172" spans="1:11" hidden="1" outlineLevel="2" x14ac:dyDescent="0.35">
      <c r="A172" t="s">
        <v>11</v>
      </c>
      <c r="B172" s="1">
        <v>45717</v>
      </c>
      <c r="C172" t="str">
        <f>"1920"</f>
        <v>1920</v>
      </c>
      <c r="E172" t="s">
        <v>6362</v>
      </c>
      <c r="F172" t="str">
        <f>"63270200"</f>
        <v>63270200</v>
      </c>
      <c r="H172" t="s">
        <v>6363</v>
      </c>
      <c r="J172" s="4">
        <v>625000</v>
      </c>
    </row>
    <row r="173" spans="1:11" outlineLevel="1" collapsed="1" x14ac:dyDescent="0.35">
      <c r="B173" s="1"/>
      <c r="F173" s="3" t="s">
        <v>6791</v>
      </c>
      <c r="J173" s="4">
        <f>SUBTOTAL(9,J172:J172)</f>
        <v>625000</v>
      </c>
      <c r="K173" s="4">
        <f>SUBTOTAL(9,K172:K172)</f>
        <v>0</v>
      </c>
    </row>
    <row r="174" spans="1:11" hidden="1" outlineLevel="2" x14ac:dyDescent="0.35">
      <c r="A174" t="s">
        <v>11</v>
      </c>
      <c r="B174" s="1">
        <v>45717</v>
      </c>
      <c r="C174" t="str">
        <f>"1924"</f>
        <v>1924</v>
      </c>
      <c r="E174" t="s">
        <v>6369</v>
      </c>
      <c r="F174" t="str">
        <f>"64120000"</f>
        <v>64120000</v>
      </c>
      <c r="H174" t="s">
        <v>6370</v>
      </c>
      <c r="J174" s="4">
        <v>363637</v>
      </c>
    </row>
    <row r="175" spans="1:11" outlineLevel="1" collapsed="1" x14ac:dyDescent="0.35">
      <c r="B175" s="1"/>
      <c r="F175" s="3" t="s">
        <v>6738</v>
      </c>
      <c r="J175" s="4">
        <f>SUBTOTAL(9,J174:J174)</f>
        <v>363637</v>
      </c>
      <c r="K175" s="4">
        <f>SUBTOTAL(9,K174:K174)</f>
        <v>0</v>
      </c>
    </row>
    <row r="176" spans="1:11" hidden="1" outlineLevel="2" x14ac:dyDescent="0.35">
      <c r="A176" t="s">
        <v>11</v>
      </c>
      <c r="B176" s="1">
        <v>45717</v>
      </c>
      <c r="C176" t="str">
        <f>"1925"</f>
        <v>1925</v>
      </c>
      <c r="E176" t="s">
        <v>6371</v>
      </c>
      <c r="F176" t="str">
        <f>"64130000"</f>
        <v>64130000</v>
      </c>
      <c r="H176" t="s">
        <v>1225</v>
      </c>
      <c r="J176" s="4">
        <v>1448750</v>
      </c>
    </row>
    <row r="177" spans="1:11" hidden="1" outlineLevel="2" x14ac:dyDescent="0.35">
      <c r="A177" t="s">
        <v>101</v>
      </c>
      <c r="B177" s="1">
        <v>45747</v>
      </c>
      <c r="C177" t="str">
        <f>"1895"</f>
        <v>1895</v>
      </c>
      <c r="F177" t="str">
        <f>"64130000"</f>
        <v>64130000</v>
      </c>
      <c r="H177" t="s">
        <v>6446</v>
      </c>
      <c r="J177" s="4">
        <v>342084</v>
      </c>
    </row>
    <row r="178" spans="1:11" outlineLevel="1" collapsed="1" x14ac:dyDescent="0.35">
      <c r="B178" s="1"/>
      <c r="F178" s="3" t="s">
        <v>6668</v>
      </c>
      <c r="J178" s="4">
        <f>SUBTOTAL(9,J176:J177)</f>
        <v>1790834</v>
      </c>
      <c r="K178" s="4">
        <f>SUBTOTAL(9,K176:K177)</f>
        <v>0</v>
      </c>
    </row>
    <row r="179" spans="1:11" hidden="1" outlineLevel="2" x14ac:dyDescent="0.35">
      <c r="A179" t="s">
        <v>6395</v>
      </c>
      <c r="B179" s="1">
        <v>45723</v>
      </c>
      <c r="C179" t="str">
        <f>"1884"</f>
        <v>1884</v>
      </c>
      <c r="F179" t="str">
        <f>"64140000"</f>
        <v>64140000</v>
      </c>
      <c r="H179" t="s">
        <v>6396</v>
      </c>
      <c r="J179" s="4">
        <v>-1</v>
      </c>
    </row>
    <row r="180" spans="1:11" hidden="1" outlineLevel="2" x14ac:dyDescent="0.35">
      <c r="A180" t="s">
        <v>6395</v>
      </c>
      <c r="B180" s="1">
        <v>45723</v>
      </c>
      <c r="C180" t="str">
        <f>"1885"</f>
        <v>1885</v>
      </c>
      <c r="F180" t="str">
        <f>"64140000"</f>
        <v>64140000</v>
      </c>
      <c r="H180" t="s">
        <v>6397</v>
      </c>
      <c r="J180" s="4">
        <v>-1</v>
      </c>
    </row>
    <row r="181" spans="1:11" hidden="1" outlineLevel="2" x14ac:dyDescent="0.35">
      <c r="A181" t="s">
        <v>101</v>
      </c>
      <c r="B181" s="1">
        <v>45747</v>
      </c>
      <c r="C181" t="str">
        <f>"1896"</f>
        <v>1896</v>
      </c>
      <c r="F181" t="str">
        <f>"64140000"</f>
        <v>64140000</v>
      </c>
      <c r="H181" t="s">
        <v>6183</v>
      </c>
      <c r="J181" s="4">
        <v>114028</v>
      </c>
    </row>
    <row r="182" spans="1:11" outlineLevel="1" collapsed="1" x14ac:dyDescent="0.35">
      <c r="B182" s="1"/>
      <c r="F182" s="3" t="s">
        <v>6669</v>
      </c>
      <c r="J182" s="4">
        <f>SUBTOTAL(9,J179:J181)</f>
        <v>114026</v>
      </c>
      <c r="K182" s="4">
        <f>SUBTOTAL(9,K179:K181)</f>
        <v>0</v>
      </c>
    </row>
    <row r="183" spans="1:11" hidden="1" outlineLevel="2" x14ac:dyDescent="0.35">
      <c r="A183" t="s">
        <v>101</v>
      </c>
      <c r="B183" s="1">
        <v>45747</v>
      </c>
      <c r="C183" t="str">
        <f>"1896"</f>
        <v>1896</v>
      </c>
      <c r="F183" t="str">
        <f>"64150000"</f>
        <v>64150000</v>
      </c>
      <c r="H183" t="s">
        <v>6183</v>
      </c>
      <c r="J183" s="4">
        <v>171042</v>
      </c>
    </row>
    <row r="184" spans="1:11" outlineLevel="1" collapsed="1" x14ac:dyDescent="0.35">
      <c r="B184" s="1"/>
      <c r="F184" s="3" t="s">
        <v>6670</v>
      </c>
      <c r="J184" s="4">
        <f>SUBTOTAL(9,J183:J183)</f>
        <v>171042</v>
      </c>
      <c r="K184" s="4">
        <f>SUBTOTAL(9,K183:K183)</f>
        <v>0</v>
      </c>
    </row>
    <row r="185" spans="1:11" hidden="1" outlineLevel="2" x14ac:dyDescent="0.35">
      <c r="A185" t="s">
        <v>11</v>
      </c>
      <c r="B185" s="1">
        <v>45717</v>
      </c>
      <c r="C185" t="str">
        <f>"1921"</f>
        <v>1921</v>
      </c>
      <c r="E185" t="s">
        <v>6364</v>
      </c>
      <c r="F185" t="str">
        <f>"65810000"</f>
        <v>65810000</v>
      </c>
      <c r="H185" t="s">
        <v>6365</v>
      </c>
      <c r="J185" s="4">
        <v>6029350</v>
      </c>
    </row>
    <row r="186" spans="1:11" hidden="1" outlineLevel="2" x14ac:dyDescent="0.35">
      <c r="A186" t="s">
        <v>101</v>
      </c>
      <c r="B186" s="1">
        <v>45717</v>
      </c>
      <c r="C186" t="str">
        <f>"1917"</f>
        <v>1917</v>
      </c>
      <c r="F186" t="str">
        <f>"65810000"</f>
        <v>65810000</v>
      </c>
      <c r="H186" t="s">
        <v>6441</v>
      </c>
      <c r="J186" s="4">
        <v>5</v>
      </c>
    </row>
    <row r="187" spans="1:11" outlineLevel="1" collapsed="1" x14ac:dyDescent="0.35">
      <c r="B187" s="1"/>
      <c r="F187" s="3" t="s">
        <v>6682</v>
      </c>
      <c r="J187" s="4">
        <f>SUBTOTAL(9,J185:J186)</f>
        <v>6029355</v>
      </c>
      <c r="K187" s="4">
        <f>SUBTOTAL(9,K185:K186)</f>
        <v>0</v>
      </c>
    </row>
    <row r="188" spans="1:11" hidden="1" outlineLevel="2" x14ac:dyDescent="0.35">
      <c r="A188" t="s">
        <v>75</v>
      </c>
      <c r="B188" s="1">
        <v>45729</v>
      </c>
      <c r="C188" t="str">
        <f>"1914"</f>
        <v>1914</v>
      </c>
      <c r="D188" t="s">
        <v>6424</v>
      </c>
      <c r="E188" t="s">
        <v>6425</v>
      </c>
      <c r="F188" t="str">
        <f>"65880000"</f>
        <v>65880000</v>
      </c>
      <c r="H188" t="s">
        <v>6427</v>
      </c>
      <c r="J188" s="4">
        <v>262000</v>
      </c>
    </row>
    <row r="189" spans="1:11" outlineLevel="1" collapsed="1" x14ac:dyDescent="0.35">
      <c r="B189" s="1"/>
      <c r="F189" s="3" t="s">
        <v>6684</v>
      </c>
      <c r="J189" s="4">
        <f>SUBTOTAL(9,J188:J188)</f>
        <v>262000</v>
      </c>
      <c r="K189" s="4">
        <f>SUBTOTAL(9,K188:K188)</f>
        <v>0</v>
      </c>
    </row>
    <row r="190" spans="1:11" hidden="1" outlineLevel="2" x14ac:dyDescent="0.35">
      <c r="A190" t="s">
        <v>2964</v>
      </c>
      <c r="B190" s="1">
        <v>45746</v>
      </c>
      <c r="C190" t="str">
        <f>"1908"</f>
        <v>1908</v>
      </c>
      <c r="E190" t="s">
        <v>6213</v>
      </c>
      <c r="F190" t="str">
        <f>"66110000"</f>
        <v>66110000</v>
      </c>
      <c r="H190" t="s">
        <v>6458</v>
      </c>
      <c r="J190" s="4">
        <v>1866773</v>
      </c>
    </row>
    <row r="191" spans="1:11" outlineLevel="1" collapsed="1" x14ac:dyDescent="0.35">
      <c r="B191" s="1"/>
      <c r="F191" s="3" t="s">
        <v>6687</v>
      </c>
      <c r="J191" s="4">
        <f>SUBTOTAL(9,J190:J190)</f>
        <v>1866773</v>
      </c>
      <c r="K191" s="4">
        <f>SUBTOTAL(9,K190:K190)</f>
        <v>0</v>
      </c>
    </row>
    <row r="192" spans="1:11" hidden="1" outlineLevel="2" x14ac:dyDescent="0.35">
      <c r="A192" t="s">
        <v>2964</v>
      </c>
      <c r="B192" s="1">
        <v>45746</v>
      </c>
      <c r="C192" t="str">
        <f>"1908"</f>
        <v>1908</v>
      </c>
      <c r="E192" t="s">
        <v>6213</v>
      </c>
      <c r="F192" t="str">
        <f>"66120000"</f>
        <v>66120000</v>
      </c>
      <c r="H192" t="s">
        <v>6458</v>
      </c>
      <c r="J192" s="4">
        <v>26640224</v>
      </c>
    </row>
    <row r="193" spans="1:11" outlineLevel="1" collapsed="1" x14ac:dyDescent="0.35">
      <c r="B193" s="1"/>
      <c r="F193" s="3" t="s">
        <v>6792</v>
      </c>
      <c r="J193" s="4">
        <f>SUBTOTAL(9,J192:J192)</f>
        <v>26640224</v>
      </c>
      <c r="K193" s="4">
        <f>SUBTOTAL(9,K192:K192)</f>
        <v>0</v>
      </c>
    </row>
    <row r="194" spans="1:11" hidden="1" outlineLevel="2" x14ac:dyDescent="0.35">
      <c r="A194" t="s">
        <v>2964</v>
      </c>
      <c r="B194" s="1">
        <v>45746</v>
      </c>
      <c r="C194" t="str">
        <f>"1908"</f>
        <v>1908</v>
      </c>
      <c r="E194" t="s">
        <v>6213</v>
      </c>
      <c r="F194" t="str">
        <f>"66340000"</f>
        <v>66340000</v>
      </c>
      <c r="H194" t="s">
        <v>6458</v>
      </c>
      <c r="J194" s="4">
        <v>30000</v>
      </c>
    </row>
    <row r="195" spans="1:11" outlineLevel="1" collapsed="1" x14ac:dyDescent="0.35">
      <c r="B195" s="1"/>
      <c r="F195" s="3" t="s">
        <v>6700</v>
      </c>
      <c r="J195" s="4">
        <f>SUBTOTAL(9,J194:J194)</f>
        <v>30000</v>
      </c>
      <c r="K195" s="4">
        <f>SUBTOTAL(9,K194:K194)</f>
        <v>0</v>
      </c>
    </row>
    <row r="196" spans="1:11" hidden="1" outlineLevel="2" x14ac:dyDescent="0.35">
      <c r="A196" t="s">
        <v>11</v>
      </c>
      <c r="B196" s="1">
        <v>45717</v>
      </c>
      <c r="C196" t="str">
        <f>"1922"</f>
        <v>1922</v>
      </c>
      <c r="E196" t="s">
        <v>6366</v>
      </c>
      <c r="F196" t="str">
        <f>"66380000"</f>
        <v>66380000</v>
      </c>
      <c r="H196" t="s">
        <v>6367</v>
      </c>
      <c r="J196" s="4">
        <v>97940</v>
      </c>
    </row>
    <row r="197" spans="1:11" hidden="1" outlineLevel="2" x14ac:dyDescent="0.35">
      <c r="A197" t="s">
        <v>11</v>
      </c>
      <c r="B197" s="1">
        <v>45717</v>
      </c>
      <c r="C197" t="str">
        <f>"1926"</f>
        <v>1926</v>
      </c>
      <c r="E197" t="s">
        <v>6372</v>
      </c>
      <c r="F197" t="str">
        <f>"66380000"</f>
        <v>66380000</v>
      </c>
      <c r="H197" t="s">
        <v>6373</v>
      </c>
      <c r="J197" s="4">
        <v>3000000</v>
      </c>
    </row>
    <row r="198" spans="1:11" hidden="1" outlineLevel="2" x14ac:dyDescent="0.35">
      <c r="A198" t="s">
        <v>6378</v>
      </c>
      <c r="B198" s="1">
        <v>45730</v>
      </c>
      <c r="C198" t="str">
        <f>"1888"</f>
        <v>1888</v>
      </c>
      <c r="D198" t="s">
        <v>6391</v>
      </c>
      <c r="E198" t="s">
        <v>6392</v>
      </c>
      <c r="F198" t="str">
        <f>"66380000"</f>
        <v>66380000</v>
      </c>
      <c r="H198" t="s">
        <v>6394</v>
      </c>
      <c r="J198" s="4">
        <v>204000</v>
      </c>
    </row>
    <row r="199" spans="1:11" hidden="1" outlineLevel="2" x14ac:dyDescent="0.35">
      <c r="A199" t="s">
        <v>75</v>
      </c>
      <c r="B199" s="1">
        <v>45722</v>
      </c>
      <c r="C199" t="str">
        <f>"1910"</f>
        <v>1910</v>
      </c>
      <c r="D199" t="s">
        <v>6412</v>
      </c>
      <c r="E199" t="s">
        <v>6413</v>
      </c>
      <c r="F199" t="str">
        <f>"66380000"</f>
        <v>66380000</v>
      </c>
      <c r="H199" t="s">
        <v>6414</v>
      </c>
      <c r="J199" s="4">
        <v>146635</v>
      </c>
    </row>
    <row r="200" spans="1:11" hidden="1" outlineLevel="2" x14ac:dyDescent="0.35">
      <c r="A200" t="s">
        <v>75</v>
      </c>
      <c r="B200" s="1">
        <v>45726</v>
      </c>
      <c r="C200" t="str">
        <f>"1911"</f>
        <v>1911</v>
      </c>
      <c r="D200" t="s">
        <v>6415</v>
      </c>
      <c r="E200" t="s">
        <v>6416</v>
      </c>
      <c r="F200" t="str">
        <f>"66380000"</f>
        <v>66380000</v>
      </c>
      <c r="H200" t="s">
        <v>6417</v>
      </c>
      <c r="J200" s="4">
        <v>56073</v>
      </c>
    </row>
    <row r="201" spans="1:11" outlineLevel="1" collapsed="1" x14ac:dyDescent="0.35">
      <c r="B201" s="1"/>
      <c r="F201" s="3" t="s">
        <v>6741</v>
      </c>
      <c r="J201" s="4">
        <f>SUBTOTAL(9,J196:J200)</f>
        <v>3504648</v>
      </c>
      <c r="K201" s="4">
        <f>SUBTOTAL(9,K196:K200)</f>
        <v>0</v>
      </c>
    </row>
    <row r="202" spans="1:11" hidden="1" outlineLevel="2" x14ac:dyDescent="0.35">
      <c r="A202" t="s">
        <v>101</v>
      </c>
      <c r="B202" s="1">
        <v>45747</v>
      </c>
      <c r="C202" t="str">
        <f>"1897"</f>
        <v>1897</v>
      </c>
      <c r="F202" t="str">
        <f>"66410000"</f>
        <v>66410000</v>
      </c>
      <c r="H202" t="s">
        <v>6184</v>
      </c>
      <c r="J202" s="4">
        <v>1270727</v>
      </c>
    </row>
    <row r="203" spans="1:11" hidden="1" outlineLevel="2" x14ac:dyDescent="0.35">
      <c r="A203" t="s">
        <v>101</v>
      </c>
      <c r="B203" s="1">
        <v>45747</v>
      </c>
      <c r="C203" t="str">
        <f>"1898"</f>
        <v>1898</v>
      </c>
      <c r="F203" t="str">
        <f>"66410000"</f>
        <v>66410000</v>
      </c>
      <c r="H203" t="s">
        <v>2849</v>
      </c>
      <c r="J203" s="4">
        <v>3000</v>
      </c>
    </row>
    <row r="204" spans="1:11" outlineLevel="1" collapsed="1" x14ac:dyDescent="0.35">
      <c r="B204" s="1"/>
      <c r="F204" s="3" t="s">
        <v>6702</v>
      </c>
      <c r="J204" s="4">
        <f>SUBTOTAL(9,J202:J203)</f>
        <v>1273727</v>
      </c>
      <c r="K204" s="4">
        <f>SUBTOTAL(9,K202:K203)</f>
        <v>0</v>
      </c>
    </row>
    <row r="205" spans="1:11" hidden="1" outlineLevel="2" x14ac:dyDescent="0.35">
      <c r="A205" t="s">
        <v>11</v>
      </c>
      <c r="B205" s="1">
        <v>45717</v>
      </c>
      <c r="C205" t="str">
        <f>"1918"</f>
        <v>1918</v>
      </c>
      <c r="E205" t="s">
        <v>6359</v>
      </c>
      <c r="F205" t="str">
        <f>"66850010"</f>
        <v>66850010</v>
      </c>
      <c r="H205" t="s">
        <v>6360</v>
      </c>
      <c r="J205" s="4">
        <v>360503</v>
      </c>
    </row>
    <row r="206" spans="1:11" hidden="1" outlineLevel="2" x14ac:dyDescent="0.35">
      <c r="A206" t="s">
        <v>11</v>
      </c>
      <c r="B206" s="1">
        <v>45717</v>
      </c>
      <c r="C206" t="str">
        <f>"1919"</f>
        <v>1919</v>
      </c>
      <c r="E206" t="s">
        <v>1201</v>
      </c>
      <c r="F206" t="str">
        <f>"66850010"</f>
        <v>66850010</v>
      </c>
      <c r="H206" t="s">
        <v>6361</v>
      </c>
      <c r="J206" s="4">
        <v>558875</v>
      </c>
    </row>
    <row r="207" spans="1:11" outlineLevel="1" collapsed="1" x14ac:dyDescent="0.35">
      <c r="B207" s="1"/>
      <c r="F207" s="3" t="s">
        <v>6709</v>
      </c>
      <c r="J207" s="4">
        <f>SUBTOTAL(9,J205:J206)</f>
        <v>919378</v>
      </c>
      <c r="K207" s="4">
        <f>SUBTOTAL(9,K205:K206)</f>
        <v>0</v>
      </c>
    </row>
    <row r="208" spans="1:11" hidden="1" outlineLevel="2" x14ac:dyDescent="0.35">
      <c r="A208" t="s">
        <v>101</v>
      </c>
      <c r="B208" s="1">
        <v>45747</v>
      </c>
      <c r="C208" t="str">
        <f>"1891"</f>
        <v>1891</v>
      </c>
      <c r="F208" t="str">
        <f t="shared" ref="F208:F213" si="5">"67130000"</f>
        <v>67130000</v>
      </c>
      <c r="H208" t="s">
        <v>6442</v>
      </c>
      <c r="J208" s="4">
        <v>9382808</v>
      </c>
    </row>
    <row r="209" spans="1:11" hidden="1" outlineLevel="2" x14ac:dyDescent="0.35">
      <c r="A209" t="s">
        <v>101</v>
      </c>
      <c r="B209" s="1">
        <v>45747</v>
      </c>
      <c r="C209" t="str">
        <f>"1892"</f>
        <v>1892</v>
      </c>
      <c r="F209" t="str">
        <f t="shared" si="5"/>
        <v>67130000</v>
      </c>
      <c r="H209" t="s">
        <v>6443</v>
      </c>
      <c r="J209" s="4">
        <v>5095890</v>
      </c>
    </row>
    <row r="210" spans="1:11" hidden="1" outlineLevel="2" x14ac:dyDescent="0.35">
      <c r="A210" t="s">
        <v>101</v>
      </c>
      <c r="B210" s="1">
        <v>45747</v>
      </c>
      <c r="C210" t="str">
        <f>"1893"</f>
        <v>1893</v>
      </c>
      <c r="F210" t="str">
        <f t="shared" si="5"/>
        <v>67130000</v>
      </c>
      <c r="H210" t="s">
        <v>6444</v>
      </c>
      <c r="J210" s="4">
        <v>5095890</v>
      </c>
    </row>
    <row r="211" spans="1:11" hidden="1" outlineLevel="2" x14ac:dyDescent="0.35">
      <c r="A211" t="s">
        <v>101</v>
      </c>
      <c r="B211" s="1">
        <v>45747</v>
      </c>
      <c r="C211" t="str">
        <f>"1899"</f>
        <v>1899</v>
      </c>
      <c r="F211" t="str">
        <f t="shared" si="5"/>
        <v>67130000</v>
      </c>
      <c r="H211" t="s">
        <v>6447</v>
      </c>
      <c r="J211" s="4">
        <v>2127442</v>
      </c>
    </row>
    <row r="212" spans="1:11" hidden="1" outlineLevel="2" x14ac:dyDescent="0.35">
      <c r="A212" t="s">
        <v>101</v>
      </c>
      <c r="B212" s="1">
        <v>45747</v>
      </c>
      <c r="C212" t="str">
        <f>"1900"</f>
        <v>1900</v>
      </c>
      <c r="F212" t="str">
        <f t="shared" si="5"/>
        <v>67130000</v>
      </c>
      <c r="H212" t="s">
        <v>6448</v>
      </c>
      <c r="J212" s="4">
        <v>14267644</v>
      </c>
    </row>
    <row r="213" spans="1:11" hidden="1" outlineLevel="2" x14ac:dyDescent="0.35">
      <c r="A213" t="s">
        <v>101</v>
      </c>
      <c r="B213" s="1">
        <v>45747</v>
      </c>
      <c r="C213" t="str">
        <f>"1944"</f>
        <v>1944</v>
      </c>
      <c r="F213" t="str">
        <f t="shared" si="5"/>
        <v>67130000</v>
      </c>
      <c r="H213" t="s">
        <v>6457</v>
      </c>
      <c r="J213" s="4">
        <v>6356096</v>
      </c>
    </row>
    <row r="214" spans="1:11" outlineLevel="1" collapsed="1" x14ac:dyDescent="0.35">
      <c r="B214" s="1"/>
      <c r="F214" s="3" t="s">
        <v>6793</v>
      </c>
      <c r="J214" s="4">
        <f>SUBTOTAL(9,J208:J213)</f>
        <v>42325770</v>
      </c>
      <c r="K214" s="4">
        <f>SUBTOTAL(9,K208:K213)</f>
        <v>0</v>
      </c>
    </row>
    <row r="215" spans="1:11" hidden="1" outlineLevel="2" x14ac:dyDescent="0.35">
      <c r="A215" t="s">
        <v>101</v>
      </c>
      <c r="B215" s="1">
        <v>45747</v>
      </c>
      <c r="C215" t="str">
        <f>"1932"</f>
        <v>1932</v>
      </c>
      <c r="E215" t="s">
        <v>116</v>
      </c>
      <c r="F215" t="str">
        <f>"68120000"</f>
        <v>68120000</v>
      </c>
      <c r="H215" t="s">
        <v>6455</v>
      </c>
      <c r="J215" s="4">
        <v>487032</v>
      </c>
    </row>
    <row r="216" spans="1:11" outlineLevel="1" collapsed="1" x14ac:dyDescent="0.35">
      <c r="B216" s="1"/>
      <c r="F216" s="3" t="s">
        <v>6715</v>
      </c>
      <c r="J216" s="4">
        <f>SUBTOTAL(9,J215:J215)</f>
        <v>487032</v>
      </c>
      <c r="K216" s="4">
        <f>SUBTOTAL(9,K215:K215)</f>
        <v>0</v>
      </c>
    </row>
    <row r="217" spans="1:11" hidden="1" outlineLevel="2" x14ac:dyDescent="0.35">
      <c r="A217" t="s">
        <v>101</v>
      </c>
      <c r="B217" s="1">
        <v>45747</v>
      </c>
      <c r="C217" t="str">
        <f>"1932"</f>
        <v>1932</v>
      </c>
      <c r="E217" t="s">
        <v>116</v>
      </c>
      <c r="F217" t="str">
        <f>"68130000"</f>
        <v>68130000</v>
      </c>
      <c r="H217" t="s">
        <v>6456</v>
      </c>
      <c r="J217" s="4">
        <v>390701</v>
      </c>
    </row>
    <row r="218" spans="1:11" outlineLevel="1" collapsed="1" x14ac:dyDescent="0.35">
      <c r="B218" s="1"/>
      <c r="F218" s="3" t="s">
        <v>6716</v>
      </c>
      <c r="J218" s="4">
        <f>SUBTOTAL(9,J217:J217)</f>
        <v>390701</v>
      </c>
      <c r="K218" s="4">
        <f>SUBTOTAL(9,K217:K217)</f>
        <v>0</v>
      </c>
    </row>
    <row r="219" spans="1:11" hidden="1" outlineLevel="2" x14ac:dyDescent="0.35">
      <c r="A219" t="s">
        <v>101</v>
      </c>
      <c r="B219" s="1">
        <v>45747</v>
      </c>
      <c r="C219" t="str">
        <f>"1890"</f>
        <v>1890</v>
      </c>
      <c r="E219" t="s">
        <v>6347</v>
      </c>
      <c r="F219" t="str">
        <f>"70610100"</f>
        <v>70610100</v>
      </c>
      <c r="H219" t="s">
        <v>113</v>
      </c>
      <c r="K219" s="4">
        <v>126151000</v>
      </c>
    </row>
    <row r="220" spans="1:11" outlineLevel="1" collapsed="1" x14ac:dyDescent="0.35">
      <c r="B220" s="1"/>
      <c r="F220" s="3" t="s">
        <v>6794</v>
      </c>
      <c r="J220" s="4">
        <f>SUBTOTAL(9,J219:J219)</f>
        <v>0</v>
      </c>
      <c r="K220" s="4">
        <f>SUBTOTAL(9,K219:K219)</f>
        <v>126151000</v>
      </c>
    </row>
    <row r="221" spans="1:11" hidden="1" outlineLevel="2" x14ac:dyDescent="0.35">
      <c r="A221" t="s">
        <v>101</v>
      </c>
      <c r="B221" s="1">
        <v>45747</v>
      </c>
      <c r="C221" t="str">
        <f>"1894"</f>
        <v>1894</v>
      </c>
      <c r="F221" t="str">
        <f>"77120000"</f>
        <v>77120000</v>
      </c>
      <c r="H221" t="s">
        <v>6445</v>
      </c>
      <c r="K221" s="4">
        <v>9478356</v>
      </c>
    </row>
    <row r="222" spans="1:11" outlineLevel="1" collapsed="1" x14ac:dyDescent="0.35">
      <c r="B222" s="1"/>
      <c r="F222" s="3" t="s">
        <v>6795</v>
      </c>
      <c r="J222" s="4">
        <f>SUBTOTAL(9,J221:J221)</f>
        <v>0</v>
      </c>
      <c r="K222" s="4">
        <f>SUBTOTAL(9,K221:K221)</f>
        <v>9478356</v>
      </c>
    </row>
    <row r="223" spans="1:11" hidden="1" outlineLevel="2" x14ac:dyDescent="0.35">
      <c r="A223" t="s">
        <v>11</v>
      </c>
      <c r="B223" s="1">
        <v>45717</v>
      </c>
      <c r="C223" t="str">
        <f>"1923"</f>
        <v>1923</v>
      </c>
      <c r="E223" t="s">
        <v>20</v>
      </c>
      <c r="F223" t="str">
        <f>"89110000"</f>
        <v>89110000</v>
      </c>
      <c r="H223" t="s">
        <v>6368</v>
      </c>
      <c r="J223" s="4">
        <v>346165</v>
      </c>
    </row>
    <row r="224" spans="1:11" outlineLevel="1" collapsed="1" x14ac:dyDescent="0.35">
      <c r="B224" s="1"/>
      <c r="F224" s="3" t="s">
        <v>6796</v>
      </c>
      <c r="J224" s="4">
        <f>SUBTOTAL(9,J223:J223)</f>
        <v>346165</v>
      </c>
      <c r="K224" s="4">
        <f>SUBTOTAL(9,K223:K223)</f>
        <v>0</v>
      </c>
    </row>
    <row r="225" spans="2:11" x14ac:dyDescent="0.35">
      <c r="B225" s="1"/>
      <c r="F225" s="3" t="s">
        <v>6727</v>
      </c>
      <c r="J225" s="4">
        <f>SUBTOTAL(9,J2:J223)</f>
        <v>497521246</v>
      </c>
      <c r="K225" s="4">
        <f>SUBTOTAL(9,K2:K223)</f>
        <v>497521246</v>
      </c>
    </row>
  </sheetData>
  <sortState xmlns:xlrd2="http://schemas.microsoft.com/office/spreadsheetml/2017/richdata2" ref="A2:K223">
    <sortCondition ref="F2:F22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15</vt:i4>
      </vt:variant>
    </vt:vector>
  </HeadingPairs>
  <TitlesOfParts>
    <vt:vector size="15" baseType="lpstr">
      <vt:lpstr>LCR</vt:lpstr>
      <vt:lpstr>LCR Ana</vt:lpstr>
      <vt:lpstr>MIN</vt:lpstr>
      <vt:lpstr>MIN Ana</vt:lpstr>
      <vt:lpstr>LOG</vt:lpstr>
      <vt:lpstr>LOG Ana</vt:lpstr>
      <vt:lpstr>SCI</vt:lpstr>
      <vt:lpstr>SCI Ana</vt:lpstr>
      <vt:lpstr>GC</vt:lpstr>
      <vt:lpstr>GC Ana</vt:lpstr>
      <vt:lpstr>LCR verif</vt:lpstr>
      <vt:lpstr>MIN verif</vt:lpstr>
      <vt:lpstr>LOG verif</vt:lpstr>
      <vt:lpstr>SCI verif</vt:lpstr>
      <vt:lpstr>GC verif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Donald KOFFI</dc:creator>
  <cp:lastModifiedBy>Hermann KAKPEU</cp:lastModifiedBy>
  <dcterms:created xsi:type="dcterms:W3CDTF">2025-04-24T13:43:54Z</dcterms:created>
  <dcterms:modified xsi:type="dcterms:W3CDTF">2025-06-02T10:10:21Z</dcterms:modified>
</cp:coreProperties>
</file>